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D:\Palant\DESKTOP\"/>
    </mc:Choice>
  </mc:AlternateContent>
  <xr:revisionPtr revIDLastSave="0" documentId="8_{03DFBB31-0021-4A4B-88D4-5C54C4C7D538}" xr6:coauthVersionLast="47" xr6:coauthVersionMax="47" xr10:uidLastSave="{00000000-0000-0000-0000-000000000000}"/>
  <bookViews>
    <workbookView xWindow="-108" yWindow="-108" windowWidth="23256" windowHeight="12456" firstSheet="11" activeTab="16" xr2:uid="{00000000-000D-0000-FFFF-FFFF00000000}"/>
  </bookViews>
  <sheets>
    <sheet name="Export Items" sheetId="13" r:id="rId1"/>
    <sheet name="Weapon" sheetId="14" r:id="rId2"/>
    <sheet name="Armor" sheetId="15" r:id="rId3"/>
    <sheet name="Adventure" sheetId="16" r:id="rId4"/>
    <sheet name="Magic Items" sheetId="17" r:id="rId5"/>
    <sheet name="Whois" sheetId="1" r:id="rId6"/>
    <sheet name="Vars" sheetId="2" r:id="rId7"/>
    <sheet name="NPCVar" sheetId="3" r:id="rId8"/>
    <sheet name="Charts" sheetId="4" r:id="rId9"/>
    <sheet name="Formulas" sheetId="5" r:id="rId10"/>
    <sheet name="FamilyFactions" sheetId="6" r:id="rId11"/>
    <sheet name="Copy of FamilyFactions" sheetId="7" r:id="rId12"/>
    <sheet name="World Information" sheetId="8" r:id="rId13"/>
    <sheet name="RF Mod" sheetId="9" r:id="rId14"/>
    <sheet name="Copy of World Information" sheetId="10" r:id="rId15"/>
    <sheet name="Class Jobs" sheetId="11" r:id="rId16"/>
    <sheet name="NPC List" sheetId="12" r:id="rId17"/>
  </sheets>
  <definedNames>
    <definedName name="_xlnm._FilterDatabase" localSheetId="0" hidden="1">'Export Items'!$A$1:$Z$1666</definedName>
    <definedName name="_xlnm._FilterDatabase" localSheetId="16" hidden="1">'NPC List'!$A$1:$AO$1000</definedName>
    <definedName name="ItemsALL">Vars!$D:$G</definedName>
    <definedName name="ItemsCost">Vars!$G:$G</definedName>
    <definedName name="ItemsID">Vars!$D:$D</definedName>
    <definedName name="ItemsName">Vars!$E:$E</definedName>
    <definedName name="ItemsType">Vars!$E:$E</definedName>
    <definedName name="MY_FUNCTION1">LAMBDA(INDEX(NPCFName,TRUNC(1+(COUNTA(NPCFName))*(TRUNC(MOD((ROW(Formulas!$A$6)*1103515245 +12345)/ 65536, 32768),0)/32768),0))=TEXTCOLOR(Formulas!$A$1, "red"))</definedName>
    <definedName name="NPCAgeType">NPCVar!$L$1:$N$1</definedName>
    <definedName name="NPCAL">NPCVar!$J$2:$J$1000</definedName>
    <definedName name="NPCClass">NPCVar!$S$2:$S$1000</definedName>
    <definedName name="NPCColor">NPCVar!$O$2:$O$1000</definedName>
    <definedName name="NPCFaction">NPCVar!$H$2:$H$1000</definedName>
    <definedName name="NPCFName">NPCVar!$B$2:$B$1000</definedName>
    <definedName name="NPCGender">NPCVar!$P$2:$P$1000</definedName>
    <definedName name="NPCJobs">NPCVar!$F$2:$F$1000</definedName>
    <definedName name="NPCLName">NPCVar!$C$2:$C$1000</definedName>
    <definedName name="NPCRace">NPCVar!$G$2:$G$1000</definedName>
    <definedName name="NPCSize">NPCVar!$R$2:$R$1000</definedName>
    <definedName name="Seed" localSheetId="14">'Copy of World Information'!$Q$4</definedName>
    <definedName name="Seed">'World Information'!$Q$4</definedName>
  </definedNames>
  <calcPr calcId="191029"/>
  <fileRecoveryPr repairLoad="1"/>
</workbook>
</file>

<file path=xl/calcChain.xml><?xml version="1.0" encoding="utf-8"?>
<calcChain xmlns="http://schemas.openxmlformats.org/spreadsheetml/2006/main">
  <c r="D1000" i="17" l="1"/>
  <c r="E1000" i="17" s="1"/>
  <c r="E999" i="17"/>
  <c r="D999" i="17"/>
  <c r="D998" i="17"/>
  <c r="E998" i="17" s="1"/>
  <c r="D997" i="17"/>
  <c r="E997" i="17" s="1"/>
  <c r="E996" i="17"/>
  <c r="D996" i="17"/>
  <c r="E995" i="17"/>
  <c r="D995" i="17"/>
  <c r="D994" i="17"/>
  <c r="E994" i="17" s="1"/>
  <c r="E993" i="17"/>
  <c r="D993" i="17"/>
  <c r="D992" i="17"/>
  <c r="E992" i="17" s="1"/>
  <c r="D991" i="17"/>
  <c r="E991" i="17" s="1"/>
  <c r="E990" i="17"/>
  <c r="D990" i="17"/>
  <c r="E989" i="17"/>
  <c r="D989" i="17"/>
  <c r="D988" i="17"/>
  <c r="E988" i="17" s="1"/>
  <c r="E987" i="17"/>
  <c r="D987" i="17"/>
  <c r="D986" i="17"/>
  <c r="E986" i="17" s="1"/>
  <c r="D985" i="17"/>
  <c r="E985" i="17" s="1"/>
  <c r="E984" i="17"/>
  <c r="D984" i="17"/>
  <c r="E983" i="17"/>
  <c r="D983" i="17"/>
  <c r="D982" i="17"/>
  <c r="E982" i="17" s="1"/>
  <c r="E981" i="17"/>
  <c r="D981" i="17"/>
  <c r="D980" i="17"/>
  <c r="E980" i="17" s="1"/>
  <c r="D979" i="17"/>
  <c r="E979" i="17" s="1"/>
  <c r="E978" i="17"/>
  <c r="D978" i="17"/>
  <c r="E977" i="17"/>
  <c r="D977" i="17"/>
  <c r="D976" i="17"/>
  <c r="E976" i="17" s="1"/>
  <c r="E975" i="17"/>
  <c r="D975" i="17"/>
  <c r="D974" i="17"/>
  <c r="E974" i="17" s="1"/>
  <c r="D973" i="17"/>
  <c r="E973" i="17" s="1"/>
  <c r="E972" i="17"/>
  <c r="D972" i="17"/>
  <c r="E971" i="17"/>
  <c r="D971" i="17"/>
  <c r="D970" i="17"/>
  <c r="E970" i="17" s="1"/>
  <c r="E969" i="17"/>
  <c r="D969" i="17"/>
  <c r="D968" i="17"/>
  <c r="E968" i="17" s="1"/>
  <c r="D967" i="17"/>
  <c r="E967" i="17" s="1"/>
  <c r="E966" i="17"/>
  <c r="D966" i="17"/>
  <c r="E965" i="17"/>
  <c r="D965" i="17"/>
  <c r="D964" i="17"/>
  <c r="E964" i="17" s="1"/>
  <c r="E963" i="17"/>
  <c r="D963" i="17"/>
  <c r="D962" i="17"/>
  <c r="E962" i="17" s="1"/>
  <c r="D961" i="17"/>
  <c r="E961" i="17" s="1"/>
  <c r="E960" i="17"/>
  <c r="D960" i="17"/>
  <c r="E959" i="17"/>
  <c r="D959" i="17"/>
  <c r="D958" i="17"/>
  <c r="E958" i="17" s="1"/>
  <c r="E957" i="17"/>
  <c r="D957" i="17"/>
  <c r="D956" i="17"/>
  <c r="E956" i="17" s="1"/>
  <c r="D955" i="17"/>
  <c r="E955" i="17" s="1"/>
  <c r="E954" i="17"/>
  <c r="D954" i="17"/>
  <c r="E953" i="17"/>
  <c r="D953" i="17"/>
  <c r="D952" i="17"/>
  <c r="E952" i="17" s="1"/>
  <c r="E951" i="17"/>
  <c r="D951" i="17"/>
  <c r="D950" i="17"/>
  <c r="E950" i="17" s="1"/>
  <c r="D949" i="17"/>
  <c r="E949" i="17" s="1"/>
  <c r="E948" i="17"/>
  <c r="D948" i="17"/>
  <c r="E947" i="17"/>
  <c r="D947" i="17"/>
  <c r="D946" i="17"/>
  <c r="E946" i="17" s="1"/>
  <c r="E945" i="17"/>
  <c r="D945" i="17"/>
  <c r="D944" i="17"/>
  <c r="E944" i="17" s="1"/>
  <c r="D943" i="17"/>
  <c r="E943" i="17" s="1"/>
  <c r="E942" i="17"/>
  <c r="D942" i="17"/>
  <c r="E941" i="17"/>
  <c r="D941" i="17"/>
  <c r="D940" i="17"/>
  <c r="E940" i="17" s="1"/>
  <c r="E939" i="17"/>
  <c r="D939" i="17"/>
  <c r="E938" i="17"/>
  <c r="D938" i="17"/>
  <c r="D937" i="17"/>
  <c r="E937" i="17" s="1"/>
  <c r="E936" i="17"/>
  <c r="D936" i="17"/>
  <c r="E935" i="17"/>
  <c r="D935" i="17"/>
  <c r="D934" i="17"/>
  <c r="E934" i="17" s="1"/>
  <c r="E933" i="17"/>
  <c r="D933" i="17"/>
  <c r="E932" i="17"/>
  <c r="D932" i="17"/>
  <c r="D931" i="17"/>
  <c r="E931" i="17" s="1"/>
  <c r="E930" i="17"/>
  <c r="D930" i="17"/>
  <c r="E929" i="17"/>
  <c r="D929" i="17"/>
  <c r="D928" i="17"/>
  <c r="E928" i="17" s="1"/>
  <c r="E927" i="17"/>
  <c r="D927" i="17"/>
  <c r="E926" i="17"/>
  <c r="D926" i="17"/>
  <c r="D925" i="17"/>
  <c r="E925" i="17" s="1"/>
  <c r="E924" i="17"/>
  <c r="D924" i="17"/>
  <c r="E923" i="17"/>
  <c r="D923" i="17"/>
  <c r="D922" i="17"/>
  <c r="E922" i="17" s="1"/>
  <c r="E921" i="17"/>
  <c r="D921" i="17"/>
  <c r="E920" i="17"/>
  <c r="D920" i="17"/>
  <c r="D919" i="17"/>
  <c r="E919" i="17" s="1"/>
  <c r="E918" i="17"/>
  <c r="D918" i="17"/>
  <c r="E917" i="17"/>
  <c r="D917" i="17"/>
  <c r="D916" i="17"/>
  <c r="E916" i="17" s="1"/>
  <c r="E915" i="17"/>
  <c r="D915" i="17"/>
  <c r="D914" i="17"/>
  <c r="E914" i="17" s="1"/>
  <c r="D913" i="17"/>
  <c r="E913" i="17" s="1"/>
  <c r="E912" i="17"/>
  <c r="D912" i="17"/>
  <c r="E911" i="17"/>
  <c r="D911" i="17"/>
  <c r="D910" i="17"/>
  <c r="E910" i="17" s="1"/>
  <c r="E909" i="17"/>
  <c r="D909" i="17"/>
  <c r="D908" i="17"/>
  <c r="E908" i="17" s="1"/>
  <c r="D907" i="17"/>
  <c r="E907" i="17" s="1"/>
  <c r="E906" i="17"/>
  <c r="D906" i="17"/>
  <c r="E905" i="17"/>
  <c r="D905" i="17"/>
  <c r="D904" i="17"/>
  <c r="E904" i="17" s="1"/>
  <c r="E903" i="17"/>
  <c r="D903" i="17"/>
  <c r="E902" i="17"/>
  <c r="D902" i="17"/>
  <c r="D901" i="17"/>
  <c r="E901" i="17" s="1"/>
  <c r="E900" i="17"/>
  <c r="D900" i="17"/>
  <c r="E899" i="17"/>
  <c r="D899" i="17"/>
  <c r="D898" i="17"/>
  <c r="E898" i="17" s="1"/>
  <c r="E897" i="17"/>
  <c r="D897" i="17"/>
  <c r="E896" i="17"/>
  <c r="D896" i="17"/>
  <c r="D895" i="17"/>
  <c r="E895" i="17" s="1"/>
  <c r="E894" i="17"/>
  <c r="D894" i="17"/>
  <c r="E893" i="17"/>
  <c r="D893" i="17"/>
  <c r="D892" i="17"/>
  <c r="E892" i="17" s="1"/>
  <c r="E891" i="17"/>
  <c r="D891" i="17"/>
  <c r="E890" i="17"/>
  <c r="D890" i="17"/>
  <c r="D889" i="17"/>
  <c r="E889" i="17" s="1"/>
  <c r="E888" i="17"/>
  <c r="D888" i="17"/>
  <c r="E887" i="17"/>
  <c r="D887" i="17"/>
  <c r="D886" i="17"/>
  <c r="E886" i="17" s="1"/>
  <c r="E885" i="17"/>
  <c r="D885" i="17"/>
  <c r="E884" i="17"/>
  <c r="D884" i="17"/>
  <c r="D883" i="17"/>
  <c r="E883" i="17" s="1"/>
  <c r="E882" i="17"/>
  <c r="D882" i="17"/>
  <c r="E881" i="17"/>
  <c r="D881" i="17"/>
  <c r="D880" i="17"/>
  <c r="E880" i="17" s="1"/>
  <c r="E879" i="17"/>
  <c r="D879" i="17"/>
  <c r="D878" i="17"/>
  <c r="E878" i="17" s="1"/>
  <c r="D877" i="17"/>
  <c r="E877" i="17" s="1"/>
  <c r="E876" i="17"/>
  <c r="D876" i="17"/>
  <c r="E875" i="17"/>
  <c r="D875" i="17"/>
  <c r="D874" i="17"/>
  <c r="E874" i="17" s="1"/>
  <c r="E873" i="17"/>
  <c r="D873" i="17"/>
  <c r="D872" i="17"/>
  <c r="E872" i="17" s="1"/>
  <c r="D871" i="17"/>
  <c r="E871" i="17" s="1"/>
  <c r="E870" i="17"/>
  <c r="D870" i="17"/>
  <c r="E869" i="17"/>
  <c r="D869" i="17"/>
  <c r="D868" i="17"/>
  <c r="E868" i="17" s="1"/>
  <c r="E867" i="17"/>
  <c r="D867" i="17"/>
  <c r="E866" i="17"/>
  <c r="D866" i="17"/>
  <c r="D865" i="17"/>
  <c r="E865" i="17" s="1"/>
  <c r="E864" i="17"/>
  <c r="D864" i="17"/>
  <c r="E863" i="17"/>
  <c r="D863" i="17"/>
  <c r="D862" i="17"/>
  <c r="E862" i="17" s="1"/>
  <c r="E861" i="17"/>
  <c r="D861" i="17"/>
  <c r="E860" i="17"/>
  <c r="D860" i="17"/>
  <c r="D859" i="17"/>
  <c r="E859" i="17" s="1"/>
  <c r="E858" i="17"/>
  <c r="D858" i="17"/>
  <c r="E857" i="17"/>
  <c r="D857" i="17"/>
  <c r="D856" i="17"/>
  <c r="E856" i="17" s="1"/>
  <c r="E855" i="17"/>
  <c r="D855" i="17"/>
  <c r="E854" i="17"/>
  <c r="D854" i="17"/>
  <c r="D853" i="17"/>
  <c r="E853" i="17" s="1"/>
  <c r="E852" i="17"/>
  <c r="D852" i="17"/>
  <c r="E851" i="17"/>
  <c r="D851" i="17"/>
  <c r="D850" i="17"/>
  <c r="E850" i="17" s="1"/>
  <c r="E849" i="17"/>
  <c r="D849" i="17"/>
  <c r="E848" i="17"/>
  <c r="D848" i="17"/>
  <c r="D847" i="17"/>
  <c r="E847" i="17" s="1"/>
  <c r="E846" i="17"/>
  <c r="D846" i="17"/>
  <c r="E845" i="17"/>
  <c r="D845" i="17"/>
  <c r="D844" i="17"/>
  <c r="E844" i="17" s="1"/>
  <c r="E843" i="17"/>
  <c r="D843" i="17"/>
  <c r="D842" i="17"/>
  <c r="E842" i="17" s="1"/>
  <c r="D841" i="17"/>
  <c r="E841" i="17" s="1"/>
  <c r="E840" i="17"/>
  <c r="D840" i="17"/>
  <c r="D839" i="17"/>
  <c r="E839" i="17" s="1"/>
  <c r="D838" i="17"/>
  <c r="E838" i="17" s="1"/>
  <c r="E837" i="17"/>
  <c r="D837" i="17"/>
  <c r="D836" i="17"/>
  <c r="E836" i="17" s="1"/>
  <c r="D835" i="17"/>
  <c r="E835" i="17" s="1"/>
  <c r="E834" i="17"/>
  <c r="D834" i="17"/>
  <c r="D833" i="17"/>
  <c r="E833" i="17" s="1"/>
  <c r="D832" i="17"/>
  <c r="E832" i="17" s="1"/>
  <c r="E831" i="17"/>
  <c r="D831" i="17"/>
  <c r="E830" i="17"/>
  <c r="D830" i="17"/>
  <c r="D829" i="17"/>
  <c r="E829" i="17" s="1"/>
  <c r="E828" i="17"/>
  <c r="D828" i="17"/>
  <c r="D827" i="17"/>
  <c r="E827" i="17" s="1"/>
  <c r="D826" i="17"/>
  <c r="E826" i="17" s="1"/>
  <c r="E825" i="17"/>
  <c r="D825" i="17"/>
  <c r="E824" i="17"/>
  <c r="D824" i="17"/>
  <c r="D823" i="17"/>
  <c r="E823" i="17" s="1"/>
  <c r="E822" i="17"/>
  <c r="D822" i="17"/>
  <c r="E821" i="17"/>
  <c r="D821" i="17"/>
  <c r="D820" i="17"/>
  <c r="E820" i="17" s="1"/>
  <c r="E819" i="17"/>
  <c r="D819" i="17"/>
  <c r="E818" i="17"/>
  <c r="D818" i="17"/>
  <c r="D817" i="17"/>
  <c r="E817" i="17" s="1"/>
  <c r="E816" i="17"/>
  <c r="D816" i="17"/>
  <c r="E815" i="17"/>
  <c r="D815" i="17"/>
  <c r="D814" i="17"/>
  <c r="E814" i="17" s="1"/>
  <c r="E813" i="17"/>
  <c r="D813" i="17"/>
  <c r="E812" i="17"/>
  <c r="D812" i="17"/>
  <c r="D811" i="17"/>
  <c r="E811" i="17" s="1"/>
  <c r="E810" i="17"/>
  <c r="D810" i="17"/>
  <c r="D809" i="17"/>
  <c r="E809" i="17" s="1"/>
  <c r="D808" i="17"/>
  <c r="E808" i="17" s="1"/>
  <c r="E807" i="17"/>
  <c r="D807" i="17"/>
  <c r="D806" i="17"/>
  <c r="E806" i="17" s="1"/>
  <c r="D805" i="17"/>
  <c r="E805" i="17" s="1"/>
  <c r="E804" i="17"/>
  <c r="D804" i="17"/>
  <c r="D803" i="17"/>
  <c r="E803" i="17" s="1"/>
  <c r="D802" i="17"/>
  <c r="E802" i="17" s="1"/>
  <c r="E801" i="17"/>
  <c r="D801" i="17"/>
  <c r="D800" i="17"/>
  <c r="E800" i="17" s="1"/>
  <c r="D799" i="17"/>
  <c r="E799" i="17" s="1"/>
  <c r="E798" i="17"/>
  <c r="D798" i="17"/>
  <c r="D797" i="17"/>
  <c r="E797" i="17" s="1"/>
  <c r="D796" i="17"/>
  <c r="E796" i="17" s="1"/>
  <c r="E795" i="17"/>
  <c r="D795" i="17"/>
  <c r="E794" i="17"/>
  <c r="D794" i="17"/>
  <c r="D793" i="17"/>
  <c r="E793" i="17" s="1"/>
  <c r="E792" i="17"/>
  <c r="D792" i="17"/>
  <c r="D791" i="17"/>
  <c r="E791" i="17" s="1"/>
  <c r="D790" i="17"/>
  <c r="E790" i="17" s="1"/>
  <c r="E789" i="17"/>
  <c r="D789" i="17"/>
  <c r="E788" i="17"/>
  <c r="D788" i="17"/>
  <c r="D787" i="17"/>
  <c r="E787" i="17" s="1"/>
  <c r="E786" i="17"/>
  <c r="D786" i="17"/>
  <c r="E785" i="17"/>
  <c r="D785" i="17"/>
  <c r="D784" i="17"/>
  <c r="E784" i="17" s="1"/>
  <c r="E783" i="17"/>
  <c r="D783" i="17"/>
  <c r="E782" i="17"/>
  <c r="D782" i="17"/>
  <c r="D781" i="17"/>
  <c r="E781" i="17" s="1"/>
  <c r="D780" i="17"/>
  <c r="E780" i="17" s="1"/>
  <c r="E779" i="17"/>
  <c r="D779" i="17"/>
  <c r="D778" i="17"/>
  <c r="E778" i="17" s="1"/>
  <c r="E777" i="17"/>
  <c r="D777" i="17"/>
  <c r="E776" i="17"/>
  <c r="D776" i="17"/>
  <c r="D775" i="17"/>
  <c r="E775" i="17" s="1"/>
  <c r="D774" i="17"/>
  <c r="E774" i="17" s="1"/>
  <c r="D773" i="17"/>
  <c r="E773" i="17" s="1"/>
  <c r="D772" i="17"/>
  <c r="E772" i="17" s="1"/>
  <c r="E771" i="17"/>
  <c r="D771" i="17"/>
  <c r="D770" i="17"/>
  <c r="E770" i="17" s="1"/>
  <c r="D769" i="17"/>
  <c r="E769" i="17" s="1"/>
  <c r="D768" i="17"/>
  <c r="E768" i="17" s="1"/>
  <c r="D767" i="17"/>
  <c r="E767" i="17" s="1"/>
  <c r="D766" i="17"/>
  <c r="E766" i="17" s="1"/>
  <c r="E765" i="17"/>
  <c r="D765" i="17"/>
  <c r="D764" i="17"/>
  <c r="E764" i="17" s="1"/>
  <c r="D763" i="17"/>
  <c r="E763" i="17" s="1"/>
  <c r="D762" i="17"/>
  <c r="E762" i="17" s="1"/>
  <c r="D761" i="17"/>
  <c r="E761" i="17" s="1"/>
  <c r="D760" i="17"/>
  <c r="E760" i="17" s="1"/>
  <c r="E759" i="17"/>
  <c r="D759" i="17"/>
  <c r="E758" i="17"/>
  <c r="D758" i="17"/>
  <c r="D757" i="17"/>
  <c r="E757" i="17" s="1"/>
  <c r="E756" i="17"/>
  <c r="D756" i="17"/>
  <c r="D755" i="17"/>
  <c r="E755" i="17" s="1"/>
  <c r="D754" i="17"/>
  <c r="E754" i="17" s="1"/>
  <c r="E753" i="17"/>
  <c r="D753" i="17"/>
  <c r="E752" i="17"/>
  <c r="D752" i="17"/>
  <c r="D751" i="17"/>
  <c r="E751" i="17" s="1"/>
  <c r="E750" i="17"/>
  <c r="D750" i="17"/>
  <c r="E749" i="17"/>
  <c r="D749" i="17"/>
  <c r="D748" i="17"/>
  <c r="E748" i="17" s="1"/>
  <c r="E747" i="17"/>
  <c r="D747" i="17"/>
  <c r="E746" i="17"/>
  <c r="D746" i="17"/>
  <c r="D745" i="17"/>
  <c r="E745" i="17" s="1"/>
  <c r="D744" i="17"/>
  <c r="E744" i="17" s="1"/>
  <c r="E743" i="17"/>
  <c r="D743" i="17"/>
  <c r="D742" i="17"/>
  <c r="E742" i="17" s="1"/>
  <c r="E741" i="17"/>
  <c r="D741" i="17"/>
  <c r="E740" i="17"/>
  <c r="D740" i="17"/>
  <c r="D739" i="17"/>
  <c r="E739" i="17" s="1"/>
  <c r="D738" i="17"/>
  <c r="E738" i="17" s="1"/>
  <c r="D737" i="17"/>
  <c r="E737" i="17" s="1"/>
  <c r="D736" i="17"/>
  <c r="E736" i="17" s="1"/>
  <c r="E735" i="17"/>
  <c r="D735" i="17"/>
  <c r="D734" i="17"/>
  <c r="E734" i="17" s="1"/>
  <c r="D733" i="17"/>
  <c r="E733" i="17" s="1"/>
  <c r="D732" i="17"/>
  <c r="E732" i="17" s="1"/>
  <c r="D731" i="17"/>
  <c r="E731" i="17" s="1"/>
  <c r="D730" i="17"/>
  <c r="E730" i="17" s="1"/>
  <c r="E729" i="17"/>
  <c r="D729" i="17"/>
  <c r="D728" i="17"/>
  <c r="E728" i="17" s="1"/>
  <c r="D727" i="17"/>
  <c r="E727" i="17" s="1"/>
  <c r="D726" i="17"/>
  <c r="E726" i="17" s="1"/>
  <c r="D725" i="17"/>
  <c r="E725" i="17" s="1"/>
  <c r="D724" i="17"/>
  <c r="E724" i="17" s="1"/>
  <c r="E723" i="17"/>
  <c r="D723" i="17"/>
  <c r="E722" i="17"/>
  <c r="D722" i="17"/>
  <c r="D721" i="17"/>
  <c r="E721" i="17" s="1"/>
  <c r="E720" i="17"/>
  <c r="D720" i="17"/>
  <c r="D719" i="17"/>
  <c r="E719" i="17" s="1"/>
  <c r="D718" i="17"/>
  <c r="E718" i="17" s="1"/>
  <c r="E717" i="17"/>
  <c r="D717" i="17"/>
  <c r="E716" i="17"/>
  <c r="D716" i="17"/>
  <c r="D715" i="17"/>
  <c r="E715" i="17" s="1"/>
  <c r="E714" i="17"/>
  <c r="D714" i="17"/>
  <c r="E713" i="17"/>
  <c r="D713" i="17"/>
  <c r="D712" i="17"/>
  <c r="E712" i="17" s="1"/>
  <c r="E711" i="17"/>
  <c r="D711" i="17"/>
  <c r="E710" i="17"/>
  <c r="D710" i="17"/>
  <c r="D709" i="17"/>
  <c r="E709" i="17" s="1"/>
  <c r="D708" i="17"/>
  <c r="E708" i="17" s="1"/>
  <c r="E707" i="17"/>
  <c r="D707" i="17"/>
  <c r="D706" i="17"/>
  <c r="E706" i="17" s="1"/>
  <c r="E705" i="17"/>
  <c r="D705" i="17"/>
  <c r="E704" i="17"/>
  <c r="D704" i="17"/>
  <c r="D703" i="17"/>
  <c r="E703" i="17" s="1"/>
  <c r="D702" i="17"/>
  <c r="E702" i="17" s="1"/>
  <c r="D701" i="17"/>
  <c r="E701" i="17" s="1"/>
  <c r="D700" i="17"/>
  <c r="E700" i="17" s="1"/>
  <c r="E699" i="17"/>
  <c r="D699" i="17"/>
  <c r="D698" i="17"/>
  <c r="E698" i="17" s="1"/>
  <c r="D697" i="17"/>
  <c r="E697" i="17" s="1"/>
  <c r="D696" i="17"/>
  <c r="E696" i="17" s="1"/>
  <c r="D695" i="17"/>
  <c r="E695" i="17" s="1"/>
  <c r="D694" i="17"/>
  <c r="E694" i="17" s="1"/>
  <c r="E693" i="17"/>
  <c r="D693" i="17"/>
  <c r="D692" i="17"/>
  <c r="E692" i="17" s="1"/>
  <c r="D691" i="17"/>
  <c r="E691" i="17" s="1"/>
  <c r="D690" i="17"/>
  <c r="E690" i="17" s="1"/>
  <c r="D689" i="17"/>
  <c r="E689" i="17" s="1"/>
  <c r="D688" i="17"/>
  <c r="E688" i="17" s="1"/>
  <c r="E687" i="17"/>
  <c r="D687" i="17"/>
  <c r="E686" i="17"/>
  <c r="D686" i="17"/>
  <c r="D685" i="17"/>
  <c r="E685" i="17" s="1"/>
  <c r="E684" i="17"/>
  <c r="D684" i="17"/>
  <c r="D683" i="17"/>
  <c r="E683" i="17" s="1"/>
  <c r="D682" i="17"/>
  <c r="E682" i="17" s="1"/>
  <c r="E681" i="17"/>
  <c r="D681" i="17"/>
  <c r="E680" i="17"/>
  <c r="D680" i="17"/>
  <c r="D679" i="17"/>
  <c r="E679" i="17" s="1"/>
  <c r="E678" i="17"/>
  <c r="D678" i="17"/>
  <c r="E677" i="17"/>
  <c r="D677" i="17"/>
  <c r="D676" i="17"/>
  <c r="E676" i="17" s="1"/>
  <c r="E675" i="17"/>
  <c r="D675" i="17"/>
  <c r="E674" i="17"/>
  <c r="D674" i="17"/>
  <c r="D673" i="17"/>
  <c r="E673" i="17" s="1"/>
  <c r="D672" i="17"/>
  <c r="E672" i="17" s="1"/>
  <c r="E671" i="17"/>
  <c r="D671" i="17"/>
  <c r="D670" i="17"/>
  <c r="E670" i="17" s="1"/>
  <c r="D669" i="17"/>
  <c r="E669" i="17" s="1"/>
  <c r="E668" i="17"/>
  <c r="D668" i="17"/>
  <c r="E667" i="17"/>
  <c r="D667" i="17"/>
  <c r="E666" i="17"/>
  <c r="D666" i="17"/>
  <c r="E665" i="17"/>
  <c r="D665" i="17"/>
  <c r="D664" i="17"/>
  <c r="E664" i="17" s="1"/>
  <c r="E663" i="17"/>
  <c r="D663" i="17"/>
  <c r="D662" i="17"/>
  <c r="E662" i="17" s="1"/>
  <c r="D661" i="17"/>
  <c r="E661" i="17" s="1"/>
  <c r="D660" i="17"/>
  <c r="E660" i="17" s="1"/>
  <c r="D659" i="17"/>
  <c r="E659" i="17" s="1"/>
  <c r="D658" i="17"/>
  <c r="E658" i="17" s="1"/>
  <c r="D657" i="17"/>
  <c r="E657" i="17" s="1"/>
  <c r="D656" i="17"/>
  <c r="E656" i="17" s="1"/>
  <c r="E655" i="17"/>
  <c r="D655" i="17"/>
  <c r="E654" i="17"/>
  <c r="D654" i="17"/>
  <c r="E653" i="17"/>
  <c r="D653" i="17"/>
  <c r="D652" i="17"/>
  <c r="E652" i="17" s="1"/>
  <c r="E651" i="17"/>
  <c r="D651" i="17"/>
  <c r="E650" i="17"/>
  <c r="D650" i="17"/>
  <c r="D649" i="17"/>
  <c r="E649" i="17" s="1"/>
  <c r="D648" i="17"/>
  <c r="E648" i="17" s="1"/>
  <c r="D647" i="17"/>
  <c r="E647" i="17" s="1"/>
  <c r="D646" i="17"/>
  <c r="E646" i="17" s="1"/>
  <c r="E645" i="17"/>
  <c r="D645" i="17"/>
  <c r="D644" i="17"/>
  <c r="E644" i="17" s="1"/>
  <c r="D643" i="17"/>
  <c r="E643" i="17" s="1"/>
  <c r="E642" i="17"/>
  <c r="D642" i="17"/>
  <c r="E641" i="17"/>
  <c r="D641" i="17"/>
  <c r="D640" i="17"/>
  <c r="E640" i="17" s="1"/>
  <c r="D639" i="17"/>
  <c r="E639" i="17" s="1"/>
  <c r="E638" i="17"/>
  <c r="D638" i="17"/>
  <c r="E637" i="17"/>
  <c r="D637" i="17"/>
  <c r="D636" i="17"/>
  <c r="E636" i="17" s="1"/>
  <c r="D635" i="17"/>
  <c r="E635" i="17" s="1"/>
  <c r="D634" i="17"/>
  <c r="E634" i="17" s="1"/>
  <c r="E633" i="17"/>
  <c r="D633" i="17"/>
  <c r="E632" i="17"/>
  <c r="D632" i="17"/>
  <c r="D631" i="17"/>
  <c r="E631" i="17" s="1"/>
  <c r="D630" i="17"/>
  <c r="E630" i="17" s="1"/>
  <c r="E629" i="17"/>
  <c r="D629" i="17"/>
  <c r="D628" i="17"/>
  <c r="E628" i="17" s="1"/>
  <c r="D627" i="17"/>
  <c r="E627" i="17" s="1"/>
  <c r="D626" i="17"/>
  <c r="E626" i="17" s="1"/>
  <c r="E625" i="17"/>
  <c r="D625" i="17"/>
  <c r="E624" i="17"/>
  <c r="D624" i="17"/>
  <c r="D623" i="17"/>
  <c r="E623" i="17" s="1"/>
  <c r="D622" i="17"/>
  <c r="E622" i="17" s="1"/>
  <c r="E621" i="17"/>
  <c r="D621" i="17"/>
  <c r="E620" i="17"/>
  <c r="D620" i="17"/>
  <c r="E619" i="17"/>
  <c r="D619" i="17"/>
  <c r="D618" i="17"/>
  <c r="E618" i="17" s="1"/>
  <c r="D617" i="17"/>
  <c r="E617" i="17" s="1"/>
  <c r="D616" i="17"/>
  <c r="E616" i="17" s="1"/>
  <c r="D615" i="17"/>
  <c r="E615" i="17" s="1"/>
  <c r="D614" i="17"/>
  <c r="E614" i="17" s="1"/>
  <c r="D613" i="17"/>
  <c r="E613" i="17" s="1"/>
  <c r="E612" i="17"/>
  <c r="D612" i="17"/>
  <c r="E611" i="17"/>
  <c r="D611" i="17"/>
  <c r="D610" i="17"/>
  <c r="E610" i="17" s="1"/>
  <c r="E609" i="17"/>
  <c r="D609" i="17"/>
  <c r="E608" i="17"/>
  <c r="D608" i="17"/>
  <c r="E607" i="17"/>
  <c r="D607" i="17"/>
  <c r="E606" i="17"/>
  <c r="D606" i="17"/>
  <c r="D605" i="17"/>
  <c r="E605" i="17" s="1"/>
  <c r="D604" i="17"/>
  <c r="E604" i="17" s="1"/>
  <c r="D603" i="17"/>
  <c r="E603" i="17" s="1"/>
  <c r="D602" i="17"/>
  <c r="E602" i="17" s="1"/>
  <c r="D601" i="17"/>
  <c r="E601" i="17" s="1"/>
  <c r="D600" i="17"/>
  <c r="E600" i="17" s="1"/>
  <c r="E599" i="17"/>
  <c r="D599" i="17"/>
  <c r="D598" i="17"/>
  <c r="E598" i="17" s="1"/>
  <c r="D597" i="17"/>
  <c r="E597" i="17" s="1"/>
  <c r="E596" i="17"/>
  <c r="D596" i="17"/>
  <c r="E595" i="17"/>
  <c r="D595" i="17"/>
  <c r="E594" i="17"/>
  <c r="D594" i="17"/>
  <c r="E593" i="17"/>
  <c r="D593" i="17"/>
  <c r="D592" i="17"/>
  <c r="E592" i="17" s="1"/>
  <c r="E591" i="17"/>
  <c r="D591" i="17"/>
  <c r="D590" i="17"/>
  <c r="E590" i="17" s="1"/>
  <c r="D589" i="17"/>
  <c r="E589" i="17" s="1"/>
  <c r="D588" i="17"/>
  <c r="E588" i="17" s="1"/>
  <c r="D587" i="17"/>
  <c r="E587" i="17" s="1"/>
  <c r="D586" i="17"/>
  <c r="E586" i="17" s="1"/>
  <c r="D585" i="17"/>
  <c r="E585" i="17" s="1"/>
  <c r="D584" i="17"/>
  <c r="E584" i="17" s="1"/>
  <c r="E583" i="17"/>
  <c r="D583" i="17"/>
  <c r="E582" i="17"/>
  <c r="D582" i="17"/>
  <c r="E581" i="17"/>
  <c r="D581" i="17"/>
  <c r="D580" i="17"/>
  <c r="E580" i="17" s="1"/>
  <c r="E579" i="17"/>
  <c r="D579" i="17"/>
  <c r="E578" i="17"/>
  <c r="D578" i="17"/>
  <c r="D577" i="17"/>
  <c r="E577" i="17" s="1"/>
  <c r="D576" i="17"/>
  <c r="E576" i="17" s="1"/>
  <c r="D575" i="17"/>
  <c r="E575" i="17" s="1"/>
  <c r="D574" i="17"/>
  <c r="E574" i="17" s="1"/>
  <c r="E573" i="17"/>
  <c r="D573" i="17"/>
  <c r="D572" i="17"/>
  <c r="E572" i="17" s="1"/>
  <c r="D571" i="17"/>
  <c r="E571" i="17" s="1"/>
  <c r="E570" i="17"/>
  <c r="D570" i="17"/>
  <c r="E569" i="17"/>
  <c r="D569" i="17"/>
  <c r="D568" i="17"/>
  <c r="E568" i="17" s="1"/>
  <c r="D567" i="17"/>
  <c r="E567" i="17" s="1"/>
  <c r="E566" i="17"/>
  <c r="D566" i="17"/>
  <c r="E565" i="17"/>
  <c r="D565" i="17"/>
  <c r="D564" i="17"/>
  <c r="E564" i="17" s="1"/>
  <c r="D563" i="17"/>
  <c r="E563" i="17" s="1"/>
  <c r="D562" i="17"/>
  <c r="E562" i="17" s="1"/>
  <c r="E561" i="17"/>
  <c r="D561" i="17"/>
  <c r="E560" i="17"/>
  <c r="D560" i="17"/>
  <c r="D559" i="17"/>
  <c r="E559" i="17" s="1"/>
  <c r="D558" i="17"/>
  <c r="E558" i="17" s="1"/>
  <c r="E557" i="17"/>
  <c r="D557" i="17"/>
  <c r="D556" i="17"/>
  <c r="E556" i="17" s="1"/>
  <c r="D555" i="17"/>
  <c r="E555" i="17" s="1"/>
  <c r="D554" i="17"/>
  <c r="E554" i="17" s="1"/>
  <c r="E553" i="17"/>
  <c r="D553" i="17"/>
  <c r="E552" i="17"/>
  <c r="D552" i="17"/>
  <c r="D551" i="17"/>
  <c r="E551" i="17" s="1"/>
  <c r="D550" i="17"/>
  <c r="E550" i="17" s="1"/>
  <c r="E549" i="17"/>
  <c r="D549" i="17"/>
  <c r="E548" i="17"/>
  <c r="D548" i="17"/>
  <c r="E547" i="17"/>
  <c r="D547" i="17"/>
  <c r="D546" i="17"/>
  <c r="E546" i="17" s="1"/>
  <c r="D545" i="17"/>
  <c r="E545" i="17" s="1"/>
  <c r="D544" i="17"/>
  <c r="E544" i="17" s="1"/>
  <c r="D543" i="17"/>
  <c r="E543" i="17" s="1"/>
  <c r="D542" i="17"/>
  <c r="E542" i="17" s="1"/>
  <c r="D541" i="17"/>
  <c r="E541" i="17" s="1"/>
  <c r="E540" i="17"/>
  <c r="D540" i="17"/>
  <c r="E539" i="17"/>
  <c r="D539" i="17"/>
  <c r="D538" i="17"/>
  <c r="E538" i="17" s="1"/>
  <c r="E537" i="17"/>
  <c r="D537" i="17"/>
  <c r="E536" i="17"/>
  <c r="D536" i="17"/>
  <c r="E535" i="17"/>
  <c r="D535" i="17"/>
  <c r="E534" i="17"/>
  <c r="D534" i="17"/>
  <c r="D533" i="17"/>
  <c r="E533" i="17" s="1"/>
  <c r="D532" i="17"/>
  <c r="E532" i="17" s="1"/>
  <c r="D531" i="17"/>
  <c r="E531" i="17" s="1"/>
  <c r="D530" i="17"/>
  <c r="E530" i="17" s="1"/>
  <c r="D529" i="17"/>
  <c r="E529" i="17" s="1"/>
  <c r="D528" i="17"/>
  <c r="E528" i="17" s="1"/>
  <c r="E527" i="17"/>
  <c r="D527" i="17"/>
  <c r="D526" i="17"/>
  <c r="E526" i="17" s="1"/>
  <c r="D525" i="17"/>
  <c r="E525" i="17" s="1"/>
  <c r="E524" i="17"/>
  <c r="D524" i="17"/>
  <c r="E523" i="17"/>
  <c r="D523" i="17"/>
  <c r="E522" i="17"/>
  <c r="D522" i="17"/>
  <c r="E521" i="17"/>
  <c r="D521" i="17"/>
  <c r="D520" i="17"/>
  <c r="E520" i="17" s="1"/>
  <c r="E519" i="17"/>
  <c r="D519" i="17"/>
  <c r="D518" i="17"/>
  <c r="E518" i="17" s="1"/>
  <c r="D517" i="17"/>
  <c r="E517" i="17" s="1"/>
  <c r="D516" i="17"/>
  <c r="E516" i="17" s="1"/>
  <c r="D515" i="17"/>
  <c r="E515" i="17" s="1"/>
  <c r="D514" i="17"/>
  <c r="E514" i="17" s="1"/>
  <c r="D513" i="17"/>
  <c r="E513" i="17" s="1"/>
  <c r="D512" i="17"/>
  <c r="E512" i="17" s="1"/>
  <c r="E511" i="17"/>
  <c r="D511" i="17"/>
  <c r="E510" i="17"/>
  <c r="D510" i="17"/>
  <c r="E509" i="17"/>
  <c r="D509" i="17"/>
  <c r="D508" i="17"/>
  <c r="E508" i="17" s="1"/>
  <c r="E507" i="17"/>
  <c r="D507" i="17"/>
  <c r="E506" i="17"/>
  <c r="D506" i="17"/>
  <c r="D505" i="17"/>
  <c r="E505" i="17" s="1"/>
  <c r="D504" i="17"/>
  <c r="E504" i="17" s="1"/>
  <c r="D503" i="17"/>
  <c r="E503" i="17" s="1"/>
  <c r="D502" i="17"/>
  <c r="E502" i="17" s="1"/>
  <c r="D501" i="17"/>
  <c r="E501" i="17" s="1"/>
  <c r="D500" i="17"/>
  <c r="E500" i="17" s="1"/>
  <c r="D499" i="17"/>
  <c r="E499" i="17" s="1"/>
  <c r="E498" i="17"/>
  <c r="D498" i="17"/>
  <c r="E497" i="17"/>
  <c r="D497" i="17"/>
  <c r="D496" i="17"/>
  <c r="E496" i="17" s="1"/>
  <c r="D495" i="17"/>
  <c r="E495" i="17" s="1"/>
  <c r="E494" i="17"/>
  <c r="D494" i="17"/>
  <c r="E493" i="17"/>
  <c r="D493" i="17"/>
  <c r="D492" i="17"/>
  <c r="E492" i="17" s="1"/>
  <c r="D491" i="17"/>
  <c r="E491" i="17" s="1"/>
  <c r="D490" i="17"/>
  <c r="E490" i="17" s="1"/>
  <c r="D489" i="17"/>
  <c r="E489" i="17" s="1"/>
  <c r="E488" i="17"/>
  <c r="D488" i="17"/>
  <c r="E487" i="17"/>
  <c r="D487" i="17"/>
  <c r="D486" i="17"/>
  <c r="E486" i="17" s="1"/>
  <c r="D485" i="17"/>
  <c r="E485" i="17" s="1"/>
  <c r="D484" i="17"/>
  <c r="E484" i="17" s="1"/>
  <c r="D483" i="17"/>
  <c r="E483" i="17" s="1"/>
  <c r="E482" i="17"/>
  <c r="D482" i="17"/>
  <c r="E481" i="17"/>
  <c r="D481" i="17"/>
  <c r="D480" i="17"/>
  <c r="E480" i="17" s="1"/>
  <c r="D479" i="17"/>
  <c r="E479" i="17" s="1"/>
  <c r="D478" i="17"/>
  <c r="E478" i="17" s="1"/>
  <c r="D477" i="17"/>
  <c r="E477" i="17" s="1"/>
  <c r="E476" i="17"/>
  <c r="D476" i="17"/>
  <c r="E475" i="17"/>
  <c r="D475" i="17"/>
  <c r="D474" i="17"/>
  <c r="E474" i="17" s="1"/>
  <c r="D473" i="17"/>
  <c r="E473" i="17" s="1"/>
  <c r="D472" i="17"/>
  <c r="E472" i="17" s="1"/>
  <c r="D471" i="17"/>
  <c r="E471" i="17" s="1"/>
  <c r="E470" i="17"/>
  <c r="D470" i="17"/>
  <c r="E469" i="17"/>
  <c r="D469" i="17"/>
  <c r="D468" i="17"/>
  <c r="E468" i="17" s="1"/>
  <c r="D467" i="17"/>
  <c r="E467" i="17" s="1"/>
  <c r="D466" i="17"/>
  <c r="E466" i="17" s="1"/>
  <c r="D465" i="17"/>
  <c r="E465" i="17" s="1"/>
  <c r="E464" i="17"/>
  <c r="D464" i="17"/>
  <c r="E463" i="17"/>
  <c r="D463" i="17"/>
  <c r="D462" i="17"/>
  <c r="E462" i="17" s="1"/>
  <c r="D461" i="17"/>
  <c r="E461" i="17" s="1"/>
  <c r="D460" i="17"/>
  <c r="E460" i="17" s="1"/>
  <c r="D459" i="17"/>
  <c r="A459" i="17"/>
  <c r="D458" i="17"/>
  <c r="A458" i="17"/>
  <c r="D457" i="17"/>
  <c r="E457" i="17" s="1"/>
  <c r="A457" i="17"/>
  <c r="E456" i="17"/>
  <c r="D456" i="17"/>
  <c r="A456" i="17"/>
  <c r="D455" i="17"/>
  <c r="A455" i="17"/>
  <c r="D454" i="17"/>
  <c r="A454" i="17"/>
  <c r="E454" i="17" s="1"/>
  <c r="D453" i="17"/>
  <c r="E453" i="17" s="1"/>
  <c r="A453" i="17"/>
  <c r="D452" i="17"/>
  <c r="A452" i="17"/>
  <c r="E452" i="17" s="1"/>
  <c r="D451" i="17"/>
  <c r="A451" i="17"/>
  <c r="E451" i="17" s="1"/>
  <c r="D450" i="17"/>
  <c r="A450" i="17"/>
  <c r="E450" i="17" s="1"/>
  <c r="D449" i="17"/>
  <c r="E449" i="17" s="1"/>
  <c r="A449" i="17"/>
  <c r="E448" i="17"/>
  <c r="D448" i="17"/>
  <c r="A448" i="17"/>
  <c r="D447" i="17"/>
  <c r="A447" i="17"/>
  <c r="E447" i="17" s="1"/>
  <c r="D446" i="17"/>
  <c r="A446" i="17"/>
  <c r="E446" i="17" s="1"/>
  <c r="D445" i="17"/>
  <c r="E445" i="17" s="1"/>
  <c r="A445" i="17"/>
  <c r="D444" i="17"/>
  <c r="A444" i="17"/>
  <c r="E444" i="17" s="1"/>
  <c r="D443" i="17"/>
  <c r="A443" i="17"/>
  <c r="D442" i="17"/>
  <c r="A442" i="17"/>
  <c r="D441" i="17"/>
  <c r="E441" i="17" s="1"/>
  <c r="A441" i="17"/>
  <c r="E440" i="17"/>
  <c r="D440" i="17"/>
  <c r="A440" i="17"/>
  <c r="D439" i="17"/>
  <c r="A439" i="17"/>
  <c r="D438" i="17"/>
  <c r="A438" i="17"/>
  <c r="E438" i="17" s="1"/>
  <c r="D437" i="17"/>
  <c r="E437" i="17" s="1"/>
  <c r="A437" i="17"/>
  <c r="D436" i="17"/>
  <c r="A436" i="17"/>
  <c r="E436" i="17" s="1"/>
  <c r="D435" i="17"/>
  <c r="A435" i="17"/>
  <c r="E435" i="17" s="1"/>
  <c r="D434" i="17"/>
  <c r="A434" i="17"/>
  <c r="E434" i="17" s="1"/>
  <c r="D433" i="17"/>
  <c r="E433" i="17" s="1"/>
  <c r="A433" i="17"/>
  <c r="E432" i="17"/>
  <c r="D432" i="17"/>
  <c r="A432" i="17"/>
  <c r="D431" i="17"/>
  <c r="A431" i="17"/>
  <c r="E431" i="17" s="1"/>
  <c r="D430" i="17"/>
  <c r="A430" i="17"/>
  <c r="E430" i="17" s="1"/>
  <c r="D429" i="17"/>
  <c r="E429" i="17" s="1"/>
  <c r="A429" i="17"/>
  <c r="D428" i="17"/>
  <c r="A428" i="17"/>
  <c r="E428" i="17" s="1"/>
  <c r="D427" i="17"/>
  <c r="A427" i="17"/>
  <c r="D426" i="17"/>
  <c r="A426" i="17"/>
  <c r="D425" i="17"/>
  <c r="E425" i="17" s="1"/>
  <c r="A425" i="17"/>
  <c r="E424" i="17"/>
  <c r="D424" i="17"/>
  <c r="A424" i="17"/>
  <c r="D423" i="17"/>
  <c r="A423" i="17"/>
  <c r="D422" i="17"/>
  <c r="A422" i="17"/>
  <c r="E422" i="17" s="1"/>
  <c r="D421" i="17"/>
  <c r="E421" i="17" s="1"/>
  <c r="A421" i="17"/>
  <c r="D420" i="17"/>
  <c r="A420" i="17"/>
  <c r="E420" i="17" s="1"/>
  <c r="D419" i="17"/>
  <c r="A419" i="17"/>
  <c r="E419" i="17" s="1"/>
  <c r="D418" i="17"/>
  <c r="A418" i="17"/>
  <c r="E418" i="17" s="1"/>
  <c r="D417" i="17"/>
  <c r="E417" i="17" s="1"/>
  <c r="A417" i="17"/>
  <c r="E416" i="17"/>
  <c r="D416" i="17"/>
  <c r="A416" i="17"/>
  <c r="D415" i="17"/>
  <c r="A415" i="17"/>
  <c r="E415" i="17" s="1"/>
  <c r="D414" i="17"/>
  <c r="A414" i="17"/>
  <c r="E414" i="17" s="1"/>
  <c r="D413" i="17"/>
  <c r="E413" i="17" s="1"/>
  <c r="A413" i="17"/>
  <c r="D412" i="17"/>
  <c r="A412" i="17"/>
  <c r="E412" i="17" s="1"/>
  <c r="D411" i="17"/>
  <c r="A411" i="17"/>
  <c r="D410" i="17"/>
  <c r="A410" i="17"/>
  <c r="D409" i="17"/>
  <c r="E409" i="17" s="1"/>
  <c r="A409" i="17"/>
  <c r="E408" i="17"/>
  <c r="D408" i="17"/>
  <c r="A408" i="17"/>
  <c r="D407" i="17"/>
  <c r="A407" i="17"/>
  <c r="D406" i="17"/>
  <c r="A406" i="17"/>
  <c r="E406" i="17" s="1"/>
  <c r="D405" i="17"/>
  <c r="E405" i="17" s="1"/>
  <c r="A405" i="17"/>
  <c r="D404" i="17"/>
  <c r="A404" i="17"/>
  <c r="E404" i="17" s="1"/>
  <c r="D403" i="17"/>
  <c r="A403" i="17"/>
  <c r="E403" i="17" s="1"/>
  <c r="D402" i="17"/>
  <c r="A402" i="17"/>
  <c r="E402" i="17" s="1"/>
  <c r="D401" i="17"/>
  <c r="E401" i="17" s="1"/>
  <c r="A401" i="17"/>
  <c r="E400" i="17"/>
  <c r="D400" i="17"/>
  <c r="A400" i="17"/>
  <c r="D399" i="17"/>
  <c r="A399" i="17"/>
  <c r="E399" i="17" s="1"/>
  <c r="D398" i="17"/>
  <c r="A398" i="17"/>
  <c r="E398" i="17" s="1"/>
  <c r="D397" i="17"/>
  <c r="E397" i="17" s="1"/>
  <c r="A397" i="17"/>
  <c r="D396" i="17"/>
  <c r="A396" i="17"/>
  <c r="E396" i="17" s="1"/>
  <c r="D395" i="17"/>
  <c r="A395" i="17"/>
  <c r="D394" i="17"/>
  <c r="A394" i="17"/>
  <c r="D393" i="17"/>
  <c r="E393" i="17" s="1"/>
  <c r="A393" i="17"/>
  <c r="E392" i="17"/>
  <c r="D392" i="17"/>
  <c r="A392" i="17"/>
  <c r="D391" i="17"/>
  <c r="A391" i="17"/>
  <c r="D390" i="17"/>
  <c r="A390" i="17"/>
  <c r="E390" i="17" s="1"/>
  <c r="D389" i="17"/>
  <c r="E389" i="17" s="1"/>
  <c r="A389" i="17"/>
  <c r="D388" i="17"/>
  <c r="A388" i="17"/>
  <c r="E388" i="17" s="1"/>
  <c r="D387" i="17"/>
  <c r="A387" i="17"/>
  <c r="E387" i="17" s="1"/>
  <c r="D386" i="17"/>
  <c r="A386" i="17"/>
  <c r="E386" i="17" s="1"/>
  <c r="D385" i="17"/>
  <c r="A385" i="17"/>
  <c r="E385" i="17" s="1"/>
  <c r="E384" i="17"/>
  <c r="D384" i="17"/>
  <c r="A384" i="17"/>
  <c r="D383" i="17"/>
  <c r="A383" i="17"/>
  <c r="E383" i="17" s="1"/>
  <c r="D382" i="17"/>
  <c r="A382" i="17"/>
  <c r="E382" i="17" s="1"/>
  <c r="D381" i="17"/>
  <c r="A381" i="17"/>
  <c r="D380" i="17"/>
  <c r="A380" i="17"/>
  <c r="E380" i="17" s="1"/>
  <c r="D379" i="17"/>
  <c r="A379" i="17"/>
  <c r="D378" i="17"/>
  <c r="A378" i="17"/>
  <c r="D377" i="17"/>
  <c r="A377" i="17"/>
  <c r="E376" i="17"/>
  <c r="D376" i="17"/>
  <c r="A376" i="17"/>
  <c r="D375" i="17"/>
  <c r="A375" i="17"/>
  <c r="D374" i="17"/>
  <c r="A374" i="17"/>
  <c r="E374" i="17" s="1"/>
  <c r="D373" i="17"/>
  <c r="A373" i="17"/>
  <c r="D372" i="17"/>
  <c r="A372" i="17"/>
  <c r="E372" i="17" s="1"/>
  <c r="D371" i="17"/>
  <c r="A371" i="17"/>
  <c r="E371" i="17" s="1"/>
  <c r="D370" i="17"/>
  <c r="A370" i="17"/>
  <c r="E370" i="17" s="1"/>
  <c r="D369" i="17"/>
  <c r="A369" i="17"/>
  <c r="E369" i="17" s="1"/>
  <c r="E368" i="17"/>
  <c r="D368" i="17"/>
  <c r="A368" i="17"/>
  <c r="D367" i="17"/>
  <c r="A367" i="17"/>
  <c r="E367" i="17" s="1"/>
  <c r="D366" i="17"/>
  <c r="A366" i="17"/>
  <c r="E366" i="17" s="1"/>
  <c r="D365" i="17"/>
  <c r="A365" i="17"/>
  <c r="D364" i="17"/>
  <c r="A364" i="17"/>
  <c r="E364" i="17" s="1"/>
  <c r="D363" i="17"/>
  <c r="A363" i="17"/>
  <c r="D362" i="17"/>
  <c r="E362" i="17" s="1"/>
  <c r="A362" i="17"/>
  <c r="D361" i="17"/>
  <c r="A361" i="17"/>
  <c r="E360" i="17"/>
  <c r="D360" i="17"/>
  <c r="A360" i="17"/>
  <c r="D359" i="17"/>
  <c r="A359" i="17"/>
  <c r="D358" i="17"/>
  <c r="A358" i="17"/>
  <c r="E358" i="17" s="1"/>
  <c r="D357" i="17"/>
  <c r="A357" i="17"/>
  <c r="D356" i="17"/>
  <c r="A356" i="17"/>
  <c r="E356" i="17" s="1"/>
  <c r="D355" i="17"/>
  <c r="A355" i="17"/>
  <c r="E355" i="17" s="1"/>
  <c r="D354" i="17"/>
  <c r="A354" i="17"/>
  <c r="E354" i="17" s="1"/>
  <c r="D353" i="17"/>
  <c r="E353" i="17" s="1"/>
  <c r="A353" i="17"/>
  <c r="E352" i="17"/>
  <c r="D352" i="17"/>
  <c r="A352" i="17"/>
  <c r="D351" i="17"/>
  <c r="A351" i="17"/>
  <c r="E351" i="17" s="1"/>
  <c r="D350" i="17"/>
  <c r="A350" i="17"/>
  <c r="E350" i="17" s="1"/>
  <c r="D349" i="17"/>
  <c r="A349" i="17"/>
  <c r="D348" i="17"/>
  <c r="A348" i="17"/>
  <c r="E348" i="17" s="1"/>
  <c r="D347" i="17"/>
  <c r="A347" i="17"/>
  <c r="D346" i="17"/>
  <c r="A346" i="17"/>
  <c r="D345" i="17"/>
  <c r="A345" i="17"/>
  <c r="D344" i="17"/>
  <c r="E344" i="17" s="1"/>
  <c r="A344" i="17"/>
  <c r="D343" i="17"/>
  <c r="A343" i="17"/>
  <c r="D342" i="17"/>
  <c r="A342" i="17"/>
  <c r="E342" i="17" s="1"/>
  <c r="D341" i="17"/>
  <c r="A341" i="17"/>
  <c r="D340" i="17"/>
  <c r="A340" i="17"/>
  <c r="E340" i="17" s="1"/>
  <c r="D339" i="17"/>
  <c r="A339" i="17"/>
  <c r="E339" i="17" s="1"/>
  <c r="D338" i="17"/>
  <c r="D337" i="17"/>
  <c r="D336" i="17"/>
  <c r="D335" i="17"/>
  <c r="D334" i="17"/>
  <c r="D333" i="17"/>
  <c r="D332" i="17"/>
  <c r="D331" i="17"/>
  <c r="D330" i="17"/>
  <c r="D329" i="17"/>
  <c r="D328" i="17"/>
  <c r="D327" i="17"/>
  <c r="D326" i="17"/>
  <c r="D325" i="17"/>
  <c r="D324" i="17"/>
  <c r="D323" i="17"/>
  <c r="D322" i="17"/>
  <c r="D321" i="17"/>
  <c r="D320" i="17"/>
  <c r="D319" i="17"/>
  <c r="D318" i="17"/>
  <c r="D317" i="17"/>
  <c r="D316" i="17"/>
  <c r="D315" i="17"/>
  <c r="D314" i="17"/>
  <c r="D313" i="17"/>
  <c r="D312" i="17"/>
  <c r="D311" i="17"/>
  <c r="D310" i="17"/>
  <c r="D309" i="17"/>
  <c r="D308" i="17"/>
  <c r="D307" i="17"/>
  <c r="D306" i="17"/>
  <c r="D305" i="17"/>
  <c r="D304" i="17"/>
  <c r="D303" i="17"/>
  <c r="D302" i="17"/>
  <c r="D301" i="17"/>
  <c r="D300" i="17"/>
  <c r="D299" i="17"/>
  <c r="D298" i="17"/>
  <c r="D297" i="17"/>
  <c r="D296" i="17"/>
  <c r="D295" i="17"/>
  <c r="D294" i="17"/>
  <c r="D293" i="17"/>
  <c r="D292" i="17"/>
  <c r="D291" i="17"/>
  <c r="D290" i="17"/>
  <c r="D289" i="17"/>
  <c r="D288" i="17"/>
  <c r="D287" i="17"/>
  <c r="D286" i="17"/>
  <c r="D285" i="17"/>
  <c r="D284" i="17"/>
  <c r="D283" i="17"/>
  <c r="D282" i="17"/>
  <c r="D281" i="17"/>
  <c r="D280" i="17"/>
  <c r="D279" i="17"/>
  <c r="D278" i="17"/>
  <c r="D277" i="17"/>
  <c r="D276" i="17"/>
  <c r="D275" i="17"/>
  <c r="D274" i="17"/>
  <c r="D273" i="17"/>
  <c r="D272" i="17"/>
  <c r="D271" i="17"/>
  <c r="D270" i="17"/>
  <c r="D269" i="17"/>
  <c r="D268" i="17"/>
  <c r="D267" i="17"/>
  <c r="D266" i="17"/>
  <c r="D265" i="17"/>
  <c r="D264" i="17"/>
  <c r="D263" i="17"/>
  <c r="D262" i="17"/>
  <c r="D261" i="17"/>
  <c r="D260" i="17"/>
  <c r="D259" i="17"/>
  <c r="D258" i="17"/>
  <c r="D257" i="17"/>
  <c r="D256" i="17"/>
  <c r="D255" i="17"/>
  <c r="D254" i="17"/>
  <c r="D253" i="17"/>
  <c r="D252" i="17"/>
  <c r="D251" i="17"/>
  <c r="D250" i="17"/>
  <c r="D249" i="17"/>
  <c r="D248" i="17"/>
  <c r="D247" i="17"/>
  <c r="D246" i="17"/>
  <c r="D245" i="17"/>
  <c r="D244" i="17"/>
  <c r="D243" i="17"/>
  <c r="D242" i="17"/>
  <c r="D241" i="17"/>
  <c r="D240" i="17"/>
  <c r="D239" i="17"/>
  <c r="D238" i="17"/>
  <c r="D237" i="17"/>
  <c r="D236" i="17"/>
  <c r="D235" i="17"/>
  <c r="D234" i="17"/>
  <c r="D233" i="17"/>
  <c r="D232" i="17"/>
  <c r="D231" i="17"/>
  <c r="D230" i="17"/>
  <c r="D229" i="17"/>
  <c r="D228" i="17"/>
  <c r="D227" i="17"/>
  <c r="D226" i="17"/>
  <c r="D225" i="17"/>
  <c r="D224" i="17"/>
  <c r="D223" i="17"/>
  <c r="D222" i="17"/>
  <c r="D221" i="17"/>
  <c r="D220" i="17"/>
  <c r="D219" i="17"/>
  <c r="D218" i="17"/>
  <c r="D217" i="17"/>
  <c r="D216" i="17"/>
  <c r="D215" i="17"/>
  <c r="D214" i="17"/>
  <c r="D213" i="17"/>
  <c r="D212" i="17"/>
  <c r="D211" i="17"/>
  <c r="D210" i="17"/>
  <c r="D209" i="17"/>
  <c r="D208" i="17"/>
  <c r="D207" i="17"/>
  <c r="D206" i="17"/>
  <c r="D205" i="17"/>
  <c r="D204" i="17"/>
  <c r="D203" i="17"/>
  <c r="D202" i="17"/>
  <c r="D201" i="17"/>
  <c r="D200" i="17"/>
  <c r="D199" i="17"/>
  <c r="D198" i="17"/>
  <c r="D197" i="17"/>
  <c r="D196" i="17"/>
  <c r="D195" i="17"/>
  <c r="D194" i="17"/>
  <c r="D193" i="17"/>
  <c r="D192" i="17"/>
  <c r="D191" i="17"/>
  <c r="D190" i="17"/>
  <c r="D189" i="17"/>
  <c r="D188" i="17"/>
  <c r="D187" i="17"/>
  <c r="D186" i="17"/>
  <c r="D185" i="17"/>
  <c r="D184" i="17"/>
  <c r="D183" i="17"/>
  <c r="D182" i="17"/>
  <c r="D181" i="17"/>
  <c r="D180" i="17"/>
  <c r="D179" i="17"/>
  <c r="D178" i="17"/>
  <c r="D177" i="17"/>
  <c r="D176" i="17"/>
  <c r="D175" i="17"/>
  <c r="D174" i="17"/>
  <c r="D173" i="17"/>
  <c r="D172" i="17"/>
  <c r="D171" i="17"/>
  <c r="D170" i="17"/>
  <c r="D169" i="17"/>
  <c r="D168" i="17"/>
  <c r="D167" i="17"/>
  <c r="D166" i="17"/>
  <c r="D165" i="17"/>
  <c r="D164" i="17"/>
  <c r="D163" i="17"/>
  <c r="D162" i="17"/>
  <c r="D161" i="17"/>
  <c r="D160" i="17"/>
  <c r="D159" i="17"/>
  <c r="D158" i="17"/>
  <c r="D157" i="17"/>
  <c r="D156" i="17"/>
  <c r="D155" i="17"/>
  <c r="D154" i="17"/>
  <c r="D153" i="17"/>
  <c r="D152" i="17"/>
  <c r="D151" i="17"/>
  <c r="D150" i="17"/>
  <c r="D149" i="17"/>
  <c r="D148" i="17"/>
  <c r="D147" i="17"/>
  <c r="D146" i="17"/>
  <c r="D145" i="17"/>
  <c r="D144" i="17"/>
  <c r="D143" i="17"/>
  <c r="D142" i="17"/>
  <c r="D141" i="17"/>
  <c r="D140" i="17"/>
  <c r="D139" i="17"/>
  <c r="D138" i="17"/>
  <c r="D137" i="17"/>
  <c r="D136" i="17"/>
  <c r="D135" i="17"/>
  <c r="D134" i="17"/>
  <c r="D133" i="17"/>
  <c r="D132" i="17"/>
  <c r="D131" i="17"/>
  <c r="D130" i="17"/>
  <c r="D129" i="17"/>
  <c r="D128" i="17"/>
  <c r="D127" i="17"/>
  <c r="D126" i="17"/>
  <c r="D125" i="17"/>
  <c r="D124" i="17"/>
  <c r="D123" i="17"/>
  <c r="D122" i="17"/>
  <c r="D121" i="17"/>
  <c r="D120" i="17"/>
  <c r="D119" i="17"/>
  <c r="D118" i="17"/>
  <c r="D117" i="17"/>
  <c r="D116" i="17"/>
  <c r="D115" i="17"/>
  <c r="D114" i="17"/>
  <c r="D113" i="17"/>
  <c r="D112" i="17"/>
  <c r="D111" i="17"/>
  <c r="D110" i="17"/>
  <c r="D109" i="17"/>
  <c r="D108" i="17"/>
  <c r="D107" i="17"/>
  <c r="D106" i="17"/>
  <c r="D105" i="17"/>
  <c r="D104" i="17"/>
  <c r="D103" i="17"/>
  <c r="D102" i="17"/>
  <c r="D101" i="17"/>
  <c r="D100" i="17"/>
  <c r="D99" i="17"/>
  <c r="D98" i="17"/>
  <c r="D97" i="17"/>
  <c r="D96" i="17"/>
  <c r="D95" i="17"/>
  <c r="D94" i="17"/>
  <c r="D93" i="17"/>
  <c r="D92" i="17"/>
  <c r="D91" i="17"/>
  <c r="D90" i="17"/>
  <c r="D89" i="17"/>
  <c r="D88" i="17"/>
  <c r="D87" i="17"/>
  <c r="D86" i="17"/>
  <c r="D85" i="17"/>
  <c r="D84" i="17"/>
  <c r="D83" i="17"/>
  <c r="D82" i="17"/>
  <c r="D81" i="17"/>
  <c r="D80" i="17"/>
  <c r="D79" i="17"/>
  <c r="D78" i="17"/>
  <c r="D77" i="17"/>
  <c r="D76" i="17"/>
  <c r="D75" i="17"/>
  <c r="D74" i="17"/>
  <c r="D73" i="17"/>
  <c r="D72" i="17"/>
  <c r="D71" i="17"/>
  <c r="D70" i="17"/>
  <c r="D69" i="17"/>
  <c r="D68" i="17"/>
  <c r="D67" i="17"/>
  <c r="D66" i="17"/>
  <c r="D65" i="17"/>
  <c r="D64" i="17"/>
  <c r="D63" i="17"/>
  <c r="D62" i="17"/>
  <c r="D61" i="17"/>
  <c r="D60" i="17"/>
  <c r="D59" i="17"/>
  <c r="D58" i="17"/>
  <c r="D57" i="17"/>
  <c r="D56" i="17"/>
  <c r="D55" i="17"/>
  <c r="D54" i="17"/>
  <c r="D53" i="17"/>
  <c r="D52" i="17"/>
  <c r="D51" i="17"/>
  <c r="D50" i="17"/>
  <c r="D49" i="17"/>
  <c r="D48" i="17"/>
  <c r="D47" i="17"/>
  <c r="D46" i="17"/>
  <c r="D45" i="17"/>
  <c r="D44" i="17"/>
  <c r="D43" i="17"/>
  <c r="D42" i="17"/>
  <c r="D41" i="17"/>
  <c r="D40" i="17"/>
  <c r="D39" i="17"/>
  <c r="D38" i="17"/>
  <c r="D37" i="17"/>
  <c r="D36" i="17"/>
  <c r="D35" i="17"/>
  <c r="D34" i="17"/>
  <c r="D33" i="17"/>
  <c r="D32" i="17"/>
  <c r="D31" i="17"/>
  <c r="D30" i="17"/>
  <c r="D29" i="17"/>
  <c r="D28" i="17"/>
  <c r="D27" i="17"/>
  <c r="D26" i="17"/>
  <c r="D25" i="17"/>
  <c r="D24" i="17"/>
  <c r="D23" i="17"/>
  <c r="D22" i="17"/>
  <c r="D21" i="17"/>
  <c r="D20" i="17"/>
  <c r="D19" i="17"/>
  <c r="D18" i="17"/>
  <c r="D17" i="17"/>
  <c r="D16" i="17"/>
  <c r="D15" i="17"/>
  <c r="D14" i="17"/>
  <c r="D13" i="17"/>
  <c r="D12" i="17"/>
  <c r="D11" i="17"/>
  <c r="D10" i="17"/>
  <c r="D9" i="17"/>
  <c r="D8" i="17"/>
  <c r="D7" i="17"/>
  <c r="D6" i="17"/>
  <c r="D5" i="17"/>
  <c r="D4" i="17"/>
  <c r="A4" i="17"/>
  <c r="A5" i="17" s="1"/>
  <c r="D3" i="17"/>
  <c r="A3" i="17"/>
  <c r="E3" i="17" s="1"/>
  <c r="D2" i="17"/>
  <c r="E2" i="17" s="1"/>
  <c r="E20" i="15"/>
  <c r="D20" i="15"/>
  <c r="D19" i="15"/>
  <c r="D18" i="15"/>
  <c r="D17" i="15"/>
  <c r="D16" i="15"/>
  <c r="D15" i="15"/>
  <c r="E14" i="15"/>
  <c r="D14" i="15"/>
  <c r="E13" i="15"/>
  <c r="D13" i="15"/>
  <c r="E12" i="15"/>
  <c r="D12" i="15"/>
  <c r="E11" i="15"/>
  <c r="D11" i="15"/>
  <c r="E10" i="15"/>
  <c r="D10" i="15"/>
  <c r="E9" i="15"/>
  <c r="D9" i="15"/>
  <c r="E8" i="15"/>
  <c r="D8" i="15"/>
  <c r="E7" i="15"/>
  <c r="D7" i="15"/>
  <c r="E6" i="15"/>
  <c r="D6" i="15"/>
  <c r="E5" i="15"/>
  <c r="D5" i="15"/>
  <c r="E4" i="15"/>
  <c r="D4" i="15"/>
  <c r="E3" i="15"/>
  <c r="D3" i="15"/>
  <c r="A46" i="14"/>
  <c r="A47" i="14" s="1"/>
  <c r="A48" i="14" s="1"/>
  <c r="A49" i="14" s="1"/>
  <c r="A50" i="14" s="1"/>
  <c r="A51" i="14" s="1"/>
  <c r="A52" i="14" s="1"/>
  <c r="A53" i="14" s="1"/>
  <c r="A54" i="14" s="1"/>
  <c r="A55" i="14" s="1"/>
  <c r="A56" i="14" s="1"/>
  <c r="A57" i="14" s="1"/>
  <c r="A58" i="14" s="1"/>
  <c r="A59" i="14" s="1"/>
  <c r="A60" i="14" s="1"/>
  <c r="A61" i="14" s="1"/>
  <c r="A62" i="14" s="1"/>
  <c r="A63" i="14" s="1"/>
  <c r="A64" i="14" s="1"/>
  <c r="A65" i="14" s="1"/>
  <c r="A66" i="14" s="1"/>
  <c r="A67" i="14" s="1"/>
  <c r="A68" i="14" s="1"/>
  <c r="A69" i="14" s="1"/>
  <c r="A70" i="14" s="1"/>
  <c r="A71" i="14" s="1"/>
  <c r="A72" i="14" s="1"/>
  <c r="A73" i="14" s="1"/>
  <c r="A74" i="14" s="1"/>
  <c r="A75" i="14" s="1"/>
  <c r="A76" i="14" s="1"/>
  <c r="A77" i="14" s="1"/>
  <c r="A78" i="14" s="1"/>
  <c r="A79" i="14" s="1"/>
  <c r="A80" i="14" s="1"/>
  <c r="A10" i="14"/>
  <c r="A11" i="14" s="1"/>
  <c r="A12" i="14" s="1"/>
  <c r="A13" i="14" s="1"/>
  <c r="A14" i="14" s="1"/>
  <c r="A15" i="14" s="1"/>
  <c r="A16" i="14" s="1"/>
  <c r="A17" i="14" s="1"/>
  <c r="A18" i="14" s="1"/>
  <c r="A19" i="14" s="1"/>
  <c r="A20" i="14" s="1"/>
  <c r="A21" i="14" s="1"/>
  <c r="A22" i="14" s="1"/>
  <c r="A23" i="14" s="1"/>
  <c r="A24" i="14" s="1"/>
  <c r="A25" i="14" s="1"/>
  <c r="A26" i="14" s="1"/>
  <c r="A27" i="14" s="1"/>
  <c r="A28" i="14" s="1"/>
  <c r="A29" i="14" s="1"/>
  <c r="A30" i="14" s="1"/>
  <c r="A31" i="14" s="1"/>
  <c r="A32" i="14" s="1"/>
  <c r="A33" i="14" s="1"/>
  <c r="A34" i="14" s="1"/>
  <c r="A35" i="14" s="1"/>
  <c r="A36" i="14" s="1"/>
  <c r="A37" i="14" s="1"/>
  <c r="A38" i="14" s="1"/>
  <c r="A39" i="14" s="1"/>
  <c r="A40" i="14" s="1"/>
  <c r="A41" i="14" s="1"/>
  <c r="A42" i="14" s="1"/>
  <c r="A43" i="14" s="1"/>
  <c r="A44" i="14" s="1"/>
  <c r="A45" i="14" s="1"/>
  <c r="A4" i="14"/>
  <c r="A5" i="14" s="1"/>
  <c r="A6" i="14" s="1"/>
  <c r="A7" i="14" s="1"/>
  <c r="A8" i="14" s="1"/>
  <c r="A9" i="14" s="1"/>
  <c r="A3" i="14"/>
  <c r="D1166" i="13"/>
  <c r="D1165" i="13"/>
  <c r="D1164" i="13"/>
  <c r="D1163" i="13"/>
  <c r="D1162" i="13"/>
  <c r="D1161" i="13"/>
  <c r="D1160" i="13"/>
  <c r="D1159" i="13"/>
  <c r="D1158" i="13"/>
  <c r="D1157" i="13"/>
  <c r="D1156" i="13"/>
  <c r="D1155" i="13"/>
  <c r="D1154" i="13"/>
  <c r="D1153" i="13"/>
  <c r="D1152" i="13"/>
  <c r="D1151" i="13"/>
  <c r="D1150" i="13"/>
  <c r="D1149" i="13"/>
  <c r="D1148" i="13"/>
  <c r="D1147" i="13"/>
  <c r="D1146" i="13"/>
  <c r="D1145" i="13"/>
  <c r="D1144" i="13"/>
  <c r="D1143" i="13"/>
  <c r="D1142" i="13"/>
  <c r="D1141" i="13"/>
  <c r="D1140" i="13"/>
  <c r="D1139" i="13"/>
  <c r="D1138" i="13"/>
  <c r="D1137" i="13"/>
  <c r="D1136" i="13"/>
  <c r="D1135" i="13"/>
  <c r="D1134" i="13"/>
  <c r="D1133" i="13"/>
  <c r="D1132" i="13"/>
  <c r="D1131" i="13"/>
  <c r="D1130" i="13"/>
  <c r="D1129" i="13"/>
  <c r="D1128" i="13"/>
  <c r="D1127" i="13"/>
  <c r="D1126" i="13"/>
  <c r="D1125" i="13"/>
  <c r="D1124" i="13"/>
  <c r="D1123" i="13"/>
  <c r="D1122" i="13"/>
  <c r="D1121" i="13"/>
  <c r="D1120" i="13"/>
  <c r="D1119" i="13"/>
  <c r="D1118" i="13"/>
  <c r="D1117" i="13"/>
  <c r="D1116" i="13"/>
  <c r="D1115" i="13"/>
  <c r="D1114" i="13"/>
  <c r="D1113" i="13"/>
  <c r="D1112" i="13"/>
  <c r="D1111" i="13"/>
  <c r="D1110" i="13"/>
  <c r="D1109" i="13"/>
  <c r="D1108" i="13"/>
  <c r="D1107" i="13"/>
  <c r="D1106" i="13"/>
  <c r="D1105" i="13"/>
  <c r="D1104" i="13"/>
  <c r="D1103" i="13"/>
  <c r="D1102" i="13"/>
  <c r="D1101" i="13"/>
  <c r="D1100" i="13"/>
  <c r="D1099" i="13"/>
  <c r="D1098" i="13"/>
  <c r="D1097" i="13"/>
  <c r="D1096" i="13"/>
  <c r="D1095" i="13"/>
  <c r="D1094" i="13"/>
  <c r="D1093" i="13"/>
  <c r="D1092" i="13"/>
  <c r="D1091" i="13"/>
  <c r="D1090" i="13"/>
  <c r="D1089" i="13"/>
  <c r="D1088" i="13"/>
  <c r="D1087" i="13"/>
  <c r="D1086" i="13"/>
  <c r="D1085" i="13"/>
  <c r="D1084" i="13"/>
  <c r="D1083" i="13"/>
  <c r="D1082" i="13"/>
  <c r="D1081" i="13"/>
  <c r="D1080" i="13"/>
  <c r="D1079" i="13"/>
  <c r="D1078" i="13"/>
  <c r="D1077" i="13"/>
  <c r="D1076" i="13"/>
  <c r="D1075" i="13"/>
  <c r="D1074" i="13"/>
  <c r="D1073" i="13"/>
  <c r="D1072" i="13"/>
  <c r="D1071" i="13"/>
  <c r="D1070" i="13"/>
  <c r="D1069" i="13"/>
  <c r="D1068" i="13"/>
  <c r="D1067" i="13"/>
  <c r="D1066" i="13"/>
  <c r="D1065" i="13"/>
  <c r="D1064" i="13"/>
  <c r="D1063" i="13"/>
  <c r="D1062" i="13"/>
  <c r="D1061" i="13"/>
  <c r="D1060" i="13"/>
  <c r="D1059" i="13"/>
  <c r="D1058" i="13"/>
  <c r="D1057" i="13"/>
  <c r="D1056" i="13"/>
  <c r="D1055" i="13"/>
  <c r="D1054" i="13"/>
  <c r="D1053" i="13"/>
  <c r="D1052" i="13"/>
  <c r="D1051" i="13"/>
  <c r="D1050" i="13"/>
  <c r="D1049" i="13"/>
  <c r="D1048" i="13"/>
  <c r="D1047" i="13"/>
  <c r="D1046" i="13"/>
  <c r="D1045" i="13"/>
  <c r="D1044" i="13"/>
  <c r="D1043" i="13"/>
  <c r="D1042" i="13"/>
  <c r="D1041" i="13"/>
  <c r="D1040" i="13"/>
  <c r="D1039" i="13"/>
  <c r="D1038" i="13"/>
  <c r="D1037" i="13"/>
  <c r="D1036" i="13"/>
  <c r="D1035" i="13"/>
  <c r="D1034" i="13"/>
  <c r="D1033" i="13"/>
  <c r="D1032" i="13"/>
  <c r="D1031" i="13"/>
  <c r="D1030" i="13"/>
  <c r="D1029" i="13"/>
  <c r="D1028" i="13"/>
  <c r="D1027" i="13"/>
  <c r="D1026" i="13"/>
  <c r="D1025" i="13"/>
  <c r="D1024" i="13"/>
  <c r="D1023" i="13"/>
  <c r="D1022" i="13"/>
  <c r="D1021" i="13"/>
  <c r="D1020" i="13"/>
  <c r="D1019" i="13"/>
  <c r="D1018" i="13"/>
  <c r="D1017" i="13"/>
  <c r="D1016" i="13"/>
  <c r="D1015" i="13"/>
  <c r="D1014" i="13"/>
  <c r="D1013" i="13"/>
  <c r="D1012" i="13"/>
  <c r="D1011" i="13"/>
  <c r="D1010" i="13"/>
  <c r="D1009" i="13"/>
  <c r="D1008" i="13"/>
  <c r="D1007" i="13"/>
  <c r="D1006" i="13"/>
  <c r="D1005" i="13"/>
  <c r="D1004" i="13"/>
  <c r="D1003" i="13"/>
  <c r="D1002" i="13"/>
  <c r="D1001" i="13"/>
  <c r="D1000" i="13"/>
  <c r="D999" i="13"/>
  <c r="D998" i="13"/>
  <c r="D997" i="13"/>
  <c r="D996" i="13"/>
  <c r="D995" i="13"/>
  <c r="D994" i="13"/>
  <c r="D993" i="13"/>
  <c r="D992" i="13"/>
  <c r="D991" i="13"/>
  <c r="D990" i="13"/>
  <c r="D989" i="13"/>
  <c r="D988" i="13"/>
  <c r="D987" i="13"/>
  <c r="D986" i="13"/>
  <c r="D985" i="13"/>
  <c r="D984" i="13"/>
  <c r="D983" i="13"/>
  <c r="D982" i="13"/>
  <c r="D981" i="13"/>
  <c r="D980" i="13"/>
  <c r="D979" i="13"/>
  <c r="D978" i="13"/>
  <c r="D977" i="13"/>
  <c r="D976" i="13"/>
  <c r="D975" i="13"/>
  <c r="D974" i="13"/>
  <c r="D973" i="13"/>
  <c r="D972" i="13"/>
  <c r="D971" i="13"/>
  <c r="D970" i="13"/>
  <c r="D969" i="13"/>
  <c r="D968" i="13"/>
  <c r="D967" i="13"/>
  <c r="D966" i="13"/>
  <c r="D965" i="13"/>
  <c r="D964" i="13"/>
  <c r="D963" i="13"/>
  <c r="D962" i="13"/>
  <c r="D961" i="13"/>
  <c r="D960" i="13"/>
  <c r="D959" i="13"/>
  <c r="D958" i="13"/>
  <c r="D957" i="13"/>
  <c r="D956" i="13"/>
  <c r="D955" i="13"/>
  <c r="D954" i="13"/>
  <c r="D953" i="13"/>
  <c r="D952" i="13"/>
  <c r="D951" i="13"/>
  <c r="D950" i="13"/>
  <c r="D949" i="13"/>
  <c r="D948" i="13"/>
  <c r="D947" i="13"/>
  <c r="D946" i="13"/>
  <c r="D945" i="13"/>
  <c r="D944" i="13"/>
  <c r="D943" i="13"/>
  <c r="D942" i="13"/>
  <c r="D941" i="13"/>
  <c r="D940" i="13"/>
  <c r="D939" i="13"/>
  <c r="D938" i="13"/>
  <c r="D937" i="13"/>
  <c r="D936" i="13"/>
  <c r="D935" i="13"/>
  <c r="D934" i="13"/>
  <c r="D933" i="13"/>
  <c r="D932" i="13"/>
  <c r="D931" i="13"/>
  <c r="D930" i="13"/>
  <c r="D929" i="13"/>
  <c r="D928" i="13"/>
  <c r="D927" i="13"/>
  <c r="D926" i="13"/>
  <c r="D925" i="13"/>
  <c r="D924" i="13"/>
  <c r="D923" i="13"/>
  <c r="D922" i="13"/>
  <c r="D921" i="13"/>
  <c r="D920" i="13"/>
  <c r="D919" i="13"/>
  <c r="D918" i="13"/>
  <c r="D917" i="13"/>
  <c r="D916" i="13"/>
  <c r="D915" i="13"/>
  <c r="D914" i="13"/>
  <c r="D913" i="13"/>
  <c r="D912" i="13"/>
  <c r="D911" i="13"/>
  <c r="D910" i="13"/>
  <c r="D909" i="13"/>
  <c r="D908" i="13"/>
  <c r="D907" i="13"/>
  <c r="D906" i="13"/>
  <c r="D905" i="13"/>
  <c r="D904" i="13"/>
  <c r="D903" i="13"/>
  <c r="D902" i="13"/>
  <c r="D901" i="13"/>
  <c r="D900" i="13"/>
  <c r="D899" i="13"/>
  <c r="D898" i="13"/>
  <c r="D897" i="13"/>
  <c r="D896" i="13"/>
  <c r="D895" i="13"/>
  <c r="D894" i="13"/>
  <c r="D893" i="13"/>
  <c r="D892" i="13"/>
  <c r="D891" i="13"/>
  <c r="D890" i="13"/>
  <c r="D889" i="13"/>
  <c r="D888" i="13"/>
  <c r="D887" i="13"/>
  <c r="D886" i="13"/>
  <c r="D885" i="13"/>
  <c r="D884" i="13"/>
  <c r="D883" i="13"/>
  <c r="D882" i="13"/>
  <c r="D881" i="13"/>
  <c r="D880" i="13"/>
  <c r="D879" i="13"/>
  <c r="D878" i="13"/>
  <c r="D877" i="13"/>
  <c r="D876" i="13"/>
  <c r="D875" i="13"/>
  <c r="D874" i="13"/>
  <c r="D873" i="13"/>
  <c r="D872" i="13"/>
  <c r="D871" i="13"/>
  <c r="D870" i="13"/>
  <c r="D869" i="13"/>
  <c r="D868" i="13"/>
  <c r="D867" i="13"/>
  <c r="D866" i="13"/>
  <c r="D865" i="13"/>
  <c r="D864" i="13"/>
  <c r="D863" i="13"/>
  <c r="D862" i="13"/>
  <c r="D861" i="13"/>
  <c r="D860" i="13"/>
  <c r="D859" i="13"/>
  <c r="D858" i="13"/>
  <c r="D857" i="13"/>
  <c r="D856" i="13"/>
  <c r="D855" i="13"/>
  <c r="D854" i="13"/>
  <c r="D853" i="13"/>
  <c r="D852" i="13"/>
  <c r="D851" i="13"/>
  <c r="D850" i="13"/>
  <c r="D849" i="13"/>
  <c r="D848" i="13"/>
  <c r="D847" i="13"/>
  <c r="D846" i="13"/>
  <c r="D845" i="13"/>
  <c r="D844" i="13"/>
  <c r="D843" i="13"/>
  <c r="D842" i="13"/>
  <c r="D841" i="13"/>
  <c r="D840" i="13"/>
  <c r="D839" i="13"/>
  <c r="D838" i="13"/>
  <c r="D837" i="13"/>
  <c r="D836" i="13"/>
  <c r="D835" i="13"/>
  <c r="D834" i="13"/>
  <c r="D833" i="13"/>
  <c r="D832" i="13"/>
  <c r="D831" i="13"/>
  <c r="D830" i="13"/>
  <c r="D829" i="13"/>
  <c r="D828" i="13"/>
  <c r="D827" i="13"/>
  <c r="D826" i="13"/>
  <c r="D825" i="13"/>
  <c r="D824" i="13"/>
  <c r="D823" i="13"/>
  <c r="D822" i="13"/>
  <c r="D821" i="13"/>
  <c r="D820" i="13"/>
  <c r="D819" i="13"/>
  <c r="D818" i="13"/>
  <c r="D817" i="13"/>
  <c r="D816" i="13"/>
  <c r="D815" i="13"/>
  <c r="D814" i="13"/>
  <c r="D813" i="13"/>
  <c r="D812" i="13"/>
  <c r="D811" i="13"/>
  <c r="D810" i="13"/>
  <c r="D809" i="13"/>
  <c r="D808" i="13"/>
  <c r="D807" i="13"/>
  <c r="D806" i="13"/>
  <c r="D805" i="13"/>
  <c r="D804" i="13"/>
  <c r="D803" i="13"/>
  <c r="D802" i="13"/>
  <c r="D801" i="13"/>
  <c r="D800" i="13"/>
  <c r="D799" i="13"/>
  <c r="D798" i="13"/>
  <c r="D797" i="13"/>
  <c r="D796" i="13"/>
  <c r="D795" i="13"/>
  <c r="D794" i="13"/>
  <c r="D793" i="13"/>
  <c r="D792" i="13"/>
  <c r="D791" i="13"/>
  <c r="D790" i="13"/>
  <c r="D789" i="13"/>
  <c r="D788" i="13"/>
  <c r="D787" i="13"/>
  <c r="D786" i="13"/>
  <c r="D785" i="13"/>
  <c r="D784" i="13"/>
  <c r="D783" i="13"/>
  <c r="D782" i="13"/>
  <c r="D781" i="13"/>
  <c r="D780" i="13"/>
  <c r="D779" i="13"/>
  <c r="D778" i="13"/>
  <c r="D777" i="13"/>
  <c r="D776" i="13"/>
  <c r="D775" i="13"/>
  <c r="D774" i="13"/>
  <c r="D773" i="13"/>
  <c r="D772" i="13"/>
  <c r="D771" i="13"/>
  <c r="D770" i="13"/>
  <c r="D769" i="13"/>
  <c r="D768" i="13"/>
  <c r="D767" i="13"/>
  <c r="D766" i="13"/>
  <c r="D765" i="13"/>
  <c r="D764" i="13"/>
  <c r="D763" i="13"/>
  <c r="D762" i="13"/>
  <c r="D761" i="13"/>
  <c r="D760" i="13"/>
  <c r="D759" i="13"/>
  <c r="D758" i="13"/>
  <c r="D757" i="13"/>
  <c r="D756" i="13"/>
  <c r="D755" i="13"/>
  <c r="D754" i="13"/>
  <c r="D753" i="13"/>
  <c r="D752" i="13"/>
  <c r="D751" i="13"/>
  <c r="D750" i="13"/>
  <c r="D749" i="13"/>
  <c r="D748" i="13"/>
  <c r="D747" i="13"/>
  <c r="D746" i="13"/>
  <c r="D745" i="13"/>
  <c r="D744" i="13"/>
  <c r="D743" i="13"/>
  <c r="D742" i="13"/>
  <c r="D741" i="13"/>
  <c r="D740" i="13"/>
  <c r="D739" i="13"/>
  <c r="D738" i="13"/>
  <c r="D737" i="13"/>
  <c r="D736" i="13"/>
  <c r="D735" i="13"/>
  <c r="D734" i="13"/>
  <c r="D733" i="13"/>
  <c r="D732" i="13"/>
  <c r="D731" i="13"/>
  <c r="D730" i="13"/>
  <c r="D729" i="13"/>
  <c r="D728" i="13"/>
  <c r="D727" i="13"/>
  <c r="D726" i="13"/>
  <c r="D725" i="13"/>
  <c r="D724" i="13"/>
  <c r="D723" i="13"/>
  <c r="D722" i="13"/>
  <c r="D721" i="13"/>
  <c r="D720" i="13"/>
  <c r="D719" i="13"/>
  <c r="D718" i="13"/>
  <c r="D717" i="13"/>
  <c r="D716" i="13"/>
  <c r="D715" i="13"/>
  <c r="D714" i="13"/>
  <c r="D713" i="13"/>
  <c r="D712" i="13"/>
  <c r="D711" i="13"/>
  <c r="D710" i="13"/>
  <c r="D709" i="13"/>
  <c r="D708" i="13"/>
  <c r="D707" i="13"/>
  <c r="D706" i="13"/>
  <c r="D705" i="13"/>
  <c r="D704" i="13"/>
  <c r="D703" i="13"/>
  <c r="D702" i="13"/>
  <c r="D701" i="13"/>
  <c r="D700" i="13"/>
  <c r="D699" i="13"/>
  <c r="D698" i="13"/>
  <c r="D697" i="13"/>
  <c r="D696" i="13"/>
  <c r="D695" i="13"/>
  <c r="D694" i="13"/>
  <c r="D693" i="13"/>
  <c r="D692" i="13"/>
  <c r="D691" i="13"/>
  <c r="D690" i="13"/>
  <c r="D689" i="13"/>
  <c r="D688" i="13"/>
  <c r="D687" i="13"/>
  <c r="D686" i="13"/>
  <c r="D685" i="13"/>
  <c r="D684" i="13"/>
  <c r="D683" i="13"/>
  <c r="D682" i="13"/>
  <c r="D681" i="13"/>
  <c r="D680" i="13"/>
  <c r="D679" i="13"/>
  <c r="D678" i="13"/>
  <c r="D677" i="13"/>
  <c r="D676" i="13"/>
  <c r="D675" i="13"/>
  <c r="D674" i="13"/>
  <c r="D673" i="13"/>
  <c r="D672" i="13"/>
  <c r="D671" i="13"/>
  <c r="D670" i="13"/>
  <c r="D669" i="13"/>
  <c r="D668" i="13"/>
  <c r="D667" i="13"/>
  <c r="D666" i="13"/>
  <c r="D665" i="13"/>
  <c r="D664" i="13"/>
  <c r="D663" i="13"/>
  <c r="D662" i="13"/>
  <c r="D661" i="13"/>
  <c r="D660" i="13"/>
  <c r="D659" i="13"/>
  <c r="D658" i="13"/>
  <c r="D657" i="13"/>
  <c r="D656" i="13"/>
  <c r="D655" i="13"/>
  <c r="D654" i="13"/>
  <c r="D653" i="13"/>
  <c r="D652" i="13"/>
  <c r="D651" i="13"/>
  <c r="D650" i="13"/>
  <c r="D649" i="13"/>
  <c r="D648" i="13"/>
  <c r="D647" i="13"/>
  <c r="D646" i="13"/>
  <c r="D645" i="13"/>
  <c r="D644" i="13"/>
  <c r="D643" i="13"/>
  <c r="D642" i="13"/>
  <c r="D641" i="13"/>
  <c r="D640" i="13"/>
  <c r="D639" i="13"/>
  <c r="D638" i="13"/>
  <c r="D637" i="13"/>
  <c r="D636" i="13"/>
  <c r="D635" i="13"/>
  <c r="D634" i="13"/>
  <c r="D633" i="13"/>
  <c r="D632" i="13"/>
  <c r="D631" i="13"/>
  <c r="D630" i="13"/>
  <c r="D629" i="13"/>
  <c r="D628" i="13"/>
  <c r="D627" i="13"/>
  <c r="D626" i="13"/>
  <c r="D625" i="13"/>
  <c r="D624" i="13"/>
  <c r="D623" i="13"/>
  <c r="D622" i="13"/>
  <c r="D621" i="13"/>
  <c r="D620" i="13"/>
  <c r="D619" i="13"/>
  <c r="D618" i="13"/>
  <c r="D617" i="13"/>
  <c r="D616" i="13"/>
  <c r="D615" i="13"/>
  <c r="D614" i="13"/>
  <c r="D613" i="13"/>
  <c r="D612" i="13"/>
  <c r="D611" i="13"/>
  <c r="D610" i="13"/>
  <c r="D609" i="13"/>
  <c r="D608" i="13"/>
  <c r="D607" i="13"/>
  <c r="D606" i="13"/>
  <c r="D605" i="13"/>
  <c r="D604" i="13"/>
  <c r="D603" i="13"/>
  <c r="D602" i="13"/>
  <c r="D601" i="13"/>
  <c r="D600" i="13"/>
  <c r="D599" i="13"/>
  <c r="D598" i="13"/>
  <c r="D597" i="13"/>
  <c r="D596" i="13"/>
  <c r="D595" i="13"/>
  <c r="D594" i="13"/>
  <c r="D593" i="13"/>
  <c r="D592" i="13"/>
  <c r="D591" i="13"/>
  <c r="D590" i="13"/>
  <c r="D589" i="13"/>
  <c r="D588" i="13"/>
  <c r="D587" i="13"/>
  <c r="D586" i="13"/>
  <c r="D585" i="13"/>
  <c r="D584" i="13"/>
  <c r="D583" i="13"/>
  <c r="D582" i="13"/>
  <c r="D581" i="13"/>
  <c r="D580" i="13"/>
  <c r="D579" i="13"/>
  <c r="D578" i="13"/>
  <c r="D577" i="13"/>
  <c r="D576" i="13"/>
  <c r="D575" i="13"/>
  <c r="D574" i="13"/>
  <c r="D573" i="13"/>
  <c r="D572" i="13"/>
  <c r="D571" i="13"/>
  <c r="D570" i="13"/>
  <c r="D569" i="13"/>
  <c r="D568" i="13"/>
  <c r="D567" i="13"/>
  <c r="D566" i="13"/>
  <c r="D565" i="13"/>
  <c r="D564" i="13"/>
  <c r="D563" i="13"/>
  <c r="D562" i="13"/>
  <c r="D561" i="13"/>
  <c r="D560" i="13"/>
  <c r="D559" i="13"/>
  <c r="D558" i="13"/>
  <c r="D557" i="13"/>
  <c r="D556" i="13"/>
  <c r="D555" i="13"/>
  <c r="D554" i="13"/>
  <c r="D553" i="13"/>
  <c r="D552" i="13"/>
  <c r="D551" i="13"/>
  <c r="D550" i="13"/>
  <c r="D549" i="13"/>
  <c r="D548" i="13"/>
  <c r="D547" i="13"/>
  <c r="D546" i="13"/>
  <c r="D545" i="13"/>
  <c r="D544" i="13"/>
  <c r="D543" i="13"/>
  <c r="D542" i="13"/>
  <c r="D541" i="13"/>
  <c r="D540" i="13"/>
  <c r="D539" i="13"/>
  <c r="D538" i="13"/>
  <c r="D537" i="13"/>
  <c r="D536" i="13"/>
  <c r="D535" i="13"/>
  <c r="D534" i="13"/>
  <c r="D533" i="13"/>
  <c r="D532" i="13"/>
  <c r="D531" i="13"/>
  <c r="D530" i="13"/>
  <c r="D529" i="13"/>
  <c r="D528" i="13"/>
  <c r="D527" i="13"/>
  <c r="D526" i="13"/>
  <c r="D525" i="13"/>
  <c r="D524" i="13"/>
  <c r="D523" i="13"/>
  <c r="D522" i="13"/>
  <c r="D521" i="13"/>
  <c r="D520" i="13"/>
  <c r="D519" i="13"/>
  <c r="D518" i="13"/>
  <c r="D517" i="13"/>
  <c r="D516" i="13"/>
  <c r="D515" i="13"/>
  <c r="D514" i="13"/>
  <c r="D513" i="13"/>
  <c r="D512" i="13"/>
  <c r="D511" i="13"/>
  <c r="D510" i="13"/>
  <c r="D509" i="13"/>
  <c r="D508" i="13"/>
  <c r="D507" i="13"/>
  <c r="D506" i="13"/>
  <c r="D505" i="13"/>
  <c r="D504" i="13"/>
  <c r="C504" i="13"/>
  <c r="B504" i="13"/>
  <c r="A504" i="13"/>
  <c r="D503" i="13"/>
  <c r="C503" i="13"/>
  <c r="B503" i="13"/>
  <c r="A503" i="13"/>
  <c r="D502" i="13"/>
  <c r="C502" i="13"/>
  <c r="B502" i="13"/>
  <c r="A502" i="13"/>
  <c r="D501" i="13"/>
  <c r="C501" i="13"/>
  <c r="B501" i="13"/>
  <c r="A501" i="13"/>
  <c r="D500" i="13"/>
  <c r="C500" i="13"/>
  <c r="B500" i="13"/>
  <c r="A500" i="13"/>
  <c r="D499" i="13"/>
  <c r="C499" i="13"/>
  <c r="B499" i="13"/>
  <c r="A499" i="13"/>
  <c r="D498" i="13"/>
  <c r="C498" i="13"/>
  <c r="B498" i="13"/>
  <c r="A498" i="13"/>
  <c r="D497" i="13"/>
  <c r="C497" i="13"/>
  <c r="B497" i="13"/>
  <c r="A497" i="13"/>
  <c r="D496" i="13"/>
  <c r="C496" i="13"/>
  <c r="B496" i="13"/>
  <c r="A496" i="13"/>
  <c r="D495" i="13"/>
  <c r="C495" i="13"/>
  <c r="B495" i="13"/>
  <c r="A495" i="13"/>
  <c r="D494" i="13"/>
  <c r="C494" i="13"/>
  <c r="B494" i="13"/>
  <c r="A494" i="13"/>
  <c r="D493" i="13"/>
  <c r="C493" i="13"/>
  <c r="B493" i="13"/>
  <c r="A493" i="13"/>
  <c r="D492" i="13"/>
  <c r="C492" i="13"/>
  <c r="B492" i="13"/>
  <c r="A492" i="13"/>
  <c r="D491" i="13"/>
  <c r="C491" i="13"/>
  <c r="B491" i="13"/>
  <c r="A491" i="13"/>
  <c r="D490" i="13"/>
  <c r="C490" i="13"/>
  <c r="B490" i="13"/>
  <c r="A490" i="13"/>
  <c r="D489" i="13"/>
  <c r="C489" i="13"/>
  <c r="B489" i="13"/>
  <c r="A489" i="13"/>
  <c r="D488" i="13"/>
  <c r="C488" i="13"/>
  <c r="B488" i="13"/>
  <c r="A488" i="13"/>
  <c r="D487" i="13"/>
  <c r="C487" i="13"/>
  <c r="B487" i="13"/>
  <c r="A487" i="13"/>
  <c r="D486" i="13"/>
  <c r="C486" i="13"/>
  <c r="B486" i="13"/>
  <c r="A486" i="13"/>
  <c r="D485" i="13"/>
  <c r="C485" i="13"/>
  <c r="B485" i="13"/>
  <c r="A485" i="13"/>
  <c r="D484" i="13"/>
  <c r="C484" i="13"/>
  <c r="B484" i="13"/>
  <c r="A484" i="13"/>
  <c r="D483" i="13"/>
  <c r="C483" i="13"/>
  <c r="B483" i="13"/>
  <c r="A483" i="13"/>
  <c r="D482" i="13"/>
  <c r="C482" i="13"/>
  <c r="B482" i="13"/>
  <c r="A482" i="13"/>
  <c r="D481" i="13"/>
  <c r="C481" i="13"/>
  <c r="B481" i="13"/>
  <c r="A481" i="13"/>
  <c r="D480" i="13"/>
  <c r="C480" i="13"/>
  <c r="B480" i="13"/>
  <c r="A480" i="13"/>
  <c r="D479" i="13"/>
  <c r="C479" i="13"/>
  <c r="B479" i="13"/>
  <c r="A479" i="13"/>
  <c r="D478" i="13"/>
  <c r="C478" i="13"/>
  <c r="B478" i="13"/>
  <c r="A478" i="13"/>
  <c r="D477" i="13"/>
  <c r="C477" i="13"/>
  <c r="B477" i="13"/>
  <c r="A477" i="13"/>
  <c r="D476" i="13"/>
  <c r="C476" i="13"/>
  <c r="B476" i="13"/>
  <c r="A476" i="13"/>
  <c r="D475" i="13"/>
  <c r="C475" i="13"/>
  <c r="B475" i="13"/>
  <c r="A475" i="13"/>
  <c r="D474" i="13"/>
  <c r="C474" i="13"/>
  <c r="B474" i="13"/>
  <c r="A474" i="13"/>
  <c r="D473" i="13"/>
  <c r="C473" i="13"/>
  <c r="B473" i="13"/>
  <c r="A473" i="13"/>
  <c r="D472" i="13"/>
  <c r="C472" i="13"/>
  <c r="B472" i="13"/>
  <c r="A472" i="13"/>
  <c r="D471" i="13"/>
  <c r="C471" i="13"/>
  <c r="B471" i="13"/>
  <c r="A471" i="13"/>
  <c r="D470" i="13"/>
  <c r="C470" i="13"/>
  <c r="B470" i="13"/>
  <c r="A470" i="13"/>
  <c r="D469" i="13"/>
  <c r="C469" i="13"/>
  <c r="B469" i="13"/>
  <c r="A469" i="13"/>
  <c r="D468" i="13"/>
  <c r="C468" i="13"/>
  <c r="B468" i="13"/>
  <c r="A468" i="13"/>
  <c r="D467" i="13"/>
  <c r="C467" i="13"/>
  <c r="B467" i="13"/>
  <c r="A467" i="13"/>
  <c r="D466" i="13"/>
  <c r="C466" i="13"/>
  <c r="B466" i="13"/>
  <c r="A466" i="13"/>
  <c r="D465" i="13"/>
  <c r="C465" i="13"/>
  <c r="B465" i="13"/>
  <c r="A465" i="13"/>
  <c r="D464" i="13"/>
  <c r="C464" i="13"/>
  <c r="B464" i="13"/>
  <c r="A464" i="13"/>
  <c r="D463" i="13"/>
  <c r="C463" i="13"/>
  <c r="B463" i="13"/>
  <c r="A463" i="13"/>
  <c r="D462" i="13"/>
  <c r="C462" i="13"/>
  <c r="B462" i="13"/>
  <c r="A462" i="13"/>
  <c r="D461" i="13"/>
  <c r="C461" i="13"/>
  <c r="B461" i="13"/>
  <c r="A461" i="13"/>
  <c r="D460" i="13"/>
  <c r="C460" i="13"/>
  <c r="B460" i="13"/>
  <c r="A460" i="13"/>
  <c r="D459" i="13"/>
  <c r="C459" i="13"/>
  <c r="B459" i="13"/>
  <c r="A459" i="13"/>
  <c r="D458" i="13"/>
  <c r="C458" i="13"/>
  <c r="B458" i="13"/>
  <c r="A458" i="13"/>
  <c r="D457" i="13"/>
  <c r="C457" i="13"/>
  <c r="B457" i="13"/>
  <c r="A457" i="13"/>
  <c r="D456" i="13"/>
  <c r="C456" i="13"/>
  <c r="B456" i="13"/>
  <c r="A456" i="13"/>
  <c r="D455" i="13"/>
  <c r="C455" i="13"/>
  <c r="B455" i="13"/>
  <c r="A455" i="13"/>
  <c r="D454" i="13"/>
  <c r="C454" i="13"/>
  <c r="B454" i="13"/>
  <c r="A454" i="13"/>
  <c r="D453" i="13"/>
  <c r="C453" i="13"/>
  <c r="B453" i="13"/>
  <c r="A453" i="13"/>
  <c r="D452" i="13"/>
  <c r="C452" i="13"/>
  <c r="B452" i="13"/>
  <c r="A452" i="13"/>
  <c r="D451" i="13"/>
  <c r="C451" i="13"/>
  <c r="B451" i="13"/>
  <c r="A451" i="13"/>
  <c r="D450" i="13"/>
  <c r="C450" i="13"/>
  <c r="B450" i="13"/>
  <c r="A450" i="13"/>
  <c r="D449" i="13"/>
  <c r="C449" i="13"/>
  <c r="B449" i="13"/>
  <c r="A449" i="13"/>
  <c r="D448" i="13"/>
  <c r="C448" i="13"/>
  <c r="B448" i="13"/>
  <c r="A448" i="13"/>
  <c r="D447" i="13"/>
  <c r="C447" i="13"/>
  <c r="B447" i="13"/>
  <c r="A447" i="13"/>
  <c r="D446" i="13"/>
  <c r="C446" i="13"/>
  <c r="B446" i="13"/>
  <c r="A446" i="13"/>
  <c r="D445" i="13"/>
  <c r="C445" i="13"/>
  <c r="B445" i="13"/>
  <c r="A445" i="13"/>
  <c r="D444" i="13"/>
  <c r="C444" i="13"/>
  <c r="B444" i="13"/>
  <c r="A444" i="13"/>
  <c r="D443" i="13"/>
  <c r="C443" i="13"/>
  <c r="B443" i="13"/>
  <c r="A443" i="13"/>
  <c r="D442" i="13"/>
  <c r="C442" i="13"/>
  <c r="B442" i="13"/>
  <c r="A442" i="13"/>
  <c r="D441" i="13"/>
  <c r="C441" i="13"/>
  <c r="B441" i="13"/>
  <c r="A441" i="13"/>
  <c r="D440" i="13"/>
  <c r="C440" i="13"/>
  <c r="B440" i="13"/>
  <c r="A440" i="13"/>
  <c r="D439" i="13"/>
  <c r="C439" i="13"/>
  <c r="B439" i="13"/>
  <c r="A439" i="13"/>
  <c r="D438" i="13"/>
  <c r="C438" i="13"/>
  <c r="B438" i="13"/>
  <c r="A438" i="13"/>
  <c r="D437" i="13"/>
  <c r="C437" i="13"/>
  <c r="B437" i="13"/>
  <c r="A437" i="13"/>
  <c r="D436" i="13"/>
  <c r="C436" i="13"/>
  <c r="B436" i="13"/>
  <c r="A436" i="13"/>
  <c r="D435" i="13"/>
  <c r="C435" i="13"/>
  <c r="B435" i="13"/>
  <c r="A435" i="13"/>
  <c r="D434" i="13"/>
  <c r="C434" i="13"/>
  <c r="B434" i="13"/>
  <c r="A434" i="13"/>
  <c r="D433" i="13"/>
  <c r="C433" i="13"/>
  <c r="B433" i="13"/>
  <c r="A433" i="13"/>
  <c r="D432" i="13"/>
  <c r="C432" i="13"/>
  <c r="B432" i="13"/>
  <c r="A432" i="13"/>
  <c r="D431" i="13"/>
  <c r="C431" i="13"/>
  <c r="B431" i="13"/>
  <c r="A431" i="13"/>
  <c r="D430" i="13"/>
  <c r="C430" i="13"/>
  <c r="B430" i="13"/>
  <c r="A430" i="13"/>
  <c r="D429" i="13"/>
  <c r="C429" i="13"/>
  <c r="B429" i="13"/>
  <c r="A429" i="13"/>
  <c r="D428" i="13"/>
  <c r="C428" i="13"/>
  <c r="B428" i="13"/>
  <c r="A428" i="13"/>
  <c r="D427" i="13"/>
  <c r="C427" i="13"/>
  <c r="B427" i="13"/>
  <c r="A427" i="13"/>
  <c r="D426" i="13"/>
  <c r="C426" i="13"/>
  <c r="B426" i="13"/>
  <c r="A426" i="13"/>
  <c r="D425" i="13"/>
  <c r="C425" i="13"/>
  <c r="B425" i="13"/>
  <c r="A425" i="13"/>
  <c r="D424" i="13"/>
  <c r="C424" i="13"/>
  <c r="B424" i="13"/>
  <c r="A424" i="13"/>
  <c r="D423" i="13"/>
  <c r="C423" i="13"/>
  <c r="B423" i="13"/>
  <c r="A423" i="13"/>
  <c r="D422" i="13"/>
  <c r="C422" i="13"/>
  <c r="B422" i="13"/>
  <c r="A422" i="13"/>
  <c r="D421" i="13"/>
  <c r="C421" i="13"/>
  <c r="B421" i="13"/>
  <c r="A421" i="13"/>
  <c r="D420" i="13"/>
  <c r="C420" i="13"/>
  <c r="B420" i="13"/>
  <c r="A420" i="13"/>
  <c r="D419" i="13"/>
  <c r="C419" i="13"/>
  <c r="B419" i="13"/>
  <c r="A419" i="13"/>
  <c r="D418" i="13"/>
  <c r="C418" i="13"/>
  <c r="B418" i="13"/>
  <c r="A418" i="13"/>
  <c r="D417" i="13"/>
  <c r="C417" i="13"/>
  <c r="B417" i="13"/>
  <c r="A417" i="13"/>
  <c r="D416" i="13"/>
  <c r="C416" i="13"/>
  <c r="B416" i="13"/>
  <c r="A416" i="13"/>
  <c r="D415" i="13"/>
  <c r="C415" i="13"/>
  <c r="B415" i="13"/>
  <c r="A415" i="13"/>
  <c r="D414" i="13"/>
  <c r="C414" i="13"/>
  <c r="B414" i="13"/>
  <c r="A414" i="13"/>
  <c r="D413" i="13"/>
  <c r="C413" i="13"/>
  <c r="B413" i="13"/>
  <c r="A413" i="13"/>
  <c r="D412" i="13"/>
  <c r="C412" i="13"/>
  <c r="B412" i="13"/>
  <c r="A412" i="13"/>
  <c r="D411" i="13"/>
  <c r="C411" i="13"/>
  <c r="B411" i="13"/>
  <c r="A411" i="13"/>
  <c r="D410" i="13"/>
  <c r="C410" i="13"/>
  <c r="B410" i="13"/>
  <c r="A410" i="13"/>
  <c r="D409" i="13"/>
  <c r="C409" i="13"/>
  <c r="B409" i="13"/>
  <c r="A409" i="13"/>
  <c r="D408" i="13"/>
  <c r="C408" i="13"/>
  <c r="B408" i="13"/>
  <c r="A408" i="13"/>
  <c r="D407" i="13"/>
  <c r="C407" i="13"/>
  <c r="B407" i="13"/>
  <c r="A407" i="13"/>
  <c r="D406" i="13"/>
  <c r="C406" i="13"/>
  <c r="B406" i="13"/>
  <c r="A406" i="13"/>
  <c r="D405" i="13"/>
  <c r="C405" i="13"/>
  <c r="B405" i="13"/>
  <c r="A405" i="13"/>
  <c r="D404" i="13"/>
  <c r="C404" i="13"/>
  <c r="B404" i="13"/>
  <c r="A404" i="13"/>
  <c r="D403" i="13"/>
  <c r="C403" i="13"/>
  <c r="B403" i="13"/>
  <c r="A403" i="13"/>
  <c r="D402" i="13"/>
  <c r="C402" i="13"/>
  <c r="B402" i="13"/>
  <c r="A402" i="13"/>
  <c r="D401" i="13"/>
  <c r="C401" i="13"/>
  <c r="B401" i="13"/>
  <c r="A401" i="13"/>
  <c r="D400" i="13"/>
  <c r="C400" i="13"/>
  <c r="B400" i="13"/>
  <c r="A400" i="13"/>
  <c r="D399" i="13"/>
  <c r="C399" i="13"/>
  <c r="B399" i="13"/>
  <c r="A399" i="13"/>
  <c r="D398" i="13"/>
  <c r="C398" i="13"/>
  <c r="B398" i="13"/>
  <c r="A398" i="13"/>
  <c r="D397" i="13"/>
  <c r="C397" i="13"/>
  <c r="B397" i="13"/>
  <c r="A397" i="13"/>
  <c r="D396" i="13"/>
  <c r="C396" i="13"/>
  <c r="B396" i="13"/>
  <c r="A396" i="13"/>
  <c r="D395" i="13"/>
  <c r="C395" i="13"/>
  <c r="B395" i="13"/>
  <c r="A395" i="13"/>
  <c r="D394" i="13"/>
  <c r="C394" i="13"/>
  <c r="B394" i="13"/>
  <c r="A394" i="13"/>
  <c r="D393" i="13"/>
  <c r="C393" i="13"/>
  <c r="B393" i="13"/>
  <c r="A393" i="13"/>
  <c r="D392" i="13"/>
  <c r="C392" i="13"/>
  <c r="B392" i="13"/>
  <c r="A392" i="13"/>
  <c r="D391" i="13"/>
  <c r="C391" i="13"/>
  <c r="B391" i="13"/>
  <c r="A391" i="13"/>
  <c r="D390" i="13"/>
  <c r="C390" i="13"/>
  <c r="B390" i="13"/>
  <c r="A390" i="13"/>
  <c r="D389" i="13"/>
  <c r="C389" i="13"/>
  <c r="B389" i="13"/>
  <c r="A389" i="13"/>
  <c r="D388" i="13"/>
  <c r="C388" i="13"/>
  <c r="B388" i="13"/>
  <c r="A388" i="13"/>
  <c r="D387" i="13"/>
  <c r="C387" i="13"/>
  <c r="B387" i="13"/>
  <c r="A387" i="13"/>
  <c r="D386" i="13"/>
  <c r="C386" i="13"/>
  <c r="B386" i="13"/>
  <c r="A386" i="13"/>
  <c r="D385" i="13"/>
  <c r="C385" i="13"/>
  <c r="B385" i="13"/>
  <c r="A385" i="13"/>
  <c r="D384" i="13"/>
  <c r="C384" i="13"/>
  <c r="B384" i="13"/>
  <c r="A384" i="13"/>
  <c r="D383" i="13"/>
  <c r="C383" i="13"/>
  <c r="B383" i="13"/>
  <c r="A383" i="13"/>
  <c r="D382" i="13"/>
  <c r="C382" i="13"/>
  <c r="B382" i="13"/>
  <c r="A382" i="13"/>
  <c r="D381" i="13"/>
  <c r="C381" i="13"/>
  <c r="B381" i="13"/>
  <c r="A381" i="13"/>
  <c r="D380" i="13"/>
  <c r="C380" i="13"/>
  <c r="B380" i="13"/>
  <c r="A380" i="13"/>
  <c r="D379" i="13"/>
  <c r="C379" i="13"/>
  <c r="B379" i="13"/>
  <c r="A379" i="13"/>
  <c r="D378" i="13"/>
  <c r="C378" i="13"/>
  <c r="B378" i="13"/>
  <c r="A378" i="13"/>
  <c r="D377" i="13"/>
  <c r="C377" i="13"/>
  <c r="B377" i="13"/>
  <c r="A377" i="13"/>
  <c r="D376" i="13"/>
  <c r="C376" i="13"/>
  <c r="B376" i="13"/>
  <c r="A376" i="13"/>
  <c r="D375" i="13"/>
  <c r="C375" i="13"/>
  <c r="B375" i="13"/>
  <c r="A375" i="13"/>
  <c r="D374" i="13"/>
  <c r="C374" i="13"/>
  <c r="B374" i="13"/>
  <c r="A374" i="13"/>
  <c r="D373" i="13"/>
  <c r="C373" i="13"/>
  <c r="B373" i="13"/>
  <c r="A373" i="13"/>
  <c r="D372" i="13"/>
  <c r="C372" i="13"/>
  <c r="B372" i="13"/>
  <c r="A372" i="13"/>
  <c r="D371" i="13"/>
  <c r="C371" i="13"/>
  <c r="B371" i="13"/>
  <c r="A371" i="13"/>
  <c r="D370" i="13"/>
  <c r="C370" i="13"/>
  <c r="B370" i="13"/>
  <c r="A370" i="13"/>
  <c r="D369" i="13"/>
  <c r="C369" i="13"/>
  <c r="B369" i="13"/>
  <c r="A369" i="13"/>
  <c r="D368" i="13"/>
  <c r="C368" i="13"/>
  <c r="B368" i="13"/>
  <c r="A368" i="13"/>
  <c r="D367" i="13"/>
  <c r="C367" i="13"/>
  <c r="B367" i="13"/>
  <c r="A367" i="13"/>
  <c r="D366" i="13"/>
  <c r="C366" i="13"/>
  <c r="B366" i="13"/>
  <c r="A366" i="13"/>
  <c r="D365" i="13"/>
  <c r="C365" i="13"/>
  <c r="B365" i="13"/>
  <c r="A365" i="13"/>
  <c r="D364" i="13"/>
  <c r="C364" i="13"/>
  <c r="B364" i="13"/>
  <c r="A364" i="13"/>
  <c r="D363" i="13"/>
  <c r="C363" i="13"/>
  <c r="B363" i="13"/>
  <c r="A363" i="13"/>
  <c r="D362" i="13"/>
  <c r="C362" i="13"/>
  <c r="B362" i="13"/>
  <c r="A362" i="13"/>
  <c r="D361" i="13"/>
  <c r="C361" i="13"/>
  <c r="B361" i="13"/>
  <c r="A361" i="13"/>
  <c r="D360" i="13"/>
  <c r="C360" i="13"/>
  <c r="B360" i="13"/>
  <c r="A360" i="13"/>
  <c r="D359" i="13"/>
  <c r="C359" i="13"/>
  <c r="B359" i="13"/>
  <c r="A359" i="13"/>
  <c r="D358" i="13"/>
  <c r="C358" i="13"/>
  <c r="B358" i="13"/>
  <c r="A358" i="13"/>
  <c r="D357" i="13"/>
  <c r="C357" i="13"/>
  <c r="B357" i="13"/>
  <c r="A357" i="13"/>
  <c r="D356" i="13"/>
  <c r="C356" i="13"/>
  <c r="B356" i="13"/>
  <c r="A356" i="13"/>
  <c r="D355" i="13"/>
  <c r="C355" i="13"/>
  <c r="B355" i="13"/>
  <c r="A355" i="13"/>
  <c r="D354" i="13"/>
  <c r="C354" i="13"/>
  <c r="B354" i="13"/>
  <c r="A354" i="13"/>
  <c r="D353" i="13"/>
  <c r="C353" i="13"/>
  <c r="B353" i="13"/>
  <c r="A353" i="13"/>
  <c r="D352" i="13"/>
  <c r="C352" i="13"/>
  <c r="B352" i="13"/>
  <c r="A352" i="13"/>
  <c r="D351" i="13"/>
  <c r="C351" i="13"/>
  <c r="B351" i="13"/>
  <c r="A351" i="13"/>
  <c r="D350" i="13"/>
  <c r="C350" i="13"/>
  <c r="B350" i="13"/>
  <c r="A350" i="13"/>
  <c r="D349" i="13"/>
  <c r="C349" i="13"/>
  <c r="B349" i="13"/>
  <c r="A349" i="13"/>
  <c r="D348" i="13"/>
  <c r="C348" i="13"/>
  <c r="B348" i="13"/>
  <c r="A348" i="13"/>
  <c r="D347" i="13"/>
  <c r="C347" i="13"/>
  <c r="B347" i="13"/>
  <c r="A347" i="13"/>
  <c r="D346" i="13"/>
  <c r="C346" i="13"/>
  <c r="B346" i="13"/>
  <c r="A346" i="13"/>
  <c r="D345" i="13"/>
  <c r="C345" i="13"/>
  <c r="B345" i="13"/>
  <c r="A345" i="13"/>
  <c r="D344" i="13"/>
  <c r="C344" i="13"/>
  <c r="B344" i="13"/>
  <c r="A344" i="13"/>
  <c r="D343" i="13"/>
  <c r="C343" i="13"/>
  <c r="B343" i="13"/>
  <c r="A343" i="13"/>
  <c r="D342" i="13"/>
  <c r="C342" i="13"/>
  <c r="B342" i="13"/>
  <c r="A342" i="13"/>
  <c r="D341" i="13"/>
  <c r="C341" i="13"/>
  <c r="B341" i="13"/>
  <c r="A341" i="13"/>
  <c r="D340" i="13"/>
  <c r="C340" i="13"/>
  <c r="B340" i="13"/>
  <c r="A340" i="13"/>
  <c r="D339" i="13"/>
  <c r="C339" i="13"/>
  <c r="B339" i="13"/>
  <c r="A339" i="13"/>
  <c r="D338" i="13"/>
  <c r="C338" i="13"/>
  <c r="B338" i="13"/>
  <c r="A338" i="13"/>
  <c r="D337" i="13"/>
  <c r="C337" i="13"/>
  <c r="B337" i="13"/>
  <c r="A337" i="13"/>
  <c r="D336" i="13"/>
  <c r="C336" i="13"/>
  <c r="B336" i="13"/>
  <c r="A336" i="13"/>
  <c r="D335" i="13"/>
  <c r="C335" i="13"/>
  <c r="B335" i="13"/>
  <c r="A335" i="13"/>
  <c r="D334" i="13"/>
  <c r="C334" i="13"/>
  <c r="B334" i="13"/>
  <c r="A334" i="13"/>
  <c r="D333" i="13"/>
  <c r="C333" i="13"/>
  <c r="B333" i="13"/>
  <c r="A333" i="13"/>
  <c r="D332" i="13"/>
  <c r="C332" i="13"/>
  <c r="B332" i="13"/>
  <c r="A332" i="13"/>
  <c r="D331" i="13"/>
  <c r="C331" i="13"/>
  <c r="B331" i="13"/>
  <c r="A331" i="13"/>
  <c r="D330" i="13"/>
  <c r="C330" i="13"/>
  <c r="B330" i="13"/>
  <c r="A330" i="13"/>
  <c r="D329" i="13"/>
  <c r="C329" i="13"/>
  <c r="B329" i="13"/>
  <c r="A329" i="13"/>
  <c r="D328" i="13"/>
  <c r="C328" i="13"/>
  <c r="B328" i="13"/>
  <c r="A328" i="13"/>
  <c r="D327" i="13"/>
  <c r="C327" i="13"/>
  <c r="B327" i="13"/>
  <c r="A327" i="13"/>
  <c r="D326" i="13"/>
  <c r="C326" i="13"/>
  <c r="B326" i="13"/>
  <c r="A326" i="13"/>
  <c r="D325" i="13"/>
  <c r="C325" i="13"/>
  <c r="B325" i="13"/>
  <c r="A325" i="13"/>
  <c r="D324" i="13"/>
  <c r="C324" i="13"/>
  <c r="B324" i="13"/>
  <c r="A324" i="13"/>
  <c r="D323" i="13"/>
  <c r="C323" i="13"/>
  <c r="B323" i="13"/>
  <c r="A323" i="13"/>
  <c r="D322" i="13"/>
  <c r="C322" i="13"/>
  <c r="B322" i="13"/>
  <c r="A322" i="13"/>
  <c r="D321" i="13"/>
  <c r="C321" i="13"/>
  <c r="B321" i="13"/>
  <c r="A321" i="13"/>
  <c r="D320" i="13"/>
  <c r="C320" i="13"/>
  <c r="B320" i="13"/>
  <c r="A320" i="13"/>
  <c r="D319" i="13"/>
  <c r="C319" i="13"/>
  <c r="B319" i="13"/>
  <c r="A319" i="13"/>
  <c r="D318" i="13"/>
  <c r="C318" i="13"/>
  <c r="B318" i="13"/>
  <c r="A318" i="13"/>
  <c r="D317" i="13"/>
  <c r="C317" i="13"/>
  <c r="B317" i="13"/>
  <c r="A317" i="13"/>
  <c r="D316" i="13"/>
  <c r="C316" i="13"/>
  <c r="B316" i="13"/>
  <c r="A316" i="13"/>
  <c r="D315" i="13"/>
  <c r="C315" i="13"/>
  <c r="B315" i="13"/>
  <c r="A315" i="13"/>
  <c r="D314" i="13"/>
  <c r="C314" i="13"/>
  <c r="B314" i="13"/>
  <c r="A314" i="13"/>
  <c r="D313" i="13"/>
  <c r="C313" i="13"/>
  <c r="B313" i="13"/>
  <c r="A313" i="13"/>
  <c r="D312" i="13"/>
  <c r="C312" i="13"/>
  <c r="B312" i="13"/>
  <c r="A312" i="13"/>
  <c r="D311" i="13"/>
  <c r="C311" i="13"/>
  <c r="B311" i="13"/>
  <c r="A311" i="13"/>
  <c r="D310" i="13"/>
  <c r="C310" i="13"/>
  <c r="B310" i="13"/>
  <c r="A310" i="13"/>
  <c r="D309" i="13"/>
  <c r="C309" i="13"/>
  <c r="B309" i="13"/>
  <c r="A309" i="13"/>
  <c r="D308" i="13"/>
  <c r="C308" i="13"/>
  <c r="B308" i="13"/>
  <c r="A308" i="13"/>
  <c r="D307" i="13"/>
  <c r="C307" i="13"/>
  <c r="B307" i="13"/>
  <c r="A307" i="13"/>
  <c r="D306" i="13"/>
  <c r="C306" i="13"/>
  <c r="B306" i="13"/>
  <c r="A306" i="13"/>
  <c r="D305" i="13"/>
  <c r="C305" i="13"/>
  <c r="B305" i="13"/>
  <c r="A305" i="13"/>
  <c r="D304" i="13"/>
  <c r="C304" i="13"/>
  <c r="B304" i="13"/>
  <c r="A304" i="13"/>
  <c r="D303" i="13"/>
  <c r="C303" i="13"/>
  <c r="B303" i="13"/>
  <c r="A303" i="13"/>
  <c r="D302" i="13"/>
  <c r="C302" i="13"/>
  <c r="B302" i="13"/>
  <c r="A302" i="13"/>
  <c r="D301" i="13"/>
  <c r="C301" i="13"/>
  <c r="B301" i="13"/>
  <c r="A301" i="13"/>
  <c r="D300" i="13"/>
  <c r="C300" i="13"/>
  <c r="B300" i="13"/>
  <c r="A300" i="13"/>
  <c r="D299" i="13"/>
  <c r="C299" i="13"/>
  <c r="B299" i="13"/>
  <c r="A299" i="13"/>
  <c r="D298" i="13"/>
  <c r="C298" i="13"/>
  <c r="B298" i="13"/>
  <c r="A298" i="13"/>
  <c r="D297" i="13"/>
  <c r="C297" i="13"/>
  <c r="B297" i="13"/>
  <c r="A297" i="13"/>
  <c r="D296" i="13"/>
  <c r="C296" i="13"/>
  <c r="B296" i="13"/>
  <c r="A296" i="13"/>
  <c r="D295" i="13"/>
  <c r="C295" i="13"/>
  <c r="B295" i="13"/>
  <c r="A295" i="13"/>
  <c r="D294" i="13"/>
  <c r="C294" i="13"/>
  <c r="B294" i="13"/>
  <c r="A294" i="13"/>
  <c r="D293" i="13"/>
  <c r="C293" i="13"/>
  <c r="B293" i="13"/>
  <c r="A293" i="13"/>
  <c r="D292" i="13"/>
  <c r="C292" i="13"/>
  <c r="B292" i="13"/>
  <c r="A292" i="13"/>
  <c r="D291" i="13"/>
  <c r="C291" i="13"/>
  <c r="B291" i="13"/>
  <c r="A291" i="13"/>
  <c r="D290" i="13"/>
  <c r="C290" i="13"/>
  <c r="B290" i="13"/>
  <c r="A290" i="13"/>
  <c r="D289" i="13"/>
  <c r="C289" i="13"/>
  <c r="B289" i="13"/>
  <c r="A289" i="13"/>
  <c r="D288" i="13"/>
  <c r="C288" i="13"/>
  <c r="B288" i="13"/>
  <c r="A288" i="13"/>
  <c r="D287" i="13"/>
  <c r="C287" i="13"/>
  <c r="B287" i="13"/>
  <c r="A287" i="13"/>
  <c r="D286" i="13"/>
  <c r="C286" i="13"/>
  <c r="B286" i="13"/>
  <c r="A286" i="13"/>
  <c r="D285" i="13"/>
  <c r="C285" i="13"/>
  <c r="B285" i="13"/>
  <c r="A285" i="13"/>
  <c r="D284" i="13"/>
  <c r="C284" i="13"/>
  <c r="B284" i="13"/>
  <c r="A284" i="13"/>
  <c r="D283" i="13"/>
  <c r="C283" i="13"/>
  <c r="B283" i="13"/>
  <c r="A283" i="13"/>
  <c r="D282" i="13"/>
  <c r="C282" i="13"/>
  <c r="B282" i="13"/>
  <c r="A282" i="13"/>
  <c r="D281" i="13"/>
  <c r="C281" i="13"/>
  <c r="B281" i="13"/>
  <c r="A281" i="13"/>
  <c r="D280" i="13"/>
  <c r="C280" i="13"/>
  <c r="B280" i="13"/>
  <c r="A280" i="13"/>
  <c r="D279" i="13"/>
  <c r="C279" i="13"/>
  <c r="B279" i="13"/>
  <c r="A279" i="13"/>
  <c r="D278" i="13"/>
  <c r="C278" i="13"/>
  <c r="B278" i="13"/>
  <c r="A278" i="13"/>
  <c r="D277" i="13"/>
  <c r="C277" i="13"/>
  <c r="B277" i="13"/>
  <c r="A277" i="13"/>
  <c r="D276" i="13"/>
  <c r="C276" i="13"/>
  <c r="B276" i="13"/>
  <c r="A276" i="13"/>
  <c r="D275" i="13"/>
  <c r="C275" i="13"/>
  <c r="B275" i="13"/>
  <c r="A275" i="13"/>
  <c r="D274" i="13"/>
  <c r="C274" i="13"/>
  <c r="B274" i="13"/>
  <c r="A274" i="13"/>
  <c r="D273" i="13"/>
  <c r="C273" i="13"/>
  <c r="B273" i="13"/>
  <c r="A273" i="13"/>
  <c r="D272" i="13"/>
  <c r="C272" i="13"/>
  <c r="B272" i="13"/>
  <c r="A272" i="13"/>
  <c r="D271" i="13"/>
  <c r="C271" i="13"/>
  <c r="B271" i="13"/>
  <c r="A271" i="13"/>
  <c r="D270" i="13"/>
  <c r="C270" i="13"/>
  <c r="B270" i="13"/>
  <c r="A270" i="13"/>
  <c r="D269" i="13"/>
  <c r="C269" i="13"/>
  <c r="B269" i="13"/>
  <c r="A269" i="13"/>
  <c r="D268" i="13"/>
  <c r="C268" i="13"/>
  <c r="B268" i="13"/>
  <c r="A268" i="13"/>
  <c r="D267" i="13"/>
  <c r="C267" i="13"/>
  <c r="B267" i="13"/>
  <c r="A267" i="13"/>
  <c r="D266" i="13"/>
  <c r="C266" i="13"/>
  <c r="B266" i="13"/>
  <c r="A266" i="13"/>
  <c r="D265" i="13"/>
  <c r="C265" i="13"/>
  <c r="B265" i="13"/>
  <c r="A265" i="13"/>
  <c r="D264" i="13"/>
  <c r="C264" i="13"/>
  <c r="B264" i="13"/>
  <c r="A264" i="13"/>
  <c r="D263" i="13"/>
  <c r="C263" i="13"/>
  <c r="B263" i="13"/>
  <c r="A263" i="13"/>
  <c r="D262" i="13"/>
  <c r="C262" i="13"/>
  <c r="B262" i="13"/>
  <c r="A262" i="13"/>
  <c r="D261" i="13"/>
  <c r="C261" i="13"/>
  <c r="B261" i="13"/>
  <c r="A261" i="13"/>
  <c r="D260" i="13"/>
  <c r="C260" i="13"/>
  <c r="B260" i="13"/>
  <c r="A260" i="13"/>
  <c r="D259" i="13"/>
  <c r="C259" i="13"/>
  <c r="B259" i="13"/>
  <c r="A259" i="13"/>
  <c r="D258" i="13"/>
  <c r="C258" i="13"/>
  <c r="B258" i="13"/>
  <c r="A258" i="13"/>
  <c r="D257" i="13"/>
  <c r="C257" i="13"/>
  <c r="B257" i="13"/>
  <c r="A257" i="13"/>
  <c r="D256" i="13"/>
  <c r="C256" i="13"/>
  <c r="B256" i="13"/>
  <c r="A256" i="13"/>
  <c r="D255" i="13"/>
  <c r="C255" i="13"/>
  <c r="B255" i="13"/>
  <c r="A255" i="13"/>
  <c r="D254" i="13"/>
  <c r="C254" i="13"/>
  <c r="B254" i="13"/>
  <c r="A254" i="13"/>
  <c r="D253" i="13"/>
  <c r="C253" i="13"/>
  <c r="B253" i="13"/>
  <c r="A253" i="13"/>
  <c r="D252" i="13"/>
  <c r="C252" i="13"/>
  <c r="B252" i="13"/>
  <c r="A252" i="13"/>
  <c r="D251" i="13"/>
  <c r="C251" i="13"/>
  <c r="B251" i="13"/>
  <c r="A251" i="13"/>
  <c r="D250" i="13"/>
  <c r="C250" i="13"/>
  <c r="B250" i="13"/>
  <c r="A250" i="13"/>
  <c r="D249" i="13"/>
  <c r="C249" i="13"/>
  <c r="B249" i="13"/>
  <c r="A249" i="13"/>
  <c r="D248" i="13"/>
  <c r="C248" i="13"/>
  <c r="B248" i="13"/>
  <c r="A248" i="13"/>
  <c r="D247" i="13"/>
  <c r="C247" i="13"/>
  <c r="B247" i="13"/>
  <c r="A247" i="13"/>
  <c r="D246" i="13"/>
  <c r="C246" i="13"/>
  <c r="B246" i="13"/>
  <c r="A246" i="13"/>
  <c r="D245" i="13"/>
  <c r="C245" i="13"/>
  <c r="B245" i="13"/>
  <c r="A245" i="13"/>
  <c r="D244" i="13"/>
  <c r="C244" i="13"/>
  <c r="B244" i="13"/>
  <c r="A244" i="13"/>
  <c r="D243" i="13"/>
  <c r="C243" i="13"/>
  <c r="B243" i="13"/>
  <c r="A243" i="13"/>
  <c r="D242" i="13"/>
  <c r="C242" i="13"/>
  <c r="B242" i="13"/>
  <c r="A242" i="13"/>
  <c r="D241" i="13"/>
  <c r="C241" i="13"/>
  <c r="B241" i="13"/>
  <c r="A241" i="13"/>
  <c r="D240" i="13"/>
  <c r="C240" i="13"/>
  <c r="B240" i="13"/>
  <c r="A240" i="13"/>
  <c r="D239" i="13"/>
  <c r="C239" i="13"/>
  <c r="B239" i="13"/>
  <c r="A239" i="13"/>
  <c r="D238" i="13"/>
  <c r="C238" i="13"/>
  <c r="B238" i="13"/>
  <c r="A238" i="13"/>
  <c r="D237" i="13"/>
  <c r="C237" i="13"/>
  <c r="B237" i="13"/>
  <c r="A237" i="13"/>
  <c r="D236" i="13"/>
  <c r="C236" i="13"/>
  <c r="B236" i="13"/>
  <c r="A236" i="13"/>
  <c r="D235" i="13"/>
  <c r="C235" i="13"/>
  <c r="B235" i="13"/>
  <c r="A235" i="13"/>
  <c r="D234" i="13"/>
  <c r="C234" i="13"/>
  <c r="B234" i="13"/>
  <c r="A234" i="13"/>
  <c r="D233" i="13"/>
  <c r="C233" i="13"/>
  <c r="B233" i="13"/>
  <c r="A233" i="13"/>
  <c r="D232" i="13"/>
  <c r="C232" i="13"/>
  <c r="B232" i="13"/>
  <c r="A232" i="13"/>
  <c r="D231" i="13"/>
  <c r="C231" i="13"/>
  <c r="B231" i="13"/>
  <c r="A231" i="13"/>
  <c r="D230" i="13"/>
  <c r="C230" i="13"/>
  <c r="B230" i="13"/>
  <c r="A230" i="13"/>
  <c r="D229" i="13"/>
  <c r="C229" i="13"/>
  <c r="B229" i="13"/>
  <c r="A229" i="13"/>
  <c r="D228" i="13"/>
  <c r="C228" i="13"/>
  <c r="B228" i="13"/>
  <c r="A228" i="13"/>
  <c r="D227" i="13"/>
  <c r="C227" i="13"/>
  <c r="B227" i="13"/>
  <c r="A227" i="13"/>
  <c r="D226" i="13"/>
  <c r="C226" i="13"/>
  <c r="B226" i="13"/>
  <c r="A226" i="13"/>
  <c r="D225" i="13"/>
  <c r="C225" i="13"/>
  <c r="B225" i="13"/>
  <c r="A225" i="13"/>
  <c r="D224" i="13"/>
  <c r="C224" i="13"/>
  <c r="B224" i="13"/>
  <c r="A224" i="13"/>
  <c r="D223" i="13"/>
  <c r="C223" i="13"/>
  <c r="B223" i="13"/>
  <c r="A223" i="13"/>
  <c r="D222" i="13"/>
  <c r="C222" i="13"/>
  <c r="B222" i="13"/>
  <c r="A222" i="13"/>
  <c r="D221" i="13"/>
  <c r="C221" i="13"/>
  <c r="B221" i="13"/>
  <c r="A221" i="13"/>
  <c r="D220" i="13"/>
  <c r="C220" i="13"/>
  <c r="B220" i="13"/>
  <c r="A220" i="13"/>
  <c r="D219" i="13"/>
  <c r="C219" i="13"/>
  <c r="B219" i="13"/>
  <c r="A219" i="13"/>
  <c r="D218" i="13"/>
  <c r="C218" i="13"/>
  <c r="B218" i="13"/>
  <c r="A218" i="13"/>
  <c r="D217" i="13"/>
  <c r="C217" i="13"/>
  <c r="B217" i="13"/>
  <c r="A217" i="13"/>
  <c r="D216" i="13"/>
  <c r="C216" i="13"/>
  <c r="B216" i="13"/>
  <c r="A216" i="13"/>
  <c r="D215" i="13"/>
  <c r="C215" i="13"/>
  <c r="B215" i="13"/>
  <c r="A215" i="13"/>
  <c r="D214" i="13"/>
  <c r="C214" i="13"/>
  <c r="B214" i="13"/>
  <c r="A214" i="13"/>
  <c r="D213" i="13"/>
  <c r="C213" i="13"/>
  <c r="B213" i="13"/>
  <c r="A213" i="13"/>
  <c r="D212" i="13"/>
  <c r="C212" i="13"/>
  <c r="B212" i="13"/>
  <c r="A212" i="13"/>
  <c r="D211" i="13"/>
  <c r="C211" i="13"/>
  <c r="B211" i="13"/>
  <c r="A211" i="13"/>
  <c r="D210" i="13"/>
  <c r="C210" i="13"/>
  <c r="B210" i="13"/>
  <c r="A210" i="13"/>
  <c r="D209" i="13"/>
  <c r="C209" i="13"/>
  <c r="B209" i="13"/>
  <c r="A209" i="13"/>
  <c r="D208" i="13"/>
  <c r="C208" i="13"/>
  <c r="B208" i="13"/>
  <c r="A208" i="13"/>
  <c r="D207" i="13"/>
  <c r="C207" i="13"/>
  <c r="B207" i="13"/>
  <c r="A207" i="13"/>
  <c r="D206" i="13"/>
  <c r="C206" i="13"/>
  <c r="B206" i="13"/>
  <c r="A206" i="13"/>
  <c r="D205" i="13"/>
  <c r="C205" i="13"/>
  <c r="B205" i="13"/>
  <c r="A205" i="13"/>
  <c r="D204" i="13"/>
  <c r="C204" i="13"/>
  <c r="B204" i="13"/>
  <c r="A204" i="13"/>
  <c r="D203" i="13"/>
  <c r="C203" i="13"/>
  <c r="B203" i="13"/>
  <c r="A203" i="13"/>
  <c r="D202" i="13"/>
  <c r="C202" i="13"/>
  <c r="B202" i="13"/>
  <c r="A202" i="13"/>
  <c r="D201" i="13"/>
  <c r="C201" i="13"/>
  <c r="B201" i="13"/>
  <c r="A201" i="13"/>
  <c r="D200" i="13"/>
  <c r="C200" i="13"/>
  <c r="B200" i="13"/>
  <c r="A200" i="13"/>
  <c r="D199" i="13"/>
  <c r="C199" i="13"/>
  <c r="B199" i="13"/>
  <c r="A199" i="13"/>
  <c r="D198" i="13"/>
  <c r="C198" i="13"/>
  <c r="B198" i="13"/>
  <c r="A198" i="13"/>
  <c r="D197" i="13"/>
  <c r="C197" i="13"/>
  <c r="B197" i="13"/>
  <c r="A197" i="13"/>
  <c r="D196" i="13"/>
  <c r="C196" i="13"/>
  <c r="B196" i="13"/>
  <c r="A196" i="13"/>
  <c r="D195" i="13"/>
  <c r="C195" i="13"/>
  <c r="B195" i="13"/>
  <c r="A195" i="13"/>
  <c r="D194" i="13"/>
  <c r="C194" i="13"/>
  <c r="B194" i="13"/>
  <c r="A194" i="13"/>
  <c r="D193" i="13"/>
  <c r="C193" i="13"/>
  <c r="B193" i="13"/>
  <c r="A193" i="13"/>
  <c r="D192" i="13"/>
  <c r="C192" i="13"/>
  <c r="B192" i="13"/>
  <c r="A192" i="13"/>
  <c r="D191" i="13"/>
  <c r="C191" i="13"/>
  <c r="B191" i="13"/>
  <c r="A191" i="13"/>
  <c r="D190" i="13"/>
  <c r="C190" i="13"/>
  <c r="B190" i="13"/>
  <c r="A190" i="13"/>
  <c r="D189" i="13"/>
  <c r="C189" i="13"/>
  <c r="B189" i="13"/>
  <c r="A189" i="13"/>
  <c r="D188" i="13"/>
  <c r="C188" i="13"/>
  <c r="B188" i="13"/>
  <c r="A188" i="13"/>
  <c r="D187" i="13"/>
  <c r="C187" i="13"/>
  <c r="B187" i="13"/>
  <c r="A187" i="13"/>
  <c r="D186" i="13"/>
  <c r="C186" i="13"/>
  <c r="B186" i="13"/>
  <c r="A186" i="13"/>
  <c r="D185" i="13"/>
  <c r="C185" i="13"/>
  <c r="B185" i="13"/>
  <c r="A185" i="13"/>
  <c r="D184" i="13"/>
  <c r="C184" i="13"/>
  <c r="B184" i="13"/>
  <c r="A184" i="13"/>
  <c r="D183" i="13"/>
  <c r="C183" i="13"/>
  <c r="B183" i="13"/>
  <c r="A183" i="13"/>
  <c r="D182" i="13"/>
  <c r="C182" i="13"/>
  <c r="B182" i="13"/>
  <c r="A182" i="13"/>
  <c r="D181" i="13"/>
  <c r="C181" i="13"/>
  <c r="B181" i="13"/>
  <c r="A181" i="13"/>
  <c r="D180" i="13"/>
  <c r="C180" i="13"/>
  <c r="B180" i="13"/>
  <c r="A180" i="13"/>
  <c r="D179" i="13"/>
  <c r="C179" i="13"/>
  <c r="B179" i="13"/>
  <c r="A179" i="13"/>
  <c r="D178" i="13"/>
  <c r="C178" i="13"/>
  <c r="B178" i="13"/>
  <c r="A178" i="13"/>
  <c r="D177" i="13"/>
  <c r="C177" i="13"/>
  <c r="B177" i="13"/>
  <c r="A177" i="13"/>
  <c r="D176" i="13"/>
  <c r="C176" i="13"/>
  <c r="B176" i="13"/>
  <c r="A176" i="13"/>
  <c r="D175" i="13"/>
  <c r="C175" i="13"/>
  <c r="B175" i="13"/>
  <c r="A175" i="13"/>
  <c r="D174" i="13"/>
  <c r="C174" i="13"/>
  <c r="B174" i="13"/>
  <c r="A174" i="13"/>
  <c r="D173" i="13"/>
  <c r="C173" i="13"/>
  <c r="B173" i="13"/>
  <c r="A173" i="13"/>
  <c r="D172" i="13"/>
  <c r="C172" i="13"/>
  <c r="B172" i="13"/>
  <c r="A172" i="13"/>
  <c r="D171" i="13"/>
  <c r="C171" i="13"/>
  <c r="B171" i="13"/>
  <c r="A171" i="13"/>
  <c r="D170" i="13"/>
  <c r="C170" i="13"/>
  <c r="B170" i="13"/>
  <c r="A170" i="13"/>
  <c r="D169" i="13"/>
  <c r="C169" i="13"/>
  <c r="B169" i="13"/>
  <c r="A169" i="13"/>
  <c r="D168" i="13"/>
  <c r="C168" i="13"/>
  <c r="B168" i="13"/>
  <c r="A168" i="13"/>
  <c r="D167" i="13"/>
  <c r="C167" i="13"/>
  <c r="B167" i="13"/>
  <c r="A167" i="13"/>
  <c r="D166" i="13"/>
  <c r="C166" i="13"/>
  <c r="B166" i="13"/>
  <c r="A166" i="13"/>
  <c r="D165" i="13"/>
  <c r="C165" i="13"/>
  <c r="B165" i="13"/>
  <c r="A165" i="13"/>
  <c r="D164" i="13"/>
  <c r="C164" i="13"/>
  <c r="B164" i="13"/>
  <c r="A164" i="13"/>
  <c r="D163" i="13"/>
  <c r="C163" i="13"/>
  <c r="B163" i="13"/>
  <c r="A163" i="13"/>
  <c r="D162" i="13"/>
  <c r="C162" i="13"/>
  <c r="B162" i="13"/>
  <c r="A162" i="13"/>
  <c r="D161" i="13"/>
  <c r="C161" i="13"/>
  <c r="B161" i="13"/>
  <c r="A161" i="13"/>
  <c r="D160" i="13"/>
  <c r="C160" i="13"/>
  <c r="B160" i="13"/>
  <c r="A160" i="13"/>
  <c r="D159" i="13"/>
  <c r="C159" i="13"/>
  <c r="B159" i="13"/>
  <c r="A159" i="13"/>
  <c r="D158" i="13"/>
  <c r="C158" i="13"/>
  <c r="B158" i="13"/>
  <c r="A158" i="13"/>
  <c r="D157" i="13"/>
  <c r="C157" i="13"/>
  <c r="B157" i="13"/>
  <c r="A157" i="13"/>
  <c r="D156" i="13"/>
  <c r="C156" i="13"/>
  <c r="B156" i="13"/>
  <c r="A156" i="13"/>
  <c r="D155" i="13"/>
  <c r="C155" i="13"/>
  <c r="B155" i="13"/>
  <c r="A155" i="13"/>
  <c r="D154" i="13"/>
  <c r="C154" i="13"/>
  <c r="B154" i="13"/>
  <c r="A154" i="13"/>
  <c r="D153" i="13"/>
  <c r="C153" i="13"/>
  <c r="B153" i="13"/>
  <c r="A153" i="13"/>
  <c r="D152" i="13"/>
  <c r="C152" i="13"/>
  <c r="B152" i="13"/>
  <c r="A152" i="13"/>
  <c r="D151" i="13"/>
  <c r="C151" i="13"/>
  <c r="B151" i="13"/>
  <c r="A151" i="13"/>
  <c r="D150" i="13"/>
  <c r="C150" i="13"/>
  <c r="B150" i="13"/>
  <c r="A150" i="13"/>
  <c r="D149" i="13"/>
  <c r="C149" i="13"/>
  <c r="B149" i="13"/>
  <c r="A149" i="13"/>
  <c r="D148" i="13"/>
  <c r="C148" i="13"/>
  <c r="B148" i="13"/>
  <c r="A148" i="13"/>
  <c r="D147" i="13"/>
  <c r="C147" i="13"/>
  <c r="B147" i="13"/>
  <c r="A147" i="13"/>
  <c r="D146" i="13"/>
  <c r="C146" i="13"/>
  <c r="B146" i="13"/>
  <c r="A146" i="13"/>
  <c r="D145" i="13"/>
  <c r="C145" i="13"/>
  <c r="B145" i="13"/>
  <c r="A145" i="13"/>
  <c r="D144" i="13"/>
  <c r="C144" i="13"/>
  <c r="B144" i="13"/>
  <c r="A144" i="13"/>
  <c r="D143" i="13"/>
  <c r="C143" i="13"/>
  <c r="B143" i="13"/>
  <c r="A143" i="13"/>
  <c r="D142" i="13"/>
  <c r="C142" i="13"/>
  <c r="B142" i="13"/>
  <c r="A142" i="13"/>
  <c r="D141" i="13"/>
  <c r="C141" i="13"/>
  <c r="B141" i="13"/>
  <c r="A141" i="13"/>
  <c r="D140" i="13"/>
  <c r="C140" i="13"/>
  <c r="B140" i="13"/>
  <c r="A140" i="13"/>
  <c r="D139" i="13"/>
  <c r="C139" i="13"/>
  <c r="B139" i="13"/>
  <c r="A139" i="13"/>
  <c r="D138" i="13"/>
  <c r="C138" i="13"/>
  <c r="B138" i="13"/>
  <c r="A138" i="13"/>
  <c r="D137" i="13"/>
  <c r="C137" i="13"/>
  <c r="B137" i="13"/>
  <c r="A137" i="13"/>
  <c r="D136" i="13"/>
  <c r="C136" i="13"/>
  <c r="B136" i="13"/>
  <c r="A136" i="13"/>
  <c r="D135" i="13"/>
  <c r="C135" i="13"/>
  <c r="B135" i="13"/>
  <c r="A135" i="13"/>
  <c r="D134" i="13"/>
  <c r="C134" i="13"/>
  <c r="B134" i="13"/>
  <c r="A134" i="13"/>
  <c r="D133" i="13"/>
  <c r="C133" i="13"/>
  <c r="B133" i="13"/>
  <c r="A133" i="13"/>
  <c r="D132" i="13"/>
  <c r="C132" i="13"/>
  <c r="B132" i="13"/>
  <c r="A132" i="13"/>
  <c r="D131" i="13"/>
  <c r="C131" i="13"/>
  <c r="B131" i="13"/>
  <c r="A131" i="13"/>
  <c r="D130" i="13"/>
  <c r="C130" i="13"/>
  <c r="B130" i="13"/>
  <c r="A130" i="13"/>
  <c r="D129" i="13"/>
  <c r="C129" i="13"/>
  <c r="B129" i="13"/>
  <c r="A129" i="13"/>
  <c r="D128" i="13"/>
  <c r="C128" i="13"/>
  <c r="B128" i="13"/>
  <c r="A128" i="13"/>
  <c r="D127" i="13"/>
  <c r="C127" i="13"/>
  <c r="B127" i="13"/>
  <c r="A127" i="13"/>
  <c r="D126" i="13"/>
  <c r="C126" i="13"/>
  <c r="B126" i="13"/>
  <c r="A126" i="13"/>
  <c r="D125" i="13"/>
  <c r="C125" i="13"/>
  <c r="B125" i="13"/>
  <c r="A125" i="13"/>
  <c r="D124" i="13"/>
  <c r="C124" i="13"/>
  <c r="B124" i="13"/>
  <c r="A124" i="13"/>
  <c r="D123" i="13"/>
  <c r="C123" i="13"/>
  <c r="B123" i="13"/>
  <c r="A123" i="13"/>
  <c r="D122" i="13"/>
  <c r="C122" i="13"/>
  <c r="B122" i="13"/>
  <c r="A122" i="13"/>
  <c r="D121" i="13"/>
  <c r="C121" i="13"/>
  <c r="B121" i="13"/>
  <c r="A121" i="13"/>
  <c r="D120" i="13"/>
  <c r="C120" i="13"/>
  <c r="B120" i="13"/>
  <c r="A120" i="13"/>
  <c r="D119" i="13"/>
  <c r="C119" i="13"/>
  <c r="B119" i="13"/>
  <c r="A119" i="13"/>
  <c r="D118" i="13"/>
  <c r="C118" i="13"/>
  <c r="B118" i="13"/>
  <c r="A118" i="13"/>
  <c r="D117" i="13"/>
  <c r="C117" i="13"/>
  <c r="B117" i="13"/>
  <c r="A117" i="13"/>
  <c r="D116" i="13"/>
  <c r="C116" i="13"/>
  <c r="B116" i="13"/>
  <c r="A116" i="13"/>
  <c r="D115" i="13"/>
  <c r="C115" i="13"/>
  <c r="B115" i="13"/>
  <c r="A115" i="13"/>
  <c r="D114" i="13"/>
  <c r="C114" i="13"/>
  <c r="B114" i="13"/>
  <c r="A114" i="13"/>
  <c r="D113" i="13"/>
  <c r="C113" i="13"/>
  <c r="B113" i="13"/>
  <c r="A113" i="13"/>
  <c r="D112" i="13"/>
  <c r="C112" i="13"/>
  <c r="B112" i="13"/>
  <c r="A112" i="13"/>
  <c r="D111" i="13"/>
  <c r="C111" i="13"/>
  <c r="B111" i="13"/>
  <c r="A111" i="13"/>
  <c r="D110" i="13"/>
  <c r="C110" i="13"/>
  <c r="B110" i="13"/>
  <c r="A110" i="13"/>
  <c r="D109" i="13"/>
  <c r="C109" i="13"/>
  <c r="B109" i="13"/>
  <c r="A109" i="13"/>
  <c r="D108" i="13"/>
  <c r="C108" i="13"/>
  <c r="B108" i="13"/>
  <c r="A108" i="13"/>
  <c r="D107" i="13"/>
  <c r="C107" i="13"/>
  <c r="B107" i="13"/>
  <c r="A107" i="13"/>
  <c r="D106" i="13"/>
  <c r="C106" i="13"/>
  <c r="B106" i="13"/>
  <c r="A106" i="13"/>
  <c r="D105" i="13"/>
  <c r="C105" i="13"/>
  <c r="B105" i="13"/>
  <c r="A105" i="13"/>
  <c r="D104" i="13"/>
  <c r="C104" i="13"/>
  <c r="B104" i="13"/>
  <c r="A104" i="13"/>
  <c r="D103" i="13"/>
  <c r="C103" i="13"/>
  <c r="B103" i="13"/>
  <c r="A103" i="13"/>
  <c r="D102" i="13"/>
  <c r="C102" i="13"/>
  <c r="B102" i="13"/>
  <c r="A102" i="13"/>
  <c r="D101" i="13"/>
  <c r="C101" i="13"/>
  <c r="B101" i="13"/>
  <c r="A101" i="13"/>
  <c r="D100" i="13"/>
  <c r="C100" i="13"/>
  <c r="B100" i="13"/>
  <c r="A100" i="13"/>
  <c r="D99" i="13"/>
  <c r="C99" i="13"/>
  <c r="B99" i="13"/>
  <c r="A99" i="13"/>
  <c r="D98" i="13"/>
  <c r="C98" i="13"/>
  <c r="B98" i="13"/>
  <c r="A98" i="13"/>
  <c r="D97" i="13"/>
  <c r="C97" i="13"/>
  <c r="B97" i="13"/>
  <c r="A97" i="13"/>
  <c r="D96" i="13"/>
  <c r="C96" i="13"/>
  <c r="B96" i="13"/>
  <c r="A96" i="13"/>
  <c r="D95" i="13"/>
  <c r="C95" i="13"/>
  <c r="B95" i="13"/>
  <c r="A95" i="13"/>
  <c r="D94" i="13"/>
  <c r="C94" i="13"/>
  <c r="B94" i="13"/>
  <c r="A94" i="13"/>
  <c r="D93" i="13"/>
  <c r="C93" i="13"/>
  <c r="B93" i="13"/>
  <c r="A93" i="13"/>
  <c r="D92" i="13"/>
  <c r="C92" i="13"/>
  <c r="B92" i="13"/>
  <c r="A92" i="13"/>
  <c r="D91" i="13"/>
  <c r="C91" i="13"/>
  <c r="B91" i="13"/>
  <c r="A91" i="13"/>
  <c r="D90" i="13"/>
  <c r="C90" i="13"/>
  <c r="B90" i="13"/>
  <c r="A90" i="13"/>
  <c r="D89" i="13"/>
  <c r="C89" i="13"/>
  <c r="B89" i="13"/>
  <c r="A89" i="13"/>
  <c r="D88" i="13"/>
  <c r="C88" i="13"/>
  <c r="B88" i="13"/>
  <c r="A88" i="13"/>
  <c r="D87" i="13"/>
  <c r="C87" i="13"/>
  <c r="B87" i="13"/>
  <c r="A87" i="13"/>
  <c r="D86" i="13"/>
  <c r="C86" i="13"/>
  <c r="B86" i="13"/>
  <c r="A86" i="13"/>
  <c r="D85" i="13"/>
  <c r="C85" i="13"/>
  <c r="B85" i="13"/>
  <c r="A85" i="13"/>
  <c r="D84" i="13"/>
  <c r="C84" i="13"/>
  <c r="B84" i="13"/>
  <c r="A84" i="13"/>
  <c r="D83" i="13"/>
  <c r="C83" i="13"/>
  <c r="B83" i="13"/>
  <c r="A83" i="13"/>
  <c r="D82" i="13"/>
  <c r="C82" i="13"/>
  <c r="B82" i="13"/>
  <c r="A82" i="13"/>
  <c r="D81" i="13"/>
  <c r="C81" i="13"/>
  <c r="B81" i="13"/>
  <c r="A81" i="13"/>
  <c r="D80" i="13"/>
  <c r="C80" i="13"/>
  <c r="B80" i="13"/>
  <c r="A80" i="13"/>
  <c r="D79" i="13"/>
  <c r="C79" i="13"/>
  <c r="B79" i="13"/>
  <c r="A79" i="13"/>
  <c r="D78" i="13"/>
  <c r="C78" i="13"/>
  <c r="B78" i="13"/>
  <c r="A78" i="13"/>
  <c r="D77" i="13"/>
  <c r="C77" i="13"/>
  <c r="B77" i="13"/>
  <c r="A77" i="13"/>
  <c r="D76" i="13"/>
  <c r="C76" i="13"/>
  <c r="B76" i="13"/>
  <c r="A76" i="13"/>
  <c r="D75" i="13"/>
  <c r="C75" i="13"/>
  <c r="B75" i="13"/>
  <c r="A75" i="13"/>
  <c r="D74" i="13"/>
  <c r="C74" i="13"/>
  <c r="B74" i="13"/>
  <c r="A74" i="13"/>
  <c r="D73" i="13"/>
  <c r="C73" i="13"/>
  <c r="B73" i="13"/>
  <c r="A73" i="13"/>
  <c r="D72" i="13"/>
  <c r="C72" i="13"/>
  <c r="B72" i="13"/>
  <c r="A72" i="13"/>
  <c r="D71" i="13"/>
  <c r="C71" i="13"/>
  <c r="B71" i="13"/>
  <c r="A71" i="13"/>
  <c r="D70" i="13"/>
  <c r="C70" i="13"/>
  <c r="B70" i="13"/>
  <c r="A70" i="13"/>
  <c r="D69" i="13"/>
  <c r="C69" i="13"/>
  <c r="B69" i="13"/>
  <c r="A69" i="13"/>
  <c r="D68" i="13"/>
  <c r="C68" i="13"/>
  <c r="B68" i="13"/>
  <c r="A68" i="13"/>
  <c r="D67" i="13"/>
  <c r="C67" i="13"/>
  <c r="B67" i="13"/>
  <c r="A67" i="13"/>
  <c r="D66" i="13"/>
  <c r="C66" i="13"/>
  <c r="B66" i="13"/>
  <c r="A66" i="13"/>
  <c r="D65" i="13"/>
  <c r="C65" i="13"/>
  <c r="B65" i="13"/>
  <c r="A65" i="13"/>
  <c r="D64" i="13"/>
  <c r="C64" i="13"/>
  <c r="B64" i="13"/>
  <c r="A64" i="13"/>
  <c r="D63" i="13"/>
  <c r="C63" i="13"/>
  <c r="B63" i="13"/>
  <c r="A63" i="13"/>
  <c r="D62" i="13"/>
  <c r="C62" i="13"/>
  <c r="B62" i="13"/>
  <c r="A62" i="13"/>
  <c r="D61" i="13"/>
  <c r="C61" i="13"/>
  <c r="B61" i="13"/>
  <c r="A61" i="13"/>
  <c r="D60" i="13"/>
  <c r="C60" i="13"/>
  <c r="B60" i="13"/>
  <c r="A60" i="13"/>
  <c r="D59" i="13"/>
  <c r="C59" i="13"/>
  <c r="B59" i="13"/>
  <c r="A59" i="13"/>
  <c r="D58" i="13"/>
  <c r="C58" i="13"/>
  <c r="B58" i="13"/>
  <c r="A58" i="13"/>
  <c r="D57" i="13"/>
  <c r="C57" i="13"/>
  <c r="B57" i="13"/>
  <c r="A57" i="13"/>
  <c r="D56" i="13"/>
  <c r="C56" i="13"/>
  <c r="B56" i="13"/>
  <c r="A56" i="13"/>
  <c r="D55" i="13"/>
  <c r="C55" i="13"/>
  <c r="B55" i="13"/>
  <c r="A55" i="13"/>
  <c r="D54" i="13"/>
  <c r="C54" i="13"/>
  <c r="B54" i="13"/>
  <c r="A54" i="13"/>
  <c r="D53" i="13"/>
  <c r="C53" i="13"/>
  <c r="B53" i="13"/>
  <c r="A53" i="13"/>
  <c r="D52" i="13"/>
  <c r="C52" i="13"/>
  <c r="B52" i="13"/>
  <c r="A52" i="13"/>
  <c r="D51" i="13"/>
  <c r="C51" i="13"/>
  <c r="B51" i="13"/>
  <c r="A51" i="13"/>
  <c r="D50" i="13"/>
  <c r="C50" i="13"/>
  <c r="B50" i="13"/>
  <c r="A50" i="13"/>
  <c r="D49" i="13"/>
  <c r="C49" i="13"/>
  <c r="B49" i="13"/>
  <c r="A49" i="13"/>
  <c r="D48" i="13"/>
  <c r="C48" i="13"/>
  <c r="B48" i="13"/>
  <c r="A48" i="13"/>
  <c r="D47" i="13"/>
  <c r="C47" i="13"/>
  <c r="B47" i="13"/>
  <c r="A47" i="13"/>
  <c r="D46" i="13"/>
  <c r="C46" i="13"/>
  <c r="B46" i="13"/>
  <c r="A46" i="13"/>
  <c r="D45" i="13"/>
  <c r="C45" i="13"/>
  <c r="B45" i="13"/>
  <c r="A45" i="13"/>
  <c r="D44" i="13"/>
  <c r="C44" i="13"/>
  <c r="B44" i="13"/>
  <c r="A44" i="13"/>
  <c r="D43" i="13"/>
  <c r="C43" i="13"/>
  <c r="B43" i="13"/>
  <c r="A43" i="13"/>
  <c r="D42" i="13"/>
  <c r="C42" i="13"/>
  <c r="B42" i="13"/>
  <c r="A42" i="13"/>
  <c r="D41" i="13"/>
  <c r="C41" i="13"/>
  <c r="B41" i="13"/>
  <c r="A41" i="13"/>
  <c r="D40" i="13"/>
  <c r="C40" i="13"/>
  <c r="B40" i="13"/>
  <c r="A40" i="13"/>
  <c r="D39" i="13"/>
  <c r="C39" i="13"/>
  <c r="B39" i="13"/>
  <c r="A39" i="13"/>
  <c r="D38" i="13"/>
  <c r="C38" i="13"/>
  <c r="B38" i="13"/>
  <c r="A38" i="13"/>
  <c r="D37" i="13"/>
  <c r="C37" i="13"/>
  <c r="B37" i="13"/>
  <c r="A37" i="13"/>
  <c r="D36" i="13"/>
  <c r="C36" i="13"/>
  <c r="B36" i="13"/>
  <c r="A36" i="13"/>
  <c r="D35" i="13"/>
  <c r="C35" i="13"/>
  <c r="B35" i="13"/>
  <c r="A35" i="13"/>
  <c r="D34" i="13"/>
  <c r="C34" i="13"/>
  <c r="B34" i="13"/>
  <c r="A34" i="13"/>
  <c r="D33" i="13"/>
  <c r="C33" i="13"/>
  <c r="B33" i="13"/>
  <c r="A33" i="13"/>
  <c r="D32" i="13"/>
  <c r="C32" i="13"/>
  <c r="B32" i="13"/>
  <c r="A32" i="13"/>
  <c r="D31" i="13"/>
  <c r="C31" i="13"/>
  <c r="B31" i="13"/>
  <c r="A31" i="13"/>
  <c r="D30" i="13"/>
  <c r="C30" i="13"/>
  <c r="B30" i="13"/>
  <c r="A30" i="13"/>
  <c r="D29" i="13"/>
  <c r="C29" i="13"/>
  <c r="B29" i="13"/>
  <c r="A29" i="13"/>
  <c r="D28" i="13"/>
  <c r="C28" i="13"/>
  <c r="B28" i="13"/>
  <c r="A28" i="13"/>
  <c r="D27" i="13"/>
  <c r="C27" i="13"/>
  <c r="B27" i="13"/>
  <c r="A27" i="13"/>
  <c r="D26" i="13"/>
  <c r="C26" i="13"/>
  <c r="B26" i="13"/>
  <c r="A26" i="13"/>
  <c r="D25" i="13"/>
  <c r="C25" i="13"/>
  <c r="B25" i="13"/>
  <c r="A25" i="13"/>
  <c r="D24" i="13"/>
  <c r="C24" i="13"/>
  <c r="B24" i="13"/>
  <c r="A24" i="13"/>
  <c r="D23" i="13"/>
  <c r="C23" i="13"/>
  <c r="B23" i="13"/>
  <c r="A23" i="13"/>
  <c r="D22" i="13"/>
  <c r="C22" i="13"/>
  <c r="B22" i="13"/>
  <c r="A22" i="13"/>
  <c r="D21" i="13"/>
  <c r="C21" i="13"/>
  <c r="B21" i="13"/>
  <c r="A21" i="13"/>
  <c r="D20" i="13"/>
  <c r="C20" i="13"/>
  <c r="B20" i="13"/>
  <c r="A20" i="13"/>
  <c r="D19" i="13"/>
  <c r="C19" i="13"/>
  <c r="B19" i="13"/>
  <c r="A19" i="13"/>
  <c r="D18" i="13"/>
  <c r="C18" i="13"/>
  <c r="B18" i="13"/>
  <c r="A18" i="13"/>
  <c r="D17" i="13"/>
  <c r="C17" i="13"/>
  <c r="B17" i="13"/>
  <c r="A17" i="13"/>
  <c r="D16" i="13"/>
  <c r="C16" i="13"/>
  <c r="B16" i="13"/>
  <c r="A16" i="13"/>
  <c r="D15" i="13"/>
  <c r="C15" i="13"/>
  <c r="B15" i="13"/>
  <c r="A15" i="13"/>
  <c r="D14" i="13"/>
  <c r="C14" i="13"/>
  <c r="B14" i="13"/>
  <c r="A14" i="13"/>
  <c r="D13" i="13"/>
  <c r="C13" i="13"/>
  <c r="B13" i="13"/>
  <c r="A13" i="13"/>
  <c r="D12" i="13"/>
  <c r="C12" i="13"/>
  <c r="B12" i="13"/>
  <c r="A12" i="13"/>
  <c r="D11" i="13"/>
  <c r="C11" i="13"/>
  <c r="B11" i="13"/>
  <c r="A11" i="13"/>
  <c r="D10" i="13"/>
  <c r="C10" i="13"/>
  <c r="B10" i="13"/>
  <c r="A10" i="13"/>
  <c r="D9" i="13"/>
  <c r="C9" i="13"/>
  <c r="B9" i="13"/>
  <c r="A9" i="13"/>
  <c r="D8" i="13"/>
  <c r="C8" i="13"/>
  <c r="B8" i="13"/>
  <c r="A8" i="13"/>
  <c r="D7" i="13"/>
  <c r="C7" i="13"/>
  <c r="B7" i="13"/>
  <c r="A7" i="13"/>
  <c r="D6" i="13"/>
  <c r="C6" i="13"/>
  <c r="B6" i="13"/>
  <c r="A6" i="13"/>
  <c r="D5" i="13"/>
  <c r="C5" i="13"/>
  <c r="B5" i="13"/>
  <c r="A5" i="13"/>
  <c r="D4" i="13"/>
  <c r="C4" i="13"/>
  <c r="B4" i="13"/>
  <c r="A4" i="13"/>
  <c r="D3" i="13"/>
  <c r="C3" i="13"/>
  <c r="B3" i="13"/>
  <c r="A3" i="13"/>
  <c r="D2" i="13"/>
  <c r="C2" i="13"/>
  <c r="B2" i="13"/>
  <c r="A2" i="13"/>
  <c r="AF1000" i="12"/>
  <c r="AD1000" i="12"/>
  <c r="V1000" i="12"/>
  <c r="E1000" i="12" a="1"/>
  <c r="E1000" i="12" s="1"/>
  <c r="B1000" i="12"/>
  <c r="AF999" i="12"/>
  <c r="AD999" i="12"/>
  <c r="V999" i="12"/>
  <c r="B999" i="12"/>
  <c r="X999" i="12" s="1"/>
  <c r="W999" i="12" s="1" a="1"/>
  <c r="W999" i="12" s="1"/>
  <c r="AF998" i="12"/>
  <c r="AD998" i="12"/>
  <c r="V998" i="12"/>
  <c r="B998" i="12"/>
  <c r="X998" i="12" s="1"/>
  <c r="W998" i="12" s="1" a="1"/>
  <c r="W998" i="12" s="1"/>
  <c r="AF997" i="12"/>
  <c r="AD997" i="12"/>
  <c r="AB997" i="12" a="1"/>
  <c r="AB997" i="12" s="1"/>
  <c r="AA997" i="12" a="1"/>
  <c r="AA997" i="12" s="1"/>
  <c r="V997" i="12"/>
  <c r="E997" i="12" a="1"/>
  <c r="E997" i="12" s="1"/>
  <c r="B997" i="12"/>
  <c r="X997" i="12" s="1"/>
  <c r="W997" i="12" s="1" a="1"/>
  <c r="W997" i="12" s="1"/>
  <c r="AF996" i="12"/>
  <c r="AD996" i="12"/>
  <c r="AA996" i="12" a="1"/>
  <c r="AA996" i="12" s="1"/>
  <c r="V996" i="12"/>
  <c r="B996" i="12"/>
  <c r="AF995" i="12"/>
  <c r="AD995" i="12"/>
  <c r="V995" i="12"/>
  <c r="B995" i="12"/>
  <c r="AF994" i="12"/>
  <c r="AD994" i="12"/>
  <c r="V994" i="12"/>
  <c r="B994" i="12"/>
  <c r="X994" i="12" s="1"/>
  <c r="W994" i="12" s="1" a="1"/>
  <c r="W994" i="12" s="1"/>
  <c r="AF993" i="12"/>
  <c r="AD993" i="12"/>
  <c r="AB993" i="12" a="1"/>
  <c r="AB993" i="12" s="1"/>
  <c r="AA993" i="12" a="1"/>
  <c r="AA993" i="12" s="1"/>
  <c r="V993" i="12"/>
  <c r="E993" i="12" a="1"/>
  <c r="E993" i="12" s="1"/>
  <c r="B993" i="12"/>
  <c r="X993" i="12" s="1"/>
  <c r="W993" i="12" s="1" a="1"/>
  <c r="W993" i="12" s="1"/>
  <c r="AF992" i="12"/>
  <c r="AD992" i="12"/>
  <c r="V992" i="12"/>
  <c r="E992" i="12" a="1"/>
  <c r="E992" i="12" s="1"/>
  <c r="C992" i="12" a="1"/>
  <c r="C992" i="12" s="1"/>
  <c r="B992" i="12"/>
  <c r="X992" i="12" s="1"/>
  <c r="W992" i="12" s="1" a="1"/>
  <c r="W992" i="12" s="1"/>
  <c r="AF991" i="12"/>
  <c r="AD991" i="12"/>
  <c r="V991" i="12"/>
  <c r="B991" i="12"/>
  <c r="AF990" i="12"/>
  <c r="AD990" i="12"/>
  <c r="V990" i="12"/>
  <c r="B990" i="12"/>
  <c r="X990" i="12" s="1"/>
  <c r="W990" i="12" s="1" a="1"/>
  <c r="W990" i="12" s="1"/>
  <c r="AF989" i="12"/>
  <c r="AD989" i="12"/>
  <c r="AB989" i="12" a="1"/>
  <c r="AB989" i="12" s="1"/>
  <c r="V989" i="12"/>
  <c r="E989" i="12" a="1"/>
  <c r="E989" i="12" s="1"/>
  <c r="B989" i="12"/>
  <c r="X989" i="12" s="1"/>
  <c r="W989" i="12" s="1" a="1"/>
  <c r="W989" i="12" s="1"/>
  <c r="AF988" i="12"/>
  <c r="AD988" i="12"/>
  <c r="V988" i="12"/>
  <c r="E988" i="12" a="1"/>
  <c r="E988" i="12" s="1"/>
  <c r="C988" i="12" a="1"/>
  <c r="C988" i="12" s="1"/>
  <c r="B988" i="12"/>
  <c r="AF987" i="12"/>
  <c r="AD987" i="12"/>
  <c r="V987" i="12"/>
  <c r="B987" i="12"/>
  <c r="AF986" i="12"/>
  <c r="AD986" i="12"/>
  <c r="V986" i="12"/>
  <c r="B986" i="12"/>
  <c r="X986" i="12" s="1"/>
  <c r="W986" i="12" s="1" a="1"/>
  <c r="W986" i="12" s="1"/>
  <c r="AF985" i="12"/>
  <c r="AD985" i="12"/>
  <c r="AB985" i="12" a="1"/>
  <c r="AB985" i="12" s="1"/>
  <c r="V985" i="12"/>
  <c r="E985" i="12" a="1"/>
  <c r="E985" i="12" s="1"/>
  <c r="B985" i="12"/>
  <c r="X985" i="12" s="1"/>
  <c r="W985" i="12" s="1" a="1"/>
  <c r="W985" i="12" s="1"/>
  <c r="AF984" i="12"/>
  <c r="AD984" i="12"/>
  <c r="V984" i="12"/>
  <c r="E984" i="12" a="1"/>
  <c r="E984" i="12" s="1"/>
  <c r="B984" i="12"/>
  <c r="AF983" i="12"/>
  <c r="AD983" i="12"/>
  <c r="V983" i="12"/>
  <c r="B983" i="12"/>
  <c r="AF982" i="12"/>
  <c r="AD982" i="12"/>
  <c r="V982" i="12"/>
  <c r="B982" i="12"/>
  <c r="X982" i="12" s="1"/>
  <c r="W982" i="12" s="1" a="1"/>
  <c r="W982" i="12" s="1"/>
  <c r="AF981" i="12"/>
  <c r="AD981" i="12"/>
  <c r="AB981" i="12" a="1"/>
  <c r="AB981" i="12" s="1"/>
  <c r="V981" i="12"/>
  <c r="B981" i="12"/>
  <c r="X981" i="12" s="1"/>
  <c r="W981" i="12" s="1" a="1"/>
  <c r="W981" i="12" s="1"/>
  <c r="AF980" i="12"/>
  <c r="AD980" i="12"/>
  <c r="AA980" i="12" a="1"/>
  <c r="AA980" i="12" s="1"/>
  <c r="V980" i="12"/>
  <c r="E980" i="12" a="1"/>
  <c r="E980" i="12" s="1"/>
  <c r="D980" i="12" a="1"/>
  <c r="D980" i="12" s="1"/>
  <c r="B980" i="12"/>
  <c r="AC980" i="12" s="1" a="1"/>
  <c r="AC980" i="12" s="1"/>
  <c r="AF979" i="12"/>
  <c r="AD979" i="12"/>
  <c r="V979" i="12"/>
  <c r="B979" i="12"/>
  <c r="AF978" i="12"/>
  <c r="AD978" i="12"/>
  <c r="AA978" i="12" a="1"/>
  <c r="AA978" i="12" s="1"/>
  <c r="Z978" i="12"/>
  <c r="V978" i="12"/>
  <c r="B978" i="12"/>
  <c r="X978" i="12" s="1"/>
  <c r="W978" i="12" s="1" a="1"/>
  <c r="W978" i="12" s="1"/>
  <c r="AF977" i="12"/>
  <c r="AD977" i="12"/>
  <c r="V977" i="12"/>
  <c r="B977" i="12"/>
  <c r="AF976" i="12"/>
  <c r="AD976" i="12"/>
  <c r="Z976" i="12"/>
  <c r="V976" i="12"/>
  <c r="D976" i="12" a="1"/>
  <c r="D976" i="12" s="1"/>
  <c r="C976" i="12" a="1"/>
  <c r="C976" i="12" s="1"/>
  <c r="B976" i="12"/>
  <c r="AF975" i="12"/>
  <c r="AD975" i="12"/>
  <c r="AA975" i="12" a="1"/>
  <c r="AA975" i="12" s="1"/>
  <c r="Z975" i="12"/>
  <c r="V975" i="12"/>
  <c r="E975" i="12" a="1"/>
  <c r="E975" i="12" s="1"/>
  <c r="B975" i="12"/>
  <c r="AF974" i="12"/>
  <c r="AD974" i="12"/>
  <c r="AC974" i="12" a="1"/>
  <c r="AC974" i="12" s="1"/>
  <c r="AB974" i="12" a="1"/>
  <c r="AB974" i="12" s="1"/>
  <c r="AA974" i="12" a="1"/>
  <c r="AA974" i="12" s="1"/>
  <c r="V974" i="12"/>
  <c r="C974" i="12" a="1"/>
  <c r="C974" i="12" s="1"/>
  <c r="B974" i="12"/>
  <c r="AF973" i="12"/>
  <c r="AD973" i="12"/>
  <c r="AC973" i="12" a="1"/>
  <c r="AC973" i="12"/>
  <c r="Z973" i="12"/>
  <c r="V973" i="12"/>
  <c r="B973" i="12"/>
  <c r="AF972" i="12"/>
  <c r="AD972" i="12"/>
  <c r="V972" i="12"/>
  <c r="C972" i="12" a="1"/>
  <c r="C972" i="12" s="1"/>
  <c r="B972" i="12"/>
  <c r="AB972" i="12" s="1" a="1"/>
  <c r="AB972" i="12" s="1"/>
  <c r="AF971" i="12"/>
  <c r="AD971" i="12"/>
  <c r="V971" i="12"/>
  <c r="B971" i="12"/>
  <c r="AB971" i="12" s="1" a="1"/>
  <c r="AB971" i="12" s="1"/>
  <c r="AF970" i="12"/>
  <c r="AD970" i="12"/>
  <c r="V970" i="12"/>
  <c r="C970" i="12" a="1"/>
  <c r="C970" i="12" s="1"/>
  <c r="B970" i="12"/>
  <c r="AB970" i="12" s="1" a="1"/>
  <c r="AB970" i="12" s="1"/>
  <c r="AF969" i="12"/>
  <c r="AD969" i="12"/>
  <c r="V969" i="12"/>
  <c r="B969" i="12"/>
  <c r="AF968" i="12"/>
  <c r="AD968" i="12"/>
  <c r="X968" i="12"/>
  <c r="W968" i="12" s="1" a="1"/>
  <c r="W968" i="12" s="1"/>
  <c r="V968" i="12"/>
  <c r="E968" i="12" a="1"/>
  <c r="E968" i="12" s="1"/>
  <c r="C968" i="12" a="1"/>
  <c r="C968" i="12" s="1"/>
  <c r="B968" i="12"/>
  <c r="AC968" i="12" s="1" a="1"/>
  <c r="AC968" i="12" s="1"/>
  <c r="AF967" i="12"/>
  <c r="AD967" i="12"/>
  <c r="AB967" i="12" a="1"/>
  <c r="AB967" i="12" s="1"/>
  <c r="AA967" i="12" a="1"/>
  <c r="AA967" i="12" s="1"/>
  <c r="Z967" i="12"/>
  <c r="X967" i="12"/>
  <c r="W967" i="12" s="1" a="1"/>
  <c r="W967" i="12"/>
  <c r="V967" i="12"/>
  <c r="E967" i="12" a="1"/>
  <c r="E967" i="12" s="1"/>
  <c r="D967" i="12" a="1"/>
  <c r="D967" i="12" s="1"/>
  <c r="C967" i="12" a="1"/>
  <c r="C967" i="12" s="1"/>
  <c r="B967" i="12"/>
  <c r="AC967" i="12" s="1" a="1"/>
  <c r="AC967" i="12" s="1"/>
  <c r="AF966" i="12"/>
  <c r="AD966" i="12"/>
  <c r="Z966" i="12"/>
  <c r="V966" i="12"/>
  <c r="B966" i="12"/>
  <c r="C966" i="12" s="1" a="1"/>
  <c r="C966" i="12" s="1"/>
  <c r="AF965" i="12"/>
  <c r="AD965" i="12"/>
  <c r="AC965" i="12" a="1"/>
  <c r="AC965" i="12" s="1"/>
  <c r="V965" i="12"/>
  <c r="B965" i="12"/>
  <c r="E965" i="12" s="1" a="1"/>
  <c r="E965" i="12" s="1"/>
  <c r="AF964" i="12"/>
  <c r="AD964" i="12"/>
  <c r="AC964" i="12" a="1"/>
  <c r="AC964" i="12" s="1"/>
  <c r="AB964" i="12" a="1"/>
  <c r="AB964" i="12"/>
  <c r="Z964" i="12"/>
  <c r="V964" i="12"/>
  <c r="E964" i="12" a="1"/>
  <c r="E964" i="12" s="1"/>
  <c r="C964" i="12" a="1"/>
  <c r="C964" i="12" s="1"/>
  <c r="B964" i="12"/>
  <c r="D964" i="12" s="1" a="1"/>
  <c r="D964" i="12" s="1"/>
  <c r="AF963" i="12"/>
  <c r="AD963" i="12"/>
  <c r="AB963" i="12" a="1"/>
  <c r="AB963" i="12" s="1"/>
  <c r="V963" i="12"/>
  <c r="E963" i="12" a="1"/>
  <c r="E963" i="12" s="1"/>
  <c r="C963" i="12" a="1"/>
  <c r="C963" i="12" s="1"/>
  <c r="B963" i="12"/>
  <c r="Z963" i="12" s="1"/>
  <c r="AF962" i="12"/>
  <c r="AD962" i="12"/>
  <c r="V962" i="12"/>
  <c r="B962" i="12"/>
  <c r="AF961" i="12"/>
  <c r="AD961" i="12"/>
  <c r="AA961" i="12" a="1"/>
  <c r="AA961" i="12" s="1"/>
  <c r="V961" i="12"/>
  <c r="D961" i="12" a="1"/>
  <c r="D961" i="12" s="1"/>
  <c r="B961" i="12"/>
  <c r="AF960" i="12"/>
  <c r="AD960" i="12"/>
  <c r="AB960" i="12" a="1"/>
  <c r="AB960" i="12" s="1"/>
  <c r="Z960" i="12"/>
  <c r="V960" i="12"/>
  <c r="E960" i="12" a="1"/>
  <c r="E960" i="12" s="1"/>
  <c r="B960" i="12"/>
  <c r="AC960" i="12" s="1" a="1"/>
  <c r="AC960" i="12" s="1"/>
  <c r="AF959" i="12"/>
  <c r="AD959" i="12"/>
  <c r="V959" i="12"/>
  <c r="E959" i="12" a="1"/>
  <c r="E959" i="12" s="1"/>
  <c r="B959" i="12"/>
  <c r="AF958" i="12"/>
  <c r="AD958" i="12"/>
  <c r="W958" i="12" a="1"/>
  <c r="W958" i="12" s="1"/>
  <c r="V958" i="12"/>
  <c r="B958" i="12"/>
  <c r="X958" i="12" s="1"/>
  <c r="AF957" i="12"/>
  <c r="AD957" i="12"/>
  <c r="V957" i="12"/>
  <c r="B957" i="12"/>
  <c r="Z957" i="12" s="1"/>
  <c r="AF956" i="12"/>
  <c r="AD956" i="12"/>
  <c r="X956" i="12"/>
  <c r="W956" i="12" s="1" a="1"/>
  <c r="W956" i="12" s="1"/>
  <c r="V956" i="12"/>
  <c r="D956" i="12" a="1"/>
  <c r="D956" i="12" s="1"/>
  <c r="B956" i="12"/>
  <c r="AA956" i="12" s="1" a="1"/>
  <c r="AA956" i="12" s="1"/>
  <c r="AF955" i="12"/>
  <c r="AD955" i="12"/>
  <c r="Z955" i="12"/>
  <c r="X955" i="12"/>
  <c r="W955" i="12" s="1" a="1"/>
  <c r="W955" i="12" s="1"/>
  <c r="V955" i="12"/>
  <c r="D955" i="12" a="1"/>
  <c r="D955" i="12" s="1"/>
  <c r="C955" i="12" a="1"/>
  <c r="C955" i="12" s="1"/>
  <c r="B955" i="12"/>
  <c r="AC955" i="12" s="1" a="1"/>
  <c r="AC955" i="12" s="1"/>
  <c r="AF954" i="12"/>
  <c r="AD954" i="12"/>
  <c r="AB954" i="12" a="1"/>
  <c r="AB954" i="12" s="1"/>
  <c r="X954" i="12"/>
  <c r="W954" i="12" s="1" a="1"/>
  <c r="W954" i="12" s="1"/>
  <c r="V954" i="12"/>
  <c r="E954" i="12" a="1"/>
  <c r="E954" i="12" s="1"/>
  <c r="D954" i="12" a="1"/>
  <c r="D954" i="12" s="1"/>
  <c r="C954" i="12" a="1"/>
  <c r="C954" i="12"/>
  <c r="B954" i="12"/>
  <c r="AA954" i="12" s="1" a="1"/>
  <c r="AA954" i="12" s="1"/>
  <c r="AF953" i="12"/>
  <c r="AD953" i="12"/>
  <c r="V953" i="12"/>
  <c r="B953" i="12"/>
  <c r="AF952" i="12"/>
  <c r="AD952" i="12"/>
  <c r="AA952" i="12" a="1"/>
  <c r="AA952" i="12" s="1"/>
  <c r="V952" i="12"/>
  <c r="E952" i="12" a="1"/>
  <c r="E952" i="12" s="1"/>
  <c r="B952" i="12"/>
  <c r="AC952" i="12" s="1" a="1"/>
  <c r="AC952" i="12" s="1"/>
  <c r="AF951" i="12"/>
  <c r="AD951" i="12"/>
  <c r="AC951" i="12" a="1"/>
  <c r="AC951" i="12" s="1"/>
  <c r="AB951" i="12" a="1"/>
  <c r="AB951" i="12" s="1"/>
  <c r="V951" i="12"/>
  <c r="C951" i="12" a="1"/>
  <c r="C951" i="12" s="1"/>
  <c r="B951" i="12"/>
  <c r="AF950" i="12"/>
  <c r="AD950" i="12"/>
  <c r="V950" i="12"/>
  <c r="B950" i="12"/>
  <c r="AF949" i="12"/>
  <c r="AD949" i="12"/>
  <c r="X949" i="12"/>
  <c r="W949" i="12" s="1" a="1"/>
  <c r="W949" i="12" s="1"/>
  <c r="V949" i="12"/>
  <c r="B949" i="12"/>
  <c r="AB949" i="12" s="1" a="1"/>
  <c r="AB949" i="12" s="1"/>
  <c r="AF948" i="12"/>
  <c r="AD948" i="12"/>
  <c r="AC948" i="12" a="1"/>
  <c r="AC948" i="12" s="1"/>
  <c r="Z948" i="12"/>
  <c r="V948" i="12"/>
  <c r="B948" i="12"/>
  <c r="D948" i="12" s="1" a="1"/>
  <c r="D948" i="12" s="1"/>
  <c r="AF947" i="12"/>
  <c r="AD947" i="12"/>
  <c r="AC947" i="12" a="1"/>
  <c r="AC947" i="12" s="1"/>
  <c r="AB947" i="12" a="1"/>
  <c r="AB947" i="12" s="1"/>
  <c r="V947" i="12"/>
  <c r="E947" i="12" a="1"/>
  <c r="E947" i="12" s="1"/>
  <c r="D947" i="12" a="1"/>
  <c r="D947" i="12" s="1"/>
  <c r="C947" i="12" a="1"/>
  <c r="C947" i="12" s="1"/>
  <c r="B947" i="12"/>
  <c r="X947" i="12" s="1"/>
  <c r="W947" i="12" s="1" a="1"/>
  <c r="W947" i="12" s="1"/>
  <c r="AF946" i="12"/>
  <c r="AD946" i="12"/>
  <c r="V946" i="12"/>
  <c r="B946" i="12"/>
  <c r="Z946" i="12" s="1"/>
  <c r="AF945" i="12"/>
  <c r="AD945" i="12"/>
  <c r="AB945" i="12" a="1"/>
  <c r="AB945" i="12" s="1"/>
  <c r="Z945" i="12"/>
  <c r="V945" i="12"/>
  <c r="D945" i="12" a="1"/>
  <c r="D945" i="12" s="1"/>
  <c r="B945" i="12"/>
  <c r="X945" i="12" s="1"/>
  <c r="W945" i="12" s="1" a="1"/>
  <c r="W945" i="12" s="1"/>
  <c r="AF944" i="12"/>
  <c r="AD944" i="12"/>
  <c r="V944" i="12"/>
  <c r="E944" i="12" a="1"/>
  <c r="E944" i="12" s="1"/>
  <c r="C944" i="12" a="1"/>
  <c r="C944" i="12" s="1"/>
  <c r="B944" i="12"/>
  <c r="AA944" i="12" s="1" a="1"/>
  <c r="AA944" i="12" s="1"/>
  <c r="AF943" i="12"/>
  <c r="AD943" i="12"/>
  <c r="V943" i="12"/>
  <c r="B943" i="12"/>
  <c r="AA943" i="12" s="1" a="1"/>
  <c r="AA943" i="12" s="1"/>
  <c r="AF942" i="12"/>
  <c r="AD942" i="12"/>
  <c r="AA942" i="12" a="1"/>
  <c r="AA942" i="12" s="1"/>
  <c r="V942" i="12"/>
  <c r="C942" i="12" a="1"/>
  <c r="C942" i="12" s="1"/>
  <c r="B942" i="12"/>
  <c r="AF941" i="12"/>
  <c r="AD941" i="12"/>
  <c r="Z941" i="12"/>
  <c r="V941" i="12"/>
  <c r="D941" i="12" a="1"/>
  <c r="D941" i="12" s="1"/>
  <c r="B941" i="12"/>
  <c r="AC941" i="12" s="1" a="1"/>
  <c r="AC941" i="12" s="1"/>
  <c r="AF940" i="12"/>
  <c r="AD940" i="12"/>
  <c r="X940" i="12"/>
  <c r="W940" i="12" s="1" a="1"/>
  <c r="W940" i="12" s="1"/>
  <c r="V940" i="12"/>
  <c r="B940" i="12"/>
  <c r="D940" i="12" s="1" a="1"/>
  <c r="D940" i="12" s="1"/>
  <c r="AF939" i="12"/>
  <c r="AD939" i="12"/>
  <c r="Z939" i="12"/>
  <c r="V939" i="12"/>
  <c r="B939" i="12"/>
  <c r="AC939" i="12" s="1" a="1"/>
  <c r="AC939" i="12" s="1"/>
  <c r="AF938" i="12"/>
  <c r="AD938" i="12"/>
  <c r="AC938" i="12" a="1"/>
  <c r="AC938" i="12" s="1"/>
  <c r="AB938" i="12" a="1"/>
  <c r="AB938" i="12" s="1"/>
  <c r="AA938" i="12" a="1"/>
  <c r="AA938" i="12" s="1"/>
  <c r="Z938" i="12"/>
  <c r="V938" i="12"/>
  <c r="E938" i="12" a="1"/>
  <c r="E938" i="12"/>
  <c r="D938" i="12" a="1"/>
  <c r="D938" i="12" s="1"/>
  <c r="C938" i="12" a="1"/>
  <c r="C938" i="12" s="1"/>
  <c r="B938" i="12"/>
  <c r="X938" i="12" s="1"/>
  <c r="W938" i="12" s="1" a="1"/>
  <c r="W938" i="12" s="1"/>
  <c r="AF937" i="12"/>
  <c r="AD937" i="12"/>
  <c r="V937" i="12"/>
  <c r="B937" i="12"/>
  <c r="AF936" i="12"/>
  <c r="AD936" i="12"/>
  <c r="AA936" i="12" a="1"/>
  <c r="AA936" i="12" s="1"/>
  <c r="V936" i="12"/>
  <c r="B936" i="12"/>
  <c r="AC936" i="12" s="1" a="1"/>
  <c r="AC936" i="12" s="1"/>
  <c r="AF935" i="12"/>
  <c r="AD935" i="12"/>
  <c r="AC935" i="12" a="1"/>
  <c r="AC935" i="12" s="1"/>
  <c r="Z935" i="12"/>
  <c r="V935" i="12"/>
  <c r="B935" i="12"/>
  <c r="AB935" i="12" s="1" a="1"/>
  <c r="AB935" i="12" s="1"/>
  <c r="AF934" i="12"/>
  <c r="AD934" i="12"/>
  <c r="AC934" i="12" a="1"/>
  <c r="AC934" i="12" s="1"/>
  <c r="V934" i="12"/>
  <c r="C934" i="12" a="1"/>
  <c r="C934" i="12" s="1"/>
  <c r="B934" i="12"/>
  <c r="AB934" i="12" s="1" a="1"/>
  <c r="AB934" i="12" s="1"/>
  <c r="AF933" i="12"/>
  <c r="AD933" i="12"/>
  <c r="AC933" i="12" a="1"/>
  <c r="AC933" i="12" s="1"/>
  <c r="V933" i="12"/>
  <c r="B933" i="12"/>
  <c r="AF932" i="12"/>
  <c r="AD932" i="12"/>
  <c r="V932" i="12"/>
  <c r="B932" i="12"/>
  <c r="AF931" i="12"/>
  <c r="AD931" i="12"/>
  <c r="AC931" i="12" a="1"/>
  <c r="AC931" i="12" s="1"/>
  <c r="V931" i="12"/>
  <c r="D931" i="12" a="1"/>
  <c r="D931" i="12" s="1"/>
  <c r="B931" i="12"/>
  <c r="Z931" i="12" s="1"/>
  <c r="AF930" i="12"/>
  <c r="AD930" i="12"/>
  <c r="AC930" i="12" a="1"/>
  <c r="AC930" i="12" s="1"/>
  <c r="AB930" i="12" a="1"/>
  <c r="AB930" i="12" s="1"/>
  <c r="V930" i="12"/>
  <c r="C930" i="12" a="1"/>
  <c r="C930" i="12" s="1"/>
  <c r="B930" i="12"/>
  <c r="X930" i="12" s="1"/>
  <c r="W930" i="12" s="1" a="1"/>
  <c r="W930" i="12" s="1"/>
  <c r="AF929" i="12"/>
  <c r="AD929" i="12"/>
  <c r="AB929" i="12" a="1"/>
  <c r="AB929" i="12" s="1"/>
  <c r="V929" i="12"/>
  <c r="B929" i="12"/>
  <c r="X929" i="12" s="1"/>
  <c r="W929" i="12" s="1" a="1"/>
  <c r="W929" i="12" s="1"/>
  <c r="AF928" i="12"/>
  <c r="AD928" i="12"/>
  <c r="V928" i="12"/>
  <c r="E928" i="12" a="1"/>
  <c r="E928" i="12" s="1"/>
  <c r="C928" i="12" a="1"/>
  <c r="C928" i="12" s="1"/>
  <c r="B928" i="12"/>
  <c r="AB928" i="12" s="1" a="1"/>
  <c r="AB928" i="12" s="1"/>
  <c r="AF927" i="12"/>
  <c r="AD927" i="12"/>
  <c r="AC927" i="12" a="1"/>
  <c r="AC927" i="12"/>
  <c r="AA927" i="12" a="1"/>
  <c r="AA927" i="12" s="1"/>
  <c r="Z927" i="12"/>
  <c r="X927" i="12"/>
  <c r="W927" i="12" s="1" a="1"/>
  <c r="W927" i="12" s="1"/>
  <c r="V927" i="12"/>
  <c r="E927" i="12" a="1"/>
  <c r="E927" i="12" s="1"/>
  <c r="D927" i="12" a="1"/>
  <c r="D927" i="12" s="1"/>
  <c r="C927" i="12" a="1"/>
  <c r="C927" i="12" s="1"/>
  <c r="B927" i="12"/>
  <c r="AB927" i="12" s="1" a="1"/>
  <c r="AB927" i="12" s="1"/>
  <c r="AF926" i="12"/>
  <c r="AD926" i="12"/>
  <c r="AC926" i="12" a="1"/>
  <c r="AC926" i="12" s="1"/>
  <c r="V926" i="12"/>
  <c r="D926" i="12" a="1"/>
  <c r="D926" i="12" s="1"/>
  <c r="B926" i="12"/>
  <c r="X926" i="12" s="1"/>
  <c r="W926" i="12" s="1" a="1"/>
  <c r="W926" i="12" s="1"/>
  <c r="AF925" i="12"/>
  <c r="AD925" i="12"/>
  <c r="Z925" i="12"/>
  <c r="V925" i="12"/>
  <c r="B925" i="12"/>
  <c r="D925" i="12" s="1" a="1"/>
  <c r="D925" i="12" s="1"/>
  <c r="AF924" i="12"/>
  <c r="AD924" i="12"/>
  <c r="AB924" i="12" a="1"/>
  <c r="AB924" i="12" s="1"/>
  <c r="W924" i="12" a="1"/>
  <c r="W924" i="12" s="1"/>
  <c r="V924" i="12"/>
  <c r="B924" i="12"/>
  <c r="X924" i="12" s="1"/>
  <c r="AF923" i="12"/>
  <c r="AD923" i="12"/>
  <c r="V923" i="12"/>
  <c r="B923" i="12"/>
  <c r="AF922" i="12"/>
  <c r="AD922" i="12"/>
  <c r="X922" i="12"/>
  <c r="W922" i="12" s="1" a="1"/>
  <c r="W922" i="12" s="1"/>
  <c r="V922" i="12"/>
  <c r="C922" i="12" a="1"/>
  <c r="C922" i="12" s="1"/>
  <c r="B922" i="12"/>
  <c r="AC922" i="12" s="1" a="1"/>
  <c r="AC922" i="12" s="1"/>
  <c r="AF921" i="12"/>
  <c r="AD921" i="12"/>
  <c r="AC921" i="12" a="1"/>
  <c r="AC921" i="12" s="1"/>
  <c r="AB921" i="12" a="1"/>
  <c r="AB921" i="12" s="1"/>
  <c r="AA921" i="12" a="1"/>
  <c r="AA921" i="12" s="1"/>
  <c r="X921" i="12"/>
  <c r="W921" i="12" s="1" a="1"/>
  <c r="W921" i="12" s="1"/>
  <c r="V921" i="12"/>
  <c r="E921" i="12" a="1"/>
  <c r="E921" i="12" s="1"/>
  <c r="C921" i="12" a="1"/>
  <c r="C921" i="12" s="1"/>
  <c r="B921" i="12"/>
  <c r="Z921" i="12" s="1"/>
  <c r="AF920" i="12"/>
  <c r="AD920" i="12"/>
  <c r="V920" i="12"/>
  <c r="B920" i="12"/>
  <c r="AF919" i="12"/>
  <c r="AD919" i="12"/>
  <c r="V919" i="12"/>
  <c r="B919" i="12"/>
  <c r="AC919" i="12" s="1" a="1"/>
  <c r="AC919" i="12" s="1"/>
  <c r="AF918" i="12"/>
  <c r="AD918" i="12"/>
  <c r="AC918" i="12" a="1"/>
  <c r="AC918" i="12"/>
  <c r="AB918" i="12" a="1"/>
  <c r="AB918" i="12" s="1"/>
  <c r="AA918" i="12" a="1"/>
  <c r="AA918" i="12" s="1"/>
  <c r="Z918" i="12"/>
  <c r="X918" i="12"/>
  <c r="W918" i="12" a="1"/>
  <c r="W918" i="12" s="1"/>
  <c r="V918" i="12"/>
  <c r="E918" i="12" a="1"/>
  <c r="E918" i="12" s="1"/>
  <c r="D918" i="12" a="1"/>
  <c r="D918" i="12" s="1"/>
  <c r="C918" i="12" a="1"/>
  <c r="C918" i="12"/>
  <c r="B918" i="12"/>
  <c r="AF917" i="12"/>
  <c r="AD917" i="12"/>
  <c r="V917" i="12"/>
  <c r="B917" i="12"/>
  <c r="AF916" i="12"/>
  <c r="AD916" i="12"/>
  <c r="AC916" i="12" a="1"/>
  <c r="AC916" i="12" s="1"/>
  <c r="V916" i="12"/>
  <c r="D916" i="12" a="1"/>
  <c r="D916" i="12" s="1"/>
  <c r="B916" i="12"/>
  <c r="X916" i="12" s="1"/>
  <c r="W916" i="12" s="1" a="1"/>
  <c r="W916" i="12" s="1"/>
  <c r="AF915" i="12"/>
  <c r="AD915" i="12"/>
  <c r="AB915" i="12" a="1"/>
  <c r="AB915" i="12" s="1"/>
  <c r="AA915" i="12" a="1"/>
  <c r="AA915" i="12" s="1"/>
  <c r="V915" i="12"/>
  <c r="E915" i="12" a="1"/>
  <c r="E915" i="12" s="1"/>
  <c r="C915" i="12"/>
  <c r="B915" i="12"/>
  <c r="C915" i="12" s="1" a="1"/>
  <c r="AF914" i="12"/>
  <c r="AD914" i="12"/>
  <c r="AB914" i="12" a="1"/>
  <c r="AB914" i="12" s="1"/>
  <c r="AA914" i="12" a="1"/>
  <c r="AA914" i="12" s="1"/>
  <c r="X914" i="12"/>
  <c r="W914" i="12" s="1" a="1"/>
  <c r="W914" i="12" s="1"/>
  <c r="V914" i="12"/>
  <c r="E914" i="12" a="1"/>
  <c r="E914" i="12" s="1"/>
  <c r="C914" i="12" a="1"/>
  <c r="C914" i="12" s="1"/>
  <c r="B914" i="12"/>
  <c r="AC914" i="12" s="1" a="1"/>
  <c r="AC914" i="12" s="1"/>
  <c r="AF913" i="12"/>
  <c r="AD913" i="12"/>
  <c r="Z913" i="12"/>
  <c r="V913" i="12"/>
  <c r="C913" i="12" a="1"/>
  <c r="C913" i="12" s="1"/>
  <c r="B913" i="12"/>
  <c r="X913" i="12" s="1"/>
  <c r="W913" i="12" s="1" a="1"/>
  <c r="W913" i="12" s="1"/>
  <c r="AF912" i="12"/>
  <c r="AD912" i="12"/>
  <c r="AA912" i="12" a="1"/>
  <c r="AA912" i="12" s="1"/>
  <c r="V912" i="12"/>
  <c r="C912" i="12" a="1"/>
  <c r="C912" i="12" s="1"/>
  <c r="B912" i="12"/>
  <c r="X912" i="12" s="1"/>
  <c r="W912" i="12" s="1" a="1"/>
  <c r="W912" i="12" s="1"/>
  <c r="AF911" i="12"/>
  <c r="AD911" i="12"/>
  <c r="AA911" i="12" a="1"/>
  <c r="AA911" i="12" s="1"/>
  <c r="V911" i="12"/>
  <c r="D911" i="12" a="1"/>
  <c r="D911" i="12" s="1"/>
  <c r="B911" i="12"/>
  <c r="X911" i="12" s="1"/>
  <c r="W911" i="12" s="1" a="1"/>
  <c r="W911" i="12" s="1"/>
  <c r="AF910" i="12"/>
  <c r="AD910" i="12"/>
  <c r="AA910" i="12" a="1"/>
  <c r="AA910" i="12" s="1"/>
  <c r="Z910" i="12"/>
  <c r="V910" i="12"/>
  <c r="E910" i="12" a="1"/>
  <c r="E910" i="12" s="1"/>
  <c r="C910" i="12" a="1"/>
  <c r="C910" i="12" s="1"/>
  <c r="B910" i="12"/>
  <c r="X910" i="12" s="1"/>
  <c r="W910" i="12" s="1" a="1"/>
  <c r="W910" i="12" s="1"/>
  <c r="AF909" i="12"/>
  <c r="AD909" i="12"/>
  <c r="X909" i="12"/>
  <c r="W909" i="12" s="1" a="1"/>
  <c r="W909" i="12" s="1"/>
  <c r="V909" i="12"/>
  <c r="B909" i="12"/>
  <c r="Z909" i="12" s="1"/>
  <c r="AF908" i="12"/>
  <c r="AD908" i="12"/>
  <c r="V908" i="12"/>
  <c r="B908" i="12"/>
  <c r="AF907" i="12"/>
  <c r="AD907" i="12"/>
  <c r="AC907" i="12" a="1"/>
  <c r="AC907" i="12" s="1"/>
  <c r="V907" i="12"/>
  <c r="E907" i="12" a="1"/>
  <c r="E907" i="12" s="1"/>
  <c r="C907" i="12" a="1"/>
  <c r="C907" i="12" s="1"/>
  <c r="B907" i="12"/>
  <c r="D907" i="12" s="1" a="1"/>
  <c r="D907" i="12" s="1"/>
  <c r="AF906" i="12"/>
  <c r="AD906" i="12"/>
  <c r="AB906" i="12" a="1"/>
  <c r="AB906" i="12" s="1"/>
  <c r="V906" i="12"/>
  <c r="E906" i="12" a="1"/>
  <c r="E906" i="12" s="1"/>
  <c r="C906" i="12" a="1"/>
  <c r="C906" i="12" s="1"/>
  <c r="B906" i="12"/>
  <c r="AF905" i="12"/>
  <c r="AD905" i="12"/>
  <c r="V905" i="12"/>
  <c r="B905" i="12"/>
  <c r="AF904" i="12"/>
  <c r="AD904" i="12"/>
  <c r="V904" i="12"/>
  <c r="B904" i="12"/>
  <c r="AF903" i="12"/>
  <c r="AD903" i="12"/>
  <c r="AC903" i="12" a="1"/>
  <c r="AC903" i="12" s="1"/>
  <c r="AB903" i="12" a="1"/>
  <c r="AB903" i="12" s="1"/>
  <c r="AA903" i="12" a="1"/>
  <c r="AA903" i="12" s="1"/>
  <c r="Z903" i="12"/>
  <c r="V903" i="12"/>
  <c r="E903" i="12" a="1"/>
  <c r="E903" i="12" s="1"/>
  <c r="D903" i="12" a="1"/>
  <c r="D903" i="12" s="1"/>
  <c r="C903" i="12" a="1"/>
  <c r="C903" i="12" s="1"/>
  <c r="B903" i="12"/>
  <c r="X903" i="12" s="1"/>
  <c r="W903" i="12" s="1" a="1"/>
  <c r="W903" i="12" s="1"/>
  <c r="AF902" i="12"/>
  <c r="AD902" i="12"/>
  <c r="AB902" i="12" a="1"/>
  <c r="AB902" i="12" s="1"/>
  <c r="AA902" i="12" a="1"/>
  <c r="AA902" i="12" s="1"/>
  <c r="Z902" i="12"/>
  <c r="V902" i="12"/>
  <c r="E902" i="12" a="1"/>
  <c r="E902" i="12" s="1"/>
  <c r="D902" i="12" a="1"/>
  <c r="D902" i="12" s="1"/>
  <c r="C902" i="12" a="1"/>
  <c r="C902" i="12" s="1"/>
  <c r="B902" i="12"/>
  <c r="X902" i="12" s="1"/>
  <c r="W902" i="12" s="1" a="1"/>
  <c r="W902" i="12" s="1"/>
  <c r="AF901" i="12"/>
  <c r="AD901" i="12"/>
  <c r="V901" i="12"/>
  <c r="B901" i="12"/>
  <c r="AF900" i="12"/>
  <c r="AD900" i="12"/>
  <c r="V900" i="12"/>
  <c r="B900" i="12"/>
  <c r="X900" i="12" s="1"/>
  <c r="W900" i="12" s="1" a="1"/>
  <c r="W900" i="12" s="1"/>
  <c r="AF899" i="12"/>
  <c r="AD899" i="12"/>
  <c r="V899" i="12"/>
  <c r="B899" i="12"/>
  <c r="AA899" i="12" s="1" a="1"/>
  <c r="AA899" i="12" s="1"/>
  <c r="AF898" i="12"/>
  <c r="AD898" i="12"/>
  <c r="V898" i="12"/>
  <c r="B898" i="12"/>
  <c r="AA898" i="12" s="1" a="1"/>
  <c r="AA898" i="12" s="1"/>
  <c r="AF897" i="12"/>
  <c r="AD897" i="12"/>
  <c r="V897" i="12"/>
  <c r="B897" i="12"/>
  <c r="AF896" i="12"/>
  <c r="AD896" i="12"/>
  <c r="AA896" i="12" a="1"/>
  <c r="AA896" i="12" s="1"/>
  <c r="V896" i="12"/>
  <c r="B896" i="12"/>
  <c r="AF895" i="12"/>
  <c r="AD895" i="12"/>
  <c r="V895" i="12"/>
  <c r="B895" i="12"/>
  <c r="AC895" i="12" s="1" a="1"/>
  <c r="AC895" i="12" s="1"/>
  <c r="AF894" i="12"/>
  <c r="AD894" i="12"/>
  <c r="AC894" i="12" a="1"/>
  <c r="AC894" i="12" s="1"/>
  <c r="AB894" i="12" a="1"/>
  <c r="AB894" i="12" s="1"/>
  <c r="Z894" i="12"/>
  <c r="X894" i="12"/>
  <c r="W894" i="12" s="1" a="1"/>
  <c r="W894" i="12" s="1"/>
  <c r="V894" i="12"/>
  <c r="E894" i="12" a="1"/>
  <c r="E894" i="12" s="1"/>
  <c r="C894" i="12" a="1"/>
  <c r="C894" i="12" s="1"/>
  <c r="B894" i="12"/>
  <c r="AA894" i="12" s="1" a="1"/>
  <c r="AA894" i="12" s="1"/>
  <c r="AF893" i="12"/>
  <c r="AD893" i="12"/>
  <c r="AC893" i="12" a="1"/>
  <c r="AC893" i="12" s="1"/>
  <c r="AB893" i="12" a="1"/>
  <c r="AB893" i="12" s="1"/>
  <c r="X893" i="12"/>
  <c r="W893" i="12" s="1" a="1"/>
  <c r="W893" i="12" s="1"/>
  <c r="V893" i="12"/>
  <c r="E893" i="12" a="1"/>
  <c r="E893" i="12" s="1"/>
  <c r="C893" i="12" a="1"/>
  <c r="C893" i="12"/>
  <c r="B893" i="12"/>
  <c r="AA893" i="12" s="1" a="1"/>
  <c r="AA893" i="12" s="1"/>
  <c r="AF892" i="12"/>
  <c r="AD892" i="12"/>
  <c r="Z892" i="12"/>
  <c r="V892" i="12"/>
  <c r="C892" i="12" a="1"/>
  <c r="C892" i="12" s="1"/>
  <c r="B892" i="12"/>
  <c r="AC892" i="12" s="1" a="1"/>
  <c r="AC892" i="12" s="1"/>
  <c r="AF891" i="12"/>
  <c r="AD891" i="12"/>
  <c r="AC891" i="12" a="1"/>
  <c r="AC891" i="12"/>
  <c r="AA891" i="12" a="1"/>
  <c r="AA891" i="12" s="1"/>
  <c r="X891" i="12"/>
  <c r="W891" i="12" s="1" a="1"/>
  <c r="W891" i="12"/>
  <c r="V891" i="12"/>
  <c r="E891" i="12" a="1"/>
  <c r="E891" i="12" s="1"/>
  <c r="C891" i="12" a="1"/>
  <c r="C891" i="12" s="1"/>
  <c r="B891" i="12"/>
  <c r="D891" i="12" s="1" a="1"/>
  <c r="D891" i="12" s="1"/>
  <c r="AF890" i="12"/>
  <c r="AD890" i="12"/>
  <c r="AC890" i="12" a="1"/>
  <c r="AC890" i="12" s="1"/>
  <c r="V890" i="12"/>
  <c r="B890" i="12"/>
  <c r="AB890" i="12" s="1" a="1"/>
  <c r="AB890" i="12" s="1"/>
  <c r="AF889" i="12"/>
  <c r="AD889" i="12"/>
  <c r="V889" i="12"/>
  <c r="B889" i="12"/>
  <c r="AF888" i="12"/>
  <c r="AD888" i="12"/>
  <c r="AB888" i="12" a="1"/>
  <c r="AB888" i="12" s="1"/>
  <c r="X888" i="12"/>
  <c r="W888" i="12" s="1" a="1"/>
  <c r="W888" i="12" s="1"/>
  <c r="V888" i="12"/>
  <c r="E888" i="12" a="1"/>
  <c r="E888" i="12" s="1"/>
  <c r="D888" i="12" a="1"/>
  <c r="D888" i="12" s="1"/>
  <c r="C888" i="12" a="1"/>
  <c r="C888" i="12"/>
  <c r="B888" i="12"/>
  <c r="AF887" i="12"/>
  <c r="AD887" i="12"/>
  <c r="V887" i="12"/>
  <c r="B887" i="12"/>
  <c r="AF886" i="12"/>
  <c r="AD886" i="12"/>
  <c r="AB886" i="12" a="1"/>
  <c r="AB886" i="12" s="1"/>
  <c r="AA886" i="12" a="1"/>
  <c r="AA886" i="12" s="1"/>
  <c r="W886" i="12" a="1"/>
  <c r="W886" i="12" s="1"/>
  <c r="V886" i="12"/>
  <c r="E886" i="12" a="1"/>
  <c r="E886" i="12" s="1"/>
  <c r="D886" i="12" a="1"/>
  <c r="D886" i="12" s="1"/>
  <c r="C886" i="12" a="1"/>
  <c r="C886" i="12" s="1"/>
  <c r="B886" i="12"/>
  <c r="X886" i="12" s="1"/>
  <c r="AF885" i="12"/>
  <c r="AD885" i="12"/>
  <c r="V885" i="12"/>
  <c r="B885" i="12"/>
  <c r="AF884" i="12"/>
  <c r="AD884" i="12"/>
  <c r="AC884" i="12" a="1"/>
  <c r="AC884" i="12" s="1"/>
  <c r="AA884" i="12" a="1"/>
  <c r="AA884" i="12" s="1"/>
  <c r="X884" i="12"/>
  <c r="W884" i="12" s="1" a="1"/>
  <c r="W884" i="12" s="1"/>
  <c r="V884" i="12"/>
  <c r="B884" i="12"/>
  <c r="D884" i="12" s="1" a="1"/>
  <c r="D884" i="12" s="1"/>
  <c r="AF883" i="12"/>
  <c r="AD883" i="12"/>
  <c r="AA883" i="12" a="1"/>
  <c r="AA883" i="12" s="1"/>
  <c r="V883" i="12"/>
  <c r="E883" i="12" a="1"/>
  <c r="E883" i="12" s="1"/>
  <c r="C883" i="12" a="1"/>
  <c r="C883" i="12" s="1"/>
  <c r="B883" i="12"/>
  <c r="X883" i="12" s="1"/>
  <c r="W883" i="12" s="1" a="1"/>
  <c r="W883" i="12" s="1"/>
  <c r="AF882" i="12"/>
  <c r="AD882" i="12"/>
  <c r="AB882" i="12" a="1"/>
  <c r="AB882" i="12"/>
  <c r="X882" i="12"/>
  <c r="W882" i="12" s="1" a="1"/>
  <c r="W882" i="12" s="1"/>
  <c r="V882" i="12"/>
  <c r="D882" i="12" a="1"/>
  <c r="D882" i="12" s="1"/>
  <c r="B882" i="12"/>
  <c r="AC882" i="12" s="1" a="1"/>
  <c r="AC882" i="12" s="1"/>
  <c r="AF881" i="12"/>
  <c r="AD881" i="12"/>
  <c r="AA881" i="12" a="1"/>
  <c r="AA881" i="12" s="1"/>
  <c r="X881" i="12"/>
  <c r="W881" i="12" s="1" a="1"/>
  <c r="W881" i="12" s="1"/>
  <c r="V881" i="12"/>
  <c r="E881" i="12" a="1"/>
  <c r="E881" i="12" s="1"/>
  <c r="B881" i="12"/>
  <c r="AC881" i="12" s="1" a="1"/>
  <c r="AC881" i="12" s="1"/>
  <c r="AF880" i="12"/>
  <c r="AD880" i="12"/>
  <c r="V880" i="12"/>
  <c r="B880" i="12"/>
  <c r="AF879" i="12"/>
  <c r="AD879" i="12"/>
  <c r="AB879" i="12" a="1"/>
  <c r="AB879" i="12" s="1"/>
  <c r="AA879" i="12" a="1"/>
  <c r="AA879" i="12" s="1"/>
  <c r="Z879" i="12"/>
  <c r="X879" i="12"/>
  <c r="W879" i="12" s="1" a="1"/>
  <c r="W879" i="12" s="1"/>
  <c r="V879" i="12"/>
  <c r="E879" i="12" a="1"/>
  <c r="E879" i="12"/>
  <c r="D879" i="12" a="1"/>
  <c r="D879" i="12" s="1"/>
  <c r="C879" i="12" a="1"/>
  <c r="C879" i="12"/>
  <c r="B879" i="12"/>
  <c r="AC879" i="12" s="1" a="1"/>
  <c r="AC879" i="12" s="1"/>
  <c r="AF878" i="12"/>
  <c r="AD878" i="12"/>
  <c r="AB878" i="12" a="1"/>
  <c r="AB878" i="12"/>
  <c r="Z878" i="12"/>
  <c r="X878" i="12"/>
  <c r="W878" i="12" s="1" a="1"/>
  <c r="W878" i="12" s="1"/>
  <c r="V878" i="12"/>
  <c r="D878" i="12" a="1"/>
  <c r="D878" i="12" s="1"/>
  <c r="C878" i="12"/>
  <c r="B878" i="12"/>
  <c r="C878" i="12" s="1" a="1"/>
  <c r="AF877" i="12"/>
  <c r="AD877" i="12"/>
  <c r="V877" i="12"/>
  <c r="B877" i="12"/>
  <c r="AF876" i="12"/>
  <c r="AD876" i="12"/>
  <c r="AC876" i="12" a="1"/>
  <c r="AC876" i="12" s="1"/>
  <c r="X876" i="12"/>
  <c r="W876" i="12" s="1" a="1"/>
  <c r="W876" i="12" s="1"/>
  <c r="V876" i="12"/>
  <c r="C876" i="12" a="1"/>
  <c r="C876" i="12" s="1"/>
  <c r="B876" i="12"/>
  <c r="AA876" i="12" s="1" a="1"/>
  <c r="AA876" i="12" s="1"/>
  <c r="AF875" i="12"/>
  <c r="AD875" i="12"/>
  <c r="V875" i="12"/>
  <c r="B875" i="12"/>
  <c r="AF874" i="12"/>
  <c r="AD874" i="12"/>
  <c r="V874" i="12"/>
  <c r="B874" i="12"/>
  <c r="AF873" i="12"/>
  <c r="AD873" i="12"/>
  <c r="AA873" i="12" a="1"/>
  <c r="AA873" i="12" s="1"/>
  <c r="X873" i="12"/>
  <c r="W873" i="12" s="1" a="1"/>
  <c r="W873" i="12" s="1"/>
  <c r="V873" i="12"/>
  <c r="B873" i="12"/>
  <c r="AC873" i="12" s="1" a="1"/>
  <c r="AC873" i="12" s="1"/>
  <c r="AF872" i="12"/>
  <c r="AD872" i="12"/>
  <c r="AC872" i="12" a="1"/>
  <c r="AC872" i="12" s="1"/>
  <c r="Z872" i="12"/>
  <c r="V872" i="12"/>
  <c r="D872" i="12" a="1"/>
  <c r="D872" i="12" s="1"/>
  <c r="B872" i="12"/>
  <c r="X872" i="12" s="1"/>
  <c r="W872" i="12" s="1" a="1"/>
  <c r="W872" i="12" s="1"/>
  <c r="AF871" i="12"/>
  <c r="AD871" i="12"/>
  <c r="V871" i="12"/>
  <c r="E871" i="12" a="1"/>
  <c r="E871" i="12" s="1"/>
  <c r="C871" i="12" a="1"/>
  <c r="C871" i="12" s="1"/>
  <c r="B871" i="12"/>
  <c r="X871" i="12" s="1"/>
  <c r="W871" i="12" s="1" a="1"/>
  <c r="W871" i="12" s="1"/>
  <c r="AF870" i="12"/>
  <c r="AD870" i="12"/>
  <c r="V870" i="12"/>
  <c r="B870" i="12"/>
  <c r="AA870" i="12" s="1" a="1"/>
  <c r="AA870" i="12" s="1"/>
  <c r="AF869" i="12"/>
  <c r="AD869" i="12"/>
  <c r="AA869" i="12" a="1"/>
  <c r="AA869" i="12" s="1"/>
  <c r="V869" i="12"/>
  <c r="B869" i="12"/>
  <c r="AF868" i="12"/>
  <c r="AD868" i="12"/>
  <c r="V868" i="12"/>
  <c r="B868" i="12"/>
  <c r="E868" i="12" s="1" a="1"/>
  <c r="E868" i="12" s="1"/>
  <c r="AF867" i="12"/>
  <c r="AD867" i="12"/>
  <c r="AC867" i="12" a="1"/>
  <c r="AC867" i="12" s="1"/>
  <c r="AA867" i="12" a="1"/>
  <c r="AA867" i="12" s="1"/>
  <c r="X867" i="12"/>
  <c r="W867" i="12" s="1" a="1"/>
  <c r="W867" i="12" s="1"/>
  <c r="V867" i="12"/>
  <c r="B867" i="12"/>
  <c r="D867" i="12" s="1" a="1"/>
  <c r="D867" i="12" s="1"/>
  <c r="AF866" i="12"/>
  <c r="AD866" i="12"/>
  <c r="AB866" i="12" a="1"/>
  <c r="AB866" i="12" s="1"/>
  <c r="V866" i="12"/>
  <c r="C866" i="12" a="1"/>
  <c r="C866" i="12" s="1"/>
  <c r="B866" i="12"/>
  <c r="Z866" i="12" s="1"/>
  <c r="AF865" i="12"/>
  <c r="AD865" i="12"/>
  <c r="V865" i="12"/>
  <c r="B865" i="12"/>
  <c r="AF864" i="12"/>
  <c r="AD864" i="12"/>
  <c r="AA864" i="12" a="1"/>
  <c r="AA864" i="12" s="1"/>
  <c r="V864" i="12"/>
  <c r="E864" i="12" a="1"/>
  <c r="E864" i="12" s="1"/>
  <c r="B864" i="12"/>
  <c r="Z864" i="12" s="1"/>
  <c r="AF863" i="12"/>
  <c r="AD863" i="12"/>
  <c r="AC863" i="12" a="1"/>
  <c r="AC863" i="12" s="1"/>
  <c r="Z863" i="12"/>
  <c r="V863" i="12"/>
  <c r="E863" i="12" a="1"/>
  <c r="E863" i="12" s="1"/>
  <c r="D863" i="12" a="1"/>
  <c r="D863" i="12" s="1"/>
  <c r="C863" i="12" a="1"/>
  <c r="C863" i="12" s="1"/>
  <c r="B863" i="12"/>
  <c r="AB863" i="12" s="1" a="1"/>
  <c r="AB863" i="12" s="1"/>
  <c r="AF862" i="12"/>
  <c r="AD862" i="12"/>
  <c r="AC862" i="12" a="1"/>
  <c r="AC862" i="12" s="1"/>
  <c r="V862" i="12"/>
  <c r="B862" i="12"/>
  <c r="AB862" i="12" s="1" a="1"/>
  <c r="AB862" i="12" s="1"/>
  <c r="AF861" i="12"/>
  <c r="AD861" i="12"/>
  <c r="V861" i="12"/>
  <c r="B861" i="12"/>
  <c r="AF860" i="12"/>
  <c r="AD860" i="12"/>
  <c r="V860" i="12"/>
  <c r="D860" i="12" a="1"/>
  <c r="D860" i="12" s="1"/>
  <c r="C860" i="12" a="1"/>
  <c r="C860" i="12" s="1"/>
  <c r="B860" i="12"/>
  <c r="AC860" i="12" s="1" a="1"/>
  <c r="AC860" i="12" s="1"/>
  <c r="AF859" i="12"/>
  <c r="AD859" i="12"/>
  <c r="AA859" i="12" a="1"/>
  <c r="AA859" i="12" s="1"/>
  <c r="V859" i="12"/>
  <c r="E859" i="12" a="1"/>
  <c r="E859" i="12" s="1"/>
  <c r="D859" i="12" a="1"/>
  <c r="D859" i="12" s="1"/>
  <c r="C859" i="12" a="1"/>
  <c r="C859" i="12" s="1"/>
  <c r="B859" i="12"/>
  <c r="AB859" i="12" s="1" a="1"/>
  <c r="AB859" i="12" s="1"/>
  <c r="AF858" i="12"/>
  <c r="AD858" i="12"/>
  <c r="AB858" i="12" a="1"/>
  <c r="AB858" i="12" s="1"/>
  <c r="AA858" i="12" a="1"/>
  <c r="AA858" i="12" s="1"/>
  <c r="V858" i="12"/>
  <c r="E858" i="12" a="1"/>
  <c r="E858" i="12" s="1"/>
  <c r="D858" i="12" a="1"/>
  <c r="D858" i="12" s="1"/>
  <c r="B858" i="12"/>
  <c r="Z858" i="12" s="1"/>
  <c r="AF857" i="12"/>
  <c r="AD857" i="12"/>
  <c r="AC857" i="12" a="1"/>
  <c r="AC857" i="12" s="1"/>
  <c r="AB857" i="12" a="1"/>
  <c r="AB857" i="12" s="1"/>
  <c r="V857" i="12"/>
  <c r="E857" i="12" a="1"/>
  <c r="E857" i="12" s="1"/>
  <c r="B857" i="12"/>
  <c r="Z857" i="12" s="1"/>
  <c r="AF856" i="12"/>
  <c r="AD856" i="12"/>
  <c r="V856" i="12"/>
  <c r="B856" i="12"/>
  <c r="AF855" i="12"/>
  <c r="AD855" i="12"/>
  <c r="AB855" i="12" a="1"/>
  <c r="AB855" i="12" s="1"/>
  <c r="V855" i="12"/>
  <c r="B855" i="12"/>
  <c r="C855" i="12" s="1" a="1"/>
  <c r="C855" i="12" s="1"/>
  <c r="AF854" i="12"/>
  <c r="AD854" i="12"/>
  <c r="AC854" i="12" a="1"/>
  <c r="AC854" i="12" s="1"/>
  <c r="V854" i="12"/>
  <c r="D854" i="12" a="1"/>
  <c r="D854" i="12" s="1"/>
  <c r="B854" i="12"/>
  <c r="AF853" i="12"/>
  <c r="AD853" i="12"/>
  <c r="V853" i="12"/>
  <c r="B853" i="12"/>
  <c r="X853" i="12" s="1"/>
  <c r="W853" i="12" s="1" a="1"/>
  <c r="W853" i="12" s="1"/>
  <c r="AF852" i="12"/>
  <c r="AD852" i="12"/>
  <c r="V852" i="12"/>
  <c r="B852" i="12"/>
  <c r="AF851" i="12"/>
  <c r="AD851" i="12"/>
  <c r="V851" i="12"/>
  <c r="B851" i="12"/>
  <c r="X851" i="12" s="1"/>
  <c r="W851" i="12" s="1" a="1"/>
  <c r="W851" i="12" s="1"/>
  <c r="AF850" i="12"/>
  <c r="AD850" i="12"/>
  <c r="AC850" i="12" a="1"/>
  <c r="AC850" i="12" s="1"/>
  <c r="W850" i="12" a="1"/>
  <c r="W850" i="12" s="1"/>
  <c r="V850" i="12"/>
  <c r="D850" i="12" a="1"/>
  <c r="D850" i="12" s="1"/>
  <c r="B850" i="12"/>
  <c r="X850" i="12" s="1"/>
  <c r="AF849" i="12"/>
  <c r="AD849" i="12"/>
  <c r="AB849" i="12" a="1"/>
  <c r="AB849" i="12" s="1"/>
  <c r="AA849" i="12" a="1"/>
  <c r="AA849" i="12" s="1"/>
  <c r="V849" i="12"/>
  <c r="C849" i="12" a="1"/>
  <c r="C849" i="12" s="1"/>
  <c r="B849" i="12"/>
  <c r="Z849" i="12" s="1"/>
  <c r="AF848" i="12"/>
  <c r="AD848" i="12"/>
  <c r="V848" i="12"/>
  <c r="E848" i="12" a="1"/>
  <c r="E848" i="12" s="1"/>
  <c r="B848" i="12"/>
  <c r="X848" i="12" s="1"/>
  <c r="W848" i="12" s="1" a="1"/>
  <c r="W848" i="12" s="1"/>
  <c r="AF847" i="12"/>
  <c r="AD847" i="12"/>
  <c r="AB847" i="12" a="1"/>
  <c r="AB847" i="12" s="1"/>
  <c r="V847" i="12"/>
  <c r="B847" i="12"/>
  <c r="X847" i="12" s="1"/>
  <c r="W847" i="12" s="1" a="1"/>
  <c r="W847" i="12" s="1"/>
  <c r="AF846" i="12"/>
  <c r="AD846" i="12"/>
  <c r="AC846" i="12" a="1"/>
  <c r="AC846" i="12" s="1"/>
  <c r="Z846" i="12"/>
  <c r="W846" i="12" a="1"/>
  <c r="W846" i="12" s="1"/>
  <c r="V846" i="12"/>
  <c r="B846" i="12"/>
  <c r="X846" i="12" s="1"/>
  <c r="AF845" i="12"/>
  <c r="AD845" i="12"/>
  <c r="Z845" i="12"/>
  <c r="V845" i="12"/>
  <c r="B845" i="12"/>
  <c r="AC845" i="12" s="1" a="1"/>
  <c r="AC845" i="12" s="1"/>
  <c r="AF844" i="12"/>
  <c r="AD844" i="12"/>
  <c r="V844" i="12"/>
  <c r="B844" i="12"/>
  <c r="AF843" i="12"/>
  <c r="AD843" i="12"/>
  <c r="AB843" i="12" a="1"/>
  <c r="AB843" i="12" s="1"/>
  <c r="Z843" i="12"/>
  <c r="X843" i="12"/>
  <c r="W843" i="12" s="1" a="1"/>
  <c r="W843" i="12" s="1"/>
  <c r="V843" i="12"/>
  <c r="E843" i="12" a="1"/>
  <c r="E843" i="12" s="1"/>
  <c r="C843" i="12" a="1"/>
  <c r="C843" i="12" s="1"/>
  <c r="B843" i="12"/>
  <c r="AC843" i="12" s="1" a="1"/>
  <c r="AC843" i="12" s="1"/>
  <c r="AF842" i="12"/>
  <c r="AD842" i="12"/>
  <c r="V842" i="12"/>
  <c r="B842" i="12"/>
  <c r="AF841" i="12"/>
  <c r="AD841" i="12"/>
  <c r="Z841" i="12"/>
  <c r="V841" i="12"/>
  <c r="B841" i="12"/>
  <c r="X841" i="12" s="1"/>
  <c r="W841" i="12" s="1" a="1"/>
  <c r="W841" i="12" s="1"/>
  <c r="AF840" i="12"/>
  <c r="AD840" i="12"/>
  <c r="AB840" i="12" a="1"/>
  <c r="AB840" i="12" s="1"/>
  <c r="AA840" i="12" a="1"/>
  <c r="AA840" i="12" s="1"/>
  <c r="X840" i="12"/>
  <c r="W840" i="12" s="1" a="1"/>
  <c r="W840" i="12" s="1"/>
  <c r="V840" i="12"/>
  <c r="E840" i="12" a="1"/>
  <c r="E840" i="12" s="1"/>
  <c r="D840" i="12" a="1"/>
  <c r="D840" i="12" s="1"/>
  <c r="B840" i="12"/>
  <c r="Z840" i="12" s="1"/>
  <c r="AF839" i="12"/>
  <c r="AD839" i="12"/>
  <c r="AC839" i="12" a="1"/>
  <c r="AC839" i="12" s="1"/>
  <c r="AB839" i="12" a="1"/>
  <c r="AB839" i="12" s="1"/>
  <c r="AA839" i="12" a="1"/>
  <c r="AA839" i="12" s="1"/>
  <c r="Z839" i="12"/>
  <c r="V839" i="12"/>
  <c r="E839" i="12" a="1"/>
  <c r="E839" i="12" s="1"/>
  <c r="D839" i="12" a="1"/>
  <c r="D839" i="12" s="1"/>
  <c r="C839" i="12" a="1"/>
  <c r="C839" i="12" s="1"/>
  <c r="B839" i="12"/>
  <c r="X839" i="12" s="1"/>
  <c r="W839" i="12" s="1" a="1"/>
  <c r="W839" i="12" s="1"/>
  <c r="AF838" i="12"/>
  <c r="AD838" i="12"/>
  <c r="Z838" i="12"/>
  <c r="W838" i="12" a="1"/>
  <c r="W838" i="12" s="1"/>
  <c r="V838" i="12"/>
  <c r="C838" i="12" a="1"/>
  <c r="C838" i="12" s="1"/>
  <c r="B838" i="12"/>
  <c r="X838" i="12" s="1"/>
  <c r="AF837" i="12"/>
  <c r="AD837" i="12"/>
  <c r="Z837" i="12"/>
  <c r="X837" i="12"/>
  <c r="W837" i="12" s="1" a="1"/>
  <c r="W837" i="12" s="1"/>
  <c r="V837" i="12"/>
  <c r="E837" i="12" a="1"/>
  <c r="E837" i="12" s="1"/>
  <c r="C837" i="12" a="1"/>
  <c r="C837" i="12" s="1"/>
  <c r="B837" i="12"/>
  <c r="AA837" i="12" s="1" a="1"/>
  <c r="AA837" i="12" s="1"/>
  <c r="AF836" i="12"/>
  <c r="AD836" i="12"/>
  <c r="V836" i="12"/>
  <c r="B836" i="12"/>
  <c r="AC836" i="12" s="1" a="1"/>
  <c r="AC836" i="12" s="1"/>
  <c r="AF835" i="12"/>
  <c r="AD835" i="12"/>
  <c r="AB835" i="12" a="1"/>
  <c r="AB835" i="12" s="1"/>
  <c r="X835" i="12"/>
  <c r="W835" i="12" s="1" a="1"/>
  <c r="W835" i="12" s="1"/>
  <c r="V835" i="12"/>
  <c r="C835" i="12" a="1"/>
  <c r="C835" i="12"/>
  <c r="B835" i="12"/>
  <c r="Z835" i="12" s="1"/>
  <c r="AF834" i="12"/>
  <c r="AD834" i="12"/>
  <c r="Z834" i="12"/>
  <c r="V834" i="12"/>
  <c r="B834" i="12"/>
  <c r="E834" i="12" s="1" a="1"/>
  <c r="E834" i="12" s="1"/>
  <c r="AF833" i="12"/>
  <c r="AD833" i="12"/>
  <c r="AC833" i="12" a="1"/>
  <c r="AC833" i="12" s="1"/>
  <c r="V833" i="12"/>
  <c r="E833" i="12" a="1"/>
  <c r="E833" i="12" s="1"/>
  <c r="D833" i="12" a="1"/>
  <c r="D833" i="12" s="1"/>
  <c r="B833" i="12"/>
  <c r="AF832" i="12"/>
  <c r="AD832" i="12"/>
  <c r="AC832" i="12" a="1"/>
  <c r="AC832" i="12" s="1"/>
  <c r="W832" i="12" a="1"/>
  <c r="W832" i="12" s="1"/>
  <c r="V832" i="12"/>
  <c r="E832" i="12" a="1"/>
  <c r="E832" i="12" s="1"/>
  <c r="D832" i="12" a="1"/>
  <c r="D832" i="12" s="1"/>
  <c r="C832" i="12" a="1"/>
  <c r="C832" i="12" s="1"/>
  <c r="B832" i="12"/>
  <c r="X832" i="12" s="1"/>
  <c r="AF831" i="12"/>
  <c r="AD831" i="12"/>
  <c r="V831" i="12"/>
  <c r="B831" i="12"/>
  <c r="AF830" i="12"/>
  <c r="AD830" i="12"/>
  <c r="AB830" i="12" a="1"/>
  <c r="AB830" i="12" s="1"/>
  <c r="AA830" i="12" a="1"/>
  <c r="AA830" i="12" s="1"/>
  <c r="X830" i="12"/>
  <c r="W830" i="12" s="1" a="1"/>
  <c r="W830" i="12" s="1"/>
  <c r="V830" i="12"/>
  <c r="E830" i="12" a="1"/>
  <c r="E830" i="12" s="1"/>
  <c r="C830" i="12" a="1"/>
  <c r="C830" i="12"/>
  <c r="B830" i="12"/>
  <c r="Z830" i="12" s="1"/>
  <c r="AF829" i="12"/>
  <c r="AD829" i="12"/>
  <c r="AB829" i="12" a="1"/>
  <c r="AB829" i="12" s="1"/>
  <c r="V829" i="12"/>
  <c r="B829" i="12"/>
  <c r="AF828" i="12"/>
  <c r="AD828" i="12"/>
  <c r="AA828" i="12" a="1"/>
  <c r="AA828" i="12" s="1"/>
  <c r="Z828" i="12"/>
  <c r="W828" i="12"/>
  <c r="V828" i="12"/>
  <c r="E828" i="12" a="1"/>
  <c r="E828" i="12" s="1"/>
  <c r="D828" i="12" a="1"/>
  <c r="D828" i="12" s="1"/>
  <c r="C828" i="12" a="1"/>
  <c r="C828" i="12" s="1"/>
  <c r="B828" i="12"/>
  <c r="X828" i="12" s="1"/>
  <c r="W828" i="12" s="1" a="1"/>
  <c r="AF827" i="12"/>
  <c r="AD827" i="12"/>
  <c r="V827" i="12"/>
  <c r="B827" i="12"/>
  <c r="AF826" i="12"/>
  <c r="AD826" i="12"/>
  <c r="V826" i="12"/>
  <c r="B826" i="12"/>
  <c r="AF825" i="12"/>
  <c r="AD825" i="12"/>
  <c r="V825" i="12"/>
  <c r="B825" i="12"/>
  <c r="AF824" i="12"/>
  <c r="AD824" i="12"/>
  <c r="AA824" i="12" a="1"/>
  <c r="AA824" i="12" s="1"/>
  <c r="V824" i="12"/>
  <c r="E824" i="12" a="1"/>
  <c r="E824" i="12" s="1"/>
  <c r="C824" i="12" a="1"/>
  <c r="C824" i="12"/>
  <c r="B824" i="12"/>
  <c r="AC824" i="12" s="1" a="1"/>
  <c r="AC824" i="12" s="1"/>
  <c r="AF823" i="12"/>
  <c r="AD823" i="12"/>
  <c r="V823" i="12"/>
  <c r="B823" i="12"/>
  <c r="AB823" i="12" s="1" a="1"/>
  <c r="AB823" i="12" s="1"/>
  <c r="AF822" i="12"/>
  <c r="AD822" i="12"/>
  <c r="AC822" i="12" a="1"/>
  <c r="AC822" i="12" s="1"/>
  <c r="AB822" i="12" a="1"/>
  <c r="AB822" i="12" s="1"/>
  <c r="AA822" i="12" a="1"/>
  <c r="AA822" i="12" s="1"/>
  <c r="V822" i="12"/>
  <c r="B822" i="12"/>
  <c r="X822" i="12" s="1"/>
  <c r="W822" i="12" s="1" a="1"/>
  <c r="W822" i="12" s="1"/>
  <c r="AF821" i="12"/>
  <c r="AD821" i="12"/>
  <c r="Z821" i="12"/>
  <c r="V821" i="12"/>
  <c r="E821" i="12" a="1"/>
  <c r="E821" i="12" s="1"/>
  <c r="B821" i="12"/>
  <c r="C821" i="12" s="1" a="1"/>
  <c r="C821" i="12" s="1"/>
  <c r="AF820" i="12"/>
  <c r="AD820" i="12"/>
  <c r="AC820" i="12" a="1"/>
  <c r="AC820" i="12" s="1"/>
  <c r="AA820" i="12" a="1"/>
  <c r="AA820" i="12" s="1"/>
  <c r="V820" i="12"/>
  <c r="E820" i="12" a="1"/>
  <c r="E820" i="12" s="1"/>
  <c r="B820" i="12"/>
  <c r="AB820" i="12" s="1" a="1"/>
  <c r="AB820" i="12" s="1"/>
  <c r="AF819" i="12"/>
  <c r="AD819" i="12"/>
  <c r="Z819" i="12"/>
  <c r="V819" i="12"/>
  <c r="D819" i="12" a="1"/>
  <c r="D819" i="12" s="1"/>
  <c r="C819" i="12" a="1"/>
  <c r="C819" i="12" s="1"/>
  <c r="B819" i="12"/>
  <c r="X819" i="12" s="1"/>
  <c r="W819" i="12" s="1" a="1"/>
  <c r="W819" i="12" s="1"/>
  <c r="AF818" i="12"/>
  <c r="AD818" i="12"/>
  <c r="Z818" i="12"/>
  <c r="V818" i="12"/>
  <c r="B818" i="12"/>
  <c r="AF817" i="12"/>
  <c r="AD817" i="12"/>
  <c r="AB817" i="12" a="1"/>
  <c r="AB817" i="12" s="1"/>
  <c r="V817" i="12"/>
  <c r="C817" i="12" a="1"/>
  <c r="C817" i="12" s="1"/>
  <c r="B817" i="12"/>
  <c r="X817" i="12" s="1"/>
  <c r="W817" i="12" s="1" a="1"/>
  <c r="W817" i="12" s="1"/>
  <c r="AF816" i="12"/>
  <c r="AD816" i="12"/>
  <c r="Z816" i="12"/>
  <c r="V816" i="12"/>
  <c r="B816" i="12"/>
  <c r="X816" i="12" s="1"/>
  <c r="W816" i="12" s="1" a="1"/>
  <c r="W816" i="12" s="1"/>
  <c r="AF815" i="12"/>
  <c r="AD815" i="12"/>
  <c r="V815" i="12"/>
  <c r="B815" i="12"/>
  <c r="AC815" i="12" s="1" a="1"/>
  <c r="AC815" i="12" s="1"/>
  <c r="AF814" i="12"/>
  <c r="AD814" i="12"/>
  <c r="AC814" i="12" a="1"/>
  <c r="AC814" i="12" s="1"/>
  <c r="V814" i="12"/>
  <c r="B814" i="12"/>
  <c r="AB814" i="12" s="1" a="1"/>
  <c r="AB814" i="12" s="1"/>
  <c r="AF813" i="12"/>
  <c r="AD813" i="12"/>
  <c r="AC813" i="12" a="1"/>
  <c r="AC813" i="12" s="1"/>
  <c r="Z813" i="12"/>
  <c r="V813" i="12"/>
  <c r="C813" i="12" a="1"/>
  <c r="C813" i="12" s="1"/>
  <c r="B813" i="12"/>
  <c r="AA813" i="12" s="1" a="1"/>
  <c r="AA813" i="12" s="1"/>
  <c r="AF812" i="12"/>
  <c r="AD812" i="12"/>
  <c r="AA812" i="12" a="1"/>
  <c r="AA812" i="12" s="1"/>
  <c r="V812" i="12"/>
  <c r="B812" i="12"/>
  <c r="Z812" i="12" s="1"/>
  <c r="AF811" i="12"/>
  <c r="AD811" i="12"/>
  <c r="V811" i="12"/>
  <c r="B811" i="12"/>
  <c r="AF810" i="12"/>
  <c r="AD810" i="12"/>
  <c r="V810" i="12"/>
  <c r="D810" i="12" a="1"/>
  <c r="D810" i="12" s="1"/>
  <c r="B810" i="12"/>
  <c r="X810" i="12" s="1"/>
  <c r="W810" i="12" s="1" a="1"/>
  <c r="W810" i="12" s="1"/>
  <c r="AF809" i="12"/>
  <c r="AD809" i="12"/>
  <c r="AB809" i="12" a="1"/>
  <c r="AB809" i="12" s="1"/>
  <c r="AA809" i="12" a="1"/>
  <c r="AA809" i="12" s="1"/>
  <c r="Z809" i="12"/>
  <c r="X809" i="12"/>
  <c r="W809" i="12" s="1" a="1"/>
  <c r="W809" i="12" s="1"/>
  <c r="V809" i="12"/>
  <c r="E809" i="12" a="1"/>
  <c r="E809" i="12" s="1"/>
  <c r="C809" i="12" a="1"/>
  <c r="C809" i="12" s="1"/>
  <c r="B809" i="12"/>
  <c r="D809" i="12" s="1" a="1"/>
  <c r="D809" i="12" s="1"/>
  <c r="AF808" i="12"/>
  <c r="AD808" i="12"/>
  <c r="AA808" i="12" a="1"/>
  <c r="AA808" i="12" s="1"/>
  <c r="V808" i="12"/>
  <c r="E808" i="12" a="1"/>
  <c r="E808" i="12" s="1"/>
  <c r="B808" i="12"/>
  <c r="X808" i="12" s="1"/>
  <c r="W808" i="12" s="1" a="1"/>
  <c r="W808" i="12" s="1"/>
  <c r="AF807" i="12"/>
  <c r="AD807" i="12"/>
  <c r="V807" i="12"/>
  <c r="B807" i="12"/>
  <c r="Z807" i="12" s="1"/>
  <c r="AF806" i="12"/>
  <c r="AD806" i="12"/>
  <c r="AA806" i="12" a="1"/>
  <c r="AA806" i="12" s="1"/>
  <c r="X806" i="12"/>
  <c r="W806" i="12" s="1" a="1"/>
  <c r="W806" i="12" s="1"/>
  <c r="V806" i="12"/>
  <c r="D806" i="12" a="1"/>
  <c r="D806" i="12" s="1"/>
  <c r="B806" i="12"/>
  <c r="AC806" i="12" s="1" a="1"/>
  <c r="AC806" i="12" s="1"/>
  <c r="AF805" i="12"/>
  <c r="AD805" i="12"/>
  <c r="AA805" i="12" a="1"/>
  <c r="AA805" i="12" s="1"/>
  <c r="V805" i="12"/>
  <c r="B805" i="12"/>
  <c r="AC805" i="12" s="1" a="1"/>
  <c r="AC805" i="12" s="1"/>
  <c r="AF804" i="12"/>
  <c r="AD804" i="12"/>
  <c r="V804" i="12"/>
  <c r="B804" i="12"/>
  <c r="AF803" i="12"/>
  <c r="AD803" i="12"/>
  <c r="Z803" i="12"/>
  <c r="X803" i="12"/>
  <c r="W803" i="12" s="1" a="1"/>
  <c r="W803" i="12" s="1"/>
  <c r="V803" i="12"/>
  <c r="C803" i="12" a="1"/>
  <c r="C803" i="12" s="1"/>
  <c r="B803" i="12"/>
  <c r="AC803" i="12" s="1" a="1"/>
  <c r="AC803" i="12" s="1"/>
  <c r="AF802" i="12"/>
  <c r="AD802" i="12"/>
  <c r="V802" i="12"/>
  <c r="D802" i="12" a="1"/>
  <c r="D802" i="12" s="1"/>
  <c r="B802" i="12"/>
  <c r="AB802" i="12" s="1" a="1"/>
  <c r="AB802" i="12" s="1"/>
  <c r="AF801" i="12"/>
  <c r="AD801" i="12"/>
  <c r="AA801" i="12" a="1"/>
  <c r="AA801" i="12" s="1"/>
  <c r="V801" i="12"/>
  <c r="D801" i="12" a="1"/>
  <c r="D801" i="12" s="1"/>
  <c r="B801" i="12"/>
  <c r="X801" i="12" s="1"/>
  <c r="W801" i="12" s="1" a="1"/>
  <c r="W801" i="12" s="1"/>
  <c r="AF800" i="12"/>
  <c r="AD800" i="12"/>
  <c r="AC800" i="12" a="1"/>
  <c r="AC800" i="12" s="1"/>
  <c r="AB800" i="12" a="1"/>
  <c r="AB800" i="12" s="1"/>
  <c r="Z800" i="12"/>
  <c r="V800" i="12"/>
  <c r="C800" i="12" a="1"/>
  <c r="C800" i="12"/>
  <c r="B800" i="12"/>
  <c r="AA800" i="12" s="1" a="1"/>
  <c r="AA800" i="12" s="1"/>
  <c r="AF799" i="12"/>
  <c r="AD799" i="12"/>
  <c r="X799" i="12"/>
  <c r="W799" i="12" s="1" a="1"/>
  <c r="W799" i="12" s="1"/>
  <c r="V799" i="12"/>
  <c r="B799" i="12"/>
  <c r="E799" i="12" s="1" a="1"/>
  <c r="E799" i="12" s="1"/>
  <c r="AF798" i="12"/>
  <c r="AD798" i="12"/>
  <c r="V798" i="12"/>
  <c r="B798" i="12"/>
  <c r="X798" i="12" s="1"/>
  <c r="W798" i="12" s="1" a="1"/>
  <c r="W798" i="12" s="1"/>
  <c r="AF797" i="12"/>
  <c r="AD797" i="12"/>
  <c r="AB797" i="12" a="1"/>
  <c r="AB797" i="12" s="1"/>
  <c r="Z797" i="12"/>
  <c r="X797" i="12"/>
  <c r="W797" i="12" s="1" a="1"/>
  <c r="W797" i="12" s="1"/>
  <c r="V797" i="12"/>
  <c r="C797" i="12" a="1"/>
  <c r="C797" i="12" s="1"/>
  <c r="B797" i="12"/>
  <c r="AC797" i="12" s="1" a="1"/>
  <c r="AC797" i="12" s="1"/>
  <c r="AF796" i="12"/>
  <c r="AD796" i="12"/>
  <c r="AB796" i="12" a="1"/>
  <c r="AB796" i="12" s="1"/>
  <c r="AA796" i="12" a="1"/>
  <c r="AA796" i="12" s="1"/>
  <c r="Z796" i="12"/>
  <c r="X796" i="12"/>
  <c r="W796" i="12" s="1" a="1"/>
  <c r="W796" i="12" s="1"/>
  <c r="V796" i="12"/>
  <c r="E796" i="12" a="1"/>
  <c r="E796" i="12" s="1"/>
  <c r="D796" i="12" a="1"/>
  <c r="D796" i="12" s="1"/>
  <c r="C796" i="12" a="1"/>
  <c r="C796" i="12" s="1"/>
  <c r="B796" i="12"/>
  <c r="AC796" i="12" s="1" a="1"/>
  <c r="AC796" i="12" s="1"/>
  <c r="AF795" i="12"/>
  <c r="AD795" i="12"/>
  <c r="AC795" i="12" a="1"/>
  <c r="AC795" i="12" s="1"/>
  <c r="V795" i="12"/>
  <c r="E795" i="12" a="1"/>
  <c r="E795" i="12" s="1"/>
  <c r="B795" i="12"/>
  <c r="X795" i="12" s="1"/>
  <c r="W795" i="12" s="1" a="1"/>
  <c r="W795" i="12" s="1"/>
  <c r="AF794" i="12"/>
  <c r="AD794" i="12"/>
  <c r="AA794" i="12" a="1"/>
  <c r="AA794" i="12" s="1"/>
  <c r="Z794" i="12"/>
  <c r="V794" i="12"/>
  <c r="D794" i="12" a="1"/>
  <c r="D794" i="12" s="1"/>
  <c r="C794" i="12" a="1"/>
  <c r="C794" i="12" s="1"/>
  <c r="B794" i="12"/>
  <c r="AC794" i="12" s="1" a="1"/>
  <c r="AC794" i="12" s="1"/>
  <c r="AF793" i="12"/>
  <c r="AD793" i="12"/>
  <c r="AC793" i="12" a="1"/>
  <c r="AC793" i="12" s="1"/>
  <c r="AA793" i="12" a="1"/>
  <c r="AA793" i="12" s="1"/>
  <c r="Z793" i="12"/>
  <c r="V793" i="12"/>
  <c r="D793" i="12" a="1"/>
  <c r="D793" i="12" s="1"/>
  <c r="C793" i="12" a="1"/>
  <c r="C793" i="12" s="1"/>
  <c r="B793" i="12"/>
  <c r="AB793" i="12" s="1" a="1"/>
  <c r="AB793" i="12" s="1"/>
  <c r="AF792" i="12"/>
  <c r="AD792" i="12"/>
  <c r="AC792" i="12" a="1"/>
  <c r="AC792" i="12" s="1"/>
  <c r="AA792" i="12" a="1"/>
  <c r="AA792" i="12" s="1"/>
  <c r="Z792" i="12"/>
  <c r="V792" i="12"/>
  <c r="D792" i="12" a="1"/>
  <c r="D792" i="12" s="1"/>
  <c r="C792" i="12" a="1"/>
  <c r="C792" i="12" s="1"/>
  <c r="B792" i="12"/>
  <c r="X792" i="12" s="1"/>
  <c r="W792" i="12" s="1" a="1"/>
  <c r="W792" i="12" s="1"/>
  <c r="AF791" i="12"/>
  <c r="AD791" i="12"/>
  <c r="V791" i="12"/>
  <c r="B791" i="12"/>
  <c r="AF790" i="12"/>
  <c r="AD790" i="12"/>
  <c r="AA790" i="12" a="1"/>
  <c r="AA790" i="12" s="1"/>
  <c r="X790" i="12"/>
  <c r="W790" i="12" s="1" a="1"/>
  <c r="W790" i="12" s="1"/>
  <c r="V790" i="12"/>
  <c r="B790" i="12"/>
  <c r="AF789" i="12"/>
  <c r="AD789" i="12"/>
  <c r="Z789" i="12"/>
  <c r="V789" i="12"/>
  <c r="B789" i="12"/>
  <c r="AC789" i="12" s="1" a="1"/>
  <c r="AC789" i="12" s="1"/>
  <c r="AF788" i="12"/>
  <c r="AD788" i="12"/>
  <c r="AC788" i="12" a="1"/>
  <c r="AC788" i="12" s="1"/>
  <c r="AB788" i="12" a="1"/>
  <c r="AB788" i="12" s="1"/>
  <c r="V788" i="12"/>
  <c r="B788" i="12"/>
  <c r="AF787" i="12"/>
  <c r="AD787" i="12"/>
  <c r="AC787" i="12" a="1"/>
  <c r="AC787" i="12" s="1"/>
  <c r="V787" i="12"/>
  <c r="B787" i="12"/>
  <c r="AF786" i="12"/>
  <c r="AD786" i="12"/>
  <c r="AC786" i="12" a="1"/>
  <c r="AC786" i="12" s="1"/>
  <c r="V786" i="12"/>
  <c r="B786" i="12"/>
  <c r="Z786" i="12" s="1"/>
  <c r="AF785" i="12"/>
  <c r="AD785" i="12"/>
  <c r="V785" i="12"/>
  <c r="B785" i="12"/>
  <c r="AF784" i="12"/>
  <c r="AD784" i="12"/>
  <c r="Z784" i="12"/>
  <c r="X784" i="12"/>
  <c r="W784" i="12" s="1" a="1"/>
  <c r="W784" i="12" s="1"/>
  <c r="V784" i="12"/>
  <c r="D784" i="12" a="1"/>
  <c r="D784" i="12" s="1"/>
  <c r="B784" i="12"/>
  <c r="AF783" i="12"/>
  <c r="AD783" i="12"/>
  <c r="V783" i="12"/>
  <c r="B783" i="12"/>
  <c r="AF782" i="12"/>
  <c r="AD782" i="12"/>
  <c r="V782" i="12"/>
  <c r="E782" i="12" a="1"/>
  <c r="E782" i="12" s="1"/>
  <c r="C782" i="12" a="1"/>
  <c r="C782" i="12" s="1"/>
  <c r="B782" i="12"/>
  <c r="AF781" i="12"/>
  <c r="AD781" i="12"/>
  <c r="AB781" i="12" a="1"/>
  <c r="AB781" i="12" s="1"/>
  <c r="AA781" i="12" a="1"/>
  <c r="AA781" i="12" s="1"/>
  <c r="Z781" i="12"/>
  <c r="V781" i="12"/>
  <c r="D781" i="12" a="1"/>
  <c r="D781" i="12" s="1"/>
  <c r="B781" i="12"/>
  <c r="C781" i="12" s="1" a="1"/>
  <c r="C781" i="12" s="1"/>
  <c r="AF780" i="12"/>
  <c r="AD780" i="12"/>
  <c r="V780" i="12"/>
  <c r="B780" i="12"/>
  <c r="X780" i="12" s="1"/>
  <c r="W780" i="12" s="1" a="1"/>
  <c r="W780" i="12" s="1"/>
  <c r="AF779" i="12"/>
  <c r="AD779" i="12"/>
  <c r="V779" i="12"/>
  <c r="B779" i="12"/>
  <c r="AF778" i="12"/>
  <c r="AD778" i="12"/>
  <c r="X778" i="12"/>
  <c r="W778" i="12" s="1" a="1"/>
  <c r="W778" i="12" s="1"/>
  <c r="V778" i="12"/>
  <c r="B778" i="12"/>
  <c r="AF777" i="12"/>
  <c r="AD777" i="12"/>
  <c r="V777" i="12"/>
  <c r="B777" i="12"/>
  <c r="C777" i="12" s="1" a="1"/>
  <c r="C777" i="12" s="1"/>
  <c r="AF776" i="12"/>
  <c r="AD776" i="12"/>
  <c r="AA776" i="12" a="1"/>
  <c r="AA776" i="12" s="1"/>
  <c r="V776" i="12"/>
  <c r="B776" i="12"/>
  <c r="AC776" i="12" s="1" a="1"/>
  <c r="AC776" i="12" s="1"/>
  <c r="AF775" i="12"/>
  <c r="AD775" i="12"/>
  <c r="V775" i="12"/>
  <c r="B775" i="12"/>
  <c r="AF774" i="12"/>
  <c r="AD774" i="12"/>
  <c r="V774" i="12"/>
  <c r="B774" i="12"/>
  <c r="AF773" i="12"/>
  <c r="AD773" i="12"/>
  <c r="V773" i="12"/>
  <c r="C773" i="12" a="1"/>
  <c r="C773" i="12" s="1"/>
  <c r="B773" i="12"/>
  <c r="AF772" i="12"/>
  <c r="AD772" i="12"/>
  <c r="V772" i="12"/>
  <c r="B772" i="12"/>
  <c r="AF771" i="12"/>
  <c r="AD771" i="12"/>
  <c r="AA771" i="12" a="1"/>
  <c r="AA771" i="12" s="1"/>
  <c r="V771" i="12"/>
  <c r="D771" i="12" a="1"/>
  <c r="D771" i="12" s="1"/>
  <c r="B771" i="12"/>
  <c r="AF770" i="12"/>
  <c r="AD770" i="12"/>
  <c r="AB770" i="12" a="1"/>
  <c r="AB770" i="12" s="1"/>
  <c r="Z770" i="12"/>
  <c r="V770" i="12"/>
  <c r="C770" i="12" a="1"/>
  <c r="C770" i="12" s="1"/>
  <c r="B770" i="12"/>
  <c r="AF769" i="12"/>
  <c r="AD769" i="12"/>
  <c r="V769" i="12"/>
  <c r="B769" i="12"/>
  <c r="AF768" i="12"/>
  <c r="AD768" i="12"/>
  <c r="AC768" i="12" a="1"/>
  <c r="AC768" i="12" s="1"/>
  <c r="AA768" i="12" a="1"/>
  <c r="AA768" i="12" s="1"/>
  <c r="V768" i="12"/>
  <c r="C768" i="12" a="1"/>
  <c r="C768" i="12" s="1"/>
  <c r="B768" i="12"/>
  <c r="Z768" i="12" s="1"/>
  <c r="AF767" i="12"/>
  <c r="AD767" i="12"/>
  <c r="AC767" i="12" a="1"/>
  <c r="AC767" i="12" s="1"/>
  <c r="AA767" i="12" a="1"/>
  <c r="AA767" i="12" s="1"/>
  <c r="Z767" i="12"/>
  <c r="X767" i="12"/>
  <c r="W767" i="12" s="1" a="1"/>
  <c r="W767" i="12" s="1"/>
  <c r="V767" i="12"/>
  <c r="D767" i="12" a="1"/>
  <c r="D767" i="12" s="1"/>
  <c r="B767" i="12"/>
  <c r="E767" i="12" s="1" a="1"/>
  <c r="E767" i="12" s="1"/>
  <c r="AF766" i="12"/>
  <c r="AD766" i="12"/>
  <c r="AB766" i="12" a="1"/>
  <c r="AB766" i="12" s="1"/>
  <c r="V766" i="12"/>
  <c r="C766" i="12" a="1"/>
  <c r="C766" i="12" s="1"/>
  <c r="B766" i="12"/>
  <c r="AF765" i="12"/>
  <c r="AD765" i="12"/>
  <c r="Z765" i="12"/>
  <c r="W765" i="12" a="1"/>
  <c r="W765" i="12" s="1"/>
  <c r="V765" i="12"/>
  <c r="C765" i="12" a="1"/>
  <c r="C765" i="12" s="1"/>
  <c r="B765" i="12"/>
  <c r="X765" i="12" s="1"/>
  <c r="AF764" i="12"/>
  <c r="AD764" i="12"/>
  <c r="AC764" i="12" a="1"/>
  <c r="AC764" i="12" s="1"/>
  <c r="V764" i="12"/>
  <c r="C764" i="12" a="1"/>
  <c r="C764" i="12" s="1"/>
  <c r="B764" i="12"/>
  <c r="X764" i="12" s="1"/>
  <c r="W764" i="12" s="1" a="1"/>
  <c r="W764" i="12" s="1"/>
  <c r="AF763" i="12"/>
  <c r="AD763" i="12"/>
  <c r="AA763" i="12" a="1"/>
  <c r="AA763" i="12" s="1"/>
  <c r="Z763" i="12"/>
  <c r="V763" i="12"/>
  <c r="E763" i="12" a="1"/>
  <c r="E763" i="12" s="1"/>
  <c r="B763" i="12"/>
  <c r="X763" i="12" s="1"/>
  <c r="W763" i="12" s="1" a="1"/>
  <c r="W763" i="12" s="1"/>
  <c r="AF762" i="12"/>
  <c r="AD762" i="12"/>
  <c r="V762" i="12"/>
  <c r="C762" i="12" a="1"/>
  <c r="C762" i="12" s="1"/>
  <c r="B762" i="12"/>
  <c r="AA762" i="12" s="1" a="1"/>
  <c r="AA762" i="12" s="1"/>
  <c r="AF761" i="12"/>
  <c r="AD761" i="12"/>
  <c r="X761" i="12"/>
  <c r="W761" i="12" s="1" a="1"/>
  <c r="W761" i="12" s="1"/>
  <c r="V761" i="12"/>
  <c r="B761" i="12"/>
  <c r="Z761" i="12" s="1"/>
  <c r="AF760" i="12"/>
  <c r="AD760" i="12"/>
  <c r="V760" i="12"/>
  <c r="B760" i="12"/>
  <c r="AF759" i="12"/>
  <c r="AD759" i="12"/>
  <c r="Z759" i="12"/>
  <c r="V759" i="12"/>
  <c r="E759" i="12" a="1"/>
  <c r="E759" i="12" s="1"/>
  <c r="D759" i="12" a="1"/>
  <c r="D759" i="12" s="1"/>
  <c r="C759" i="12" a="1"/>
  <c r="C759" i="12" s="1"/>
  <c r="B759" i="12"/>
  <c r="AF758" i="12"/>
  <c r="AD758" i="12"/>
  <c r="V758" i="12"/>
  <c r="E758" i="12" a="1"/>
  <c r="E758" i="12"/>
  <c r="B758" i="12"/>
  <c r="AA758" i="12" s="1" a="1"/>
  <c r="AA758" i="12" s="1"/>
  <c r="AF757" i="12"/>
  <c r="AD757" i="12"/>
  <c r="X757" i="12"/>
  <c r="W757" i="12" s="1" a="1"/>
  <c r="W757" i="12" s="1"/>
  <c r="V757" i="12"/>
  <c r="B757" i="12"/>
  <c r="AF756" i="12"/>
  <c r="AD756" i="12"/>
  <c r="AC756" i="12" a="1"/>
  <c r="AC756" i="12" s="1"/>
  <c r="AA756" i="12" a="1"/>
  <c r="AA756" i="12" s="1"/>
  <c r="V756" i="12"/>
  <c r="E756" i="12" a="1"/>
  <c r="E756" i="12" s="1"/>
  <c r="B756" i="12"/>
  <c r="AB756" i="12" s="1" a="1"/>
  <c r="AB756" i="12" s="1"/>
  <c r="AF755" i="12"/>
  <c r="AD755" i="12"/>
  <c r="V755" i="12"/>
  <c r="D755" i="12" a="1"/>
  <c r="D755" i="12" s="1"/>
  <c r="B755" i="12"/>
  <c r="AB755" i="12" s="1" a="1"/>
  <c r="AB755" i="12" s="1"/>
  <c r="AF754" i="12"/>
  <c r="AD754" i="12"/>
  <c r="V754" i="12"/>
  <c r="B754" i="12"/>
  <c r="AF753" i="12"/>
  <c r="AD753" i="12"/>
  <c r="V753" i="12"/>
  <c r="B753" i="12"/>
  <c r="X753" i="12" s="1"/>
  <c r="W753" i="12" s="1" a="1"/>
  <c r="W753" i="12" s="1"/>
  <c r="AF752" i="12"/>
  <c r="AD752" i="12"/>
  <c r="AC752" i="12" a="1"/>
  <c r="AC752" i="12" s="1"/>
  <c r="V752" i="12"/>
  <c r="B752" i="12"/>
  <c r="X752" i="12" s="1"/>
  <c r="W752" i="12" s="1" a="1"/>
  <c r="W752" i="12" s="1"/>
  <c r="AF751" i="12"/>
  <c r="AD751" i="12"/>
  <c r="V751" i="12"/>
  <c r="B751" i="12"/>
  <c r="AF750" i="12"/>
  <c r="AD750" i="12"/>
  <c r="V750" i="12"/>
  <c r="B750" i="12"/>
  <c r="Z750" i="12" s="1"/>
  <c r="AF749" i="12"/>
  <c r="AD749" i="12"/>
  <c r="AB749" i="12" a="1"/>
  <c r="AB749" i="12" s="1"/>
  <c r="AA749" i="12" a="1"/>
  <c r="AA749" i="12" s="1"/>
  <c r="X749" i="12"/>
  <c r="W749" i="12" a="1"/>
  <c r="W749" i="12" s="1"/>
  <c r="V749" i="12"/>
  <c r="E749" i="12" a="1"/>
  <c r="E749" i="12" s="1"/>
  <c r="D749" i="12" a="1"/>
  <c r="D749" i="12" s="1"/>
  <c r="C749" i="12" a="1"/>
  <c r="C749" i="12" s="1"/>
  <c r="B749" i="12"/>
  <c r="Z749" i="12" s="1"/>
  <c r="AF748" i="12"/>
  <c r="AD748" i="12"/>
  <c r="AC748" i="12" a="1"/>
  <c r="AC748" i="12" s="1"/>
  <c r="AA748" i="12" a="1"/>
  <c r="AA748" i="12" s="1"/>
  <c r="Z748" i="12"/>
  <c r="V748" i="12"/>
  <c r="B748" i="12"/>
  <c r="AF747" i="12"/>
  <c r="AD747" i="12"/>
  <c r="V747" i="12"/>
  <c r="B747" i="12"/>
  <c r="AC747" i="12" s="1" a="1"/>
  <c r="AC747" i="12" s="1"/>
  <c r="AF746" i="12"/>
  <c r="AD746" i="12"/>
  <c r="AC746" i="12" a="1"/>
  <c r="AC746" i="12" s="1"/>
  <c r="V746" i="12"/>
  <c r="E746" i="12" a="1"/>
  <c r="E746" i="12" s="1"/>
  <c r="C746" i="12" a="1"/>
  <c r="C746" i="12" s="1"/>
  <c r="B746" i="12"/>
  <c r="X746" i="12" s="1"/>
  <c r="W746" i="12" s="1" a="1"/>
  <c r="W746" i="12" s="1"/>
  <c r="AF745" i="12"/>
  <c r="AD745" i="12"/>
  <c r="AA745" i="12" a="1"/>
  <c r="AA745" i="12" s="1"/>
  <c r="Z745" i="12"/>
  <c r="X745" i="12"/>
  <c r="W745" i="12" a="1"/>
  <c r="W745" i="12" s="1"/>
  <c r="V745" i="12"/>
  <c r="E745" i="12" a="1"/>
  <c r="E745" i="12" s="1"/>
  <c r="D745" i="12" a="1"/>
  <c r="D745" i="12" s="1"/>
  <c r="C745" i="12" a="1"/>
  <c r="C745" i="12" s="1"/>
  <c r="B745" i="12"/>
  <c r="AB745" i="12" s="1" a="1"/>
  <c r="AB745" i="12" s="1"/>
  <c r="AF744" i="12"/>
  <c r="AD744" i="12"/>
  <c r="V744" i="12"/>
  <c r="B744" i="12"/>
  <c r="AF743" i="12"/>
  <c r="AD743" i="12"/>
  <c r="V743" i="12"/>
  <c r="C743" i="12" a="1"/>
  <c r="C743" i="12" s="1"/>
  <c r="B743" i="12"/>
  <c r="AB743" i="12" s="1" a="1"/>
  <c r="AB743" i="12" s="1"/>
  <c r="AF742" i="12"/>
  <c r="AD742" i="12"/>
  <c r="AB742" i="12" a="1"/>
  <c r="AB742" i="12" s="1"/>
  <c r="V742" i="12"/>
  <c r="B742" i="12"/>
  <c r="AA742" i="12" s="1" a="1"/>
  <c r="AA742" i="12" s="1"/>
  <c r="AF741" i="12"/>
  <c r="AD741" i="12"/>
  <c r="Z741" i="12"/>
  <c r="X741" i="12"/>
  <c r="W741" i="12" s="1" a="1"/>
  <c r="W741" i="12" s="1"/>
  <c r="V741" i="12"/>
  <c r="E741" i="12" a="1"/>
  <c r="E741" i="12" s="1"/>
  <c r="C741" i="12" a="1"/>
  <c r="C741" i="12" s="1"/>
  <c r="B741" i="12"/>
  <c r="AB741" i="12" s="1" a="1"/>
  <c r="AB741" i="12" s="1"/>
  <c r="AF740" i="12"/>
  <c r="AD740" i="12"/>
  <c r="V740" i="12"/>
  <c r="B740" i="12"/>
  <c r="AF739" i="12"/>
  <c r="AD739" i="12"/>
  <c r="AB739" i="12" a="1"/>
  <c r="AB739" i="12" s="1"/>
  <c r="V739" i="12"/>
  <c r="B739" i="12"/>
  <c r="X739" i="12" s="1"/>
  <c r="W739" i="12" s="1" a="1"/>
  <c r="W739" i="12" s="1"/>
  <c r="AF738" i="12"/>
  <c r="AD738" i="12"/>
  <c r="AC738" i="12" a="1"/>
  <c r="AC738" i="12" s="1"/>
  <c r="Z738" i="12"/>
  <c r="V738" i="12"/>
  <c r="D738" i="12" a="1"/>
  <c r="D738" i="12" s="1"/>
  <c r="B738" i="12"/>
  <c r="C738" i="12" s="1" a="1"/>
  <c r="C738" i="12" s="1"/>
  <c r="AF737" i="12"/>
  <c r="AD737" i="12"/>
  <c r="V737" i="12"/>
  <c r="B737" i="12"/>
  <c r="E737" i="12" s="1" a="1"/>
  <c r="E737" i="12" s="1"/>
  <c r="AF736" i="12"/>
  <c r="AD736" i="12"/>
  <c r="V736" i="12"/>
  <c r="C736" i="12" a="1"/>
  <c r="C736" i="12" s="1"/>
  <c r="B736" i="12"/>
  <c r="AB736" i="12" s="1" a="1"/>
  <c r="AB736" i="12" s="1"/>
  <c r="AF735" i="12"/>
  <c r="AD735" i="12"/>
  <c r="Z735" i="12"/>
  <c r="X735" i="12"/>
  <c r="W735" i="12" s="1" a="1"/>
  <c r="W735" i="12" s="1"/>
  <c r="V735" i="12"/>
  <c r="E735" i="12" a="1"/>
  <c r="E735" i="12" s="1"/>
  <c r="C735" i="12" a="1"/>
  <c r="C735" i="12" s="1"/>
  <c r="B735" i="12"/>
  <c r="AB735" i="12" s="1" a="1"/>
  <c r="AB735" i="12" s="1"/>
  <c r="AF734" i="12"/>
  <c r="AD734" i="12"/>
  <c r="V734" i="12"/>
  <c r="B734" i="12"/>
  <c r="AB734" i="12" s="1" a="1"/>
  <c r="AB734" i="12" s="1"/>
  <c r="AF733" i="12"/>
  <c r="AD733" i="12"/>
  <c r="V733" i="12"/>
  <c r="B733" i="12"/>
  <c r="AF732" i="12"/>
  <c r="AD732" i="12"/>
  <c r="V732" i="12"/>
  <c r="D732" i="12" a="1"/>
  <c r="D732" i="12" s="1"/>
  <c r="B732" i="12"/>
  <c r="AC732" i="12" s="1" a="1"/>
  <c r="AC732" i="12" s="1"/>
  <c r="AF731" i="12"/>
  <c r="AD731" i="12"/>
  <c r="AC731" i="12" a="1"/>
  <c r="AC731" i="12" s="1"/>
  <c r="W731" i="12" a="1"/>
  <c r="W731" i="12" s="1"/>
  <c r="V731" i="12"/>
  <c r="E731" i="12" a="1"/>
  <c r="E731" i="12" s="1"/>
  <c r="D731" i="12" a="1"/>
  <c r="D731" i="12" s="1"/>
  <c r="B731" i="12"/>
  <c r="X731" i="12" s="1"/>
  <c r="AF730" i="12"/>
  <c r="AD730" i="12"/>
  <c r="V730" i="12"/>
  <c r="B730" i="12"/>
  <c r="AF729" i="12"/>
  <c r="AD729" i="12"/>
  <c r="V729" i="12"/>
  <c r="B729" i="12"/>
  <c r="AF728" i="12"/>
  <c r="AD728" i="12"/>
  <c r="V728" i="12"/>
  <c r="B728" i="12"/>
  <c r="AF727" i="12"/>
  <c r="AD727" i="12"/>
  <c r="V727" i="12"/>
  <c r="B727" i="12"/>
  <c r="AF726" i="12"/>
  <c r="AD726" i="12"/>
  <c r="V726" i="12"/>
  <c r="B726" i="12"/>
  <c r="AF725" i="12"/>
  <c r="AD725" i="12"/>
  <c r="V725" i="12"/>
  <c r="B725" i="12"/>
  <c r="AF724" i="12"/>
  <c r="AD724" i="12"/>
  <c r="V724" i="12"/>
  <c r="C724" i="12" a="1"/>
  <c r="C724" i="12" s="1"/>
  <c r="B724" i="12"/>
  <c r="X724" i="12" s="1"/>
  <c r="W724" i="12" s="1" a="1"/>
  <c r="W724" i="12" s="1"/>
  <c r="AF723" i="12"/>
  <c r="AD723" i="12"/>
  <c r="V723" i="12"/>
  <c r="B723" i="12"/>
  <c r="AB723" i="12" s="1" a="1"/>
  <c r="AB723" i="12" s="1"/>
  <c r="AF722" i="12"/>
  <c r="AD722" i="12"/>
  <c r="V722" i="12"/>
  <c r="C722" i="12" a="1"/>
  <c r="C722" i="12" s="1"/>
  <c r="B722" i="12"/>
  <c r="X722" i="12" s="1"/>
  <c r="W722" i="12" s="1" a="1"/>
  <c r="W722" i="12" s="1"/>
  <c r="AF721" i="12"/>
  <c r="AD721" i="12"/>
  <c r="V721" i="12"/>
  <c r="C721" i="12" a="1"/>
  <c r="C721" i="12" s="1"/>
  <c r="B721" i="12"/>
  <c r="X721" i="12" s="1"/>
  <c r="W721" i="12" s="1" a="1"/>
  <c r="W721" i="12" s="1"/>
  <c r="AF720" i="12"/>
  <c r="AD720" i="12"/>
  <c r="V720" i="12"/>
  <c r="B720" i="12"/>
  <c r="X720" i="12" s="1"/>
  <c r="W720" i="12" s="1" a="1"/>
  <c r="W720" i="12" s="1"/>
  <c r="AF719" i="12"/>
  <c r="AD719" i="12"/>
  <c r="V719" i="12"/>
  <c r="C719" i="12" a="1"/>
  <c r="C719" i="12" s="1"/>
  <c r="B719" i="12"/>
  <c r="X719" i="12" s="1"/>
  <c r="W719" i="12" s="1" a="1"/>
  <c r="W719" i="12" s="1"/>
  <c r="AF718" i="12"/>
  <c r="AD718" i="12"/>
  <c r="V718" i="12"/>
  <c r="B718" i="12"/>
  <c r="X718" i="12" s="1"/>
  <c r="W718" i="12" s="1" a="1"/>
  <c r="W718" i="12" s="1"/>
  <c r="AF717" i="12"/>
  <c r="AD717" i="12"/>
  <c r="V717" i="12"/>
  <c r="B717" i="12"/>
  <c r="AA717" i="12" s="1" a="1"/>
  <c r="AA717" i="12" s="1"/>
  <c r="AF716" i="12"/>
  <c r="AD716" i="12"/>
  <c r="V716" i="12"/>
  <c r="B716" i="12"/>
  <c r="X716" i="12" s="1"/>
  <c r="W716" i="12" s="1" a="1"/>
  <c r="W716" i="12" s="1"/>
  <c r="AF715" i="12"/>
  <c r="AD715" i="12"/>
  <c r="AC715" i="12" a="1"/>
  <c r="AC715" i="12" s="1"/>
  <c r="V715" i="12"/>
  <c r="B715" i="12"/>
  <c r="X715" i="12" s="1"/>
  <c r="W715" i="12" s="1" a="1"/>
  <c r="W715" i="12" s="1"/>
  <c r="AF714" i="12"/>
  <c r="AD714" i="12"/>
  <c r="AC714" i="12" a="1"/>
  <c r="AC714" i="12" s="1"/>
  <c r="V714" i="12"/>
  <c r="B714" i="12"/>
  <c r="X714" i="12" s="1"/>
  <c r="W714" i="12" s="1" a="1"/>
  <c r="W714" i="12" s="1"/>
  <c r="AF713" i="12"/>
  <c r="AD713" i="12"/>
  <c r="AC713" i="12" a="1"/>
  <c r="AC713" i="12" s="1"/>
  <c r="V713" i="12"/>
  <c r="B713" i="12"/>
  <c r="X713" i="12" s="1"/>
  <c r="W713" i="12" s="1" a="1"/>
  <c r="W713" i="12" s="1"/>
  <c r="AF712" i="12"/>
  <c r="AD712" i="12"/>
  <c r="AC712" i="12" a="1"/>
  <c r="AC712" i="12" s="1"/>
  <c r="V712" i="12"/>
  <c r="B712" i="12"/>
  <c r="X712" i="12" s="1"/>
  <c r="W712" i="12" s="1" a="1"/>
  <c r="W712" i="12" s="1"/>
  <c r="AF711" i="12"/>
  <c r="AD711" i="12"/>
  <c r="AB711" i="12" a="1"/>
  <c r="AB711" i="12" s="1"/>
  <c r="V711" i="12"/>
  <c r="B711" i="12"/>
  <c r="Z711" i="12" s="1"/>
  <c r="AF710" i="12"/>
  <c r="AD710" i="12"/>
  <c r="V710" i="12"/>
  <c r="B710" i="12"/>
  <c r="X710" i="12" s="1"/>
  <c r="W710" i="12" s="1" a="1"/>
  <c r="W710" i="12" s="1"/>
  <c r="AF709" i="12"/>
  <c r="AD709" i="12"/>
  <c r="AB709" i="12" a="1"/>
  <c r="AB709" i="12" s="1"/>
  <c r="V709" i="12"/>
  <c r="B709" i="12"/>
  <c r="X709" i="12" s="1"/>
  <c r="W709" i="12" s="1" a="1"/>
  <c r="W709" i="12" s="1"/>
  <c r="AF708" i="12"/>
  <c r="AD708" i="12"/>
  <c r="AB708" i="12" a="1"/>
  <c r="AB708" i="12" s="1"/>
  <c r="V708" i="12"/>
  <c r="B708" i="12"/>
  <c r="X708" i="12" s="1"/>
  <c r="W708" i="12" s="1" a="1"/>
  <c r="W708" i="12" s="1"/>
  <c r="AF707" i="12"/>
  <c r="AD707" i="12"/>
  <c r="V707" i="12"/>
  <c r="B707" i="12"/>
  <c r="X707" i="12" s="1"/>
  <c r="W707" i="12" s="1" a="1"/>
  <c r="W707" i="12" s="1"/>
  <c r="AF706" i="12"/>
  <c r="AD706" i="12"/>
  <c r="AB706" i="12" a="1"/>
  <c r="AB706" i="12" s="1"/>
  <c r="AA706" i="12" a="1"/>
  <c r="AA706" i="12" s="1"/>
  <c r="V706" i="12"/>
  <c r="B706" i="12"/>
  <c r="X706" i="12" s="1"/>
  <c r="W706" i="12" s="1" a="1"/>
  <c r="W706" i="12" s="1"/>
  <c r="AF705" i="12"/>
  <c r="AD705" i="12"/>
  <c r="AC705" i="12" a="1"/>
  <c r="AC705" i="12" s="1"/>
  <c r="AA705" i="12" a="1"/>
  <c r="AA705" i="12" s="1"/>
  <c r="Z705" i="12"/>
  <c r="V705" i="12"/>
  <c r="C705" i="12" a="1"/>
  <c r="C705" i="12" s="1"/>
  <c r="B705" i="12"/>
  <c r="E705" i="12" s="1" a="1"/>
  <c r="E705" i="12" s="1"/>
  <c r="AF704" i="12"/>
  <c r="AD704" i="12"/>
  <c r="AC704" i="12" a="1"/>
  <c r="AC704" i="12" s="1"/>
  <c r="AA704" i="12" a="1"/>
  <c r="AA704" i="12" s="1"/>
  <c r="V704" i="12"/>
  <c r="B704" i="12"/>
  <c r="X704" i="12" s="1"/>
  <c r="W704" i="12" s="1" a="1"/>
  <c r="W704" i="12" s="1"/>
  <c r="AF703" i="12"/>
  <c r="AD703" i="12"/>
  <c r="AC703" i="12" a="1"/>
  <c r="AC703" i="12" s="1"/>
  <c r="AA703" i="12" a="1"/>
  <c r="AA703" i="12" s="1"/>
  <c r="V703" i="12"/>
  <c r="D703" i="12" a="1"/>
  <c r="D703" i="12" s="1"/>
  <c r="B703" i="12"/>
  <c r="X703" i="12" s="1"/>
  <c r="W703" i="12" s="1" a="1"/>
  <c r="W703" i="12" s="1"/>
  <c r="AF702" i="12"/>
  <c r="AD702" i="12"/>
  <c r="V702" i="12"/>
  <c r="B702" i="12"/>
  <c r="X702" i="12" s="1"/>
  <c r="W702" i="12" s="1" a="1"/>
  <c r="W702" i="12" s="1"/>
  <c r="AF701" i="12"/>
  <c r="AD701" i="12"/>
  <c r="AC701" i="12" a="1"/>
  <c r="AC701" i="12" s="1"/>
  <c r="AB701" i="12" a="1"/>
  <c r="AB701" i="12" s="1"/>
  <c r="AA701" i="12" a="1"/>
  <c r="AA701" i="12" s="1"/>
  <c r="W701" i="12" a="1"/>
  <c r="W701" i="12" s="1"/>
  <c r="V701" i="12"/>
  <c r="B701" i="12"/>
  <c r="X701" i="12" s="1"/>
  <c r="AF700" i="12"/>
  <c r="AD700" i="12"/>
  <c r="AC700" i="12" a="1"/>
  <c r="AC700" i="12" s="1"/>
  <c r="AA700" i="12" a="1"/>
  <c r="AA700" i="12" s="1"/>
  <c r="V700" i="12"/>
  <c r="D700" i="12" a="1"/>
  <c r="D700" i="12" s="1"/>
  <c r="B700" i="12"/>
  <c r="X700" i="12" s="1"/>
  <c r="W700" i="12" s="1" a="1"/>
  <c r="W700" i="12" s="1"/>
  <c r="AF699" i="12"/>
  <c r="AD699" i="12"/>
  <c r="Z699" i="12"/>
  <c r="V699" i="12"/>
  <c r="E699" i="12" a="1"/>
  <c r="E699" i="12" s="1"/>
  <c r="C699" i="12" a="1"/>
  <c r="C699" i="12" s="1"/>
  <c r="B699" i="12"/>
  <c r="X699" i="12" s="1"/>
  <c r="W699" i="12" s="1" a="1"/>
  <c r="W699" i="12" s="1"/>
  <c r="AF698" i="12"/>
  <c r="AD698" i="12"/>
  <c r="V698" i="12"/>
  <c r="E698" i="12" a="1"/>
  <c r="E698" i="12" s="1"/>
  <c r="B698" i="12"/>
  <c r="X698" i="12" s="1"/>
  <c r="W698" i="12" s="1" a="1"/>
  <c r="W698" i="12" s="1"/>
  <c r="AF697" i="12"/>
  <c r="AD697" i="12"/>
  <c r="V697" i="12"/>
  <c r="B697" i="12"/>
  <c r="X697" i="12" s="1"/>
  <c r="W697" i="12" s="1" a="1"/>
  <c r="W697" i="12" s="1"/>
  <c r="AF696" i="12"/>
  <c r="AD696" i="12"/>
  <c r="AB696" i="12" a="1"/>
  <c r="AB696" i="12" s="1"/>
  <c r="Z696" i="12"/>
  <c r="W696" i="12" a="1"/>
  <c r="W696" i="12" s="1"/>
  <c r="V696" i="12"/>
  <c r="D696" i="12" a="1"/>
  <c r="D696" i="12" s="1"/>
  <c r="C696" i="12" a="1"/>
  <c r="C696" i="12" s="1"/>
  <c r="B696" i="12"/>
  <c r="X696" i="12" s="1"/>
  <c r="AF695" i="12"/>
  <c r="AD695" i="12"/>
  <c r="AA695" i="12" a="1"/>
  <c r="AA695" i="12" s="1"/>
  <c r="Z695" i="12"/>
  <c r="W695" i="12" a="1"/>
  <c r="W695" i="12" s="1"/>
  <c r="V695" i="12"/>
  <c r="E695" i="12" a="1"/>
  <c r="E695" i="12" s="1"/>
  <c r="D695" i="12" a="1"/>
  <c r="D695" i="12" s="1"/>
  <c r="B695" i="12"/>
  <c r="X695" i="12" s="1"/>
  <c r="AF694" i="12"/>
  <c r="AD694" i="12"/>
  <c r="AA694" i="12" a="1"/>
  <c r="AA694" i="12" s="1"/>
  <c r="Z694" i="12"/>
  <c r="W694" i="12" a="1"/>
  <c r="W694" i="12" s="1"/>
  <c r="V694" i="12"/>
  <c r="D694" i="12" a="1"/>
  <c r="D694" i="12" s="1"/>
  <c r="C694" i="12" a="1"/>
  <c r="C694" i="12" s="1"/>
  <c r="B694" i="12"/>
  <c r="X694" i="12" s="1"/>
  <c r="AF693" i="12"/>
  <c r="AD693" i="12"/>
  <c r="V693" i="12"/>
  <c r="B693" i="12"/>
  <c r="AC693" i="12" s="1" a="1"/>
  <c r="AC693" i="12" s="1"/>
  <c r="AF692" i="12"/>
  <c r="AD692" i="12"/>
  <c r="V692" i="12"/>
  <c r="C692" i="12" a="1"/>
  <c r="C692" i="12" s="1"/>
  <c r="B692" i="12"/>
  <c r="X692" i="12" s="1"/>
  <c r="W692" i="12" s="1" a="1"/>
  <c r="W692" i="12" s="1"/>
  <c r="AF691" i="12"/>
  <c r="AD691" i="12"/>
  <c r="AA691" i="12" a="1"/>
  <c r="AA691" i="12" s="1"/>
  <c r="Z691" i="12"/>
  <c r="X691" i="12"/>
  <c r="W691" i="12" s="1" a="1"/>
  <c r="W691" i="12" s="1"/>
  <c r="V691" i="12"/>
  <c r="D691" i="12" a="1"/>
  <c r="D691" i="12" s="1"/>
  <c r="C691" i="12" a="1"/>
  <c r="C691" i="12" s="1"/>
  <c r="B691" i="12"/>
  <c r="AC691" i="12" s="1" a="1"/>
  <c r="AC691" i="12" s="1"/>
  <c r="AF690" i="12"/>
  <c r="AD690" i="12"/>
  <c r="V690" i="12"/>
  <c r="B690" i="12"/>
  <c r="AF689" i="12"/>
  <c r="AD689" i="12"/>
  <c r="V689" i="12"/>
  <c r="B689" i="12"/>
  <c r="AF688" i="12"/>
  <c r="AD688" i="12"/>
  <c r="AB688" i="12" a="1"/>
  <c r="AB688" i="12" s="1"/>
  <c r="V688" i="12"/>
  <c r="B688" i="12"/>
  <c r="D688" i="12" s="1" a="1"/>
  <c r="D688" i="12" s="1"/>
  <c r="AF687" i="12"/>
  <c r="AD687" i="12"/>
  <c r="V687" i="12"/>
  <c r="D687" i="12" a="1"/>
  <c r="D687" i="12" s="1"/>
  <c r="B687" i="12"/>
  <c r="X687" i="12" s="1"/>
  <c r="W687" i="12" s="1" a="1"/>
  <c r="W687" i="12" s="1"/>
  <c r="AF686" i="12"/>
  <c r="AD686" i="12"/>
  <c r="AC686" i="12" a="1"/>
  <c r="AC686" i="12" s="1"/>
  <c r="AB686" i="12" a="1"/>
  <c r="AB686" i="12" s="1"/>
  <c r="W686" i="12" a="1"/>
  <c r="W686" i="12" s="1"/>
  <c r="V686" i="12"/>
  <c r="E686" i="12" a="1"/>
  <c r="E686" i="12" s="1"/>
  <c r="D686" i="12" a="1"/>
  <c r="D686" i="12" s="1"/>
  <c r="C686" i="12" a="1"/>
  <c r="C686" i="12" s="1"/>
  <c r="B686" i="12"/>
  <c r="X686" i="12" s="1"/>
  <c r="AF685" i="12"/>
  <c r="AD685" i="12"/>
  <c r="AB685" i="12" a="1"/>
  <c r="AB685" i="12" s="1"/>
  <c r="V685" i="12"/>
  <c r="B685" i="12"/>
  <c r="X685" i="12" s="1"/>
  <c r="W685" i="12" s="1" a="1"/>
  <c r="W685" i="12" s="1"/>
  <c r="AF684" i="12"/>
  <c r="AD684" i="12"/>
  <c r="AC684" i="12" a="1"/>
  <c r="AC684" i="12" s="1"/>
  <c r="AA684" i="12" a="1"/>
  <c r="AA684" i="12" s="1"/>
  <c r="V684" i="12"/>
  <c r="E684" i="12" a="1"/>
  <c r="E684" i="12" s="1"/>
  <c r="B684" i="12"/>
  <c r="Z684" i="12" s="1"/>
  <c r="AF683" i="12"/>
  <c r="AD683" i="12"/>
  <c r="V683" i="12"/>
  <c r="B683" i="12"/>
  <c r="D683" i="12" s="1" a="1"/>
  <c r="D683" i="12" s="1"/>
  <c r="AF682" i="12"/>
  <c r="AD682" i="12"/>
  <c r="AC682" i="12" a="1"/>
  <c r="AC682" i="12" s="1"/>
  <c r="AB682" i="12" a="1"/>
  <c r="AB682" i="12" s="1"/>
  <c r="AA682" i="12" a="1"/>
  <c r="AA682" i="12" s="1"/>
  <c r="Z682" i="12"/>
  <c r="V682" i="12"/>
  <c r="E682" i="12" a="1"/>
  <c r="E682" i="12" s="1"/>
  <c r="C682" i="12" a="1"/>
  <c r="C682" i="12" s="1"/>
  <c r="B682" i="12"/>
  <c r="X682" i="12" s="1"/>
  <c r="W682" i="12" s="1" a="1"/>
  <c r="W682" i="12" s="1"/>
  <c r="AF681" i="12"/>
  <c r="AD681" i="12"/>
  <c r="V681" i="12"/>
  <c r="B681" i="12"/>
  <c r="AF680" i="12"/>
  <c r="AD680" i="12"/>
  <c r="AC680" i="12" a="1"/>
  <c r="AC680" i="12" s="1"/>
  <c r="V680" i="12"/>
  <c r="C680" i="12" a="1"/>
  <c r="C680" i="12" s="1"/>
  <c r="B680" i="12"/>
  <c r="X680" i="12" s="1"/>
  <c r="W680" i="12" s="1" a="1"/>
  <c r="W680" i="12" s="1"/>
  <c r="AF679" i="12"/>
  <c r="AD679" i="12"/>
  <c r="AC679" i="12" a="1"/>
  <c r="AC679" i="12" s="1"/>
  <c r="AA679" i="12" a="1"/>
  <c r="AA679" i="12" s="1"/>
  <c r="Z679" i="12"/>
  <c r="X679" i="12"/>
  <c r="W679" i="12" s="1" a="1"/>
  <c r="W679" i="12" s="1"/>
  <c r="V679" i="12"/>
  <c r="E679" i="12" a="1"/>
  <c r="E679" i="12" s="1"/>
  <c r="B679" i="12"/>
  <c r="C679" i="12" s="1" a="1"/>
  <c r="C679" i="12" s="1"/>
  <c r="AF678" i="12"/>
  <c r="AD678" i="12"/>
  <c r="V678" i="12"/>
  <c r="B678" i="12"/>
  <c r="AF677" i="12"/>
  <c r="AD677" i="12"/>
  <c r="AC677" i="12" a="1"/>
  <c r="AC677" i="12" s="1"/>
  <c r="V677" i="12"/>
  <c r="C677" i="12" a="1"/>
  <c r="C677" i="12" s="1"/>
  <c r="B677" i="12"/>
  <c r="AB677" i="12" s="1" a="1"/>
  <c r="AB677" i="12" s="1"/>
  <c r="AF676" i="12"/>
  <c r="AD676" i="12"/>
  <c r="AC676" i="12" a="1"/>
  <c r="AC676" i="12" s="1"/>
  <c r="AA676" i="12" a="1"/>
  <c r="AA676" i="12" s="1"/>
  <c r="Z676" i="12"/>
  <c r="W676" i="12" a="1"/>
  <c r="W676" i="12" s="1"/>
  <c r="V676" i="12"/>
  <c r="D676" i="12" a="1"/>
  <c r="D676" i="12" s="1"/>
  <c r="B676" i="12"/>
  <c r="X676" i="12" s="1"/>
  <c r="AF675" i="12"/>
  <c r="AD675" i="12"/>
  <c r="V675" i="12"/>
  <c r="B675" i="12"/>
  <c r="AF674" i="12"/>
  <c r="AD674" i="12"/>
  <c r="AC674" i="12" a="1"/>
  <c r="AC674" i="12" s="1"/>
  <c r="AB674" i="12" a="1"/>
  <c r="AB674" i="12" s="1"/>
  <c r="AA674" i="12" a="1"/>
  <c r="AA674" i="12" s="1"/>
  <c r="Z674" i="12"/>
  <c r="V674" i="12"/>
  <c r="D674" i="12" a="1"/>
  <c r="D674" i="12" s="1"/>
  <c r="C674" i="12" a="1"/>
  <c r="C674" i="12" s="1"/>
  <c r="B674" i="12"/>
  <c r="X674" i="12" s="1"/>
  <c r="W674" i="12" s="1" a="1"/>
  <c r="W674" i="12" s="1"/>
  <c r="AF673" i="12"/>
  <c r="AD673" i="12"/>
  <c r="AA673" i="12" a="1"/>
  <c r="AA673" i="12" s="1"/>
  <c r="V673" i="12"/>
  <c r="D673" i="12" a="1"/>
  <c r="D673" i="12" s="1"/>
  <c r="B673" i="12"/>
  <c r="AF672" i="12"/>
  <c r="AD672" i="12"/>
  <c r="AA672" i="12" a="1"/>
  <c r="AA672" i="12" s="1"/>
  <c r="X672" i="12"/>
  <c r="W672" i="12" s="1" a="1"/>
  <c r="W672" i="12" s="1"/>
  <c r="V672" i="12"/>
  <c r="E672" i="12" a="1"/>
  <c r="E672" i="12" s="1"/>
  <c r="B672" i="12"/>
  <c r="D672" i="12" s="1" a="1"/>
  <c r="D672" i="12" s="1"/>
  <c r="AF671" i="12"/>
  <c r="AD671" i="12"/>
  <c r="AB671" i="12" a="1"/>
  <c r="AB671" i="12" s="1"/>
  <c r="V671" i="12"/>
  <c r="B671" i="12"/>
  <c r="Z671" i="12" s="1"/>
  <c r="AF670" i="12"/>
  <c r="AD670" i="12"/>
  <c r="AB670" i="12" a="1"/>
  <c r="AB670" i="12" s="1"/>
  <c r="V670" i="12"/>
  <c r="D670" i="12" a="1"/>
  <c r="D670" i="12" s="1"/>
  <c r="B670" i="12"/>
  <c r="X670" i="12" s="1"/>
  <c r="W670" i="12" s="1" a="1"/>
  <c r="W670" i="12" s="1"/>
  <c r="AF669" i="12"/>
  <c r="AD669" i="12"/>
  <c r="AC669" i="12" a="1"/>
  <c r="AC669" i="12" s="1"/>
  <c r="AA669" i="12" a="1"/>
  <c r="AA669" i="12" s="1"/>
  <c r="Z669" i="12"/>
  <c r="W669" i="12" a="1"/>
  <c r="W669" i="12" s="1"/>
  <c r="V669" i="12"/>
  <c r="E669" i="12" a="1"/>
  <c r="E669" i="12" s="1"/>
  <c r="C669" i="12" a="1"/>
  <c r="C669" i="12" s="1"/>
  <c r="B669" i="12"/>
  <c r="X669" i="12" s="1"/>
  <c r="AF668" i="12"/>
  <c r="AD668" i="12"/>
  <c r="W668" i="12" a="1"/>
  <c r="W668" i="12" s="1"/>
  <c r="V668" i="12"/>
  <c r="E668" i="12" a="1"/>
  <c r="E668" i="12"/>
  <c r="D668" i="12" a="1"/>
  <c r="D668" i="12" s="1"/>
  <c r="B668" i="12"/>
  <c r="X668" i="12" s="1"/>
  <c r="AF667" i="12"/>
  <c r="AD667" i="12"/>
  <c r="X667" i="12"/>
  <c r="W667" i="12" s="1" a="1"/>
  <c r="W667" i="12" s="1"/>
  <c r="V667" i="12"/>
  <c r="C667" i="12" a="1"/>
  <c r="C667" i="12" s="1"/>
  <c r="B667" i="12"/>
  <c r="AC667" i="12" s="1" a="1"/>
  <c r="AC667" i="12" s="1"/>
  <c r="AF666" i="12"/>
  <c r="AD666" i="12"/>
  <c r="V666" i="12"/>
  <c r="B666" i="12"/>
  <c r="AC666" i="12" s="1" a="1"/>
  <c r="AC666" i="12" s="1"/>
  <c r="AF665" i="12"/>
  <c r="AD665" i="12"/>
  <c r="V665" i="12"/>
  <c r="B665" i="12"/>
  <c r="AC665" i="12" s="1" a="1"/>
  <c r="AC665" i="12" s="1"/>
  <c r="AF664" i="12"/>
  <c r="AD664" i="12"/>
  <c r="V664" i="12"/>
  <c r="B664" i="12"/>
  <c r="AC664" i="12" s="1" a="1"/>
  <c r="AC664" i="12" s="1"/>
  <c r="AF663" i="12"/>
  <c r="AD663" i="12"/>
  <c r="AC663" i="12" a="1"/>
  <c r="AC663" i="12" s="1"/>
  <c r="AB663" i="12" a="1"/>
  <c r="AB663" i="12" s="1"/>
  <c r="Z663" i="12"/>
  <c r="V663" i="12"/>
  <c r="E663" i="12" a="1"/>
  <c r="E663" i="12" s="1"/>
  <c r="B663" i="12"/>
  <c r="AA663" i="12" s="1" a="1"/>
  <c r="AA663" i="12" s="1"/>
  <c r="AF662" i="12"/>
  <c r="AD662" i="12"/>
  <c r="AB662" i="12" a="1"/>
  <c r="AB662" i="12" s="1"/>
  <c r="Z662" i="12"/>
  <c r="W662" i="12" a="1"/>
  <c r="W662" i="12" s="1"/>
  <c r="V662" i="12"/>
  <c r="C662" i="12" a="1"/>
  <c r="C662" i="12" s="1"/>
  <c r="B662" i="12"/>
  <c r="X662" i="12" s="1"/>
  <c r="AF661" i="12"/>
  <c r="AD661" i="12"/>
  <c r="V661" i="12"/>
  <c r="B661" i="12"/>
  <c r="AF660" i="12"/>
  <c r="AD660" i="12"/>
  <c r="V660" i="12"/>
  <c r="B660" i="12"/>
  <c r="AF659" i="12"/>
  <c r="AD659" i="12"/>
  <c r="X659" i="12"/>
  <c r="W659" i="12" s="1" a="1"/>
  <c r="W659" i="12" s="1"/>
  <c r="V659" i="12"/>
  <c r="E659" i="12" a="1"/>
  <c r="E659" i="12" s="1"/>
  <c r="D659" i="12" a="1"/>
  <c r="D659" i="12" s="1"/>
  <c r="B659" i="12"/>
  <c r="AB659" i="12" s="1" a="1"/>
  <c r="AB659" i="12" s="1"/>
  <c r="AF658" i="12"/>
  <c r="AD658" i="12"/>
  <c r="AA658" i="12" a="1"/>
  <c r="AA658" i="12" s="1"/>
  <c r="Z658" i="12"/>
  <c r="X658" i="12"/>
  <c r="W658" i="12" s="1" a="1"/>
  <c r="W658" i="12" s="1"/>
  <c r="V658" i="12"/>
  <c r="D658" i="12" a="1"/>
  <c r="D658" i="12" s="1"/>
  <c r="B658" i="12"/>
  <c r="C658" i="12" s="1" a="1"/>
  <c r="C658" i="12" s="1"/>
  <c r="AF657" i="12"/>
  <c r="AD657" i="12"/>
  <c r="V657" i="12"/>
  <c r="B657" i="12"/>
  <c r="AF656" i="12"/>
  <c r="AD656" i="12"/>
  <c r="V656" i="12"/>
  <c r="B656" i="12"/>
  <c r="AA656" i="12" s="1" a="1"/>
  <c r="AA656" i="12" s="1"/>
  <c r="AF655" i="12"/>
  <c r="AD655" i="12"/>
  <c r="V655" i="12"/>
  <c r="B655" i="12"/>
  <c r="AF654" i="12"/>
  <c r="AD654" i="12"/>
  <c r="V654" i="12"/>
  <c r="B654" i="12"/>
  <c r="AF653" i="12"/>
  <c r="AD653" i="12"/>
  <c r="AC653" i="12" a="1"/>
  <c r="AC653" i="12" s="1"/>
  <c r="V653" i="12"/>
  <c r="B653" i="12"/>
  <c r="AF652" i="12"/>
  <c r="AD652" i="12"/>
  <c r="V652" i="12"/>
  <c r="B652" i="12"/>
  <c r="AF651" i="12"/>
  <c r="AD651" i="12"/>
  <c r="AC651" i="12" a="1"/>
  <c r="AC651" i="12" s="1"/>
  <c r="AB651" i="12" a="1"/>
  <c r="AB651" i="12" s="1"/>
  <c r="AA651" i="12" a="1"/>
  <c r="AA651" i="12" s="1"/>
  <c r="V651" i="12"/>
  <c r="E651" i="12" a="1"/>
  <c r="E651" i="12" s="1"/>
  <c r="B651" i="12"/>
  <c r="AF650" i="12"/>
  <c r="AD650" i="12"/>
  <c r="Z650" i="12"/>
  <c r="V650" i="12"/>
  <c r="B650" i="12"/>
  <c r="AC650" i="12" s="1" a="1"/>
  <c r="AC650" i="12" s="1"/>
  <c r="AF649" i="12"/>
  <c r="AD649" i="12"/>
  <c r="V649" i="12"/>
  <c r="B649" i="12"/>
  <c r="AF648" i="12"/>
  <c r="AD648" i="12"/>
  <c r="AA648" i="12" a="1"/>
  <c r="AA648" i="12" s="1"/>
  <c r="V648" i="12"/>
  <c r="B648" i="12"/>
  <c r="X648" i="12" s="1"/>
  <c r="W648" i="12" s="1" a="1"/>
  <c r="W648" i="12" s="1"/>
  <c r="AF647" i="12"/>
  <c r="AD647" i="12"/>
  <c r="AC647" i="12" a="1"/>
  <c r="AC647" i="12" s="1"/>
  <c r="AA647" i="12" a="1"/>
  <c r="AA647" i="12" s="1"/>
  <c r="V647" i="12"/>
  <c r="B647" i="12"/>
  <c r="AB647" i="12" s="1" a="1"/>
  <c r="AB647" i="12" s="1"/>
  <c r="AF646" i="12"/>
  <c r="AD646" i="12"/>
  <c r="AA646" i="12" a="1"/>
  <c r="AA646" i="12" s="1"/>
  <c r="Z646" i="12"/>
  <c r="X646" i="12"/>
  <c r="W646" i="12" s="1" a="1"/>
  <c r="W646" i="12" s="1"/>
  <c r="V646" i="12"/>
  <c r="E646" i="12" a="1"/>
  <c r="E646" i="12" s="1"/>
  <c r="D646" i="12" a="1"/>
  <c r="D646" i="12" s="1"/>
  <c r="B646" i="12"/>
  <c r="AC646" i="12" s="1" a="1"/>
  <c r="AC646" i="12" s="1"/>
  <c r="AF645" i="12"/>
  <c r="AD645" i="12"/>
  <c r="V645" i="12"/>
  <c r="D645" i="12" a="1"/>
  <c r="D645" i="12" s="1"/>
  <c r="B645" i="12"/>
  <c r="AF644" i="12"/>
  <c r="AD644" i="12"/>
  <c r="V644" i="12"/>
  <c r="B644" i="12"/>
  <c r="AF643" i="12"/>
  <c r="AD643" i="12"/>
  <c r="AC643" i="12" a="1"/>
  <c r="AC643" i="12" s="1"/>
  <c r="Z643" i="12"/>
  <c r="V643" i="12"/>
  <c r="E643" i="12" a="1"/>
  <c r="E643" i="12" s="1"/>
  <c r="D643" i="12" a="1"/>
  <c r="D643" i="12" s="1"/>
  <c r="C643" i="12" a="1"/>
  <c r="C643" i="12" s="1"/>
  <c r="B643" i="12"/>
  <c r="X643" i="12" s="1"/>
  <c r="W643" i="12" s="1" a="1"/>
  <c r="W643" i="12" s="1"/>
  <c r="AF642" i="12"/>
  <c r="AD642" i="12"/>
  <c r="AC642" i="12" a="1"/>
  <c r="AC642" i="12" s="1"/>
  <c r="AB642" i="12" a="1"/>
  <c r="AB642" i="12" s="1"/>
  <c r="V642" i="12"/>
  <c r="C642" i="12" a="1"/>
  <c r="C642" i="12" s="1"/>
  <c r="B642" i="12"/>
  <c r="X642" i="12" s="1"/>
  <c r="W642" i="12" s="1" a="1"/>
  <c r="W642" i="12" s="1"/>
  <c r="AF641" i="12"/>
  <c r="AD641" i="12"/>
  <c r="V641" i="12"/>
  <c r="B641" i="12"/>
  <c r="AF640" i="12"/>
  <c r="AD640" i="12"/>
  <c r="V640" i="12"/>
  <c r="B640" i="12"/>
  <c r="AB640" i="12" s="1" a="1"/>
  <c r="AB640" i="12" s="1"/>
  <c r="AF639" i="12"/>
  <c r="AD639" i="12"/>
  <c r="AC639" i="12" a="1"/>
  <c r="AC639" i="12" s="1"/>
  <c r="AA639" i="12" a="1"/>
  <c r="AA639" i="12" s="1"/>
  <c r="V639" i="12"/>
  <c r="E639" i="12" a="1"/>
  <c r="E639" i="12" s="1"/>
  <c r="B639" i="12"/>
  <c r="X639" i="12" s="1"/>
  <c r="W639" i="12" s="1" a="1"/>
  <c r="W639" i="12" s="1"/>
  <c r="AF638" i="12"/>
  <c r="AD638" i="12"/>
  <c r="V638" i="12"/>
  <c r="E638" i="12" a="1"/>
  <c r="E638" i="12" s="1"/>
  <c r="B638" i="12"/>
  <c r="AF637" i="12"/>
  <c r="AD637" i="12"/>
  <c r="W637" i="12" a="1"/>
  <c r="W637" i="12" s="1"/>
  <c r="V637" i="12"/>
  <c r="B637" i="12"/>
  <c r="X637" i="12" s="1"/>
  <c r="AF636" i="12"/>
  <c r="AD636" i="12"/>
  <c r="AB636" i="12" a="1"/>
  <c r="AB636" i="12" s="1"/>
  <c r="AA636" i="12" a="1"/>
  <c r="AA636" i="12" s="1"/>
  <c r="W636" i="12" a="1"/>
  <c r="W636" i="12" s="1"/>
  <c r="V636" i="12"/>
  <c r="E636" i="12" a="1"/>
  <c r="E636" i="12" s="1"/>
  <c r="B636" i="12"/>
  <c r="X636" i="12" s="1"/>
  <c r="AF635" i="12"/>
  <c r="AD635" i="12"/>
  <c r="V635" i="12"/>
  <c r="B635" i="12"/>
  <c r="D635" i="12" s="1" a="1"/>
  <c r="D635" i="12" s="1"/>
  <c r="AF634" i="12"/>
  <c r="AD634" i="12"/>
  <c r="Z634" i="12"/>
  <c r="V634" i="12"/>
  <c r="E634" i="12" a="1"/>
  <c r="E634" i="12" s="1"/>
  <c r="B634" i="12"/>
  <c r="X634" i="12" s="1"/>
  <c r="W634" i="12" s="1" a="1"/>
  <c r="W634" i="12" s="1"/>
  <c r="AF633" i="12"/>
  <c r="AD633" i="12"/>
  <c r="V633" i="12"/>
  <c r="B633" i="12"/>
  <c r="D633" i="12" s="1" a="1"/>
  <c r="D633" i="12" s="1"/>
  <c r="AF632" i="12"/>
  <c r="AD632" i="12"/>
  <c r="V632" i="12"/>
  <c r="B632" i="12"/>
  <c r="AF631" i="12"/>
  <c r="AD631" i="12"/>
  <c r="AA631" i="12" a="1"/>
  <c r="AA631" i="12" s="1"/>
  <c r="V631" i="12"/>
  <c r="B631" i="12"/>
  <c r="D631" i="12" s="1" a="1"/>
  <c r="D631" i="12" s="1"/>
  <c r="AF630" i="12"/>
  <c r="AD630" i="12"/>
  <c r="AA630" i="12" a="1"/>
  <c r="AA630" i="12" s="1"/>
  <c r="X630" i="12"/>
  <c r="W630" i="12" s="1" a="1"/>
  <c r="W630" i="12" s="1"/>
  <c r="V630" i="12"/>
  <c r="E630" i="12" a="1"/>
  <c r="E630" i="12" s="1"/>
  <c r="C630" i="12" a="1"/>
  <c r="C630" i="12" s="1"/>
  <c r="B630" i="12"/>
  <c r="Z630" i="12" s="1"/>
  <c r="AF629" i="12"/>
  <c r="AD629" i="12"/>
  <c r="V629" i="12"/>
  <c r="C629" i="12" a="1"/>
  <c r="C629" i="12" s="1"/>
  <c r="B629" i="12"/>
  <c r="AF628" i="12"/>
  <c r="AD628" i="12"/>
  <c r="V628" i="12"/>
  <c r="B628" i="12"/>
  <c r="AF627" i="12"/>
  <c r="AD627" i="12"/>
  <c r="AB627" i="12" a="1"/>
  <c r="AB627" i="12" s="1"/>
  <c r="V627" i="12"/>
  <c r="B627" i="12"/>
  <c r="AF626" i="12"/>
  <c r="AD626" i="12"/>
  <c r="AC626" i="12" a="1"/>
  <c r="AC626" i="12" s="1"/>
  <c r="AB626" i="12" a="1"/>
  <c r="AB626" i="12"/>
  <c r="AA626" i="12" a="1"/>
  <c r="AA626" i="12" s="1"/>
  <c r="Z626" i="12"/>
  <c r="X626" i="12"/>
  <c r="W626" i="12" s="1" a="1"/>
  <c r="W626" i="12" s="1"/>
  <c r="V626" i="12"/>
  <c r="E626" i="12" a="1"/>
  <c r="E626" i="12" s="1"/>
  <c r="D626" i="12" a="1"/>
  <c r="D626" i="12" s="1"/>
  <c r="C626" i="12" a="1"/>
  <c r="C626" i="12" s="1"/>
  <c r="B626" i="12"/>
  <c r="AF625" i="12"/>
  <c r="AD625" i="12"/>
  <c r="V625" i="12"/>
  <c r="B625" i="12"/>
  <c r="D625" i="12" s="1" a="1"/>
  <c r="D625" i="12" s="1"/>
  <c r="AF624" i="12"/>
  <c r="AD624" i="12"/>
  <c r="V624" i="12"/>
  <c r="E624" i="12" a="1"/>
  <c r="E624" i="12" s="1"/>
  <c r="B624" i="12"/>
  <c r="AA624" i="12" s="1" a="1"/>
  <c r="AA624" i="12" s="1"/>
  <c r="AF623" i="12"/>
  <c r="AD623" i="12"/>
  <c r="Z623" i="12"/>
  <c r="X623" i="12"/>
  <c r="W623" i="12" s="1" a="1"/>
  <c r="W623" i="12" s="1"/>
  <c r="V623" i="12"/>
  <c r="D623" i="12" a="1"/>
  <c r="D623" i="12" s="1"/>
  <c r="B623" i="12"/>
  <c r="AA623" i="12" s="1" a="1"/>
  <c r="AA623" i="12" s="1"/>
  <c r="AF622" i="12"/>
  <c r="AD622" i="12"/>
  <c r="AA622" i="12" a="1"/>
  <c r="AA622" i="12" s="1"/>
  <c r="Z622" i="12"/>
  <c r="V622" i="12"/>
  <c r="E622" i="12" a="1"/>
  <c r="E622" i="12" s="1"/>
  <c r="D622" i="12" a="1"/>
  <c r="D622" i="12" s="1"/>
  <c r="C622" i="12" a="1"/>
  <c r="C622" i="12" s="1"/>
  <c r="B622" i="12"/>
  <c r="AB622" i="12" s="1" a="1"/>
  <c r="AB622" i="12" s="1"/>
  <c r="AF621" i="12"/>
  <c r="AD621" i="12"/>
  <c r="V621" i="12"/>
  <c r="B621" i="12"/>
  <c r="AF620" i="12"/>
  <c r="AD620" i="12"/>
  <c r="AB620" i="12" a="1"/>
  <c r="AB620" i="12" s="1"/>
  <c r="AA620" i="12" a="1"/>
  <c r="AA620" i="12" s="1"/>
  <c r="Z620" i="12"/>
  <c r="V620" i="12"/>
  <c r="E620" i="12" a="1"/>
  <c r="E620" i="12" s="1"/>
  <c r="D620" i="12" a="1"/>
  <c r="D620" i="12" s="1"/>
  <c r="B620" i="12"/>
  <c r="X620" i="12" s="1"/>
  <c r="W620" i="12" s="1" a="1"/>
  <c r="W620" i="12" s="1"/>
  <c r="AF619" i="12"/>
  <c r="AD619" i="12"/>
  <c r="V619" i="12"/>
  <c r="B619" i="12"/>
  <c r="AC619" i="12" s="1" a="1"/>
  <c r="AC619" i="12" s="1"/>
  <c r="AF618" i="12"/>
  <c r="AD618" i="12"/>
  <c r="V618" i="12"/>
  <c r="B618" i="12"/>
  <c r="AF617" i="12"/>
  <c r="AD617" i="12"/>
  <c r="V617" i="12"/>
  <c r="D617" i="12" a="1"/>
  <c r="D617" i="12" s="1"/>
  <c r="B617" i="12"/>
  <c r="AF616" i="12"/>
  <c r="AD616" i="12"/>
  <c r="V616" i="12"/>
  <c r="D616" i="12" a="1"/>
  <c r="D616" i="12" s="1"/>
  <c r="B616" i="12"/>
  <c r="AF615" i="12"/>
  <c r="AD615" i="12"/>
  <c r="V615" i="12"/>
  <c r="B615" i="12"/>
  <c r="AF614" i="12"/>
  <c r="AD614" i="12"/>
  <c r="V614" i="12"/>
  <c r="C614" i="12" a="1"/>
  <c r="C614" i="12" s="1"/>
  <c r="B614" i="12"/>
  <c r="AF613" i="12"/>
  <c r="AD613" i="12"/>
  <c r="V613" i="12"/>
  <c r="D613" i="12" a="1"/>
  <c r="D613" i="12" s="1"/>
  <c r="B613" i="12"/>
  <c r="AF612" i="12"/>
  <c r="AD612" i="12"/>
  <c r="AC612" i="12" a="1"/>
  <c r="AC612" i="12" s="1"/>
  <c r="AA612" i="12" a="1"/>
  <c r="AA612" i="12" s="1"/>
  <c r="V612" i="12"/>
  <c r="B612" i="12"/>
  <c r="X612" i="12" s="1"/>
  <c r="W612" i="12" s="1" a="1"/>
  <c r="W612" i="12" s="1"/>
  <c r="AF611" i="12"/>
  <c r="AD611" i="12"/>
  <c r="AC611" i="12" a="1"/>
  <c r="AC611" i="12" s="1"/>
  <c r="V611" i="12"/>
  <c r="B611" i="12"/>
  <c r="AA611" i="12" s="1" a="1"/>
  <c r="AA611" i="12" s="1"/>
  <c r="AF610" i="12"/>
  <c r="AD610" i="12"/>
  <c r="Z610" i="12"/>
  <c r="V610" i="12"/>
  <c r="E610" i="12" a="1"/>
  <c r="E610" i="12"/>
  <c r="D610" i="12" a="1"/>
  <c r="D610" i="12"/>
  <c r="C610" i="12" a="1"/>
  <c r="C610" i="12" s="1"/>
  <c r="B610" i="12"/>
  <c r="X610" i="12" s="1"/>
  <c r="W610" i="12" s="1" a="1"/>
  <c r="W610" i="12" s="1"/>
  <c r="AF609" i="12"/>
  <c r="AD609" i="12"/>
  <c r="Z609" i="12"/>
  <c r="V609" i="12"/>
  <c r="E609" i="12" a="1"/>
  <c r="E609" i="12"/>
  <c r="D609" i="12" a="1"/>
  <c r="D609" i="12" s="1"/>
  <c r="B609" i="12"/>
  <c r="X609" i="12" s="1"/>
  <c r="W609" i="12" s="1" a="1"/>
  <c r="W609" i="12" s="1"/>
  <c r="AF608" i="12"/>
  <c r="AD608" i="12"/>
  <c r="V608" i="12"/>
  <c r="B608" i="12"/>
  <c r="AF607" i="12"/>
  <c r="AD607" i="12"/>
  <c r="AC607" i="12" a="1"/>
  <c r="AC607" i="12" s="1"/>
  <c r="V607" i="12"/>
  <c r="C607" i="12" a="1"/>
  <c r="C607" i="12" s="1"/>
  <c r="B607" i="12"/>
  <c r="X607" i="12" s="1"/>
  <c r="W607" i="12" s="1" a="1"/>
  <c r="W607" i="12" s="1"/>
  <c r="AF606" i="12"/>
  <c r="AD606" i="12"/>
  <c r="V606" i="12"/>
  <c r="B606" i="12"/>
  <c r="AF605" i="12"/>
  <c r="AD605" i="12"/>
  <c r="V605" i="12"/>
  <c r="B605" i="12"/>
  <c r="AF604" i="12"/>
  <c r="AD604" i="12"/>
  <c r="V604" i="12"/>
  <c r="D604" i="12" a="1"/>
  <c r="D604" i="12" s="1"/>
  <c r="B604" i="12"/>
  <c r="AF603" i="12"/>
  <c r="AD603" i="12"/>
  <c r="V603" i="12"/>
  <c r="B603" i="12"/>
  <c r="AF602" i="12"/>
  <c r="AD602" i="12"/>
  <c r="V602" i="12"/>
  <c r="B602" i="12"/>
  <c r="X602" i="12" s="1"/>
  <c r="W602" i="12" s="1" a="1"/>
  <c r="W602" i="12" s="1"/>
  <c r="AF601" i="12"/>
  <c r="AD601" i="12"/>
  <c r="W601" i="12" a="1"/>
  <c r="W601" i="12" s="1"/>
  <c r="V601" i="12"/>
  <c r="B601" i="12"/>
  <c r="X601" i="12" s="1"/>
  <c r="AF600" i="12"/>
  <c r="AD600" i="12"/>
  <c r="AC600" i="12" a="1"/>
  <c r="AC600" i="12" s="1"/>
  <c r="V600" i="12"/>
  <c r="B600" i="12"/>
  <c r="AF599" i="12"/>
  <c r="AD599" i="12"/>
  <c r="Z599" i="12"/>
  <c r="V599" i="12"/>
  <c r="B599" i="12"/>
  <c r="C599" i="12" s="1" a="1"/>
  <c r="C599" i="12" s="1"/>
  <c r="AF598" i="12"/>
  <c r="AD598" i="12"/>
  <c r="V598" i="12"/>
  <c r="C598" i="12" a="1"/>
  <c r="C598" i="12" s="1"/>
  <c r="B598" i="12"/>
  <c r="AF597" i="12"/>
  <c r="AD597" i="12"/>
  <c r="V597" i="12"/>
  <c r="B597" i="12"/>
  <c r="AF596" i="12"/>
  <c r="AD596" i="12"/>
  <c r="V596" i="12"/>
  <c r="B596" i="12"/>
  <c r="AF595" i="12"/>
  <c r="AD595" i="12"/>
  <c r="V595" i="12"/>
  <c r="B595" i="12"/>
  <c r="AC595" i="12" s="1" a="1"/>
  <c r="AC595" i="12" s="1"/>
  <c r="AF594" i="12"/>
  <c r="AD594" i="12"/>
  <c r="V594" i="12"/>
  <c r="B594" i="12"/>
  <c r="AF593" i="12"/>
  <c r="AD593" i="12"/>
  <c r="AB593" i="12" a="1"/>
  <c r="AB593" i="12" s="1"/>
  <c r="V593" i="12"/>
  <c r="B593" i="12"/>
  <c r="AC593" i="12" s="1" a="1"/>
  <c r="AC593" i="12" s="1"/>
  <c r="AF592" i="12"/>
  <c r="AD592" i="12"/>
  <c r="V592" i="12"/>
  <c r="B592" i="12"/>
  <c r="AF591" i="12"/>
  <c r="AD591" i="12"/>
  <c r="AA591" i="12" a="1"/>
  <c r="AA591" i="12" s="1"/>
  <c r="V591" i="12"/>
  <c r="B591" i="12"/>
  <c r="AC591" i="12" s="1" a="1"/>
  <c r="AC591" i="12" s="1"/>
  <c r="AF590" i="12"/>
  <c r="AD590" i="12"/>
  <c r="V590" i="12"/>
  <c r="B590" i="12"/>
  <c r="AF589" i="12"/>
  <c r="AD589" i="12"/>
  <c r="V589" i="12"/>
  <c r="B589" i="12"/>
  <c r="AF588" i="12"/>
  <c r="AD588" i="12"/>
  <c r="V588" i="12"/>
  <c r="B588" i="12"/>
  <c r="AF587" i="12"/>
  <c r="AD587" i="12"/>
  <c r="AA587" i="12" a="1"/>
  <c r="AA587" i="12" s="1"/>
  <c r="X587" i="12"/>
  <c r="W587" i="12" s="1" a="1"/>
  <c r="W587" i="12" s="1"/>
  <c r="V587" i="12"/>
  <c r="B587" i="12"/>
  <c r="AC587" i="12" s="1" a="1"/>
  <c r="AC587" i="12" s="1"/>
  <c r="AF586" i="12"/>
  <c r="AD586" i="12"/>
  <c r="AC586" i="12" a="1"/>
  <c r="AC586" i="12" s="1"/>
  <c r="AB586" i="12" a="1"/>
  <c r="AB586" i="12" s="1"/>
  <c r="AA586" i="12" a="1"/>
  <c r="AA586" i="12"/>
  <c r="Z586" i="12"/>
  <c r="V586" i="12"/>
  <c r="B586" i="12"/>
  <c r="X586" i="12" s="1"/>
  <c r="W586" i="12" s="1" a="1"/>
  <c r="W586" i="12" s="1"/>
  <c r="AF585" i="12"/>
  <c r="AD585" i="12"/>
  <c r="AC585" i="12" a="1"/>
  <c r="AC585" i="12" s="1"/>
  <c r="AB585" i="12" a="1"/>
  <c r="AB585" i="12" s="1"/>
  <c r="V585" i="12"/>
  <c r="B585" i="12"/>
  <c r="AA585" i="12" s="1" a="1"/>
  <c r="AA585" i="12" s="1"/>
  <c r="AF584" i="12"/>
  <c r="AD584" i="12"/>
  <c r="V584" i="12"/>
  <c r="B584" i="12"/>
  <c r="AF583" i="12"/>
  <c r="AD583" i="12"/>
  <c r="AB583" i="12" a="1"/>
  <c r="AB583" i="12" s="1"/>
  <c r="V583" i="12"/>
  <c r="B583" i="12"/>
  <c r="AC583" i="12" s="1" a="1"/>
  <c r="AC583" i="12" s="1"/>
  <c r="AF582" i="12"/>
  <c r="AD582" i="12"/>
  <c r="V582" i="12"/>
  <c r="B582" i="12"/>
  <c r="AF581" i="12"/>
  <c r="AD581" i="12"/>
  <c r="V581" i="12"/>
  <c r="E581" i="12" a="1"/>
  <c r="E581" i="12" s="1"/>
  <c r="C581" i="12" a="1"/>
  <c r="C581" i="12" s="1"/>
  <c r="B581" i="12"/>
  <c r="AF580" i="12"/>
  <c r="AD580" i="12"/>
  <c r="V580" i="12"/>
  <c r="B580" i="12"/>
  <c r="C580" i="12" s="1" a="1"/>
  <c r="C580" i="12" s="1"/>
  <c r="AF579" i="12"/>
  <c r="AD579" i="12"/>
  <c r="AC579" i="12" a="1"/>
  <c r="AC579" i="12" s="1"/>
  <c r="AB579" i="12" a="1"/>
  <c r="AB579" i="12" s="1"/>
  <c r="AA579" i="12" a="1"/>
  <c r="AA579" i="12" s="1"/>
  <c r="W579" i="12" a="1"/>
  <c r="W579" i="12" s="1"/>
  <c r="V579" i="12"/>
  <c r="C579" i="12" a="1"/>
  <c r="C579" i="12" s="1"/>
  <c r="B579" i="12"/>
  <c r="X579" i="12" s="1"/>
  <c r="AF578" i="12"/>
  <c r="AD578" i="12"/>
  <c r="AC578" i="12" a="1"/>
  <c r="AC578" i="12" s="1"/>
  <c r="AA578" i="12" a="1"/>
  <c r="AA578" i="12" s="1"/>
  <c r="Z578" i="12"/>
  <c r="W578" i="12" a="1"/>
  <c r="W578" i="12" s="1"/>
  <c r="V578" i="12"/>
  <c r="D578" i="12" a="1"/>
  <c r="D578" i="12" s="1"/>
  <c r="B578" i="12"/>
  <c r="X578" i="12" s="1"/>
  <c r="AF577" i="12"/>
  <c r="AD577" i="12"/>
  <c r="AC577" i="12" a="1"/>
  <c r="AC577" i="12" s="1"/>
  <c r="AB577" i="12" a="1"/>
  <c r="AB577" i="12" s="1"/>
  <c r="AA577" i="12" a="1"/>
  <c r="AA577" i="12" s="1"/>
  <c r="Z577" i="12"/>
  <c r="W577" i="12" a="1"/>
  <c r="W577" i="12"/>
  <c r="V577" i="12"/>
  <c r="D577" i="12" a="1"/>
  <c r="D577" i="12" s="1"/>
  <c r="C577" i="12" a="1"/>
  <c r="C577" i="12" s="1"/>
  <c r="B577" i="12"/>
  <c r="X577" i="12" s="1"/>
  <c r="AF576" i="12"/>
  <c r="AD576" i="12"/>
  <c r="X576" i="12"/>
  <c r="W576" i="12" s="1" a="1"/>
  <c r="W576" i="12" s="1"/>
  <c r="V576" i="12"/>
  <c r="B576" i="12"/>
  <c r="AF575" i="12"/>
  <c r="AD575" i="12"/>
  <c r="V575" i="12"/>
  <c r="B575" i="12"/>
  <c r="AF574" i="12"/>
  <c r="AD574" i="12"/>
  <c r="AC574" i="12" a="1"/>
  <c r="AC574" i="12" s="1"/>
  <c r="AA574" i="12" a="1"/>
  <c r="AA574" i="12" s="1"/>
  <c r="W574" i="12" a="1"/>
  <c r="W574" i="12" s="1"/>
  <c r="V574" i="12"/>
  <c r="E574" i="12" a="1"/>
  <c r="E574" i="12"/>
  <c r="B574" i="12"/>
  <c r="X574" i="12" s="1"/>
  <c r="AF573" i="12"/>
  <c r="AD573" i="12"/>
  <c r="V573" i="12"/>
  <c r="D573" i="12" a="1"/>
  <c r="D573" i="12" s="1"/>
  <c r="B573" i="12"/>
  <c r="X573" i="12" s="1"/>
  <c r="W573" i="12" s="1" a="1"/>
  <c r="W573" i="12" s="1"/>
  <c r="AF572" i="12"/>
  <c r="AD572" i="12"/>
  <c r="V572" i="12"/>
  <c r="B572" i="12"/>
  <c r="C572" i="12" s="1" a="1"/>
  <c r="C572" i="12" s="1"/>
  <c r="AF571" i="12"/>
  <c r="AD571" i="12"/>
  <c r="V571" i="12"/>
  <c r="D571" i="12" a="1"/>
  <c r="D571" i="12" s="1"/>
  <c r="B571" i="12"/>
  <c r="C571" i="12" s="1" a="1"/>
  <c r="C571" i="12" s="1"/>
  <c r="AF570" i="12"/>
  <c r="AD570" i="12"/>
  <c r="Z570" i="12"/>
  <c r="V570" i="12"/>
  <c r="B570" i="12"/>
  <c r="X570" i="12" s="1"/>
  <c r="W570" i="12" s="1" a="1"/>
  <c r="W570" i="12" s="1"/>
  <c r="AF569" i="12"/>
  <c r="AD569" i="12"/>
  <c r="AC569" i="12" a="1"/>
  <c r="AC569" i="12" s="1"/>
  <c r="Z569" i="12"/>
  <c r="V569" i="12"/>
  <c r="E569" i="12" a="1"/>
  <c r="E569" i="12" s="1"/>
  <c r="C569" i="12" a="1"/>
  <c r="C569" i="12" s="1"/>
  <c r="B569" i="12"/>
  <c r="AB569" i="12" s="1" a="1"/>
  <c r="AB569" i="12" s="1"/>
  <c r="AF568" i="12"/>
  <c r="AD568" i="12"/>
  <c r="V568" i="12"/>
  <c r="B568" i="12"/>
  <c r="X568" i="12" s="1"/>
  <c r="W568" i="12" s="1" a="1"/>
  <c r="W568" i="12" s="1"/>
  <c r="AF567" i="12"/>
  <c r="AD567" i="12"/>
  <c r="AC567" i="12" a="1"/>
  <c r="AC567" i="12" s="1"/>
  <c r="AA567" i="12" a="1"/>
  <c r="AA567" i="12" s="1"/>
  <c r="V567" i="12"/>
  <c r="E567" i="12" a="1"/>
  <c r="E567" i="12" s="1"/>
  <c r="B567" i="12"/>
  <c r="X567" i="12" s="1"/>
  <c r="W567" i="12" s="1" a="1"/>
  <c r="W567" i="12" s="1"/>
  <c r="AF566" i="12"/>
  <c r="AD566" i="12"/>
  <c r="AC566" i="12" a="1"/>
  <c r="AC566" i="12" s="1"/>
  <c r="AB566" i="12" a="1"/>
  <c r="AB566" i="12" s="1"/>
  <c r="AA566" i="12" a="1"/>
  <c r="AA566" i="12" s="1"/>
  <c r="Z566" i="12"/>
  <c r="V566" i="12"/>
  <c r="B566" i="12"/>
  <c r="X566" i="12" s="1"/>
  <c r="W566" i="12" s="1" a="1"/>
  <c r="W566" i="12" s="1"/>
  <c r="AF565" i="12"/>
  <c r="AD565" i="12"/>
  <c r="V565" i="12"/>
  <c r="E565" i="12" a="1"/>
  <c r="E565" i="12" s="1"/>
  <c r="D565" i="12" a="1"/>
  <c r="D565" i="12" s="1"/>
  <c r="B565" i="12"/>
  <c r="AB565" i="12" s="1" a="1"/>
  <c r="AB565" i="12" s="1"/>
  <c r="AF564" i="12"/>
  <c r="AD564" i="12"/>
  <c r="V564" i="12"/>
  <c r="B564" i="12"/>
  <c r="AF563" i="12"/>
  <c r="AD563" i="12"/>
  <c r="AC563" i="12" a="1"/>
  <c r="AC563" i="12" s="1"/>
  <c r="V563" i="12"/>
  <c r="C563" i="12" a="1"/>
  <c r="C563" i="12" s="1"/>
  <c r="B563" i="12"/>
  <c r="Z563" i="12" s="1"/>
  <c r="AF562" i="12"/>
  <c r="AD562" i="12"/>
  <c r="V562" i="12"/>
  <c r="B562" i="12"/>
  <c r="AF561" i="12"/>
  <c r="AD561" i="12"/>
  <c r="V561" i="12"/>
  <c r="B561" i="12"/>
  <c r="AF560" i="12"/>
  <c r="AD560" i="12"/>
  <c r="AC560" i="12" a="1"/>
  <c r="AC560" i="12" s="1"/>
  <c r="W560" i="12" a="1"/>
  <c r="W560" i="12" s="1"/>
  <c r="V560" i="12"/>
  <c r="B560" i="12"/>
  <c r="X560" i="12" s="1"/>
  <c r="AF559" i="12"/>
  <c r="AD559" i="12"/>
  <c r="AB559" i="12" a="1"/>
  <c r="AB559" i="12" s="1"/>
  <c r="V559" i="12"/>
  <c r="B559" i="12"/>
  <c r="AC559" i="12" s="1" a="1"/>
  <c r="AC559" i="12" s="1"/>
  <c r="AF558" i="12"/>
  <c r="AD558" i="12"/>
  <c r="V558" i="12"/>
  <c r="B558" i="12"/>
  <c r="AB558" i="12" s="1" a="1"/>
  <c r="AB558" i="12" s="1"/>
  <c r="AF557" i="12"/>
  <c r="AD557" i="12"/>
  <c r="V557" i="12"/>
  <c r="D557" i="12" a="1"/>
  <c r="D557" i="12" s="1"/>
  <c r="B557" i="12"/>
  <c r="Z557" i="12" s="1"/>
  <c r="AF556" i="12"/>
  <c r="AD556" i="12"/>
  <c r="AB556" i="12" a="1"/>
  <c r="AB556" i="12" s="1"/>
  <c r="AA556" i="12" a="1"/>
  <c r="AA556" i="12"/>
  <c r="Z556" i="12"/>
  <c r="X556" i="12"/>
  <c r="W556" i="12" s="1" a="1"/>
  <c r="W556" i="12" s="1"/>
  <c r="V556" i="12"/>
  <c r="D556" i="12" a="1"/>
  <c r="D556" i="12" s="1"/>
  <c r="B556" i="12"/>
  <c r="C556" i="12" s="1" a="1"/>
  <c r="C556" i="12" s="1"/>
  <c r="AF555" i="12"/>
  <c r="AD555" i="12"/>
  <c r="AB555" i="12" a="1"/>
  <c r="AB555" i="12" s="1"/>
  <c r="AA555" i="12" a="1"/>
  <c r="AA555" i="12" s="1"/>
  <c r="Z555" i="12"/>
  <c r="X555" i="12"/>
  <c r="W555" i="12" s="1" a="1"/>
  <c r="W555" i="12" s="1"/>
  <c r="V555" i="12"/>
  <c r="D555" i="12" a="1"/>
  <c r="D555" i="12" s="1"/>
  <c r="C555" i="12"/>
  <c r="B555" i="12"/>
  <c r="C555" i="12" s="1" a="1"/>
  <c r="AF554" i="12"/>
  <c r="AD554" i="12"/>
  <c r="AC554" i="12" a="1"/>
  <c r="AC554" i="12"/>
  <c r="AB554" i="12" a="1"/>
  <c r="AB554" i="12" s="1"/>
  <c r="AA554" i="12" a="1"/>
  <c r="AA554" i="12" s="1"/>
  <c r="V554" i="12"/>
  <c r="E554" i="12" a="1"/>
  <c r="E554" i="12" s="1"/>
  <c r="B554" i="12"/>
  <c r="Z554" i="12" s="1"/>
  <c r="AF553" i="12"/>
  <c r="AD553" i="12"/>
  <c r="V553" i="12"/>
  <c r="B553" i="12"/>
  <c r="AC553" i="12" s="1" a="1"/>
  <c r="AC553" i="12" s="1"/>
  <c r="AF552" i="12"/>
  <c r="AD552" i="12"/>
  <c r="W552" i="12" a="1"/>
  <c r="W552" i="12" s="1"/>
  <c r="V552" i="12"/>
  <c r="C552" i="12" a="1"/>
  <c r="C552" i="12" s="1"/>
  <c r="B552" i="12"/>
  <c r="X552" i="12" s="1"/>
  <c r="AF551" i="12"/>
  <c r="AD551" i="12"/>
  <c r="V551" i="12"/>
  <c r="C551" i="12" a="1"/>
  <c r="C551" i="12" s="1"/>
  <c r="B551" i="12"/>
  <c r="AF550" i="12"/>
  <c r="AD550" i="12"/>
  <c r="V550" i="12"/>
  <c r="B550" i="12"/>
  <c r="AF549" i="12"/>
  <c r="AD549" i="12"/>
  <c r="AC549" i="12" a="1"/>
  <c r="AC549" i="12" s="1"/>
  <c r="V549" i="12"/>
  <c r="B549" i="12"/>
  <c r="C549" i="12" s="1" a="1"/>
  <c r="C549" i="12" s="1"/>
  <c r="AF548" i="12"/>
  <c r="AD548" i="12"/>
  <c r="V548" i="12"/>
  <c r="B548" i="12"/>
  <c r="AF547" i="12"/>
  <c r="AD547" i="12"/>
  <c r="AC547" i="12" a="1"/>
  <c r="AC547" i="12" s="1"/>
  <c r="AA547" i="12" a="1"/>
  <c r="AA547" i="12" s="1"/>
  <c r="V547" i="12"/>
  <c r="D547" i="12" a="1"/>
  <c r="D547" i="12" s="1"/>
  <c r="B547" i="12"/>
  <c r="X547" i="12" s="1"/>
  <c r="W547" i="12" s="1" a="1"/>
  <c r="W547" i="12" s="1"/>
  <c r="AF546" i="12"/>
  <c r="AD546" i="12"/>
  <c r="AC546" i="12" a="1"/>
  <c r="AC546" i="12" s="1"/>
  <c r="AB546" i="12" a="1"/>
  <c r="AB546" i="12" s="1"/>
  <c r="AA546" i="12" a="1"/>
  <c r="AA546" i="12" s="1"/>
  <c r="X546" i="12"/>
  <c r="W546" i="12" s="1" a="1"/>
  <c r="W546" i="12" s="1"/>
  <c r="V546" i="12"/>
  <c r="D546" i="12" a="1"/>
  <c r="D546" i="12" s="1"/>
  <c r="B546" i="12"/>
  <c r="Z546" i="12" s="1"/>
  <c r="AF545" i="12"/>
  <c r="AD545" i="12"/>
  <c r="AB545" i="12" a="1"/>
  <c r="AB545" i="12" s="1"/>
  <c r="W545" i="12" a="1"/>
  <c r="W545" i="12" s="1"/>
  <c r="V545" i="12"/>
  <c r="E545" i="12" a="1"/>
  <c r="E545" i="12" s="1"/>
  <c r="D545" i="12" a="1"/>
  <c r="D545" i="12"/>
  <c r="C545" i="12" a="1"/>
  <c r="C545" i="12" s="1"/>
  <c r="B545" i="12"/>
  <c r="X545" i="12" s="1"/>
  <c r="AF544" i="12"/>
  <c r="AD544" i="12"/>
  <c r="V544" i="12"/>
  <c r="D544" i="12" a="1"/>
  <c r="D544" i="12" s="1"/>
  <c r="C544" i="12" a="1"/>
  <c r="C544" i="12" s="1"/>
  <c r="B544" i="12"/>
  <c r="AF543" i="12"/>
  <c r="AD543" i="12"/>
  <c r="Z543" i="12"/>
  <c r="X543" i="12"/>
  <c r="W543" i="12" s="1" a="1"/>
  <c r="W543" i="12" s="1"/>
  <c r="V543" i="12"/>
  <c r="E543" i="12" a="1"/>
  <c r="E543" i="12" s="1"/>
  <c r="D543" i="12" a="1"/>
  <c r="D543" i="12" s="1"/>
  <c r="B543" i="12"/>
  <c r="AB543" i="12" s="1" a="1"/>
  <c r="AB543" i="12" s="1"/>
  <c r="AF542" i="12"/>
  <c r="AD542" i="12"/>
  <c r="V542" i="12"/>
  <c r="B542" i="12"/>
  <c r="AF541" i="12"/>
  <c r="AD541" i="12"/>
  <c r="V541" i="12"/>
  <c r="B541" i="12"/>
  <c r="AF540" i="12"/>
  <c r="AD540" i="12"/>
  <c r="V540" i="12"/>
  <c r="B540" i="12"/>
  <c r="AC540" i="12" s="1" a="1"/>
  <c r="AC540" i="12" s="1"/>
  <c r="AF539" i="12"/>
  <c r="AD539" i="12"/>
  <c r="AA539" i="12" a="1"/>
  <c r="AA539" i="12" s="1"/>
  <c r="V539" i="12"/>
  <c r="B539" i="12"/>
  <c r="X539" i="12" s="1"/>
  <c r="W539" i="12" s="1" a="1"/>
  <c r="W539" i="12" s="1"/>
  <c r="AF538" i="12"/>
  <c r="AD538" i="12"/>
  <c r="AC538" i="12" a="1"/>
  <c r="AC538" i="12" s="1"/>
  <c r="AA538" i="12" a="1"/>
  <c r="AA538" i="12" s="1"/>
  <c r="V538" i="12"/>
  <c r="D538" i="12" a="1"/>
  <c r="D538" i="12" s="1"/>
  <c r="B538" i="12"/>
  <c r="X538" i="12" s="1"/>
  <c r="W538" i="12" s="1" a="1"/>
  <c r="W538" i="12" s="1"/>
  <c r="AF537" i="12"/>
  <c r="AD537" i="12"/>
  <c r="AC537" i="12" a="1"/>
  <c r="AC537" i="12" s="1"/>
  <c r="AB537" i="12" a="1"/>
  <c r="AB537" i="12" s="1"/>
  <c r="AA537" i="12" a="1"/>
  <c r="AA537" i="12" s="1"/>
  <c r="X537" i="12"/>
  <c r="W537" i="12" s="1" a="1"/>
  <c r="W537" i="12" s="1"/>
  <c r="V537" i="12"/>
  <c r="B537" i="12"/>
  <c r="Z537" i="12" s="1"/>
  <c r="AF536" i="12"/>
  <c r="AD536" i="12"/>
  <c r="V536" i="12"/>
  <c r="B536" i="12"/>
  <c r="AF535" i="12"/>
  <c r="AD535" i="12"/>
  <c r="AC535" i="12" a="1"/>
  <c r="AC535" i="12" s="1"/>
  <c r="AA535" i="12" a="1"/>
  <c r="AA535" i="12" s="1"/>
  <c r="V535" i="12"/>
  <c r="B535" i="12"/>
  <c r="X535" i="12" s="1"/>
  <c r="W535" i="12" s="1" a="1"/>
  <c r="W535" i="12" s="1"/>
  <c r="AF534" i="12"/>
  <c r="AD534" i="12"/>
  <c r="V534" i="12"/>
  <c r="B534" i="12"/>
  <c r="AF533" i="12"/>
  <c r="AD533" i="12"/>
  <c r="AA533" i="12" a="1"/>
  <c r="AA533" i="12" s="1"/>
  <c r="Z533" i="12"/>
  <c r="V533" i="12"/>
  <c r="B533" i="12"/>
  <c r="X533" i="12" s="1"/>
  <c r="W533" i="12" s="1" a="1"/>
  <c r="W533" i="12" s="1"/>
  <c r="AF532" i="12"/>
  <c r="AD532" i="12"/>
  <c r="V532" i="12"/>
  <c r="B532" i="12"/>
  <c r="AB532" i="12" s="1" a="1"/>
  <c r="AB532" i="12" s="1"/>
  <c r="AF531" i="12"/>
  <c r="AD531" i="12"/>
  <c r="V531" i="12"/>
  <c r="B531" i="12"/>
  <c r="D531" i="12" s="1" a="1"/>
  <c r="D531" i="12" s="1"/>
  <c r="AF530" i="12"/>
  <c r="AD530" i="12"/>
  <c r="V530" i="12"/>
  <c r="B530" i="12"/>
  <c r="AC530" i="12" s="1" a="1"/>
  <c r="AC530" i="12" s="1"/>
  <c r="AF529" i="12"/>
  <c r="AD529" i="12"/>
  <c r="AC529" i="12" a="1"/>
  <c r="AC529" i="12" s="1"/>
  <c r="V529" i="12"/>
  <c r="D529" i="12" a="1"/>
  <c r="D529" i="12" s="1"/>
  <c r="C529" i="12" a="1"/>
  <c r="C529" i="12" s="1"/>
  <c r="B529" i="12"/>
  <c r="AF528" i="12"/>
  <c r="AD528" i="12"/>
  <c r="AB528" i="12" a="1"/>
  <c r="AB528" i="12" s="1"/>
  <c r="AA528" i="12" a="1"/>
  <c r="AA528" i="12" s="1"/>
  <c r="V528" i="12"/>
  <c r="B528" i="12"/>
  <c r="AF527" i="12"/>
  <c r="AD527" i="12"/>
  <c r="V527" i="12"/>
  <c r="D527" i="12" a="1"/>
  <c r="D527" i="12" s="1"/>
  <c r="B527" i="12"/>
  <c r="AC527" i="12" s="1" a="1"/>
  <c r="AC527" i="12" s="1"/>
  <c r="AF526" i="12"/>
  <c r="AD526" i="12"/>
  <c r="AB526" i="12" a="1"/>
  <c r="AB526" i="12" s="1"/>
  <c r="Z526" i="12"/>
  <c r="V526" i="12"/>
  <c r="B526" i="12"/>
  <c r="AF525" i="12"/>
  <c r="AD525" i="12"/>
  <c r="V525" i="12"/>
  <c r="B525" i="12"/>
  <c r="AF524" i="12"/>
  <c r="AD524" i="12"/>
  <c r="V524" i="12"/>
  <c r="B524" i="12"/>
  <c r="AC524" i="12" s="1" a="1"/>
  <c r="AC524" i="12" s="1"/>
  <c r="AF523" i="12"/>
  <c r="AD523" i="12"/>
  <c r="AB523" i="12" a="1"/>
  <c r="AB523" i="12" s="1"/>
  <c r="V523" i="12"/>
  <c r="C523" i="12" a="1"/>
  <c r="C523" i="12" s="1"/>
  <c r="B523" i="12"/>
  <c r="E523" i="12" s="1" a="1"/>
  <c r="E523" i="12" s="1"/>
  <c r="AF522" i="12"/>
  <c r="AD522" i="12"/>
  <c r="AA522" i="12" a="1"/>
  <c r="AA522" i="12" s="1"/>
  <c r="Z522" i="12"/>
  <c r="X522" i="12"/>
  <c r="W522" i="12" s="1" a="1"/>
  <c r="W522" i="12" s="1"/>
  <c r="V522" i="12"/>
  <c r="C522" i="12" a="1"/>
  <c r="C522" i="12" s="1"/>
  <c r="B522" i="12"/>
  <c r="AB522" i="12" s="1" a="1"/>
  <c r="AB522" i="12" s="1"/>
  <c r="AF521" i="12"/>
  <c r="AD521" i="12"/>
  <c r="V521" i="12"/>
  <c r="B521" i="12"/>
  <c r="AF520" i="12"/>
  <c r="AD520" i="12"/>
  <c r="AC520" i="12" a="1"/>
  <c r="AC520" i="12" s="1"/>
  <c r="AB520" i="12" a="1"/>
  <c r="AB520" i="12" s="1"/>
  <c r="V520" i="12"/>
  <c r="B520" i="12"/>
  <c r="AF519" i="12"/>
  <c r="AD519" i="12"/>
  <c r="Z519" i="12"/>
  <c r="V519" i="12"/>
  <c r="C519" i="12" a="1"/>
  <c r="C519" i="12" s="1"/>
  <c r="B519" i="12"/>
  <c r="AF518" i="12"/>
  <c r="AD518" i="12"/>
  <c r="V518" i="12"/>
  <c r="B518" i="12"/>
  <c r="AF517" i="12"/>
  <c r="AD517" i="12"/>
  <c r="V517" i="12"/>
  <c r="C517" i="12" a="1"/>
  <c r="C517" i="12" s="1"/>
  <c r="B517" i="12"/>
  <c r="AF516" i="12"/>
  <c r="AD516" i="12"/>
  <c r="AB516" i="12" a="1"/>
  <c r="AB516" i="12" s="1"/>
  <c r="Z516" i="12"/>
  <c r="X516" i="12"/>
  <c r="W516" i="12" s="1" a="1"/>
  <c r="W516" i="12" s="1"/>
  <c r="V516" i="12"/>
  <c r="C516" i="12" a="1"/>
  <c r="C516" i="12" s="1"/>
  <c r="B516" i="12"/>
  <c r="AC516" i="12" s="1" a="1"/>
  <c r="AC516" i="12" s="1"/>
  <c r="AF515" i="12"/>
  <c r="AD515" i="12"/>
  <c r="V515" i="12"/>
  <c r="B515" i="12"/>
  <c r="D515" i="12" s="1" a="1"/>
  <c r="D515" i="12" s="1"/>
  <c r="AF514" i="12"/>
  <c r="AD514" i="12"/>
  <c r="V514" i="12"/>
  <c r="B514" i="12"/>
  <c r="AA514" i="12" s="1" a="1"/>
  <c r="AA514" i="12" s="1"/>
  <c r="AF513" i="12"/>
  <c r="AD513" i="12"/>
  <c r="V513" i="12"/>
  <c r="B513" i="12"/>
  <c r="AF512" i="12"/>
  <c r="AD512" i="12"/>
  <c r="AC512" i="12" a="1"/>
  <c r="AC512" i="12" s="1"/>
  <c r="V512" i="12"/>
  <c r="E512" i="12" a="1"/>
  <c r="E512" i="12" s="1"/>
  <c r="B512" i="12"/>
  <c r="Z512" i="12" s="1"/>
  <c r="AF511" i="12"/>
  <c r="AD511" i="12"/>
  <c r="V511" i="12"/>
  <c r="B511" i="12"/>
  <c r="AF510" i="12"/>
  <c r="AD510" i="12"/>
  <c r="Z510" i="12"/>
  <c r="V510" i="12"/>
  <c r="B510" i="12"/>
  <c r="AF509" i="12"/>
  <c r="AD509" i="12"/>
  <c r="AC509" i="12" a="1"/>
  <c r="AC509" i="12" s="1"/>
  <c r="V509" i="12"/>
  <c r="C509" i="12" a="1"/>
  <c r="C509" i="12" s="1"/>
  <c r="B509" i="12"/>
  <c r="AF508" i="12"/>
  <c r="AD508" i="12"/>
  <c r="V508" i="12"/>
  <c r="B508" i="12"/>
  <c r="AF507" i="12"/>
  <c r="AD507" i="12"/>
  <c r="V507" i="12"/>
  <c r="E507" i="12" a="1"/>
  <c r="E507" i="12" s="1"/>
  <c r="C507" i="12" a="1"/>
  <c r="C507" i="12" s="1"/>
  <c r="B507" i="12"/>
  <c r="AC507" i="12" s="1" a="1"/>
  <c r="AC507" i="12" s="1"/>
  <c r="AF506" i="12"/>
  <c r="AD506" i="12"/>
  <c r="AA506" i="12" a="1"/>
  <c r="AA506" i="12" s="1"/>
  <c r="V506" i="12"/>
  <c r="B506" i="12"/>
  <c r="X506" i="12" s="1"/>
  <c r="W506" i="12" s="1" a="1"/>
  <c r="W506" i="12" s="1"/>
  <c r="AF505" i="12"/>
  <c r="AD505" i="12"/>
  <c r="AC505" i="12" a="1"/>
  <c r="AC505" i="12" s="1"/>
  <c r="V505" i="12"/>
  <c r="B505" i="12"/>
  <c r="AB505" i="12" s="1" a="1"/>
  <c r="AB505" i="12" s="1"/>
  <c r="AF504" i="12"/>
  <c r="AD504" i="12"/>
  <c r="AC504" i="12" a="1"/>
  <c r="AC504" i="12" s="1"/>
  <c r="X504" i="12"/>
  <c r="W504" i="12" s="1" a="1"/>
  <c r="W504" i="12" s="1"/>
  <c r="V504" i="12"/>
  <c r="C504" i="12" a="1"/>
  <c r="C504" i="12" s="1"/>
  <c r="B504" i="12"/>
  <c r="AF503" i="12"/>
  <c r="AD503" i="12"/>
  <c r="V503" i="12"/>
  <c r="C503" i="12" a="1"/>
  <c r="C503" i="12" s="1"/>
  <c r="B503" i="12"/>
  <c r="AF502" i="12"/>
  <c r="AD502" i="12"/>
  <c r="V502" i="12"/>
  <c r="B502" i="12"/>
  <c r="AF501" i="12"/>
  <c r="AD501" i="12"/>
  <c r="AB501" i="12" a="1"/>
  <c r="AB501" i="12" s="1"/>
  <c r="V501" i="12"/>
  <c r="B501" i="12"/>
  <c r="AF500" i="12"/>
  <c r="AD500" i="12"/>
  <c r="V500" i="12"/>
  <c r="B500" i="12"/>
  <c r="D500" i="12" s="1" a="1"/>
  <c r="D500" i="12" s="1"/>
  <c r="AF499" i="12"/>
  <c r="AD499" i="12"/>
  <c r="AC499" i="12" a="1"/>
  <c r="AC499" i="12" s="1"/>
  <c r="AA499" i="12" a="1"/>
  <c r="AA499" i="12" s="1"/>
  <c r="Z499" i="12"/>
  <c r="V499" i="12"/>
  <c r="E499" i="12" a="1"/>
  <c r="E499" i="12" s="1"/>
  <c r="B499" i="12"/>
  <c r="AF498" i="12"/>
  <c r="AD498" i="12"/>
  <c r="AB498" i="12" a="1"/>
  <c r="AB498" i="12" s="1"/>
  <c r="X498" i="12"/>
  <c r="W498" i="12" s="1" a="1"/>
  <c r="W498" i="12" s="1"/>
  <c r="V498" i="12"/>
  <c r="E498" i="12" a="1"/>
  <c r="E498" i="12" s="1"/>
  <c r="D498" i="12" a="1"/>
  <c r="D498" i="12" s="1"/>
  <c r="B498" i="12"/>
  <c r="AC498" i="12" s="1" a="1"/>
  <c r="AC498" i="12" s="1"/>
  <c r="AF497" i="12"/>
  <c r="AD497" i="12"/>
  <c r="Z497" i="12"/>
  <c r="V497" i="12"/>
  <c r="E497" i="12" a="1"/>
  <c r="E497" i="12" s="1"/>
  <c r="B497" i="12"/>
  <c r="X497" i="12" s="1"/>
  <c r="W497" i="12" s="1" a="1"/>
  <c r="W497" i="12" s="1"/>
  <c r="AF496" i="12"/>
  <c r="AD496" i="12"/>
  <c r="Z496" i="12"/>
  <c r="V496" i="12"/>
  <c r="E496" i="12" a="1"/>
  <c r="E496" i="12" s="1"/>
  <c r="B496" i="12"/>
  <c r="X496" i="12" s="1"/>
  <c r="W496" i="12" s="1" a="1"/>
  <c r="W496" i="12" s="1"/>
  <c r="AF495" i="12"/>
  <c r="AD495" i="12"/>
  <c r="AC495" i="12" a="1"/>
  <c r="AC495" i="12" s="1"/>
  <c r="AA495" i="12" a="1"/>
  <c r="AA495" i="12" s="1"/>
  <c r="Z495" i="12"/>
  <c r="V495" i="12"/>
  <c r="B495" i="12"/>
  <c r="X495" i="12" s="1"/>
  <c r="W495" i="12" s="1" a="1"/>
  <c r="W495" i="12" s="1"/>
  <c r="AF494" i="12"/>
  <c r="AD494" i="12"/>
  <c r="AC494" i="12" a="1"/>
  <c r="AC494" i="12" s="1"/>
  <c r="AA494" i="12" a="1"/>
  <c r="AA494" i="12" s="1"/>
  <c r="X494" i="12"/>
  <c r="W494" i="12" s="1" a="1"/>
  <c r="W494" i="12" s="1"/>
  <c r="V494" i="12"/>
  <c r="E494" i="12" a="1"/>
  <c r="E494" i="12" s="1"/>
  <c r="C494" i="12" a="1"/>
  <c r="C494" i="12" s="1"/>
  <c r="B494" i="12"/>
  <c r="D494" i="12" s="1" a="1"/>
  <c r="D494" i="12" s="1"/>
  <c r="AF493" i="12"/>
  <c r="AD493" i="12"/>
  <c r="Z493" i="12"/>
  <c r="V493" i="12"/>
  <c r="C493" i="12" a="1"/>
  <c r="C493" i="12" s="1"/>
  <c r="B493" i="12"/>
  <c r="E493" i="12" s="1" a="1"/>
  <c r="E493" i="12" s="1"/>
  <c r="AF492" i="12"/>
  <c r="AD492" i="12"/>
  <c r="V492" i="12"/>
  <c r="B492" i="12"/>
  <c r="AF491" i="12"/>
  <c r="AD491" i="12"/>
  <c r="V491" i="12"/>
  <c r="B491" i="12"/>
  <c r="X491" i="12" s="1"/>
  <c r="W491" i="12" s="1" a="1"/>
  <c r="W491" i="12" s="1"/>
  <c r="AF490" i="12"/>
  <c r="AD490" i="12"/>
  <c r="V490" i="12"/>
  <c r="B490" i="12"/>
  <c r="AF489" i="12"/>
  <c r="AD489" i="12"/>
  <c r="AC489" i="12" a="1"/>
  <c r="AC489" i="12" s="1"/>
  <c r="V489" i="12"/>
  <c r="E489" i="12" a="1"/>
  <c r="E489" i="12" s="1"/>
  <c r="B489" i="12"/>
  <c r="D489" i="12" s="1" a="1"/>
  <c r="D489" i="12" s="1"/>
  <c r="AF488" i="12"/>
  <c r="AD488" i="12"/>
  <c r="AC488" i="12" a="1"/>
  <c r="AC488" i="12" s="1"/>
  <c r="V488" i="12"/>
  <c r="B488" i="12"/>
  <c r="E488" i="12" s="1" a="1"/>
  <c r="E488" i="12" s="1"/>
  <c r="AF487" i="12"/>
  <c r="AD487" i="12"/>
  <c r="AC487" i="12" a="1"/>
  <c r="AC487" i="12" s="1"/>
  <c r="X487" i="12"/>
  <c r="W487" i="12" s="1" a="1"/>
  <c r="W487" i="12" s="1"/>
  <c r="V487" i="12"/>
  <c r="E487" i="12" a="1"/>
  <c r="E487" i="12" s="1"/>
  <c r="C487" i="12" a="1"/>
  <c r="C487" i="12" s="1"/>
  <c r="B487" i="12"/>
  <c r="AB487" i="12" s="1" a="1"/>
  <c r="AB487" i="12" s="1"/>
  <c r="AF486" i="12"/>
  <c r="AD486" i="12"/>
  <c r="V486" i="12"/>
  <c r="B486" i="12"/>
  <c r="AF485" i="12"/>
  <c r="AD485" i="12"/>
  <c r="AC485" i="12" a="1"/>
  <c r="AC485" i="12" s="1"/>
  <c r="AB485" i="12" a="1"/>
  <c r="AB485" i="12" s="1"/>
  <c r="V485" i="12"/>
  <c r="D485" i="12" a="1"/>
  <c r="D485" i="12" s="1"/>
  <c r="C485" i="12" a="1"/>
  <c r="C485" i="12" s="1"/>
  <c r="B485" i="12"/>
  <c r="AA485" i="12" s="1" a="1"/>
  <c r="AA485" i="12" s="1"/>
  <c r="AF484" i="12"/>
  <c r="AD484" i="12"/>
  <c r="Z484" i="12"/>
  <c r="V484" i="12"/>
  <c r="D484" i="12" a="1"/>
  <c r="D484" i="12" s="1"/>
  <c r="B484" i="12"/>
  <c r="C484" i="12" s="1" a="1"/>
  <c r="C484" i="12" s="1"/>
  <c r="AF483" i="12"/>
  <c r="AD483" i="12"/>
  <c r="AB483" i="12" a="1"/>
  <c r="AB483" i="12" s="1"/>
  <c r="AA483" i="12" a="1"/>
  <c r="AA483" i="12" s="1"/>
  <c r="X483" i="12"/>
  <c r="W483" i="12" s="1" a="1"/>
  <c r="W483" i="12" s="1"/>
  <c r="V483" i="12"/>
  <c r="E483" i="12" a="1"/>
  <c r="E483" i="12" s="1"/>
  <c r="B483" i="12"/>
  <c r="Z483" i="12" s="1"/>
  <c r="AF482" i="12"/>
  <c r="AD482" i="12"/>
  <c r="AB482" i="12" a="1"/>
  <c r="AB482" i="12" s="1"/>
  <c r="V482" i="12"/>
  <c r="D482" i="12" a="1"/>
  <c r="D482" i="12" s="1"/>
  <c r="B482" i="12"/>
  <c r="AA482" i="12" s="1" a="1"/>
  <c r="AA482" i="12" s="1"/>
  <c r="AF481" i="12"/>
  <c r="AD481" i="12"/>
  <c r="V481" i="12"/>
  <c r="B481" i="12"/>
  <c r="AB481" i="12" s="1" a="1"/>
  <c r="AB481" i="12" s="1"/>
  <c r="AF480" i="12"/>
  <c r="AD480" i="12"/>
  <c r="V480" i="12"/>
  <c r="B480" i="12"/>
  <c r="AF479" i="12"/>
  <c r="AD479" i="12"/>
  <c r="AC479" i="12" a="1"/>
  <c r="AC479" i="12" s="1"/>
  <c r="AB479" i="12" a="1"/>
  <c r="AB479" i="12" s="1"/>
  <c r="AA479" i="12" a="1"/>
  <c r="AA479" i="12" s="1"/>
  <c r="Z479" i="12"/>
  <c r="X479" i="12"/>
  <c r="W479" i="12" s="1" a="1"/>
  <c r="W479" i="12" s="1"/>
  <c r="V479" i="12"/>
  <c r="E479" i="12" a="1"/>
  <c r="E479" i="12" s="1"/>
  <c r="D479" i="12" a="1"/>
  <c r="D479" i="12" s="1"/>
  <c r="C479" i="12" a="1"/>
  <c r="C479" i="12"/>
  <c r="B479" i="12"/>
  <c r="AF478" i="12"/>
  <c r="AD478" i="12"/>
  <c r="V478" i="12"/>
  <c r="B478" i="12"/>
  <c r="C478" i="12" s="1" a="1"/>
  <c r="C478" i="12" s="1"/>
  <c r="AF477" i="12"/>
  <c r="AD477" i="12"/>
  <c r="V477" i="12"/>
  <c r="B477" i="12"/>
  <c r="Z477" i="12" s="1"/>
  <c r="AF476" i="12"/>
  <c r="AD476" i="12"/>
  <c r="AB476" i="12" a="1"/>
  <c r="AB476" i="12"/>
  <c r="Z476" i="12"/>
  <c r="V476" i="12"/>
  <c r="D476" i="12" a="1"/>
  <c r="D476" i="12" s="1"/>
  <c r="B476" i="12"/>
  <c r="AA476" i="12" s="1" a="1"/>
  <c r="AA476" i="12" s="1"/>
  <c r="AF475" i="12"/>
  <c r="AD475" i="12"/>
  <c r="AA475" i="12" a="1"/>
  <c r="AA475" i="12" s="1"/>
  <c r="V475" i="12"/>
  <c r="E475" i="12" a="1"/>
  <c r="E475" i="12" s="1"/>
  <c r="C475" i="12" a="1"/>
  <c r="C475" i="12" s="1"/>
  <c r="B475" i="12"/>
  <c r="AB475" i="12" s="1" a="1"/>
  <c r="AB475" i="12" s="1"/>
  <c r="AF474" i="12"/>
  <c r="AD474" i="12"/>
  <c r="AB474" i="12" a="1"/>
  <c r="AB474" i="12" s="1"/>
  <c r="V474" i="12"/>
  <c r="B474" i="12"/>
  <c r="AF473" i="12"/>
  <c r="AD473" i="12"/>
  <c r="AC473" i="12" a="1"/>
  <c r="AC473" i="12" s="1"/>
  <c r="AA473" i="12" a="1"/>
  <c r="AA473" i="12" s="1"/>
  <c r="Z473" i="12"/>
  <c r="X473" i="12"/>
  <c r="W473" i="12" s="1" a="1"/>
  <c r="W473" i="12" s="1"/>
  <c r="V473" i="12"/>
  <c r="D473" i="12" a="1"/>
  <c r="D473" i="12" s="1"/>
  <c r="C473" i="12" a="1"/>
  <c r="C473" i="12" s="1"/>
  <c r="B473" i="12"/>
  <c r="E473" i="12" s="1" a="1"/>
  <c r="E473" i="12" s="1"/>
  <c r="AF472" i="12"/>
  <c r="AD472" i="12"/>
  <c r="V472" i="12"/>
  <c r="D472" i="12" a="1"/>
  <c r="D472" i="12" s="1"/>
  <c r="B472" i="12"/>
  <c r="AF471" i="12"/>
  <c r="AD471" i="12"/>
  <c r="V471" i="12"/>
  <c r="B471" i="12"/>
  <c r="Z471" i="12" s="1"/>
  <c r="AF470" i="12"/>
  <c r="AD470" i="12"/>
  <c r="AC470" i="12" a="1"/>
  <c r="AC470" i="12" s="1"/>
  <c r="AB470" i="12" a="1"/>
  <c r="AB470" i="12" s="1"/>
  <c r="V470" i="12"/>
  <c r="B470" i="12"/>
  <c r="D470" i="12" s="1" a="1"/>
  <c r="D470" i="12" s="1"/>
  <c r="AF469" i="12"/>
  <c r="AD469" i="12"/>
  <c r="AA469" i="12" a="1"/>
  <c r="AA469" i="12" s="1"/>
  <c r="V469" i="12"/>
  <c r="E469" i="12" a="1"/>
  <c r="E469" i="12" s="1"/>
  <c r="B469" i="12"/>
  <c r="AF468" i="12"/>
  <c r="AD468" i="12"/>
  <c r="V468" i="12"/>
  <c r="C468" i="12" a="1"/>
  <c r="C468" i="12" s="1"/>
  <c r="B468" i="12"/>
  <c r="AB468" i="12" s="1" a="1"/>
  <c r="AB468" i="12" s="1"/>
  <c r="AF467" i="12"/>
  <c r="AD467" i="12"/>
  <c r="AC467" i="12" a="1"/>
  <c r="AC467" i="12" s="1"/>
  <c r="AB467" i="12" a="1"/>
  <c r="AB467" i="12" s="1"/>
  <c r="AA467" i="12" a="1"/>
  <c r="AA467" i="12" s="1"/>
  <c r="Z467" i="12"/>
  <c r="V467" i="12"/>
  <c r="E467" i="12" a="1"/>
  <c r="E467" i="12" s="1"/>
  <c r="D467" i="12" a="1"/>
  <c r="D467" i="12" s="1"/>
  <c r="C467" i="12" a="1"/>
  <c r="C467" i="12" s="1"/>
  <c r="B467" i="12"/>
  <c r="X467" i="12" s="1"/>
  <c r="W467" i="12" s="1" a="1"/>
  <c r="W467" i="12" s="1"/>
  <c r="AF466" i="12"/>
  <c r="AD466" i="12"/>
  <c r="V466" i="12"/>
  <c r="D466" i="12" a="1"/>
  <c r="D466" i="12" s="1"/>
  <c r="B466" i="12"/>
  <c r="AB466" i="12" s="1" a="1"/>
  <c r="AB466" i="12" s="1"/>
  <c r="AF465" i="12"/>
  <c r="AD465" i="12"/>
  <c r="V465" i="12"/>
  <c r="E465" i="12" a="1"/>
  <c r="E465" i="12" s="1"/>
  <c r="C465" i="12" a="1"/>
  <c r="C465" i="12" s="1"/>
  <c r="B465" i="12"/>
  <c r="Z465" i="12" s="1"/>
  <c r="AF464" i="12"/>
  <c r="AD464" i="12"/>
  <c r="V464" i="12"/>
  <c r="B464" i="12"/>
  <c r="Z464" i="12" s="1"/>
  <c r="AF463" i="12"/>
  <c r="AD463" i="12"/>
  <c r="V463" i="12"/>
  <c r="B463" i="12"/>
  <c r="AC463" i="12" s="1" a="1"/>
  <c r="AC463" i="12" s="1"/>
  <c r="AF462" i="12"/>
  <c r="AD462" i="12"/>
  <c r="V462" i="12"/>
  <c r="B462" i="12"/>
  <c r="X462" i="12" s="1"/>
  <c r="W462" i="12" s="1" a="1"/>
  <c r="W462" i="12" s="1"/>
  <c r="AF461" i="12"/>
  <c r="AD461" i="12"/>
  <c r="AC461" i="12" a="1"/>
  <c r="AC461" i="12" s="1"/>
  <c r="AB461" i="12" a="1"/>
  <c r="AB461" i="12" s="1"/>
  <c r="AA461" i="12" a="1"/>
  <c r="AA461" i="12" s="1"/>
  <c r="Z461" i="12"/>
  <c r="X461" i="12"/>
  <c r="W461" i="12" s="1" a="1"/>
  <c r="W461" i="12" s="1"/>
  <c r="V461" i="12"/>
  <c r="E461" i="12" a="1"/>
  <c r="E461" i="12" s="1"/>
  <c r="D461" i="12" a="1"/>
  <c r="D461" i="12" s="1"/>
  <c r="C461" i="12" a="1"/>
  <c r="C461" i="12"/>
  <c r="B461" i="12"/>
  <c r="AF460" i="12"/>
  <c r="AD460" i="12"/>
  <c r="AA460" i="12" a="1"/>
  <c r="AA460" i="12" s="1"/>
  <c r="Z460" i="12"/>
  <c r="V460" i="12"/>
  <c r="E460" i="12" a="1"/>
  <c r="E460" i="12" s="1"/>
  <c r="B460" i="12"/>
  <c r="AF459" i="12"/>
  <c r="AD459" i="12"/>
  <c r="V459" i="12"/>
  <c r="E459" i="12" a="1"/>
  <c r="E459" i="12" s="1"/>
  <c r="B459" i="12"/>
  <c r="AF458" i="12"/>
  <c r="AD458" i="12"/>
  <c r="V458" i="12"/>
  <c r="C458" i="12" a="1"/>
  <c r="C458" i="12" s="1"/>
  <c r="B458" i="12"/>
  <c r="AF457" i="12"/>
  <c r="AD457" i="12"/>
  <c r="Z457" i="12"/>
  <c r="V457" i="12"/>
  <c r="E457" i="12" a="1"/>
  <c r="E457" i="12" s="1"/>
  <c r="D457" i="12" a="1"/>
  <c r="D457" i="12" s="1"/>
  <c r="B457" i="12"/>
  <c r="X457" i="12" s="1"/>
  <c r="W457" i="12" s="1" a="1"/>
  <c r="W457" i="12" s="1"/>
  <c r="AF456" i="12"/>
  <c r="AD456" i="12"/>
  <c r="V456" i="12"/>
  <c r="B456" i="12"/>
  <c r="C456" i="12" s="1" a="1"/>
  <c r="C456" i="12" s="1"/>
  <c r="AF455" i="12"/>
  <c r="AD455" i="12"/>
  <c r="Z455" i="12"/>
  <c r="V455" i="12"/>
  <c r="B455" i="12"/>
  <c r="X455" i="12" s="1"/>
  <c r="W455" i="12" s="1" a="1"/>
  <c r="W455" i="12" s="1"/>
  <c r="AF454" i="12"/>
  <c r="AD454" i="12"/>
  <c r="W454" i="12" a="1"/>
  <c r="W454" i="12" s="1"/>
  <c r="V454" i="12"/>
  <c r="D454" i="12" a="1"/>
  <c r="D454" i="12" s="1"/>
  <c r="B454" i="12"/>
  <c r="X454" i="12" s="1"/>
  <c r="AF453" i="12"/>
  <c r="AD453" i="12"/>
  <c r="V453" i="12"/>
  <c r="B453" i="12"/>
  <c r="X453" i="12" s="1"/>
  <c r="W453" i="12" s="1" a="1"/>
  <c r="W453" i="12" s="1"/>
  <c r="AF452" i="12"/>
  <c r="AD452" i="12"/>
  <c r="V452" i="12"/>
  <c r="B452" i="12"/>
  <c r="X452" i="12" s="1"/>
  <c r="W452" i="12" s="1" a="1"/>
  <c r="W452" i="12" s="1"/>
  <c r="AF451" i="12"/>
  <c r="AD451" i="12"/>
  <c r="V451" i="12"/>
  <c r="B451" i="12"/>
  <c r="X451" i="12" s="1"/>
  <c r="W451" i="12" s="1" a="1"/>
  <c r="W451" i="12" s="1"/>
  <c r="AF450" i="12"/>
  <c r="AD450" i="12"/>
  <c r="AC450" i="12" a="1"/>
  <c r="AC450" i="12" s="1"/>
  <c r="AB450" i="12" a="1"/>
  <c r="AB450" i="12" s="1"/>
  <c r="AA450" i="12" a="1"/>
  <c r="AA450" i="12" s="1"/>
  <c r="V450" i="12"/>
  <c r="E450" i="12" a="1"/>
  <c r="E450" i="12" s="1"/>
  <c r="B450" i="12"/>
  <c r="X450" i="12" s="1"/>
  <c r="W450" i="12" s="1" a="1"/>
  <c r="W450" i="12" s="1"/>
  <c r="AF449" i="12"/>
  <c r="AD449" i="12"/>
  <c r="V449" i="12"/>
  <c r="B449" i="12"/>
  <c r="AC449" i="12" s="1" a="1"/>
  <c r="AC449" i="12" s="1"/>
  <c r="AF448" i="12"/>
  <c r="AD448" i="12"/>
  <c r="AB448" i="12" a="1"/>
  <c r="AB448" i="12" s="1"/>
  <c r="Z448" i="12"/>
  <c r="V448" i="12"/>
  <c r="D448" i="12" a="1"/>
  <c r="D448" i="12" s="1"/>
  <c r="C448" i="12" a="1"/>
  <c r="C448" i="12" s="1"/>
  <c r="B448" i="12"/>
  <c r="X448" i="12" s="1"/>
  <c r="W448" i="12" s="1" a="1"/>
  <c r="W448" i="12" s="1"/>
  <c r="AF447" i="12"/>
  <c r="AD447" i="12"/>
  <c r="AC447" i="12" a="1"/>
  <c r="AC447" i="12" s="1"/>
  <c r="AB447" i="12" a="1"/>
  <c r="AB447" i="12" s="1"/>
  <c r="AA447" i="12" a="1"/>
  <c r="AA447" i="12" s="1"/>
  <c r="Z447" i="12"/>
  <c r="V447" i="12"/>
  <c r="C447" i="12" a="1"/>
  <c r="C447" i="12" s="1"/>
  <c r="B447" i="12"/>
  <c r="X447" i="12" s="1"/>
  <c r="W447" i="12" s="1" a="1"/>
  <c r="W447" i="12" s="1"/>
  <c r="AF446" i="12"/>
  <c r="AD446" i="12"/>
  <c r="AB446" i="12" a="1"/>
  <c r="AB446" i="12" s="1"/>
  <c r="AA446" i="12" a="1"/>
  <c r="AA446" i="12" s="1"/>
  <c r="W446" i="12" a="1"/>
  <c r="W446" i="12" s="1"/>
  <c r="V446" i="12"/>
  <c r="C446" i="12" a="1"/>
  <c r="C446" i="12" s="1"/>
  <c r="B446" i="12"/>
  <c r="X446" i="12" s="1"/>
  <c r="AF445" i="12"/>
  <c r="AD445" i="12"/>
  <c r="V445" i="12"/>
  <c r="C445" i="12" a="1"/>
  <c r="C445" i="12" s="1"/>
  <c r="B445" i="12"/>
  <c r="X445" i="12" s="1"/>
  <c r="W445" i="12" s="1" a="1"/>
  <c r="W445" i="12" s="1"/>
  <c r="AF444" i="12"/>
  <c r="AD444" i="12"/>
  <c r="V444" i="12"/>
  <c r="B444" i="12"/>
  <c r="AF443" i="12"/>
  <c r="AD443" i="12"/>
  <c r="AC443" i="12" a="1"/>
  <c r="AC443" i="12" s="1"/>
  <c r="AA443" i="12" a="1"/>
  <c r="AA443" i="12" s="1"/>
  <c r="Z443" i="12"/>
  <c r="X443" i="12"/>
  <c r="W443" i="12" s="1" a="1"/>
  <c r="W443" i="12" s="1"/>
  <c r="V443" i="12"/>
  <c r="E443" i="12" a="1"/>
  <c r="E443" i="12" s="1"/>
  <c r="D443" i="12" a="1"/>
  <c r="D443" i="12"/>
  <c r="C443" i="12" a="1"/>
  <c r="C443" i="12" s="1"/>
  <c r="B443" i="12"/>
  <c r="AB443" i="12" s="1" a="1"/>
  <c r="AB443" i="12" s="1"/>
  <c r="AF442" i="12"/>
  <c r="AD442" i="12"/>
  <c r="AC442" i="12" a="1"/>
  <c r="AC442" i="12" s="1"/>
  <c r="V442" i="12"/>
  <c r="B442" i="12"/>
  <c r="X442" i="12" s="1"/>
  <c r="W442" i="12" s="1" a="1"/>
  <c r="W442" i="12" s="1"/>
  <c r="AF441" i="12"/>
  <c r="AD441" i="12"/>
  <c r="AB441" i="12" a="1"/>
  <c r="AB441" i="12" s="1"/>
  <c r="V441" i="12"/>
  <c r="D441" i="12" a="1"/>
  <c r="D441" i="12" s="1"/>
  <c r="B441" i="12"/>
  <c r="X441" i="12" s="1"/>
  <c r="W441" i="12" s="1" a="1"/>
  <c r="W441" i="12" s="1"/>
  <c r="AF440" i="12"/>
  <c r="AD440" i="12"/>
  <c r="V440" i="12"/>
  <c r="B440" i="12"/>
  <c r="C440" i="12" s="1" a="1"/>
  <c r="C440" i="12" s="1"/>
  <c r="AF439" i="12"/>
  <c r="AD439" i="12"/>
  <c r="V439" i="12"/>
  <c r="E439" i="12" a="1"/>
  <c r="E439" i="12" s="1"/>
  <c r="D439" i="12" a="1"/>
  <c r="D439" i="12" s="1"/>
  <c r="C439" i="12" a="1"/>
  <c r="C439" i="12" s="1"/>
  <c r="B439" i="12"/>
  <c r="X439" i="12" s="1"/>
  <c r="W439" i="12" s="1" a="1"/>
  <c r="W439" i="12" s="1"/>
  <c r="AF438" i="12"/>
  <c r="AD438" i="12"/>
  <c r="X438" i="12"/>
  <c r="W438" i="12" s="1" a="1"/>
  <c r="W438" i="12" s="1"/>
  <c r="V438" i="12"/>
  <c r="E438" i="12" a="1"/>
  <c r="E438" i="12" s="1"/>
  <c r="B438" i="12"/>
  <c r="C438" i="12" s="1" a="1"/>
  <c r="C438" i="12" s="1"/>
  <c r="AF437" i="12"/>
  <c r="AD437" i="12"/>
  <c r="Z437" i="12"/>
  <c r="V437" i="12"/>
  <c r="B437" i="12"/>
  <c r="X437" i="12" s="1"/>
  <c r="W437" i="12" s="1" a="1"/>
  <c r="W437" i="12" s="1"/>
  <c r="AF436" i="12"/>
  <c r="AD436" i="12"/>
  <c r="V436" i="12"/>
  <c r="B436" i="12"/>
  <c r="X436" i="12" s="1"/>
  <c r="W436" i="12" s="1" a="1"/>
  <c r="W436" i="12" s="1"/>
  <c r="AF435" i="12"/>
  <c r="AD435" i="12"/>
  <c r="Z435" i="12"/>
  <c r="V435" i="12"/>
  <c r="E435" i="12" a="1"/>
  <c r="E435" i="12" s="1"/>
  <c r="D435" i="12" a="1"/>
  <c r="D435" i="12" s="1"/>
  <c r="C435" i="12" a="1"/>
  <c r="C435" i="12" s="1"/>
  <c r="B435" i="12"/>
  <c r="X435" i="12" s="1"/>
  <c r="W435" i="12" s="1" a="1"/>
  <c r="W435" i="12" s="1"/>
  <c r="AF434" i="12"/>
  <c r="AD434" i="12"/>
  <c r="W434" i="12" a="1"/>
  <c r="W434" i="12" s="1"/>
  <c r="V434" i="12"/>
  <c r="B434" i="12"/>
  <c r="X434" i="12" s="1"/>
  <c r="AF433" i="12"/>
  <c r="AD433" i="12"/>
  <c r="AA433" i="12" a="1"/>
  <c r="AA433" i="12" s="1"/>
  <c r="Z433" i="12"/>
  <c r="V433" i="12"/>
  <c r="D433" i="12" a="1"/>
  <c r="D433" i="12" s="1"/>
  <c r="B433" i="12"/>
  <c r="X433" i="12" s="1"/>
  <c r="W433" i="12" s="1" a="1"/>
  <c r="W433" i="12" s="1"/>
  <c r="AF432" i="12"/>
  <c r="AD432" i="12"/>
  <c r="AC432" i="12" a="1"/>
  <c r="AC432" i="12" s="1"/>
  <c r="AB432" i="12" a="1"/>
  <c r="AB432" i="12" s="1"/>
  <c r="AA432" i="12" a="1"/>
  <c r="AA432" i="12" s="1"/>
  <c r="Z432" i="12"/>
  <c r="V432" i="12"/>
  <c r="E432" i="12" a="1"/>
  <c r="E432" i="12" s="1"/>
  <c r="B432" i="12"/>
  <c r="X432" i="12" s="1"/>
  <c r="W432" i="12" s="1" a="1"/>
  <c r="W432" i="12" s="1"/>
  <c r="AF431" i="12"/>
  <c r="AD431" i="12"/>
  <c r="V431" i="12"/>
  <c r="B431" i="12"/>
  <c r="AC431" i="12" s="1" a="1"/>
  <c r="AC431" i="12" s="1"/>
  <c r="AF430" i="12"/>
  <c r="AD430" i="12"/>
  <c r="V430" i="12"/>
  <c r="B430" i="12"/>
  <c r="X430" i="12" s="1"/>
  <c r="W430" i="12" s="1" a="1"/>
  <c r="W430" i="12" s="1"/>
  <c r="AF429" i="12"/>
  <c r="AD429" i="12"/>
  <c r="AC429" i="12" a="1"/>
  <c r="AC429" i="12" s="1"/>
  <c r="AA429" i="12" a="1"/>
  <c r="AA429" i="12" s="1"/>
  <c r="Z429" i="12"/>
  <c r="W429" i="12" a="1"/>
  <c r="W429" i="12" s="1"/>
  <c r="V429" i="12"/>
  <c r="E429" i="12" a="1"/>
  <c r="E429" i="12" s="1"/>
  <c r="C429" i="12" a="1"/>
  <c r="C429" i="12" s="1"/>
  <c r="B429" i="12"/>
  <c r="X429" i="12" s="1"/>
  <c r="AF428" i="12"/>
  <c r="AD428" i="12"/>
  <c r="AC428" i="12" a="1"/>
  <c r="AC428" i="12" s="1"/>
  <c r="AB428" i="12" a="1"/>
  <c r="AB428" i="12" s="1"/>
  <c r="V428" i="12"/>
  <c r="B428" i="12"/>
  <c r="X428" i="12" s="1"/>
  <c r="W428" i="12" s="1" a="1"/>
  <c r="W428" i="12" s="1"/>
  <c r="AF427" i="12"/>
  <c r="AD427" i="12"/>
  <c r="AC427" i="12" a="1"/>
  <c r="AC427" i="12" s="1"/>
  <c r="Z427" i="12"/>
  <c r="W427" i="12" a="1"/>
  <c r="W427" i="12" s="1"/>
  <c r="V427" i="12"/>
  <c r="B427" i="12"/>
  <c r="X427" i="12" s="1"/>
  <c r="AF426" i="12"/>
  <c r="AD426" i="12"/>
  <c r="V426" i="12"/>
  <c r="B426" i="12"/>
  <c r="AF425" i="12"/>
  <c r="AD425" i="12"/>
  <c r="AC425" i="12" a="1"/>
  <c r="AC425" i="12" s="1"/>
  <c r="V425" i="12"/>
  <c r="C425" i="12" a="1"/>
  <c r="C425" i="12" s="1"/>
  <c r="B425" i="12"/>
  <c r="AB425" i="12" s="1" a="1"/>
  <c r="AB425" i="12" s="1"/>
  <c r="AF424" i="12"/>
  <c r="AD424" i="12"/>
  <c r="Z424" i="12"/>
  <c r="V424" i="12"/>
  <c r="B424" i="12"/>
  <c r="X424" i="12" s="1"/>
  <c r="W424" i="12" s="1" a="1"/>
  <c r="W424" i="12" s="1"/>
  <c r="AF423" i="12"/>
  <c r="AD423" i="12"/>
  <c r="V423" i="12"/>
  <c r="B423" i="12"/>
  <c r="X423" i="12" s="1"/>
  <c r="W423" i="12" s="1" a="1"/>
  <c r="W423" i="12" s="1"/>
  <c r="AF422" i="12"/>
  <c r="AD422" i="12"/>
  <c r="V422" i="12"/>
  <c r="B422" i="12"/>
  <c r="C422" i="12" s="1" a="1"/>
  <c r="C422" i="12" s="1"/>
  <c r="AF421" i="12"/>
  <c r="AD421" i="12"/>
  <c r="AC421" i="12" a="1"/>
  <c r="AC421" i="12" s="1"/>
  <c r="AA421" i="12" a="1"/>
  <c r="AA421" i="12" s="1"/>
  <c r="Z421" i="12"/>
  <c r="W421" i="12" a="1"/>
  <c r="W421" i="12" s="1"/>
  <c r="V421" i="12"/>
  <c r="E421" i="12" a="1"/>
  <c r="E421" i="12" s="1"/>
  <c r="C421" i="12" a="1"/>
  <c r="C421" i="12" s="1"/>
  <c r="B421" i="12"/>
  <c r="X421" i="12" s="1"/>
  <c r="AF420" i="12"/>
  <c r="AD420" i="12"/>
  <c r="V420" i="12"/>
  <c r="B420" i="12"/>
  <c r="C420" i="12" s="1" a="1"/>
  <c r="C420" i="12" s="1"/>
  <c r="AF419" i="12"/>
  <c r="AD419" i="12"/>
  <c r="Z419" i="12"/>
  <c r="V419" i="12"/>
  <c r="B419" i="12"/>
  <c r="X419" i="12" s="1"/>
  <c r="W419" i="12" s="1" a="1"/>
  <c r="W419" i="12" s="1"/>
  <c r="AF418" i="12"/>
  <c r="AD418" i="12"/>
  <c r="AC418" i="12" a="1"/>
  <c r="AC418" i="12" s="1"/>
  <c r="AA418" i="12" a="1"/>
  <c r="AA418" i="12" s="1"/>
  <c r="W418" i="12" a="1"/>
  <c r="W418" i="12" s="1"/>
  <c r="V418" i="12"/>
  <c r="D418" i="12" a="1"/>
  <c r="D418" i="12" s="1"/>
  <c r="B418" i="12"/>
  <c r="X418" i="12" s="1"/>
  <c r="AF417" i="12"/>
  <c r="AD417" i="12"/>
  <c r="V417" i="12"/>
  <c r="D417" i="12" a="1"/>
  <c r="D417" i="12" s="1"/>
  <c r="B417" i="12"/>
  <c r="X417" i="12" s="1"/>
  <c r="W417" i="12" s="1" a="1"/>
  <c r="W417" i="12" s="1"/>
  <c r="AF416" i="12"/>
  <c r="AD416" i="12"/>
  <c r="W416" i="12" a="1"/>
  <c r="W416" i="12" s="1"/>
  <c r="V416" i="12"/>
  <c r="B416" i="12"/>
  <c r="X416" i="12" s="1"/>
  <c r="AF415" i="12"/>
  <c r="AD415" i="12"/>
  <c r="V415" i="12"/>
  <c r="B415" i="12"/>
  <c r="X415" i="12" s="1"/>
  <c r="W415" i="12" s="1" a="1"/>
  <c r="W415" i="12" s="1"/>
  <c r="AF414" i="12"/>
  <c r="AD414" i="12"/>
  <c r="V414" i="12"/>
  <c r="C414" i="12" a="1"/>
  <c r="C414" i="12" s="1"/>
  <c r="B414" i="12"/>
  <c r="X414" i="12" s="1"/>
  <c r="W414" i="12" s="1" a="1"/>
  <c r="W414" i="12" s="1"/>
  <c r="AF413" i="12"/>
  <c r="AD413" i="12"/>
  <c r="V413" i="12"/>
  <c r="B413" i="12"/>
  <c r="AF412" i="12"/>
  <c r="AD412" i="12"/>
  <c r="AA412" i="12" a="1"/>
  <c r="AA412" i="12" s="1"/>
  <c r="Z412" i="12"/>
  <c r="W412" i="12" a="1"/>
  <c r="W412" i="12" s="1"/>
  <c r="V412" i="12"/>
  <c r="E412" i="12" a="1"/>
  <c r="E412" i="12" s="1"/>
  <c r="B412" i="12"/>
  <c r="X412" i="12" s="1"/>
  <c r="AF411" i="12"/>
  <c r="AD411" i="12"/>
  <c r="AC411" i="12" a="1"/>
  <c r="AC411" i="12" s="1"/>
  <c r="AA411" i="12" a="1"/>
  <c r="AA411" i="12" s="1"/>
  <c r="Z411" i="12"/>
  <c r="W411" i="12" a="1"/>
  <c r="W411" i="12" s="1"/>
  <c r="V411" i="12"/>
  <c r="C411" i="12" a="1"/>
  <c r="C411" i="12" s="1"/>
  <c r="B411" i="12"/>
  <c r="X411" i="12" s="1"/>
  <c r="AF410" i="12"/>
  <c r="AD410" i="12"/>
  <c r="AB410" i="12" a="1"/>
  <c r="AB410" i="12" s="1"/>
  <c r="AA410" i="12" a="1"/>
  <c r="AA410" i="12" s="1"/>
  <c r="W410" i="12" a="1"/>
  <c r="W410" i="12" s="1"/>
  <c r="V410" i="12"/>
  <c r="E410" i="12" a="1"/>
  <c r="E410" i="12" s="1"/>
  <c r="C410" i="12" a="1"/>
  <c r="C410" i="12" s="1"/>
  <c r="B410" i="12"/>
  <c r="X410" i="12" s="1"/>
  <c r="AF409" i="12"/>
  <c r="AD409" i="12"/>
  <c r="AC409" i="12" a="1"/>
  <c r="AC409" i="12" s="1"/>
  <c r="Z409" i="12"/>
  <c r="V409" i="12"/>
  <c r="E409" i="12" a="1"/>
  <c r="E409" i="12" s="1"/>
  <c r="C409" i="12" a="1"/>
  <c r="C409" i="12" s="1"/>
  <c r="B409" i="12"/>
  <c r="X409" i="12" s="1"/>
  <c r="W409" i="12" s="1" a="1"/>
  <c r="W409" i="12" s="1"/>
  <c r="AF408" i="12"/>
  <c r="AD408" i="12"/>
  <c r="V408" i="12"/>
  <c r="B408" i="12"/>
  <c r="AF407" i="12"/>
  <c r="AD407" i="12"/>
  <c r="AB407" i="12" a="1"/>
  <c r="AB407" i="12" s="1"/>
  <c r="AA407" i="12" a="1"/>
  <c r="AA407" i="12" s="1"/>
  <c r="Z407" i="12"/>
  <c r="X407" i="12"/>
  <c r="W407" i="12" s="1" a="1"/>
  <c r="W407" i="12" s="1"/>
  <c r="V407" i="12"/>
  <c r="E407" i="12" a="1"/>
  <c r="E407" i="12" s="1"/>
  <c r="D407" i="12" a="1"/>
  <c r="D407" i="12" s="1"/>
  <c r="C407" i="12" a="1"/>
  <c r="C407" i="12" s="1"/>
  <c r="B407" i="12"/>
  <c r="AC407" i="12" s="1" a="1"/>
  <c r="AC407" i="12" s="1"/>
  <c r="AF406" i="12"/>
  <c r="AD406" i="12"/>
  <c r="AC406" i="12" a="1"/>
  <c r="AC406" i="12" s="1"/>
  <c r="AA406" i="12" a="1"/>
  <c r="AA406" i="12" s="1"/>
  <c r="Z406" i="12"/>
  <c r="V406" i="12"/>
  <c r="B406" i="12"/>
  <c r="X406" i="12" s="1"/>
  <c r="W406" i="12" s="1" a="1"/>
  <c r="W406" i="12" s="1"/>
  <c r="AF405" i="12"/>
  <c r="AD405" i="12"/>
  <c r="AB405" i="12" a="1"/>
  <c r="AB405" i="12" s="1"/>
  <c r="V405" i="12"/>
  <c r="D405" i="12" a="1"/>
  <c r="D405" i="12" s="1"/>
  <c r="B405" i="12"/>
  <c r="X405" i="12" s="1"/>
  <c r="W405" i="12" s="1" a="1"/>
  <c r="W405" i="12" s="1"/>
  <c r="AF404" i="12"/>
  <c r="AD404" i="12"/>
  <c r="V404" i="12"/>
  <c r="B404" i="12"/>
  <c r="AF403" i="12"/>
  <c r="AD403" i="12"/>
  <c r="W403" i="12" a="1"/>
  <c r="W403" i="12" s="1"/>
  <c r="V403" i="12"/>
  <c r="E403" i="12" a="1"/>
  <c r="E403" i="12"/>
  <c r="D403" i="12" a="1"/>
  <c r="D403" i="12" s="1"/>
  <c r="B403" i="12"/>
  <c r="X403" i="12" s="1"/>
  <c r="AF402" i="12"/>
  <c r="AD402" i="12"/>
  <c r="Z402" i="12"/>
  <c r="V402" i="12"/>
  <c r="E402" i="12" a="1"/>
  <c r="E402" i="12" s="1"/>
  <c r="D402" i="12" a="1"/>
  <c r="D402" i="12" s="1"/>
  <c r="C402" i="12" a="1"/>
  <c r="C402" i="12" s="1"/>
  <c r="B402" i="12"/>
  <c r="AB402" i="12" s="1" a="1"/>
  <c r="AB402" i="12" s="1"/>
  <c r="AF401" i="12"/>
  <c r="AD401" i="12"/>
  <c r="AC401" i="12" a="1"/>
  <c r="AC401" i="12" s="1"/>
  <c r="Z401" i="12"/>
  <c r="X401" i="12"/>
  <c r="W401" i="12" s="1" a="1"/>
  <c r="W401" i="12" s="1"/>
  <c r="V401" i="12"/>
  <c r="E401" i="12" a="1"/>
  <c r="E401" i="12" s="1"/>
  <c r="D401" i="12" a="1"/>
  <c r="D401" i="12" s="1"/>
  <c r="C401" i="12" a="1"/>
  <c r="C401" i="12" s="1"/>
  <c r="B401" i="12"/>
  <c r="AB401" i="12" s="1" a="1"/>
  <c r="AB401" i="12" s="1"/>
  <c r="AF400" i="12"/>
  <c r="AD400" i="12"/>
  <c r="V400" i="12"/>
  <c r="D400" i="12" a="1"/>
  <c r="D400" i="12" s="1"/>
  <c r="B400" i="12"/>
  <c r="AB400" i="12" s="1" a="1"/>
  <c r="AB400" i="12" s="1"/>
  <c r="AF399" i="12"/>
  <c r="AD399" i="12"/>
  <c r="AC399" i="12" a="1"/>
  <c r="AC399" i="12" s="1"/>
  <c r="AB399" i="12" a="1"/>
  <c r="AB399" i="12" s="1"/>
  <c r="AA399" i="12" a="1"/>
  <c r="AA399" i="12" s="1"/>
  <c r="Z399" i="12"/>
  <c r="X399" i="12"/>
  <c r="W399" i="12" a="1"/>
  <c r="W399" i="12" s="1"/>
  <c r="V399" i="12"/>
  <c r="E399" i="12" a="1"/>
  <c r="E399" i="12" s="1"/>
  <c r="D399" i="12" a="1"/>
  <c r="D399" i="12" s="1"/>
  <c r="C399" i="12" a="1"/>
  <c r="C399" i="12" s="1"/>
  <c r="B399" i="12"/>
  <c r="AF398" i="12"/>
  <c r="AD398" i="12"/>
  <c r="AC398" i="12" a="1"/>
  <c r="AC398" i="12" s="1"/>
  <c r="AB398" i="12" a="1"/>
  <c r="AB398" i="12" s="1"/>
  <c r="V398" i="12"/>
  <c r="D398" i="12" a="1"/>
  <c r="D398" i="12" s="1"/>
  <c r="B398" i="12"/>
  <c r="E398" i="12" s="1" a="1"/>
  <c r="E398" i="12" s="1"/>
  <c r="AF397" i="12"/>
  <c r="AD397" i="12"/>
  <c r="AC397" i="12" a="1"/>
  <c r="AC397" i="12" s="1"/>
  <c r="Z397" i="12"/>
  <c r="W397" i="12" a="1"/>
  <c r="W397" i="12" s="1"/>
  <c r="V397" i="12"/>
  <c r="D397" i="12" a="1"/>
  <c r="D397" i="12" s="1"/>
  <c r="B397" i="12"/>
  <c r="X397" i="12" s="1"/>
  <c r="AF396" i="12"/>
  <c r="AD396" i="12"/>
  <c r="V396" i="12"/>
  <c r="B396" i="12"/>
  <c r="AA396" i="12" s="1" a="1"/>
  <c r="AA396" i="12" s="1"/>
  <c r="AF395" i="12"/>
  <c r="AD395" i="12"/>
  <c r="V395" i="12"/>
  <c r="B395" i="12"/>
  <c r="AF394" i="12"/>
  <c r="AD394" i="12"/>
  <c r="X394" i="12"/>
  <c r="W394" i="12" s="1" a="1"/>
  <c r="W394" i="12" s="1"/>
  <c r="V394" i="12"/>
  <c r="D394" i="12" a="1"/>
  <c r="D394" i="12" s="1"/>
  <c r="C394" i="12" a="1"/>
  <c r="C394" i="12" s="1"/>
  <c r="B394" i="12"/>
  <c r="E394" i="12" s="1" a="1"/>
  <c r="E394" i="12" s="1"/>
  <c r="AF393" i="12"/>
  <c r="AD393" i="12"/>
  <c r="V393" i="12"/>
  <c r="B393" i="12"/>
  <c r="AA393" i="12" s="1" a="1"/>
  <c r="AA393" i="12" s="1"/>
  <c r="AF392" i="12"/>
  <c r="AD392" i="12"/>
  <c r="AC392" i="12" a="1"/>
  <c r="AC392" i="12" s="1"/>
  <c r="AB392" i="12" a="1"/>
  <c r="AB392" i="12" s="1"/>
  <c r="AA392" i="12" a="1"/>
  <c r="AA392" i="12" s="1"/>
  <c r="W392" i="12" a="1"/>
  <c r="W392" i="12" s="1"/>
  <c r="V392" i="12"/>
  <c r="E392" i="12" a="1"/>
  <c r="E392" i="12" s="1"/>
  <c r="D392" i="12" a="1"/>
  <c r="D392" i="12" s="1"/>
  <c r="C392" i="12" a="1"/>
  <c r="C392" i="12" s="1"/>
  <c r="B392" i="12"/>
  <c r="X392" i="12" s="1"/>
  <c r="AF391" i="12"/>
  <c r="AD391" i="12"/>
  <c r="V391" i="12"/>
  <c r="B391" i="12"/>
  <c r="AF390" i="12"/>
  <c r="AD390" i="12"/>
  <c r="AB390" i="12" a="1"/>
  <c r="AB390" i="12" s="1"/>
  <c r="X390" i="12"/>
  <c r="W390" i="12" s="1" a="1"/>
  <c r="W390" i="12" s="1"/>
  <c r="V390" i="12"/>
  <c r="E390" i="12" a="1"/>
  <c r="E390" i="12" s="1"/>
  <c r="B390" i="12"/>
  <c r="D390" i="12" s="1" a="1"/>
  <c r="D390" i="12" s="1"/>
  <c r="AF389" i="12"/>
  <c r="AD389" i="12"/>
  <c r="V389" i="12"/>
  <c r="B389" i="12"/>
  <c r="AF388" i="12"/>
  <c r="AD388" i="12"/>
  <c r="V388" i="12"/>
  <c r="B388" i="12"/>
  <c r="AF387" i="12"/>
  <c r="AD387" i="12"/>
  <c r="X387" i="12"/>
  <c r="W387" i="12" s="1" a="1"/>
  <c r="W387" i="12" s="1"/>
  <c r="V387" i="12"/>
  <c r="D387" i="12" a="1"/>
  <c r="D387" i="12" s="1"/>
  <c r="C387" i="12" a="1"/>
  <c r="C387" i="12" s="1"/>
  <c r="B387" i="12"/>
  <c r="AA387" i="12" s="1" a="1"/>
  <c r="AA387" i="12" s="1"/>
  <c r="AF386" i="12"/>
  <c r="AD386" i="12"/>
  <c r="Z386" i="12"/>
  <c r="V386" i="12"/>
  <c r="E386" i="12" a="1"/>
  <c r="E386" i="12" s="1"/>
  <c r="D386" i="12" a="1"/>
  <c r="D386" i="12" s="1"/>
  <c r="B386" i="12"/>
  <c r="AB386" i="12" s="1" a="1"/>
  <c r="AB386" i="12" s="1"/>
  <c r="AF385" i="12"/>
  <c r="AD385" i="12"/>
  <c r="V385" i="12"/>
  <c r="B385" i="12"/>
  <c r="AF384" i="12"/>
  <c r="AD384" i="12"/>
  <c r="AC384" i="12" a="1"/>
  <c r="AC384" i="12" s="1"/>
  <c r="AA384" i="12" a="1"/>
  <c r="AA384" i="12" s="1"/>
  <c r="Z384" i="12"/>
  <c r="V384" i="12"/>
  <c r="B384" i="12"/>
  <c r="AF383" i="12"/>
  <c r="AD383" i="12"/>
  <c r="AC383" i="12" a="1"/>
  <c r="AC383" i="12" s="1"/>
  <c r="AA383" i="12" a="1"/>
  <c r="AA383" i="12" s="1"/>
  <c r="V383" i="12"/>
  <c r="B383" i="12"/>
  <c r="Z383" i="12" s="1"/>
  <c r="AF382" i="12"/>
  <c r="AD382" i="12"/>
  <c r="AB382" i="12" a="1"/>
  <c r="AB382" i="12" s="1"/>
  <c r="V382" i="12"/>
  <c r="E382" i="12" a="1"/>
  <c r="E382" i="12" s="1"/>
  <c r="B382" i="12"/>
  <c r="AF381" i="12"/>
  <c r="AD381" i="12"/>
  <c r="V381" i="12"/>
  <c r="C381" i="12" a="1"/>
  <c r="C381" i="12" s="1"/>
  <c r="B381" i="12"/>
  <c r="AB381" i="12" s="1" a="1"/>
  <c r="AB381" i="12" s="1"/>
  <c r="AF380" i="12"/>
  <c r="AD380" i="12"/>
  <c r="Z380" i="12"/>
  <c r="X380" i="12"/>
  <c r="W380" i="12" s="1" a="1"/>
  <c r="W380" i="12" s="1"/>
  <c r="V380" i="12"/>
  <c r="E380" i="12" a="1"/>
  <c r="E380" i="12" s="1"/>
  <c r="B380" i="12"/>
  <c r="AB380" i="12" s="1" a="1"/>
  <c r="AB380" i="12" s="1"/>
  <c r="AF379" i="12"/>
  <c r="AD379" i="12"/>
  <c r="AB379" i="12" a="1"/>
  <c r="AB379" i="12" s="1"/>
  <c r="Z379" i="12"/>
  <c r="V379" i="12"/>
  <c r="E379" i="12" a="1"/>
  <c r="E379" i="12" s="1"/>
  <c r="D379" i="12" a="1"/>
  <c r="D379" i="12" s="1"/>
  <c r="C379" i="12" a="1"/>
  <c r="C379" i="12" s="1"/>
  <c r="B379" i="12"/>
  <c r="AC379" i="12" s="1" a="1"/>
  <c r="AC379" i="12" s="1"/>
  <c r="AF378" i="12"/>
  <c r="AD378" i="12"/>
  <c r="AB378" i="12" a="1"/>
  <c r="AB378" i="12" s="1"/>
  <c r="AA378" i="12" a="1"/>
  <c r="AA378" i="12" s="1"/>
  <c r="Z378" i="12"/>
  <c r="X378" i="12"/>
  <c r="W378" i="12" s="1" a="1"/>
  <c r="W378" i="12" s="1"/>
  <c r="V378" i="12"/>
  <c r="D378" i="12" a="1"/>
  <c r="D378" i="12" s="1"/>
  <c r="C378" i="12" a="1"/>
  <c r="C378" i="12" s="1"/>
  <c r="B378" i="12"/>
  <c r="E378" i="12" s="1" a="1"/>
  <c r="E378" i="12" s="1"/>
  <c r="AF377" i="12"/>
  <c r="AD377" i="12"/>
  <c r="AC377" i="12" a="1"/>
  <c r="AC377" i="12" s="1"/>
  <c r="AA377" i="12" a="1"/>
  <c r="AA377" i="12" s="1"/>
  <c r="Z377" i="12"/>
  <c r="W377" i="12" a="1"/>
  <c r="W377" i="12" s="1"/>
  <c r="V377" i="12"/>
  <c r="E377" i="12" a="1"/>
  <c r="E377" i="12" s="1"/>
  <c r="D377" i="12" a="1"/>
  <c r="D377" i="12" s="1"/>
  <c r="B377" i="12"/>
  <c r="X377" i="12" s="1"/>
  <c r="AF376" i="12"/>
  <c r="AD376" i="12"/>
  <c r="V376" i="12"/>
  <c r="B376" i="12"/>
  <c r="X376" i="12" s="1"/>
  <c r="W376" i="12" s="1" a="1"/>
  <c r="W376" i="12" s="1"/>
  <c r="AF375" i="12"/>
  <c r="AD375" i="12"/>
  <c r="V375" i="12"/>
  <c r="B375" i="12"/>
  <c r="AC375" i="12" s="1" a="1"/>
  <c r="AC375" i="12" s="1"/>
  <c r="AF374" i="12"/>
  <c r="AD374" i="12"/>
  <c r="V374" i="12"/>
  <c r="D374" i="12" a="1"/>
  <c r="D374" i="12"/>
  <c r="C374" i="12" a="1"/>
  <c r="C374" i="12" s="1"/>
  <c r="B374" i="12"/>
  <c r="AF373" i="12"/>
  <c r="AD373" i="12"/>
  <c r="V373" i="12"/>
  <c r="B373" i="12"/>
  <c r="X373" i="12" s="1"/>
  <c r="W373" i="12" s="1" a="1"/>
  <c r="W373" i="12" s="1"/>
  <c r="AF372" i="12"/>
  <c r="AD372" i="12"/>
  <c r="AC372" i="12" a="1"/>
  <c r="AC372" i="12" s="1"/>
  <c r="X372" i="12"/>
  <c r="W372" i="12" a="1"/>
  <c r="W372" i="12" s="1"/>
  <c r="V372" i="12"/>
  <c r="D372" i="12" a="1"/>
  <c r="D372" i="12" s="1"/>
  <c r="B372" i="12"/>
  <c r="E372" i="12" s="1" a="1"/>
  <c r="E372" i="12" s="1"/>
  <c r="AF371" i="12"/>
  <c r="AD371" i="12"/>
  <c r="AB371" i="12" a="1"/>
  <c r="AB371" i="12" s="1"/>
  <c r="AA371" i="12" a="1"/>
  <c r="AA371" i="12" s="1"/>
  <c r="Z371" i="12"/>
  <c r="V371" i="12"/>
  <c r="E371" i="12" a="1"/>
  <c r="E371" i="12" s="1"/>
  <c r="B371" i="12"/>
  <c r="X371" i="12" s="1"/>
  <c r="W371" i="12" s="1" a="1"/>
  <c r="W371" i="12" s="1"/>
  <c r="AF370" i="12"/>
  <c r="AD370" i="12"/>
  <c r="AB370" i="12" a="1"/>
  <c r="AB370" i="12" s="1"/>
  <c r="V370" i="12"/>
  <c r="C370" i="12" a="1"/>
  <c r="C370" i="12" s="1"/>
  <c r="B370" i="12"/>
  <c r="X370" i="12" s="1"/>
  <c r="W370" i="12" s="1" a="1"/>
  <c r="W370" i="12" s="1"/>
  <c r="AF369" i="12"/>
  <c r="AD369" i="12"/>
  <c r="V369" i="12"/>
  <c r="D369" i="12" a="1"/>
  <c r="D369" i="12" s="1"/>
  <c r="C369" i="12" a="1"/>
  <c r="C369" i="12" s="1"/>
  <c r="B369" i="12"/>
  <c r="AF368" i="12"/>
  <c r="AD368" i="12"/>
  <c r="V368" i="12"/>
  <c r="E368" i="12" a="1"/>
  <c r="E368" i="12" s="1"/>
  <c r="B368" i="12"/>
  <c r="AF367" i="12"/>
  <c r="AD367" i="12"/>
  <c r="AA367" i="12" a="1"/>
  <c r="AA367" i="12" s="1"/>
  <c r="V367" i="12"/>
  <c r="E367" i="12" a="1"/>
  <c r="E367" i="12" s="1"/>
  <c r="C367" i="12" a="1"/>
  <c r="C367" i="12"/>
  <c r="B367" i="12"/>
  <c r="Z367" i="12" s="1"/>
  <c r="AF366" i="12"/>
  <c r="AD366" i="12"/>
  <c r="V366" i="12"/>
  <c r="B366" i="12"/>
  <c r="AF365" i="12"/>
  <c r="AD365" i="12"/>
  <c r="W365" i="12" a="1"/>
  <c r="W365" i="12" s="1"/>
  <c r="V365" i="12"/>
  <c r="D365" i="12" a="1"/>
  <c r="D365" i="12" s="1"/>
  <c r="B365" i="12"/>
  <c r="X365" i="12" s="1"/>
  <c r="AF364" i="12"/>
  <c r="AD364" i="12"/>
  <c r="AC364" i="12" a="1"/>
  <c r="AC364" i="12" s="1"/>
  <c r="V364" i="12"/>
  <c r="B364" i="12"/>
  <c r="AF363" i="12"/>
  <c r="AD363" i="12"/>
  <c r="Z363" i="12"/>
  <c r="V363" i="12"/>
  <c r="B363" i="12"/>
  <c r="X363" i="12" s="1"/>
  <c r="W363" i="12" s="1" a="1"/>
  <c r="W363" i="12" s="1"/>
  <c r="AF362" i="12"/>
  <c r="AD362" i="12"/>
  <c r="V362" i="12"/>
  <c r="B362" i="12"/>
  <c r="E362" i="12" s="1" a="1"/>
  <c r="E362" i="12" s="1"/>
  <c r="AF361" i="12"/>
  <c r="AD361" i="12"/>
  <c r="AA361" i="12" a="1"/>
  <c r="AA361" i="12" s="1"/>
  <c r="V361" i="12"/>
  <c r="D361" i="12" a="1"/>
  <c r="D361" i="12" s="1"/>
  <c r="B361" i="12"/>
  <c r="AC361" i="12" s="1" a="1"/>
  <c r="AC361" i="12" s="1"/>
  <c r="AF360" i="12"/>
  <c r="AD360" i="12"/>
  <c r="V360" i="12"/>
  <c r="B360" i="12"/>
  <c r="Z360" i="12" s="1"/>
  <c r="AF359" i="12"/>
  <c r="AD359" i="12"/>
  <c r="AB359" i="12" a="1"/>
  <c r="AB359" i="12" s="1"/>
  <c r="Z359" i="12"/>
  <c r="V359" i="12"/>
  <c r="B359" i="12"/>
  <c r="AC359" i="12" s="1" a="1"/>
  <c r="AC359" i="12" s="1"/>
  <c r="AF358" i="12"/>
  <c r="AD358" i="12"/>
  <c r="AC358" i="12" a="1"/>
  <c r="AC358" i="12" s="1"/>
  <c r="AB358" i="12" a="1"/>
  <c r="AB358" i="12"/>
  <c r="V358" i="12"/>
  <c r="E358" i="12" a="1"/>
  <c r="E358" i="12" s="1"/>
  <c r="D358" i="12" a="1"/>
  <c r="D358" i="12" s="1"/>
  <c r="C358" i="12" a="1"/>
  <c r="C358" i="12" s="1"/>
  <c r="B358" i="12"/>
  <c r="X358" i="12" s="1"/>
  <c r="W358" i="12" s="1" a="1"/>
  <c r="W358" i="12" s="1"/>
  <c r="AF357" i="12"/>
  <c r="AD357" i="12"/>
  <c r="AB357" i="12" a="1"/>
  <c r="AB357" i="12" s="1"/>
  <c r="V357" i="12"/>
  <c r="C357" i="12" a="1"/>
  <c r="C357" i="12"/>
  <c r="B357" i="12"/>
  <c r="AA357" i="12" s="1" a="1"/>
  <c r="AA357" i="12" s="1"/>
  <c r="AF356" i="12"/>
  <c r="AD356" i="12"/>
  <c r="AA356" i="12" a="1"/>
  <c r="AA356" i="12" s="1"/>
  <c r="X356" i="12"/>
  <c r="W356" i="12" s="1" a="1"/>
  <c r="W356" i="12" s="1"/>
  <c r="V356" i="12"/>
  <c r="E356" i="12" a="1"/>
  <c r="E356" i="12" s="1"/>
  <c r="B356" i="12"/>
  <c r="Z356" i="12" s="1"/>
  <c r="AF355" i="12"/>
  <c r="AD355" i="12"/>
  <c r="AC355" i="12" a="1"/>
  <c r="AC355" i="12" s="1"/>
  <c r="X355" i="12"/>
  <c r="W355" i="12" s="1" a="1"/>
  <c r="W355" i="12" s="1"/>
  <c r="V355" i="12"/>
  <c r="E355" i="12" a="1"/>
  <c r="E355" i="12" s="1"/>
  <c r="C355" i="12" a="1"/>
  <c r="C355" i="12" s="1"/>
  <c r="B355" i="12"/>
  <c r="AB355" i="12" s="1" a="1"/>
  <c r="AB355" i="12" s="1"/>
  <c r="AF354" i="12"/>
  <c r="AD354" i="12"/>
  <c r="AB354" i="12" a="1"/>
  <c r="AB354" i="12" s="1"/>
  <c r="AA354" i="12" a="1"/>
  <c r="AA354" i="12" s="1"/>
  <c r="X354" i="12"/>
  <c r="W354" i="12" a="1"/>
  <c r="W354" i="12" s="1"/>
  <c r="V354" i="12"/>
  <c r="D354" i="12" a="1"/>
  <c r="D354" i="12" s="1"/>
  <c r="C354" i="12" a="1"/>
  <c r="C354" i="12" s="1"/>
  <c r="B354" i="12"/>
  <c r="Z354" i="12" s="1"/>
  <c r="AF353" i="12"/>
  <c r="AD353" i="12"/>
  <c r="V353" i="12"/>
  <c r="B353" i="12"/>
  <c r="Z353" i="12" s="1"/>
  <c r="AF352" i="12"/>
  <c r="AD352" i="12"/>
  <c r="W352" i="12" a="1"/>
  <c r="W352" i="12" s="1"/>
  <c r="V352" i="12"/>
  <c r="B352" i="12"/>
  <c r="X352" i="12" s="1"/>
  <c r="AF351" i="12"/>
  <c r="AD351" i="12"/>
  <c r="AB351" i="12" a="1"/>
  <c r="AB351" i="12" s="1"/>
  <c r="V351" i="12"/>
  <c r="D351" i="12" a="1"/>
  <c r="D351" i="12" s="1"/>
  <c r="C351" i="12" a="1"/>
  <c r="C351" i="12" s="1"/>
  <c r="B351" i="12"/>
  <c r="AF350" i="12"/>
  <c r="AD350" i="12"/>
  <c r="V350" i="12"/>
  <c r="B350" i="12"/>
  <c r="AF349" i="12"/>
  <c r="AD349" i="12"/>
  <c r="V349" i="12"/>
  <c r="B349" i="12"/>
  <c r="AF348" i="12"/>
  <c r="AD348" i="12"/>
  <c r="AC348" i="12" a="1"/>
  <c r="AC348" i="12" s="1"/>
  <c r="AB348" i="12" a="1"/>
  <c r="AB348" i="12"/>
  <c r="V348" i="12"/>
  <c r="D348" i="12" a="1"/>
  <c r="D348" i="12" s="1"/>
  <c r="B348" i="12"/>
  <c r="AA348" i="12" s="1" a="1"/>
  <c r="AA348" i="12" s="1"/>
  <c r="AF347" i="12"/>
  <c r="AD347" i="12"/>
  <c r="V347" i="12"/>
  <c r="B347" i="12"/>
  <c r="AF346" i="12"/>
  <c r="AD346" i="12"/>
  <c r="V346" i="12"/>
  <c r="B346" i="12"/>
  <c r="AF345" i="12"/>
  <c r="AD345" i="12"/>
  <c r="AB345" i="12" a="1"/>
  <c r="AB345" i="12" s="1"/>
  <c r="V345" i="12"/>
  <c r="B345" i="12"/>
  <c r="AF344" i="12"/>
  <c r="AD344" i="12"/>
  <c r="V344" i="12"/>
  <c r="B344" i="12"/>
  <c r="AF343" i="12"/>
  <c r="AD343" i="12"/>
  <c r="AC343" i="12" a="1"/>
  <c r="AC343" i="12" s="1"/>
  <c r="V343" i="12"/>
  <c r="E343" i="12" a="1"/>
  <c r="E343" i="12" s="1"/>
  <c r="D343" i="12" a="1"/>
  <c r="D343" i="12" s="1"/>
  <c r="C343" i="12" a="1"/>
  <c r="C343" i="12" s="1"/>
  <c r="B343" i="12"/>
  <c r="AF342" i="12"/>
  <c r="AD342" i="12"/>
  <c r="V342" i="12"/>
  <c r="C342" i="12" a="1"/>
  <c r="C342" i="12" s="1"/>
  <c r="B342" i="12"/>
  <c r="AF341" i="12"/>
  <c r="AD341" i="12"/>
  <c r="Z341" i="12"/>
  <c r="V341" i="12"/>
  <c r="D341" i="12" a="1"/>
  <c r="D341" i="12" s="1"/>
  <c r="B341" i="12"/>
  <c r="AB341" i="12" s="1" a="1"/>
  <c r="AB341" i="12" s="1"/>
  <c r="AF340" i="12"/>
  <c r="AD340" i="12"/>
  <c r="V340" i="12"/>
  <c r="B340" i="12"/>
  <c r="AF339" i="12"/>
  <c r="AD339" i="12"/>
  <c r="Z339" i="12"/>
  <c r="V339" i="12"/>
  <c r="E339" i="12" a="1"/>
  <c r="E339" i="12" s="1"/>
  <c r="B339" i="12"/>
  <c r="AB339" i="12" s="1" a="1"/>
  <c r="AB339" i="12" s="1"/>
  <c r="AF338" i="12"/>
  <c r="AD338" i="12"/>
  <c r="AB338" i="12" a="1"/>
  <c r="AB338" i="12" s="1"/>
  <c r="V338" i="12"/>
  <c r="B338" i="12"/>
  <c r="AA338" i="12" s="1" a="1"/>
  <c r="AA338" i="12" s="1"/>
  <c r="AF337" i="12"/>
  <c r="AD337" i="12"/>
  <c r="V337" i="12"/>
  <c r="B337" i="12"/>
  <c r="AF336" i="12"/>
  <c r="AD336" i="12"/>
  <c r="AC336" i="12" a="1"/>
  <c r="AC336" i="12" s="1"/>
  <c r="Z336" i="12"/>
  <c r="X336" i="12"/>
  <c r="W336" i="12" s="1" a="1"/>
  <c r="W336" i="12" s="1"/>
  <c r="V336" i="12"/>
  <c r="E336" i="12"/>
  <c r="D336" i="12" a="1"/>
  <c r="D336" i="12" s="1"/>
  <c r="C336" i="12" a="1"/>
  <c r="C336" i="12"/>
  <c r="B336" i="12"/>
  <c r="E336" i="12" s="1" a="1"/>
  <c r="AF335" i="12"/>
  <c r="AD335" i="12"/>
  <c r="Z335" i="12"/>
  <c r="V335" i="12"/>
  <c r="B335" i="12"/>
  <c r="AA335" i="12" s="1" a="1"/>
  <c r="AA335" i="12" s="1"/>
  <c r="AF334" i="12"/>
  <c r="AD334" i="12"/>
  <c r="AB334" i="12" a="1"/>
  <c r="AB334" i="12" s="1"/>
  <c r="V334" i="12"/>
  <c r="B334" i="12"/>
  <c r="C334" i="12" s="1" a="1"/>
  <c r="C334" i="12" s="1"/>
  <c r="AF333" i="12"/>
  <c r="AD333" i="12"/>
  <c r="AC333" i="12" a="1"/>
  <c r="AC333" i="12" s="1"/>
  <c r="AB333" i="12" a="1"/>
  <c r="AB333" i="12" s="1"/>
  <c r="Z333" i="12"/>
  <c r="V333" i="12"/>
  <c r="E333" i="12" a="1"/>
  <c r="E333" i="12" s="1"/>
  <c r="B333" i="12"/>
  <c r="AF332" i="12"/>
  <c r="AD332" i="12"/>
  <c r="AC332" i="12" a="1"/>
  <c r="AC332" i="12" s="1"/>
  <c r="AB332" i="12" a="1"/>
  <c r="AB332" i="12" s="1"/>
  <c r="AA332" i="12" a="1"/>
  <c r="AA332" i="12" s="1"/>
  <c r="X332" i="12"/>
  <c r="W332" i="12" s="1" a="1"/>
  <c r="W332" i="12" s="1"/>
  <c r="V332" i="12"/>
  <c r="E332" i="12" a="1"/>
  <c r="E332" i="12" s="1"/>
  <c r="D332" i="12" a="1"/>
  <c r="D332" i="12" s="1"/>
  <c r="B332" i="12"/>
  <c r="AF331" i="12"/>
  <c r="AD331" i="12"/>
  <c r="V331" i="12"/>
  <c r="B331" i="12"/>
  <c r="AF330" i="12"/>
  <c r="AD330" i="12"/>
  <c r="AC330" i="12" a="1"/>
  <c r="AC330" i="12" s="1"/>
  <c r="AA330" i="12" a="1"/>
  <c r="AA330" i="12" s="1"/>
  <c r="Z330" i="12"/>
  <c r="X330" i="12"/>
  <c r="W330" i="12" s="1" a="1"/>
  <c r="W330" i="12" s="1"/>
  <c r="V330" i="12"/>
  <c r="D330" i="12" a="1"/>
  <c r="D330" i="12" s="1"/>
  <c r="C330" i="12" a="1"/>
  <c r="C330" i="12"/>
  <c r="B330" i="12"/>
  <c r="E330" i="12" s="1" a="1"/>
  <c r="E330" i="12" s="1"/>
  <c r="AF329" i="12"/>
  <c r="AD329" i="12"/>
  <c r="AC329" i="12" a="1"/>
  <c r="AC329" i="12" s="1"/>
  <c r="AB329" i="12" a="1"/>
  <c r="AB329" i="12" s="1"/>
  <c r="AA329" i="12" a="1"/>
  <c r="AA329" i="12" s="1"/>
  <c r="V329" i="12"/>
  <c r="E329" i="12" a="1"/>
  <c r="E329" i="12" s="1"/>
  <c r="D329" i="12" a="1"/>
  <c r="D329" i="12" s="1"/>
  <c r="B329" i="12"/>
  <c r="C329" i="12" s="1" a="1"/>
  <c r="C329" i="12" s="1"/>
  <c r="AF328" i="12"/>
  <c r="AD328" i="12"/>
  <c r="AC328" i="12" a="1"/>
  <c r="AC328" i="12" s="1"/>
  <c r="AA328" i="12" a="1"/>
  <c r="AA328" i="12" s="1"/>
  <c r="V328" i="12"/>
  <c r="E328" i="12" a="1"/>
  <c r="E328" i="12" s="1"/>
  <c r="D328" i="12" a="1"/>
  <c r="D328" i="12" s="1"/>
  <c r="B328" i="12"/>
  <c r="Z328" i="12" s="1"/>
  <c r="AF327" i="12"/>
  <c r="AD327" i="12"/>
  <c r="AC327" i="12" a="1"/>
  <c r="AC327" i="12" s="1"/>
  <c r="AB327" i="12" a="1"/>
  <c r="AB327" i="12" s="1"/>
  <c r="AA327" i="12" a="1"/>
  <c r="AA327" i="12" s="1"/>
  <c r="V327" i="12"/>
  <c r="C327" i="12" a="1"/>
  <c r="C327" i="12" s="1"/>
  <c r="B327" i="12"/>
  <c r="Z327" i="12" s="1"/>
  <c r="AF326" i="12"/>
  <c r="AD326" i="12"/>
  <c r="AC326" i="12" a="1"/>
  <c r="AC326" i="12" s="1"/>
  <c r="AB326" i="12" a="1"/>
  <c r="AB326" i="12" s="1"/>
  <c r="X326" i="12"/>
  <c r="W326" i="12" s="1" a="1"/>
  <c r="W326" i="12" s="1"/>
  <c r="V326" i="12"/>
  <c r="B326" i="12"/>
  <c r="AA326" i="12" s="1" a="1"/>
  <c r="AA326" i="12" s="1"/>
  <c r="AF325" i="12"/>
  <c r="AD325" i="12"/>
  <c r="X325" i="12"/>
  <c r="W325" i="12" s="1" a="1"/>
  <c r="W325" i="12" s="1"/>
  <c r="V325" i="12"/>
  <c r="B325" i="12"/>
  <c r="AC325" i="12" s="1" a="1"/>
  <c r="AC325" i="12" s="1"/>
  <c r="AF324" i="12"/>
  <c r="AD324" i="12"/>
  <c r="V324" i="12"/>
  <c r="B324" i="12"/>
  <c r="X324" i="12" s="1"/>
  <c r="W324" i="12" s="1" a="1"/>
  <c r="W324" i="12" s="1"/>
  <c r="AF323" i="12"/>
  <c r="AD323" i="12"/>
  <c r="AC323" i="12" a="1"/>
  <c r="AC323" i="12" s="1"/>
  <c r="AA323" i="12" a="1"/>
  <c r="AA323" i="12" s="1"/>
  <c r="V323" i="12"/>
  <c r="E323" i="12" a="1"/>
  <c r="E323" i="12" s="1"/>
  <c r="D323" i="12" a="1"/>
  <c r="D323" i="12" s="1"/>
  <c r="B323" i="12"/>
  <c r="AF322" i="12"/>
  <c r="AD322" i="12"/>
  <c r="AB322" i="12" a="1"/>
  <c r="AB322" i="12" s="1"/>
  <c r="AA322" i="12" a="1"/>
  <c r="AA322" i="12" s="1"/>
  <c r="V322" i="12"/>
  <c r="E322" i="12" a="1"/>
  <c r="E322" i="12" s="1"/>
  <c r="B322" i="12"/>
  <c r="AF321" i="12"/>
  <c r="AD321" i="12"/>
  <c r="V321" i="12"/>
  <c r="B321" i="12"/>
  <c r="AF320" i="12"/>
  <c r="AD320" i="12"/>
  <c r="AB320" i="12" a="1"/>
  <c r="AB320" i="12" s="1"/>
  <c r="V320" i="12"/>
  <c r="B320" i="12"/>
  <c r="AF319" i="12"/>
  <c r="AD319" i="12"/>
  <c r="V319" i="12"/>
  <c r="B319" i="12"/>
  <c r="X319" i="12" s="1"/>
  <c r="W319" i="12" s="1" a="1"/>
  <c r="W319" i="12" s="1"/>
  <c r="AF318" i="12"/>
  <c r="AD318" i="12"/>
  <c r="V318" i="12"/>
  <c r="C318" i="12" a="1"/>
  <c r="C318" i="12" s="1"/>
  <c r="B318" i="12"/>
  <c r="X318" i="12" s="1"/>
  <c r="W318" i="12" s="1" a="1"/>
  <c r="W318" i="12" s="1"/>
  <c r="AF317" i="12"/>
  <c r="AD317" i="12"/>
  <c r="V317" i="12"/>
  <c r="C317" i="12" a="1"/>
  <c r="C317" i="12" s="1"/>
  <c r="B317" i="12"/>
  <c r="AF316" i="12"/>
  <c r="AD316" i="12"/>
  <c r="AA316" i="12" a="1"/>
  <c r="AA316" i="12" s="1"/>
  <c r="Z316" i="12"/>
  <c r="V316" i="12"/>
  <c r="E316" i="12" a="1"/>
  <c r="E316" i="12" s="1"/>
  <c r="D316" i="12" a="1"/>
  <c r="D316" i="12" s="1"/>
  <c r="B316" i="12"/>
  <c r="C316" i="12" s="1" a="1"/>
  <c r="C316" i="12" s="1"/>
  <c r="AF315" i="12"/>
  <c r="AD315" i="12"/>
  <c r="AC315" i="12" a="1"/>
  <c r="AC315" i="12" s="1"/>
  <c r="V315" i="12"/>
  <c r="E315" i="12" a="1"/>
  <c r="E315" i="12" s="1"/>
  <c r="B315" i="12"/>
  <c r="AF314" i="12"/>
  <c r="AD314" i="12"/>
  <c r="AB314" i="12" a="1"/>
  <c r="AB314" i="12" s="1"/>
  <c r="V314" i="12"/>
  <c r="B314" i="12"/>
  <c r="AA314" i="12" s="1" a="1"/>
  <c r="AA314" i="12" s="1"/>
  <c r="AF313" i="12"/>
  <c r="AD313" i="12"/>
  <c r="V313" i="12"/>
  <c r="B313" i="12"/>
  <c r="X313" i="12" s="1"/>
  <c r="W313" i="12" s="1" a="1"/>
  <c r="W313" i="12" s="1"/>
  <c r="AF312" i="12"/>
  <c r="AD312" i="12"/>
  <c r="V312" i="12"/>
  <c r="C312" i="12" a="1"/>
  <c r="C312" i="12" s="1"/>
  <c r="B312" i="12"/>
  <c r="X312" i="12" s="1"/>
  <c r="W312" i="12" s="1" a="1"/>
  <c r="W312" i="12" s="1"/>
  <c r="AF311" i="12"/>
  <c r="AD311" i="12"/>
  <c r="V311" i="12"/>
  <c r="C311" i="12" a="1"/>
  <c r="C311" i="12" s="1"/>
  <c r="B311" i="12"/>
  <c r="AF310" i="12"/>
  <c r="AD310" i="12"/>
  <c r="AA310" i="12" a="1"/>
  <c r="AA310" i="12" s="1"/>
  <c r="Z310" i="12"/>
  <c r="V310" i="12"/>
  <c r="E310" i="12" a="1"/>
  <c r="E310" i="12" s="1"/>
  <c r="D310" i="12" a="1"/>
  <c r="D310" i="12" s="1"/>
  <c r="B310" i="12"/>
  <c r="C310" i="12" s="1" a="1"/>
  <c r="C310" i="12" s="1"/>
  <c r="AF309" i="12"/>
  <c r="AD309" i="12"/>
  <c r="AC309" i="12" a="1"/>
  <c r="AC309" i="12" s="1"/>
  <c r="AB309" i="12" a="1"/>
  <c r="AB309" i="12" s="1"/>
  <c r="V309" i="12"/>
  <c r="E309" i="12" a="1"/>
  <c r="E309" i="12" s="1"/>
  <c r="B309" i="12"/>
  <c r="Z309" i="12" s="1"/>
  <c r="AF308" i="12"/>
  <c r="AD308" i="12"/>
  <c r="V308" i="12"/>
  <c r="B308" i="12"/>
  <c r="AF307" i="12"/>
  <c r="AD307" i="12"/>
  <c r="V307" i="12"/>
  <c r="B307" i="12"/>
  <c r="X307" i="12" s="1"/>
  <c r="W307" i="12" s="1" a="1"/>
  <c r="W307" i="12" s="1"/>
  <c r="AF306" i="12"/>
  <c r="AD306" i="12"/>
  <c r="V306" i="12"/>
  <c r="B306" i="12"/>
  <c r="AF305" i="12"/>
  <c r="AD305" i="12"/>
  <c r="AC305" i="12" a="1"/>
  <c r="AC305" i="12" s="1"/>
  <c r="AB305" i="12" a="1"/>
  <c r="AB305" i="12" s="1"/>
  <c r="AA305" i="12" a="1"/>
  <c r="AA305" i="12" s="1"/>
  <c r="V305" i="12"/>
  <c r="B305" i="12"/>
  <c r="X305" i="12" s="1"/>
  <c r="W305" i="12" s="1" a="1"/>
  <c r="W305" i="12" s="1"/>
  <c r="AF304" i="12"/>
  <c r="AD304" i="12"/>
  <c r="AB304" i="12" a="1"/>
  <c r="AB304" i="12" s="1"/>
  <c r="AA304" i="12" a="1"/>
  <c r="AA304" i="12" s="1"/>
  <c r="V304" i="12"/>
  <c r="E304" i="12" a="1"/>
  <c r="E304" i="12" s="1"/>
  <c r="D304" i="12" a="1"/>
  <c r="D304" i="12" s="1"/>
  <c r="B304" i="12"/>
  <c r="AF303" i="12"/>
  <c r="AD303" i="12"/>
  <c r="AC303" i="12" a="1"/>
  <c r="AC303" i="12" s="1"/>
  <c r="AB303" i="12" a="1"/>
  <c r="AB303" i="12" s="1"/>
  <c r="AA303" i="12" a="1"/>
  <c r="AA303" i="12" s="1"/>
  <c r="V303" i="12"/>
  <c r="E303" i="12" a="1"/>
  <c r="E303" i="12" s="1"/>
  <c r="B303" i="12"/>
  <c r="Z303" i="12" s="1"/>
  <c r="AF302" i="12"/>
  <c r="AD302" i="12"/>
  <c r="AC302" i="12" a="1"/>
  <c r="AC302" i="12" s="1"/>
  <c r="V302" i="12"/>
  <c r="D302" i="12" a="1"/>
  <c r="D302" i="12" s="1"/>
  <c r="B302" i="12"/>
  <c r="AF301" i="12"/>
  <c r="AD301" i="12"/>
  <c r="V301" i="12"/>
  <c r="B301" i="12"/>
  <c r="X301" i="12" s="1"/>
  <c r="W301" i="12" s="1" a="1"/>
  <c r="W301" i="12" s="1"/>
  <c r="AF300" i="12"/>
  <c r="AD300" i="12"/>
  <c r="AB300" i="12" a="1"/>
  <c r="AB300" i="12" s="1"/>
  <c r="V300" i="12"/>
  <c r="B300" i="12"/>
  <c r="Z300" i="12" s="1"/>
  <c r="AF299" i="12"/>
  <c r="AD299" i="12"/>
  <c r="AB299" i="12" a="1"/>
  <c r="AB299" i="12" s="1"/>
  <c r="AA299" i="12" a="1"/>
  <c r="AA299" i="12" s="1"/>
  <c r="V299" i="12"/>
  <c r="B299" i="12"/>
  <c r="X299" i="12" s="1"/>
  <c r="W299" i="12" s="1" a="1"/>
  <c r="W299" i="12" s="1"/>
  <c r="AF298" i="12"/>
  <c r="AD298" i="12"/>
  <c r="AB298" i="12" a="1"/>
  <c r="AB298" i="12" s="1"/>
  <c r="V298" i="12"/>
  <c r="B298" i="12"/>
  <c r="X298" i="12" s="1"/>
  <c r="W298" i="12" s="1" a="1"/>
  <c r="W298" i="12" s="1"/>
  <c r="AF297" i="12"/>
  <c r="AD297" i="12"/>
  <c r="AB297" i="12" a="1"/>
  <c r="AB297" i="12" s="1"/>
  <c r="V297" i="12"/>
  <c r="B297" i="12"/>
  <c r="X297" i="12" s="1"/>
  <c r="W297" i="12" s="1" a="1"/>
  <c r="W297" i="12" s="1"/>
  <c r="AF296" i="12"/>
  <c r="AD296" i="12"/>
  <c r="AA296" i="12" a="1"/>
  <c r="AA296" i="12" s="1"/>
  <c r="V296" i="12"/>
  <c r="B296" i="12"/>
  <c r="X296" i="12" s="1"/>
  <c r="W296" i="12" s="1" a="1"/>
  <c r="W296" i="12" s="1"/>
  <c r="AF295" i="12"/>
  <c r="AD295" i="12"/>
  <c r="AA295" i="12" a="1"/>
  <c r="AA295" i="12" s="1"/>
  <c r="Z295" i="12"/>
  <c r="V295" i="12"/>
  <c r="B295" i="12"/>
  <c r="X295" i="12" s="1"/>
  <c r="W295" i="12" s="1" a="1"/>
  <c r="W295" i="12" s="1"/>
  <c r="AF294" i="12"/>
  <c r="AD294" i="12"/>
  <c r="V294" i="12"/>
  <c r="E294" i="12" a="1"/>
  <c r="E294" i="12" s="1"/>
  <c r="B294" i="12"/>
  <c r="X294" i="12" s="1"/>
  <c r="W294" i="12" s="1" a="1"/>
  <c r="W294" i="12" s="1"/>
  <c r="AF293" i="12"/>
  <c r="AD293" i="12"/>
  <c r="V293" i="12"/>
  <c r="B293" i="12"/>
  <c r="AF292" i="12"/>
  <c r="AD292" i="12"/>
  <c r="AA292" i="12" a="1"/>
  <c r="AA292" i="12" s="1"/>
  <c r="W292" i="12" a="1"/>
  <c r="W292" i="12" s="1"/>
  <c r="V292" i="12"/>
  <c r="B292" i="12"/>
  <c r="X292" i="12" s="1"/>
  <c r="AF291" i="12"/>
  <c r="AD291" i="12"/>
  <c r="AB291" i="12" a="1"/>
  <c r="AB291" i="12" s="1"/>
  <c r="AA291" i="12" a="1"/>
  <c r="AA291" i="12" s="1"/>
  <c r="Z291" i="12"/>
  <c r="W291" i="12" a="1"/>
  <c r="W291" i="12" s="1"/>
  <c r="V291" i="12"/>
  <c r="D291" i="12" a="1"/>
  <c r="D291" i="12" s="1"/>
  <c r="C291" i="12" a="1"/>
  <c r="C291" i="12" s="1"/>
  <c r="B291" i="12"/>
  <c r="X291" i="12" s="1"/>
  <c r="AF290" i="12"/>
  <c r="AD290" i="12"/>
  <c r="AC290" i="12" a="1"/>
  <c r="AC290" i="12" s="1"/>
  <c r="AA290" i="12" a="1"/>
  <c r="AA290" i="12" s="1"/>
  <c r="Z290" i="12"/>
  <c r="V290" i="12"/>
  <c r="E290" i="12" a="1"/>
  <c r="E290" i="12" s="1"/>
  <c r="C290" i="12" a="1"/>
  <c r="C290" i="12" s="1"/>
  <c r="B290" i="12"/>
  <c r="X290" i="12" s="1"/>
  <c r="W290" i="12" s="1" a="1"/>
  <c r="W290" i="12" s="1"/>
  <c r="AF289" i="12"/>
  <c r="AD289" i="12"/>
  <c r="V289" i="12"/>
  <c r="B289" i="12"/>
  <c r="AF288" i="12"/>
  <c r="AD288" i="12"/>
  <c r="V288" i="12"/>
  <c r="B288" i="12"/>
  <c r="X288" i="12" s="1"/>
  <c r="W288" i="12" s="1" a="1"/>
  <c r="W288" i="12" s="1"/>
  <c r="AF287" i="12"/>
  <c r="AD287" i="12"/>
  <c r="AB287" i="12" a="1"/>
  <c r="AB287" i="12" s="1"/>
  <c r="Z287" i="12"/>
  <c r="V287" i="12"/>
  <c r="B287" i="12"/>
  <c r="X287" i="12" s="1"/>
  <c r="W287" i="12" s="1" a="1"/>
  <c r="W287" i="12" s="1"/>
  <c r="AF286" i="12"/>
  <c r="AD286" i="12"/>
  <c r="V286" i="12"/>
  <c r="E286" i="12" a="1"/>
  <c r="E286" i="12" s="1"/>
  <c r="C286" i="12" a="1"/>
  <c r="C286" i="12" s="1"/>
  <c r="B286" i="12"/>
  <c r="X286" i="12" s="1"/>
  <c r="W286" i="12" s="1" a="1"/>
  <c r="W286" i="12" s="1"/>
  <c r="AF285" i="12"/>
  <c r="AD285" i="12"/>
  <c r="AA285" i="12" a="1"/>
  <c r="AA285" i="12" s="1"/>
  <c r="Z285" i="12"/>
  <c r="V285" i="12"/>
  <c r="E285" i="12" a="1"/>
  <c r="E285" i="12" s="1"/>
  <c r="C285" i="12" a="1"/>
  <c r="C285" i="12" s="1"/>
  <c r="B285" i="12"/>
  <c r="X285" i="12" s="1"/>
  <c r="W285" i="12" s="1" a="1"/>
  <c r="W285" i="12" s="1"/>
  <c r="AF284" i="12"/>
  <c r="AD284" i="12"/>
  <c r="Z284" i="12"/>
  <c r="V284" i="12"/>
  <c r="B284" i="12"/>
  <c r="X284" i="12" s="1"/>
  <c r="W284" i="12" s="1" a="1"/>
  <c r="W284" i="12" s="1"/>
  <c r="AF283" i="12"/>
  <c r="AD283" i="12"/>
  <c r="V283" i="12"/>
  <c r="B283" i="12"/>
  <c r="AF282" i="12"/>
  <c r="AD282" i="12"/>
  <c r="V282" i="12"/>
  <c r="B282" i="12"/>
  <c r="X282" i="12" s="1"/>
  <c r="W282" i="12" s="1" a="1"/>
  <c r="W282" i="12" s="1"/>
  <c r="AF281" i="12"/>
  <c r="AD281" i="12"/>
  <c r="V281" i="12"/>
  <c r="B281" i="12"/>
  <c r="AF280" i="12"/>
  <c r="AD280" i="12"/>
  <c r="V280" i="12"/>
  <c r="E280" i="12" a="1"/>
  <c r="E280" i="12" s="1"/>
  <c r="B280" i="12"/>
  <c r="X280" i="12" s="1"/>
  <c r="W280" i="12" s="1" a="1"/>
  <c r="W280" i="12" s="1"/>
  <c r="AF279" i="12"/>
  <c r="AD279" i="12"/>
  <c r="V279" i="12"/>
  <c r="B279" i="12"/>
  <c r="AF278" i="12"/>
  <c r="AD278" i="12"/>
  <c r="W278" i="12" a="1"/>
  <c r="W278" i="12" s="1"/>
  <c r="V278" i="12"/>
  <c r="B278" i="12"/>
  <c r="X278" i="12" s="1"/>
  <c r="AF277" i="12"/>
  <c r="AD277" i="12"/>
  <c r="AB277" i="12" a="1"/>
  <c r="AB277" i="12" s="1"/>
  <c r="Z277" i="12"/>
  <c r="V277" i="12"/>
  <c r="B277" i="12"/>
  <c r="X277" i="12" s="1"/>
  <c r="W277" i="12" s="1" a="1"/>
  <c r="W277" i="12" s="1"/>
  <c r="AF276" i="12"/>
  <c r="AD276" i="12"/>
  <c r="AC276" i="12" a="1"/>
  <c r="AC276" i="12" s="1"/>
  <c r="AB276" i="12" a="1"/>
  <c r="AB276" i="12" s="1"/>
  <c r="AA276" i="12" a="1"/>
  <c r="AA276" i="12" s="1"/>
  <c r="V276" i="12"/>
  <c r="E276" i="12" a="1"/>
  <c r="E276" i="12" s="1"/>
  <c r="D276" i="12" a="1"/>
  <c r="D276" i="12" s="1"/>
  <c r="C276" i="12" a="1"/>
  <c r="C276" i="12" s="1"/>
  <c r="B276" i="12"/>
  <c r="X276" i="12" s="1"/>
  <c r="W276" i="12" s="1" a="1"/>
  <c r="W276" i="12" s="1"/>
  <c r="AF275" i="12"/>
  <c r="AD275" i="12"/>
  <c r="V275" i="12"/>
  <c r="B275" i="12"/>
  <c r="AF274" i="12"/>
  <c r="AD274" i="12"/>
  <c r="AB274" i="12" a="1"/>
  <c r="AB274" i="12" s="1"/>
  <c r="W274" i="12" a="1"/>
  <c r="W274" i="12" s="1"/>
  <c r="V274" i="12"/>
  <c r="B274" i="12"/>
  <c r="X274" i="12" s="1"/>
  <c r="AF273" i="12"/>
  <c r="AD273" i="12"/>
  <c r="AB273" i="12" a="1"/>
  <c r="AB273" i="12" s="1"/>
  <c r="AA273" i="12" a="1"/>
  <c r="AA273" i="12" s="1"/>
  <c r="Z273" i="12"/>
  <c r="W273" i="12" a="1"/>
  <c r="W273" i="12" s="1"/>
  <c r="V273" i="12"/>
  <c r="E273" i="12" a="1"/>
  <c r="E273" i="12" s="1"/>
  <c r="B273" i="12"/>
  <c r="X273" i="12" s="1"/>
  <c r="AF272" i="12"/>
  <c r="AD272" i="12"/>
  <c r="AC272" i="12" a="1"/>
  <c r="AC272" i="12" s="1"/>
  <c r="AB272" i="12" a="1"/>
  <c r="AB272" i="12" s="1"/>
  <c r="AA272" i="12" a="1"/>
  <c r="AA272" i="12" s="1"/>
  <c r="Z272" i="12"/>
  <c r="V272" i="12"/>
  <c r="E272" i="12" a="1"/>
  <c r="E272" i="12" s="1"/>
  <c r="B272" i="12"/>
  <c r="X272" i="12" s="1"/>
  <c r="W272" i="12" s="1" a="1"/>
  <c r="W272" i="12" s="1"/>
  <c r="AF271" i="12"/>
  <c r="AD271" i="12"/>
  <c r="AC271" i="12" a="1"/>
  <c r="AC271" i="12" s="1"/>
  <c r="V271" i="12"/>
  <c r="B271" i="12"/>
  <c r="AA271" i="12" s="1" a="1"/>
  <c r="AA271" i="12" s="1"/>
  <c r="AF270" i="12"/>
  <c r="AD270" i="12"/>
  <c r="AC270" i="12" a="1"/>
  <c r="AC270" i="12" s="1"/>
  <c r="V270" i="12"/>
  <c r="D270" i="12" a="1"/>
  <c r="D270" i="12"/>
  <c r="C270" i="12" a="1"/>
  <c r="C270" i="12" s="1"/>
  <c r="B270" i="12"/>
  <c r="X270" i="12" s="1"/>
  <c r="W270" i="12" s="1" a="1"/>
  <c r="W270" i="12" s="1"/>
  <c r="AF269" i="12"/>
  <c r="AD269" i="12"/>
  <c r="V269" i="12"/>
  <c r="D269" i="12" a="1"/>
  <c r="D269" i="12" s="1"/>
  <c r="C269" i="12" a="1"/>
  <c r="C269" i="12" s="1"/>
  <c r="B269" i="12"/>
  <c r="X269" i="12" s="1"/>
  <c r="W269" i="12" s="1" a="1"/>
  <c r="W269" i="12" s="1"/>
  <c r="AF268" i="12"/>
  <c r="AD268" i="12"/>
  <c r="AB268" i="12" a="1"/>
  <c r="AB268" i="12" s="1"/>
  <c r="V268" i="12"/>
  <c r="E268" i="12" a="1"/>
  <c r="E268" i="12" s="1"/>
  <c r="D268" i="12" a="1"/>
  <c r="D268" i="12" s="1"/>
  <c r="C268" i="12" a="1"/>
  <c r="C268" i="12" s="1"/>
  <c r="B268" i="12"/>
  <c r="X268" i="12" s="1"/>
  <c r="W268" i="12" s="1" a="1"/>
  <c r="W268" i="12" s="1"/>
  <c r="AF267" i="12"/>
  <c r="AD267" i="12"/>
  <c r="AC267" i="12" a="1"/>
  <c r="AC267" i="12" s="1"/>
  <c r="V267" i="12"/>
  <c r="E267" i="12" a="1"/>
  <c r="E267" i="12" s="1"/>
  <c r="C267" i="12" a="1"/>
  <c r="C267" i="12" s="1"/>
  <c r="B267" i="12"/>
  <c r="X267" i="12" s="1"/>
  <c r="W267" i="12" s="1" a="1"/>
  <c r="W267" i="12" s="1"/>
  <c r="AF266" i="12"/>
  <c r="AD266" i="12"/>
  <c r="V266" i="12"/>
  <c r="B266" i="12"/>
  <c r="AF265" i="12"/>
  <c r="AD265" i="12"/>
  <c r="V265" i="12"/>
  <c r="B265" i="12"/>
  <c r="AF264" i="12"/>
  <c r="AD264" i="12"/>
  <c r="V264" i="12"/>
  <c r="B264" i="12"/>
  <c r="AF263" i="12"/>
  <c r="AD263" i="12"/>
  <c r="V263" i="12"/>
  <c r="B263" i="12"/>
  <c r="X263" i="12" s="1"/>
  <c r="W263" i="12" s="1" a="1"/>
  <c r="W263" i="12" s="1"/>
  <c r="AF262" i="12"/>
  <c r="AD262" i="12"/>
  <c r="V262" i="12"/>
  <c r="B262" i="12"/>
  <c r="AF261" i="12"/>
  <c r="AD261" i="12"/>
  <c r="AC261" i="12" a="1"/>
  <c r="AC261" i="12" s="1"/>
  <c r="AA261" i="12" a="1"/>
  <c r="AA261" i="12" s="1"/>
  <c r="V261" i="12"/>
  <c r="D261" i="12" a="1"/>
  <c r="D261" i="12" s="1"/>
  <c r="C261" i="12" a="1"/>
  <c r="C261" i="12" s="1"/>
  <c r="B261" i="12"/>
  <c r="X261" i="12" s="1"/>
  <c r="W261" i="12" s="1" a="1"/>
  <c r="W261" i="12" s="1"/>
  <c r="AF260" i="12"/>
  <c r="AD260" i="12"/>
  <c r="AB260" i="12" a="1"/>
  <c r="AB260" i="12" s="1"/>
  <c r="X260" i="12"/>
  <c r="W260" i="12" s="1" a="1"/>
  <c r="W260" i="12" s="1"/>
  <c r="V260" i="12"/>
  <c r="E260" i="12" a="1"/>
  <c r="E260" i="12" s="1"/>
  <c r="B260" i="12"/>
  <c r="C260" i="12" s="1" a="1"/>
  <c r="C260" i="12" s="1"/>
  <c r="AF259" i="12"/>
  <c r="AD259" i="12"/>
  <c r="V259" i="12"/>
  <c r="B259" i="12"/>
  <c r="AF258" i="12"/>
  <c r="AD258" i="12"/>
  <c r="AC258" i="12" a="1"/>
  <c r="AC258" i="12" s="1"/>
  <c r="AB258" i="12" a="1"/>
  <c r="AB258" i="12" s="1"/>
  <c r="AA258" i="12" a="1"/>
  <c r="AA258" i="12" s="1"/>
  <c r="Z258" i="12"/>
  <c r="V258" i="12"/>
  <c r="E258" i="12" a="1"/>
  <c r="E258" i="12" s="1"/>
  <c r="D258" i="12" a="1"/>
  <c r="D258" i="12" s="1"/>
  <c r="C258" i="12" a="1"/>
  <c r="C258" i="12" s="1"/>
  <c r="B258" i="12"/>
  <c r="X258" i="12" s="1"/>
  <c r="W258" i="12" s="1" a="1"/>
  <c r="W258" i="12" s="1"/>
  <c r="AF257" i="12"/>
  <c r="AD257" i="12"/>
  <c r="W257" i="12" a="1"/>
  <c r="W257" i="12" s="1"/>
  <c r="V257" i="12"/>
  <c r="D257" i="12" a="1"/>
  <c r="D257" i="12" s="1"/>
  <c r="C257" i="12" a="1"/>
  <c r="C257" i="12" s="1"/>
  <c r="B257" i="12"/>
  <c r="X257" i="12" s="1"/>
  <c r="AF256" i="12"/>
  <c r="AD256" i="12"/>
  <c r="AC256" i="12" a="1"/>
  <c r="AC256" i="12" s="1"/>
  <c r="AA256" i="12" a="1"/>
  <c r="AA256" i="12" s="1"/>
  <c r="W256" i="12" a="1"/>
  <c r="W256" i="12" s="1"/>
  <c r="V256" i="12"/>
  <c r="E256" i="12" a="1"/>
  <c r="E256" i="12" s="1"/>
  <c r="B256" i="12"/>
  <c r="X256" i="12" s="1"/>
  <c r="AF255" i="12"/>
  <c r="AD255" i="12"/>
  <c r="Z255" i="12"/>
  <c r="V255" i="12"/>
  <c r="E255" i="12" a="1"/>
  <c r="E255" i="12" s="1"/>
  <c r="D255" i="12" a="1"/>
  <c r="D255" i="12" s="1"/>
  <c r="B255" i="12"/>
  <c r="X255" i="12" s="1"/>
  <c r="W255" i="12" s="1" a="1"/>
  <c r="W255" i="12" s="1"/>
  <c r="AF254" i="12"/>
  <c r="AD254" i="12"/>
  <c r="X254" i="12"/>
  <c r="W254" i="12" s="1" a="1"/>
  <c r="W254" i="12" s="1"/>
  <c r="V254" i="12"/>
  <c r="E254" i="12" a="1"/>
  <c r="E254" i="12" s="1"/>
  <c r="B254" i="12"/>
  <c r="D254" i="12" s="1" a="1"/>
  <c r="D254" i="12" s="1"/>
  <c r="AF253" i="12"/>
  <c r="AD253" i="12"/>
  <c r="V253" i="12"/>
  <c r="B253" i="12"/>
  <c r="AF252" i="12"/>
  <c r="AD252" i="12"/>
  <c r="AC252" i="12" a="1"/>
  <c r="AC252" i="12" s="1"/>
  <c r="AB252" i="12" a="1"/>
  <c r="AB252" i="12" s="1"/>
  <c r="AA252" i="12" a="1"/>
  <c r="AA252" i="12" s="1"/>
  <c r="V252" i="12"/>
  <c r="E252" i="12" a="1"/>
  <c r="E252" i="12" s="1"/>
  <c r="B252" i="12"/>
  <c r="X252" i="12" s="1"/>
  <c r="W252" i="12" s="1" a="1"/>
  <c r="W252" i="12" s="1"/>
  <c r="AF251" i="12"/>
  <c r="AD251" i="12"/>
  <c r="AB251" i="12" a="1"/>
  <c r="AB251" i="12" s="1"/>
  <c r="AA251" i="12" a="1"/>
  <c r="AA251" i="12" s="1"/>
  <c r="Z251" i="12"/>
  <c r="V251" i="12"/>
  <c r="E251" i="12" a="1"/>
  <c r="E251" i="12" s="1"/>
  <c r="B251" i="12"/>
  <c r="X251" i="12" s="1"/>
  <c r="W251" i="12" s="1" a="1"/>
  <c r="W251" i="12" s="1"/>
  <c r="AF250" i="12"/>
  <c r="AD250" i="12"/>
  <c r="AB250" i="12" a="1"/>
  <c r="AB250" i="12" s="1"/>
  <c r="AA250" i="12" a="1"/>
  <c r="AA250" i="12" s="1"/>
  <c r="Z250" i="12"/>
  <c r="W250" i="12" a="1"/>
  <c r="W250" i="12" s="1"/>
  <c r="V250" i="12"/>
  <c r="E250" i="12" a="1"/>
  <c r="E250" i="12" s="1"/>
  <c r="D250" i="12" a="1"/>
  <c r="D250" i="12" s="1"/>
  <c r="B250" i="12"/>
  <c r="X250" i="12" s="1"/>
  <c r="AF249" i="12"/>
  <c r="AD249" i="12"/>
  <c r="AB249" i="12" a="1"/>
  <c r="AB249" i="12" s="1"/>
  <c r="AA249" i="12" a="1"/>
  <c r="AA249" i="12" s="1"/>
  <c r="Z249" i="12"/>
  <c r="W249" i="12" a="1"/>
  <c r="W249" i="12" s="1"/>
  <c r="V249" i="12"/>
  <c r="E249" i="12" a="1"/>
  <c r="E249" i="12" s="1"/>
  <c r="B249" i="12"/>
  <c r="X249" i="12" s="1"/>
  <c r="AF248" i="12"/>
  <c r="AD248" i="12"/>
  <c r="V248" i="12"/>
  <c r="B248" i="12"/>
  <c r="AF247" i="12"/>
  <c r="AD247" i="12"/>
  <c r="V247" i="12"/>
  <c r="C247" i="12" a="1"/>
  <c r="C247" i="12" s="1"/>
  <c r="B247" i="12"/>
  <c r="AC247" i="12" s="1" a="1"/>
  <c r="AC247" i="12" s="1"/>
  <c r="AF246" i="12"/>
  <c r="AD246" i="12"/>
  <c r="Z246" i="12"/>
  <c r="W246" i="12" a="1"/>
  <c r="W246" i="12" s="1"/>
  <c r="V246" i="12"/>
  <c r="B246" i="12"/>
  <c r="X246" i="12" s="1"/>
  <c r="AF245" i="12"/>
  <c r="AD245" i="12"/>
  <c r="V245" i="12"/>
  <c r="B245" i="12"/>
  <c r="AB245" i="12" s="1" a="1"/>
  <c r="AB245" i="12" s="1"/>
  <c r="AF244" i="12"/>
  <c r="AD244" i="12"/>
  <c r="V244" i="12"/>
  <c r="B244" i="12"/>
  <c r="AF243" i="12"/>
  <c r="AD243" i="12"/>
  <c r="V243" i="12"/>
  <c r="B243" i="12"/>
  <c r="AF242" i="12"/>
  <c r="AD242" i="12"/>
  <c r="AB242" i="12" a="1"/>
  <c r="AB242" i="12" s="1"/>
  <c r="V242" i="12"/>
  <c r="B242" i="12"/>
  <c r="C242" i="12" s="1" a="1"/>
  <c r="C242" i="12" s="1"/>
  <c r="AF241" i="12"/>
  <c r="AD241" i="12"/>
  <c r="AB241" i="12" a="1"/>
  <c r="AB241" i="12" s="1"/>
  <c r="Z241" i="12"/>
  <c r="V241" i="12"/>
  <c r="B241" i="12"/>
  <c r="X241" i="12" s="1"/>
  <c r="W241" i="12" s="1" a="1"/>
  <c r="W241" i="12" s="1"/>
  <c r="AF240" i="12"/>
  <c r="AD240" i="12"/>
  <c r="AC240" i="12" a="1"/>
  <c r="AC240" i="12" s="1"/>
  <c r="AB240" i="12" a="1"/>
  <c r="AB240" i="12" s="1"/>
  <c r="AA240" i="12" a="1"/>
  <c r="AA240" i="12" s="1"/>
  <c r="V240" i="12"/>
  <c r="E240" i="12" a="1"/>
  <c r="E240" i="12" s="1"/>
  <c r="D240" i="12" a="1"/>
  <c r="D240" i="12" s="1"/>
  <c r="C240" i="12" a="1"/>
  <c r="C240" i="12" s="1"/>
  <c r="B240" i="12"/>
  <c r="X240" i="12" s="1"/>
  <c r="W240" i="12" s="1" a="1"/>
  <c r="W240" i="12" s="1"/>
  <c r="AF239" i="12"/>
  <c r="AD239" i="12"/>
  <c r="V239" i="12"/>
  <c r="B239" i="12"/>
  <c r="AB239" i="12" s="1" a="1"/>
  <c r="AB239" i="12" s="1"/>
  <c r="AF238" i="12"/>
  <c r="AD238" i="12"/>
  <c r="AC238" i="12" a="1"/>
  <c r="AC238" i="12" s="1"/>
  <c r="AB238" i="12" a="1"/>
  <c r="AB238" i="12" s="1"/>
  <c r="AA238" i="12" a="1"/>
  <c r="AA238" i="12" s="1"/>
  <c r="W238" i="12" a="1"/>
  <c r="W238" i="12" s="1"/>
  <c r="V238" i="12"/>
  <c r="E238" i="12" a="1"/>
  <c r="E238" i="12" s="1"/>
  <c r="C238" i="12" a="1"/>
  <c r="C238" i="12" s="1"/>
  <c r="B238" i="12"/>
  <c r="X238" i="12" s="1"/>
  <c r="AF237" i="12"/>
  <c r="AD237" i="12"/>
  <c r="AB237" i="12" a="1"/>
  <c r="AB237" i="12" s="1"/>
  <c r="Z237" i="12"/>
  <c r="W237" i="12" a="1"/>
  <c r="W237" i="12" s="1"/>
  <c r="V237" i="12"/>
  <c r="D237" i="12" a="1"/>
  <c r="D237" i="12" s="1"/>
  <c r="C237" i="12" a="1"/>
  <c r="C237" i="12" s="1"/>
  <c r="B237" i="12"/>
  <c r="X237" i="12" s="1"/>
  <c r="AF236" i="12"/>
  <c r="AD236" i="12"/>
  <c r="AC236" i="12" a="1"/>
  <c r="AC236" i="12" s="1"/>
  <c r="AA236" i="12" a="1"/>
  <c r="AA236" i="12" s="1"/>
  <c r="Z236" i="12"/>
  <c r="X236" i="12"/>
  <c r="W236" i="12" s="1" a="1"/>
  <c r="W236" i="12" s="1"/>
  <c r="V236" i="12"/>
  <c r="D236" i="12" a="1"/>
  <c r="D236" i="12" s="1"/>
  <c r="C236" i="12" a="1"/>
  <c r="C236" i="12" s="1"/>
  <c r="B236" i="12"/>
  <c r="E236" i="12" s="1" a="1"/>
  <c r="E236" i="12" s="1"/>
  <c r="AF235" i="12"/>
  <c r="AD235" i="12"/>
  <c r="V235" i="12"/>
  <c r="B235" i="12"/>
  <c r="AF234" i="12"/>
  <c r="AD234" i="12"/>
  <c r="V234" i="12"/>
  <c r="B234" i="12"/>
  <c r="AF233" i="12"/>
  <c r="AD233" i="12"/>
  <c r="W233" i="12" a="1"/>
  <c r="W233" i="12" s="1"/>
  <c r="V233" i="12"/>
  <c r="B233" i="12"/>
  <c r="X233" i="12" s="1"/>
  <c r="AF232" i="12"/>
  <c r="AD232" i="12"/>
  <c r="AC232" i="12" a="1"/>
  <c r="AC232" i="12" s="1"/>
  <c r="AB232" i="12" a="1"/>
  <c r="AB232" i="12" s="1"/>
  <c r="V232" i="12"/>
  <c r="B232" i="12"/>
  <c r="X232" i="12" s="1"/>
  <c r="W232" i="12" s="1" a="1"/>
  <c r="W232" i="12" s="1"/>
  <c r="AF231" i="12"/>
  <c r="AD231" i="12"/>
  <c r="AC231" i="12" a="1"/>
  <c r="AC231" i="12" s="1"/>
  <c r="AB231" i="12" a="1"/>
  <c r="AB231" i="12" s="1"/>
  <c r="V231" i="12"/>
  <c r="B231" i="12"/>
  <c r="X231" i="12" s="1"/>
  <c r="W231" i="12" s="1" a="1"/>
  <c r="W231" i="12" s="1"/>
  <c r="AF230" i="12"/>
  <c r="AD230" i="12"/>
  <c r="AB230" i="12" a="1"/>
  <c r="AB230" i="12" s="1"/>
  <c r="V230" i="12"/>
  <c r="D230" i="12" a="1"/>
  <c r="D230" i="12" s="1"/>
  <c r="B230" i="12"/>
  <c r="X230" i="12" s="1"/>
  <c r="W230" i="12" s="1" a="1"/>
  <c r="W230" i="12" s="1"/>
  <c r="AF229" i="12"/>
  <c r="AD229" i="12"/>
  <c r="Z229" i="12"/>
  <c r="V229" i="12"/>
  <c r="D229" i="12" a="1"/>
  <c r="D229" i="12" s="1"/>
  <c r="C229" i="12" a="1"/>
  <c r="C229" i="12" s="1"/>
  <c r="B229" i="12"/>
  <c r="AF228" i="12"/>
  <c r="AD228" i="12"/>
  <c r="AC228" i="12" a="1"/>
  <c r="AC228" i="12" s="1"/>
  <c r="V228" i="12"/>
  <c r="B228" i="12"/>
  <c r="X228" i="12" s="1"/>
  <c r="W228" i="12" s="1" a="1"/>
  <c r="W228" i="12" s="1"/>
  <c r="AF227" i="12"/>
  <c r="AD227" i="12"/>
  <c r="Z227" i="12"/>
  <c r="V227" i="12"/>
  <c r="D227" i="12" a="1"/>
  <c r="D227" i="12" s="1"/>
  <c r="B227" i="12"/>
  <c r="AA227" i="12" s="1" a="1"/>
  <c r="AA227" i="12" s="1"/>
  <c r="AF226" i="12"/>
  <c r="AD226" i="12"/>
  <c r="V226" i="12"/>
  <c r="B226" i="12"/>
  <c r="AC226" i="12" s="1" a="1"/>
  <c r="AC226" i="12" s="1"/>
  <c r="AF225" i="12"/>
  <c r="AD225" i="12"/>
  <c r="AA225" i="12" a="1"/>
  <c r="AA225" i="12" s="1"/>
  <c r="W225" i="12"/>
  <c r="V225" i="12"/>
  <c r="E225" i="12" a="1"/>
  <c r="E225" i="12" s="1"/>
  <c r="D225" i="12" a="1"/>
  <c r="D225" i="12" s="1"/>
  <c r="C225" i="12" a="1"/>
  <c r="C225" i="12" s="1"/>
  <c r="B225" i="12"/>
  <c r="X225" i="12" s="1"/>
  <c r="W225" i="12" s="1" a="1"/>
  <c r="AF224" i="12"/>
  <c r="AD224" i="12"/>
  <c r="X224" i="12"/>
  <c r="W224" i="12" s="1" a="1"/>
  <c r="W224" i="12" s="1"/>
  <c r="V224" i="12"/>
  <c r="B224" i="12"/>
  <c r="C224" i="12" s="1" a="1"/>
  <c r="C224" i="12" s="1"/>
  <c r="AF223" i="12"/>
  <c r="AD223" i="12"/>
  <c r="V223" i="12"/>
  <c r="B223" i="12"/>
  <c r="AF222" i="12"/>
  <c r="AD222" i="12"/>
  <c r="AB222" i="12" a="1"/>
  <c r="AB222" i="12" s="1"/>
  <c r="V222" i="12"/>
  <c r="D222" i="12" a="1"/>
  <c r="D222" i="12" s="1"/>
  <c r="B222" i="12"/>
  <c r="AC222" i="12" s="1" a="1"/>
  <c r="AC222" i="12" s="1"/>
  <c r="AF221" i="12"/>
  <c r="AD221" i="12"/>
  <c r="V221" i="12"/>
  <c r="B221" i="12"/>
  <c r="AF220" i="12"/>
  <c r="AD220" i="12"/>
  <c r="AB220" i="12" a="1"/>
  <c r="AB220" i="12" s="1"/>
  <c r="X220" i="12"/>
  <c r="W220" i="12" s="1" a="1"/>
  <c r="W220" i="12" s="1"/>
  <c r="V220" i="12"/>
  <c r="E220" i="12" a="1"/>
  <c r="E220" i="12" s="1"/>
  <c r="D220" i="12" a="1"/>
  <c r="D220" i="12" s="1"/>
  <c r="B220" i="12"/>
  <c r="C220" i="12" s="1" a="1"/>
  <c r="C220" i="12" s="1"/>
  <c r="AF219" i="12"/>
  <c r="AD219" i="12"/>
  <c r="AC219" i="12" a="1"/>
  <c r="AC219" i="12" s="1"/>
  <c r="AA219" i="12" a="1"/>
  <c r="AA219" i="12" s="1"/>
  <c r="Z219" i="12"/>
  <c r="W219" i="12" a="1"/>
  <c r="W219" i="12" s="1"/>
  <c r="V219" i="12"/>
  <c r="E219" i="12" a="1"/>
  <c r="E219" i="12" s="1"/>
  <c r="D219" i="12" a="1"/>
  <c r="D219" i="12" s="1"/>
  <c r="C219" i="12" a="1"/>
  <c r="C219" i="12" s="1"/>
  <c r="B219" i="12"/>
  <c r="X219" i="12" s="1"/>
  <c r="AF218" i="12"/>
  <c r="AD218" i="12"/>
  <c r="AB218" i="12" a="1"/>
  <c r="AB218" i="12" s="1"/>
  <c r="AA218" i="12" a="1"/>
  <c r="AA218" i="12" s="1"/>
  <c r="Z218" i="12"/>
  <c r="V218" i="12"/>
  <c r="E218" i="12" a="1"/>
  <c r="E218" i="12" s="1"/>
  <c r="D218" i="12" a="1"/>
  <c r="D218" i="12" s="1"/>
  <c r="B218" i="12"/>
  <c r="X218" i="12" s="1"/>
  <c r="W218" i="12" s="1" a="1"/>
  <c r="W218" i="12" s="1"/>
  <c r="AF217" i="12"/>
  <c r="AD217" i="12"/>
  <c r="AB217" i="12" a="1"/>
  <c r="AB217" i="12" s="1"/>
  <c r="Z217" i="12"/>
  <c r="W217" i="12" a="1"/>
  <c r="W217" i="12" s="1"/>
  <c r="V217" i="12"/>
  <c r="B217" i="12"/>
  <c r="X217" i="12" s="1"/>
  <c r="AF216" i="12"/>
  <c r="AD216" i="12"/>
  <c r="V216" i="12"/>
  <c r="B216" i="12"/>
  <c r="AF215" i="12"/>
  <c r="AD215" i="12"/>
  <c r="AC215" i="12" a="1"/>
  <c r="AC215" i="12" s="1"/>
  <c r="AB215" i="12" a="1"/>
  <c r="AB215" i="12" s="1"/>
  <c r="V215" i="12"/>
  <c r="B215" i="12"/>
  <c r="X215" i="12" s="1"/>
  <c r="W215" i="12" s="1" a="1"/>
  <c r="W215" i="12" s="1"/>
  <c r="AF214" i="12"/>
  <c r="AD214" i="12"/>
  <c r="V214" i="12"/>
  <c r="B214" i="12"/>
  <c r="AF213" i="12"/>
  <c r="AD213" i="12"/>
  <c r="AB213" i="12" a="1"/>
  <c r="AB213" i="12" s="1"/>
  <c r="AA213" i="12" a="1"/>
  <c r="AA213" i="12" s="1"/>
  <c r="V213" i="12"/>
  <c r="D213" i="12" a="1"/>
  <c r="D213" i="12" s="1"/>
  <c r="B213" i="12"/>
  <c r="X213" i="12" s="1"/>
  <c r="W213" i="12" s="1" a="1"/>
  <c r="W213" i="12" s="1"/>
  <c r="AF212" i="12"/>
  <c r="AD212" i="12"/>
  <c r="AB212" i="12" a="1"/>
  <c r="AB212" i="12" s="1"/>
  <c r="AA212" i="12" a="1"/>
  <c r="AA212" i="12" s="1"/>
  <c r="V212" i="12"/>
  <c r="B212" i="12"/>
  <c r="X212" i="12" s="1"/>
  <c r="W212" i="12" s="1" a="1"/>
  <c r="W212" i="12" s="1"/>
  <c r="AF211" i="12"/>
  <c r="AD211" i="12"/>
  <c r="V211" i="12"/>
  <c r="E211" i="12" a="1"/>
  <c r="E211" i="12" s="1"/>
  <c r="C211" i="12" a="1"/>
  <c r="C211" i="12" s="1"/>
  <c r="B211" i="12"/>
  <c r="X211" i="12" s="1"/>
  <c r="W211" i="12" s="1" a="1"/>
  <c r="W211" i="12" s="1"/>
  <c r="AF210" i="12"/>
  <c r="AD210" i="12"/>
  <c r="AC210" i="12" a="1"/>
  <c r="AC210" i="12" s="1"/>
  <c r="V210" i="12"/>
  <c r="C210" i="12" a="1"/>
  <c r="C210" i="12" s="1"/>
  <c r="B210" i="12"/>
  <c r="AB210" i="12" s="1" a="1"/>
  <c r="AB210" i="12" s="1"/>
  <c r="AF209" i="12"/>
  <c r="AD209" i="12"/>
  <c r="AB209" i="12" a="1"/>
  <c r="AB209" i="12" s="1"/>
  <c r="V209" i="12"/>
  <c r="E209" i="12" a="1"/>
  <c r="E209" i="12" s="1"/>
  <c r="D209" i="12" a="1"/>
  <c r="D209" i="12" s="1"/>
  <c r="C209" i="12" a="1"/>
  <c r="C209" i="12" s="1"/>
  <c r="B209" i="12"/>
  <c r="X209" i="12" s="1"/>
  <c r="W209" i="12" s="1" a="1"/>
  <c r="W209" i="12" s="1"/>
  <c r="AF208" i="12"/>
  <c r="AD208" i="12"/>
  <c r="AC208" i="12" a="1"/>
  <c r="AC208" i="12" s="1"/>
  <c r="AA208" i="12" a="1"/>
  <c r="AA208" i="12" s="1"/>
  <c r="V208" i="12"/>
  <c r="B208" i="12"/>
  <c r="C208" i="12" s="1" a="1"/>
  <c r="C208" i="12" s="1"/>
  <c r="AF207" i="12"/>
  <c r="AD207" i="12"/>
  <c r="V207" i="12"/>
  <c r="B207" i="12"/>
  <c r="AF206" i="12"/>
  <c r="AD206" i="12"/>
  <c r="V206" i="12"/>
  <c r="B206" i="12"/>
  <c r="X206" i="12" s="1"/>
  <c r="W206" i="12" s="1" a="1"/>
  <c r="W206" i="12" s="1"/>
  <c r="AF205" i="12"/>
  <c r="AD205" i="12"/>
  <c r="V205" i="12"/>
  <c r="B205" i="12"/>
  <c r="X205" i="12" s="1"/>
  <c r="W205" i="12" s="1" a="1"/>
  <c r="W205" i="12" s="1"/>
  <c r="AF204" i="12"/>
  <c r="AD204" i="12"/>
  <c r="AA204" i="12" a="1"/>
  <c r="AA204" i="12" s="1"/>
  <c r="X204" i="12"/>
  <c r="W204" i="12" s="1" a="1"/>
  <c r="W204" i="12" s="1"/>
  <c r="V204" i="12"/>
  <c r="B204" i="12"/>
  <c r="AC204" i="12" s="1" a="1"/>
  <c r="AC204" i="12" s="1"/>
  <c r="AF203" i="12"/>
  <c r="AD203" i="12"/>
  <c r="V203" i="12"/>
  <c r="B203" i="12"/>
  <c r="AF202" i="12"/>
  <c r="AD202" i="12"/>
  <c r="AB202" i="12" a="1"/>
  <c r="AB202" i="12" s="1"/>
  <c r="X202" i="12"/>
  <c r="W202" i="12" s="1" a="1"/>
  <c r="W202" i="12" s="1"/>
  <c r="V202" i="12"/>
  <c r="E202" i="12" a="1"/>
  <c r="E202" i="12" s="1"/>
  <c r="B202" i="12"/>
  <c r="C202" i="12" s="1" a="1"/>
  <c r="C202" i="12" s="1"/>
  <c r="AF201" i="12"/>
  <c r="AD201" i="12"/>
  <c r="Z201" i="12"/>
  <c r="V201" i="12"/>
  <c r="E201" i="12" a="1"/>
  <c r="E201" i="12" s="1"/>
  <c r="D201" i="12" a="1"/>
  <c r="D201" i="12" s="1"/>
  <c r="C201" i="12" a="1"/>
  <c r="C201" i="12" s="1"/>
  <c r="B201" i="12"/>
  <c r="X201" i="12" s="1"/>
  <c r="W201" i="12" s="1" a="1"/>
  <c r="W201" i="12" s="1"/>
  <c r="AF200" i="12"/>
  <c r="AD200" i="12"/>
  <c r="W200" i="12" a="1"/>
  <c r="W200" i="12" s="1"/>
  <c r="V200" i="12"/>
  <c r="E200" i="12" a="1"/>
  <c r="E200" i="12" s="1"/>
  <c r="D200" i="12" a="1"/>
  <c r="D200" i="12" s="1"/>
  <c r="B200" i="12"/>
  <c r="X200" i="12" s="1"/>
  <c r="AF199" i="12"/>
  <c r="AD199" i="12"/>
  <c r="V199" i="12"/>
  <c r="C199" i="12" a="1"/>
  <c r="C199" i="12" s="1"/>
  <c r="B199" i="12"/>
  <c r="AF198" i="12"/>
  <c r="AD198" i="12"/>
  <c r="V198" i="12"/>
  <c r="B198" i="12"/>
  <c r="AF197" i="12"/>
  <c r="AD197" i="12"/>
  <c r="V197" i="12"/>
  <c r="B197" i="12"/>
  <c r="AF196" i="12"/>
  <c r="AD196" i="12"/>
  <c r="X196" i="12"/>
  <c r="W196" i="12" s="1" a="1"/>
  <c r="W196" i="12" s="1"/>
  <c r="V196" i="12"/>
  <c r="E196" i="12" a="1"/>
  <c r="E196" i="12" s="1"/>
  <c r="B196" i="12"/>
  <c r="AB196" i="12" s="1" a="1"/>
  <c r="AB196" i="12" s="1"/>
  <c r="AF195" i="12"/>
  <c r="AD195" i="12"/>
  <c r="AA195" i="12" a="1"/>
  <c r="AA195" i="12" s="1"/>
  <c r="V195" i="12"/>
  <c r="D195" i="12" a="1"/>
  <c r="D195" i="12" s="1"/>
  <c r="B195" i="12"/>
  <c r="X195" i="12" s="1"/>
  <c r="W195" i="12" s="1" a="1"/>
  <c r="W195" i="12" s="1"/>
  <c r="AF194" i="12"/>
  <c r="AD194" i="12"/>
  <c r="V194" i="12"/>
  <c r="B194" i="12"/>
  <c r="AF193" i="12"/>
  <c r="AD193" i="12"/>
  <c r="V193" i="12"/>
  <c r="B193" i="12"/>
  <c r="X193" i="12" s="1"/>
  <c r="W193" i="12" s="1" a="1"/>
  <c r="W193" i="12" s="1"/>
  <c r="AF192" i="12"/>
  <c r="AD192" i="12"/>
  <c r="AC192" i="12" a="1"/>
  <c r="AC192" i="12" s="1"/>
  <c r="AA192" i="12" a="1"/>
  <c r="AA192" i="12" s="1"/>
  <c r="Z192" i="12"/>
  <c r="V192" i="12"/>
  <c r="E192" i="12" a="1"/>
  <c r="E192" i="12" s="1"/>
  <c r="D192" i="12" a="1"/>
  <c r="D192" i="12" s="1"/>
  <c r="C192" i="12" a="1"/>
  <c r="C192" i="12" s="1"/>
  <c r="B192" i="12"/>
  <c r="AB192" i="12" s="1" a="1"/>
  <c r="AB192" i="12" s="1"/>
  <c r="AF191" i="12"/>
  <c r="AD191" i="12"/>
  <c r="AC191" i="12" a="1"/>
  <c r="AC191" i="12" s="1"/>
  <c r="AB191" i="12" a="1"/>
  <c r="AB191" i="12" s="1"/>
  <c r="AA191" i="12" a="1"/>
  <c r="AA191" i="12" s="1"/>
  <c r="W191" i="12" a="1"/>
  <c r="W191" i="12" s="1"/>
  <c r="V191" i="12"/>
  <c r="E191" i="12" a="1"/>
  <c r="E191" i="12" s="1"/>
  <c r="D191" i="12" a="1"/>
  <c r="D191" i="12" s="1"/>
  <c r="C191" i="12" a="1"/>
  <c r="C191" i="12" s="1"/>
  <c r="B191" i="12"/>
  <c r="X191" i="12" s="1"/>
  <c r="AF190" i="12"/>
  <c r="AD190" i="12"/>
  <c r="AC190" i="12" a="1"/>
  <c r="AC190" i="12" s="1"/>
  <c r="AA190" i="12" a="1"/>
  <c r="AA190" i="12" s="1"/>
  <c r="V190" i="12"/>
  <c r="B190" i="12"/>
  <c r="C190" i="12" s="1" a="1"/>
  <c r="C190" i="12" s="1"/>
  <c r="AF189" i="12"/>
  <c r="AD189" i="12"/>
  <c r="V189" i="12"/>
  <c r="B189" i="12"/>
  <c r="AF188" i="12"/>
  <c r="AD188" i="12"/>
  <c r="V188" i="12"/>
  <c r="B188" i="12"/>
  <c r="X188" i="12" s="1"/>
  <c r="W188" i="12" s="1" a="1"/>
  <c r="W188" i="12" s="1"/>
  <c r="AF187" i="12"/>
  <c r="AD187" i="12"/>
  <c r="V187" i="12"/>
  <c r="B187" i="12"/>
  <c r="AA187" i="12" s="1" a="1"/>
  <c r="AA187" i="12" s="1"/>
  <c r="AF186" i="12"/>
  <c r="AD186" i="12"/>
  <c r="AC186" i="12"/>
  <c r="AA186" i="12" a="1"/>
  <c r="AA186" i="12" s="1"/>
  <c r="X186" i="12"/>
  <c r="W186" i="12" s="1" a="1"/>
  <c r="W186" i="12" s="1"/>
  <c r="V186" i="12"/>
  <c r="D186" i="12" a="1"/>
  <c r="D186" i="12" s="1"/>
  <c r="B186" i="12"/>
  <c r="AC186" i="12" s="1" a="1"/>
  <c r="AF185" i="12"/>
  <c r="AD185" i="12"/>
  <c r="AC185" i="12" a="1"/>
  <c r="AC185" i="12" s="1"/>
  <c r="V185" i="12"/>
  <c r="B185" i="12"/>
  <c r="Z185" i="12" s="1"/>
  <c r="AF184" i="12"/>
  <c r="AD184" i="12"/>
  <c r="V184" i="12"/>
  <c r="D184" i="12" a="1"/>
  <c r="D184" i="12" s="1"/>
  <c r="B184" i="12"/>
  <c r="AF183" i="12"/>
  <c r="AD183" i="12"/>
  <c r="V183" i="12"/>
  <c r="C183" i="12" a="1"/>
  <c r="C183" i="12" s="1"/>
  <c r="B183" i="12"/>
  <c r="AF182" i="12"/>
  <c r="AD182" i="12"/>
  <c r="AA182" i="12" a="1"/>
  <c r="AA182" i="12" s="1"/>
  <c r="V182" i="12"/>
  <c r="D182" i="12" a="1"/>
  <c r="D182" i="12" s="1"/>
  <c r="C182" i="12" a="1"/>
  <c r="C182" i="12" s="1"/>
  <c r="B182" i="12"/>
  <c r="X182" i="12" s="1"/>
  <c r="W182" i="12" s="1" a="1"/>
  <c r="W182" i="12" s="1"/>
  <c r="AF181" i="12"/>
  <c r="AD181" i="12"/>
  <c r="Z181" i="12"/>
  <c r="V181" i="12"/>
  <c r="B181" i="12"/>
  <c r="X181" i="12" s="1"/>
  <c r="W181" i="12" s="1" a="1"/>
  <c r="W181" i="12" s="1"/>
  <c r="AF180" i="12"/>
  <c r="AD180" i="12"/>
  <c r="AB180" i="12" a="1"/>
  <c r="AB180" i="12" s="1"/>
  <c r="Z180" i="12"/>
  <c r="V180" i="12"/>
  <c r="B180" i="12"/>
  <c r="AF179" i="12"/>
  <c r="AD179" i="12"/>
  <c r="V179" i="12"/>
  <c r="B179" i="12"/>
  <c r="AF178" i="12"/>
  <c r="AD178" i="12"/>
  <c r="Z178" i="12"/>
  <c r="V178" i="12"/>
  <c r="B178" i="12"/>
  <c r="AA178" i="12" s="1" a="1"/>
  <c r="AA178" i="12" s="1"/>
  <c r="AF177" i="12"/>
  <c r="AD177" i="12"/>
  <c r="V177" i="12"/>
  <c r="B177" i="12"/>
  <c r="AA177" i="12" s="1" a="1"/>
  <c r="AA177" i="12" s="1"/>
  <c r="AF176" i="12"/>
  <c r="AD176" i="12"/>
  <c r="AC176" i="12" a="1"/>
  <c r="AC176" i="12" s="1"/>
  <c r="AB176" i="12" a="1"/>
  <c r="AB176" i="12" s="1"/>
  <c r="AA176" i="12" a="1"/>
  <c r="AA176" i="12" s="1"/>
  <c r="V176" i="12"/>
  <c r="D176" i="12" a="1"/>
  <c r="D176" i="12" s="1"/>
  <c r="C176" i="12" a="1"/>
  <c r="C176" i="12" s="1"/>
  <c r="B176" i="12"/>
  <c r="X176" i="12" s="1"/>
  <c r="W176" i="12" s="1" a="1"/>
  <c r="W176" i="12" s="1"/>
  <c r="AF175" i="12"/>
  <c r="AD175" i="12"/>
  <c r="W175" i="12" a="1"/>
  <c r="W175" i="12" s="1"/>
  <c r="V175" i="12"/>
  <c r="E175" i="12" a="1"/>
  <c r="E175" i="12" s="1"/>
  <c r="B175" i="12"/>
  <c r="X175" i="12" s="1"/>
  <c r="AF174" i="12"/>
  <c r="AD174" i="12"/>
  <c r="AC174" i="12" a="1"/>
  <c r="AC174" i="12" s="1"/>
  <c r="Z174" i="12"/>
  <c r="V174" i="12"/>
  <c r="E174" i="12" a="1"/>
  <c r="E174" i="12" s="1"/>
  <c r="D174" i="12" a="1"/>
  <c r="D174" i="12" s="1"/>
  <c r="C174" i="12" a="1"/>
  <c r="C174" i="12" s="1"/>
  <c r="B174" i="12"/>
  <c r="AB174" i="12" s="1" a="1"/>
  <c r="AB174" i="12" s="1"/>
  <c r="AF173" i="12"/>
  <c r="AD173" i="12"/>
  <c r="AC173" i="12" a="1"/>
  <c r="AC173" i="12" s="1"/>
  <c r="AB173" i="12" a="1"/>
  <c r="AB173" i="12" s="1"/>
  <c r="W173" i="12" a="1"/>
  <c r="W173" i="12" s="1"/>
  <c r="V173" i="12"/>
  <c r="E173" i="12" a="1"/>
  <c r="E173" i="12" s="1"/>
  <c r="D173" i="12" a="1"/>
  <c r="D173" i="12" s="1"/>
  <c r="C173" i="12" a="1"/>
  <c r="C173" i="12" s="1"/>
  <c r="B173" i="12"/>
  <c r="X173" i="12" s="1"/>
  <c r="AF172" i="12"/>
  <c r="AD172" i="12"/>
  <c r="V172" i="12"/>
  <c r="B172" i="12"/>
  <c r="C172" i="12" s="1" a="1"/>
  <c r="C172" i="12" s="1"/>
  <c r="AF171" i="12"/>
  <c r="AD171" i="12"/>
  <c r="Z171" i="12"/>
  <c r="V171" i="12"/>
  <c r="B171" i="12"/>
  <c r="AF170" i="12"/>
  <c r="AD170" i="12"/>
  <c r="V170" i="12"/>
  <c r="B170" i="12"/>
  <c r="AF169" i="12"/>
  <c r="AD169" i="12"/>
  <c r="V169" i="12"/>
  <c r="D169" i="12" a="1"/>
  <c r="D169" i="12" s="1"/>
  <c r="B169" i="12"/>
  <c r="AF168" i="12"/>
  <c r="AD168" i="12"/>
  <c r="X168" i="12"/>
  <c r="W168" i="12" s="1" a="1"/>
  <c r="W168" i="12" s="1"/>
  <c r="V168" i="12"/>
  <c r="D168" i="12" a="1"/>
  <c r="D168" i="12" s="1"/>
  <c r="B168" i="12"/>
  <c r="AA168" i="12" s="1" a="1"/>
  <c r="AA168" i="12" s="1"/>
  <c r="AF167" i="12"/>
  <c r="AD167" i="12"/>
  <c r="Z167" i="12"/>
  <c r="V167" i="12"/>
  <c r="B167" i="12"/>
  <c r="AC167" i="12" s="1" a="1"/>
  <c r="AC167" i="12" s="1"/>
  <c r="AF166" i="12"/>
  <c r="AD166" i="12"/>
  <c r="AC166" i="12" a="1"/>
  <c r="AC166" i="12" s="1"/>
  <c r="AB166" i="12" a="1"/>
  <c r="AB166" i="12" s="1"/>
  <c r="X166" i="12"/>
  <c r="W166" i="12" s="1" a="1"/>
  <c r="W166" i="12" s="1"/>
  <c r="V166" i="12"/>
  <c r="D166" i="12" a="1"/>
  <c r="D166" i="12" s="1"/>
  <c r="B166" i="12"/>
  <c r="C166" i="12" s="1" a="1"/>
  <c r="C166" i="12" s="1"/>
  <c r="AF165" i="12"/>
  <c r="AD165" i="12"/>
  <c r="AC165" i="12" a="1"/>
  <c r="AC165" i="12" s="1"/>
  <c r="AA165" i="12" a="1"/>
  <c r="AA165" i="12" s="1"/>
  <c r="W165" i="12" a="1"/>
  <c r="W165" i="12" s="1"/>
  <c r="V165" i="12"/>
  <c r="E165" i="12" a="1"/>
  <c r="E165" i="12" s="1"/>
  <c r="D165" i="12" a="1"/>
  <c r="D165" i="12" s="1"/>
  <c r="C165" i="12" a="1"/>
  <c r="C165" i="12" s="1"/>
  <c r="B165" i="12"/>
  <c r="X165" i="12" s="1"/>
  <c r="AF164" i="12"/>
  <c r="AD164" i="12"/>
  <c r="V164" i="12"/>
  <c r="B164" i="12"/>
  <c r="AF163" i="12"/>
  <c r="AD163" i="12"/>
  <c r="AB163" i="12" a="1"/>
  <c r="AB163" i="12" s="1"/>
  <c r="V163" i="12"/>
  <c r="C163" i="12" a="1"/>
  <c r="C163" i="12" s="1"/>
  <c r="B163" i="12"/>
  <c r="X163" i="12" s="1"/>
  <c r="W163" i="12" s="1" a="1"/>
  <c r="W163" i="12" s="1"/>
  <c r="AF162" i="12"/>
  <c r="AD162" i="12"/>
  <c r="V162" i="12"/>
  <c r="B162" i="12"/>
  <c r="D162" i="12" s="1" a="1"/>
  <c r="D162" i="12" s="1"/>
  <c r="AF161" i="12"/>
  <c r="AD161" i="12"/>
  <c r="V161" i="12"/>
  <c r="B161" i="12"/>
  <c r="AF160" i="12"/>
  <c r="AD160" i="12"/>
  <c r="V160" i="12"/>
  <c r="B160" i="12"/>
  <c r="AF159" i="12"/>
  <c r="AD159" i="12"/>
  <c r="AC159" i="12" a="1"/>
  <c r="AC159" i="12"/>
  <c r="AB159" i="12" a="1"/>
  <c r="AB159" i="12" s="1"/>
  <c r="AA159" i="12" a="1"/>
  <c r="AA159" i="12" s="1"/>
  <c r="X159" i="12"/>
  <c r="W159" i="12" s="1" a="1"/>
  <c r="W159" i="12" s="1"/>
  <c r="V159" i="12"/>
  <c r="E159" i="12" a="1"/>
  <c r="E159" i="12" s="1"/>
  <c r="D159" i="12" a="1"/>
  <c r="D159" i="12" s="1"/>
  <c r="C159" i="12" a="1"/>
  <c r="C159" i="12" s="1"/>
  <c r="B159" i="12"/>
  <c r="Z159" i="12" s="1"/>
  <c r="AF158" i="12"/>
  <c r="AD158" i="12"/>
  <c r="V158" i="12"/>
  <c r="B158" i="12"/>
  <c r="AF157" i="12"/>
  <c r="AD157" i="12"/>
  <c r="X157" i="12"/>
  <c r="W157" i="12" s="1" a="1"/>
  <c r="W157" i="12" s="1"/>
  <c r="V157" i="12"/>
  <c r="E157" i="12" a="1"/>
  <c r="E157" i="12" s="1"/>
  <c r="B157" i="12"/>
  <c r="AB157" i="12" s="1" a="1"/>
  <c r="AB157" i="12" s="1"/>
  <c r="AF156" i="12"/>
  <c r="AD156" i="12"/>
  <c r="V156" i="12"/>
  <c r="B156" i="12"/>
  <c r="AF155" i="12"/>
  <c r="AD155" i="12"/>
  <c r="V155" i="12"/>
  <c r="B155" i="12"/>
  <c r="AF154" i="12"/>
  <c r="AD154" i="12"/>
  <c r="Z154" i="12"/>
  <c r="V154" i="12"/>
  <c r="B154" i="12"/>
  <c r="AF153" i="12"/>
  <c r="AD153" i="12"/>
  <c r="AA153" i="12" a="1"/>
  <c r="AA153" i="12" s="1"/>
  <c r="Z153" i="12"/>
  <c r="X153" i="12"/>
  <c r="W153" i="12" s="1" a="1"/>
  <c r="W153" i="12" s="1"/>
  <c r="V153" i="12"/>
  <c r="D153" i="12" a="1"/>
  <c r="D153" i="12" s="1"/>
  <c r="C153" i="12" a="1"/>
  <c r="C153" i="12" s="1"/>
  <c r="B153" i="12"/>
  <c r="E153" i="12" s="1" a="1"/>
  <c r="E153" i="12" s="1"/>
  <c r="AF152" i="12"/>
  <c r="AD152" i="12"/>
  <c r="V152" i="12"/>
  <c r="E152" i="12" a="1"/>
  <c r="E152" i="12" s="1"/>
  <c r="B152" i="12"/>
  <c r="Z152" i="12" s="1"/>
  <c r="AF151" i="12"/>
  <c r="AD151" i="12"/>
  <c r="AB151" i="12" a="1"/>
  <c r="AB151" i="12" s="1"/>
  <c r="V151" i="12"/>
  <c r="D151" i="12" a="1"/>
  <c r="D151" i="12" s="1"/>
  <c r="C151" i="12" a="1"/>
  <c r="C151" i="12" s="1"/>
  <c r="B151" i="12"/>
  <c r="AF150" i="12"/>
  <c r="AD150" i="12"/>
  <c r="V150" i="12"/>
  <c r="B150" i="12"/>
  <c r="AF149" i="12"/>
  <c r="AD149" i="12"/>
  <c r="V149" i="12"/>
  <c r="B149" i="12"/>
  <c r="AF148" i="12"/>
  <c r="AD148" i="12"/>
  <c r="AC148" i="12" a="1"/>
  <c r="AC148" i="12" s="1"/>
  <c r="AA148" i="12" a="1"/>
  <c r="AA148" i="12" s="1"/>
  <c r="V148" i="12"/>
  <c r="E148" i="12" a="1"/>
  <c r="E148" i="12" s="1"/>
  <c r="C148" i="12" a="1"/>
  <c r="C148" i="12" s="1"/>
  <c r="B148" i="12"/>
  <c r="Z148" i="12" s="1"/>
  <c r="AF147" i="12"/>
  <c r="AD147" i="12"/>
  <c r="AB147" i="12" a="1"/>
  <c r="AB147" i="12" s="1"/>
  <c r="V147" i="12"/>
  <c r="B147" i="12"/>
  <c r="X147" i="12" s="1"/>
  <c r="W147" i="12" s="1" a="1"/>
  <c r="W147" i="12" s="1"/>
  <c r="AF146" i="12"/>
  <c r="AD146" i="12"/>
  <c r="Z146" i="12"/>
  <c r="V146" i="12"/>
  <c r="B146" i="12"/>
  <c r="X146" i="12" s="1"/>
  <c r="W146" i="12" s="1" a="1"/>
  <c r="W146" i="12" s="1"/>
  <c r="AF145" i="12"/>
  <c r="AD145" i="12"/>
  <c r="V145" i="12"/>
  <c r="B145" i="12"/>
  <c r="AC145" i="12" s="1" a="1"/>
  <c r="AC145" i="12" s="1"/>
  <c r="AF144" i="12"/>
  <c r="AD144" i="12"/>
  <c r="AB144" i="12" a="1"/>
  <c r="AB144" i="12" s="1"/>
  <c r="V144" i="12"/>
  <c r="B144" i="12"/>
  <c r="AA144" i="12" s="1" a="1"/>
  <c r="AA144" i="12" s="1"/>
  <c r="AF143" i="12"/>
  <c r="AD143" i="12"/>
  <c r="V143" i="12"/>
  <c r="B143" i="12"/>
  <c r="E143" i="12" s="1" a="1"/>
  <c r="E143" i="12" s="1"/>
  <c r="AF142" i="12"/>
  <c r="AD142" i="12"/>
  <c r="X142" i="12"/>
  <c r="W142" i="12" s="1" a="1"/>
  <c r="W142" i="12" s="1"/>
  <c r="V142" i="12"/>
  <c r="B142" i="12"/>
  <c r="AF141" i="12"/>
  <c r="AD141" i="12"/>
  <c r="AC141" i="12" a="1"/>
  <c r="AC141" i="12" s="1"/>
  <c r="AB141" i="12" a="1"/>
  <c r="AB141" i="12" s="1"/>
  <c r="AA141" i="12" a="1"/>
  <c r="AA141" i="12"/>
  <c r="V141" i="12"/>
  <c r="C141" i="12" a="1"/>
  <c r="C141" i="12"/>
  <c r="B141" i="12"/>
  <c r="X141" i="12" s="1"/>
  <c r="W141" i="12" s="1" a="1"/>
  <c r="W141" i="12" s="1"/>
  <c r="AF140" i="12"/>
  <c r="AD140" i="12"/>
  <c r="V140" i="12"/>
  <c r="D140" i="12" a="1"/>
  <c r="D140" i="12" s="1"/>
  <c r="C140" i="12" a="1"/>
  <c r="C140" i="12" s="1"/>
  <c r="B140" i="12"/>
  <c r="AF139" i="12"/>
  <c r="AD139" i="12"/>
  <c r="AC139" i="12" a="1"/>
  <c r="AC139" i="12" s="1"/>
  <c r="V139" i="12"/>
  <c r="E139" i="12" a="1"/>
  <c r="E139" i="12" s="1"/>
  <c r="B139" i="12"/>
  <c r="AB139" i="12" s="1" a="1"/>
  <c r="AB139" i="12" s="1"/>
  <c r="AF138" i="12"/>
  <c r="AD138" i="12"/>
  <c r="AB138" i="12" a="1"/>
  <c r="AB138" i="12" s="1"/>
  <c r="W138" i="12" a="1"/>
  <c r="W138" i="12" s="1"/>
  <c r="V138" i="12"/>
  <c r="E138" i="12" a="1"/>
  <c r="E138" i="12" s="1"/>
  <c r="C138" i="12" a="1"/>
  <c r="C138" i="12" s="1"/>
  <c r="B138" i="12"/>
  <c r="X138" i="12" s="1"/>
  <c r="AF137" i="12"/>
  <c r="AD137" i="12"/>
  <c r="V137" i="12"/>
  <c r="B137" i="12"/>
  <c r="AF136" i="12"/>
  <c r="AD136" i="12"/>
  <c r="V136" i="12"/>
  <c r="E136" i="12" a="1"/>
  <c r="E136" i="12" s="1"/>
  <c r="B136" i="12"/>
  <c r="AC136" i="12" s="1" a="1"/>
  <c r="AC136" i="12" s="1"/>
  <c r="AF135" i="12"/>
  <c r="AD135" i="12"/>
  <c r="AC135" i="12" a="1"/>
  <c r="AC135" i="12" s="1"/>
  <c r="X135" i="12"/>
  <c r="W135" i="12" s="1" a="1"/>
  <c r="W135" i="12" s="1"/>
  <c r="V135" i="12"/>
  <c r="E135" i="12" a="1"/>
  <c r="E135" i="12" s="1"/>
  <c r="D135" i="12" a="1"/>
  <c r="D135" i="12" s="1"/>
  <c r="B135" i="12"/>
  <c r="Z135" i="12" s="1"/>
  <c r="AF134" i="12"/>
  <c r="AD134" i="12"/>
  <c r="V134" i="12"/>
  <c r="B134" i="12"/>
  <c r="Z134" i="12" s="1"/>
  <c r="AF133" i="12"/>
  <c r="AD133" i="12"/>
  <c r="V133" i="12"/>
  <c r="B133" i="12"/>
  <c r="AC133" i="12" s="1" a="1"/>
  <c r="AC133" i="12" s="1"/>
  <c r="AF132" i="12"/>
  <c r="AD132" i="12"/>
  <c r="AB132" i="12" a="1"/>
  <c r="AB132" i="12" s="1"/>
  <c r="W132" i="12" a="1"/>
  <c r="W132" i="12" s="1"/>
  <c r="V132" i="12"/>
  <c r="E132" i="12" a="1"/>
  <c r="E132" i="12" s="1"/>
  <c r="D132" i="12" a="1"/>
  <c r="D132" i="12" s="1"/>
  <c r="B132" i="12"/>
  <c r="X132" i="12" s="1"/>
  <c r="AF131" i="12"/>
  <c r="AD131" i="12"/>
  <c r="V131" i="12"/>
  <c r="B131" i="12"/>
  <c r="AF130" i="12"/>
  <c r="AD130" i="12"/>
  <c r="V130" i="12"/>
  <c r="B130" i="12"/>
  <c r="E130" i="12" s="1" a="1"/>
  <c r="E130" i="12" s="1"/>
  <c r="AF129" i="12"/>
  <c r="AD129" i="12"/>
  <c r="AB129" i="12" a="1"/>
  <c r="AB129" i="12" s="1"/>
  <c r="V129" i="12"/>
  <c r="B129" i="12"/>
  <c r="AF128" i="12"/>
  <c r="AD128" i="12"/>
  <c r="AB128" i="12" a="1"/>
  <c r="AB128" i="12" s="1"/>
  <c r="V128" i="12"/>
  <c r="E128" i="12" a="1"/>
  <c r="E128" i="12" s="1"/>
  <c r="D128" i="12" a="1"/>
  <c r="D128" i="12" s="1"/>
  <c r="C128" i="12" a="1"/>
  <c r="C128" i="12" s="1"/>
  <c r="B128" i="12"/>
  <c r="X128" i="12" s="1"/>
  <c r="W128" i="12" s="1" a="1"/>
  <c r="W128" i="12" s="1"/>
  <c r="AF127" i="12"/>
  <c r="AD127" i="12"/>
  <c r="V127" i="12"/>
  <c r="B127" i="12"/>
  <c r="AF126" i="12"/>
  <c r="AD126" i="12"/>
  <c r="V126" i="12"/>
  <c r="B126" i="12"/>
  <c r="X126" i="12" s="1"/>
  <c r="W126" i="12" s="1" a="1"/>
  <c r="W126" i="12" s="1"/>
  <c r="AF125" i="12"/>
  <c r="AD125" i="12"/>
  <c r="AB125" i="12" a="1"/>
  <c r="AB125" i="12" s="1"/>
  <c r="V125" i="12"/>
  <c r="E125" i="12" a="1"/>
  <c r="E125" i="12" s="1"/>
  <c r="D125" i="12" a="1"/>
  <c r="D125" i="12" s="1"/>
  <c r="B125" i="12"/>
  <c r="Z125" i="12" s="1"/>
  <c r="AF124" i="12"/>
  <c r="AD124" i="12"/>
  <c r="V124" i="12"/>
  <c r="B124" i="12"/>
  <c r="Z124" i="12" s="1"/>
  <c r="AF123" i="12"/>
  <c r="AD123" i="12"/>
  <c r="Z123" i="12"/>
  <c r="X123" i="12"/>
  <c r="W123" i="12" s="1" a="1"/>
  <c r="W123" i="12" s="1"/>
  <c r="V123" i="12"/>
  <c r="C123" i="12" a="1"/>
  <c r="C123" i="12" s="1"/>
  <c r="B123" i="12"/>
  <c r="AC123" i="12" s="1" a="1"/>
  <c r="AC123" i="12" s="1"/>
  <c r="AF122" i="12"/>
  <c r="AD122" i="12"/>
  <c r="V122" i="12"/>
  <c r="B122" i="12"/>
  <c r="X122" i="12" s="1"/>
  <c r="W122" i="12" s="1" a="1"/>
  <c r="W122" i="12" s="1"/>
  <c r="AF121" i="12"/>
  <c r="AD121" i="12"/>
  <c r="X121" i="12"/>
  <c r="W121" i="12" s="1" a="1"/>
  <c r="W121" i="12" s="1"/>
  <c r="V121" i="12"/>
  <c r="B121" i="12"/>
  <c r="AF120" i="12"/>
  <c r="AD120" i="12"/>
  <c r="V120" i="12"/>
  <c r="B120" i="12"/>
  <c r="AF119" i="12"/>
  <c r="AD119" i="12"/>
  <c r="X119" i="12"/>
  <c r="W119" i="12" s="1" a="1"/>
  <c r="W119" i="12" s="1"/>
  <c r="V119" i="12"/>
  <c r="B119" i="12"/>
  <c r="AC119" i="12" s="1" a="1"/>
  <c r="AC119" i="12" s="1"/>
  <c r="AF118" i="12"/>
  <c r="AD118" i="12"/>
  <c r="AC118" i="12" a="1"/>
  <c r="AC118" i="12" s="1"/>
  <c r="AA118" i="12" a="1"/>
  <c r="AA118" i="12" s="1"/>
  <c r="V118" i="12"/>
  <c r="D118" i="12" a="1"/>
  <c r="D118" i="12" s="1"/>
  <c r="C118" i="12" a="1"/>
  <c r="C118" i="12" s="1"/>
  <c r="B118" i="12"/>
  <c r="AB118" i="12" s="1" a="1"/>
  <c r="AB118" i="12" s="1"/>
  <c r="AF117" i="12"/>
  <c r="AD117" i="12"/>
  <c r="AC117" i="12" a="1"/>
  <c r="AC117" i="12" s="1"/>
  <c r="V117" i="12"/>
  <c r="E117" i="12" a="1"/>
  <c r="E117" i="12"/>
  <c r="D117" i="12" a="1"/>
  <c r="D117" i="12" s="1"/>
  <c r="B117" i="12"/>
  <c r="C117" i="12" s="1" a="1"/>
  <c r="C117" i="12" s="1"/>
  <c r="AF116" i="12"/>
  <c r="AD116" i="12"/>
  <c r="V116" i="12"/>
  <c r="B116" i="12"/>
  <c r="AF115" i="12"/>
  <c r="AD115" i="12"/>
  <c r="V115" i="12"/>
  <c r="B115" i="12"/>
  <c r="AF114" i="12"/>
  <c r="AD114" i="12"/>
  <c r="AC114" i="12" a="1"/>
  <c r="AC114" i="12" s="1"/>
  <c r="V114" i="12"/>
  <c r="B114" i="12"/>
  <c r="AB114" i="12" s="1" a="1"/>
  <c r="AB114" i="12" s="1"/>
  <c r="AF113" i="12"/>
  <c r="AD113" i="12"/>
  <c r="X113" i="12"/>
  <c r="W113" i="12" s="1" a="1"/>
  <c r="W113" i="12" s="1"/>
  <c r="V113" i="12"/>
  <c r="B113" i="12"/>
  <c r="AC113" i="12" s="1" a="1"/>
  <c r="AC113" i="12" s="1"/>
  <c r="AF112" i="12"/>
  <c r="AD112" i="12"/>
  <c r="AC112" i="12" a="1"/>
  <c r="AC112" i="12" s="1"/>
  <c r="AB112" i="12" a="1"/>
  <c r="AB112" i="12" s="1"/>
  <c r="Z112" i="12"/>
  <c r="V112" i="12"/>
  <c r="C112" i="12" a="1"/>
  <c r="C112" i="12" s="1"/>
  <c r="B112" i="12"/>
  <c r="AF111" i="12"/>
  <c r="AD111" i="12"/>
  <c r="AC111" i="12" a="1"/>
  <c r="AC111" i="12" s="1"/>
  <c r="AA111" i="12" a="1"/>
  <c r="AA111" i="12" s="1"/>
  <c r="V111" i="12"/>
  <c r="E111" i="12" a="1"/>
  <c r="E111" i="12" s="1"/>
  <c r="B111" i="12"/>
  <c r="AF110" i="12"/>
  <c r="AD110" i="12"/>
  <c r="AB110" i="12" a="1"/>
  <c r="AB110" i="12" s="1"/>
  <c r="AA110" i="12" a="1"/>
  <c r="AA110" i="12" s="1"/>
  <c r="V110" i="12"/>
  <c r="B110" i="12"/>
  <c r="AF109" i="12"/>
  <c r="AD109" i="12"/>
  <c r="AB109" i="12" a="1"/>
  <c r="AB109" i="12" s="1"/>
  <c r="Z109" i="12"/>
  <c r="X109" i="12"/>
  <c r="W109" i="12" s="1" a="1"/>
  <c r="W109" i="12"/>
  <c r="V109" i="12"/>
  <c r="D109" i="12" a="1"/>
  <c r="D109" i="12" s="1"/>
  <c r="C109" i="12" a="1"/>
  <c r="C109" i="12" s="1"/>
  <c r="B109" i="12"/>
  <c r="AA109" i="12" s="1" a="1"/>
  <c r="AA109" i="12" s="1"/>
  <c r="AF108" i="12"/>
  <c r="AD108" i="12"/>
  <c r="X108" i="12"/>
  <c r="W108" i="12" s="1" a="1"/>
  <c r="W108" i="12"/>
  <c r="V108" i="12"/>
  <c r="B108" i="12"/>
  <c r="AB108" i="12" s="1" a="1"/>
  <c r="AB108" i="12" s="1"/>
  <c r="AF107" i="12"/>
  <c r="AD107" i="12"/>
  <c r="X107" i="12"/>
  <c r="W107" i="12" s="1" a="1"/>
  <c r="W107" i="12" s="1"/>
  <c r="V107" i="12"/>
  <c r="B107" i="12"/>
  <c r="AF106" i="12"/>
  <c r="AD106" i="12"/>
  <c r="AC106" i="12" a="1"/>
  <c r="AC106" i="12" s="1"/>
  <c r="AB106" i="12" a="1"/>
  <c r="AB106" i="12" s="1"/>
  <c r="AA106" i="12" a="1"/>
  <c r="AA106" i="12" s="1"/>
  <c r="Z106" i="12"/>
  <c r="V106" i="12"/>
  <c r="E106" i="12" a="1"/>
  <c r="E106" i="12" s="1"/>
  <c r="D106" i="12" a="1"/>
  <c r="D106" i="12" s="1"/>
  <c r="C106" i="12" a="1"/>
  <c r="C106" i="12" s="1"/>
  <c r="B106" i="12"/>
  <c r="X106" i="12" s="1"/>
  <c r="W106" i="12" s="1" a="1"/>
  <c r="W106" i="12" s="1"/>
  <c r="AF105" i="12"/>
  <c r="AD105" i="12"/>
  <c r="AC105" i="12" a="1"/>
  <c r="AC105" i="12" s="1"/>
  <c r="AA105" i="12" a="1"/>
  <c r="AA105" i="12" s="1"/>
  <c r="Z105" i="12"/>
  <c r="V105" i="12"/>
  <c r="E105" i="12" a="1"/>
  <c r="E105" i="12" s="1"/>
  <c r="D105" i="12" a="1"/>
  <c r="D105" i="12" s="1"/>
  <c r="B105" i="12"/>
  <c r="C105" i="12" s="1" a="1"/>
  <c r="C105" i="12" s="1"/>
  <c r="AF104" i="12"/>
  <c r="AD104" i="12"/>
  <c r="V104" i="12"/>
  <c r="E104" i="12" a="1"/>
  <c r="E104" i="12" s="1"/>
  <c r="B104" i="12"/>
  <c r="AB104" i="12" s="1" a="1"/>
  <c r="AB104" i="12" s="1"/>
  <c r="AF103" i="12"/>
  <c r="AD103" i="12"/>
  <c r="AC103" i="12" a="1"/>
  <c r="AC103" i="12" s="1"/>
  <c r="V103" i="12"/>
  <c r="B103" i="12"/>
  <c r="AA103" i="12" s="1" a="1"/>
  <c r="AA103" i="12" s="1"/>
  <c r="AF102" i="12"/>
  <c r="AD102" i="12"/>
  <c r="V102" i="12"/>
  <c r="B102" i="12"/>
  <c r="AC102" i="12" s="1" a="1"/>
  <c r="AC102" i="12" s="1"/>
  <c r="AF101" i="12"/>
  <c r="AD101" i="12"/>
  <c r="V101" i="12"/>
  <c r="B101" i="12"/>
  <c r="AB101" i="12" s="1" a="1"/>
  <c r="AB101" i="12" s="1"/>
  <c r="AF100" i="12"/>
  <c r="AD100" i="12"/>
  <c r="AC100" i="12" a="1"/>
  <c r="AC100" i="12" s="1"/>
  <c r="AA100" i="12" a="1"/>
  <c r="AA100" i="12" s="1"/>
  <c r="V100" i="12"/>
  <c r="E100" i="12" a="1"/>
  <c r="E100" i="12" s="1"/>
  <c r="D100" i="12" a="1"/>
  <c r="D100" i="12"/>
  <c r="C100" i="12" a="1"/>
  <c r="C100" i="12" s="1"/>
  <c r="B100" i="12"/>
  <c r="X100" i="12" s="1"/>
  <c r="W100" i="12" s="1" a="1"/>
  <c r="W100" i="12" s="1"/>
  <c r="AF99" i="12"/>
  <c r="AD99" i="12"/>
  <c r="AC99" i="12" a="1"/>
  <c r="AC99" i="12" s="1"/>
  <c r="AB99" i="12" a="1"/>
  <c r="AB99" i="12" s="1"/>
  <c r="V99" i="12"/>
  <c r="B99" i="12"/>
  <c r="AA99" i="12" s="1" a="1"/>
  <c r="AA99" i="12" s="1"/>
  <c r="AF98" i="12"/>
  <c r="AD98" i="12"/>
  <c r="AC98" i="12" a="1"/>
  <c r="AC98" i="12" s="1"/>
  <c r="AA98" i="12" a="1"/>
  <c r="AA98" i="12" s="1"/>
  <c r="V98" i="12"/>
  <c r="B98" i="12"/>
  <c r="AB98" i="12" s="1" a="1"/>
  <c r="AB98" i="12" s="1"/>
  <c r="AF97" i="12"/>
  <c r="AD97" i="12"/>
  <c r="V97" i="12"/>
  <c r="B97" i="12"/>
  <c r="AF96" i="12"/>
  <c r="AD96" i="12"/>
  <c r="V96" i="12"/>
  <c r="B96" i="12"/>
  <c r="AF95" i="12"/>
  <c r="AD95" i="12"/>
  <c r="V95" i="12"/>
  <c r="C95" i="12" a="1"/>
  <c r="C95" i="12" s="1"/>
  <c r="B95" i="12"/>
  <c r="AC95" i="12" s="1" a="1"/>
  <c r="AC95" i="12" s="1"/>
  <c r="AF94" i="12"/>
  <c r="AD94" i="12"/>
  <c r="V94" i="12"/>
  <c r="B94" i="12"/>
  <c r="AF93" i="12"/>
  <c r="AD93" i="12"/>
  <c r="V93" i="12"/>
  <c r="D93" i="12" a="1"/>
  <c r="D93" i="12" s="1"/>
  <c r="B93" i="12"/>
  <c r="AF92" i="12"/>
  <c r="AD92" i="12"/>
  <c r="V92" i="12"/>
  <c r="B92" i="12"/>
  <c r="AF91" i="12"/>
  <c r="AD91" i="12"/>
  <c r="AC91" i="12" a="1"/>
  <c r="AC91" i="12" s="1"/>
  <c r="Z91" i="12"/>
  <c r="V91" i="12"/>
  <c r="E91" i="12" a="1"/>
  <c r="E91" i="12" s="1"/>
  <c r="D91" i="12" a="1"/>
  <c r="D91" i="12" s="1"/>
  <c r="B91" i="12"/>
  <c r="AB91" i="12" s="1" a="1"/>
  <c r="AB91" i="12" s="1"/>
  <c r="AF90" i="12"/>
  <c r="AD90" i="12"/>
  <c r="AC90" i="12" a="1"/>
  <c r="AC90" i="12" s="1"/>
  <c r="AB90" i="12" a="1"/>
  <c r="AB90" i="12" s="1"/>
  <c r="V90" i="12"/>
  <c r="E90" i="12" a="1"/>
  <c r="E90" i="12" s="1"/>
  <c r="D90" i="12" a="1"/>
  <c r="D90" i="12" s="1"/>
  <c r="B90" i="12"/>
  <c r="Z90" i="12" s="1"/>
  <c r="AF89" i="12"/>
  <c r="AD89" i="12"/>
  <c r="Z89" i="12"/>
  <c r="V89" i="12"/>
  <c r="B89" i="12"/>
  <c r="X89" i="12" s="1"/>
  <c r="W89" i="12" s="1" a="1"/>
  <c r="W89" i="12" s="1"/>
  <c r="AF88" i="12"/>
  <c r="AD88" i="12"/>
  <c r="AA88" i="12" a="1"/>
  <c r="AA88" i="12" s="1"/>
  <c r="V88" i="12"/>
  <c r="E88" i="12" a="1"/>
  <c r="E88" i="12" s="1"/>
  <c r="D88" i="12" a="1"/>
  <c r="D88" i="12" s="1"/>
  <c r="B88" i="12"/>
  <c r="X88" i="12" s="1"/>
  <c r="W88" i="12" s="1" a="1"/>
  <c r="W88" i="12" s="1"/>
  <c r="AF87" i="12"/>
  <c r="AD87" i="12"/>
  <c r="Z87" i="12"/>
  <c r="V87" i="12"/>
  <c r="D87" i="12" a="1"/>
  <c r="D87" i="12" s="1"/>
  <c r="C87" i="12" a="1"/>
  <c r="C87" i="12" s="1"/>
  <c r="B87" i="12"/>
  <c r="X87" i="12" s="1"/>
  <c r="W87" i="12" s="1" a="1"/>
  <c r="W87" i="12" s="1"/>
  <c r="AF86" i="12"/>
  <c r="AD86" i="12"/>
  <c r="AB86" i="12" a="1"/>
  <c r="AB86" i="12" s="1"/>
  <c r="V86" i="12"/>
  <c r="B86" i="12"/>
  <c r="X86" i="12" s="1"/>
  <c r="W86" i="12" s="1" a="1"/>
  <c r="W86" i="12" s="1"/>
  <c r="AF85" i="12"/>
  <c r="AD85" i="12"/>
  <c r="AA85" i="12" a="1"/>
  <c r="AA85" i="12" s="1"/>
  <c r="V85" i="12"/>
  <c r="C85" i="12" a="1"/>
  <c r="C85" i="12" s="1"/>
  <c r="B85" i="12"/>
  <c r="X85" i="12" s="1"/>
  <c r="W85" i="12" s="1" a="1"/>
  <c r="W85" i="12" s="1"/>
  <c r="AF84" i="12"/>
  <c r="AD84" i="12"/>
  <c r="AB84" i="12" a="1"/>
  <c r="AB84" i="12" s="1"/>
  <c r="AA84" i="12" a="1"/>
  <c r="AA84" i="12" s="1"/>
  <c r="V84" i="12"/>
  <c r="D84" i="12" a="1"/>
  <c r="D84" i="12" s="1"/>
  <c r="B84" i="12"/>
  <c r="X84" i="12" s="1"/>
  <c r="W84" i="12" s="1" a="1"/>
  <c r="W84" i="12" s="1"/>
  <c r="AF83" i="12"/>
  <c r="AD83" i="12"/>
  <c r="V83" i="12"/>
  <c r="B83" i="12"/>
  <c r="AF82" i="12"/>
  <c r="AD82" i="12"/>
  <c r="AA82" i="12" a="1"/>
  <c r="AA82" i="12" s="1"/>
  <c r="Z82" i="12"/>
  <c r="W82" i="12" a="1"/>
  <c r="W82" i="12" s="1"/>
  <c r="V82" i="12"/>
  <c r="D82" i="12" a="1"/>
  <c r="D82" i="12" s="1"/>
  <c r="C82" i="12" a="1"/>
  <c r="C82" i="12" s="1"/>
  <c r="B82" i="12"/>
  <c r="X82" i="12" s="1"/>
  <c r="AF81" i="12"/>
  <c r="AD81" i="12"/>
  <c r="AB81" i="12" a="1"/>
  <c r="AB81" i="12" s="1"/>
  <c r="Z81" i="12"/>
  <c r="W81" i="12" a="1"/>
  <c r="W81" i="12" s="1"/>
  <c r="V81" i="12"/>
  <c r="E81" i="12" a="1"/>
  <c r="E81" i="12" s="1"/>
  <c r="B81" i="12"/>
  <c r="X81" i="12" s="1"/>
  <c r="AF80" i="12"/>
  <c r="AD80" i="12"/>
  <c r="AB80" i="12" a="1"/>
  <c r="AB80" i="12" s="1"/>
  <c r="AA80" i="12" a="1"/>
  <c r="AA80" i="12" s="1"/>
  <c r="V80" i="12"/>
  <c r="E80" i="12" a="1"/>
  <c r="E80" i="12" s="1"/>
  <c r="D80" i="12" a="1"/>
  <c r="D80" i="12" s="1"/>
  <c r="C80" i="12" a="1"/>
  <c r="C80" i="12" s="1"/>
  <c r="B80" i="12"/>
  <c r="X80" i="12" s="1"/>
  <c r="W80" i="12" s="1" a="1"/>
  <c r="W80" i="12" s="1"/>
  <c r="AF79" i="12"/>
  <c r="AD79" i="12"/>
  <c r="AC79" i="12" a="1"/>
  <c r="AC79" i="12" s="1"/>
  <c r="W79" i="12" a="1"/>
  <c r="W79" i="12" s="1"/>
  <c r="V79" i="12"/>
  <c r="E79" i="12" a="1"/>
  <c r="E79" i="12" s="1"/>
  <c r="B79" i="12"/>
  <c r="X79" i="12" s="1"/>
  <c r="AF78" i="12"/>
  <c r="AD78" i="12"/>
  <c r="V78" i="12"/>
  <c r="B78" i="12"/>
  <c r="AF77" i="12"/>
  <c r="AD77" i="12"/>
  <c r="V77" i="12"/>
  <c r="B77" i="12"/>
  <c r="AF76" i="12"/>
  <c r="AD76" i="12"/>
  <c r="V76" i="12"/>
  <c r="B76" i="12"/>
  <c r="X76" i="12" s="1"/>
  <c r="W76" i="12" s="1" a="1"/>
  <c r="W76" i="12" s="1"/>
  <c r="AF75" i="12"/>
  <c r="AD75" i="12"/>
  <c r="AB75" i="12" a="1"/>
  <c r="AB75" i="12" s="1"/>
  <c r="AA75" i="12" a="1"/>
  <c r="AA75" i="12" s="1"/>
  <c r="V75" i="12"/>
  <c r="B75" i="12"/>
  <c r="X75" i="12" s="1"/>
  <c r="W75" i="12" s="1" a="1"/>
  <c r="W75" i="12" s="1"/>
  <c r="AF74" i="12"/>
  <c r="AD74" i="12"/>
  <c r="V74" i="12"/>
  <c r="B74" i="12"/>
  <c r="AF73" i="12"/>
  <c r="AD73" i="12"/>
  <c r="AB73" i="12" a="1"/>
  <c r="AB73" i="12" s="1"/>
  <c r="AA73" i="12" a="1"/>
  <c r="AA73" i="12" s="1"/>
  <c r="Z73" i="12"/>
  <c r="W73" i="12" a="1"/>
  <c r="W73" i="12"/>
  <c r="V73" i="12"/>
  <c r="E73" i="12" a="1"/>
  <c r="E73" i="12" s="1"/>
  <c r="D73" i="12" a="1"/>
  <c r="D73" i="12" s="1"/>
  <c r="C73" i="12" a="1"/>
  <c r="C73" i="12" s="1"/>
  <c r="B73" i="12"/>
  <c r="X73" i="12" s="1"/>
  <c r="AF72" i="12"/>
  <c r="AD72" i="12"/>
  <c r="AC72" i="12" a="1"/>
  <c r="AC72" i="12" s="1"/>
  <c r="AB72" i="12" a="1"/>
  <c r="AB72" i="12" s="1"/>
  <c r="AA72" i="12" a="1"/>
  <c r="AA72" i="12" s="1"/>
  <c r="Z72" i="12"/>
  <c r="X72" i="12"/>
  <c r="W72" i="12" s="1" a="1"/>
  <c r="W72" i="12" s="1"/>
  <c r="V72" i="12"/>
  <c r="E72" i="12" a="1"/>
  <c r="E72" i="12" s="1"/>
  <c r="D72" i="12" a="1"/>
  <c r="D72" i="12" s="1"/>
  <c r="C72" i="12" a="1"/>
  <c r="C72" i="12" s="1"/>
  <c r="B72" i="12"/>
  <c r="AF71" i="12"/>
  <c r="AD71" i="12"/>
  <c r="V71" i="12"/>
  <c r="B71" i="12"/>
  <c r="X71" i="12" s="1"/>
  <c r="W71" i="12" s="1" a="1"/>
  <c r="W71" i="12" s="1"/>
  <c r="AF70" i="12"/>
  <c r="AD70" i="12"/>
  <c r="AC70" i="12" a="1"/>
  <c r="AC70" i="12" s="1"/>
  <c r="AB70" i="12" a="1"/>
  <c r="AB70" i="12" s="1"/>
  <c r="AA70" i="12" a="1"/>
  <c r="AA70" i="12" s="1"/>
  <c r="W70" i="12" a="1"/>
  <c r="W70" i="12" s="1"/>
  <c r="V70" i="12"/>
  <c r="E70" i="12" a="1"/>
  <c r="E70" i="12" s="1"/>
  <c r="D70" i="12" a="1"/>
  <c r="D70" i="12" s="1"/>
  <c r="B70" i="12"/>
  <c r="X70" i="12" s="1"/>
  <c r="AF69" i="12"/>
  <c r="AD69" i="12"/>
  <c r="V69" i="12"/>
  <c r="D69" i="12" a="1"/>
  <c r="D69" i="12" s="1"/>
  <c r="C69" i="12" a="1"/>
  <c r="C69" i="12" s="1"/>
  <c r="B69" i="12"/>
  <c r="X69" i="12" s="1"/>
  <c r="W69" i="12" s="1" a="1"/>
  <c r="W69" i="12" s="1"/>
  <c r="AF68" i="12"/>
  <c r="AD68" i="12"/>
  <c r="AC68" i="12" a="1"/>
  <c r="AC68" i="12" s="1"/>
  <c r="AB68" i="12" a="1"/>
  <c r="AB68" i="12" s="1"/>
  <c r="W68" i="12" a="1"/>
  <c r="W68" i="12" s="1"/>
  <c r="V68" i="12"/>
  <c r="C68" i="12" a="1"/>
  <c r="C68" i="12" s="1"/>
  <c r="B68" i="12"/>
  <c r="X68" i="12" s="1"/>
  <c r="AF67" i="12"/>
  <c r="AD67" i="12"/>
  <c r="V67" i="12"/>
  <c r="B67" i="12"/>
  <c r="AF66" i="12"/>
  <c r="AD66" i="12"/>
  <c r="V66" i="12"/>
  <c r="B66" i="12"/>
  <c r="AF65" i="12"/>
  <c r="AD65" i="12"/>
  <c r="Z65" i="12"/>
  <c r="V65" i="12"/>
  <c r="B65" i="12"/>
  <c r="X65" i="12" s="1"/>
  <c r="W65" i="12" s="1" a="1"/>
  <c r="W65" i="12" s="1"/>
  <c r="AF64" i="12"/>
  <c r="AD64" i="12"/>
  <c r="AA64" i="12" a="1"/>
  <c r="AA64" i="12" s="1"/>
  <c r="W64" i="12" a="1"/>
  <c r="W64" i="12" s="1"/>
  <c r="V64" i="12"/>
  <c r="B64" i="12"/>
  <c r="X64" i="12" s="1"/>
  <c r="AF63" i="12"/>
  <c r="AD63" i="12"/>
  <c r="V63" i="12"/>
  <c r="B63" i="12"/>
  <c r="X63" i="12" s="1"/>
  <c r="W63" i="12" s="1" a="1"/>
  <c r="W63" i="12" s="1"/>
  <c r="AF62" i="12"/>
  <c r="AD62" i="12"/>
  <c r="V62" i="12"/>
  <c r="E62" i="12" a="1"/>
  <c r="E62" i="12" s="1"/>
  <c r="B62" i="12"/>
  <c r="X62" i="12" s="1"/>
  <c r="W62" i="12" s="1" a="1"/>
  <c r="W62" i="12" s="1"/>
  <c r="AF61" i="12"/>
  <c r="AD61" i="12"/>
  <c r="AC61" i="12" a="1"/>
  <c r="AC61" i="12" s="1"/>
  <c r="AA61" i="12" a="1"/>
  <c r="AA61" i="12" s="1"/>
  <c r="V61" i="12"/>
  <c r="C61" i="12" a="1"/>
  <c r="C61" i="12"/>
  <c r="B61" i="12"/>
  <c r="E61" i="12" s="1" a="1"/>
  <c r="E61" i="12" s="1"/>
  <c r="AF60" i="12"/>
  <c r="AD60" i="12"/>
  <c r="AC60" i="12" a="1"/>
  <c r="AC60" i="12" s="1"/>
  <c r="V60" i="12"/>
  <c r="C60" i="12" a="1"/>
  <c r="C60" i="12" s="1"/>
  <c r="B60" i="12"/>
  <c r="AA60" i="12" s="1" a="1"/>
  <c r="AA60" i="12" s="1"/>
  <c r="AF59" i="12"/>
  <c r="AD59" i="12"/>
  <c r="X59" i="12"/>
  <c r="W59" i="12" s="1" a="1"/>
  <c r="W59" i="12" s="1"/>
  <c r="V59" i="12"/>
  <c r="B59" i="12"/>
  <c r="D59" i="12" s="1" a="1"/>
  <c r="D59" i="12" s="1"/>
  <c r="AF58" i="12"/>
  <c r="AD58" i="12"/>
  <c r="AB58" i="12" a="1"/>
  <c r="AB58" i="12" s="1"/>
  <c r="W58" i="12" a="1"/>
  <c r="W58" i="12" s="1"/>
  <c r="V58" i="12"/>
  <c r="B58" i="12"/>
  <c r="X58" i="12" s="1"/>
  <c r="AF57" i="12"/>
  <c r="AD57" i="12"/>
  <c r="Z57" i="12"/>
  <c r="V57" i="12"/>
  <c r="B57" i="12"/>
  <c r="X57" i="12" s="1"/>
  <c r="W57" i="12" s="1" a="1"/>
  <c r="W57" i="12" s="1"/>
  <c r="AF56" i="12"/>
  <c r="AD56" i="12"/>
  <c r="V56" i="12"/>
  <c r="B56" i="12"/>
  <c r="C56" i="12" s="1" a="1"/>
  <c r="C56" i="12" s="1"/>
  <c r="AF55" i="12"/>
  <c r="AD55" i="12"/>
  <c r="V55" i="12"/>
  <c r="B55" i="12"/>
  <c r="D55" i="12" s="1" a="1"/>
  <c r="D55" i="12" s="1"/>
  <c r="AF54" i="12"/>
  <c r="AD54" i="12"/>
  <c r="AA54" i="12" a="1"/>
  <c r="AA54" i="12" s="1"/>
  <c r="V54" i="12"/>
  <c r="E54" i="12" a="1"/>
  <c r="E54" i="12" s="1"/>
  <c r="B54" i="12"/>
  <c r="X54" i="12" s="1"/>
  <c r="W54" i="12" s="1" a="1"/>
  <c r="W54" i="12" s="1"/>
  <c r="AF53" i="12"/>
  <c r="AD53" i="12"/>
  <c r="AC53" i="12" a="1"/>
  <c r="AC53" i="12" s="1"/>
  <c r="AB53" i="12" a="1"/>
  <c r="AB53" i="12" s="1"/>
  <c r="Z53" i="12"/>
  <c r="X53" i="12"/>
  <c r="W53" i="12" s="1" a="1"/>
  <c r="W53" i="12" s="1"/>
  <c r="V53" i="12"/>
  <c r="E53" i="12" a="1"/>
  <c r="E53" i="12" s="1"/>
  <c r="C53" i="12" a="1"/>
  <c r="C53" i="12" s="1"/>
  <c r="B53" i="12"/>
  <c r="AA53" i="12" s="1" a="1"/>
  <c r="AA53" i="12" s="1"/>
  <c r="AF52" i="12"/>
  <c r="AD52" i="12"/>
  <c r="V52" i="12"/>
  <c r="B52" i="12"/>
  <c r="X52" i="12" s="1"/>
  <c r="W52" i="12" s="1" a="1"/>
  <c r="W52" i="12" s="1"/>
  <c r="AF51" i="12"/>
  <c r="AD51" i="12"/>
  <c r="V51" i="12"/>
  <c r="E51" i="12" a="1"/>
  <c r="E51" i="12" s="1"/>
  <c r="B51" i="12"/>
  <c r="X51" i="12" s="1"/>
  <c r="W51" i="12" s="1" a="1"/>
  <c r="W51" i="12" s="1"/>
  <c r="AF50" i="12"/>
  <c r="AD50" i="12"/>
  <c r="AC50" i="12" a="1"/>
  <c r="AC50" i="12" s="1"/>
  <c r="AA50" i="12" a="1"/>
  <c r="AA50" i="12" s="1"/>
  <c r="Z50" i="12"/>
  <c r="W50" i="12" a="1"/>
  <c r="W50" i="12" s="1"/>
  <c r="V50" i="12"/>
  <c r="D50" i="12" a="1"/>
  <c r="D50" i="12" s="1"/>
  <c r="C50" i="12" a="1"/>
  <c r="C50" i="12" s="1"/>
  <c r="B50" i="12"/>
  <c r="X50" i="12" s="1"/>
  <c r="AF49" i="12"/>
  <c r="AD49" i="12"/>
  <c r="V49" i="12"/>
  <c r="D49" i="12" a="1"/>
  <c r="D49" i="12" s="1"/>
  <c r="B49" i="12"/>
  <c r="AB49" i="12" s="1" a="1"/>
  <c r="AB49" i="12" s="1"/>
  <c r="AF48" i="12"/>
  <c r="AD48" i="12"/>
  <c r="V48" i="12"/>
  <c r="B48" i="12"/>
  <c r="E48" i="12" s="1" a="1"/>
  <c r="E48" i="12" s="1"/>
  <c r="AF47" i="12"/>
  <c r="AD47" i="12"/>
  <c r="AC47" i="12" a="1"/>
  <c r="AC47" i="12" s="1"/>
  <c r="AB47" i="12" a="1"/>
  <c r="AB47" i="12" s="1"/>
  <c r="V47" i="12"/>
  <c r="C47" i="12" a="1"/>
  <c r="C47" i="12" s="1"/>
  <c r="B47" i="12"/>
  <c r="Z47" i="12" s="1"/>
  <c r="AF46" i="12"/>
  <c r="AD46" i="12"/>
  <c r="V46" i="12"/>
  <c r="B46" i="12"/>
  <c r="X46" i="12" s="1"/>
  <c r="W46" i="12" s="1" a="1"/>
  <c r="W46" i="12" s="1"/>
  <c r="AF45" i="12"/>
  <c r="AD45" i="12"/>
  <c r="AC45" i="12" a="1"/>
  <c r="AC45" i="12"/>
  <c r="W45" i="12" a="1"/>
  <c r="W45" i="12" s="1"/>
  <c r="V45" i="12"/>
  <c r="D45" i="12" a="1"/>
  <c r="D45" i="12" s="1"/>
  <c r="C45" i="12" a="1"/>
  <c r="C45" i="12" s="1"/>
  <c r="B45" i="12"/>
  <c r="X45" i="12" s="1"/>
  <c r="AF44" i="12"/>
  <c r="AD44" i="12"/>
  <c r="AC44" i="12" a="1"/>
  <c r="AC44" i="12" s="1"/>
  <c r="AB44" i="12" a="1"/>
  <c r="AB44" i="12" s="1"/>
  <c r="W44" i="12" a="1"/>
  <c r="W44" i="12" s="1"/>
  <c r="V44" i="12"/>
  <c r="C44" i="12" a="1"/>
  <c r="C44" i="12" s="1"/>
  <c r="B44" i="12"/>
  <c r="X44" i="12" s="1"/>
  <c r="AF43" i="12"/>
  <c r="AD43" i="12"/>
  <c r="V43" i="12"/>
  <c r="B43" i="12"/>
  <c r="AB43" i="12" s="1" a="1"/>
  <c r="AB43" i="12" s="1"/>
  <c r="AF42" i="12"/>
  <c r="AD42" i="12"/>
  <c r="V42" i="12"/>
  <c r="B42" i="12"/>
  <c r="AF41" i="12"/>
  <c r="AD41" i="12"/>
  <c r="AB41" i="12" a="1"/>
  <c r="AB41" i="12" s="1"/>
  <c r="V41" i="12"/>
  <c r="B41" i="12"/>
  <c r="Z41" i="12" s="1"/>
  <c r="AF40" i="12"/>
  <c r="AD40" i="12"/>
  <c r="AC40" i="12" a="1"/>
  <c r="AC40" i="12"/>
  <c r="V40" i="12"/>
  <c r="B40" i="12"/>
  <c r="AF39" i="12"/>
  <c r="AD39" i="12"/>
  <c r="AC39" i="12" a="1"/>
  <c r="AC39" i="12"/>
  <c r="V39" i="12"/>
  <c r="B39" i="12"/>
  <c r="AF38" i="12"/>
  <c r="AD38" i="12"/>
  <c r="V38" i="12"/>
  <c r="B38" i="12"/>
  <c r="AC38" i="12" s="1" a="1"/>
  <c r="AC38" i="12" s="1"/>
  <c r="AF37" i="12"/>
  <c r="AD37" i="12"/>
  <c r="V37" i="12"/>
  <c r="B37" i="12"/>
  <c r="AC37" i="12" s="1" a="1"/>
  <c r="AC37" i="12" s="1"/>
  <c r="AF36" i="12"/>
  <c r="AD36" i="12"/>
  <c r="AB36" i="12" a="1"/>
  <c r="AB36" i="12" s="1"/>
  <c r="V36" i="12"/>
  <c r="B36" i="12"/>
  <c r="AC36" i="12" s="1" a="1"/>
  <c r="AC36" i="12" s="1"/>
  <c r="AF35" i="12"/>
  <c r="AD35" i="12"/>
  <c r="AC35" i="12" a="1"/>
  <c r="AC35" i="12"/>
  <c r="AB35" i="12" a="1"/>
  <c r="AB35" i="12" s="1"/>
  <c r="V35" i="12"/>
  <c r="B35" i="12"/>
  <c r="AF34" i="12"/>
  <c r="AD34" i="12"/>
  <c r="V34" i="12"/>
  <c r="B34" i="12"/>
  <c r="AF33" i="12"/>
  <c r="AD33" i="12"/>
  <c r="V33" i="12"/>
  <c r="B33" i="12"/>
  <c r="AF32" i="12"/>
  <c r="AD32" i="12"/>
  <c r="V32" i="12"/>
  <c r="B32" i="12"/>
  <c r="Z32" i="12" s="1"/>
  <c r="AF31" i="12"/>
  <c r="AD31" i="12"/>
  <c r="AC31" i="12" a="1"/>
  <c r="AC31" i="12" s="1"/>
  <c r="Z31" i="12"/>
  <c r="V31" i="12"/>
  <c r="B31" i="12"/>
  <c r="AF30" i="12"/>
  <c r="AD30" i="12"/>
  <c r="Z30" i="12"/>
  <c r="V30" i="12"/>
  <c r="C30" i="12" a="1"/>
  <c r="C30" i="12" s="1"/>
  <c r="B30" i="12"/>
  <c r="AF29" i="12"/>
  <c r="AD29" i="12"/>
  <c r="V29" i="12"/>
  <c r="B29" i="12"/>
  <c r="AF28" i="12"/>
  <c r="AD28" i="12"/>
  <c r="V28" i="12"/>
  <c r="C28" i="12" a="1"/>
  <c r="C28" i="12" s="1"/>
  <c r="B28" i="12"/>
  <c r="AF27" i="12"/>
  <c r="AD27" i="12"/>
  <c r="V27" i="12"/>
  <c r="B27" i="12"/>
  <c r="AF26" i="12"/>
  <c r="AD26" i="12"/>
  <c r="V26" i="12"/>
  <c r="B26" i="12"/>
  <c r="Z26" i="12" s="1"/>
  <c r="AF25" i="12"/>
  <c r="AD25" i="12"/>
  <c r="AC25" i="12" a="1"/>
  <c r="AC25" i="12" s="1"/>
  <c r="AB25" i="12" a="1"/>
  <c r="AB25" i="12" s="1"/>
  <c r="AA25" i="12" a="1"/>
  <c r="AA25" i="12" s="1"/>
  <c r="X25" i="12"/>
  <c r="W25" i="12" a="1"/>
  <c r="W25" i="12" s="1"/>
  <c r="V25" i="12"/>
  <c r="C25" i="12" a="1"/>
  <c r="C25" i="12" s="1"/>
  <c r="B25" i="12"/>
  <c r="Z25" i="12" s="1"/>
  <c r="AF24" i="12"/>
  <c r="AD24" i="12"/>
  <c r="AC24" i="12" a="1"/>
  <c r="AC24" i="12" s="1"/>
  <c r="AA24" i="12" a="1"/>
  <c r="AA24" i="12" s="1"/>
  <c r="V24" i="12"/>
  <c r="B24" i="12"/>
  <c r="X24" i="12" s="1"/>
  <c r="W24" i="12" s="1" a="1"/>
  <c r="W24" i="12" s="1"/>
  <c r="AF23" i="12"/>
  <c r="AD23" i="12"/>
  <c r="V23" i="12"/>
  <c r="D23" i="12" a="1"/>
  <c r="D23" i="12" s="1"/>
  <c r="B23" i="12"/>
  <c r="AF22" i="12"/>
  <c r="AD22" i="12"/>
  <c r="Z22" i="12"/>
  <c r="X22" i="12"/>
  <c r="W22" i="12" s="1" a="1"/>
  <c r="W22" i="12" s="1"/>
  <c r="V22" i="12"/>
  <c r="B22" i="12"/>
  <c r="AF21" i="12"/>
  <c r="AD21" i="12"/>
  <c r="V21" i="12"/>
  <c r="D21" i="12" a="1"/>
  <c r="D21" i="12" s="1"/>
  <c r="B21" i="12"/>
  <c r="AC21" i="12" s="1" a="1"/>
  <c r="AC21" i="12" s="1"/>
  <c r="AF20" i="12"/>
  <c r="AD20" i="12"/>
  <c r="AC20" i="12" a="1"/>
  <c r="AC20" i="12" s="1"/>
  <c r="AB20" i="12" a="1"/>
  <c r="AB20" i="12" s="1"/>
  <c r="Z20" i="12"/>
  <c r="X20" i="12"/>
  <c r="W20" i="12" s="1" a="1"/>
  <c r="W20" i="12" s="1"/>
  <c r="V20" i="12"/>
  <c r="C20" i="12" a="1"/>
  <c r="C20" i="12" s="1"/>
  <c r="B20" i="12"/>
  <c r="AF19" i="12"/>
  <c r="AD19" i="12"/>
  <c r="V19" i="12"/>
  <c r="B19" i="12"/>
  <c r="AF18" i="12"/>
  <c r="AD18" i="12"/>
  <c r="V18" i="12"/>
  <c r="C18" i="12" a="1"/>
  <c r="C18" i="12" s="1"/>
  <c r="B18" i="12"/>
  <c r="AC18" i="12" s="1" a="1"/>
  <c r="AC18" i="12" s="1"/>
  <c r="AF17" i="12"/>
  <c r="AD17" i="12"/>
  <c r="AC17" i="12" a="1"/>
  <c r="AC17" i="12" s="1"/>
  <c r="AA17" i="12" a="1"/>
  <c r="AA17" i="12" s="1"/>
  <c r="Z17" i="12"/>
  <c r="V17" i="12"/>
  <c r="C17" i="12" a="1"/>
  <c r="C17" i="12" s="1"/>
  <c r="B17" i="12"/>
  <c r="AF16" i="12"/>
  <c r="AD16" i="12"/>
  <c r="AC16" i="12" a="1"/>
  <c r="AC16" i="12" s="1"/>
  <c r="AA16" i="12" a="1"/>
  <c r="AA16" i="12" s="1"/>
  <c r="Z16" i="12"/>
  <c r="V16" i="12"/>
  <c r="D16" i="12" a="1"/>
  <c r="D16" i="12" s="1"/>
  <c r="C16" i="12" a="1"/>
  <c r="C16" i="12" s="1"/>
  <c r="B16" i="12"/>
  <c r="AF15" i="12"/>
  <c r="AD15" i="12"/>
  <c r="AB15" i="12" a="1"/>
  <c r="AB15" i="12" s="1"/>
  <c r="AA15" i="12" a="1"/>
  <c r="AA15" i="12" s="1"/>
  <c r="V15" i="12"/>
  <c r="D15" i="12" a="1"/>
  <c r="D15" i="12" s="1"/>
  <c r="C15" i="12" a="1"/>
  <c r="C15" i="12" s="1"/>
  <c r="B15" i="12"/>
  <c r="AF14" i="12"/>
  <c r="AD14" i="12"/>
  <c r="AA14" i="12" a="1"/>
  <c r="AA14" i="12" s="1"/>
  <c r="V14" i="12"/>
  <c r="D14" i="12" a="1"/>
  <c r="D14" i="12" s="1"/>
  <c r="C14" i="12" a="1"/>
  <c r="C14" i="12" s="1"/>
  <c r="B14" i="12"/>
  <c r="AB14" i="12" s="1" a="1"/>
  <c r="AB14" i="12" s="1"/>
  <c r="AF13" i="12"/>
  <c r="AD13" i="12"/>
  <c r="AA13" i="12" a="1"/>
  <c r="AA13" i="12" s="1"/>
  <c r="V13" i="12"/>
  <c r="D13" i="12" a="1"/>
  <c r="D13" i="12" s="1"/>
  <c r="B13" i="12"/>
  <c r="AB13" i="12" s="1" a="1"/>
  <c r="AB13" i="12" s="1"/>
  <c r="AF12" i="12"/>
  <c r="AD12" i="12"/>
  <c r="AB12" i="12" a="1"/>
  <c r="AB12" i="12" s="1"/>
  <c r="AA12" i="12" a="1"/>
  <c r="AA12" i="12" s="1"/>
  <c r="V12" i="12"/>
  <c r="D12" i="12" a="1"/>
  <c r="D12" i="12" s="1"/>
  <c r="C12" i="12" a="1"/>
  <c r="C12" i="12" s="1"/>
  <c r="B12" i="12"/>
  <c r="AF11" i="12"/>
  <c r="AD11" i="12"/>
  <c r="AC11" i="12" a="1"/>
  <c r="AC11" i="12" s="1"/>
  <c r="AB11" i="12" a="1"/>
  <c r="AB11" i="12" s="1"/>
  <c r="X11" i="12"/>
  <c r="W11" i="12" s="1" a="1"/>
  <c r="W11" i="12" s="1"/>
  <c r="V11" i="12"/>
  <c r="D11" i="12" a="1"/>
  <c r="D11" i="12" s="1"/>
  <c r="C11" i="12" a="1"/>
  <c r="C11" i="12" s="1"/>
  <c r="B11" i="12"/>
  <c r="AF10" i="12"/>
  <c r="AD10" i="12"/>
  <c r="AB10" i="12" a="1"/>
  <c r="AB10" i="12" s="1"/>
  <c r="V10" i="12"/>
  <c r="D10" i="12" a="1"/>
  <c r="D10" i="12" s="1"/>
  <c r="C10" i="12" a="1"/>
  <c r="C10" i="12" s="1"/>
  <c r="B10" i="12"/>
  <c r="AC10" i="12" s="1" a="1"/>
  <c r="AC10" i="12" s="1"/>
  <c r="AF9" i="12"/>
  <c r="AD9" i="12"/>
  <c r="AB9" i="12" a="1"/>
  <c r="AB9" i="12" s="1"/>
  <c r="X9" i="12"/>
  <c r="W9" i="12" s="1" a="1"/>
  <c r="W9" i="12" s="1"/>
  <c r="V9" i="12"/>
  <c r="D9" i="12" a="1"/>
  <c r="D9" i="12" s="1"/>
  <c r="B9" i="12"/>
  <c r="AC9" i="12" s="1" a="1"/>
  <c r="AC9" i="12" s="1"/>
  <c r="AF8" i="12"/>
  <c r="AD8" i="12"/>
  <c r="V8" i="12"/>
  <c r="B8" i="12"/>
  <c r="AF7" i="12"/>
  <c r="AD7" i="12"/>
  <c r="AC7" i="12" a="1"/>
  <c r="AC7" i="12" s="1"/>
  <c r="V7" i="12"/>
  <c r="B7" i="12"/>
  <c r="AF6" i="12"/>
  <c r="AD6" i="12"/>
  <c r="AC6" i="12" a="1"/>
  <c r="AC6" i="12" s="1"/>
  <c r="Z6" i="12"/>
  <c r="V6" i="12"/>
  <c r="D6" i="12" a="1"/>
  <c r="D6" i="12" s="1"/>
  <c r="C6" i="12" a="1"/>
  <c r="C6" i="12" s="1"/>
  <c r="B6" i="12"/>
  <c r="AB6" i="12" s="1" a="1"/>
  <c r="AB6" i="12" s="1"/>
  <c r="AF5" i="12"/>
  <c r="AD5" i="12"/>
  <c r="AA5" i="12" a="1"/>
  <c r="AA5" i="12" s="1"/>
  <c r="X5" i="12"/>
  <c r="W5" i="12" a="1"/>
  <c r="W5" i="12" s="1"/>
  <c r="V5" i="12"/>
  <c r="D5" i="12" a="1"/>
  <c r="D5" i="12" s="1"/>
  <c r="C5" i="12" a="1"/>
  <c r="C5" i="12" s="1"/>
  <c r="B5" i="12"/>
  <c r="AC5" i="12" s="1" a="1"/>
  <c r="AC5" i="12" s="1"/>
  <c r="AF4" i="12"/>
  <c r="AD4" i="12"/>
  <c r="AA4" i="12" a="1"/>
  <c r="AA4" i="12" s="1"/>
  <c r="X4" i="12"/>
  <c r="W4" i="12" a="1"/>
  <c r="W4" i="12"/>
  <c r="V4" i="12"/>
  <c r="D4" i="12" a="1"/>
  <c r="D4" i="12" s="1"/>
  <c r="B4" i="12"/>
  <c r="AF3" i="12"/>
  <c r="AD3" i="12"/>
  <c r="AB3" i="12" a="1"/>
  <c r="AB3" i="12" s="1"/>
  <c r="Z3" i="12"/>
  <c r="X3" i="12"/>
  <c r="W3" i="12" a="1"/>
  <c r="W3" i="12" s="1"/>
  <c r="V3" i="12"/>
  <c r="D3" i="12" a="1"/>
  <c r="D3" i="12" s="1"/>
  <c r="C3" i="12" a="1"/>
  <c r="C3" i="12" s="1"/>
  <c r="B3" i="12"/>
  <c r="AF2" i="12"/>
  <c r="AD2" i="12"/>
  <c r="V2" i="12"/>
  <c r="B2" i="12"/>
  <c r="A976" i="11"/>
  <c r="A973" i="11"/>
  <c r="A957" i="11"/>
  <c r="A933" i="11"/>
  <c r="A927" i="11"/>
  <c r="A913" i="11"/>
  <c r="A887" i="11"/>
  <c r="A881" i="11"/>
  <c r="A877" i="11"/>
  <c r="A845" i="11"/>
  <c r="A841" i="11"/>
  <c r="A831" i="11"/>
  <c r="A807" i="11"/>
  <c r="A795" i="11"/>
  <c r="A785" i="11"/>
  <c r="A760" i="11"/>
  <c r="A757" i="11"/>
  <c r="A745" i="11"/>
  <c r="A719" i="11"/>
  <c r="A713" i="11"/>
  <c r="A699" i="11"/>
  <c r="A675" i="11"/>
  <c r="A669" i="11"/>
  <c r="A661" i="11"/>
  <c r="A629" i="11"/>
  <c r="A625" i="11"/>
  <c r="A617" i="11"/>
  <c r="A592" i="11"/>
  <c r="A589" i="11"/>
  <c r="A573" i="11"/>
  <c r="A549" i="11"/>
  <c r="A543" i="11"/>
  <c r="A529" i="11"/>
  <c r="A503" i="11"/>
  <c r="A497" i="11"/>
  <c r="A493" i="11"/>
  <c r="A461" i="11"/>
  <c r="A457" i="11"/>
  <c r="A447" i="11"/>
  <c r="A423" i="11"/>
  <c r="A411" i="11"/>
  <c r="A401" i="11"/>
  <c r="A376" i="11"/>
  <c r="A373" i="11"/>
  <c r="A361" i="11"/>
  <c r="A335" i="11"/>
  <c r="A329" i="11"/>
  <c r="A315" i="11"/>
  <c r="A291" i="11"/>
  <c r="A285" i="11"/>
  <c r="A277" i="11"/>
  <c r="A245" i="11"/>
  <c r="A241" i="11"/>
  <c r="A233" i="11"/>
  <c r="A208" i="11"/>
  <c r="A205" i="11"/>
  <c r="A191" i="11"/>
  <c r="A171" i="11"/>
  <c r="A165" i="11"/>
  <c r="A157" i="11"/>
  <c r="A136" i="11"/>
  <c r="A133" i="11"/>
  <c r="A125" i="11"/>
  <c r="A107" i="11"/>
  <c r="A101" i="11"/>
  <c r="A93" i="11"/>
  <c r="A75" i="11"/>
  <c r="A69" i="11"/>
  <c r="A61" i="11"/>
  <c r="A40" i="11"/>
  <c r="A37" i="11"/>
  <c r="A29" i="11"/>
  <c r="A11" i="11"/>
  <c r="A5" i="11"/>
  <c r="A2" i="11" a="1"/>
  <c r="AKS1" i="11"/>
  <c r="AKP1" i="11"/>
  <c r="AHU1" i="11"/>
  <c r="AHO1" i="11"/>
  <c r="AFA1" i="11"/>
  <c r="AEU1" i="11"/>
  <c r="ACI1" i="11"/>
  <c r="ACE1" i="11"/>
  <c r="ZW1" i="11"/>
  <c r="ZR1" i="11"/>
  <c r="XJ1" i="11"/>
  <c r="XG1" i="11"/>
  <c r="UY1" i="11"/>
  <c r="UU1" i="11"/>
  <c r="SM1" i="11"/>
  <c r="SH1" i="11"/>
  <c r="PZ1" i="11"/>
  <c r="PW1" i="11"/>
  <c r="NO1" i="11"/>
  <c r="NK1" i="11"/>
  <c r="LC1" i="11"/>
  <c r="KX1" i="11"/>
  <c r="IP1" i="11"/>
  <c r="IN1" i="11"/>
  <c r="GK1" i="11"/>
  <c r="GH1" i="11"/>
  <c r="EG1" i="11"/>
  <c r="EA1" i="11"/>
  <c r="CA1" i="11"/>
  <c r="BW1" i="11"/>
  <c r="T1" i="11"/>
  <c r="R1" i="11"/>
  <c r="B1" i="11" a="1"/>
  <c r="AJO1" i="11" s="1"/>
  <c r="C1000" i="10"/>
  <c r="C999" i="10"/>
  <c r="C998" i="10"/>
  <c r="C997" i="10"/>
  <c r="C996" i="10"/>
  <c r="C995" i="10"/>
  <c r="C994" i="10"/>
  <c r="C993" i="10"/>
  <c r="C992" i="10"/>
  <c r="C991" i="10"/>
  <c r="C990" i="10"/>
  <c r="C989" i="10"/>
  <c r="C988" i="10"/>
  <c r="C987" i="10"/>
  <c r="C986" i="10"/>
  <c r="C985" i="10"/>
  <c r="C984" i="10"/>
  <c r="C983" i="10"/>
  <c r="C982" i="10"/>
  <c r="C981" i="10"/>
  <c r="C980" i="10"/>
  <c r="C979" i="10"/>
  <c r="C978" i="10"/>
  <c r="C977" i="10"/>
  <c r="C976" i="10"/>
  <c r="C975" i="10"/>
  <c r="C974" i="10"/>
  <c r="C973" i="10"/>
  <c r="C972" i="10"/>
  <c r="C971" i="10"/>
  <c r="C970" i="10"/>
  <c r="C969" i="10"/>
  <c r="C968" i="10"/>
  <c r="C967" i="10"/>
  <c r="C966" i="10"/>
  <c r="C965" i="10"/>
  <c r="C964" i="10"/>
  <c r="C963" i="10"/>
  <c r="C962" i="10"/>
  <c r="C961" i="10"/>
  <c r="C960" i="10"/>
  <c r="C959" i="10"/>
  <c r="C958" i="10"/>
  <c r="C957" i="10"/>
  <c r="C956" i="10"/>
  <c r="C955" i="10"/>
  <c r="C954" i="10"/>
  <c r="C953" i="10"/>
  <c r="C952" i="10"/>
  <c r="C951" i="10"/>
  <c r="C950" i="10"/>
  <c r="C949" i="10"/>
  <c r="C948" i="10"/>
  <c r="C947" i="10"/>
  <c r="C946" i="10"/>
  <c r="C945" i="10"/>
  <c r="C944" i="10"/>
  <c r="C943" i="10"/>
  <c r="C942" i="10"/>
  <c r="C941" i="10"/>
  <c r="C940" i="10"/>
  <c r="C939" i="10"/>
  <c r="C938" i="10"/>
  <c r="C937" i="10"/>
  <c r="C936" i="10"/>
  <c r="C935" i="10"/>
  <c r="C934" i="10"/>
  <c r="C933" i="10"/>
  <c r="C932" i="10"/>
  <c r="C931" i="10"/>
  <c r="C930" i="10"/>
  <c r="C929" i="10"/>
  <c r="C928" i="10"/>
  <c r="C927" i="10"/>
  <c r="C926" i="10"/>
  <c r="C925" i="10"/>
  <c r="C924" i="10"/>
  <c r="C923" i="10"/>
  <c r="C922" i="10"/>
  <c r="C921" i="10"/>
  <c r="C920" i="10"/>
  <c r="C919" i="10"/>
  <c r="C918" i="10"/>
  <c r="C917" i="10"/>
  <c r="C916" i="10"/>
  <c r="C915" i="10"/>
  <c r="C914" i="10"/>
  <c r="C913" i="10"/>
  <c r="C912" i="10"/>
  <c r="C911" i="10"/>
  <c r="C910" i="10"/>
  <c r="C909" i="10"/>
  <c r="C908" i="10"/>
  <c r="C907" i="10"/>
  <c r="C906" i="10"/>
  <c r="C905" i="10"/>
  <c r="C904" i="10"/>
  <c r="C903" i="10"/>
  <c r="C902" i="10"/>
  <c r="C901" i="10"/>
  <c r="C900" i="10"/>
  <c r="C899" i="10"/>
  <c r="C898" i="10"/>
  <c r="C897" i="10"/>
  <c r="C896" i="10"/>
  <c r="C895" i="10"/>
  <c r="C894" i="10"/>
  <c r="C893" i="10"/>
  <c r="C892" i="10"/>
  <c r="C891" i="10"/>
  <c r="C890" i="10"/>
  <c r="C889" i="10"/>
  <c r="C888" i="10"/>
  <c r="C887" i="10"/>
  <c r="C886" i="10"/>
  <c r="C885" i="10"/>
  <c r="C884" i="10"/>
  <c r="C883" i="10"/>
  <c r="C882" i="10"/>
  <c r="C881" i="10"/>
  <c r="C880" i="10"/>
  <c r="C879" i="10"/>
  <c r="C878" i="10"/>
  <c r="C877" i="10"/>
  <c r="C876" i="10"/>
  <c r="C875" i="10"/>
  <c r="C874" i="10"/>
  <c r="C873" i="10"/>
  <c r="C872" i="10"/>
  <c r="C871" i="10"/>
  <c r="C870" i="10"/>
  <c r="C869" i="10"/>
  <c r="C868" i="10"/>
  <c r="C867" i="10"/>
  <c r="C866" i="10"/>
  <c r="C865" i="10"/>
  <c r="C864" i="10"/>
  <c r="C863" i="10"/>
  <c r="C862" i="10"/>
  <c r="C861" i="10"/>
  <c r="C860" i="10"/>
  <c r="C859" i="10"/>
  <c r="C858" i="10"/>
  <c r="C857" i="10"/>
  <c r="C856" i="10"/>
  <c r="C855" i="10"/>
  <c r="C854" i="10"/>
  <c r="C853" i="10"/>
  <c r="C852" i="10"/>
  <c r="C851" i="10"/>
  <c r="C850" i="10"/>
  <c r="C849" i="10"/>
  <c r="C848" i="10"/>
  <c r="C847" i="10"/>
  <c r="C846" i="10"/>
  <c r="C845" i="10"/>
  <c r="C844" i="10"/>
  <c r="C843" i="10"/>
  <c r="C842" i="10"/>
  <c r="C841" i="10"/>
  <c r="C840" i="10"/>
  <c r="C839" i="10"/>
  <c r="C838" i="10"/>
  <c r="C837" i="10"/>
  <c r="C836" i="10"/>
  <c r="C835" i="10"/>
  <c r="C834" i="10"/>
  <c r="C833" i="10"/>
  <c r="C832" i="10"/>
  <c r="C831" i="10"/>
  <c r="C830" i="10"/>
  <c r="C829" i="10"/>
  <c r="C828" i="10"/>
  <c r="C827" i="10"/>
  <c r="C826" i="10"/>
  <c r="C825" i="10"/>
  <c r="C824" i="10"/>
  <c r="C823" i="10"/>
  <c r="C822" i="10"/>
  <c r="C821" i="10"/>
  <c r="C820" i="10"/>
  <c r="C819" i="10"/>
  <c r="C818" i="10"/>
  <c r="C817" i="10"/>
  <c r="C816" i="10"/>
  <c r="C815" i="10"/>
  <c r="C814" i="10"/>
  <c r="C813" i="10"/>
  <c r="C812" i="10"/>
  <c r="C811" i="10"/>
  <c r="C810" i="10"/>
  <c r="C809" i="10"/>
  <c r="C808" i="10"/>
  <c r="C807" i="10"/>
  <c r="C806" i="10"/>
  <c r="C805" i="10"/>
  <c r="C804" i="10"/>
  <c r="C803" i="10"/>
  <c r="C802" i="10"/>
  <c r="C801" i="10"/>
  <c r="C800" i="10"/>
  <c r="C799" i="10"/>
  <c r="C798" i="10"/>
  <c r="C797" i="10"/>
  <c r="C796" i="10"/>
  <c r="C795" i="10"/>
  <c r="C794" i="10"/>
  <c r="C793" i="10"/>
  <c r="C792" i="10"/>
  <c r="C791" i="10"/>
  <c r="C790" i="10"/>
  <c r="C789" i="10"/>
  <c r="C788" i="10"/>
  <c r="C787" i="10"/>
  <c r="C786" i="10"/>
  <c r="C785" i="10"/>
  <c r="C784" i="10"/>
  <c r="C783" i="10"/>
  <c r="C782" i="10"/>
  <c r="C781" i="10"/>
  <c r="C780" i="10"/>
  <c r="C779" i="10"/>
  <c r="C778" i="10"/>
  <c r="C777" i="10"/>
  <c r="C776" i="10"/>
  <c r="C775" i="10"/>
  <c r="C774" i="10"/>
  <c r="C773" i="10"/>
  <c r="C772" i="10"/>
  <c r="C771" i="10"/>
  <c r="C770" i="10"/>
  <c r="C769" i="10"/>
  <c r="C768" i="10"/>
  <c r="C767" i="10"/>
  <c r="C766" i="10"/>
  <c r="C765" i="10"/>
  <c r="C764" i="10"/>
  <c r="C763" i="10"/>
  <c r="C762" i="10"/>
  <c r="C761" i="10"/>
  <c r="C760" i="10"/>
  <c r="C759" i="10"/>
  <c r="C758" i="10"/>
  <c r="C757" i="10"/>
  <c r="C756" i="10"/>
  <c r="C755" i="10"/>
  <c r="C754" i="10"/>
  <c r="C753" i="10"/>
  <c r="C752" i="10"/>
  <c r="C751" i="10"/>
  <c r="C750" i="10"/>
  <c r="C749" i="10"/>
  <c r="C748" i="10"/>
  <c r="C747" i="10"/>
  <c r="C746" i="10"/>
  <c r="C745" i="10"/>
  <c r="C744" i="10"/>
  <c r="C743" i="10"/>
  <c r="C742" i="10"/>
  <c r="C741" i="10"/>
  <c r="C740" i="10"/>
  <c r="C739" i="10"/>
  <c r="C738" i="10"/>
  <c r="C737" i="10"/>
  <c r="C736" i="10"/>
  <c r="C735" i="10"/>
  <c r="C734" i="10"/>
  <c r="C733" i="10"/>
  <c r="C732" i="10"/>
  <c r="C731" i="10"/>
  <c r="C730" i="10"/>
  <c r="C729" i="10"/>
  <c r="C728" i="10"/>
  <c r="C727" i="10"/>
  <c r="C726" i="10"/>
  <c r="C725" i="10"/>
  <c r="C724" i="10"/>
  <c r="C723" i="10"/>
  <c r="C722" i="10"/>
  <c r="C721" i="10"/>
  <c r="C720" i="10"/>
  <c r="C719" i="10"/>
  <c r="C718" i="10"/>
  <c r="C717" i="10"/>
  <c r="C716" i="10"/>
  <c r="C715" i="10"/>
  <c r="C714" i="10"/>
  <c r="C713" i="10"/>
  <c r="C712" i="10"/>
  <c r="C711" i="10"/>
  <c r="C710" i="10"/>
  <c r="C709" i="10"/>
  <c r="C708" i="10"/>
  <c r="C707" i="10"/>
  <c r="C706" i="10"/>
  <c r="C705" i="10"/>
  <c r="C704" i="10"/>
  <c r="C703" i="10"/>
  <c r="C702" i="10"/>
  <c r="C701" i="10"/>
  <c r="C700" i="10"/>
  <c r="C699" i="10"/>
  <c r="C698" i="10"/>
  <c r="C697" i="10"/>
  <c r="C696" i="10"/>
  <c r="C695" i="10"/>
  <c r="C694" i="10"/>
  <c r="C693" i="10"/>
  <c r="C692" i="10"/>
  <c r="C691" i="10"/>
  <c r="C690" i="10"/>
  <c r="C689" i="10"/>
  <c r="C688" i="10"/>
  <c r="C687" i="10"/>
  <c r="C686" i="10"/>
  <c r="C685" i="10"/>
  <c r="C684" i="10"/>
  <c r="C683" i="10"/>
  <c r="C682" i="10"/>
  <c r="C681" i="10"/>
  <c r="C680" i="10"/>
  <c r="C679" i="10"/>
  <c r="C678" i="10"/>
  <c r="C677" i="10"/>
  <c r="C676" i="10"/>
  <c r="C675" i="10"/>
  <c r="C674" i="10"/>
  <c r="C673" i="10"/>
  <c r="C672" i="10"/>
  <c r="C671" i="10"/>
  <c r="C670" i="10"/>
  <c r="C669" i="10"/>
  <c r="C668" i="10"/>
  <c r="C667" i="10"/>
  <c r="C666" i="10"/>
  <c r="C665" i="10"/>
  <c r="C664" i="10"/>
  <c r="C663" i="10"/>
  <c r="C662" i="10"/>
  <c r="C661" i="10"/>
  <c r="C660" i="10"/>
  <c r="C659" i="10"/>
  <c r="C658" i="10"/>
  <c r="C657" i="10"/>
  <c r="C656" i="10"/>
  <c r="C655" i="10"/>
  <c r="C654" i="10"/>
  <c r="C653" i="10"/>
  <c r="C652" i="10"/>
  <c r="C651" i="10"/>
  <c r="C650" i="10"/>
  <c r="C649" i="10"/>
  <c r="C648" i="10"/>
  <c r="C647" i="10"/>
  <c r="C646" i="10"/>
  <c r="C645" i="10"/>
  <c r="C644" i="10"/>
  <c r="C643" i="10"/>
  <c r="C642" i="10"/>
  <c r="C641" i="10"/>
  <c r="C640" i="10"/>
  <c r="C639" i="10"/>
  <c r="C638" i="10"/>
  <c r="C637" i="10"/>
  <c r="C636" i="10"/>
  <c r="C635" i="10"/>
  <c r="C634" i="10"/>
  <c r="C633" i="10"/>
  <c r="C632" i="10"/>
  <c r="C631" i="10"/>
  <c r="C630" i="10"/>
  <c r="C629" i="10"/>
  <c r="C628" i="10"/>
  <c r="C627" i="10"/>
  <c r="C626" i="10"/>
  <c r="C625" i="10"/>
  <c r="C624" i="10"/>
  <c r="C623" i="10"/>
  <c r="C622" i="10"/>
  <c r="C621" i="10"/>
  <c r="C620" i="10"/>
  <c r="C619" i="10"/>
  <c r="C618" i="10"/>
  <c r="C617" i="10"/>
  <c r="C616" i="10"/>
  <c r="C615" i="10"/>
  <c r="C614" i="10"/>
  <c r="C613" i="10"/>
  <c r="C612" i="10"/>
  <c r="C611" i="10"/>
  <c r="C610" i="10"/>
  <c r="C609" i="10"/>
  <c r="C608" i="10"/>
  <c r="C607" i="10"/>
  <c r="C606" i="10"/>
  <c r="C605" i="10"/>
  <c r="C604" i="10"/>
  <c r="C603" i="10"/>
  <c r="C602" i="10"/>
  <c r="C601" i="10"/>
  <c r="C600" i="10"/>
  <c r="C599" i="10"/>
  <c r="C598" i="10"/>
  <c r="C597" i="10"/>
  <c r="C596" i="10"/>
  <c r="C595" i="10"/>
  <c r="C594" i="10"/>
  <c r="C593" i="10"/>
  <c r="C592" i="10"/>
  <c r="C591" i="10"/>
  <c r="C590" i="10"/>
  <c r="C589" i="10"/>
  <c r="C588" i="10"/>
  <c r="C587" i="10"/>
  <c r="C586" i="10"/>
  <c r="C585" i="10"/>
  <c r="C584" i="10"/>
  <c r="C583" i="10"/>
  <c r="C582" i="10"/>
  <c r="C581" i="10"/>
  <c r="C580" i="10"/>
  <c r="C579" i="10"/>
  <c r="C578" i="10"/>
  <c r="C577" i="10"/>
  <c r="C576" i="10"/>
  <c r="C575" i="10"/>
  <c r="C574" i="10"/>
  <c r="C573" i="10"/>
  <c r="C572" i="10"/>
  <c r="C571" i="10"/>
  <c r="C570" i="10"/>
  <c r="C569" i="10"/>
  <c r="C568" i="10"/>
  <c r="C567" i="10"/>
  <c r="C566" i="10"/>
  <c r="C565" i="10"/>
  <c r="C564" i="10"/>
  <c r="C563" i="10"/>
  <c r="C562" i="10"/>
  <c r="C561" i="10"/>
  <c r="C560" i="10"/>
  <c r="C559" i="10"/>
  <c r="C558" i="10"/>
  <c r="C557" i="10"/>
  <c r="C556" i="10"/>
  <c r="C555" i="10"/>
  <c r="C554" i="10"/>
  <c r="C553" i="10"/>
  <c r="C552" i="10"/>
  <c r="C551" i="10"/>
  <c r="C550" i="10"/>
  <c r="C549" i="10"/>
  <c r="C548" i="10"/>
  <c r="C547" i="10"/>
  <c r="C546" i="10"/>
  <c r="C545" i="10"/>
  <c r="C544" i="10"/>
  <c r="C543" i="10"/>
  <c r="C542" i="10"/>
  <c r="C541" i="10"/>
  <c r="C540" i="10"/>
  <c r="C539" i="10"/>
  <c r="C538" i="10"/>
  <c r="C537" i="10"/>
  <c r="C536" i="10"/>
  <c r="C535" i="10"/>
  <c r="C534" i="10"/>
  <c r="C533" i="10"/>
  <c r="C532" i="10"/>
  <c r="C531" i="10"/>
  <c r="C530" i="10"/>
  <c r="C529" i="10"/>
  <c r="C528" i="10"/>
  <c r="C527" i="10"/>
  <c r="C526" i="10"/>
  <c r="C525" i="10"/>
  <c r="C524" i="10"/>
  <c r="C523" i="10"/>
  <c r="C522" i="10"/>
  <c r="C521" i="10"/>
  <c r="C520" i="10"/>
  <c r="C519" i="10"/>
  <c r="C518" i="10"/>
  <c r="C517" i="10"/>
  <c r="C516" i="10"/>
  <c r="C515" i="10"/>
  <c r="C514" i="10"/>
  <c r="C513" i="10"/>
  <c r="C512" i="10"/>
  <c r="C511" i="10"/>
  <c r="C510" i="10"/>
  <c r="C509" i="10"/>
  <c r="C508" i="10"/>
  <c r="C507" i="10"/>
  <c r="C506" i="10"/>
  <c r="C505" i="10"/>
  <c r="C504" i="10"/>
  <c r="C503" i="10"/>
  <c r="C502" i="10"/>
  <c r="C501" i="10"/>
  <c r="C500" i="10"/>
  <c r="C499" i="10"/>
  <c r="C498" i="10"/>
  <c r="C497" i="10"/>
  <c r="C496" i="10"/>
  <c r="C495" i="10"/>
  <c r="C494" i="10"/>
  <c r="C493" i="10"/>
  <c r="C492" i="10"/>
  <c r="C491" i="10"/>
  <c r="C490" i="10"/>
  <c r="C489" i="10"/>
  <c r="C488" i="10"/>
  <c r="C487" i="10"/>
  <c r="C486" i="10"/>
  <c r="C485" i="10"/>
  <c r="C484" i="10"/>
  <c r="C483" i="10"/>
  <c r="C482" i="10"/>
  <c r="C481" i="10"/>
  <c r="C480" i="10"/>
  <c r="C479" i="10"/>
  <c r="C478" i="10"/>
  <c r="C477" i="10"/>
  <c r="C476" i="10"/>
  <c r="C475" i="10"/>
  <c r="C474" i="10"/>
  <c r="C473" i="10"/>
  <c r="C472" i="10"/>
  <c r="C471" i="10"/>
  <c r="C470" i="10"/>
  <c r="C469" i="10"/>
  <c r="C468" i="10"/>
  <c r="C467" i="10"/>
  <c r="C466" i="10"/>
  <c r="C465" i="10"/>
  <c r="C464" i="10"/>
  <c r="C463" i="10"/>
  <c r="C462" i="10"/>
  <c r="C461" i="10"/>
  <c r="C460" i="10"/>
  <c r="C459" i="10"/>
  <c r="C458" i="10"/>
  <c r="C457" i="10"/>
  <c r="C456" i="10"/>
  <c r="C455" i="10"/>
  <c r="C454" i="10"/>
  <c r="C453" i="10"/>
  <c r="C452" i="10"/>
  <c r="C451" i="10"/>
  <c r="C450" i="10"/>
  <c r="C449" i="10"/>
  <c r="C448" i="10"/>
  <c r="C447" i="10"/>
  <c r="C446" i="10"/>
  <c r="C445" i="10"/>
  <c r="C444" i="10"/>
  <c r="C443" i="10"/>
  <c r="C442" i="10"/>
  <c r="C441" i="10"/>
  <c r="C440" i="10"/>
  <c r="C439" i="10"/>
  <c r="C438" i="10"/>
  <c r="C437" i="10"/>
  <c r="C436" i="10"/>
  <c r="C435" i="10"/>
  <c r="C434" i="10"/>
  <c r="C433" i="10"/>
  <c r="C432" i="10"/>
  <c r="C431" i="10"/>
  <c r="C430" i="10"/>
  <c r="C429" i="10"/>
  <c r="C428" i="10"/>
  <c r="C427" i="10"/>
  <c r="C426" i="10"/>
  <c r="C425" i="10"/>
  <c r="C424" i="10"/>
  <c r="C423" i="10"/>
  <c r="C422" i="10"/>
  <c r="C421" i="10"/>
  <c r="C420" i="10"/>
  <c r="C419" i="10"/>
  <c r="C418" i="10"/>
  <c r="C417" i="10"/>
  <c r="C416" i="10"/>
  <c r="C415" i="10"/>
  <c r="C414" i="10"/>
  <c r="C413" i="10"/>
  <c r="C412" i="10"/>
  <c r="C411" i="10"/>
  <c r="C410" i="10"/>
  <c r="C409" i="10"/>
  <c r="C408" i="10"/>
  <c r="C407" i="10"/>
  <c r="C406" i="10"/>
  <c r="C405" i="10"/>
  <c r="C404" i="10"/>
  <c r="C403" i="10"/>
  <c r="C402" i="10"/>
  <c r="C401" i="10"/>
  <c r="C400" i="10"/>
  <c r="C399" i="10"/>
  <c r="C398" i="10"/>
  <c r="C397" i="10"/>
  <c r="C396" i="10"/>
  <c r="C395" i="10"/>
  <c r="C394" i="10"/>
  <c r="C393" i="10"/>
  <c r="C392" i="10"/>
  <c r="C391" i="10"/>
  <c r="C390" i="10"/>
  <c r="C389" i="10"/>
  <c r="C388" i="10"/>
  <c r="C387" i="10"/>
  <c r="C386" i="10"/>
  <c r="C385" i="10"/>
  <c r="C384" i="10"/>
  <c r="C383" i="10"/>
  <c r="C382" i="10"/>
  <c r="C381" i="10"/>
  <c r="C380" i="10"/>
  <c r="C379" i="10"/>
  <c r="C378" i="10"/>
  <c r="C377" i="10"/>
  <c r="C376" i="10"/>
  <c r="C375" i="10"/>
  <c r="C374" i="10"/>
  <c r="C373" i="10"/>
  <c r="C372" i="10"/>
  <c r="C371" i="10"/>
  <c r="C370" i="10"/>
  <c r="C369" i="10"/>
  <c r="C368" i="10"/>
  <c r="C367" i="10"/>
  <c r="C366" i="10"/>
  <c r="C365" i="10"/>
  <c r="C364" i="10"/>
  <c r="C363" i="10"/>
  <c r="C362" i="10"/>
  <c r="C361" i="10"/>
  <c r="C360" i="10"/>
  <c r="C359" i="10"/>
  <c r="C358" i="10"/>
  <c r="C357" i="10"/>
  <c r="C356" i="10"/>
  <c r="C355" i="10"/>
  <c r="C354" i="10"/>
  <c r="C353" i="10"/>
  <c r="C352" i="10"/>
  <c r="C351" i="10"/>
  <c r="C350" i="10"/>
  <c r="C349" i="10"/>
  <c r="C348" i="10"/>
  <c r="C347" i="10"/>
  <c r="C346" i="10"/>
  <c r="C345" i="10"/>
  <c r="C344" i="10"/>
  <c r="C343" i="10"/>
  <c r="C342" i="10"/>
  <c r="C341" i="10"/>
  <c r="C340" i="10"/>
  <c r="C339" i="10"/>
  <c r="C338" i="10"/>
  <c r="C337" i="10"/>
  <c r="C336" i="10"/>
  <c r="C335" i="10"/>
  <c r="C334" i="10"/>
  <c r="C333" i="10"/>
  <c r="C332" i="10"/>
  <c r="C331" i="10"/>
  <c r="C330" i="10"/>
  <c r="C329" i="10"/>
  <c r="C328" i="10"/>
  <c r="C327" i="10"/>
  <c r="C326" i="10"/>
  <c r="C325" i="10"/>
  <c r="C324" i="10"/>
  <c r="C323" i="10"/>
  <c r="C322" i="10"/>
  <c r="C321" i="10"/>
  <c r="C320" i="10"/>
  <c r="C319" i="10"/>
  <c r="C318" i="10"/>
  <c r="C317" i="10"/>
  <c r="C316" i="10"/>
  <c r="C315" i="10"/>
  <c r="C314" i="10"/>
  <c r="C313" i="10"/>
  <c r="C312" i="10"/>
  <c r="C311" i="10"/>
  <c r="C310" i="10"/>
  <c r="C309" i="10"/>
  <c r="C308" i="10"/>
  <c r="C307" i="10"/>
  <c r="C306" i="10"/>
  <c r="C305" i="10"/>
  <c r="C304" i="10"/>
  <c r="C303" i="10"/>
  <c r="C302" i="10"/>
  <c r="C301" i="10"/>
  <c r="C300" i="10"/>
  <c r="C299" i="10"/>
  <c r="C298" i="10"/>
  <c r="C297" i="10"/>
  <c r="C296" i="10"/>
  <c r="C295" i="10"/>
  <c r="C294" i="10"/>
  <c r="C293" i="10"/>
  <c r="C292" i="10"/>
  <c r="C291" i="10"/>
  <c r="C290" i="10"/>
  <c r="C289" i="10"/>
  <c r="C288" i="10"/>
  <c r="C287" i="10"/>
  <c r="C286" i="10"/>
  <c r="C285" i="10"/>
  <c r="C284" i="10"/>
  <c r="C283" i="10"/>
  <c r="C282" i="10"/>
  <c r="C281" i="10"/>
  <c r="C280" i="10"/>
  <c r="C279" i="10"/>
  <c r="C278" i="10"/>
  <c r="C277" i="10"/>
  <c r="C276" i="10"/>
  <c r="C275" i="10"/>
  <c r="C274" i="10"/>
  <c r="C273" i="10"/>
  <c r="C272" i="10"/>
  <c r="C271" i="10"/>
  <c r="C270" i="10"/>
  <c r="C269" i="10"/>
  <c r="C268" i="10"/>
  <c r="C267" i="10"/>
  <c r="C266" i="10"/>
  <c r="C265" i="10"/>
  <c r="C264" i="10"/>
  <c r="C263" i="10"/>
  <c r="C262" i="10"/>
  <c r="C261" i="10"/>
  <c r="C260" i="10"/>
  <c r="C259" i="10"/>
  <c r="C258" i="10"/>
  <c r="C257" i="10"/>
  <c r="C256" i="10"/>
  <c r="C255" i="10"/>
  <c r="C254" i="10"/>
  <c r="C253" i="10"/>
  <c r="C252" i="10"/>
  <c r="C251" i="10"/>
  <c r="C250" i="10"/>
  <c r="C249" i="10"/>
  <c r="C248" i="10"/>
  <c r="C247" i="10"/>
  <c r="C246" i="10"/>
  <c r="C245" i="10"/>
  <c r="C244" i="10"/>
  <c r="C243" i="10"/>
  <c r="C242" i="10"/>
  <c r="C241" i="10"/>
  <c r="C240" i="10"/>
  <c r="C239" i="10"/>
  <c r="C238" i="10"/>
  <c r="C237" i="10"/>
  <c r="C236" i="10"/>
  <c r="C235" i="10"/>
  <c r="C234" i="10"/>
  <c r="C233" i="10"/>
  <c r="C232" i="10"/>
  <c r="C231" i="10"/>
  <c r="C230" i="10"/>
  <c r="C229" i="10"/>
  <c r="C228" i="10"/>
  <c r="C227" i="10"/>
  <c r="C226" i="10"/>
  <c r="C225" i="10"/>
  <c r="C224" i="10"/>
  <c r="C223" i="10"/>
  <c r="C222" i="10"/>
  <c r="C221" i="10"/>
  <c r="C220" i="10"/>
  <c r="C219" i="10"/>
  <c r="C218" i="10"/>
  <c r="C217" i="10"/>
  <c r="C216" i="10"/>
  <c r="C215" i="10"/>
  <c r="C214" i="10"/>
  <c r="C213" i="10"/>
  <c r="C212" i="10"/>
  <c r="C211" i="10"/>
  <c r="C210" i="10"/>
  <c r="C209" i="10"/>
  <c r="C208" i="10"/>
  <c r="C207" i="10"/>
  <c r="C206" i="10"/>
  <c r="C205" i="10"/>
  <c r="C204" i="10"/>
  <c r="C203" i="10"/>
  <c r="C202" i="10"/>
  <c r="C201" i="10"/>
  <c r="C200" i="10"/>
  <c r="C199" i="10"/>
  <c r="C198" i="10"/>
  <c r="C197" i="10"/>
  <c r="C196" i="10"/>
  <c r="C195" i="10"/>
  <c r="C194" i="10"/>
  <c r="C193" i="10"/>
  <c r="C192" i="10"/>
  <c r="C191" i="10"/>
  <c r="C190" i="10"/>
  <c r="C189" i="10"/>
  <c r="C188" i="10"/>
  <c r="C187" i="10"/>
  <c r="C186" i="10"/>
  <c r="C185" i="10"/>
  <c r="C184" i="10"/>
  <c r="C183" i="10"/>
  <c r="C182" i="10"/>
  <c r="C181" i="10"/>
  <c r="C180" i="10"/>
  <c r="C179" i="10"/>
  <c r="C178" i="10"/>
  <c r="C177" i="10"/>
  <c r="C176" i="10"/>
  <c r="C175" i="10"/>
  <c r="C174" i="10"/>
  <c r="C173" i="10"/>
  <c r="C172" i="10"/>
  <c r="C171" i="10"/>
  <c r="C170" i="10"/>
  <c r="C169" i="10"/>
  <c r="C168" i="10"/>
  <c r="C167" i="10"/>
  <c r="C166" i="10"/>
  <c r="C165" i="10"/>
  <c r="C164" i="10"/>
  <c r="C163" i="10"/>
  <c r="C162" i="10"/>
  <c r="C161" i="10"/>
  <c r="C160" i="10"/>
  <c r="C159" i="10"/>
  <c r="C158" i="10"/>
  <c r="C157" i="10"/>
  <c r="C156" i="10"/>
  <c r="C155" i="10"/>
  <c r="C154" i="10"/>
  <c r="C153" i="10"/>
  <c r="C152" i="10"/>
  <c r="C151" i="10"/>
  <c r="C150" i="10"/>
  <c r="C149" i="10"/>
  <c r="C148" i="10"/>
  <c r="C147" i="10"/>
  <c r="C146" i="10"/>
  <c r="C145" i="10"/>
  <c r="C144" i="10"/>
  <c r="C143" i="10"/>
  <c r="C142" i="10"/>
  <c r="C141" i="10"/>
  <c r="C140" i="10"/>
  <c r="C139" i="10"/>
  <c r="C138" i="10"/>
  <c r="C137" i="10"/>
  <c r="C136" i="10"/>
  <c r="C135" i="10"/>
  <c r="C134" i="10"/>
  <c r="C133" i="10"/>
  <c r="C132" i="10"/>
  <c r="C131" i="10"/>
  <c r="C130" i="10"/>
  <c r="C129" i="10"/>
  <c r="C128" i="10"/>
  <c r="C127" i="10"/>
  <c r="C126" i="10"/>
  <c r="C125" i="10"/>
  <c r="C124" i="10"/>
  <c r="C123" i="10"/>
  <c r="C122" i="10"/>
  <c r="C121" i="10"/>
  <c r="C120" i="10"/>
  <c r="C119" i="10"/>
  <c r="C118" i="10"/>
  <c r="C117" i="10"/>
  <c r="C116" i="10"/>
  <c r="C115" i="10"/>
  <c r="C114" i="10"/>
  <c r="C113" i="10"/>
  <c r="C112" i="10"/>
  <c r="C111" i="10"/>
  <c r="C110" i="10"/>
  <c r="C109" i="10"/>
  <c r="C108" i="10"/>
  <c r="C107" i="10"/>
  <c r="C106" i="10"/>
  <c r="C105" i="10"/>
  <c r="C104" i="10"/>
  <c r="C103" i="10"/>
  <c r="C102" i="10"/>
  <c r="C101" i="10"/>
  <c r="C100" i="10"/>
  <c r="C99" i="10"/>
  <c r="C98" i="10"/>
  <c r="C97" i="10"/>
  <c r="C96" i="10"/>
  <c r="C95" i="10"/>
  <c r="C94" i="10"/>
  <c r="C93" i="10"/>
  <c r="C92" i="10"/>
  <c r="C91" i="10"/>
  <c r="C90" i="10"/>
  <c r="C89" i="10"/>
  <c r="C88" i="10"/>
  <c r="C87" i="10"/>
  <c r="C86" i="10"/>
  <c r="C85" i="10"/>
  <c r="C84" i="10"/>
  <c r="C83" i="10"/>
  <c r="C82" i="10"/>
  <c r="C81" i="10"/>
  <c r="C80" i="10"/>
  <c r="C79" i="10"/>
  <c r="C78" i="10"/>
  <c r="C77" i="10"/>
  <c r="C76" i="10"/>
  <c r="C75" i="10"/>
  <c r="C74" i="10"/>
  <c r="C73" i="10"/>
  <c r="C72" i="10"/>
  <c r="C71" i="10"/>
  <c r="C70" i="10"/>
  <c r="C69" i="10"/>
  <c r="C68" i="10"/>
  <c r="C67" i="10"/>
  <c r="C66" i="10"/>
  <c r="C65" i="10"/>
  <c r="C64" i="10"/>
  <c r="C63" i="10"/>
  <c r="C62" i="10"/>
  <c r="C61" i="10"/>
  <c r="C60" i="10"/>
  <c r="C59" i="10"/>
  <c r="C58" i="10"/>
  <c r="C57" i="10"/>
  <c r="C56" i="10"/>
  <c r="C55" i="10"/>
  <c r="C54" i="10"/>
  <c r="C53" i="10"/>
  <c r="C52" i="10"/>
  <c r="C51" i="10"/>
  <c r="C50" i="10"/>
  <c r="C49" i="10"/>
  <c r="C48" i="10"/>
  <c r="C47" i="10"/>
  <c r="C46" i="10"/>
  <c r="C45" i="10"/>
  <c r="C44" i="10"/>
  <c r="C43" i="10"/>
  <c r="C42" i="10"/>
  <c r="C41" i="10"/>
  <c r="C40" i="10"/>
  <c r="C39" i="10"/>
  <c r="C38" i="10"/>
  <c r="C37" i="10"/>
  <c r="C36" i="10"/>
  <c r="C35" i="10"/>
  <c r="C34" i="10"/>
  <c r="C33" i="10"/>
  <c r="C32" i="10"/>
  <c r="C31" i="10"/>
  <c r="C30" i="10"/>
  <c r="C29" i="10"/>
  <c r="C28" i="10"/>
  <c r="C27" i="10"/>
  <c r="C26" i="10"/>
  <c r="C25" i="10"/>
  <c r="C24" i="10"/>
  <c r="C23" i="10"/>
  <c r="C22" i="10"/>
  <c r="D21" i="10"/>
  <c r="C21" i="10"/>
  <c r="D20" i="10"/>
  <c r="C20" i="10"/>
  <c r="D19" i="10"/>
  <c r="C19" i="10"/>
  <c r="D18" i="10"/>
  <c r="C18" i="10"/>
  <c r="D17" i="10"/>
  <c r="C17" i="10"/>
  <c r="D16" i="10"/>
  <c r="C16" i="10"/>
  <c r="D15" i="10"/>
  <c r="C15" i="10"/>
  <c r="D14" i="10"/>
  <c r="C14" i="10"/>
  <c r="D13" i="10"/>
  <c r="C13" i="10"/>
  <c r="D12" i="10"/>
  <c r="C12" i="10"/>
  <c r="D11" i="10"/>
  <c r="C11" i="10"/>
  <c r="D10" i="10"/>
  <c r="C10" i="10"/>
  <c r="D9" i="10"/>
  <c r="C9" i="10"/>
  <c r="D8" i="10"/>
  <c r="C8" i="10"/>
  <c r="A7" i="10"/>
  <c r="P6" i="10"/>
  <c r="O6" i="10"/>
  <c r="N6" i="10"/>
  <c r="M6" i="10"/>
  <c r="L6" i="10"/>
  <c r="K6" i="10"/>
  <c r="J6" i="10"/>
  <c r="I6" i="10"/>
  <c r="H6" i="10"/>
  <c r="G6" i="10"/>
  <c r="F6" i="10"/>
  <c r="E6" i="10"/>
  <c r="D6" i="10"/>
  <c r="C6" i="10"/>
  <c r="P12" i="9"/>
  <c r="H12" i="9"/>
  <c r="P11" i="9"/>
  <c r="H11" i="9"/>
  <c r="P10" i="9"/>
  <c r="H10" i="9"/>
  <c r="P9" i="9"/>
  <c r="H9" i="9"/>
  <c r="P8" i="9"/>
  <c r="H8" i="9"/>
  <c r="P7" i="9"/>
  <c r="H7" i="9"/>
  <c r="P6" i="9"/>
  <c r="H6" i="9"/>
  <c r="P5" i="9"/>
  <c r="H5" i="9"/>
  <c r="P4" i="9"/>
  <c r="H4" i="9"/>
  <c r="P3" i="9"/>
  <c r="H3" i="9"/>
  <c r="Q904" i="9"/>
  <c r="Q891" i="9"/>
  <c r="Q760" i="9"/>
  <c r="Q759" i="9"/>
  <c r="Q629" i="9"/>
  <c r="Q615" i="9"/>
  <c r="Q498" i="9"/>
  <c r="Q497" i="9"/>
  <c r="Q366" i="9"/>
  <c r="Q354" i="9"/>
  <c r="Q222" i="9"/>
  <c r="Q210" i="9"/>
  <c r="Q105" i="9"/>
  <c r="Q80" i="9"/>
  <c r="Q2" i="9" a="1"/>
  <c r="Q929" i="9" s="1"/>
  <c r="P2" i="9"/>
  <c r="I902" i="9"/>
  <c r="I889" i="9"/>
  <c r="I457" i="9"/>
  <c r="I169" i="9"/>
  <c r="I110" i="9"/>
  <c r="I2" i="9" a="1"/>
  <c r="I529" i="9" s="1"/>
  <c r="H2" i="9"/>
  <c r="A978" i="9"/>
  <c r="A968" i="9"/>
  <c r="A930" i="9"/>
  <c r="A920" i="9"/>
  <c r="A882" i="9"/>
  <c r="A872" i="9"/>
  <c r="A834" i="9"/>
  <c r="A824" i="9"/>
  <c r="A786" i="9"/>
  <c r="A776" i="9"/>
  <c r="A738" i="9"/>
  <c r="A728" i="9"/>
  <c r="A690" i="9"/>
  <c r="A680" i="9"/>
  <c r="A642" i="9"/>
  <c r="A632" i="9"/>
  <c r="A594" i="9"/>
  <c r="A584" i="9"/>
  <c r="A546" i="9"/>
  <c r="A536" i="9"/>
  <c r="A498" i="9"/>
  <c r="A488" i="9"/>
  <c r="A450" i="9"/>
  <c r="A440" i="9"/>
  <c r="A402" i="9"/>
  <c r="A392" i="9"/>
  <c r="A354" i="9"/>
  <c r="A344" i="9"/>
  <c r="A306" i="9"/>
  <c r="A296" i="9"/>
  <c r="A258" i="9"/>
  <c r="A248" i="9"/>
  <c r="A210" i="9"/>
  <c r="A200" i="9"/>
  <c r="A162" i="9"/>
  <c r="A152" i="9"/>
  <c r="A114" i="9"/>
  <c r="A104" i="9"/>
  <c r="A66" i="9"/>
  <c r="A56" i="9"/>
  <c r="A18" i="9"/>
  <c r="A8" i="9"/>
  <c r="A2" i="9" a="1"/>
  <c r="A1000" i="9" s="1"/>
  <c r="C1000" i="8"/>
  <c r="C999" i="8"/>
  <c r="C998" i="8"/>
  <c r="C997" i="8"/>
  <c r="C996" i="8"/>
  <c r="C995" i="8"/>
  <c r="C994" i="8"/>
  <c r="C993" i="8"/>
  <c r="C992" i="8"/>
  <c r="C991" i="8"/>
  <c r="C990" i="8"/>
  <c r="C989" i="8"/>
  <c r="C988" i="8"/>
  <c r="C987" i="8"/>
  <c r="C986" i="8"/>
  <c r="C985" i="8"/>
  <c r="C984" i="8"/>
  <c r="C983" i="8"/>
  <c r="C982" i="8"/>
  <c r="C981" i="8"/>
  <c r="C980" i="8"/>
  <c r="C979" i="8"/>
  <c r="C978" i="8"/>
  <c r="C977" i="8"/>
  <c r="C976" i="8"/>
  <c r="C975" i="8"/>
  <c r="C974" i="8"/>
  <c r="C973" i="8"/>
  <c r="C972" i="8"/>
  <c r="C971" i="8"/>
  <c r="C970" i="8"/>
  <c r="C969" i="8"/>
  <c r="C968" i="8"/>
  <c r="C967" i="8"/>
  <c r="C966" i="8"/>
  <c r="C965" i="8"/>
  <c r="C964" i="8"/>
  <c r="C963" i="8"/>
  <c r="C962" i="8"/>
  <c r="C961" i="8"/>
  <c r="C960" i="8"/>
  <c r="C959" i="8"/>
  <c r="C958" i="8"/>
  <c r="C957" i="8"/>
  <c r="C956" i="8"/>
  <c r="C955" i="8"/>
  <c r="C954" i="8"/>
  <c r="C953" i="8"/>
  <c r="C952" i="8"/>
  <c r="C951" i="8"/>
  <c r="C950" i="8"/>
  <c r="C949" i="8"/>
  <c r="C948" i="8"/>
  <c r="C947" i="8"/>
  <c r="C946" i="8"/>
  <c r="C945" i="8"/>
  <c r="C944" i="8"/>
  <c r="C943" i="8"/>
  <c r="C942" i="8"/>
  <c r="C941" i="8"/>
  <c r="C940" i="8"/>
  <c r="C939" i="8"/>
  <c r="C938" i="8"/>
  <c r="C937" i="8"/>
  <c r="C936" i="8"/>
  <c r="C935" i="8"/>
  <c r="C934" i="8"/>
  <c r="C933" i="8"/>
  <c r="C932" i="8"/>
  <c r="C931" i="8"/>
  <c r="C930" i="8"/>
  <c r="C929" i="8"/>
  <c r="C928" i="8"/>
  <c r="C927" i="8"/>
  <c r="C926" i="8"/>
  <c r="C925" i="8"/>
  <c r="C924" i="8"/>
  <c r="C923" i="8"/>
  <c r="C922" i="8"/>
  <c r="C921" i="8"/>
  <c r="C920" i="8"/>
  <c r="C919" i="8"/>
  <c r="C918" i="8"/>
  <c r="C917" i="8"/>
  <c r="C916" i="8"/>
  <c r="C915" i="8"/>
  <c r="C914" i="8"/>
  <c r="C913" i="8"/>
  <c r="C912" i="8"/>
  <c r="C911" i="8"/>
  <c r="C910" i="8"/>
  <c r="C909" i="8"/>
  <c r="C908" i="8"/>
  <c r="C907" i="8"/>
  <c r="C906" i="8"/>
  <c r="C905" i="8"/>
  <c r="C904" i="8"/>
  <c r="C903" i="8"/>
  <c r="C902" i="8"/>
  <c r="C901" i="8"/>
  <c r="C900" i="8"/>
  <c r="C899" i="8"/>
  <c r="C898" i="8"/>
  <c r="C897" i="8"/>
  <c r="C896" i="8"/>
  <c r="C895" i="8"/>
  <c r="C894" i="8"/>
  <c r="C893" i="8"/>
  <c r="C892" i="8"/>
  <c r="C891" i="8"/>
  <c r="C890" i="8"/>
  <c r="C889" i="8"/>
  <c r="C888" i="8"/>
  <c r="C887" i="8"/>
  <c r="C886" i="8"/>
  <c r="C885" i="8"/>
  <c r="C884" i="8"/>
  <c r="C883" i="8"/>
  <c r="C882" i="8"/>
  <c r="C881" i="8"/>
  <c r="C880" i="8"/>
  <c r="C879" i="8"/>
  <c r="C878" i="8"/>
  <c r="C877" i="8"/>
  <c r="C876" i="8"/>
  <c r="C875" i="8"/>
  <c r="C874" i="8"/>
  <c r="C873" i="8"/>
  <c r="C872" i="8"/>
  <c r="C871" i="8"/>
  <c r="C870" i="8"/>
  <c r="C869" i="8"/>
  <c r="C868" i="8"/>
  <c r="C867" i="8"/>
  <c r="C866" i="8"/>
  <c r="C865" i="8"/>
  <c r="C864" i="8"/>
  <c r="C863" i="8"/>
  <c r="C862" i="8"/>
  <c r="C861" i="8"/>
  <c r="C860" i="8"/>
  <c r="C859" i="8"/>
  <c r="C858" i="8"/>
  <c r="C857" i="8"/>
  <c r="C856" i="8"/>
  <c r="C855" i="8"/>
  <c r="C854" i="8"/>
  <c r="C853" i="8"/>
  <c r="C852" i="8"/>
  <c r="C851" i="8"/>
  <c r="C850" i="8"/>
  <c r="C849" i="8"/>
  <c r="C848" i="8"/>
  <c r="C847" i="8"/>
  <c r="C846" i="8"/>
  <c r="C845" i="8"/>
  <c r="C844" i="8"/>
  <c r="C843" i="8"/>
  <c r="C842" i="8"/>
  <c r="C841" i="8"/>
  <c r="C840" i="8"/>
  <c r="C839" i="8"/>
  <c r="C838" i="8"/>
  <c r="C837" i="8"/>
  <c r="C836" i="8"/>
  <c r="C835" i="8"/>
  <c r="C834" i="8"/>
  <c r="C833" i="8"/>
  <c r="C832" i="8"/>
  <c r="C831" i="8"/>
  <c r="C830" i="8"/>
  <c r="C829" i="8"/>
  <c r="C828" i="8"/>
  <c r="C827" i="8"/>
  <c r="C826" i="8"/>
  <c r="C825" i="8"/>
  <c r="C824" i="8"/>
  <c r="C823" i="8"/>
  <c r="C822" i="8"/>
  <c r="C821" i="8"/>
  <c r="C820" i="8"/>
  <c r="C819" i="8"/>
  <c r="C818" i="8"/>
  <c r="C817" i="8"/>
  <c r="C816" i="8"/>
  <c r="C815" i="8"/>
  <c r="C814" i="8"/>
  <c r="C813" i="8"/>
  <c r="C812" i="8"/>
  <c r="C811" i="8"/>
  <c r="C810" i="8"/>
  <c r="C809" i="8"/>
  <c r="C808" i="8"/>
  <c r="C807" i="8"/>
  <c r="C806" i="8"/>
  <c r="C805" i="8"/>
  <c r="C804" i="8"/>
  <c r="C803" i="8"/>
  <c r="C802" i="8"/>
  <c r="C801" i="8"/>
  <c r="C800" i="8"/>
  <c r="C799" i="8"/>
  <c r="C798" i="8"/>
  <c r="C797" i="8"/>
  <c r="C796" i="8"/>
  <c r="C795" i="8"/>
  <c r="C794" i="8"/>
  <c r="C793" i="8"/>
  <c r="C792" i="8"/>
  <c r="C791" i="8"/>
  <c r="C790" i="8"/>
  <c r="C789" i="8"/>
  <c r="C788" i="8"/>
  <c r="C787" i="8"/>
  <c r="C786" i="8"/>
  <c r="C785" i="8"/>
  <c r="C784" i="8"/>
  <c r="C783" i="8"/>
  <c r="C782" i="8"/>
  <c r="C781" i="8"/>
  <c r="C780" i="8"/>
  <c r="C779" i="8"/>
  <c r="C778" i="8"/>
  <c r="C777" i="8"/>
  <c r="C776" i="8"/>
  <c r="C775" i="8"/>
  <c r="C774" i="8"/>
  <c r="C773" i="8"/>
  <c r="C772" i="8"/>
  <c r="C771" i="8"/>
  <c r="C770" i="8"/>
  <c r="C769" i="8"/>
  <c r="C768" i="8"/>
  <c r="C767" i="8"/>
  <c r="C766" i="8"/>
  <c r="C765" i="8"/>
  <c r="C764" i="8"/>
  <c r="C763" i="8"/>
  <c r="C762" i="8"/>
  <c r="C761" i="8"/>
  <c r="C760" i="8"/>
  <c r="C759" i="8"/>
  <c r="C758" i="8"/>
  <c r="C757" i="8"/>
  <c r="C756" i="8"/>
  <c r="C755" i="8"/>
  <c r="C754" i="8"/>
  <c r="C753" i="8"/>
  <c r="C752" i="8"/>
  <c r="C751" i="8"/>
  <c r="C750" i="8"/>
  <c r="C749" i="8"/>
  <c r="C748" i="8"/>
  <c r="C747" i="8"/>
  <c r="C746" i="8"/>
  <c r="C745" i="8"/>
  <c r="C744" i="8"/>
  <c r="C743" i="8"/>
  <c r="C742" i="8"/>
  <c r="C741" i="8"/>
  <c r="C740" i="8"/>
  <c r="C739" i="8"/>
  <c r="C738" i="8"/>
  <c r="C737" i="8"/>
  <c r="C736" i="8"/>
  <c r="C735" i="8"/>
  <c r="C734" i="8"/>
  <c r="C733" i="8"/>
  <c r="C732" i="8"/>
  <c r="C731" i="8"/>
  <c r="C730" i="8"/>
  <c r="C729" i="8"/>
  <c r="C728" i="8"/>
  <c r="C727" i="8"/>
  <c r="C726" i="8"/>
  <c r="C725" i="8"/>
  <c r="C724" i="8"/>
  <c r="C723" i="8"/>
  <c r="C722" i="8"/>
  <c r="C721" i="8"/>
  <c r="C720" i="8"/>
  <c r="C719" i="8"/>
  <c r="C718" i="8"/>
  <c r="C717" i="8"/>
  <c r="C716" i="8"/>
  <c r="C715" i="8"/>
  <c r="C714" i="8"/>
  <c r="C713" i="8"/>
  <c r="C712" i="8"/>
  <c r="C711" i="8"/>
  <c r="C710" i="8"/>
  <c r="C709" i="8"/>
  <c r="C708" i="8"/>
  <c r="C707" i="8"/>
  <c r="C706" i="8"/>
  <c r="C705" i="8"/>
  <c r="C704" i="8"/>
  <c r="C703" i="8"/>
  <c r="C702" i="8"/>
  <c r="C701" i="8"/>
  <c r="C700" i="8"/>
  <c r="C699" i="8"/>
  <c r="C698" i="8"/>
  <c r="C697" i="8"/>
  <c r="C696" i="8"/>
  <c r="C695" i="8"/>
  <c r="C694" i="8"/>
  <c r="C693" i="8"/>
  <c r="C692" i="8"/>
  <c r="C691" i="8"/>
  <c r="C690" i="8"/>
  <c r="C689" i="8"/>
  <c r="C688" i="8"/>
  <c r="C687" i="8"/>
  <c r="C686" i="8"/>
  <c r="C685" i="8"/>
  <c r="C684" i="8"/>
  <c r="C683" i="8"/>
  <c r="C682" i="8"/>
  <c r="C681" i="8"/>
  <c r="C680" i="8"/>
  <c r="C679" i="8"/>
  <c r="C678" i="8"/>
  <c r="C677" i="8"/>
  <c r="C676" i="8"/>
  <c r="C675" i="8"/>
  <c r="C674" i="8"/>
  <c r="C673" i="8"/>
  <c r="C672" i="8"/>
  <c r="C671" i="8"/>
  <c r="C670" i="8"/>
  <c r="C669" i="8"/>
  <c r="C668" i="8"/>
  <c r="C667" i="8"/>
  <c r="C666" i="8"/>
  <c r="C665" i="8"/>
  <c r="C664" i="8"/>
  <c r="C663" i="8"/>
  <c r="C662" i="8"/>
  <c r="C661" i="8"/>
  <c r="C660" i="8"/>
  <c r="C659" i="8"/>
  <c r="C658" i="8"/>
  <c r="C657" i="8"/>
  <c r="C656" i="8"/>
  <c r="C655" i="8"/>
  <c r="C654" i="8"/>
  <c r="C653" i="8"/>
  <c r="C652" i="8"/>
  <c r="C651" i="8"/>
  <c r="C650" i="8"/>
  <c r="C649" i="8"/>
  <c r="C648" i="8"/>
  <c r="C647" i="8"/>
  <c r="C646" i="8"/>
  <c r="C645" i="8"/>
  <c r="C644" i="8"/>
  <c r="C643" i="8"/>
  <c r="C642" i="8"/>
  <c r="C641" i="8"/>
  <c r="C640" i="8"/>
  <c r="C639" i="8"/>
  <c r="C638" i="8"/>
  <c r="C637" i="8"/>
  <c r="C636" i="8"/>
  <c r="C635" i="8"/>
  <c r="C634" i="8"/>
  <c r="C633" i="8"/>
  <c r="C632" i="8"/>
  <c r="C631" i="8"/>
  <c r="C630" i="8"/>
  <c r="C629" i="8"/>
  <c r="C628" i="8"/>
  <c r="C627" i="8"/>
  <c r="C626" i="8"/>
  <c r="C625" i="8"/>
  <c r="C624" i="8"/>
  <c r="C623" i="8"/>
  <c r="C622" i="8"/>
  <c r="C621" i="8"/>
  <c r="C620" i="8"/>
  <c r="C619" i="8"/>
  <c r="C618" i="8"/>
  <c r="C617" i="8"/>
  <c r="C616" i="8"/>
  <c r="C615" i="8"/>
  <c r="C614" i="8"/>
  <c r="C613" i="8"/>
  <c r="C612" i="8"/>
  <c r="C611" i="8"/>
  <c r="C610" i="8"/>
  <c r="C609" i="8"/>
  <c r="C608" i="8"/>
  <c r="C607" i="8"/>
  <c r="C606" i="8"/>
  <c r="C605" i="8"/>
  <c r="C604" i="8"/>
  <c r="C603" i="8"/>
  <c r="C602" i="8"/>
  <c r="C601" i="8"/>
  <c r="C600" i="8"/>
  <c r="C599" i="8"/>
  <c r="C598" i="8"/>
  <c r="C597" i="8"/>
  <c r="C596" i="8"/>
  <c r="C595" i="8"/>
  <c r="C594" i="8"/>
  <c r="C593" i="8"/>
  <c r="C592" i="8"/>
  <c r="C591" i="8"/>
  <c r="C590" i="8"/>
  <c r="C589" i="8"/>
  <c r="C588" i="8"/>
  <c r="C587" i="8"/>
  <c r="C586" i="8"/>
  <c r="C585" i="8"/>
  <c r="C584" i="8"/>
  <c r="C583" i="8"/>
  <c r="C582" i="8"/>
  <c r="C581" i="8"/>
  <c r="C580" i="8"/>
  <c r="C579" i="8"/>
  <c r="C578" i="8"/>
  <c r="C577" i="8"/>
  <c r="C576" i="8"/>
  <c r="C575" i="8"/>
  <c r="C574" i="8"/>
  <c r="C573" i="8"/>
  <c r="C572" i="8"/>
  <c r="C571" i="8"/>
  <c r="C570" i="8"/>
  <c r="C569" i="8"/>
  <c r="C568" i="8"/>
  <c r="C567" i="8"/>
  <c r="C566" i="8"/>
  <c r="C565" i="8"/>
  <c r="C564" i="8"/>
  <c r="C563" i="8"/>
  <c r="C562" i="8"/>
  <c r="C561" i="8"/>
  <c r="C560" i="8"/>
  <c r="C559" i="8"/>
  <c r="C558" i="8"/>
  <c r="C557" i="8"/>
  <c r="C556" i="8"/>
  <c r="C555" i="8"/>
  <c r="C554" i="8"/>
  <c r="C553" i="8"/>
  <c r="C552" i="8"/>
  <c r="C551" i="8"/>
  <c r="C550" i="8"/>
  <c r="C549" i="8"/>
  <c r="C548" i="8"/>
  <c r="C547" i="8"/>
  <c r="C546" i="8"/>
  <c r="C545" i="8"/>
  <c r="C544" i="8"/>
  <c r="C543" i="8"/>
  <c r="C542" i="8"/>
  <c r="C541" i="8"/>
  <c r="C540" i="8"/>
  <c r="C539" i="8"/>
  <c r="C538" i="8"/>
  <c r="C537" i="8"/>
  <c r="C536" i="8"/>
  <c r="C535" i="8"/>
  <c r="C534" i="8"/>
  <c r="C533" i="8"/>
  <c r="C532" i="8"/>
  <c r="C531" i="8"/>
  <c r="C530" i="8"/>
  <c r="C529" i="8"/>
  <c r="C528" i="8"/>
  <c r="C527" i="8"/>
  <c r="C526" i="8"/>
  <c r="C525" i="8"/>
  <c r="C524" i="8"/>
  <c r="C523" i="8"/>
  <c r="C522" i="8"/>
  <c r="C521" i="8"/>
  <c r="C520" i="8"/>
  <c r="C519" i="8"/>
  <c r="C518" i="8"/>
  <c r="C517" i="8"/>
  <c r="C516" i="8"/>
  <c r="C515" i="8"/>
  <c r="C514" i="8"/>
  <c r="C513" i="8"/>
  <c r="C512" i="8"/>
  <c r="C511" i="8"/>
  <c r="C510" i="8"/>
  <c r="C509" i="8"/>
  <c r="C508" i="8"/>
  <c r="C507" i="8"/>
  <c r="C506" i="8"/>
  <c r="C505" i="8"/>
  <c r="C504" i="8"/>
  <c r="C503" i="8"/>
  <c r="C502" i="8"/>
  <c r="C501" i="8"/>
  <c r="C500" i="8"/>
  <c r="C499" i="8"/>
  <c r="C498" i="8"/>
  <c r="C497" i="8"/>
  <c r="C496" i="8"/>
  <c r="C495" i="8"/>
  <c r="C494" i="8"/>
  <c r="C493" i="8"/>
  <c r="C492" i="8"/>
  <c r="C491" i="8"/>
  <c r="C490" i="8"/>
  <c r="C489" i="8"/>
  <c r="C488" i="8"/>
  <c r="C487" i="8"/>
  <c r="C486" i="8"/>
  <c r="C485" i="8"/>
  <c r="C484" i="8"/>
  <c r="C483" i="8"/>
  <c r="C482" i="8"/>
  <c r="C481" i="8"/>
  <c r="C480" i="8"/>
  <c r="C479" i="8"/>
  <c r="C478" i="8"/>
  <c r="C477" i="8"/>
  <c r="C476" i="8"/>
  <c r="C475" i="8"/>
  <c r="C474" i="8"/>
  <c r="C473" i="8"/>
  <c r="C472" i="8"/>
  <c r="C471" i="8"/>
  <c r="C470" i="8"/>
  <c r="C469" i="8"/>
  <c r="C468" i="8"/>
  <c r="C467" i="8"/>
  <c r="C466" i="8"/>
  <c r="C465" i="8"/>
  <c r="C464" i="8"/>
  <c r="C463" i="8"/>
  <c r="C462" i="8"/>
  <c r="C461" i="8"/>
  <c r="C460" i="8"/>
  <c r="C459" i="8"/>
  <c r="C458" i="8"/>
  <c r="C457" i="8"/>
  <c r="C456" i="8"/>
  <c r="C455" i="8"/>
  <c r="C454" i="8"/>
  <c r="C453" i="8"/>
  <c r="C452" i="8"/>
  <c r="C451" i="8"/>
  <c r="C450" i="8"/>
  <c r="C449" i="8"/>
  <c r="C448" i="8"/>
  <c r="C447" i="8"/>
  <c r="C446" i="8"/>
  <c r="C445" i="8"/>
  <c r="C444" i="8"/>
  <c r="C443" i="8"/>
  <c r="C442" i="8"/>
  <c r="C441" i="8"/>
  <c r="C440" i="8"/>
  <c r="C439" i="8"/>
  <c r="C438" i="8"/>
  <c r="C437" i="8"/>
  <c r="C436" i="8"/>
  <c r="C435" i="8"/>
  <c r="C434" i="8"/>
  <c r="C433" i="8"/>
  <c r="C432" i="8"/>
  <c r="C431" i="8"/>
  <c r="C430" i="8"/>
  <c r="C429" i="8"/>
  <c r="C428" i="8"/>
  <c r="C427" i="8"/>
  <c r="C426" i="8"/>
  <c r="C425" i="8"/>
  <c r="C424" i="8"/>
  <c r="C423" i="8"/>
  <c r="C422" i="8"/>
  <c r="C421" i="8"/>
  <c r="C420" i="8"/>
  <c r="C419" i="8"/>
  <c r="C418" i="8"/>
  <c r="C417" i="8"/>
  <c r="C416" i="8"/>
  <c r="C415" i="8"/>
  <c r="C414" i="8"/>
  <c r="C413" i="8"/>
  <c r="C412" i="8"/>
  <c r="C411" i="8"/>
  <c r="C410" i="8"/>
  <c r="C409" i="8"/>
  <c r="C408" i="8"/>
  <c r="C407" i="8"/>
  <c r="C406" i="8"/>
  <c r="C405" i="8"/>
  <c r="C404" i="8"/>
  <c r="C403" i="8"/>
  <c r="C402" i="8"/>
  <c r="C401" i="8"/>
  <c r="C400" i="8"/>
  <c r="C399" i="8"/>
  <c r="C398" i="8"/>
  <c r="C397" i="8"/>
  <c r="C396" i="8"/>
  <c r="C395" i="8"/>
  <c r="C394" i="8"/>
  <c r="C393" i="8"/>
  <c r="C392" i="8"/>
  <c r="C391" i="8"/>
  <c r="C390" i="8"/>
  <c r="C389" i="8"/>
  <c r="C388" i="8"/>
  <c r="C387" i="8"/>
  <c r="C386" i="8"/>
  <c r="C385" i="8"/>
  <c r="C384" i="8"/>
  <c r="C383" i="8"/>
  <c r="C382" i="8"/>
  <c r="C381" i="8"/>
  <c r="C380" i="8"/>
  <c r="C379" i="8"/>
  <c r="C378" i="8"/>
  <c r="C377" i="8"/>
  <c r="C376" i="8"/>
  <c r="C375" i="8"/>
  <c r="C374" i="8"/>
  <c r="C373" i="8"/>
  <c r="C372" i="8"/>
  <c r="C371" i="8"/>
  <c r="C370" i="8"/>
  <c r="C369" i="8"/>
  <c r="C368" i="8"/>
  <c r="C367" i="8"/>
  <c r="C366" i="8"/>
  <c r="C365" i="8"/>
  <c r="C364" i="8"/>
  <c r="C363" i="8"/>
  <c r="C362" i="8"/>
  <c r="C361" i="8"/>
  <c r="C360" i="8"/>
  <c r="C359" i="8"/>
  <c r="C358" i="8"/>
  <c r="C357" i="8"/>
  <c r="C356" i="8"/>
  <c r="C355" i="8"/>
  <c r="C354" i="8"/>
  <c r="C353" i="8"/>
  <c r="C352" i="8"/>
  <c r="C351" i="8"/>
  <c r="C350" i="8"/>
  <c r="C349" i="8"/>
  <c r="C348" i="8"/>
  <c r="C347" i="8"/>
  <c r="C346" i="8"/>
  <c r="C345" i="8"/>
  <c r="C344" i="8"/>
  <c r="C343" i="8"/>
  <c r="C342" i="8"/>
  <c r="C341" i="8"/>
  <c r="C340" i="8"/>
  <c r="C339" i="8"/>
  <c r="C338" i="8"/>
  <c r="C337" i="8"/>
  <c r="C336" i="8"/>
  <c r="C335" i="8"/>
  <c r="C334" i="8"/>
  <c r="C333" i="8"/>
  <c r="C332" i="8"/>
  <c r="C331" i="8"/>
  <c r="C330" i="8"/>
  <c r="C329" i="8"/>
  <c r="C328" i="8"/>
  <c r="C327" i="8"/>
  <c r="C326" i="8"/>
  <c r="C325" i="8"/>
  <c r="C324" i="8"/>
  <c r="C323" i="8"/>
  <c r="C322" i="8"/>
  <c r="C321" i="8"/>
  <c r="C320" i="8"/>
  <c r="C319" i="8"/>
  <c r="C318" i="8"/>
  <c r="C317" i="8"/>
  <c r="C316" i="8"/>
  <c r="C315" i="8"/>
  <c r="C314" i="8"/>
  <c r="C313" i="8"/>
  <c r="C312" i="8"/>
  <c r="C311" i="8"/>
  <c r="C310" i="8"/>
  <c r="C309" i="8"/>
  <c r="C308" i="8"/>
  <c r="C307" i="8"/>
  <c r="C306" i="8"/>
  <c r="C305" i="8"/>
  <c r="C304" i="8"/>
  <c r="C303" i="8"/>
  <c r="C302" i="8"/>
  <c r="C301" i="8"/>
  <c r="C300" i="8"/>
  <c r="C299" i="8"/>
  <c r="C298" i="8"/>
  <c r="C297" i="8"/>
  <c r="C296" i="8"/>
  <c r="C295" i="8"/>
  <c r="C294" i="8"/>
  <c r="C293" i="8"/>
  <c r="C292" i="8"/>
  <c r="C291" i="8"/>
  <c r="C290" i="8"/>
  <c r="C289" i="8"/>
  <c r="C288" i="8"/>
  <c r="C287" i="8"/>
  <c r="C286" i="8"/>
  <c r="C285" i="8"/>
  <c r="C284" i="8"/>
  <c r="C283" i="8"/>
  <c r="C282" i="8"/>
  <c r="C281" i="8"/>
  <c r="C280" i="8"/>
  <c r="C279" i="8"/>
  <c r="C278" i="8"/>
  <c r="C277" i="8"/>
  <c r="C276" i="8"/>
  <c r="C275" i="8"/>
  <c r="C274" i="8"/>
  <c r="C273" i="8"/>
  <c r="C272" i="8"/>
  <c r="C271" i="8"/>
  <c r="C270" i="8"/>
  <c r="C269" i="8"/>
  <c r="C268" i="8"/>
  <c r="C267" i="8"/>
  <c r="C266" i="8"/>
  <c r="C265" i="8"/>
  <c r="C264" i="8"/>
  <c r="C263" i="8"/>
  <c r="C262" i="8"/>
  <c r="C261" i="8"/>
  <c r="C260" i="8"/>
  <c r="C259" i="8"/>
  <c r="C258" i="8"/>
  <c r="C257" i="8"/>
  <c r="C256" i="8"/>
  <c r="C255" i="8"/>
  <c r="C254" i="8"/>
  <c r="C253" i="8"/>
  <c r="C252" i="8"/>
  <c r="C251" i="8"/>
  <c r="C250" i="8"/>
  <c r="C249" i="8"/>
  <c r="C248" i="8"/>
  <c r="C247" i="8"/>
  <c r="C246" i="8"/>
  <c r="C245" i="8"/>
  <c r="C244" i="8"/>
  <c r="C243" i="8"/>
  <c r="C242" i="8"/>
  <c r="C241" i="8"/>
  <c r="C240" i="8"/>
  <c r="C239" i="8"/>
  <c r="C238" i="8"/>
  <c r="C237" i="8"/>
  <c r="C236" i="8"/>
  <c r="C235" i="8"/>
  <c r="C234" i="8"/>
  <c r="C233" i="8"/>
  <c r="C232" i="8"/>
  <c r="C231" i="8"/>
  <c r="C230" i="8"/>
  <c r="C229" i="8"/>
  <c r="C228" i="8"/>
  <c r="C227" i="8"/>
  <c r="C226" i="8"/>
  <c r="C225" i="8"/>
  <c r="C224" i="8"/>
  <c r="C223" i="8"/>
  <c r="C222" i="8"/>
  <c r="C221" i="8"/>
  <c r="C220" i="8"/>
  <c r="C219" i="8"/>
  <c r="C218" i="8"/>
  <c r="C217" i="8"/>
  <c r="C216" i="8"/>
  <c r="C215" i="8"/>
  <c r="C214" i="8"/>
  <c r="C213" i="8"/>
  <c r="C212" i="8"/>
  <c r="C211" i="8"/>
  <c r="C210" i="8"/>
  <c r="C209" i="8"/>
  <c r="C208" i="8"/>
  <c r="C207" i="8"/>
  <c r="C206" i="8"/>
  <c r="C205" i="8"/>
  <c r="C204" i="8"/>
  <c r="C203" i="8"/>
  <c r="C202" i="8"/>
  <c r="C201" i="8"/>
  <c r="C200" i="8"/>
  <c r="C199" i="8"/>
  <c r="C198" i="8"/>
  <c r="C197" i="8"/>
  <c r="C196" i="8"/>
  <c r="C195" i="8"/>
  <c r="C194" i="8"/>
  <c r="C193" i="8"/>
  <c r="C192" i="8"/>
  <c r="C191" i="8"/>
  <c r="C190" i="8"/>
  <c r="C189" i="8"/>
  <c r="C188" i="8"/>
  <c r="C187" i="8"/>
  <c r="C186" i="8"/>
  <c r="C185" i="8"/>
  <c r="C184" i="8"/>
  <c r="C183" i="8"/>
  <c r="C182" i="8"/>
  <c r="C181" i="8"/>
  <c r="C180" i="8"/>
  <c r="C179" i="8"/>
  <c r="C178" i="8"/>
  <c r="C177" i="8"/>
  <c r="C176" i="8"/>
  <c r="C175" i="8"/>
  <c r="C174" i="8"/>
  <c r="C173" i="8"/>
  <c r="C172" i="8"/>
  <c r="C171" i="8"/>
  <c r="C170" i="8"/>
  <c r="C169" i="8"/>
  <c r="C168" i="8"/>
  <c r="C167" i="8"/>
  <c r="C166" i="8"/>
  <c r="C165" i="8"/>
  <c r="C164" i="8"/>
  <c r="C163" i="8"/>
  <c r="C162" i="8"/>
  <c r="C161" i="8"/>
  <c r="C160" i="8"/>
  <c r="C159" i="8"/>
  <c r="C158" i="8"/>
  <c r="C157" i="8"/>
  <c r="C156" i="8"/>
  <c r="C155" i="8"/>
  <c r="C154" i="8"/>
  <c r="C153" i="8"/>
  <c r="C152" i="8"/>
  <c r="C151" i="8"/>
  <c r="C150" i="8"/>
  <c r="C149" i="8"/>
  <c r="C148" i="8"/>
  <c r="C147" i="8"/>
  <c r="C146" i="8"/>
  <c r="C145" i="8"/>
  <c r="C144" i="8"/>
  <c r="C143" i="8"/>
  <c r="C142" i="8"/>
  <c r="C141" i="8"/>
  <c r="C140" i="8"/>
  <c r="C139" i="8"/>
  <c r="C138" i="8"/>
  <c r="C137" i="8"/>
  <c r="C136" i="8"/>
  <c r="C135" i="8"/>
  <c r="C134" i="8"/>
  <c r="C133" i="8"/>
  <c r="C132" i="8"/>
  <c r="C131" i="8"/>
  <c r="C130" i="8"/>
  <c r="C129" i="8"/>
  <c r="C128" i="8"/>
  <c r="C127" i="8"/>
  <c r="C126" i="8"/>
  <c r="C125" i="8"/>
  <c r="C124" i="8"/>
  <c r="C123" i="8"/>
  <c r="C122" i="8"/>
  <c r="C121" i="8"/>
  <c r="C120" i="8"/>
  <c r="C119" i="8"/>
  <c r="C118" i="8"/>
  <c r="C117" i="8"/>
  <c r="C116" i="8"/>
  <c r="C115" i="8"/>
  <c r="C114" i="8"/>
  <c r="C113" i="8"/>
  <c r="C112" i="8"/>
  <c r="C111" i="8"/>
  <c r="C110" i="8"/>
  <c r="C109" i="8"/>
  <c r="C108" i="8"/>
  <c r="C107" i="8"/>
  <c r="C106" i="8"/>
  <c r="C105" i="8"/>
  <c r="C104" i="8"/>
  <c r="C103" i="8"/>
  <c r="C102" i="8"/>
  <c r="C101" i="8"/>
  <c r="C100" i="8"/>
  <c r="C99" i="8"/>
  <c r="C98" i="8"/>
  <c r="C97" i="8"/>
  <c r="C96" i="8"/>
  <c r="C95" i="8"/>
  <c r="C94" i="8"/>
  <c r="C93" i="8"/>
  <c r="C92" i="8"/>
  <c r="C91" i="8"/>
  <c r="C90" i="8"/>
  <c r="C89" i="8"/>
  <c r="C88" i="8"/>
  <c r="C87" i="8"/>
  <c r="C86" i="8"/>
  <c r="C85" i="8"/>
  <c r="C84" i="8"/>
  <c r="C83" i="8"/>
  <c r="C82" i="8"/>
  <c r="C81" i="8"/>
  <c r="C80" i="8"/>
  <c r="C79" i="8"/>
  <c r="C78" i="8"/>
  <c r="C77" i="8"/>
  <c r="C76" i="8"/>
  <c r="C75" i="8"/>
  <c r="C74" i="8"/>
  <c r="C73" i="8"/>
  <c r="C72" i="8"/>
  <c r="C71" i="8"/>
  <c r="C70" i="8"/>
  <c r="C69" i="8"/>
  <c r="C68" i="8"/>
  <c r="C67" i="8"/>
  <c r="C66" i="8"/>
  <c r="C65" i="8"/>
  <c r="C64" i="8"/>
  <c r="C63" i="8"/>
  <c r="C62" i="8"/>
  <c r="C61" i="8"/>
  <c r="C60" i="8"/>
  <c r="C59" i="8"/>
  <c r="C58" i="8"/>
  <c r="C57" i="8"/>
  <c r="C56" i="8"/>
  <c r="C55" i="8"/>
  <c r="C54" i="8"/>
  <c r="C53" i="8"/>
  <c r="C52" i="8"/>
  <c r="C51" i="8"/>
  <c r="C50" i="8"/>
  <c r="C49" i="8"/>
  <c r="C48" i="8"/>
  <c r="C47" i="8"/>
  <c r="C46" i="8"/>
  <c r="C45" i="8"/>
  <c r="C44" i="8"/>
  <c r="C43" i="8"/>
  <c r="C42" i="8"/>
  <c r="C41" i="8"/>
  <c r="C40" i="8"/>
  <c r="C39" i="8"/>
  <c r="C38" i="8"/>
  <c r="C37" i="8"/>
  <c r="C36" i="8"/>
  <c r="C35" i="8"/>
  <c r="C34" i="8"/>
  <c r="C33" i="8"/>
  <c r="C32" i="8"/>
  <c r="C31" i="8"/>
  <c r="C30" i="8"/>
  <c r="C29" i="8"/>
  <c r="C28" i="8"/>
  <c r="C27" i="8"/>
  <c r="C26" i="8"/>
  <c r="C25" i="8"/>
  <c r="C24" i="8"/>
  <c r="C23" i="8"/>
  <c r="C22" i="8"/>
  <c r="D21" i="8"/>
  <c r="C21" i="8"/>
  <c r="D20" i="8"/>
  <c r="C20" i="8"/>
  <c r="D19" i="8"/>
  <c r="C19" i="8"/>
  <c r="D18" i="8"/>
  <c r="C18" i="8"/>
  <c r="D17" i="8"/>
  <c r="C17" i="8"/>
  <c r="D16" i="8"/>
  <c r="C16" i="8"/>
  <c r="D15" i="8"/>
  <c r="C15" i="8"/>
  <c r="D14" i="8"/>
  <c r="C14" i="8"/>
  <c r="D13" i="8"/>
  <c r="C13" i="8"/>
  <c r="D12" i="8"/>
  <c r="C12" i="8"/>
  <c r="D11" i="8"/>
  <c r="C11" i="8"/>
  <c r="D10" i="8"/>
  <c r="C10" i="8"/>
  <c r="D9" i="8"/>
  <c r="C9" i="8"/>
  <c r="D8" i="8"/>
  <c r="C8" i="8"/>
  <c r="A7" i="8"/>
  <c r="P6" i="8"/>
  <c r="O6" i="8"/>
  <c r="N6" i="8"/>
  <c r="M6" i="8"/>
  <c r="L6" i="8"/>
  <c r="K6" i="8"/>
  <c r="J6" i="8"/>
  <c r="I6" i="8"/>
  <c r="H6" i="8"/>
  <c r="G6" i="8"/>
  <c r="F6" i="8"/>
  <c r="E6" i="8"/>
  <c r="D6" i="8"/>
  <c r="C6" i="8"/>
  <c r="K139" i="7"/>
  <c r="J139" i="7"/>
  <c r="I139" i="7"/>
  <c r="H139" i="7"/>
  <c r="K138" i="7"/>
  <c r="J138" i="7"/>
  <c r="I138" i="7"/>
  <c r="H138" i="7"/>
  <c r="K137" i="7"/>
  <c r="J137" i="7"/>
  <c r="I137" i="7"/>
  <c r="H137" i="7"/>
  <c r="K136" i="7"/>
  <c r="J136" i="7"/>
  <c r="I136" i="7"/>
  <c r="H136" i="7"/>
  <c r="K135" i="7"/>
  <c r="J135" i="7"/>
  <c r="I135" i="7"/>
  <c r="H135" i="7"/>
  <c r="K134" i="7"/>
  <c r="J134" i="7"/>
  <c r="I134" i="7"/>
  <c r="H134" i="7"/>
  <c r="K133" i="7"/>
  <c r="J133" i="7"/>
  <c r="I133" i="7"/>
  <c r="H133" i="7"/>
  <c r="K132" i="7"/>
  <c r="J132" i="7"/>
  <c r="I132" i="7"/>
  <c r="H132" i="7"/>
  <c r="K131" i="7"/>
  <c r="J131" i="7"/>
  <c r="I131" i="7"/>
  <c r="H131" i="7"/>
  <c r="K130" i="7"/>
  <c r="J130" i="7"/>
  <c r="I130" i="7"/>
  <c r="H130" i="7"/>
  <c r="K129" i="7"/>
  <c r="J129" i="7"/>
  <c r="I129" i="7"/>
  <c r="H129" i="7"/>
  <c r="K128" i="7"/>
  <c r="J128" i="7"/>
  <c r="I128" i="7"/>
  <c r="H128" i="7"/>
  <c r="K127" i="7"/>
  <c r="J127" i="7"/>
  <c r="I127" i="7"/>
  <c r="H127" i="7"/>
  <c r="K126" i="7"/>
  <c r="J126" i="7"/>
  <c r="I126" i="7"/>
  <c r="H126" i="7"/>
  <c r="K125" i="7"/>
  <c r="J125" i="7"/>
  <c r="I125" i="7"/>
  <c r="H125" i="7"/>
  <c r="K124" i="7"/>
  <c r="J124" i="7"/>
  <c r="I124" i="7"/>
  <c r="H124" i="7"/>
  <c r="K123" i="7"/>
  <c r="J123" i="7"/>
  <c r="I123" i="7"/>
  <c r="H123" i="7"/>
  <c r="K122" i="7"/>
  <c r="J122" i="7"/>
  <c r="I122" i="7"/>
  <c r="H122" i="7"/>
  <c r="K121" i="7"/>
  <c r="J121" i="7"/>
  <c r="I121" i="7"/>
  <c r="H121" i="7"/>
  <c r="K120" i="7"/>
  <c r="J120" i="7"/>
  <c r="I120" i="7"/>
  <c r="H120" i="7"/>
  <c r="K119" i="7"/>
  <c r="J119" i="7"/>
  <c r="I119" i="7"/>
  <c r="H119" i="7"/>
  <c r="K118" i="7"/>
  <c r="J118" i="7"/>
  <c r="I118" i="7"/>
  <c r="H118" i="7"/>
  <c r="K117" i="7"/>
  <c r="J117" i="7"/>
  <c r="I117" i="7"/>
  <c r="H117" i="7"/>
  <c r="K116" i="7"/>
  <c r="J116" i="7"/>
  <c r="I116" i="7"/>
  <c r="H116" i="7"/>
  <c r="K115" i="7"/>
  <c r="J115" i="7"/>
  <c r="I115" i="7"/>
  <c r="H115" i="7"/>
  <c r="K114" i="7"/>
  <c r="J114" i="7"/>
  <c r="I114" i="7"/>
  <c r="H114" i="7"/>
  <c r="K113" i="7"/>
  <c r="J113" i="7"/>
  <c r="I113" i="7"/>
  <c r="H113" i="7"/>
  <c r="K112" i="7"/>
  <c r="J112" i="7"/>
  <c r="I112" i="7"/>
  <c r="H112" i="7"/>
  <c r="K111" i="7"/>
  <c r="J111" i="7"/>
  <c r="I111" i="7"/>
  <c r="H111" i="7"/>
  <c r="K110" i="7"/>
  <c r="J110" i="7"/>
  <c r="I110" i="7"/>
  <c r="H110" i="7"/>
  <c r="K109" i="7"/>
  <c r="J109" i="7"/>
  <c r="I109" i="7"/>
  <c r="H109" i="7"/>
  <c r="K108" i="7"/>
  <c r="J108" i="7"/>
  <c r="I108" i="7"/>
  <c r="H108" i="7"/>
  <c r="K107" i="7"/>
  <c r="J107" i="7"/>
  <c r="I107" i="7"/>
  <c r="H107" i="7"/>
  <c r="K106" i="7"/>
  <c r="J106" i="7"/>
  <c r="I106" i="7"/>
  <c r="H106" i="7"/>
  <c r="K105" i="7"/>
  <c r="J105" i="7"/>
  <c r="I105" i="7"/>
  <c r="H105" i="7"/>
  <c r="K104" i="7"/>
  <c r="J104" i="7"/>
  <c r="I104" i="7"/>
  <c r="H104" i="7"/>
  <c r="K103" i="7"/>
  <c r="J103" i="7"/>
  <c r="I103" i="7"/>
  <c r="H103" i="7"/>
  <c r="K102" i="7"/>
  <c r="J102" i="7"/>
  <c r="I102" i="7"/>
  <c r="H102" i="7"/>
  <c r="K101" i="7"/>
  <c r="J101" i="7"/>
  <c r="I101" i="7"/>
  <c r="H101" i="7"/>
  <c r="K100" i="7"/>
  <c r="J100" i="7"/>
  <c r="I100" i="7"/>
  <c r="H100" i="7"/>
  <c r="K99" i="7"/>
  <c r="J99" i="7"/>
  <c r="I99" i="7"/>
  <c r="H99" i="7"/>
  <c r="K98" i="7"/>
  <c r="J98" i="7"/>
  <c r="I98" i="7"/>
  <c r="H98" i="7"/>
  <c r="K97" i="7"/>
  <c r="J97" i="7"/>
  <c r="I97" i="7"/>
  <c r="H97" i="7"/>
  <c r="K96" i="7"/>
  <c r="J96" i="7"/>
  <c r="I96" i="7"/>
  <c r="H96" i="7"/>
  <c r="K95" i="7"/>
  <c r="J95" i="7"/>
  <c r="I95" i="7"/>
  <c r="H95" i="7"/>
  <c r="K94" i="7"/>
  <c r="J94" i="7"/>
  <c r="I94" i="7"/>
  <c r="H94" i="7"/>
  <c r="K93" i="7"/>
  <c r="J93" i="7"/>
  <c r="I93" i="7"/>
  <c r="H93" i="7"/>
  <c r="K92" i="7"/>
  <c r="J92" i="7"/>
  <c r="I92" i="7"/>
  <c r="H92" i="7"/>
  <c r="K91" i="7"/>
  <c r="J91" i="7"/>
  <c r="I91" i="7"/>
  <c r="H91" i="7"/>
  <c r="K90" i="7"/>
  <c r="J90" i="7"/>
  <c r="I90" i="7"/>
  <c r="H90" i="7"/>
  <c r="K89" i="7"/>
  <c r="J89" i="7"/>
  <c r="I89" i="7"/>
  <c r="H89" i="7"/>
  <c r="K88" i="7"/>
  <c r="J88" i="7"/>
  <c r="I88" i="7"/>
  <c r="H88" i="7"/>
  <c r="K87" i="7"/>
  <c r="J87" i="7"/>
  <c r="I87" i="7"/>
  <c r="H87" i="7"/>
  <c r="K86" i="7"/>
  <c r="J86" i="7"/>
  <c r="I86" i="7"/>
  <c r="H86" i="7"/>
  <c r="K85" i="7"/>
  <c r="J85" i="7"/>
  <c r="I85" i="7"/>
  <c r="H85" i="7"/>
  <c r="K84" i="7"/>
  <c r="J84" i="7"/>
  <c r="I84" i="7"/>
  <c r="H84" i="7"/>
  <c r="K83" i="7"/>
  <c r="J83" i="7"/>
  <c r="I83" i="7"/>
  <c r="H83" i="7"/>
  <c r="K82" i="7"/>
  <c r="J82" i="7"/>
  <c r="I82" i="7"/>
  <c r="H82" i="7"/>
  <c r="K81" i="7"/>
  <c r="J81" i="7"/>
  <c r="I81" i="7"/>
  <c r="H81" i="7"/>
  <c r="K80" i="7"/>
  <c r="J80" i="7"/>
  <c r="I80" i="7"/>
  <c r="H80" i="7"/>
  <c r="K79" i="7"/>
  <c r="J79" i="7"/>
  <c r="I79" i="7"/>
  <c r="H79" i="7"/>
  <c r="K78" i="7"/>
  <c r="J78" i="7"/>
  <c r="I78" i="7"/>
  <c r="H78" i="7"/>
  <c r="K77" i="7"/>
  <c r="J77" i="7"/>
  <c r="I77" i="7"/>
  <c r="H77" i="7"/>
  <c r="K76" i="7"/>
  <c r="J76" i="7"/>
  <c r="I76" i="7"/>
  <c r="H76" i="7"/>
  <c r="K75" i="7"/>
  <c r="J75" i="7"/>
  <c r="I75" i="7"/>
  <c r="H75" i="7"/>
  <c r="K74" i="7"/>
  <c r="J74" i="7"/>
  <c r="I74" i="7"/>
  <c r="H74" i="7"/>
  <c r="K73" i="7"/>
  <c r="J73" i="7"/>
  <c r="I73" i="7"/>
  <c r="H73" i="7"/>
  <c r="K72" i="7"/>
  <c r="J72" i="7"/>
  <c r="I72" i="7"/>
  <c r="H72" i="7"/>
  <c r="K71" i="7"/>
  <c r="J71" i="7"/>
  <c r="I71" i="7"/>
  <c r="H71" i="7"/>
  <c r="K70" i="7"/>
  <c r="J70" i="7"/>
  <c r="I70" i="7"/>
  <c r="H70" i="7"/>
  <c r="K69" i="7"/>
  <c r="J69" i="7"/>
  <c r="I69" i="7"/>
  <c r="H69" i="7"/>
  <c r="K68" i="7"/>
  <c r="J68" i="7"/>
  <c r="I68" i="7"/>
  <c r="H68" i="7"/>
  <c r="K67" i="7"/>
  <c r="J67" i="7"/>
  <c r="I67" i="7"/>
  <c r="H67" i="7"/>
  <c r="K66" i="7"/>
  <c r="J66" i="7"/>
  <c r="I66" i="7"/>
  <c r="H66" i="7"/>
  <c r="K65" i="7"/>
  <c r="J65" i="7"/>
  <c r="I65" i="7"/>
  <c r="H65" i="7"/>
  <c r="K64" i="7"/>
  <c r="J64" i="7"/>
  <c r="I64" i="7"/>
  <c r="H64" i="7"/>
  <c r="K63" i="7"/>
  <c r="J63" i="7"/>
  <c r="I63" i="7"/>
  <c r="H63" i="7"/>
  <c r="K62" i="7"/>
  <c r="J62" i="7"/>
  <c r="I62" i="7"/>
  <c r="H62" i="7"/>
  <c r="K61" i="7"/>
  <c r="J61" i="7"/>
  <c r="I61" i="7"/>
  <c r="H61" i="7"/>
  <c r="K60" i="7"/>
  <c r="J60" i="7"/>
  <c r="I60" i="7"/>
  <c r="H60" i="7"/>
  <c r="K59" i="7"/>
  <c r="J59" i="7"/>
  <c r="I59" i="7"/>
  <c r="H59" i="7"/>
  <c r="K58" i="7"/>
  <c r="J58" i="7"/>
  <c r="I58" i="7"/>
  <c r="H58" i="7"/>
  <c r="K57" i="7"/>
  <c r="J57" i="7"/>
  <c r="I57" i="7"/>
  <c r="H57" i="7"/>
  <c r="K56" i="7"/>
  <c r="J56" i="7"/>
  <c r="I56" i="7"/>
  <c r="H56" i="7"/>
  <c r="K55" i="7"/>
  <c r="J55" i="7"/>
  <c r="I55" i="7"/>
  <c r="H55" i="7"/>
  <c r="K54" i="7"/>
  <c r="J54" i="7"/>
  <c r="I54" i="7"/>
  <c r="H54" i="7"/>
  <c r="K53" i="7"/>
  <c r="J53" i="7"/>
  <c r="I53" i="7"/>
  <c r="H53" i="7"/>
  <c r="K52" i="7"/>
  <c r="J52" i="7"/>
  <c r="I52" i="7"/>
  <c r="H52" i="7"/>
  <c r="K51" i="7"/>
  <c r="J51" i="7"/>
  <c r="I51" i="7"/>
  <c r="H51" i="7"/>
  <c r="K50" i="7"/>
  <c r="J50" i="7"/>
  <c r="I50" i="7"/>
  <c r="H50" i="7"/>
  <c r="C50" i="7"/>
  <c r="B50" i="7"/>
  <c r="A50" i="7"/>
  <c r="K49" i="7"/>
  <c r="J49" i="7"/>
  <c r="I49" i="7"/>
  <c r="H49" i="7"/>
  <c r="C49" i="7"/>
  <c r="B49" i="7"/>
  <c r="A49" i="7"/>
  <c r="K48" i="7"/>
  <c r="J48" i="7"/>
  <c r="I48" i="7"/>
  <c r="H48" i="7"/>
  <c r="C48" i="7"/>
  <c r="B48" i="7"/>
  <c r="A48" i="7"/>
  <c r="K47" i="7"/>
  <c r="J47" i="7"/>
  <c r="I47" i="7"/>
  <c r="H47" i="7"/>
  <c r="C47" i="7"/>
  <c r="B47" i="7"/>
  <c r="A47" i="7"/>
  <c r="K46" i="7"/>
  <c r="J46" i="7"/>
  <c r="I46" i="7"/>
  <c r="H46" i="7"/>
  <c r="C46" i="7"/>
  <c r="B46" i="7"/>
  <c r="A46" i="7"/>
  <c r="K45" i="7"/>
  <c r="J45" i="7"/>
  <c r="I45" i="7"/>
  <c r="H45" i="7"/>
  <c r="C45" i="7"/>
  <c r="B45" i="7"/>
  <c r="A45" i="7"/>
  <c r="K44" i="7"/>
  <c r="J44" i="7"/>
  <c r="I44" i="7"/>
  <c r="H44" i="7"/>
  <c r="C44" i="7"/>
  <c r="B44" i="7"/>
  <c r="A44" i="7"/>
  <c r="K43" i="7"/>
  <c r="J43" i="7"/>
  <c r="I43" i="7"/>
  <c r="H43" i="7"/>
  <c r="C43" i="7"/>
  <c r="B43" i="7"/>
  <c r="A43" i="7"/>
  <c r="K42" i="7"/>
  <c r="J42" i="7"/>
  <c r="I42" i="7"/>
  <c r="H42" i="7"/>
  <c r="C42" i="7"/>
  <c r="B42" i="7"/>
  <c r="A42" i="7"/>
  <c r="K41" i="7"/>
  <c r="J41" i="7"/>
  <c r="I41" i="7"/>
  <c r="H41" i="7"/>
  <c r="C41" i="7"/>
  <c r="B41" i="7"/>
  <c r="A41" i="7"/>
  <c r="K40" i="7"/>
  <c r="J40" i="7"/>
  <c r="I40" i="7"/>
  <c r="H40" i="7"/>
  <c r="C40" i="7"/>
  <c r="B40" i="7"/>
  <c r="A40" i="7"/>
  <c r="K39" i="7"/>
  <c r="J39" i="7"/>
  <c r="I39" i="7"/>
  <c r="H39" i="7"/>
  <c r="C39" i="7"/>
  <c r="B39" i="7"/>
  <c r="A39" i="7"/>
  <c r="K38" i="7"/>
  <c r="J38" i="7"/>
  <c r="I38" i="7"/>
  <c r="H38" i="7"/>
  <c r="C38" i="7"/>
  <c r="B38" i="7"/>
  <c r="A38" i="7"/>
  <c r="K37" i="7"/>
  <c r="J37" i="7"/>
  <c r="I37" i="7"/>
  <c r="H37" i="7"/>
  <c r="E37" i="7"/>
  <c r="D37" i="7"/>
  <c r="C37" i="7"/>
  <c r="B37" i="7"/>
  <c r="A37" i="7"/>
  <c r="K36" i="7"/>
  <c r="J36" i="7"/>
  <c r="I36" i="7"/>
  <c r="H36" i="7"/>
  <c r="E36" i="7"/>
  <c r="D36" i="7"/>
  <c r="C36" i="7"/>
  <c r="B36" i="7"/>
  <c r="A36" i="7"/>
  <c r="K35" i="7"/>
  <c r="J35" i="7"/>
  <c r="I35" i="7"/>
  <c r="H35" i="7"/>
  <c r="E35" i="7"/>
  <c r="D35" i="7"/>
  <c r="C35" i="7"/>
  <c r="B35" i="7"/>
  <c r="A35" i="7"/>
  <c r="K34" i="7"/>
  <c r="J34" i="7"/>
  <c r="I34" i="7"/>
  <c r="H34" i="7"/>
  <c r="E34" i="7"/>
  <c r="D34" i="7"/>
  <c r="C34" i="7"/>
  <c r="B34" i="7"/>
  <c r="A34" i="7"/>
  <c r="K33" i="7"/>
  <c r="J33" i="7"/>
  <c r="I33" i="7"/>
  <c r="H33" i="7"/>
  <c r="E33" i="7"/>
  <c r="D33" i="7"/>
  <c r="C33" i="7"/>
  <c r="B33" i="7"/>
  <c r="A33" i="7"/>
  <c r="K32" i="7"/>
  <c r="J32" i="7"/>
  <c r="I32" i="7"/>
  <c r="H32" i="7"/>
  <c r="E32" i="7"/>
  <c r="D32" i="7"/>
  <c r="C32" i="7"/>
  <c r="B32" i="7"/>
  <c r="A32" i="7"/>
  <c r="K31" i="7"/>
  <c r="J31" i="7"/>
  <c r="I31" i="7"/>
  <c r="H31" i="7"/>
  <c r="E31" i="7"/>
  <c r="D31" i="7"/>
  <c r="C31" i="7"/>
  <c r="B31" i="7"/>
  <c r="A31" i="7"/>
  <c r="K30" i="7"/>
  <c r="J30" i="7"/>
  <c r="I30" i="7"/>
  <c r="H30" i="7"/>
  <c r="E30" i="7"/>
  <c r="D30" i="7"/>
  <c r="C30" i="7"/>
  <c r="B30" i="7"/>
  <c r="A30" i="7"/>
  <c r="K29" i="7"/>
  <c r="J29" i="7"/>
  <c r="I29" i="7"/>
  <c r="H29" i="7"/>
  <c r="E29" i="7"/>
  <c r="D29" i="7"/>
  <c r="C29" i="7"/>
  <c r="B29" i="7"/>
  <c r="A29" i="7"/>
  <c r="K28" i="7"/>
  <c r="J28" i="7"/>
  <c r="I28" i="7"/>
  <c r="H28" i="7"/>
  <c r="E28" i="7"/>
  <c r="D28" i="7"/>
  <c r="C28" i="7"/>
  <c r="B28" i="7"/>
  <c r="A28" i="7"/>
  <c r="K27" i="7"/>
  <c r="J27" i="7"/>
  <c r="I27" i="7"/>
  <c r="H27" i="7"/>
  <c r="E27" i="7"/>
  <c r="D27" i="7"/>
  <c r="C27" i="7"/>
  <c r="B27" i="7"/>
  <c r="A27" i="7"/>
  <c r="K26" i="7"/>
  <c r="J26" i="7"/>
  <c r="I26" i="7"/>
  <c r="H26" i="7"/>
  <c r="E26" i="7"/>
  <c r="D26" i="7"/>
  <c r="C26" i="7"/>
  <c r="B26" i="7"/>
  <c r="A26" i="7"/>
  <c r="K25" i="7"/>
  <c r="J25" i="7"/>
  <c r="I25" i="7"/>
  <c r="H25" i="7"/>
  <c r="E25" i="7"/>
  <c r="D25" i="7"/>
  <c r="C25" i="7"/>
  <c r="B25" i="7"/>
  <c r="A25" i="7"/>
  <c r="K24" i="7"/>
  <c r="J24" i="7"/>
  <c r="I24" i="7"/>
  <c r="H24" i="7"/>
  <c r="E24" i="7"/>
  <c r="D24" i="7"/>
  <c r="C24" i="7"/>
  <c r="B24" i="7"/>
  <c r="A24" i="7"/>
  <c r="K23" i="7"/>
  <c r="J23" i="7"/>
  <c r="I23" i="7"/>
  <c r="H23" i="7"/>
  <c r="E23" i="7"/>
  <c r="D23" i="7"/>
  <c r="C23" i="7"/>
  <c r="B23" i="7"/>
  <c r="A23" i="7"/>
  <c r="K22" i="7"/>
  <c r="J22" i="7"/>
  <c r="I22" i="7"/>
  <c r="H22" i="7"/>
  <c r="E22" i="7"/>
  <c r="D22" i="7"/>
  <c r="C22" i="7"/>
  <c r="B22" i="7"/>
  <c r="A22" i="7"/>
  <c r="K21" i="7"/>
  <c r="J21" i="7"/>
  <c r="I21" i="7"/>
  <c r="H21" i="7"/>
  <c r="E21" i="7"/>
  <c r="D21" i="7"/>
  <c r="C21" i="7"/>
  <c r="B21" i="7"/>
  <c r="A21" i="7"/>
  <c r="K20" i="7"/>
  <c r="J20" i="7"/>
  <c r="I20" i="7"/>
  <c r="H20" i="7"/>
  <c r="E20" i="7"/>
  <c r="D20" i="7"/>
  <c r="C20" i="7"/>
  <c r="B20" i="7"/>
  <c r="A20" i="7"/>
  <c r="K19" i="7"/>
  <c r="J19" i="7"/>
  <c r="I19" i="7"/>
  <c r="H19" i="7"/>
  <c r="E19" i="7"/>
  <c r="D19" i="7"/>
  <c r="C19" i="7"/>
  <c r="B19" i="7"/>
  <c r="A19" i="7"/>
  <c r="K18" i="7"/>
  <c r="J18" i="7"/>
  <c r="I18" i="7"/>
  <c r="H18" i="7"/>
  <c r="E18" i="7"/>
  <c r="D18" i="7"/>
  <c r="C18" i="7"/>
  <c r="B18" i="7"/>
  <c r="A18" i="7"/>
  <c r="K17" i="7"/>
  <c r="J17" i="7"/>
  <c r="I17" i="7"/>
  <c r="H17" i="7"/>
  <c r="E17" i="7"/>
  <c r="D17" i="7"/>
  <c r="C17" i="7"/>
  <c r="B17" i="7"/>
  <c r="A17" i="7"/>
  <c r="K16" i="7"/>
  <c r="J16" i="7"/>
  <c r="I16" i="7"/>
  <c r="H16" i="7"/>
  <c r="E16" i="7"/>
  <c r="D16" i="7"/>
  <c r="C16" i="7"/>
  <c r="B16" i="7"/>
  <c r="A16" i="7"/>
  <c r="K15" i="7"/>
  <c r="J15" i="7"/>
  <c r="I15" i="7"/>
  <c r="H15" i="7"/>
  <c r="E15" i="7"/>
  <c r="D15" i="7"/>
  <c r="C15" i="7"/>
  <c r="B15" i="7"/>
  <c r="A15" i="7"/>
  <c r="K14" i="7"/>
  <c r="J14" i="7"/>
  <c r="I14" i="7"/>
  <c r="H14" i="7"/>
  <c r="E14" i="7"/>
  <c r="D14" i="7"/>
  <c r="C14" i="7"/>
  <c r="B14" i="7"/>
  <c r="A14" i="7"/>
  <c r="K13" i="7"/>
  <c r="J13" i="7"/>
  <c r="I13" i="7"/>
  <c r="H13" i="7"/>
  <c r="E13" i="7"/>
  <c r="D13" i="7"/>
  <c r="C13" i="7"/>
  <c r="B13" i="7"/>
  <c r="A13" i="7"/>
  <c r="K12" i="7"/>
  <c r="J12" i="7"/>
  <c r="I12" i="7"/>
  <c r="H12" i="7"/>
  <c r="E12" i="7"/>
  <c r="D12" i="7"/>
  <c r="C12" i="7"/>
  <c r="B12" i="7"/>
  <c r="A12" i="7"/>
  <c r="K11" i="7"/>
  <c r="J11" i="7"/>
  <c r="I11" i="7"/>
  <c r="H11" i="7"/>
  <c r="E11" i="7"/>
  <c r="D11" i="7"/>
  <c r="C11" i="7"/>
  <c r="B11" i="7"/>
  <c r="A11" i="7"/>
  <c r="K10" i="7"/>
  <c r="J10" i="7"/>
  <c r="I10" i="7"/>
  <c r="H10" i="7"/>
  <c r="E10" i="7"/>
  <c r="D10" i="7"/>
  <c r="C10" i="7"/>
  <c r="B10" i="7"/>
  <c r="A10" i="7"/>
  <c r="K9" i="7"/>
  <c r="J9" i="7"/>
  <c r="I9" i="7"/>
  <c r="H9" i="7"/>
  <c r="E9" i="7"/>
  <c r="D9" i="7"/>
  <c r="C9" i="7"/>
  <c r="B9" i="7"/>
  <c r="A9" i="7"/>
  <c r="K8" i="7"/>
  <c r="J8" i="7"/>
  <c r="I8" i="7"/>
  <c r="H8" i="7"/>
  <c r="E8" i="7"/>
  <c r="D8" i="7"/>
  <c r="C8" i="7"/>
  <c r="B8" i="7"/>
  <c r="A8" i="7"/>
  <c r="K7" i="7"/>
  <c r="J7" i="7"/>
  <c r="I7" i="7"/>
  <c r="H7" i="7"/>
  <c r="E7" i="7"/>
  <c r="D7" i="7"/>
  <c r="C7" i="7"/>
  <c r="B7" i="7"/>
  <c r="A7" i="7"/>
  <c r="K6" i="7"/>
  <c r="J6" i="7"/>
  <c r="I6" i="7"/>
  <c r="H6" i="7"/>
  <c r="E6" i="7"/>
  <c r="D6" i="7"/>
  <c r="C6" i="7"/>
  <c r="B6" i="7"/>
  <c r="A6" i="7"/>
  <c r="K5" i="7"/>
  <c r="J5" i="7"/>
  <c r="I5" i="7"/>
  <c r="H5" i="7"/>
  <c r="E5" i="7"/>
  <c r="D5" i="7"/>
  <c r="C5" i="7"/>
  <c r="B5" i="7"/>
  <c r="A5" i="7"/>
  <c r="K4" i="7"/>
  <c r="J4" i="7"/>
  <c r="I4" i="7"/>
  <c r="H4" i="7"/>
  <c r="E4" i="7"/>
  <c r="D4" i="7"/>
  <c r="C4" i="7"/>
  <c r="B4" i="7"/>
  <c r="A4" i="7"/>
  <c r="K3" i="7"/>
  <c r="J3" i="7"/>
  <c r="I3" i="7"/>
  <c r="H3" i="7"/>
  <c r="E3" i="7"/>
  <c r="D3" i="7"/>
  <c r="C3" i="7"/>
  <c r="B3" i="7"/>
  <c r="A3" i="7"/>
  <c r="K85" i="6"/>
  <c r="J85" i="6"/>
  <c r="I85" i="6"/>
  <c r="H85" i="6"/>
  <c r="K84" i="6"/>
  <c r="J84" i="6"/>
  <c r="I84" i="6"/>
  <c r="H84" i="6"/>
  <c r="K83" i="6"/>
  <c r="J83" i="6"/>
  <c r="I83" i="6"/>
  <c r="H83" i="6"/>
  <c r="K82" i="6"/>
  <c r="J82" i="6"/>
  <c r="I82" i="6"/>
  <c r="H82" i="6"/>
  <c r="K81" i="6"/>
  <c r="J81" i="6"/>
  <c r="I81" i="6"/>
  <c r="H81" i="6"/>
  <c r="K80" i="6"/>
  <c r="J80" i="6"/>
  <c r="I80" i="6"/>
  <c r="H80" i="6"/>
  <c r="K79" i="6"/>
  <c r="J79" i="6"/>
  <c r="I79" i="6"/>
  <c r="H79" i="6"/>
  <c r="K78" i="6"/>
  <c r="J78" i="6"/>
  <c r="I78" i="6"/>
  <c r="H78" i="6"/>
  <c r="K77" i="6"/>
  <c r="J77" i="6"/>
  <c r="I77" i="6"/>
  <c r="H77" i="6"/>
  <c r="K76" i="6"/>
  <c r="J76" i="6"/>
  <c r="I76" i="6"/>
  <c r="H76" i="6"/>
  <c r="K75" i="6"/>
  <c r="J75" i="6"/>
  <c r="I75" i="6"/>
  <c r="H75" i="6"/>
  <c r="K74" i="6"/>
  <c r="J74" i="6"/>
  <c r="I74" i="6"/>
  <c r="H74" i="6"/>
  <c r="K73" i="6"/>
  <c r="J73" i="6"/>
  <c r="I73" i="6"/>
  <c r="H73" i="6"/>
  <c r="K72" i="6"/>
  <c r="J72" i="6"/>
  <c r="I72" i="6"/>
  <c r="H72" i="6"/>
  <c r="K71" i="6"/>
  <c r="J71" i="6"/>
  <c r="I71" i="6"/>
  <c r="H71" i="6"/>
  <c r="K70" i="6"/>
  <c r="J70" i="6"/>
  <c r="I70" i="6"/>
  <c r="H70" i="6"/>
  <c r="K69" i="6"/>
  <c r="J69" i="6"/>
  <c r="I69" i="6"/>
  <c r="H69" i="6"/>
  <c r="K68" i="6"/>
  <c r="J68" i="6"/>
  <c r="I68" i="6"/>
  <c r="H68" i="6"/>
  <c r="K67" i="6"/>
  <c r="J67" i="6"/>
  <c r="I67" i="6"/>
  <c r="H67" i="6"/>
  <c r="K66" i="6"/>
  <c r="J66" i="6"/>
  <c r="I66" i="6"/>
  <c r="H66" i="6"/>
  <c r="K65" i="6"/>
  <c r="J65" i="6"/>
  <c r="I65" i="6"/>
  <c r="H65" i="6"/>
  <c r="K64" i="6"/>
  <c r="J64" i="6"/>
  <c r="I64" i="6"/>
  <c r="H64" i="6"/>
  <c r="K63" i="6"/>
  <c r="J63" i="6"/>
  <c r="I63" i="6"/>
  <c r="H63" i="6"/>
  <c r="K62" i="6"/>
  <c r="J62" i="6"/>
  <c r="I62" i="6"/>
  <c r="H62" i="6"/>
  <c r="K61" i="6"/>
  <c r="J61" i="6"/>
  <c r="I61" i="6"/>
  <c r="H61" i="6"/>
  <c r="K60" i="6"/>
  <c r="J60" i="6"/>
  <c r="I60" i="6"/>
  <c r="H60" i="6"/>
  <c r="K59" i="6"/>
  <c r="J59" i="6"/>
  <c r="I59" i="6"/>
  <c r="H59" i="6"/>
  <c r="K58" i="6"/>
  <c r="J58" i="6"/>
  <c r="I58" i="6"/>
  <c r="H58" i="6"/>
  <c r="K57" i="6"/>
  <c r="J57" i="6"/>
  <c r="I57" i="6"/>
  <c r="H57" i="6"/>
  <c r="K56" i="6"/>
  <c r="J56" i="6"/>
  <c r="I56" i="6"/>
  <c r="H56" i="6"/>
  <c r="K55" i="6"/>
  <c r="J55" i="6"/>
  <c r="I55" i="6"/>
  <c r="H55" i="6"/>
  <c r="C55" i="6"/>
  <c r="B55" i="6"/>
  <c r="A55" i="6"/>
  <c r="K54" i="6"/>
  <c r="J54" i="6"/>
  <c r="I54" i="6"/>
  <c r="H54" i="6"/>
  <c r="C54" i="6"/>
  <c r="B54" i="6"/>
  <c r="A54" i="6"/>
  <c r="K53" i="6"/>
  <c r="J53" i="6"/>
  <c r="I53" i="6"/>
  <c r="H53" i="6"/>
  <c r="C53" i="6"/>
  <c r="B53" i="6"/>
  <c r="A53" i="6"/>
  <c r="K52" i="6"/>
  <c r="J52" i="6"/>
  <c r="I52" i="6"/>
  <c r="H52" i="6"/>
  <c r="C52" i="6"/>
  <c r="B52" i="6"/>
  <c r="A52" i="6"/>
  <c r="K51" i="6"/>
  <c r="J51" i="6"/>
  <c r="I51" i="6"/>
  <c r="H51" i="6"/>
  <c r="C51" i="6"/>
  <c r="B51" i="6"/>
  <c r="A51" i="6"/>
  <c r="K50" i="6"/>
  <c r="J50" i="6"/>
  <c r="I50" i="6"/>
  <c r="H50" i="6"/>
  <c r="C50" i="6"/>
  <c r="B50" i="6"/>
  <c r="A50" i="6"/>
  <c r="K49" i="6"/>
  <c r="J49" i="6"/>
  <c r="I49" i="6"/>
  <c r="H49" i="6"/>
  <c r="C49" i="6"/>
  <c r="B49" i="6"/>
  <c r="A49" i="6"/>
  <c r="K48" i="6"/>
  <c r="J48" i="6"/>
  <c r="I48" i="6"/>
  <c r="H48" i="6"/>
  <c r="C48" i="6"/>
  <c r="B48" i="6"/>
  <c r="A48" i="6"/>
  <c r="K47" i="6"/>
  <c r="J47" i="6"/>
  <c r="I47" i="6"/>
  <c r="H47" i="6"/>
  <c r="C47" i="6"/>
  <c r="B47" i="6"/>
  <c r="A47" i="6"/>
  <c r="K46" i="6"/>
  <c r="J46" i="6"/>
  <c r="I46" i="6"/>
  <c r="H46" i="6"/>
  <c r="C46" i="6"/>
  <c r="B46" i="6"/>
  <c r="A46" i="6"/>
  <c r="K45" i="6"/>
  <c r="J45" i="6"/>
  <c r="I45" i="6"/>
  <c r="H45" i="6"/>
  <c r="C45" i="6"/>
  <c r="B45" i="6"/>
  <c r="A45" i="6"/>
  <c r="K44" i="6"/>
  <c r="J44" i="6"/>
  <c r="I44" i="6"/>
  <c r="H44" i="6"/>
  <c r="C44" i="6"/>
  <c r="B44" i="6"/>
  <c r="A44" i="6"/>
  <c r="K43" i="6"/>
  <c r="J43" i="6"/>
  <c r="I43" i="6"/>
  <c r="H43" i="6"/>
  <c r="C43" i="6"/>
  <c r="B43" i="6"/>
  <c r="A43" i="6"/>
  <c r="K42" i="6"/>
  <c r="J42" i="6"/>
  <c r="I42" i="6"/>
  <c r="H42" i="6"/>
  <c r="C42" i="6"/>
  <c r="B42" i="6"/>
  <c r="A42" i="6"/>
  <c r="K41" i="6"/>
  <c r="J41" i="6"/>
  <c r="I41" i="6"/>
  <c r="H41" i="6"/>
  <c r="C41" i="6"/>
  <c r="B41" i="6"/>
  <c r="A41" i="6"/>
  <c r="K40" i="6"/>
  <c r="J40" i="6"/>
  <c r="I40" i="6"/>
  <c r="H40" i="6"/>
  <c r="C40" i="6"/>
  <c r="B40" i="6"/>
  <c r="A40" i="6"/>
  <c r="K39" i="6"/>
  <c r="J39" i="6"/>
  <c r="I39" i="6"/>
  <c r="H39" i="6"/>
  <c r="C39" i="6"/>
  <c r="B39" i="6"/>
  <c r="A39" i="6"/>
  <c r="K38" i="6"/>
  <c r="J38" i="6"/>
  <c r="I38" i="6"/>
  <c r="H38" i="6"/>
  <c r="C38" i="6"/>
  <c r="B38" i="6"/>
  <c r="A38" i="6"/>
  <c r="K37" i="6"/>
  <c r="J37" i="6"/>
  <c r="I37" i="6"/>
  <c r="H37" i="6"/>
  <c r="E37" i="6"/>
  <c r="D37" i="6"/>
  <c r="C37" i="6"/>
  <c r="B37" i="6"/>
  <c r="A37" i="6"/>
  <c r="K36" i="6"/>
  <c r="J36" i="6"/>
  <c r="I36" i="6"/>
  <c r="H36" i="6"/>
  <c r="E36" i="6"/>
  <c r="D36" i="6"/>
  <c r="C36" i="6"/>
  <c r="B36" i="6"/>
  <c r="A36" i="6"/>
  <c r="K35" i="6"/>
  <c r="J35" i="6"/>
  <c r="I35" i="6"/>
  <c r="H35" i="6"/>
  <c r="E35" i="6"/>
  <c r="D35" i="6"/>
  <c r="C35" i="6"/>
  <c r="B35" i="6"/>
  <c r="A35" i="6"/>
  <c r="K34" i="6"/>
  <c r="J34" i="6"/>
  <c r="I34" i="6"/>
  <c r="H34" i="6"/>
  <c r="E34" i="6"/>
  <c r="D34" i="6"/>
  <c r="C34" i="6"/>
  <c r="B34" i="6"/>
  <c r="A34" i="6"/>
  <c r="K33" i="6"/>
  <c r="J33" i="6"/>
  <c r="I33" i="6"/>
  <c r="H33" i="6"/>
  <c r="E33" i="6"/>
  <c r="D33" i="6"/>
  <c r="C33" i="6"/>
  <c r="B33" i="6"/>
  <c r="A33" i="6"/>
  <c r="K32" i="6"/>
  <c r="J32" i="6"/>
  <c r="I32" i="6"/>
  <c r="H32" i="6"/>
  <c r="E32" i="6"/>
  <c r="D32" i="6"/>
  <c r="C32" i="6"/>
  <c r="B32" i="6"/>
  <c r="A32" i="6"/>
  <c r="K31" i="6"/>
  <c r="J31" i="6"/>
  <c r="I31" i="6"/>
  <c r="H31" i="6"/>
  <c r="E31" i="6"/>
  <c r="D31" i="6"/>
  <c r="C31" i="6"/>
  <c r="B31" i="6"/>
  <c r="A31" i="6"/>
  <c r="K30" i="6"/>
  <c r="J30" i="6"/>
  <c r="I30" i="6"/>
  <c r="H30" i="6"/>
  <c r="E30" i="6"/>
  <c r="D30" i="6"/>
  <c r="C30" i="6"/>
  <c r="B30" i="6"/>
  <c r="A30" i="6"/>
  <c r="K29" i="6"/>
  <c r="J29" i="6"/>
  <c r="I29" i="6"/>
  <c r="H29" i="6"/>
  <c r="E29" i="6"/>
  <c r="D29" i="6"/>
  <c r="C29" i="6"/>
  <c r="B29" i="6"/>
  <c r="A29" i="6"/>
  <c r="K28" i="6"/>
  <c r="J28" i="6"/>
  <c r="I28" i="6"/>
  <c r="H28" i="6"/>
  <c r="E28" i="6"/>
  <c r="D28" i="6"/>
  <c r="C28" i="6"/>
  <c r="B28" i="6"/>
  <c r="A28" i="6"/>
  <c r="K27" i="6"/>
  <c r="J27" i="6"/>
  <c r="I27" i="6"/>
  <c r="H27" i="6"/>
  <c r="E27" i="6"/>
  <c r="D27" i="6"/>
  <c r="C27" i="6"/>
  <c r="B27" i="6"/>
  <c r="A27" i="6"/>
  <c r="K26" i="6"/>
  <c r="J26" i="6"/>
  <c r="I26" i="6"/>
  <c r="H26" i="6"/>
  <c r="E26" i="6"/>
  <c r="D26" i="6"/>
  <c r="C26" i="6"/>
  <c r="B26" i="6"/>
  <c r="A26" i="6"/>
  <c r="K25" i="6"/>
  <c r="J25" i="6"/>
  <c r="I25" i="6"/>
  <c r="H25" i="6"/>
  <c r="E25" i="6"/>
  <c r="D25" i="6"/>
  <c r="C25" i="6"/>
  <c r="B25" i="6"/>
  <c r="A25" i="6"/>
  <c r="K24" i="6"/>
  <c r="J24" i="6"/>
  <c r="I24" i="6"/>
  <c r="H24" i="6"/>
  <c r="E24" i="6"/>
  <c r="D24" i="6"/>
  <c r="C24" i="6"/>
  <c r="B24" i="6"/>
  <c r="A24" i="6"/>
  <c r="K23" i="6"/>
  <c r="J23" i="6"/>
  <c r="I23" i="6"/>
  <c r="H23" i="6"/>
  <c r="E23" i="6"/>
  <c r="D23" i="6"/>
  <c r="C23" i="6"/>
  <c r="B23" i="6"/>
  <c r="A23" i="6"/>
  <c r="K22" i="6"/>
  <c r="J22" i="6"/>
  <c r="I22" i="6"/>
  <c r="H22" i="6"/>
  <c r="E22" i="6"/>
  <c r="D22" i="6"/>
  <c r="C22" i="6"/>
  <c r="B22" i="6"/>
  <c r="A22" i="6"/>
  <c r="K21" i="6"/>
  <c r="J21" i="6"/>
  <c r="I21" i="6"/>
  <c r="H21" i="6"/>
  <c r="E21" i="6"/>
  <c r="D21" i="6"/>
  <c r="C21" i="6"/>
  <c r="B21" i="6"/>
  <c r="A21" i="6"/>
  <c r="K20" i="6"/>
  <c r="J20" i="6"/>
  <c r="I20" i="6"/>
  <c r="H20" i="6"/>
  <c r="E20" i="6"/>
  <c r="D20" i="6"/>
  <c r="C20" i="6"/>
  <c r="B20" i="6"/>
  <c r="A20" i="6"/>
  <c r="K19" i="6"/>
  <c r="J19" i="6"/>
  <c r="I19" i="6"/>
  <c r="H19" i="6"/>
  <c r="E19" i="6"/>
  <c r="D19" i="6"/>
  <c r="C19" i="6"/>
  <c r="B19" i="6"/>
  <c r="A19" i="6"/>
  <c r="K18" i="6"/>
  <c r="J18" i="6"/>
  <c r="I18" i="6"/>
  <c r="H18" i="6"/>
  <c r="E18" i="6"/>
  <c r="D18" i="6"/>
  <c r="C18" i="6"/>
  <c r="B18" i="6"/>
  <c r="A18" i="6"/>
  <c r="K17" i="6"/>
  <c r="J17" i="6"/>
  <c r="I17" i="6"/>
  <c r="H17" i="6"/>
  <c r="E17" i="6"/>
  <c r="D17" i="6"/>
  <c r="C17" i="6"/>
  <c r="B17" i="6"/>
  <c r="A17" i="6"/>
  <c r="K16" i="6"/>
  <c r="J16" i="6"/>
  <c r="I16" i="6"/>
  <c r="H16" i="6"/>
  <c r="E16" i="6"/>
  <c r="D16" i="6"/>
  <c r="C16" i="6"/>
  <c r="B16" i="6"/>
  <c r="A16" i="6"/>
  <c r="K15" i="6"/>
  <c r="J15" i="6"/>
  <c r="I15" i="6"/>
  <c r="H15" i="6"/>
  <c r="E15" i="6"/>
  <c r="D15" i="6"/>
  <c r="C15" i="6"/>
  <c r="B15" i="6"/>
  <c r="A15" i="6"/>
  <c r="K14" i="6"/>
  <c r="J14" i="6"/>
  <c r="I14" i="6"/>
  <c r="H14" i="6"/>
  <c r="E14" i="6"/>
  <c r="D14" i="6"/>
  <c r="C14" i="6"/>
  <c r="B14" i="6"/>
  <c r="A14" i="6"/>
  <c r="K13" i="6"/>
  <c r="J13" i="6"/>
  <c r="I13" i="6"/>
  <c r="H13" i="6"/>
  <c r="E13" i="6"/>
  <c r="D13" i="6"/>
  <c r="C13" i="6"/>
  <c r="B13" i="6"/>
  <c r="A13" i="6"/>
  <c r="K12" i="6"/>
  <c r="J12" i="6"/>
  <c r="I12" i="6"/>
  <c r="H12" i="6"/>
  <c r="E12" i="6"/>
  <c r="D12" i="6"/>
  <c r="C12" i="6"/>
  <c r="B12" i="6"/>
  <c r="A12" i="6"/>
  <c r="K11" i="6"/>
  <c r="J11" i="6"/>
  <c r="I11" i="6"/>
  <c r="H11" i="6"/>
  <c r="E11" i="6"/>
  <c r="D11" i="6"/>
  <c r="C11" i="6"/>
  <c r="B11" i="6"/>
  <c r="A11" i="6"/>
  <c r="K10" i="6"/>
  <c r="J10" i="6"/>
  <c r="I10" i="6"/>
  <c r="H10" i="6"/>
  <c r="E10" i="6"/>
  <c r="D10" i="6"/>
  <c r="C10" i="6"/>
  <c r="B10" i="6"/>
  <c r="A10" i="6"/>
  <c r="K9" i="6"/>
  <c r="J9" i="6"/>
  <c r="I9" i="6"/>
  <c r="H9" i="6"/>
  <c r="E9" i="6"/>
  <c r="D9" i="6"/>
  <c r="C9" i="6"/>
  <c r="B9" i="6"/>
  <c r="A9" i="6"/>
  <c r="K8" i="6"/>
  <c r="J8" i="6"/>
  <c r="I8" i="6"/>
  <c r="H8" i="6"/>
  <c r="E8" i="6"/>
  <c r="D8" i="6"/>
  <c r="C8" i="6"/>
  <c r="B8" i="6"/>
  <c r="A8" i="6"/>
  <c r="K7" i="6"/>
  <c r="J7" i="6"/>
  <c r="I7" i="6"/>
  <c r="H7" i="6"/>
  <c r="E7" i="6"/>
  <c r="D7" i="6"/>
  <c r="C7" i="6"/>
  <c r="B7" i="6"/>
  <c r="A7" i="6"/>
  <c r="K6" i="6"/>
  <c r="J6" i="6"/>
  <c r="I6" i="6"/>
  <c r="H6" i="6"/>
  <c r="E6" i="6"/>
  <c r="D6" i="6"/>
  <c r="C6" i="6"/>
  <c r="B6" i="6"/>
  <c r="A6" i="6"/>
  <c r="K5" i="6"/>
  <c r="J5" i="6"/>
  <c r="I5" i="6"/>
  <c r="H5" i="6"/>
  <c r="E5" i="6"/>
  <c r="D5" i="6"/>
  <c r="C5" i="6"/>
  <c r="B5" i="6"/>
  <c r="A5" i="6"/>
  <c r="K4" i="6"/>
  <c r="J4" i="6"/>
  <c r="I4" i="6"/>
  <c r="H4" i="6"/>
  <c r="E4" i="6"/>
  <c r="D4" i="6"/>
  <c r="C4" i="6"/>
  <c r="B4" i="6"/>
  <c r="A4" i="6"/>
  <c r="K3" i="6"/>
  <c r="J3" i="6"/>
  <c r="I3" i="6"/>
  <c r="H3" i="6"/>
  <c r="E3" i="6"/>
  <c r="D3" i="6"/>
  <c r="C3" i="6"/>
  <c r="B3" i="6"/>
  <c r="A3" i="6"/>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F58" i="5"/>
  <c r="E58" i="5"/>
  <c r="D58" i="5"/>
  <c r="C58" i="5"/>
  <c r="B58" i="5"/>
  <c r="F57" i="5"/>
  <c r="E57" i="5"/>
  <c r="D57" i="5"/>
  <c r="C57" i="5"/>
  <c r="B57" i="5"/>
  <c r="F56" i="5"/>
  <c r="E56" i="5"/>
  <c r="D56" i="5"/>
  <c r="C56" i="5"/>
  <c r="B56" i="5"/>
  <c r="F55" i="5"/>
  <c r="E55" i="5"/>
  <c r="D55" i="5"/>
  <c r="C55" i="5"/>
  <c r="B55" i="5"/>
  <c r="F54" i="5"/>
  <c r="E54" i="5"/>
  <c r="D54" i="5"/>
  <c r="C54" i="5"/>
  <c r="B54" i="5"/>
  <c r="F53" i="5"/>
  <c r="E53" i="5"/>
  <c r="D53" i="5"/>
  <c r="C53" i="5"/>
  <c r="B53" i="5"/>
  <c r="F52" i="5"/>
  <c r="E52" i="5"/>
  <c r="D52" i="5"/>
  <c r="C52" i="5"/>
  <c r="B52" i="5"/>
  <c r="F51" i="5"/>
  <c r="E51" i="5"/>
  <c r="D51" i="5"/>
  <c r="C51" i="5"/>
  <c r="B51" i="5"/>
  <c r="F50" i="5"/>
  <c r="E50" i="5"/>
  <c r="D50" i="5"/>
  <c r="C50" i="5"/>
  <c r="B50" i="5"/>
  <c r="F49" i="5"/>
  <c r="E49" i="5"/>
  <c r="D49" i="5"/>
  <c r="C49" i="5"/>
  <c r="B49" i="5"/>
  <c r="F48" i="5"/>
  <c r="E48" i="5"/>
  <c r="D48" i="5"/>
  <c r="C48" i="5"/>
  <c r="B48" i="5"/>
  <c r="F47" i="5"/>
  <c r="E47" i="5"/>
  <c r="D47" i="5"/>
  <c r="C47" i="5"/>
  <c r="B47" i="5"/>
  <c r="F46" i="5"/>
  <c r="E46" i="5"/>
  <c r="D46" i="5"/>
  <c r="C46" i="5"/>
  <c r="B46" i="5"/>
  <c r="F45" i="5"/>
  <c r="E45" i="5"/>
  <c r="D45" i="5"/>
  <c r="C45" i="5"/>
  <c r="B45" i="5"/>
  <c r="F44" i="5"/>
  <c r="E44" i="5"/>
  <c r="D44" i="5"/>
  <c r="C44" i="5"/>
  <c r="B44" i="5"/>
  <c r="F43" i="5"/>
  <c r="E43" i="5"/>
  <c r="D43" i="5"/>
  <c r="C43" i="5"/>
  <c r="B43" i="5"/>
  <c r="F42" i="5"/>
  <c r="E42" i="5"/>
  <c r="D42" i="5"/>
  <c r="C42" i="5"/>
  <c r="B42" i="5"/>
  <c r="F41" i="5"/>
  <c r="E41" i="5"/>
  <c r="D41" i="5"/>
  <c r="C41" i="5"/>
  <c r="B41" i="5"/>
  <c r="F40" i="5"/>
  <c r="E40" i="5"/>
  <c r="D40" i="5"/>
  <c r="C40" i="5"/>
  <c r="B40" i="5"/>
  <c r="F39" i="5"/>
  <c r="E39" i="5"/>
  <c r="D39" i="5"/>
  <c r="C39" i="5"/>
  <c r="B39" i="5"/>
  <c r="F38" i="5"/>
  <c r="E38" i="5"/>
  <c r="D38" i="5"/>
  <c r="C38" i="5"/>
  <c r="B38" i="5"/>
  <c r="F37" i="5"/>
  <c r="E37" i="5"/>
  <c r="D37" i="5"/>
  <c r="C37" i="5"/>
  <c r="B37" i="5"/>
  <c r="F36" i="5"/>
  <c r="E36" i="5"/>
  <c r="D36" i="5"/>
  <c r="C36" i="5"/>
  <c r="B36" i="5"/>
  <c r="F35" i="5"/>
  <c r="E35" i="5"/>
  <c r="D35" i="5"/>
  <c r="C35" i="5"/>
  <c r="B35" i="5"/>
  <c r="F34" i="5"/>
  <c r="E34" i="5"/>
  <c r="D34" i="5"/>
  <c r="C34" i="5"/>
  <c r="B34" i="5"/>
  <c r="F33" i="5"/>
  <c r="E33" i="5"/>
  <c r="D33" i="5"/>
  <c r="C33" i="5"/>
  <c r="B33" i="5"/>
  <c r="F32" i="5"/>
  <c r="E32" i="5"/>
  <c r="D32" i="5"/>
  <c r="C32" i="5"/>
  <c r="B32" i="5"/>
  <c r="F31" i="5"/>
  <c r="E31" i="5"/>
  <c r="D31" i="5"/>
  <c r="C31" i="5"/>
  <c r="B31" i="5"/>
  <c r="F30" i="5"/>
  <c r="E30" i="5"/>
  <c r="D30" i="5"/>
  <c r="C30" i="5"/>
  <c r="B30" i="5"/>
  <c r="F29" i="5"/>
  <c r="E29" i="5"/>
  <c r="D29" i="5"/>
  <c r="C29" i="5"/>
  <c r="B29" i="5"/>
  <c r="F28" i="5"/>
  <c r="E28" i="5"/>
  <c r="D28" i="5"/>
  <c r="C28" i="5"/>
  <c r="B28" i="5"/>
  <c r="F27" i="5"/>
  <c r="E27" i="5"/>
  <c r="D27" i="5"/>
  <c r="C27" i="5"/>
  <c r="B27" i="5"/>
  <c r="F26" i="5"/>
  <c r="E26" i="5"/>
  <c r="D26" i="5"/>
  <c r="C26" i="5"/>
  <c r="B26" i="5"/>
  <c r="F25" i="5"/>
  <c r="E25" i="5"/>
  <c r="D25" i="5"/>
  <c r="C25" i="5"/>
  <c r="B25" i="5"/>
  <c r="M19" i="5"/>
  <c r="H19" i="5"/>
  <c r="E16" i="5" a="1"/>
  <c r="E16" i="5" s="1"/>
  <c r="F11" i="5" a="1"/>
  <c r="F11" i="5"/>
  <c r="E11" i="5"/>
  <c r="B10" i="5" a="1"/>
  <c r="B10" i="5" s="1"/>
  <c r="J6" i="5"/>
  <c r="G6" i="5" a="1"/>
  <c r="G6" i="5" s="1"/>
  <c r="D6" i="5" a="1"/>
  <c r="D6" i="5"/>
  <c r="O19" i="5" s="1"/>
  <c r="B6" i="5" a="1"/>
  <c r="B6" i="5" s="1"/>
  <c r="M5" i="5"/>
  <c r="AE3" i="5"/>
  <c r="AD3" i="5"/>
  <c r="AC3" i="5"/>
  <c r="AA3" i="5" a="1"/>
  <c r="AA3" i="5" s="1"/>
  <c r="Z3" i="5" a="1"/>
  <c r="Z3" i="5" s="1"/>
  <c r="X3" i="5"/>
  <c r="W3" i="5" a="1"/>
  <c r="W3" i="5" s="1"/>
  <c r="V3" i="5"/>
  <c r="E3" i="5" a="1"/>
  <c r="E3" i="5"/>
  <c r="D3" i="5" a="1"/>
  <c r="D3" i="5" s="1"/>
  <c r="C3" i="5" a="1"/>
  <c r="C3" i="5" s="1"/>
  <c r="A1" i="5"/>
  <c r="D31" i="3" a="1"/>
  <c r="D31" i="3" s="1"/>
  <c r="D30" i="3" a="1"/>
  <c r="D30" i="3" s="1"/>
  <c r="D29" i="3" a="1"/>
  <c r="D29" i="3" s="1"/>
  <c r="D28" i="3" a="1"/>
  <c r="D28" i="3"/>
  <c r="D27" i="3" a="1"/>
  <c r="D27" i="3" s="1"/>
  <c r="D26" i="3" a="1"/>
  <c r="D26" i="3"/>
  <c r="D25" i="3" a="1"/>
  <c r="D25" i="3" s="1"/>
  <c r="D24" i="3" a="1"/>
  <c r="D24" i="3" s="1"/>
  <c r="D23" i="3" a="1"/>
  <c r="D23" i="3" s="1"/>
  <c r="D22" i="3" a="1"/>
  <c r="D22" i="3" s="1"/>
  <c r="D21" i="3" a="1"/>
  <c r="D21" i="3" s="1"/>
  <c r="D20" i="3" a="1"/>
  <c r="D20" i="3" s="1"/>
  <c r="D19" i="3" a="1"/>
  <c r="D19" i="3" s="1"/>
  <c r="D18" i="3" a="1"/>
  <c r="D18" i="3" s="1"/>
  <c r="D17" i="3" a="1"/>
  <c r="D17" i="3" s="1"/>
  <c r="D16" i="3" a="1"/>
  <c r="D16" i="3" s="1"/>
  <c r="D15" i="3" a="1"/>
  <c r="D15" i="3" s="1"/>
  <c r="D14" i="3" a="1"/>
  <c r="D14" i="3" s="1"/>
  <c r="D13" i="3" a="1"/>
  <c r="D13" i="3" s="1"/>
  <c r="M12" i="3"/>
  <c r="L12" i="3"/>
  <c r="D12" i="3" a="1"/>
  <c r="D12" i="3"/>
  <c r="M11" i="3"/>
  <c r="L11" i="3"/>
  <c r="D11" i="3" a="1"/>
  <c r="D11" i="3" s="1"/>
  <c r="L10" i="3"/>
  <c r="M10" i="3" s="1"/>
  <c r="D10" i="3" a="1"/>
  <c r="D10" i="3" s="1"/>
  <c r="M9" i="3"/>
  <c r="L9" i="3"/>
  <c r="D9" i="3" a="1"/>
  <c r="D9" i="3"/>
  <c r="L8" i="3"/>
  <c r="M8" i="3" s="1"/>
  <c r="D8" i="3" a="1"/>
  <c r="D8" i="3" s="1"/>
  <c r="L7" i="3"/>
  <c r="M7" i="3" s="1"/>
  <c r="D7" i="3" a="1"/>
  <c r="D7" i="3" s="1"/>
  <c r="M6" i="3"/>
  <c r="L6" i="3"/>
  <c r="D6" i="3" a="1"/>
  <c r="D6" i="3"/>
  <c r="L5" i="3"/>
  <c r="M5" i="3" s="1"/>
  <c r="D5" i="3" a="1"/>
  <c r="D5" i="3" s="1"/>
  <c r="L4" i="3"/>
  <c r="M4" i="3" s="1"/>
  <c r="D4" i="3" a="1"/>
  <c r="D4" i="3" s="1"/>
  <c r="M3" i="3"/>
  <c r="L3" i="3"/>
  <c r="D3" i="3" a="1"/>
  <c r="D3" i="3"/>
  <c r="M2" i="3"/>
  <c r="L2" i="3"/>
  <c r="D2" i="3" a="1"/>
  <c r="D2" i="3" s="1"/>
  <c r="G999" i="2"/>
  <c r="G998" i="2"/>
  <c r="G997" i="2"/>
  <c r="G996" i="2"/>
  <c r="G995" i="2"/>
  <c r="G994" i="2"/>
  <c r="G993" i="2"/>
  <c r="G992" i="2"/>
  <c r="G991" i="2"/>
  <c r="G990" i="2"/>
  <c r="G989" i="2"/>
  <c r="G988" i="2"/>
  <c r="G987" i="2"/>
  <c r="G986" i="2"/>
  <c r="G985" i="2"/>
  <c r="G984" i="2"/>
  <c r="G983" i="2"/>
  <c r="G982" i="2"/>
  <c r="G981" i="2"/>
  <c r="G980" i="2"/>
  <c r="G979" i="2"/>
  <c r="G978" i="2"/>
  <c r="G977" i="2"/>
  <c r="G976" i="2"/>
  <c r="G975" i="2"/>
  <c r="G974" i="2"/>
  <c r="G973" i="2"/>
  <c r="G972" i="2"/>
  <c r="G971" i="2"/>
  <c r="G970" i="2"/>
  <c r="G969" i="2"/>
  <c r="G968" i="2"/>
  <c r="G967" i="2"/>
  <c r="G966" i="2"/>
  <c r="G965" i="2"/>
  <c r="G964" i="2"/>
  <c r="G963" i="2"/>
  <c r="G962" i="2"/>
  <c r="G961" i="2"/>
  <c r="G960" i="2"/>
  <c r="G959" i="2"/>
  <c r="G958" i="2"/>
  <c r="G957" i="2"/>
  <c r="G956" i="2"/>
  <c r="G955" i="2"/>
  <c r="G954" i="2"/>
  <c r="G953" i="2"/>
  <c r="G952" i="2"/>
  <c r="G951" i="2"/>
  <c r="G950" i="2"/>
  <c r="G949" i="2"/>
  <c r="G948" i="2"/>
  <c r="G947" i="2"/>
  <c r="G946" i="2"/>
  <c r="G945" i="2"/>
  <c r="G944" i="2"/>
  <c r="G943" i="2"/>
  <c r="G942" i="2"/>
  <c r="G941" i="2"/>
  <c r="G940" i="2"/>
  <c r="G939" i="2"/>
  <c r="G938" i="2"/>
  <c r="G937" i="2"/>
  <c r="G936" i="2"/>
  <c r="G935" i="2"/>
  <c r="G934" i="2"/>
  <c r="G933" i="2"/>
  <c r="G932" i="2"/>
  <c r="G931" i="2"/>
  <c r="G930" i="2"/>
  <c r="G929" i="2"/>
  <c r="G928" i="2"/>
  <c r="G927" i="2"/>
  <c r="G926" i="2"/>
  <c r="G925" i="2"/>
  <c r="G924" i="2"/>
  <c r="G923" i="2"/>
  <c r="G922" i="2"/>
  <c r="G921" i="2"/>
  <c r="G920" i="2"/>
  <c r="G919" i="2"/>
  <c r="G918" i="2"/>
  <c r="G917" i="2"/>
  <c r="G916" i="2"/>
  <c r="G915" i="2"/>
  <c r="G914" i="2"/>
  <c r="G913" i="2"/>
  <c r="G912" i="2"/>
  <c r="G911" i="2"/>
  <c r="G910" i="2"/>
  <c r="G909" i="2"/>
  <c r="G908" i="2"/>
  <c r="G907" i="2"/>
  <c r="G906" i="2"/>
  <c r="G905" i="2"/>
  <c r="G904" i="2"/>
  <c r="G903" i="2"/>
  <c r="G902" i="2"/>
  <c r="G901" i="2"/>
  <c r="G900" i="2"/>
  <c r="G899" i="2"/>
  <c r="G898" i="2"/>
  <c r="G897" i="2"/>
  <c r="G896" i="2"/>
  <c r="G895" i="2"/>
  <c r="G894" i="2"/>
  <c r="G893" i="2"/>
  <c r="G892" i="2"/>
  <c r="G891" i="2"/>
  <c r="G890" i="2"/>
  <c r="G889" i="2"/>
  <c r="G888" i="2"/>
  <c r="G887" i="2"/>
  <c r="G886" i="2"/>
  <c r="G885" i="2"/>
  <c r="G884" i="2"/>
  <c r="G883" i="2"/>
  <c r="G882" i="2"/>
  <c r="G881" i="2"/>
  <c r="G880" i="2"/>
  <c r="G879" i="2"/>
  <c r="G878" i="2"/>
  <c r="G877" i="2"/>
  <c r="G876" i="2"/>
  <c r="G875" i="2"/>
  <c r="G874" i="2"/>
  <c r="G873" i="2"/>
  <c r="G872" i="2"/>
  <c r="G871" i="2"/>
  <c r="G870" i="2"/>
  <c r="G869" i="2"/>
  <c r="G868" i="2"/>
  <c r="G867" i="2"/>
  <c r="G866" i="2"/>
  <c r="G865" i="2"/>
  <c r="G864" i="2"/>
  <c r="G863" i="2"/>
  <c r="G862" i="2"/>
  <c r="G861" i="2"/>
  <c r="G860" i="2"/>
  <c r="G859" i="2"/>
  <c r="G858" i="2"/>
  <c r="G857" i="2"/>
  <c r="G856" i="2"/>
  <c r="G855" i="2"/>
  <c r="G854" i="2"/>
  <c r="G853" i="2"/>
  <c r="G852" i="2"/>
  <c r="G851" i="2"/>
  <c r="G850" i="2"/>
  <c r="G849" i="2"/>
  <c r="G848" i="2"/>
  <c r="G847" i="2"/>
  <c r="G846" i="2"/>
  <c r="G845" i="2"/>
  <c r="G844" i="2"/>
  <c r="G843" i="2"/>
  <c r="G842" i="2"/>
  <c r="G841" i="2"/>
  <c r="G840" i="2"/>
  <c r="G839" i="2"/>
  <c r="G838" i="2"/>
  <c r="G837" i="2"/>
  <c r="G836" i="2"/>
  <c r="G835" i="2"/>
  <c r="G834" i="2"/>
  <c r="G833" i="2"/>
  <c r="G832" i="2"/>
  <c r="G831" i="2"/>
  <c r="G830" i="2"/>
  <c r="G829" i="2"/>
  <c r="G828" i="2"/>
  <c r="G827" i="2"/>
  <c r="G826" i="2"/>
  <c r="G825" i="2"/>
  <c r="G824" i="2"/>
  <c r="G823" i="2"/>
  <c r="G822" i="2"/>
  <c r="G821" i="2"/>
  <c r="G820" i="2"/>
  <c r="G819" i="2"/>
  <c r="G818" i="2"/>
  <c r="G817" i="2"/>
  <c r="G816" i="2"/>
  <c r="G815" i="2"/>
  <c r="G814" i="2"/>
  <c r="G813" i="2"/>
  <c r="G812" i="2"/>
  <c r="G811" i="2"/>
  <c r="G810" i="2"/>
  <c r="G809" i="2"/>
  <c r="G808" i="2"/>
  <c r="G807" i="2"/>
  <c r="G806" i="2"/>
  <c r="G805" i="2"/>
  <c r="G804" i="2"/>
  <c r="G803" i="2"/>
  <c r="G802" i="2"/>
  <c r="G801" i="2"/>
  <c r="G800" i="2"/>
  <c r="G799" i="2"/>
  <c r="G798" i="2"/>
  <c r="G797" i="2"/>
  <c r="G796" i="2"/>
  <c r="G795" i="2"/>
  <c r="G794" i="2"/>
  <c r="G793" i="2"/>
  <c r="G792" i="2"/>
  <c r="G791" i="2"/>
  <c r="G790" i="2"/>
  <c r="G789" i="2"/>
  <c r="G788" i="2"/>
  <c r="G787" i="2"/>
  <c r="G786" i="2"/>
  <c r="G785" i="2"/>
  <c r="G784" i="2"/>
  <c r="G783" i="2"/>
  <c r="G782" i="2"/>
  <c r="G781" i="2"/>
  <c r="G780" i="2"/>
  <c r="G779" i="2"/>
  <c r="G778" i="2"/>
  <c r="G777" i="2"/>
  <c r="G776" i="2"/>
  <c r="G775" i="2"/>
  <c r="G774" i="2"/>
  <c r="G773" i="2"/>
  <c r="G772" i="2"/>
  <c r="G771" i="2"/>
  <c r="G770" i="2"/>
  <c r="G769" i="2"/>
  <c r="G768" i="2"/>
  <c r="G767" i="2"/>
  <c r="G766" i="2"/>
  <c r="G765" i="2"/>
  <c r="G764" i="2"/>
  <c r="G763" i="2"/>
  <c r="G762" i="2"/>
  <c r="G761" i="2"/>
  <c r="G760" i="2"/>
  <c r="G759" i="2"/>
  <c r="G758" i="2"/>
  <c r="G757" i="2"/>
  <c r="G756" i="2"/>
  <c r="G755" i="2"/>
  <c r="G754" i="2"/>
  <c r="G753" i="2"/>
  <c r="G752" i="2"/>
  <c r="G751" i="2"/>
  <c r="G750" i="2"/>
  <c r="G749" i="2"/>
  <c r="G748" i="2"/>
  <c r="G747" i="2"/>
  <c r="G746" i="2"/>
  <c r="G745" i="2"/>
  <c r="G744" i="2"/>
  <c r="G743" i="2"/>
  <c r="G742" i="2"/>
  <c r="G741" i="2"/>
  <c r="G740" i="2"/>
  <c r="G739" i="2"/>
  <c r="G738" i="2"/>
  <c r="G737" i="2"/>
  <c r="G736" i="2"/>
  <c r="G735" i="2"/>
  <c r="G734" i="2"/>
  <c r="G733" i="2"/>
  <c r="G732" i="2"/>
  <c r="G731" i="2"/>
  <c r="G730" i="2"/>
  <c r="G729" i="2"/>
  <c r="G728" i="2"/>
  <c r="G727" i="2"/>
  <c r="G726" i="2"/>
  <c r="G725" i="2"/>
  <c r="G724" i="2"/>
  <c r="G723" i="2"/>
  <c r="G722" i="2"/>
  <c r="G721" i="2"/>
  <c r="G720" i="2"/>
  <c r="G719" i="2"/>
  <c r="G718" i="2"/>
  <c r="G717" i="2"/>
  <c r="G716" i="2"/>
  <c r="G715" i="2"/>
  <c r="G714" i="2"/>
  <c r="G713" i="2"/>
  <c r="G712" i="2"/>
  <c r="G711" i="2"/>
  <c r="G710" i="2"/>
  <c r="G709" i="2"/>
  <c r="G708" i="2"/>
  <c r="G707" i="2"/>
  <c r="G706" i="2"/>
  <c r="G705" i="2"/>
  <c r="G704" i="2"/>
  <c r="G703" i="2"/>
  <c r="G702" i="2"/>
  <c r="G701" i="2"/>
  <c r="G700" i="2"/>
  <c r="G699" i="2"/>
  <c r="G698" i="2"/>
  <c r="G697" i="2"/>
  <c r="G696" i="2"/>
  <c r="G695" i="2"/>
  <c r="G694" i="2"/>
  <c r="G693" i="2"/>
  <c r="G692" i="2"/>
  <c r="G691" i="2"/>
  <c r="G690" i="2"/>
  <c r="G689" i="2"/>
  <c r="G688" i="2"/>
  <c r="G687" i="2"/>
  <c r="G686" i="2"/>
  <c r="G685" i="2"/>
  <c r="G684" i="2"/>
  <c r="G683" i="2"/>
  <c r="G682" i="2"/>
  <c r="G681" i="2"/>
  <c r="G680" i="2"/>
  <c r="G679" i="2"/>
  <c r="G678" i="2"/>
  <c r="G677" i="2"/>
  <c r="G676" i="2"/>
  <c r="G675" i="2"/>
  <c r="G674" i="2"/>
  <c r="G673" i="2"/>
  <c r="G672" i="2"/>
  <c r="G671" i="2"/>
  <c r="G670" i="2"/>
  <c r="G669" i="2"/>
  <c r="G668" i="2"/>
  <c r="G667" i="2"/>
  <c r="G666" i="2"/>
  <c r="G665" i="2"/>
  <c r="G664" i="2"/>
  <c r="G663" i="2"/>
  <c r="G662" i="2"/>
  <c r="G661" i="2"/>
  <c r="G660" i="2"/>
  <c r="G659" i="2"/>
  <c r="G658" i="2"/>
  <c r="G657" i="2"/>
  <c r="G656" i="2"/>
  <c r="G655" i="2"/>
  <c r="G654" i="2"/>
  <c r="G653" i="2"/>
  <c r="G652" i="2"/>
  <c r="G651" i="2"/>
  <c r="G650" i="2"/>
  <c r="G649" i="2"/>
  <c r="G648" i="2"/>
  <c r="G647" i="2"/>
  <c r="G646" i="2"/>
  <c r="G645" i="2"/>
  <c r="G644" i="2"/>
  <c r="G643" i="2"/>
  <c r="G642" i="2"/>
  <c r="G641" i="2"/>
  <c r="G640" i="2"/>
  <c r="G639" i="2"/>
  <c r="G638" i="2"/>
  <c r="G637" i="2"/>
  <c r="G636" i="2"/>
  <c r="G635" i="2"/>
  <c r="G634" i="2"/>
  <c r="G633" i="2"/>
  <c r="G632" i="2"/>
  <c r="G631" i="2"/>
  <c r="G630" i="2"/>
  <c r="G629" i="2"/>
  <c r="G628" i="2"/>
  <c r="G627" i="2"/>
  <c r="G626" i="2"/>
  <c r="G625" i="2"/>
  <c r="G624" i="2"/>
  <c r="G623" i="2"/>
  <c r="G622" i="2"/>
  <c r="G621" i="2"/>
  <c r="G620" i="2"/>
  <c r="G619" i="2"/>
  <c r="G618" i="2"/>
  <c r="G617" i="2"/>
  <c r="G616" i="2"/>
  <c r="G615" i="2"/>
  <c r="G614" i="2"/>
  <c r="G613" i="2"/>
  <c r="G612" i="2"/>
  <c r="G611" i="2"/>
  <c r="G610" i="2"/>
  <c r="G609" i="2"/>
  <c r="G608" i="2"/>
  <c r="G607" i="2"/>
  <c r="G606" i="2"/>
  <c r="G605" i="2"/>
  <c r="G604" i="2"/>
  <c r="G603" i="2"/>
  <c r="G602" i="2"/>
  <c r="G601" i="2"/>
  <c r="G600" i="2"/>
  <c r="G599" i="2"/>
  <c r="G598" i="2"/>
  <c r="G597" i="2"/>
  <c r="G596" i="2"/>
  <c r="G595" i="2"/>
  <c r="G594" i="2"/>
  <c r="G593" i="2"/>
  <c r="G592" i="2"/>
  <c r="G591" i="2"/>
  <c r="G590" i="2"/>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62" i="2"/>
  <c r="G561" i="2"/>
  <c r="G560" i="2"/>
  <c r="G559" i="2"/>
  <c r="G558" i="2"/>
  <c r="G557" i="2"/>
  <c r="G556" i="2"/>
  <c r="G555" i="2"/>
  <c r="G554" i="2"/>
  <c r="G553" i="2"/>
  <c r="G552" i="2"/>
  <c r="G551" i="2"/>
  <c r="G550" i="2"/>
  <c r="G549" i="2"/>
  <c r="G548" i="2"/>
  <c r="G547" i="2"/>
  <c r="G546" i="2"/>
  <c r="G545" i="2"/>
  <c r="G544" i="2"/>
  <c r="G543" i="2"/>
  <c r="G542" i="2"/>
  <c r="G541" i="2"/>
  <c r="G540" i="2"/>
  <c r="G539" i="2"/>
  <c r="G538" i="2"/>
  <c r="G537" i="2"/>
  <c r="G536" i="2"/>
  <c r="G535" i="2"/>
  <c r="G534" i="2"/>
  <c r="G533" i="2"/>
  <c r="G532" i="2"/>
  <c r="G531" i="2"/>
  <c r="G530" i="2"/>
  <c r="G529" i="2"/>
  <c r="G528" i="2"/>
  <c r="G527" i="2"/>
  <c r="G526" i="2"/>
  <c r="G525" i="2"/>
  <c r="G524" i="2"/>
  <c r="G523" i="2"/>
  <c r="G522" i="2"/>
  <c r="G521" i="2"/>
  <c r="G520" i="2"/>
  <c r="G519" i="2"/>
  <c r="G518" i="2"/>
  <c r="G517" i="2"/>
  <c r="G516" i="2"/>
  <c r="G515" i="2"/>
  <c r="G514" i="2"/>
  <c r="G513" i="2"/>
  <c r="G512" i="2"/>
  <c r="G511" i="2"/>
  <c r="G510" i="2"/>
  <c r="G509" i="2"/>
  <c r="G508" i="2"/>
  <c r="G507" i="2"/>
  <c r="G506" i="2"/>
  <c r="G505" i="2"/>
  <c r="G504" i="2"/>
  <c r="F504" i="2"/>
  <c r="E504" i="2"/>
  <c r="D504" i="2"/>
  <c r="G503" i="2"/>
  <c r="F503" i="2"/>
  <c r="E503" i="2"/>
  <c r="D503" i="2"/>
  <c r="G502" i="2"/>
  <c r="F502" i="2"/>
  <c r="E502" i="2"/>
  <c r="D502" i="2"/>
  <c r="G501" i="2"/>
  <c r="F501" i="2"/>
  <c r="E501" i="2"/>
  <c r="D501" i="2"/>
  <c r="G500" i="2"/>
  <c r="F500" i="2"/>
  <c r="E500" i="2"/>
  <c r="D500" i="2"/>
  <c r="G499" i="2"/>
  <c r="F499" i="2"/>
  <c r="E499" i="2"/>
  <c r="D499" i="2"/>
  <c r="G498" i="2"/>
  <c r="F498" i="2"/>
  <c r="E498" i="2"/>
  <c r="D498" i="2"/>
  <c r="G497" i="2"/>
  <c r="F497" i="2"/>
  <c r="E497" i="2"/>
  <c r="D497" i="2"/>
  <c r="G496" i="2"/>
  <c r="F496" i="2"/>
  <c r="E496" i="2"/>
  <c r="D496" i="2"/>
  <c r="G495" i="2"/>
  <c r="F495" i="2"/>
  <c r="E495" i="2"/>
  <c r="D495" i="2"/>
  <c r="G494" i="2"/>
  <c r="F494" i="2"/>
  <c r="E494" i="2"/>
  <c r="D494" i="2"/>
  <c r="G493" i="2"/>
  <c r="F493" i="2"/>
  <c r="E493" i="2"/>
  <c r="D493" i="2"/>
  <c r="G492" i="2"/>
  <c r="F492" i="2"/>
  <c r="E492" i="2"/>
  <c r="D492" i="2"/>
  <c r="G491" i="2"/>
  <c r="F491" i="2"/>
  <c r="E491" i="2"/>
  <c r="D491" i="2"/>
  <c r="G490" i="2"/>
  <c r="F490" i="2"/>
  <c r="E490" i="2"/>
  <c r="D490" i="2"/>
  <c r="G489" i="2"/>
  <c r="F489" i="2"/>
  <c r="E489" i="2"/>
  <c r="D489" i="2"/>
  <c r="G488" i="2"/>
  <c r="F488" i="2"/>
  <c r="E488" i="2"/>
  <c r="D488" i="2"/>
  <c r="G487" i="2"/>
  <c r="F487" i="2"/>
  <c r="E487" i="2"/>
  <c r="D487" i="2"/>
  <c r="G486" i="2"/>
  <c r="F486" i="2"/>
  <c r="E486" i="2"/>
  <c r="D486" i="2"/>
  <c r="G485" i="2"/>
  <c r="F485" i="2"/>
  <c r="E485" i="2"/>
  <c r="D485" i="2"/>
  <c r="G484" i="2"/>
  <c r="F484" i="2"/>
  <c r="E484" i="2"/>
  <c r="D484" i="2"/>
  <c r="G483" i="2"/>
  <c r="F483" i="2"/>
  <c r="E483" i="2"/>
  <c r="D483" i="2"/>
  <c r="G482" i="2"/>
  <c r="F482" i="2"/>
  <c r="E482" i="2"/>
  <c r="D482" i="2"/>
  <c r="G481" i="2"/>
  <c r="F481" i="2"/>
  <c r="E481" i="2"/>
  <c r="D481" i="2"/>
  <c r="G480" i="2"/>
  <c r="F480" i="2"/>
  <c r="E480" i="2"/>
  <c r="D480" i="2"/>
  <c r="G479" i="2"/>
  <c r="F479" i="2"/>
  <c r="E479" i="2"/>
  <c r="D479" i="2"/>
  <c r="G478" i="2"/>
  <c r="F478" i="2"/>
  <c r="E478" i="2"/>
  <c r="D478" i="2"/>
  <c r="G477" i="2"/>
  <c r="F477" i="2"/>
  <c r="E477" i="2"/>
  <c r="D477" i="2"/>
  <c r="G476" i="2"/>
  <c r="F476" i="2"/>
  <c r="E476" i="2"/>
  <c r="D476" i="2"/>
  <c r="G475" i="2"/>
  <c r="F475" i="2"/>
  <c r="E475" i="2"/>
  <c r="D475" i="2"/>
  <c r="G474" i="2"/>
  <c r="F474" i="2"/>
  <c r="E474" i="2"/>
  <c r="D474" i="2"/>
  <c r="G473" i="2"/>
  <c r="F473" i="2"/>
  <c r="E473" i="2"/>
  <c r="D473" i="2"/>
  <c r="G472" i="2"/>
  <c r="F472" i="2"/>
  <c r="E472" i="2"/>
  <c r="D472" i="2"/>
  <c r="G471" i="2"/>
  <c r="F471" i="2"/>
  <c r="E471" i="2"/>
  <c r="D471" i="2"/>
  <c r="G470" i="2"/>
  <c r="F470" i="2"/>
  <c r="E470" i="2"/>
  <c r="D470" i="2"/>
  <c r="G469" i="2"/>
  <c r="F469" i="2"/>
  <c r="E469" i="2"/>
  <c r="D469" i="2"/>
  <c r="G468" i="2"/>
  <c r="F468" i="2"/>
  <c r="E468" i="2"/>
  <c r="D468" i="2"/>
  <c r="G467" i="2"/>
  <c r="F467" i="2"/>
  <c r="E467" i="2"/>
  <c r="D467" i="2"/>
  <c r="G466" i="2"/>
  <c r="F466" i="2"/>
  <c r="E466" i="2"/>
  <c r="D466" i="2"/>
  <c r="G465" i="2"/>
  <c r="F465" i="2"/>
  <c r="E465" i="2"/>
  <c r="D465" i="2"/>
  <c r="G464" i="2"/>
  <c r="F464" i="2"/>
  <c r="E464" i="2"/>
  <c r="D464" i="2"/>
  <c r="G463" i="2"/>
  <c r="F463" i="2"/>
  <c r="E463" i="2"/>
  <c r="D463" i="2"/>
  <c r="G462" i="2"/>
  <c r="F462" i="2"/>
  <c r="E462" i="2"/>
  <c r="D462" i="2"/>
  <c r="G461" i="2"/>
  <c r="F461" i="2"/>
  <c r="E461" i="2"/>
  <c r="D461" i="2"/>
  <c r="G460" i="2"/>
  <c r="F460" i="2"/>
  <c r="E460" i="2"/>
  <c r="D460" i="2"/>
  <c r="G459" i="2"/>
  <c r="F459" i="2"/>
  <c r="E459" i="2"/>
  <c r="D459" i="2"/>
  <c r="G458" i="2"/>
  <c r="F458" i="2"/>
  <c r="E458" i="2"/>
  <c r="D458" i="2"/>
  <c r="G457" i="2"/>
  <c r="F457" i="2"/>
  <c r="E457" i="2"/>
  <c r="D457" i="2"/>
  <c r="G456" i="2"/>
  <c r="F456" i="2"/>
  <c r="E456" i="2"/>
  <c r="D456" i="2"/>
  <c r="G455" i="2"/>
  <c r="F455" i="2"/>
  <c r="E455" i="2"/>
  <c r="D455" i="2"/>
  <c r="G454" i="2"/>
  <c r="F454" i="2"/>
  <c r="E454" i="2"/>
  <c r="D454" i="2"/>
  <c r="G453" i="2"/>
  <c r="F453" i="2"/>
  <c r="E453" i="2"/>
  <c r="D453" i="2"/>
  <c r="G452" i="2"/>
  <c r="F452" i="2"/>
  <c r="E452" i="2"/>
  <c r="D452" i="2"/>
  <c r="G451" i="2"/>
  <c r="F451" i="2"/>
  <c r="E451" i="2"/>
  <c r="D451" i="2"/>
  <c r="G450" i="2"/>
  <c r="F450" i="2"/>
  <c r="E450" i="2"/>
  <c r="D450" i="2"/>
  <c r="G449" i="2"/>
  <c r="F449" i="2"/>
  <c r="E449" i="2"/>
  <c r="D449" i="2"/>
  <c r="G448" i="2"/>
  <c r="F448" i="2"/>
  <c r="E448" i="2"/>
  <c r="D448" i="2"/>
  <c r="G447" i="2"/>
  <c r="F447" i="2"/>
  <c r="E447" i="2"/>
  <c r="D447" i="2"/>
  <c r="G446" i="2"/>
  <c r="F446" i="2"/>
  <c r="E446" i="2"/>
  <c r="D446" i="2"/>
  <c r="G445" i="2"/>
  <c r="F445" i="2"/>
  <c r="E445" i="2"/>
  <c r="D445" i="2"/>
  <c r="G444" i="2"/>
  <c r="F444" i="2"/>
  <c r="E444" i="2"/>
  <c r="D444" i="2"/>
  <c r="G443" i="2"/>
  <c r="F443" i="2"/>
  <c r="E443" i="2"/>
  <c r="D443" i="2"/>
  <c r="G442" i="2"/>
  <c r="F442" i="2"/>
  <c r="E442" i="2"/>
  <c r="D442" i="2"/>
  <c r="G441" i="2"/>
  <c r="F441" i="2"/>
  <c r="E441" i="2"/>
  <c r="D441" i="2"/>
  <c r="G440" i="2"/>
  <c r="F440" i="2"/>
  <c r="E440" i="2"/>
  <c r="D440" i="2"/>
  <c r="G439" i="2"/>
  <c r="F439" i="2"/>
  <c r="E439" i="2"/>
  <c r="D439" i="2"/>
  <c r="G438" i="2"/>
  <c r="F438" i="2"/>
  <c r="E438" i="2"/>
  <c r="D438" i="2"/>
  <c r="G437" i="2"/>
  <c r="F437" i="2"/>
  <c r="E437" i="2"/>
  <c r="D437" i="2"/>
  <c r="G436" i="2"/>
  <c r="F436" i="2"/>
  <c r="E436" i="2"/>
  <c r="D436" i="2"/>
  <c r="G435" i="2"/>
  <c r="F435" i="2"/>
  <c r="E435" i="2"/>
  <c r="D435" i="2"/>
  <c r="G434" i="2"/>
  <c r="F434" i="2"/>
  <c r="E434" i="2"/>
  <c r="D434" i="2"/>
  <c r="G433" i="2"/>
  <c r="F433" i="2"/>
  <c r="E433" i="2"/>
  <c r="D433" i="2"/>
  <c r="G432" i="2"/>
  <c r="F432" i="2"/>
  <c r="E432" i="2"/>
  <c r="D432" i="2"/>
  <c r="G431" i="2"/>
  <c r="F431" i="2"/>
  <c r="E431" i="2"/>
  <c r="D431" i="2"/>
  <c r="G430" i="2"/>
  <c r="F430" i="2"/>
  <c r="E430" i="2"/>
  <c r="D430" i="2"/>
  <c r="G429" i="2"/>
  <c r="F429" i="2"/>
  <c r="E429" i="2"/>
  <c r="D429" i="2"/>
  <c r="G428" i="2"/>
  <c r="F428" i="2"/>
  <c r="E428" i="2"/>
  <c r="D428" i="2"/>
  <c r="G427" i="2"/>
  <c r="F427" i="2"/>
  <c r="E427" i="2"/>
  <c r="D427" i="2"/>
  <c r="G426" i="2"/>
  <c r="F426" i="2"/>
  <c r="E426" i="2"/>
  <c r="D426" i="2"/>
  <c r="G425" i="2"/>
  <c r="F425" i="2"/>
  <c r="E425" i="2"/>
  <c r="D425" i="2"/>
  <c r="G424" i="2"/>
  <c r="F424" i="2"/>
  <c r="E424" i="2"/>
  <c r="D424" i="2"/>
  <c r="G423" i="2"/>
  <c r="F423" i="2"/>
  <c r="E423" i="2"/>
  <c r="D423" i="2"/>
  <c r="G422" i="2"/>
  <c r="F422" i="2"/>
  <c r="E422" i="2"/>
  <c r="D422" i="2"/>
  <c r="G421" i="2"/>
  <c r="F421" i="2"/>
  <c r="E421" i="2"/>
  <c r="D421" i="2"/>
  <c r="G420" i="2"/>
  <c r="F420" i="2"/>
  <c r="E420" i="2"/>
  <c r="D420" i="2"/>
  <c r="G419" i="2"/>
  <c r="F419" i="2"/>
  <c r="E419" i="2"/>
  <c r="D419" i="2"/>
  <c r="G418" i="2"/>
  <c r="F418" i="2"/>
  <c r="E418" i="2"/>
  <c r="D418" i="2"/>
  <c r="G417" i="2"/>
  <c r="F417" i="2"/>
  <c r="E417" i="2"/>
  <c r="D417" i="2"/>
  <c r="G416" i="2"/>
  <c r="F416" i="2"/>
  <c r="E416" i="2"/>
  <c r="D416" i="2"/>
  <c r="G415" i="2"/>
  <c r="F415" i="2"/>
  <c r="E415" i="2"/>
  <c r="D415" i="2"/>
  <c r="G414" i="2"/>
  <c r="F414" i="2"/>
  <c r="E414" i="2"/>
  <c r="D414" i="2"/>
  <c r="G413" i="2"/>
  <c r="F413" i="2"/>
  <c r="E413" i="2"/>
  <c r="D413" i="2"/>
  <c r="G412" i="2"/>
  <c r="F412" i="2"/>
  <c r="E412" i="2"/>
  <c r="D412" i="2"/>
  <c r="G411" i="2"/>
  <c r="F411" i="2"/>
  <c r="E411" i="2"/>
  <c r="D411" i="2"/>
  <c r="G410" i="2"/>
  <c r="F410" i="2"/>
  <c r="E410" i="2"/>
  <c r="D410" i="2"/>
  <c r="G409" i="2"/>
  <c r="F409" i="2"/>
  <c r="E409" i="2"/>
  <c r="D409" i="2"/>
  <c r="G408" i="2"/>
  <c r="F408" i="2"/>
  <c r="E408" i="2"/>
  <c r="D408" i="2"/>
  <c r="G407" i="2"/>
  <c r="F407" i="2"/>
  <c r="E407" i="2"/>
  <c r="D407" i="2"/>
  <c r="G406" i="2"/>
  <c r="F406" i="2"/>
  <c r="E406" i="2"/>
  <c r="D406" i="2"/>
  <c r="G405" i="2"/>
  <c r="F405" i="2"/>
  <c r="E405" i="2"/>
  <c r="D405" i="2"/>
  <c r="G404" i="2"/>
  <c r="F404" i="2"/>
  <c r="E404" i="2"/>
  <c r="D404" i="2"/>
  <c r="G403" i="2"/>
  <c r="F403" i="2"/>
  <c r="E403" i="2"/>
  <c r="D403" i="2"/>
  <c r="G402" i="2"/>
  <c r="F402" i="2"/>
  <c r="E402" i="2"/>
  <c r="D402" i="2"/>
  <c r="G401" i="2"/>
  <c r="F401" i="2"/>
  <c r="E401" i="2"/>
  <c r="D401" i="2"/>
  <c r="G400" i="2"/>
  <c r="F400" i="2"/>
  <c r="E400" i="2"/>
  <c r="D400" i="2"/>
  <c r="G399" i="2"/>
  <c r="F399" i="2"/>
  <c r="E399" i="2"/>
  <c r="D399" i="2"/>
  <c r="G398" i="2"/>
  <c r="F398" i="2"/>
  <c r="E398" i="2"/>
  <c r="D398" i="2"/>
  <c r="G397" i="2"/>
  <c r="F397" i="2"/>
  <c r="E397" i="2"/>
  <c r="D397" i="2"/>
  <c r="G396" i="2"/>
  <c r="F396" i="2"/>
  <c r="E396" i="2"/>
  <c r="D396" i="2"/>
  <c r="G395" i="2"/>
  <c r="F395" i="2"/>
  <c r="E395" i="2"/>
  <c r="D395" i="2"/>
  <c r="G394" i="2"/>
  <c r="F394" i="2"/>
  <c r="E394" i="2"/>
  <c r="D394" i="2"/>
  <c r="G393" i="2"/>
  <c r="F393" i="2"/>
  <c r="E393" i="2"/>
  <c r="D393" i="2"/>
  <c r="G392" i="2"/>
  <c r="F392" i="2"/>
  <c r="E392" i="2"/>
  <c r="D392" i="2"/>
  <c r="G391" i="2"/>
  <c r="F391" i="2"/>
  <c r="E391" i="2"/>
  <c r="D391" i="2"/>
  <c r="G390" i="2"/>
  <c r="F390" i="2"/>
  <c r="E390" i="2"/>
  <c r="D390" i="2"/>
  <c r="G389" i="2"/>
  <c r="F389" i="2"/>
  <c r="E389" i="2"/>
  <c r="D389" i="2"/>
  <c r="G388" i="2"/>
  <c r="F388" i="2"/>
  <c r="E388" i="2"/>
  <c r="D388" i="2"/>
  <c r="G387" i="2"/>
  <c r="F387" i="2"/>
  <c r="E387" i="2"/>
  <c r="D387" i="2"/>
  <c r="G386" i="2"/>
  <c r="F386" i="2"/>
  <c r="E386" i="2"/>
  <c r="D386" i="2"/>
  <c r="G385" i="2"/>
  <c r="F385" i="2"/>
  <c r="E385" i="2"/>
  <c r="D385" i="2"/>
  <c r="G384" i="2"/>
  <c r="F384" i="2"/>
  <c r="E384" i="2"/>
  <c r="D384" i="2"/>
  <c r="G383" i="2"/>
  <c r="F383" i="2"/>
  <c r="E383" i="2"/>
  <c r="D383" i="2"/>
  <c r="G382" i="2"/>
  <c r="F382" i="2"/>
  <c r="E382" i="2"/>
  <c r="D382" i="2"/>
  <c r="G381" i="2"/>
  <c r="F381" i="2"/>
  <c r="E381" i="2"/>
  <c r="D381" i="2"/>
  <c r="G380" i="2"/>
  <c r="F380" i="2"/>
  <c r="E380" i="2"/>
  <c r="D380" i="2"/>
  <c r="G379" i="2"/>
  <c r="F379" i="2"/>
  <c r="E379" i="2"/>
  <c r="D379" i="2"/>
  <c r="G378" i="2"/>
  <c r="F378" i="2"/>
  <c r="E378" i="2"/>
  <c r="D378" i="2"/>
  <c r="G377" i="2"/>
  <c r="F377" i="2"/>
  <c r="E377" i="2"/>
  <c r="D377" i="2"/>
  <c r="G376" i="2"/>
  <c r="F376" i="2"/>
  <c r="E376" i="2"/>
  <c r="D376" i="2"/>
  <c r="G375" i="2"/>
  <c r="F375" i="2"/>
  <c r="E375" i="2"/>
  <c r="D375" i="2"/>
  <c r="G374" i="2"/>
  <c r="F374" i="2"/>
  <c r="E374" i="2"/>
  <c r="D374" i="2"/>
  <c r="G373" i="2"/>
  <c r="F373" i="2"/>
  <c r="E373" i="2"/>
  <c r="D373" i="2"/>
  <c r="G372" i="2"/>
  <c r="F372" i="2"/>
  <c r="E372" i="2"/>
  <c r="D372" i="2"/>
  <c r="G371" i="2"/>
  <c r="F371" i="2"/>
  <c r="E371" i="2"/>
  <c r="D371" i="2"/>
  <c r="G370" i="2"/>
  <c r="F370" i="2"/>
  <c r="E370" i="2"/>
  <c r="D370" i="2"/>
  <c r="G369" i="2"/>
  <c r="F369" i="2"/>
  <c r="E369" i="2"/>
  <c r="D369" i="2"/>
  <c r="G368" i="2"/>
  <c r="F368" i="2"/>
  <c r="E368" i="2"/>
  <c r="D368" i="2"/>
  <c r="G367" i="2"/>
  <c r="F367" i="2"/>
  <c r="E367" i="2"/>
  <c r="D367" i="2"/>
  <c r="G366" i="2"/>
  <c r="F366" i="2"/>
  <c r="E366" i="2"/>
  <c r="D366" i="2"/>
  <c r="G365" i="2"/>
  <c r="F365" i="2"/>
  <c r="E365" i="2"/>
  <c r="D365" i="2"/>
  <c r="G364" i="2"/>
  <c r="F364" i="2"/>
  <c r="E364" i="2"/>
  <c r="D364" i="2"/>
  <c r="G363" i="2"/>
  <c r="F363" i="2"/>
  <c r="E363" i="2"/>
  <c r="D363" i="2"/>
  <c r="G362" i="2"/>
  <c r="F362" i="2"/>
  <c r="E362" i="2"/>
  <c r="D362" i="2"/>
  <c r="G361" i="2"/>
  <c r="F361" i="2"/>
  <c r="E361" i="2"/>
  <c r="D361" i="2"/>
  <c r="G360" i="2"/>
  <c r="F360" i="2"/>
  <c r="E360" i="2"/>
  <c r="D360" i="2"/>
  <c r="G359" i="2"/>
  <c r="F359" i="2"/>
  <c r="E359" i="2"/>
  <c r="D359" i="2"/>
  <c r="G358" i="2"/>
  <c r="F358" i="2"/>
  <c r="E358" i="2"/>
  <c r="D358" i="2"/>
  <c r="G357" i="2"/>
  <c r="F357" i="2"/>
  <c r="E357" i="2"/>
  <c r="D357" i="2"/>
  <c r="G356" i="2"/>
  <c r="F356" i="2"/>
  <c r="E356" i="2"/>
  <c r="D356" i="2"/>
  <c r="G355" i="2"/>
  <c r="F355" i="2"/>
  <c r="E355" i="2"/>
  <c r="D355" i="2"/>
  <c r="G354" i="2"/>
  <c r="F354" i="2"/>
  <c r="E354" i="2"/>
  <c r="D354" i="2"/>
  <c r="G353" i="2"/>
  <c r="F353" i="2"/>
  <c r="E353" i="2"/>
  <c r="D353" i="2"/>
  <c r="G352" i="2"/>
  <c r="F352" i="2"/>
  <c r="E352" i="2"/>
  <c r="D352" i="2"/>
  <c r="G351" i="2"/>
  <c r="F351" i="2"/>
  <c r="E351" i="2"/>
  <c r="D351" i="2"/>
  <c r="G350" i="2"/>
  <c r="F350" i="2"/>
  <c r="E350" i="2"/>
  <c r="D350" i="2"/>
  <c r="G349" i="2"/>
  <c r="F349" i="2"/>
  <c r="E349" i="2"/>
  <c r="D349" i="2"/>
  <c r="G348" i="2"/>
  <c r="F348" i="2"/>
  <c r="E348" i="2"/>
  <c r="D348" i="2"/>
  <c r="G347" i="2"/>
  <c r="F347" i="2"/>
  <c r="E347" i="2"/>
  <c r="D347" i="2"/>
  <c r="G346" i="2"/>
  <c r="F346" i="2"/>
  <c r="E346" i="2"/>
  <c r="D346" i="2"/>
  <c r="G345" i="2"/>
  <c r="F345" i="2"/>
  <c r="E345" i="2"/>
  <c r="D345" i="2"/>
  <c r="G344" i="2"/>
  <c r="F344" i="2"/>
  <c r="E344" i="2"/>
  <c r="D344" i="2"/>
  <c r="G343" i="2"/>
  <c r="F343" i="2"/>
  <c r="E343" i="2"/>
  <c r="D343" i="2"/>
  <c r="G342" i="2"/>
  <c r="F342" i="2"/>
  <c r="E342" i="2"/>
  <c r="D342" i="2"/>
  <c r="G341" i="2"/>
  <c r="F341" i="2"/>
  <c r="E341" i="2"/>
  <c r="D341" i="2"/>
  <c r="G340" i="2"/>
  <c r="F340" i="2"/>
  <c r="E340" i="2"/>
  <c r="D340" i="2"/>
  <c r="G339" i="2"/>
  <c r="F339" i="2"/>
  <c r="E339" i="2"/>
  <c r="D339" i="2"/>
  <c r="G338" i="2"/>
  <c r="F338" i="2"/>
  <c r="E338" i="2"/>
  <c r="D338" i="2"/>
  <c r="G337" i="2"/>
  <c r="F337" i="2"/>
  <c r="E337" i="2"/>
  <c r="D337" i="2"/>
  <c r="G336" i="2"/>
  <c r="F336" i="2"/>
  <c r="E336" i="2"/>
  <c r="D336" i="2"/>
  <c r="G335" i="2"/>
  <c r="F335" i="2"/>
  <c r="E335" i="2"/>
  <c r="D335" i="2"/>
  <c r="G334" i="2"/>
  <c r="F334" i="2"/>
  <c r="E334" i="2"/>
  <c r="D334" i="2"/>
  <c r="G333" i="2"/>
  <c r="F333" i="2"/>
  <c r="E333" i="2"/>
  <c r="D333" i="2"/>
  <c r="G332" i="2"/>
  <c r="F332" i="2"/>
  <c r="E332" i="2"/>
  <c r="D332" i="2"/>
  <c r="G331" i="2"/>
  <c r="F331" i="2"/>
  <c r="E331" i="2"/>
  <c r="D331" i="2"/>
  <c r="G330" i="2"/>
  <c r="F330" i="2"/>
  <c r="E330" i="2"/>
  <c r="D330" i="2"/>
  <c r="G329" i="2"/>
  <c r="F329" i="2"/>
  <c r="E329" i="2"/>
  <c r="D329" i="2"/>
  <c r="G328" i="2"/>
  <c r="F328" i="2"/>
  <c r="E328" i="2"/>
  <c r="D328" i="2"/>
  <c r="G327" i="2"/>
  <c r="F327" i="2"/>
  <c r="E327" i="2"/>
  <c r="D327" i="2"/>
  <c r="G326" i="2"/>
  <c r="F326" i="2"/>
  <c r="E326" i="2"/>
  <c r="D326" i="2"/>
  <c r="G325" i="2"/>
  <c r="F325" i="2"/>
  <c r="E325" i="2"/>
  <c r="D325" i="2"/>
  <c r="G324" i="2"/>
  <c r="F324" i="2"/>
  <c r="E324" i="2"/>
  <c r="D324" i="2"/>
  <c r="G323" i="2"/>
  <c r="F323" i="2"/>
  <c r="E323" i="2"/>
  <c r="D323" i="2"/>
  <c r="G322" i="2"/>
  <c r="F322" i="2"/>
  <c r="E322" i="2"/>
  <c r="D322" i="2"/>
  <c r="G321" i="2"/>
  <c r="F321" i="2"/>
  <c r="E321" i="2"/>
  <c r="D321" i="2"/>
  <c r="G320" i="2"/>
  <c r="F320" i="2"/>
  <c r="E320" i="2"/>
  <c r="D320" i="2"/>
  <c r="G319" i="2"/>
  <c r="F319" i="2"/>
  <c r="E319" i="2"/>
  <c r="D319" i="2"/>
  <c r="G318" i="2"/>
  <c r="F318" i="2"/>
  <c r="E318" i="2"/>
  <c r="D318" i="2"/>
  <c r="G317" i="2"/>
  <c r="F317" i="2"/>
  <c r="E317" i="2"/>
  <c r="D317" i="2"/>
  <c r="G316" i="2"/>
  <c r="F316" i="2"/>
  <c r="E316" i="2"/>
  <c r="D316" i="2"/>
  <c r="G315" i="2"/>
  <c r="F315" i="2"/>
  <c r="E315" i="2"/>
  <c r="D315" i="2"/>
  <c r="G314" i="2"/>
  <c r="F314" i="2"/>
  <c r="E314" i="2"/>
  <c r="D314" i="2"/>
  <c r="G313" i="2"/>
  <c r="F313" i="2"/>
  <c r="E313" i="2"/>
  <c r="D313" i="2"/>
  <c r="G312" i="2"/>
  <c r="F312" i="2"/>
  <c r="E312" i="2"/>
  <c r="D312" i="2"/>
  <c r="G311" i="2"/>
  <c r="F311" i="2"/>
  <c r="E311" i="2"/>
  <c r="D311" i="2"/>
  <c r="G310" i="2"/>
  <c r="F310" i="2"/>
  <c r="E310" i="2"/>
  <c r="D310" i="2"/>
  <c r="G309" i="2"/>
  <c r="F309" i="2"/>
  <c r="E309" i="2"/>
  <c r="D309" i="2"/>
  <c r="G308" i="2"/>
  <c r="F308" i="2"/>
  <c r="E308" i="2"/>
  <c r="D308" i="2"/>
  <c r="G307" i="2"/>
  <c r="F307" i="2"/>
  <c r="E307" i="2"/>
  <c r="D307" i="2"/>
  <c r="G306" i="2"/>
  <c r="F306" i="2"/>
  <c r="E306" i="2"/>
  <c r="D306" i="2"/>
  <c r="G305" i="2"/>
  <c r="F305" i="2"/>
  <c r="E305" i="2"/>
  <c r="D305" i="2"/>
  <c r="G304" i="2"/>
  <c r="F304" i="2"/>
  <c r="E304" i="2"/>
  <c r="D304" i="2"/>
  <c r="G303" i="2"/>
  <c r="F303" i="2"/>
  <c r="E303" i="2"/>
  <c r="D303" i="2"/>
  <c r="G302" i="2"/>
  <c r="F302" i="2"/>
  <c r="E302" i="2"/>
  <c r="D302" i="2"/>
  <c r="G301" i="2"/>
  <c r="F301" i="2"/>
  <c r="E301" i="2"/>
  <c r="D301" i="2"/>
  <c r="G300" i="2"/>
  <c r="F300" i="2"/>
  <c r="E300" i="2"/>
  <c r="D300" i="2"/>
  <c r="G299" i="2"/>
  <c r="F299" i="2"/>
  <c r="E299" i="2"/>
  <c r="D299" i="2"/>
  <c r="G298" i="2"/>
  <c r="F298" i="2"/>
  <c r="E298" i="2"/>
  <c r="D298" i="2"/>
  <c r="G297" i="2"/>
  <c r="F297" i="2"/>
  <c r="E297" i="2"/>
  <c r="D297" i="2"/>
  <c r="G296" i="2"/>
  <c r="F296" i="2"/>
  <c r="E296" i="2"/>
  <c r="D296" i="2"/>
  <c r="G295" i="2"/>
  <c r="F295" i="2"/>
  <c r="E295" i="2"/>
  <c r="D295" i="2"/>
  <c r="G294" i="2"/>
  <c r="F294" i="2"/>
  <c r="E294" i="2"/>
  <c r="D294" i="2"/>
  <c r="G293" i="2"/>
  <c r="F293" i="2"/>
  <c r="E293" i="2"/>
  <c r="D293" i="2"/>
  <c r="G292" i="2"/>
  <c r="F292" i="2"/>
  <c r="E292" i="2"/>
  <c r="D292" i="2"/>
  <c r="G291" i="2"/>
  <c r="F291" i="2"/>
  <c r="E291" i="2"/>
  <c r="D291" i="2"/>
  <c r="G290" i="2"/>
  <c r="F290" i="2"/>
  <c r="E290" i="2"/>
  <c r="D290" i="2"/>
  <c r="G289" i="2"/>
  <c r="F289" i="2"/>
  <c r="E289" i="2"/>
  <c r="D289" i="2"/>
  <c r="G288" i="2"/>
  <c r="F288" i="2"/>
  <c r="E288" i="2"/>
  <c r="D288" i="2"/>
  <c r="G287" i="2"/>
  <c r="F287" i="2"/>
  <c r="E287" i="2"/>
  <c r="D287" i="2"/>
  <c r="G286" i="2"/>
  <c r="F286" i="2"/>
  <c r="E286" i="2"/>
  <c r="D286" i="2"/>
  <c r="G285" i="2"/>
  <c r="F285" i="2"/>
  <c r="E285" i="2"/>
  <c r="D285" i="2"/>
  <c r="G284" i="2"/>
  <c r="F284" i="2"/>
  <c r="E284" i="2"/>
  <c r="D284" i="2"/>
  <c r="G283" i="2"/>
  <c r="F283" i="2"/>
  <c r="E283" i="2"/>
  <c r="D283" i="2"/>
  <c r="G282" i="2"/>
  <c r="F282" i="2"/>
  <c r="E282" i="2"/>
  <c r="D282" i="2"/>
  <c r="G281" i="2"/>
  <c r="F281" i="2"/>
  <c r="E281" i="2"/>
  <c r="D281" i="2"/>
  <c r="G280" i="2"/>
  <c r="F280" i="2"/>
  <c r="E280" i="2"/>
  <c r="D280" i="2"/>
  <c r="G279" i="2"/>
  <c r="F279" i="2"/>
  <c r="E279" i="2"/>
  <c r="D279" i="2"/>
  <c r="G278" i="2"/>
  <c r="F278" i="2"/>
  <c r="E278" i="2"/>
  <c r="D278" i="2"/>
  <c r="G277" i="2"/>
  <c r="F277" i="2"/>
  <c r="E277" i="2"/>
  <c r="D277" i="2"/>
  <c r="G276" i="2"/>
  <c r="F276" i="2"/>
  <c r="E276" i="2"/>
  <c r="D276" i="2"/>
  <c r="G275" i="2"/>
  <c r="F275" i="2"/>
  <c r="E275" i="2"/>
  <c r="D275" i="2"/>
  <c r="G274" i="2"/>
  <c r="F274" i="2"/>
  <c r="E274" i="2"/>
  <c r="D274" i="2"/>
  <c r="G273" i="2"/>
  <c r="F273" i="2"/>
  <c r="E273" i="2"/>
  <c r="D273" i="2"/>
  <c r="G272" i="2"/>
  <c r="F272" i="2"/>
  <c r="E272" i="2"/>
  <c r="D272" i="2"/>
  <c r="G271" i="2"/>
  <c r="F271" i="2"/>
  <c r="E271" i="2"/>
  <c r="D271" i="2"/>
  <c r="G270" i="2"/>
  <c r="F270" i="2"/>
  <c r="E270" i="2"/>
  <c r="D270" i="2"/>
  <c r="G269" i="2"/>
  <c r="F269" i="2"/>
  <c r="E269" i="2"/>
  <c r="D269" i="2"/>
  <c r="G268" i="2"/>
  <c r="F268" i="2"/>
  <c r="E268" i="2"/>
  <c r="D268" i="2"/>
  <c r="G267" i="2"/>
  <c r="F267" i="2"/>
  <c r="E267" i="2"/>
  <c r="D267" i="2"/>
  <c r="G266" i="2"/>
  <c r="F266" i="2"/>
  <c r="E266" i="2"/>
  <c r="D266" i="2"/>
  <c r="G265" i="2"/>
  <c r="F265" i="2"/>
  <c r="E265" i="2"/>
  <c r="D265" i="2"/>
  <c r="G264" i="2"/>
  <c r="F264" i="2"/>
  <c r="E264" i="2"/>
  <c r="D264" i="2"/>
  <c r="G263" i="2"/>
  <c r="F263" i="2"/>
  <c r="E263" i="2"/>
  <c r="D263" i="2"/>
  <c r="G262" i="2"/>
  <c r="F262" i="2"/>
  <c r="E262" i="2"/>
  <c r="D262" i="2"/>
  <c r="G261" i="2"/>
  <c r="F261" i="2"/>
  <c r="E261" i="2"/>
  <c r="D261" i="2"/>
  <c r="G260" i="2"/>
  <c r="F260" i="2"/>
  <c r="E260" i="2"/>
  <c r="D260" i="2"/>
  <c r="G259" i="2"/>
  <c r="F259" i="2"/>
  <c r="E259" i="2"/>
  <c r="D259" i="2"/>
  <c r="G258" i="2"/>
  <c r="F258" i="2"/>
  <c r="E258" i="2"/>
  <c r="D258" i="2"/>
  <c r="G257" i="2"/>
  <c r="F257" i="2"/>
  <c r="E257" i="2"/>
  <c r="D257" i="2"/>
  <c r="G256" i="2"/>
  <c r="F256" i="2"/>
  <c r="E256" i="2"/>
  <c r="D256" i="2"/>
  <c r="G255" i="2"/>
  <c r="F255" i="2"/>
  <c r="E255" i="2"/>
  <c r="D255" i="2"/>
  <c r="G254" i="2"/>
  <c r="F254" i="2"/>
  <c r="E254" i="2"/>
  <c r="D254" i="2"/>
  <c r="G253" i="2"/>
  <c r="F253" i="2"/>
  <c r="E253" i="2"/>
  <c r="D253" i="2"/>
  <c r="G252" i="2"/>
  <c r="F252" i="2"/>
  <c r="E252" i="2"/>
  <c r="D252" i="2"/>
  <c r="G251" i="2"/>
  <c r="F251" i="2"/>
  <c r="E251" i="2"/>
  <c r="D251" i="2"/>
  <c r="G250" i="2"/>
  <c r="F250" i="2"/>
  <c r="E250" i="2"/>
  <c r="D250" i="2"/>
  <c r="G249" i="2"/>
  <c r="F249" i="2"/>
  <c r="E249" i="2"/>
  <c r="D249" i="2"/>
  <c r="G248" i="2"/>
  <c r="F248" i="2"/>
  <c r="E248" i="2"/>
  <c r="D248" i="2"/>
  <c r="G247" i="2"/>
  <c r="F247" i="2"/>
  <c r="E247" i="2"/>
  <c r="D247" i="2"/>
  <c r="G246" i="2"/>
  <c r="F246" i="2"/>
  <c r="E246" i="2"/>
  <c r="D246" i="2"/>
  <c r="G245" i="2"/>
  <c r="F245" i="2"/>
  <c r="E245" i="2"/>
  <c r="D245" i="2"/>
  <c r="G244" i="2"/>
  <c r="F244" i="2"/>
  <c r="E244" i="2"/>
  <c r="D244" i="2"/>
  <c r="G243" i="2"/>
  <c r="F243" i="2"/>
  <c r="E243" i="2"/>
  <c r="D243" i="2"/>
  <c r="G242" i="2"/>
  <c r="F242" i="2"/>
  <c r="E242" i="2"/>
  <c r="D242" i="2"/>
  <c r="G241" i="2"/>
  <c r="F241" i="2"/>
  <c r="E241" i="2"/>
  <c r="D241" i="2"/>
  <c r="G240" i="2"/>
  <c r="F240" i="2"/>
  <c r="E240" i="2"/>
  <c r="D240" i="2"/>
  <c r="G239" i="2"/>
  <c r="F239" i="2"/>
  <c r="E239" i="2"/>
  <c r="D239" i="2"/>
  <c r="G238" i="2"/>
  <c r="F238" i="2"/>
  <c r="E238" i="2"/>
  <c r="D238" i="2"/>
  <c r="G237" i="2"/>
  <c r="F237" i="2"/>
  <c r="E237" i="2"/>
  <c r="D237" i="2"/>
  <c r="G236" i="2"/>
  <c r="F236" i="2"/>
  <c r="E236" i="2"/>
  <c r="D236" i="2"/>
  <c r="G235" i="2"/>
  <c r="F235" i="2"/>
  <c r="E235" i="2"/>
  <c r="D235" i="2"/>
  <c r="G234" i="2"/>
  <c r="F234" i="2"/>
  <c r="E234" i="2"/>
  <c r="D234" i="2"/>
  <c r="G233" i="2"/>
  <c r="F233" i="2"/>
  <c r="E233" i="2"/>
  <c r="D233" i="2"/>
  <c r="G232" i="2"/>
  <c r="F232" i="2"/>
  <c r="E232" i="2"/>
  <c r="D232" i="2"/>
  <c r="G231" i="2"/>
  <c r="F231" i="2"/>
  <c r="E231" i="2"/>
  <c r="D231" i="2"/>
  <c r="G230" i="2"/>
  <c r="F230" i="2"/>
  <c r="E230" i="2"/>
  <c r="D230" i="2"/>
  <c r="G229" i="2"/>
  <c r="F229" i="2"/>
  <c r="E229" i="2"/>
  <c r="D229" i="2"/>
  <c r="G228" i="2"/>
  <c r="F228" i="2"/>
  <c r="E228" i="2"/>
  <c r="D228" i="2"/>
  <c r="G227" i="2"/>
  <c r="F227" i="2"/>
  <c r="E227" i="2"/>
  <c r="D227" i="2"/>
  <c r="G226" i="2"/>
  <c r="F226" i="2"/>
  <c r="E226" i="2"/>
  <c r="D226" i="2"/>
  <c r="G225" i="2"/>
  <c r="F225" i="2"/>
  <c r="E225" i="2"/>
  <c r="D225" i="2"/>
  <c r="G224" i="2"/>
  <c r="F224" i="2"/>
  <c r="E224" i="2"/>
  <c r="D224" i="2"/>
  <c r="G223" i="2"/>
  <c r="F223" i="2"/>
  <c r="E223" i="2"/>
  <c r="D223" i="2"/>
  <c r="G222" i="2"/>
  <c r="F222" i="2"/>
  <c r="E222" i="2"/>
  <c r="D222" i="2"/>
  <c r="G221" i="2"/>
  <c r="F221" i="2"/>
  <c r="E221" i="2"/>
  <c r="D221" i="2"/>
  <c r="G220" i="2"/>
  <c r="F220" i="2"/>
  <c r="E220" i="2"/>
  <c r="D220" i="2"/>
  <c r="G219" i="2"/>
  <c r="F219" i="2"/>
  <c r="E219" i="2"/>
  <c r="D219" i="2"/>
  <c r="G218" i="2"/>
  <c r="F218" i="2"/>
  <c r="E218" i="2"/>
  <c r="D218" i="2"/>
  <c r="G217" i="2"/>
  <c r="F217" i="2"/>
  <c r="E217" i="2"/>
  <c r="D217" i="2"/>
  <c r="G216" i="2"/>
  <c r="F216" i="2"/>
  <c r="E216" i="2"/>
  <c r="D216" i="2"/>
  <c r="G215" i="2"/>
  <c r="F215" i="2"/>
  <c r="E215" i="2"/>
  <c r="D215" i="2"/>
  <c r="G214" i="2"/>
  <c r="F214" i="2"/>
  <c r="E214" i="2"/>
  <c r="D214" i="2"/>
  <c r="G213" i="2"/>
  <c r="F213" i="2"/>
  <c r="E213" i="2"/>
  <c r="D213" i="2"/>
  <c r="G212" i="2"/>
  <c r="F212" i="2"/>
  <c r="E212" i="2"/>
  <c r="D212" i="2"/>
  <c r="G211" i="2"/>
  <c r="F211" i="2"/>
  <c r="E211" i="2"/>
  <c r="D211" i="2"/>
  <c r="G210" i="2"/>
  <c r="F210" i="2"/>
  <c r="E210" i="2"/>
  <c r="D210" i="2"/>
  <c r="G209" i="2"/>
  <c r="F209" i="2"/>
  <c r="E209" i="2"/>
  <c r="D209" i="2"/>
  <c r="G208" i="2"/>
  <c r="F208" i="2"/>
  <c r="E208" i="2"/>
  <c r="D208" i="2"/>
  <c r="G207" i="2"/>
  <c r="F207" i="2"/>
  <c r="E207" i="2"/>
  <c r="D207" i="2"/>
  <c r="G206" i="2"/>
  <c r="F206" i="2"/>
  <c r="E206" i="2"/>
  <c r="D206" i="2"/>
  <c r="G205" i="2"/>
  <c r="F205" i="2"/>
  <c r="E205" i="2"/>
  <c r="D205" i="2"/>
  <c r="G204" i="2"/>
  <c r="F204" i="2"/>
  <c r="E204" i="2"/>
  <c r="D204" i="2"/>
  <c r="G203" i="2"/>
  <c r="F203" i="2"/>
  <c r="E203" i="2"/>
  <c r="D203" i="2"/>
  <c r="G202" i="2"/>
  <c r="F202" i="2"/>
  <c r="E202" i="2"/>
  <c r="D202" i="2"/>
  <c r="G201" i="2"/>
  <c r="F201" i="2"/>
  <c r="E201" i="2"/>
  <c r="D201" i="2"/>
  <c r="G200" i="2"/>
  <c r="F200" i="2"/>
  <c r="E200" i="2"/>
  <c r="D200" i="2"/>
  <c r="G199" i="2"/>
  <c r="F199" i="2"/>
  <c r="E199" i="2"/>
  <c r="D199" i="2"/>
  <c r="G198" i="2"/>
  <c r="F198" i="2"/>
  <c r="E198" i="2"/>
  <c r="D198" i="2"/>
  <c r="G197" i="2"/>
  <c r="F197" i="2"/>
  <c r="E197" i="2"/>
  <c r="D197" i="2"/>
  <c r="G196" i="2"/>
  <c r="F196" i="2"/>
  <c r="E196" i="2"/>
  <c r="D196" i="2"/>
  <c r="G195" i="2"/>
  <c r="F195" i="2"/>
  <c r="E195" i="2"/>
  <c r="D195" i="2"/>
  <c r="G194" i="2"/>
  <c r="F194" i="2"/>
  <c r="E194" i="2"/>
  <c r="D194" i="2"/>
  <c r="G193" i="2"/>
  <c r="F193" i="2"/>
  <c r="E193" i="2"/>
  <c r="D193" i="2"/>
  <c r="G192" i="2"/>
  <c r="F192" i="2"/>
  <c r="E192" i="2"/>
  <c r="D192" i="2"/>
  <c r="G191" i="2"/>
  <c r="F191" i="2"/>
  <c r="E191" i="2"/>
  <c r="D191" i="2"/>
  <c r="G190" i="2"/>
  <c r="F190" i="2"/>
  <c r="E190" i="2"/>
  <c r="D190" i="2"/>
  <c r="G189" i="2"/>
  <c r="F189" i="2"/>
  <c r="E189" i="2"/>
  <c r="D189" i="2"/>
  <c r="G188" i="2"/>
  <c r="F188" i="2"/>
  <c r="E188" i="2"/>
  <c r="D188" i="2"/>
  <c r="G187" i="2"/>
  <c r="F187" i="2"/>
  <c r="E187" i="2"/>
  <c r="D187" i="2"/>
  <c r="G186" i="2"/>
  <c r="F186" i="2"/>
  <c r="E186" i="2"/>
  <c r="D186" i="2"/>
  <c r="G185" i="2"/>
  <c r="F185" i="2"/>
  <c r="E185" i="2"/>
  <c r="D185" i="2"/>
  <c r="G184" i="2"/>
  <c r="F184" i="2"/>
  <c r="E184" i="2"/>
  <c r="D184" i="2"/>
  <c r="G183" i="2"/>
  <c r="F183" i="2"/>
  <c r="E183" i="2"/>
  <c r="D183" i="2"/>
  <c r="G182" i="2"/>
  <c r="F182" i="2"/>
  <c r="E182" i="2"/>
  <c r="D182" i="2"/>
  <c r="G181" i="2"/>
  <c r="F181" i="2"/>
  <c r="E181" i="2"/>
  <c r="D181" i="2"/>
  <c r="G180" i="2"/>
  <c r="F180" i="2"/>
  <c r="E180" i="2"/>
  <c r="D180" i="2"/>
  <c r="G179" i="2"/>
  <c r="F179" i="2"/>
  <c r="E179" i="2"/>
  <c r="D179" i="2"/>
  <c r="G178" i="2"/>
  <c r="F178" i="2"/>
  <c r="E178" i="2"/>
  <c r="D178" i="2"/>
  <c r="G177" i="2"/>
  <c r="F177" i="2"/>
  <c r="E177" i="2"/>
  <c r="D177" i="2"/>
  <c r="G176" i="2"/>
  <c r="F176" i="2"/>
  <c r="E176" i="2"/>
  <c r="D176" i="2"/>
  <c r="G175" i="2"/>
  <c r="F175" i="2"/>
  <c r="E175" i="2"/>
  <c r="D175" i="2"/>
  <c r="G174" i="2"/>
  <c r="F174" i="2"/>
  <c r="E174" i="2"/>
  <c r="D174" i="2"/>
  <c r="G173" i="2"/>
  <c r="F173" i="2"/>
  <c r="E173" i="2"/>
  <c r="D173" i="2"/>
  <c r="G172" i="2"/>
  <c r="F172" i="2"/>
  <c r="E172" i="2"/>
  <c r="D172" i="2"/>
  <c r="G171" i="2"/>
  <c r="F171" i="2"/>
  <c r="E171" i="2"/>
  <c r="D171" i="2"/>
  <c r="G170" i="2"/>
  <c r="F170" i="2"/>
  <c r="E170" i="2"/>
  <c r="D170" i="2"/>
  <c r="G169" i="2"/>
  <c r="F169" i="2"/>
  <c r="E169" i="2"/>
  <c r="D169" i="2"/>
  <c r="G168" i="2"/>
  <c r="F168" i="2"/>
  <c r="E168" i="2"/>
  <c r="D168" i="2"/>
  <c r="G167" i="2"/>
  <c r="F167" i="2"/>
  <c r="E167" i="2"/>
  <c r="D167" i="2"/>
  <c r="G166" i="2"/>
  <c r="F166" i="2"/>
  <c r="E166" i="2"/>
  <c r="D166" i="2"/>
  <c r="G165" i="2"/>
  <c r="F165" i="2"/>
  <c r="E165" i="2"/>
  <c r="D165" i="2"/>
  <c r="G164" i="2"/>
  <c r="F164" i="2"/>
  <c r="E164" i="2"/>
  <c r="D164" i="2"/>
  <c r="G163" i="2"/>
  <c r="F163" i="2"/>
  <c r="E163" i="2"/>
  <c r="D163" i="2"/>
  <c r="G162" i="2"/>
  <c r="F162" i="2"/>
  <c r="E162" i="2"/>
  <c r="D162" i="2"/>
  <c r="G161" i="2"/>
  <c r="F161" i="2"/>
  <c r="E161" i="2"/>
  <c r="D161" i="2"/>
  <c r="G160" i="2"/>
  <c r="F160" i="2"/>
  <c r="E160" i="2"/>
  <c r="D160" i="2"/>
  <c r="G159" i="2"/>
  <c r="F159" i="2"/>
  <c r="E159" i="2"/>
  <c r="D159" i="2"/>
  <c r="G158" i="2"/>
  <c r="F158" i="2"/>
  <c r="E158" i="2"/>
  <c r="D158" i="2"/>
  <c r="G157" i="2"/>
  <c r="F157" i="2"/>
  <c r="E157" i="2"/>
  <c r="D157" i="2"/>
  <c r="G156" i="2"/>
  <c r="F156" i="2"/>
  <c r="E156" i="2"/>
  <c r="D156" i="2"/>
  <c r="G155" i="2"/>
  <c r="F155" i="2"/>
  <c r="E155" i="2"/>
  <c r="D155" i="2"/>
  <c r="G154" i="2"/>
  <c r="F154" i="2"/>
  <c r="E154" i="2"/>
  <c r="D154" i="2"/>
  <c r="G153" i="2"/>
  <c r="F153" i="2"/>
  <c r="E153" i="2"/>
  <c r="D153" i="2"/>
  <c r="G152" i="2"/>
  <c r="F152" i="2"/>
  <c r="E152" i="2"/>
  <c r="D152" i="2"/>
  <c r="G151" i="2"/>
  <c r="F151" i="2"/>
  <c r="E151" i="2"/>
  <c r="D151" i="2"/>
  <c r="G150" i="2"/>
  <c r="F150" i="2"/>
  <c r="E150" i="2"/>
  <c r="D150" i="2"/>
  <c r="G149" i="2"/>
  <c r="F149" i="2"/>
  <c r="E149" i="2"/>
  <c r="D149" i="2"/>
  <c r="G148" i="2"/>
  <c r="F148" i="2"/>
  <c r="E148" i="2"/>
  <c r="D148" i="2"/>
  <c r="G147" i="2"/>
  <c r="F147" i="2"/>
  <c r="E147" i="2"/>
  <c r="D147" i="2"/>
  <c r="G146" i="2"/>
  <c r="F146" i="2"/>
  <c r="E146" i="2"/>
  <c r="D146" i="2"/>
  <c r="G145" i="2"/>
  <c r="F145" i="2"/>
  <c r="E145" i="2"/>
  <c r="D145" i="2"/>
  <c r="G144" i="2"/>
  <c r="F144" i="2"/>
  <c r="E144" i="2"/>
  <c r="D144" i="2"/>
  <c r="G143" i="2"/>
  <c r="F143" i="2"/>
  <c r="E143" i="2"/>
  <c r="D143" i="2"/>
  <c r="G142" i="2"/>
  <c r="F142" i="2"/>
  <c r="E142" i="2"/>
  <c r="D142" i="2"/>
  <c r="G141" i="2"/>
  <c r="F141" i="2"/>
  <c r="E141" i="2"/>
  <c r="D141" i="2"/>
  <c r="G140" i="2"/>
  <c r="F140" i="2"/>
  <c r="E140" i="2"/>
  <c r="D140" i="2"/>
  <c r="G139" i="2"/>
  <c r="F139" i="2"/>
  <c r="E139" i="2"/>
  <c r="D139" i="2"/>
  <c r="G138" i="2"/>
  <c r="F138" i="2"/>
  <c r="E138" i="2"/>
  <c r="D138" i="2"/>
  <c r="G137" i="2"/>
  <c r="F137" i="2"/>
  <c r="E137" i="2"/>
  <c r="D137" i="2"/>
  <c r="G136" i="2"/>
  <c r="F136" i="2"/>
  <c r="E136" i="2"/>
  <c r="D136" i="2"/>
  <c r="G135" i="2"/>
  <c r="F135" i="2"/>
  <c r="E135" i="2"/>
  <c r="D135" i="2"/>
  <c r="G134" i="2"/>
  <c r="F134" i="2"/>
  <c r="E134" i="2"/>
  <c r="D134" i="2"/>
  <c r="G133" i="2"/>
  <c r="F133" i="2"/>
  <c r="E133" i="2"/>
  <c r="D133" i="2"/>
  <c r="G132" i="2"/>
  <c r="F132" i="2"/>
  <c r="E132" i="2"/>
  <c r="D132" i="2"/>
  <c r="G131" i="2"/>
  <c r="F131" i="2"/>
  <c r="E131" i="2"/>
  <c r="D131" i="2"/>
  <c r="G130" i="2"/>
  <c r="F130" i="2"/>
  <c r="E130" i="2"/>
  <c r="D130" i="2"/>
  <c r="G129" i="2"/>
  <c r="F129" i="2"/>
  <c r="E129" i="2"/>
  <c r="D129" i="2"/>
  <c r="G128" i="2"/>
  <c r="F128" i="2"/>
  <c r="E128" i="2"/>
  <c r="D128" i="2"/>
  <c r="G127" i="2"/>
  <c r="F127" i="2"/>
  <c r="E127" i="2"/>
  <c r="D127" i="2"/>
  <c r="G126" i="2"/>
  <c r="F126" i="2"/>
  <c r="E126" i="2"/>
  <c r="D126" i="2"/>
  <c r="G125" i="2"/>
  <c r="F125" i="2"/>
  <c r="E125" i="2"/>
  <c r="D125" i="2"/>
  <c r="G124" i="2"/>
  <c r="F124" i="2"/>
  <c r="E124" i="2"/>
  <c r="D124" i="2"/>
  <c r="G123" i="2"/>
  <c r="F123" i="2"/>
  <c r="E123" i="2"/>
  <c r="D123" i="2"/>
  <c r="G122" i="2"/>
  <c r="F122" i="2"/>
  <c r="E122" i="2"/>
  <c r="D122" i="2"/>
  <c r="G121" i="2"/>
  <c r="F121" i="2"/>
  <c r="E121" i="2"/>
  <c r="D121" i="2"/>
  <c r="G120" i="2"/>
  <c r="F120" i="2"/>
  <c r="E120" i="2"/>
  <c r="D120" i="2"/>
  <c r="G119" i="2"/>
  <c r="F119" i="2"/>
  <c r="E119" i="2"/>
  <c r="D119" i="2"/>
  <c r="G118" i="2"/>
  <c r="F118" i="2"/>
  <c r="E118" i="2"/>
  <c r="D118" i="2"/>
  <c r="G117" i="2"/>
  <c r="F117" i="2"/>
  <c r="E117" i="2"/>
  <c r="D117" i="2"/>
  <c r="G116" i="2"/>
  <c r="F116" i="2"/>
  <c r="E116" i="2"/>
  <c r="D116" i="2"/>
  <c r="G115" i="2"/>
  <c r="F115" i="2"/>
  <c r="E115" i="2"/>
  <c r="D115" i="2"/>
  <c r="G114" i="2"/>
  <c r="F114" i="2"/>
  <c r="E114" i="2"/>
  <c r="D114" i="2"/>
  <c r="G113" i="2"/>
  <c r="F113" i="2"/>
  <c r="E113" i="2"/>
  <c r="D113" i="2"/>
  <c r="G112" i="2"/>
  <c r="F112" i="2"/>
  <c r="E112" i="2"/>
  <c r="D112" i="2"/>
  <c r="G111" i="2"/>
  <c r="F111" i="2"/>
  <c r="E111" i="2"/>
  <c r="D111" i="2"/>
  <c r="G110" i="2"/>
  <c r="F110" i="2"/>
  <c r="E110" i="2"/>
  <c r="D110" i="2"/>
  <c r="G109" i="2"/>
  <c r="F109" i="2"/>
  <c r="E109" i="2"/>
  <c r="D109" i="2"/>
  <c r="G108" i="2"/>
  <c r="F108" i="2"/>
  <c r="E108" i="2"/>
  <c r="D108" i="2"/>
  <c r="G107" i="2"/>
  <c r="F107" i="2"/>
  <c r="E107" i="2"/>
  <c r="D107" i="2"/>
  <c r="G106" i="2"/>
  <c r="F106" i="2"/>
  <c r="E106" i="2"/>
  <c r="D106" i="2"/>
  <c r="G105" i="2"/>
  <c r="F105" i="2"/>
  <c r="E105" i="2"/>
  <c r="D105" i="2"/>
  <c r="G104" i="2"/>
  <c r="F104" i="2"/>
  <c r="E104" i="2"/>
  <c r="D104" i="2"/>
  <c r="G103" i="2"/>
  <c r="F103" i="2"/>
  <c r="E103" i="2"/>
  <c r="D103" i="2"/>
  <c r="G102" i="2"/>
  <c r="F102" i="2"/>
  <c r="E102" i="2"/>
  <c r="D102" i="2"/>
  <c r="G101" i="2"/>
  <c r="F101" i="2"/>
  <c r="E101" i="2"/>
  <c r="D101" i="2"/>
  <c r="G100" i="2"/>
  <c r="F100" i="2"/>
  <c r="E100" i="2"/>
  <c r="D100" i="2"/>
  <c r="G99" i="2"/>
  <c r="F99" i="2"/>
  <c r="E99" i="2"/>
  <c r="D99" i="2"/>
  <c r="G98" i="2"/>
  <c r="F98" i="2"/>
  <c r="E98" i="2"/>
  <c r="D98" i="2"/>
  <c r="G97" i="2"/>
  <c r="F97" i="2"/>
  <c r="E97" i="2"/>
  <c r="D97" i="2"/>
  <c r="G96" i="2"/>
  <c r="F96" i="2"/>
  <c r="E96" i="2"/>
  <c r="D96" i="2"/>
  <c r="G95" i="2"/>
  <c r="F95" i="2"/>
  <c r="E95" i="2"/>
  <c r="D95" i="2"/>
  <c r="G94" i="2"/>
  <c r="F94" i="2"/>
  <c r="E94" i="2"/>
  <c r="D94" i="2"/>
  <c r="G93" i="2"/>
  <c r="F93" i="2"/>
  <c r="E93" i="2"/>
  <c r="D93" i="2"/>
  <c r="G92" i="2"/>
  <c r="F92" i="2"/>
  <c r="E92" i="2"/>
  <c r="D92" i="2"/>
  <c r="G91" i="2"/>
  <c r="F91" i="2"/>
  <c r="E91" i="2"/>
  <c r="D91" i="2"/>
  <c r="G90" i="2"/>
  <c r="F90" i="2"/>
  <c r="E90" i="2"/>
  <c r="D90" i="2"/>
  <c r="G89" i="2"/>
  <c r="F89" i="2"/>
  <c r="E89" i="2"/>
  <c r="D89" i="2"/>
  <c r="G88" i="2"/>
  <c r="F88" i="2"/>
  <c r="E88" i="2"/>
  <c r="D88" i="2"/>
  <c r="G87" i="2"/>
  <c r="F87" i="2"/>
  <c r="E87" i="2"/>
  <c r="D87" i="2"/>
  <c r="G86" i="2"/>
  <c r="F86" i="2"/>
  <c r="E86" i="2"/>
  <c r="D86" i="2"/>
  <c r="G85" i="2"/>
  <c r="F85" i="2"/>
  <c r="E85" i="2"/>
  <c r="D85" i="2"/>
  <c r="G84" i="2"/>
  <c r="F84" i="2"/>
  <c r="E84" i="2"/>
  <c r="D84" i="2"/>
  <c r="G83" i="2"/>
  <c r="F83" i="2"/>
  <c r="E83" i="2"/>
  <c r="D83" i="2"/>
  <c r="G82" i="2"/>
  <c r="F82" i="2"/>
  <c r="E82" i="2"/>
  <c r="D82" i="2"/>
  <c r="G81" i="2"/>
  <c r="F81" i="2"/>
  <c r="E81" i="2"/>
  <c r="D81" i="2"/>
  <c r="G80" i="2"/>
  <c r="F80" i="2"/>
  <c r="E80" i="2"/>
  <c r="D80" i="2"/>
  <c r="G79" i="2"/>
  <c r="F79" i="2"/>
  <c r="E79" i="2"/>
  <c r="D79" i="2"/>
  <c r="G78" i="2"/>
  <c r="F78" i="2"/>
  <c r="E78" i="2"/>
  <c r="D78" i="2"/>
  <c r="G77" i="2"/>
  <c r="F77" i="2"/>
  <c r="E77" i="2"/>
  <c r="D77" i="2"/>
  <c r="G76" i="2"/>
  <c r="F76" i="2"/>
  <c r="E76" i="2"/>
  <c r="D76" i="2"/>
  <c r="G75" i="2"/>
  <c r="F75" i="2"/>
  <c r="E75" i="2"/>
  <c r="D75" i="2"/>
  <c r="G74" i="2"/>
  <c r="F74" i="2"/>
  <c r="E74" i="2"/>
  <c r="D74" i="2"/>
  <c r="G73" i="2"/>
  <c r="F73" i="2"/>
  <c r="E73" i="2"/>
  <c r="D73" i="2"/>
  <c r="G72" i="2"/>
  <c r="F72" i="2"/>
  <c r="E72" i="2"/>
  <c r="D72" i="2"/>
  <c r="G71" i="2"/>
  <c r="F71" i="2"/>
  <c r="E71" i="2"/>
  <c r="D71" i="2"/>
  <c r="G70" i="2"/>
  <c r="F70" i="2"/>
  <c r="E70" i="2"/>
  <c r="D70" i="2"/>
  <c r="G69" i="2"/>
  <c r="F69" i="2"/>
  <c r="E69" i="2"/>
  <c r="D69" i="2"/>
  <c r="G68" i="2"/>
  <c r="F68" i="2"/>
  <c r="E68" i="2"/>
  <c r="D68" i="2"/>
  <c r="G67" i="2"/>
  <c r="F67" i="2"/>
  <c r="E67" i="2"/>
  <c r="D67" i="2"/>
  <c r="G66" i="2"/>
  <c r="F66" i="2"/>
  <c r="E66" i="2"/>
  <c r="D66" i="2"/>
  <c r="G65" i="2"/>
  <c r="F65" i="2"/>
  <c r="E65" i="2"/>
  <c r="D65" i="2"/>
  <c r="G64" i="2"/>
  <c r="F64" i="2"/>
  <c r="E64" i="2"/>
  <c r="D64" i="2"/>
  <c r="G63" i="2"/>
  <c r="F63" i="2"/>
  <c r="E63" i="2"/>
  <c r="D63" i="2"/>
  <c r="G62" i="2"/>
  <c r="F62" i="2"/>
  <c r="E62" i="2"/>
  <c r="D62" i="2"/>
  <c r="G61" i="2"/>
  <c r="F61" i="2"/>
  <c r="E61" i="2"/>
  <c r="D61" i="2"/>
  <c r="G60" i="2"/>
  <c r="F60" i="2"/>
  <c r="E60" i="2"/>
  <c r="D60" i="2"/>
  <c r="G59" i="2"/>
  <c r="F59" i="2"/>
  <c r="E59" i="2"/>
  <c r="D59" i="2"/>
  <c r="G58" i="2"/>
  <c r="F58" i="2"/>
  <c r="E58" i="2"/>
  <c r="D58" i="2"/>
  <c r="G57" i="2"/>
  <c r="F57" i="2"/>
  <c r="E57" i="2"/>
  <c r="D57" i="2"/>
  <c r="G56" i="2"/>
  <c r="F56" i="2"/>
  <c r="E56" i="2"/>
  <c r="D56" i="2"/>
  <c r="G55" i="2"/>
  <c r="F55" i="2"/>
  <c r="E55" i="2"/>
  <c r="D55" i="2"/>
  <c r="G54" i="2"/>
  <c r="F54" i="2"/>
  <c r="E54" i="2"/>
  <c r="D54" i="2"/>
  <c r="G53" i="2"/>
  <c r="F53" i="2"/>
  <c r="E53" i="2"/>
  <c r="D53" i="2"/>
  <c r="G52" i="2"/>
  <c r="F52" i="2"/>
  <c r="E52" i="2"/>
  <c r="D52" i="2"/>
  <c r="G51" i="2"/>
  <c r="F51" i="2"/>
  <c r="E51" i="2"/>
  <c r="D51" i="2"/>
  <c r="G50" i="2"/>
  <c r="F50" i="2"/>
  <c r="E50" i="2"/>
  <c r="D50" i="2"/>
  <c r="G49" i="2"/>
  <c r="F49" i="2"/>
  <c r="E49" i="2"/>
  <c r="D49" i="2"/>
  <c r="G48" i="2"/>
  <c r="F48" i="2"/>
  <c r="E48" i="2"/>
  <c r="D48" i="2"/>
  <c r="G47" i="2"/>
  <c r="F47" i="2"/>
  <c r="E47" i="2"/>
  <c r="D47" i="2"/>
  <c r="G46" i="2"/>
  <c r="F46" i="2"/>
  <c r="E46" i="2"/>
  <c r="D46" i="2"/>
  <c r="G45" i="2"/>
  <c r="F45" i="2"/>
  <c r="E45" i="2"/>
  <c r="D45" i="2"/>
  <c r="G44" i="2"/>
  <c r="F44" i="2"/>
  <c r="E44" i="2"/>
  <c r="D44" i="2"/>
  <c r="G43" i="2"/>
  <c r="F43" i="2"/>
  <c r="E43" i="2"/>
  <c r="D43" i="2"/>
  <c r="G42" i="2"/>
  <c r="F42" i="2"/>
  <c r="E42" i="2"/>
  <c r="D42" i="2"/>
  <c r="G41" i="2"/>
  <c r="F41" i="2"/>
  <c r="E41" i="2"/>
  <c r="D41" i="2"/>
  <c r="G40" i="2"/>
  <c r="F40" i="2"/>
  <c r="E40" i="2"/>
  <c r="D40" i="2"/>
  <c r="G39" i="2"/>
  <c r="F39" i="2"/>
  <c r="E39" i="2"/>
  <c r="D39" i="2"/>
  <c r="G38" i="2"/>
  <c r="F38" i="2"/>
  <c r="E38" i="2"/>
  <c r="D38" i="2"/>
  <c r="G37" i="2"/>
  <c r="F37" i="2"/>
  <c r="E37" i="2"/>
  <c r="D37" i="2"/>
  <c r="G36" i="2"/>
  <c r="F36" i="2"/>
  <c r="E36" i="2"/>
  <c r="D36" i="2"/>
  <c r="G35" i="2"/>
  <c r="F35" i="2"/>
  <c r="E35" i="2"/>
  <c r="D35" i="2"/>
  <c r="G34" i="2"/>
  <c r="F34" i="2"/>
  <c r="E34" i="2"/>
  <c r="D34" i="2"/>
  <c r="G33" i="2"/>
  <c r="F33" i="2"/>
  <c r="E33" i="2"/>
  <c r="D33" i="2"/>
  <c r="G32" i="2"/>
  <c r="F32" i="2"/>
  <c r="E32" i="2"/>
  <c r="D32" i="2"/>
  <c r="G31" i="2"/>
  <c r="F31" i="2"/>
  <c r="E31" i="2"/>
  <c r="D31" i="2"/>
  <c r="G30" i="2"/>
  <c r="F30" i="2"/>
  <c r="E30" i="2"/>
  <c r="D30" i="2"/>
  <c r="G29" i="2"/>
  <c r="F29" i="2"/>
  <c r="E29" i="2"/>
  <c r="D29" i="2"/>
  <c r="G28" i="2"/>
  <c r="F28" i="2"/>
  <c r="E28" i="2"/>
  <c r="D28" i="2"/>
  <c r="G27" i="2"/>
  <c r="F27" i="2"/>
  <c r="E27" i="2"/>
  <c r="D27" i="2"/>
  <c r="G26" i="2"/>
  <c r="F26" i="2"/>
  <c r="E26" i="2"/>
  <c r="D26" i="2"/>
  <c r="G25" i="2"/>
  <c r="F25" i="2"/>
  <c r="E25" i="2"/>
  <c r="D25" i="2"/>
  <c r="G24" i="2"/>
  <c r="F24" i="2"/>
  <c r="E24" i="2"/>
  <c r="D24" i="2"/>
  <c r="G23" i="2"/>
  <c r="F23" i="2"/>
  <c r="E23" i="2"/>
  <c r="D23" i="2"/>
  <c r="G22" i="2"/>
  <c r="F22" i="2"/>
  <c r="E22" i="2"/>
  <c r="D22" i="2"/>
  <c r="G21" i="2"/>
  <c r="F21" i="2"/>
  <c r="E21" i="2"/>
  <c r="D21" i="2"/>
  <c r="G20" i="2"/>
  <c r="F20" i="2"/>
  <c r="E20" i="2"/>
  <c r="D20" i="2"/>
  <c r="G19" i="2"/>
  <c r="F19" i="2"/>
  <c r="E19" i="2"/>
  <c r="D19" i="2"/>
  <c r="G18" i="2"/>
  <c r="F18" i="2"/>
  <c r="E18" i="2"/>
  <c r="D18" i="2"/>
  <c r="G17" i="2"/>
  <c r="F17" i="2"/>
  <c r="E17" i="2"/>
  <c r="D17" i="2"/>
  <c r="G16" i="2"/>
  <c r="F16" i="2"/>
  <c r="E16" i="2"/>
  <c r="D16" i="2"/>
  <c r="G15" i="2"/>
  <c r="F15" i="2"/>
  <c r="E15" i="2"/>
  <c r="D15" i="2"/>
  <c r="G14" i="2"/>
  <c r="F14" i="2"/>
  <c r="E14" i="2"/>
  <c r="D14" i="2"/>
  <c r="G13" i="2"/>
  <c r="F13" i="2"/>
  <c r="E13" i="2"/>
  <c r="D13" i="2"/>
  <c r="G12" i="2"/>
  <c r="F12" i="2"/>
  <c r="E12" i="2"/>
  <c r="D12" i="2"/>
  <c r="G11" i="2"/>
  <c r="F11" i="2"/>
  <c r="E11" i="2"/>
  <c r="D11" i="2"/>
  <c r="G10" i="2"/>
  <c r="F10" i="2"/>
  <c r="E10" i="2"/>
  <c r="D10" i="2"/>
  <c r="G9" i="2"/>
  <c r="F9" i="2"/>
  <c r="E9" i="2"/>
  <c r="D9" i="2"/>
  <c r="G8" i="2"/>
  <c r="F8" i="2"/>
  <c r="E8" i="2"/>
  <c r="D8" i="2"/>
  <c r="G7" i="2"/>
  <c r="F7" i="2"/>
  <c r="E7" i="2"/>
  <c r="D7" i="2"/>
  <c r="G6" i="2"/>
  <c r="F6" i="2"/>
  <c r="E6" i="2"/>
  <c r="D6" i="2"/>
  <c r="G5" i="2"/>
  <c r="F5" i="2"/>
  <c r="E5" i="2"/>
  <c r="D5" i="2"/>
  <c r="G4" i="2"/>
  <c r="F4" i="2"/>
  <c r="E4" i="2"/>
  <c r="D4" i="2"/>
  <c r="G3" i="2"/>
  <c r="F3" i="2"/>
  <c r="E3" i="2"/>
  <c r="D3" i="2"/>
  <c r="G2" i="2"/>
  <c r="F2" i="2"/>
  <c r="E2" i="2"/>
  <c r="D2" i="2"/>
  <c r="O65" i="1"/>
  <c r="K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AB29" i="1"/>
  <c r="O29" i="1"/>
  <c r="O28" i="1"/>
  <c r="O27" i="1"/>
  <c r="O26" i="1"/>
  <c r="K17" i="1"/>
  <c r="B9" i="1"/>
  <c r="N5" i="1"/>
  <c r="I3" i="1"/>
  <c r="AF2" i="1"/>
  <c r="AE2" i="1"/>
  <c r="AD2" i="1"/>
  <c r="V9" i="1" s="1"/>
  <c r="AC2" i="1"/>
  <c r="AB2" i="1"/>
  <c r="I5" i="1" s="1"/>
  <c r="AA2" i="1"/>
  <c r="S22" i="1" s="1"/>
  <c r="Z2" i="1"/>
  <c r="Y2" i="1"/>
  <c r="N3" i="1" s="1"/>
  <c r="X2" i="1"/>
  <c r="W2" i="1"/>
  <c r="V2" i="1"/>
  <c r="U2" i="1"/>
  <c r="M12" i="1" s="1"/>
  <c r="T2" i="1"/>
  <c r="S2" i="1"/>
  <c r="R2" i="1"/>
  <c r="Q2" i="1"/>
  <c r="B33" i="1" s="1"/>
  <c r="C33" i="1" s="1"/>
  <c r="P2" i="1"/>
  <c r="O2" i="1"/>
  <c r="B29" i="1" s="1"/>
  <c r="C29" i="1" s="1"/>
  <c r="F23" i="1" s="1"/>
  <c r="N2" i="1"/>
  <c r="M2" i="1"/>
  <c r="B25" i="1" s="1"/>
  <c r="C25" i="1" s="1"/>
  <c r="L2" i="1"/>
  <c r="K2" i="1"/>
  <c r="B21" i="1" s="1"/>
  <c r="C21" i="1" s="1"/>
  <c r="F11" i="1" s="1"/>
  <c r="J2" i="1"/>
  <c r="I2" i="1"/>
  <c r="B17" i="1" s="1"/>
  <c r="C17" i="1" s="1"/>
  <c r="H2" i="1"/>
  <c r="G2" i="1"/>
  <c r="B13" i="1" s="1"/>
  <c r="C13" i="1" s="1"/>
  <c r="F2" i="1"/>
  <c r="U3" i="1" s="1"/>
  <c r="E2" i="1"/>
  <c r="D2" i="1"/>
  <c r="C2" i="1"/>
  <c r="B3" i="1" s="1"/>
  <c r="B2" i="1"/>
  <c r="K25" i="1" s="1"/>
  <c r="A2" i="1"/>
  <c r="U5" i="1" l="1" a="1"/>
  <c r="U5" i="1" s="1"/>
  <c r="A19" i="9"/>
  <c r="A67" i="9"/>
  <c r="A115" i="9"/>
  <c r="A163" i="9"/>
  <c r="A211" i="9"/>
  <c r="A259" i="9"/>
  <c r="A307" i="9"/>
  <c r="A355" i="9"/>
  <c r="A403" i="9"/>
  <c r="A451" i="9"/>
  <c r="A499" i="9"/>
  <c r="A547" i="9"/>
  <c r="A595" i="9"/>
  <c r="A643" i="9"/>
  <c r="A691" i="9"/>
  <c r="A739" i="9"/>
  <c r="A787" i="9"/>
  <c r="A835" i="9"/>
  <c r="A883" i="9"/>
  <c r="A931" i="9"/>
  <c r="A979" i="9"/>
  <c r="I241" i="9"/>
  <c r="I962" i="9"/>
  <c r="Q106" i="9"/>
  <c r="Q237" i="9"/>
  <c r="Q368" i="9"/>
  <c r="Q512" i="9"/>
  <c r="Q654" i="9"/>
  <c r="Q772" i="9"/>
  <c r="Q916" i="9"/>
  <c r="AF1" i="11"/>
  <c r="CL1" i="11"/>
  <c r="EQ1" i="11"/>
  <c r="GW1" i="11"/>
  <c r="JB1" i="11"/>
  <c r="LO1" i="11"/>
  <c r="OA1" i="11"/>
  <c r="QL1" i="11"/>
  <c r="SY1" i="11"/>
  <c r="VK1" i="11"/>
  <c r="XV1" i="11"/>
  <c r="AAI1" i="11"/>
  <c r="ACU1" i="11"/>
  <c r="AFN1" i="11"/>
  <c r="AIH1" i="11"/>
  <c r="ALK1" i="11"/>
  <c r="A20" i="9"/>
  <c r="A68" i="9"/>
  <c r="A116" i="9"/>
  <c r="A164" i="9"/>
  <c r="A212" i="9"/>
  <c r="A260" i="9"/>
  <c r="A308" i="9"/>
  <c r="A356" i="9"/>
  <c r="A404" i="9"/>
  <c r="A452" i="9"/>
  <c r="A500" i="9"/>
  <c r="A548" i="9"/>
  <c r="A596" i="9"/>
  <c r="A644" i="9"/>
  <c r="A692" i="9"/>
  <c r="A740" i="9"/>
  <c r="A788" i="9"/>
  <c r="A836" i="9"/>
  <c r="A884" i="9"/>
  <c r="A932" i="9"/>
  <c r="A980" i="9"/>
  <c r="I326" i="9"/>
  <c r="I976" i="9"/>
  <c r="Q119" i="9"/>
  <c r="Q262" i="9"/>
  <c r="Q380" i="9"/>
  <c r="Q524" i="9"/>
  <c r="Q656" i="9"/>
  <c r="Q786" i="9"/>
  <c r="Q917" i="9"/>
  <c r="AG1" i="11"/>
  <c r="CM1" i="11"/>
  <c r="ES1" i="11"/>
  <c r="GY1" i="11"/>
  <c r="JE1" i="11"/>
  <c r="LR1" i="11"/>
  <c r="OC1" i="11"/>
  <c r="QO1" i="11"/>
  <c r="TB1" i="11"/>
  <c r="VM1" i="11"/>
  <c r="XY1" i="11"/>
  <c r="AAL1" i="11"/>
  <c r="ACW1" i="11"/>
  <c r="AFP1" i="11"/>
  <c r="AIJ1" i="11"/>
  <c r="A30" i="9"/>
  <c r="A78" i="9"/>
  <c r="A126" i="9"/>
  <c r="A174" i="9"/>
  <c r="A222" i="9"/>
  <c r="A270" i="9"/>
  <c r="A318" i="9"/>
  <c r="A366" i="9"/>
  <c r="A414" i="9"/>
  <c r="A462" i="9"/>
  <c r="A510" i="9"/>
  <c r="A558" i="9"/>
  <c r="A606" i="9"/>
  <c r="A654" i="9"/>
  <c r="A702" i="9"/>
  <c r="A750" i="9"/>
  <c r="A798" i="9"/>
  <c r="A846" i="9"/>
  <c r="A894" i="9"/>
  <c r="A942" i="9"/>
  <c r="A990" i="9"/>
  <c r="I385" i="9"/>
  <c r="Q131" i="9"/>
  <c r="Q263" i="9"/>
  <c r="Q394" i="9"/>
  <c r="Q525" i="9"/>
  <c r="Q669" i="9"/>
  <c r="Q812" i="9"/>
  <c r="AI1" i="11"/>
  <c r="CP1" i="11"/>
  <c r="EV1" i="11"/>
  <c r="HB1" i="11"/>
  <c r="JJ1" i="11"/>
  <c r="LU1" i="11"/>
  <c r="OG1" i="11"/>
  <c r="QT1" i="11"/>
  <c r="TE1" i="11"/>
  <c r="VQ1" i="11"/>
  <c r="YD1" i="11"/>
  <c r="AAO1" i="11"/>
  <c r="ADA1" i="11"/>
  <c r="AFU1" i="11"/>
  <c r="AIO1" i="11"/>
  <c r="A31" i="9"/>
  <c r="A79" i="9"/>
  <c r="A127" i="9"/>
  <c r="A175" i="9"/>
  <c r="A223" i="9"/>
  <c r="A271" i="9"/>
  <c r="A319" i="9"/>
  <c r="A367" i="9"/>
  <c r="A415" i="9"/>
  <c r="A463" i="9"/>
  <c r="A511" i="9"/>
  <c r="A559" i="9"/>
  <c r="A607" i="9"/>
  <c r="A655" i="9"/>
  <c r="A703" i="9"/>
  <c r="A751" i="9"/>
  <c r="A799" i="9"/>
  <c r="A847" i="9"/>
  <c r="A895" i="9"/>
  <c r="A943" i="9"/>
  <c r="A991" i="9"/>
  <c r="Q994" i="9"/>
  <c r="Q957" i="9"/>
  <c r="Q878" i="9"/>
  <c r="Q800" i="9"/>
  <c r="Q721" i="9"/>
  <c r="Q642" i="9"/>
  <c r="Q564" i="9"/>
  <c r="Q485" i="9"/>
  <c r="Q407" i="9"/>
  <c r="Q328" i="9"/>
  <c r="Q250" i="9"/>
  <c r="Q171" i="9"/>
  <c r="Q93" i="9"/>
  <c r="Q14" i="9"/>
  <c r="Q956" i="9"/>
  <c r="Q877" i="9"/>
  <c r="Q798" i="9"/>
  <c r="Q720" i="9"/>
  <c r="Q641" i="9"/>
  <c r="Q563" i="9"/>
  <c r="Q484" i="9"/>
  <c r="Q406" i="9"/>
  <c r="Q327" i="9"/>
  <c r="Q249" i="9"/>
  <c r="Q170" i="9"/>
  <c r="Q92" i="9"/>
  <c r="Q13" i="9"/>
  <c r="Q942" i="9"/>
  <c r="Q864" i="9"/>
  <c r="Q785" i="9"/>
  <c r="Q707" i="9"/>
  <c r="Q628" i="9"/>
  <c r="Q550" i="9"/>
  <c r="Q471" i="9"/>
  <c r="Q393" i="9"/>
  <c r="Q314" i="9"/>
  <c r="Q236" i="9"/>
  <c r="Q157" i="9"/>
  <c r="Q78" i="9"/>
  <c r="Q2" i="9"/>
  <c r="Q930" i="9"/>
  <c r="Q852" i="9"/>
  <c r="Q773" i="9"/>
  <c r="Q695" i="9"/>
  <c r="Q616" i="9"/>
  <c r="Q538" i="9"/>
  <c r="Q459" i="9"/>
  <c r="Q381" i="9"/>
  <c r="Q302" i="9"/>
  <c r="Q224" i="9"/>
  <c r="Q145" i="9"/>
  <c r="Q66" i="9"/>
  <c r="Q982" i="9"/>
  <c r="Q903" i="9"/>
  <c r="Q825" i="9"/>
  <c r="Q746" i="9"/>
  <c r="Q668" i="9"/>
  <c r="Q589" i="9"/>
  <c r="Q510" i="9"/>
  <c r="Q432" i="9"/>
  <c r="Q353" i="9"/>
  <c r="Q275" i="9"/>
  <c r="Q196" i="9"/>
  <c r="Q118" i="9"/>
  <c r="Q39" i="9"/>
  <c r="Q132" i="9"/>
  <c r="Q276" i="9"/>
  <c r="Q419" i="9"/>
  <c r="Q537" i="9"/>
  <c r="Q681" i="9"/>
  <c r="Q813" i="9"/>
  <c r="Q944" i="9"/>
  <c r="AO1" i="11"/>
  <c r="CS1" i="11"/>
  <c r="EX1" i="11"/>
  <c r="HD1" i="11"/>
  <c r="JL1" i="11"/>
  <c r="LW1" i="11"/>
  <c r="OK1" i="11"/>
  <c r="QV1" i="11"/>
  <c r="TG1" i="11"/>
  <c r="VU1" i="11"/>
  <c r="YF1" i="11"/>
  <c r="AAQ1" i="11"/>
  <c r="ADE1" i="11"/>
  <c r="AFY1" i="11"/>
  <c r="AIS1" i="11"/>
  <c r="A32" i="9"/>
  <c r="A80" i="9"/>
  <c r="A128" i="9"/>
  <c r="A176" i="9"/>
  <c r="A224" i="9"/>
  <c r="A272" i="9"/>
  <c r="A320" i="9"/>
  <c r="A368" i="9"/>
  <c r="A416" i="9"/>
  <c r="A464" i="9"/>
  <c r="A512" i="9"/>
  <c r="A560" i="9"/>
  <c r="A608" i="9"/>
  <c r="A656" i="9"/>
  <c r="A704" i="9"/>
  <c r="A752" i="9"/>
  <c r="A800" i="9"/>
  <c r="A848" i="9"/>
  <c r="A896" i="9"/>
  <c r="A944" i="9"/>
  <c r="A992" i="9"/>
  <c r="I470" i="9"/>
  <c r="Q26" i="9"/>
  <c r="Q144" i="9"/>
  <c r="Q288" i="9"/>
  <c r="Q420" i="9"/>
  <c r="Q551" i="9"/>
  <c r="Q682" i="9"/>
  <c r="Q826" i="9"/>
  <c r="Q969" i="9"/>
  <c r="AY1" i="11"/>
  <c r="DE1" i="11"/>
  <c r="FJ1" i="11"/>
  <c r="HP1" i="11"/>
  <c r="JY1" i="11"/>
  <c r="MK1" i="11"/>
  <c r="OX1" i="11"/>
  <c r="RI1" i="11"/>
  <c r="TU1" i="11"/>
  <c r="WH1" i="11"/>
  <c r="YS1" i="11"/>
  <c r="ABE1" i="11"/>
  <c r="ADS1" i="11"/>
  <c r="AGM1" i="11"/>
  <c r="AJH1" i="11"/>
  <c r="AC2" i="12" a="1"/>
  <c r="AC2" i="12" s="1"/>
  <c r="AA2" i="12" a="1"/>
  <c r="AA2" i="12" s="1"/>
  <c r="Z2" i="12"/>
  <c r="E2" i="12" a="1"/>
  <c r="E2" i="12" s="1"/>
  <c r="D2" i="12" a="1"/>
  <c r="D2" i="12" s="1"/>
  <c r="A42" i="9"/>
  <c r="A90" i="9"/>
  <c r="A138" i="9"/>
  <c r="A186" i="9"/>
  <c r="A234" i="9"/>
  <c r="A282" i="9"/>
  <c r="A330" i="9"/>
  <c r="A378" i="9"/>
  <c r="A426" i="9"/>
  <c r="A474" i="9"/>
  <c r="A522" i="9"/>
  <c r="A570" i="9"/>
  <c r="A618" i="9"/>
  <c r="A666" i="9"/>
  <c r="A714" i="9"/>
  <c r="A762" i="9"/>
  <c r="A810" i="9"/>
  <c r="A858" i="9"/>
  <c r="A906" i="9"/>
  <c r="A954" i="9"/>
  <c r="Q27" i="9"/>
  <c r="Q158" i="9"/>
  <c r="Q289" i="9"/>
  <c r="Q433" i="9"/>
  <c r="Q576" i="9"/>
  <c r="Q694" i="9"/>
  <c r="Q838" i="9"/>
  <c r="Q970" i="9"/>
  <c r="BA1" i="11"/>
  <c r="DG1" i="11"/>
  <c r="FK1" i="11"/>
  <c r="HQ1" i="11"/>
  <c r="JZ1" i="11"/>
  <c r="MM1" i="11"/>
  <c r="OY1" i="11"/>
  <c r="RJ1" i="11"/>
  <c r="TW1" i="11"/>
  <c r="WI1" i="11"/>
  <c r="YT1" i="11"/>
  <c r="ABG1" i="11"/>
  <c r="ADT1" i="11"/>
  <c r="AGN1" i="11"/>
  <c r="AJI1" i="11"/>
  <c r="A43" i="9"/>
  <c r="A91" i="9"/>
  <c r="A139" i="9"/>
  <c r="A187" i="9"/>
  <c r="A235" i="9"/>
  <c r="A283" i="9"/>
  <c r="A331" i="9"/>
  <c r="A379" i="9"/>
  <c r="A427" i="9"/>
  <c r="A475" i="9"/>
  <c r="A523" i="9"/>
  <c r="A571" i="9"/>
  <c r="A619" i="9"/>
  <c r="A667" i="9"/>
  <c r="A715" i="9"/>
  <c r="A763" i="9"/>
  <c r="A811" i="9"/>
  <c r="A859" i="9"/>
  <c r="A907" i="9"/>
  <c r="A955" i="9"/>
  <c r="I937" i="9"/>
  <c r="I745" i="9"/>
  <c r="I313" i="9"/>
  <c r="I686" i="9"/>
  <c r="I254" i="9"/>
  <c r="I614" i="9"/>
  <c r="I182" i="9"/>
  <c r="I601" i="9"/>
  <c r="I830" i="9"/>
  <c r="I398" i="9"/>
  <c r="I542" i="9"/>
  <c r="Q40" i="9"/>
  <c r="Q183" i="9"/>
  <c r="Q301" i="9"/>
  <c r="Q445" i="9"/>
  <c r="Q577" i="9"/>
  <c r="Q708" i="9"/>
  <c r="Q839" i="9"/>
  <c r="Q983" i="9"/>
  <c r="BD1" i="11"/>
  <c r="DJ1" i="11"/>
  <c r="FO1" i="11"/>
  <c r="HS1" i="11"/>
  <c r="KC1" i="11"/>
  <c r="MP1" i="11"/>
  <c r="PA1" i="11"/>
  <c r="RM1" i="11"/>
  <c r="TZ1" i="11"/>
  <c r="WK1" i="11"/>
  <c r="YW1" i="11"/>
  <c r="ABJ1" i="11"/>
  <c r="ADW1" i="11"/>
  <c r="AGQ1" i="11"/>
  <c r="AB2" i="12" a="1"/>
  <c r="AB2" i="12" s="1"/>
  <c r="A44" i="9"/>
  <c r="A92" i="9"/>
  <c r="A140" i="9"/>
  <c r="A188" i="9"/>
  <c r="A236" i="9"/>
  <c r="A284" i="9"/>
  <c r="A332" i="9"/>
  <c r="A380" i="9"/>
  <c r="A428" i="9"/>
  <c r="A476" i="9"/>
  <c r="A524" i="9"/>
  <c r="A572" i="9"/>
  <c r="A620" i="9"/>
  <c r="A668" i="9"/>
  <c r="A716" i="9"/>
  <c r="A764" i="9"/>
  <c r="A812" i="9"/>
  <c r="A860" i="9"/>
  <c r="A908" i="9"/>
  <c r="A956" i="9"/>
  <c r="I25" i="9"/>
  <c r="I673" i="9"/>
  <c r="Q52" i="9"/>
  <c r="Q184" i="9"/>
  <c r="Q315" i="9"/>
  <c r="Q446" i="9"/>
  <c r="Q590" i="9"/>
  <c r="Q733" i="9"/>
  <c r="Q851" i="9"/>
  <c r="Q995" i="9"/>
  <c r="ALL1" i="11"/>
  <c r="ALI1" i="11"/>
  <c r="AKO1" i="11"/>
  <c r="AJS1" i="11"/>
  <c r="AIW1" i="11"/>
  <c r="AIG1" i="11"/>
  <c r="AHM1" i="11"/>
  <c r="AGW1" i="11"/>
  <c r="AGC1" i="11"/>
  <c r="AFM1" i="11"/>
  <c r="AES1" i="11"/>
  <c r="AEC1" i="11"/>
  <c r="ADI1" i="11"/>
  <c r="ACT1" i="11"/>
  <c r="ACC1" i="11"/>
  <c r="ABM1" i="11"/>
  <c r="AAX1" i="11"/>
  <c r="AAG1" i="11"/>
  <c r="ZQ1" i="11"/>
  <c r="ZB1" i="11"/>
  <c r="YK1" i="11"/>
  <c r="XU1" i="11"/>
  <c r="XF1" i="11"/>
  <c r="WO1" i="11"/>
  <c r="VY1" i="11"/>
  <c r="VJ1" i="11"/>
  <c r="US1" i="11"/>
  <c r="UC1" i="11"/>
  <c r="TN1" i="11"/>
  <c r="SW1" i="11"/>
  <c r="SG1" i="11"/>
  <c r="RR1" i="11"/>
  <c r="RA1" i="11"/>
  <c r="QK1" i="11"/>
  <c r="PV1" i="11"/>
  <c r="PE1" i="11"/>
  <c r="OO1" i="11"/>
  <c r="NZ1" i="11"/>
  <c r="NI1" i="11"/>
  <c r="MS1" i="11"/>
  <c r="MD1" i="11"/>
  <c r="LM1" i="11"/>
  <c r="KW1" i="11"/>
  <c r="KH1" i="11"/>
  <c r="JQ1" i="11"/>
  <c r="JA1" i="11"/>
  <c r="IL1" i="11"/>
  <c r="HU1" i="11"/>
  <c r="HE1" i="11"/>
  <c r="GP1" i="11"/>
  <c r="FY1" i="11"/>
  <c r="FI1" i="11"/>
  <c r="ET1" i="11"/>
  <c r="EC1" i="11"/>
  <c r="DM1" i="11"/>
  <c r="CX1" i="11"/>
  <c r="CG1" i="11"/>
  <c r="BQ1" i="11"/>
  <c r="BB1" i="11"/>
  <c r="AK1" i="11"/>
  <c r="U1" i="11"/>
  <c r="F1" i="11"/>
  <c r="AKW1" i="11"/>
  <c r="AKC1" i="11"/>
  <c r="AJG1" i="11"/>
  <c r="AIM1" i="11"/>
  <c r="AHV1" i="11"/>
  <c r="AHC1" i="11"/>
  <c r="AGL1" i="11"/>
  <c r="AFS1" i="11"/>
  <c r="AFB1" i="11"/>
  <c r="AEI1" i="11"/>
  <c r="ADR1" i="11"/>
  <c r="ACY1" i="11"/>
  <c r="ACJ1" i="11"/>
  <c r="ABU1" i="11"/>
  <c r="ABC1" i="11"/>
  <c r="AAN1" i="11"/>
  <c r="ZY1" i="11"/>
  <c r="ZG1" i="11"/>
  <c r="YR1" i="11"/>
  <c r="YC1" i="11"/>
  <c r="XK1" i="11"/>
  <c r="WV1" i="11"/>
  <c r="WG1" i="11"/>
  <c r="VO1" i="11"/>
  <c r="UZ1" i="11"/>
  <c r="UK1" i="11"/>
  <c r="TS1" i="11"/>
  <c r="TD1" i="11"/>
  <c r="SO1" i="11"/>
  <c r="RW1" i="11"/>
  <c r="RH1" i="11"/>
  <c r="QS1" i="11"/>
  <c r="QA1" i="11"/>
  <c r="PL1" i="11"/>
  <c r="OW1" i="11"/>
  <c r="OE1" i="11"/>
  <c r="NP1" i="11"/>
  <c r="NA1" i="11"/>
  <c r="MI1" i="11"/>
  <c r="LT1" i="11"/>
  <c r="LE1" i="11"/>
  <c r="KM1" i="11"/>
  <c r="JX1" i="11"/>
  <c r="JI1" i="11"/>
  <c r="IQ1" i="11"/>
  <c r="IB1" i="11"/>
  <c r="HM1" i="11"/>
  <c r="GU1" i="11"/>
  <c r="GF1" i="11"/>
  <c r="FQ1" i="11"/>
  <c r="EY1" i="11"/>
  <c r="EJ1" i="11"/>
  <c r="DU1" i="11"/>
  <c r="DC1" i="11"/>
  <c r="CN1" i="11"/>
  <c r="BY1" i="11"/>
  <c r="BG1" i="11"/>
  <c r="AR1" i="11"/>
  <c r="AC1" i="11"/>
  <c r="K1" i="11"/>
  <c r="AKQ1" i="11"/>
  <c r="AJU1" i="11"/>
  <c r="AJC1" i="11"/>
  <c r="AII1" i="11"/>
  <c r="AHQ1" i="11"/>
  <c r="AGY1" i="11"/>
  <c r="AGG1" i="11"/>
  <c r="AFO1" i="11"/>
  <c r="AEW1" i="11"/>
  <c r="AEE1" i="11"/>
  <c r="ADM1" i="11"/>
  <c r="ACV1" i="11"/>
  <c r="ACG1" i="11"/>
  <c r="ABO1" i="11"/>
  <c r="AAZ1" i="11"/>
  <c r="AAK1" i="11"/>
  <c r="ZS1" i="11"/>
  <c r="ZD1" i="11"/>
  <c r="YO1" i="11"/>
  <c r="XW1" i="11"/>
  <c r="XH1" i="11"/>
  <c r="WS1" i="11"/>
  <c r="WA1" i="11"/>
  <c r="VL1" i="11"/>
  <c r="UW1" i="11"/>
  <c r="UE1" i="11"/>
  <c r="TP1" i="11"/>
  <c r="TA1" i="11"/>
  <c r="SI1" i="11"/>
  <c r="RT1" i="11"/>
  <c r="RE1" i="11"/>
  <c r="QM1" i="11"/>
  <c r="PX1" i="11"/>
  <c r="PI1" i="11"/>
  <c r="OQ1" i="11"/>
  <c r="OB1" i="11"/>
  <c r="NM1" i="11"/>
  <c r="MU1" i="11"/>
  <c r="MF1" i="11"/>
  <c r="LQ1" i="11"/>
  <c r="KY1" i="11"/>
  <c r="KJ1" i="11"/>
  <c r="JU1" i="11"/>
  <c r="JC1" i="11"/>
  <c r="ALE1" i="11"/>
  <c r="AKF1" i="11"/>
  <c r="AJF1" i="11"/>
  <c r="AIE1" i="11"/>
  <c r="AHI1" i="11"/>
  <c r="AGK1" i="11"/>
  <c r="AFK1" i="11"/>
  <c r="AEO1" i="11"/>
  <c r="ADQ1" i="11"/>
  <c r="ACS1" i="11"/>
  <c r="ABX1" i="11"/>
  <c r="ABB1" i="11"/>
  <c r="AAE1" i="11"/>
  <c r="ZM1" i="11"/>
  <c r="YQ1" i="11"/>
  <c r="XT1" i="11"/>
  <c r="WY1" i="11"/>
  <c r="WE1" i="11"/>
  <c r="VI1" i="11"/>
  <c r="UN1" i="11"/>
  <c r="TR1" i="11"/>
  <c r="SU1" i="11"/>
  <c r="SC1" i="11"/>
  <c r="RG1" i="11"/>
  <c r="QJ1" i="11"/>
  <c r="PO1" i="11"/>
  <c r="OU1" i="11"/>
  <c r="NY1" i="11"/>
  <c r="ND1" i="11"/>
  <c r="MH1" i="11"/>
  <c r="LK1" i="11"/>
  <c r="KS1" i="11"/>
  <c r="JW1" i="11"/>
  <c r="IZ1" i="11"/>
  <c r="IG1" i="11"/>
  <c r="HO1" i="11"/>
  <c r="GT1" i="11"/>
  <c r="GC1" i="11"/>
  <c r="FH1" i="11"/>
  <c r="EO1" i="11"/>
  <c r="DW1" i="11"/>
  <c r="DB1" i="11"/>
  <c r="CK1" i="11"/>
  <c r="BP1" i="11"/>
  <c r="AW1" i="11"/>
  <c r="AE1" i="11"/>
  <c r="J1" i="11"/>
  <c r="ALD1" i="11"/>
  <c r="AKE1" i="11"/>
  <c r="AJE1" i="11"/>
  <c r="AIC1" i="11"/>
  <c r="AHG1" i="11"/>
  <c r="AGI1" i="11"/>
  <c r="AFI1" i="11"/>
  <c r="AEM1" i="11"/>
  <c r="ADO1" i="11"/>
  <c r="ACQ1" i="11"/>
  <c r="ABW1" i="11"/>
  <c r="ABA1" i="11"/>
  <c r="AAD1" i="11"/>
  <c r="ZK1" i="11"/>
  <c r="YP1" i="11"/>
  <c r="XS1" i="11"/>
  <c r="WX1" i="11"/>
  <c r="WC1" i="11"/>
  <c r="VG1" i="11"/>
  <c r="UM1" i="11"/>
  <c r="TQ1" i="11"/>
  <c r="ST1" i="11"/>
  <c r="SA1" i="11"/>
  <c r="RF1" i="11"/>
  <c r="QI1" i="11"/>
  <c r="PN1" i="11"/>
  <c r="OS1" i="11"/>
  <c r="NW1" i="11"/>
  <c r="NC1" i="11"/>
  <c r="MG1" i="11"/>
  <c r="LJ1" i="11"/>
  <c r="KQ1" i="11"/>
  <c r="JV1" i="11"/>
  <c r="IY1" i="11"/>
  <c r="IE1" i="11"/>
  <c r="HN1" i="11"/>
  <c r="GS1" i="11"/>
  <c r="GA1" i="11"/>
  <c r="FG1" i="11"/>
  <c r="EM1" i="11"/>
  <c r="DV1" i="11"/>
  <c r="DA1" i="11"/>
  <c r="CI1" i="11"/>
  <c r="BO1" i="11"/>
  <c r="AU1" i="11"/>
  <c r="AD1" i="11"/>
  <c r="I1" i="11"/>
  <c r="ALC1" i="11"/>
  <c r="AKD1" i="11"/>
  <c r="AJA1" i="11"/>
  <c r="AIA1" i="11"/>
  <c r="AHE1" i="11"/>
  <c r="AGE1" i="11"/>
  <c r="AFG1" i="11"/>
  <c r="AEK1" i="11"/>
  <c r="ADK1" i="11"/>
  <c r="ACO1" i="11"/>
  <c r="ABV1" i="11"/>
  <c r="AAY1" i="11"/>
  <c r="AAC1" i="11"/>
  <c r="ZI1" i="11"/>
  <c r="YM1" i="11"/>
  <c r="XR1" i="11"/>
  <c r="WW1" i="11"/>
  <c r="VZ1" i="11"/>
  <c r="VE1" i="11"/>
  <c r="UL1" i="11"/>
  <c r="TO1" i="11"/>
  <c r="SS1" i="11"/>
  <c r="RY1" i="11"/>
  <c r="RC1" i="11"/>
  <c r="QH1" i="11"/>
  <c r="PM1" i="11"/>
  <c r="OP1" i="11"/>
  <c r="NU1" i="11"/>
  <c r="NB1" i="11"/>
  <c r="ME1" i="11"/>
  <c r="LI1" i="11"/>
  <c r="KO1" i="11"/>
  <c r="JS1" i="11"/>
  <c r="IX1" i="11"/>
  <c r="ID1" i="11"/>
  <c r="HK1" i="11"/>
  <c r="GR1" i="11"/>
  <c r="FW1" i="11"/>
  <c r="FF1" i="11"/>
  <c r="EL1" i="11"/>
  <c r="DS1" i="11"/>
  <c r="CZ1" i="11"/>
  <c r="CE1" i="11"/>
  <c r="BN1" i="11"/>
  <c r="AT1" i="11"/>
  <c r="AA1" i="11"/>
  <c r="H1" i="11"/>
  <c r="ALB1" i="11"/>
  <c r="AKA1" i="11"/>
  <c r="AIV1" i="11"/>
  <c r="AHY1" i="11"/>
  <c r="AHA1" i="11"/>
  <c r="AGB1" i="11"/>
  <c r="AFE1" i="11"/>
  <c r="AEG1" i="11"/>
  <c r="ADH1" i="11"/>
  <c r="ACM1" i="11"/>
  <c r="ABS1" i="11"/>
  <c r="AAW1" i="11"/>
  <c r="AAB1" i="11"/>
  <c r="ZF1" i="11"/>
  <c r="YI1" i="11"/>
  <c r="XQ1" i="11"/>
  <c r="WU1" i="11"/>
  <c r="VX1" i="11"/>
  <c r="VC1" i="11"/>
  <c r="UI1" i="11"/>
  <c r="TM1" i="11"/>
  <c r="SR1" i="11"/>
  <c r="RV1" i="11"/>
  <c r="QY1" i="11"/>
  <c r="QG1" i="11"/>
  <c r="PK1" i="11"/>
  <c r="ON1" i="11"/>
  <c r="NS1" i="11"/>
  <c r="MY1" i="11"/>
  <c r="MC1" i="11"/>
  <c r="LH1" i="11"/>
  <c r="KL1" i="11"/>
  <c r="JO1" i="11"/>
  <c r="IW1" i="11"/>
  <c r="IC1" i="11"/>
  <c r="HI1" i="11"/>
  <c r="GQ1" i="11"/>
  <c r="FV1" i="11"/>
  <c r="FE1" i="11"/>
  <c r="EK1" i="11"/>
  <c r="DQ1" i="11"/>
  <c r="CY1" i="11"/>
  <c r="CD1" i="11"/>
  <c r="BM1" i="11"/>
  <c r="AS1" i="11"/>
  <c r="Y1" i="11"/>
  <c r="G1" i="11"/>
  <c r="ALA1" i="11"/>
  <c r="AJY1" i="11"/>
  <c r="AIU1" i="11"/>
  <c r="AHX1" i="11"/>
  <c r="AGZ1" i="11"/>
  <c r="AGA1" i="11"/>
  <c r="AFD1" i="11"/>
  <c r="AEF1" i="11"/>
  <c r="ADG1" i="11"/>
  <c r="ACL1" i="11"/>
  <c r="ABQ1" i="11"/>
  <c r="AAU1" i="11"/>
  <c r="AAA1" i="11"/>
  <c r="ZE1" i="11"/>
  <c r="YH1" i="11"/>
  <c r="XO1" i="11"/>
  <c r="WT1" i="11"/>
  <c r="VW1" i="11"/>
  <c r="VB1" i="11"/>
  <c r="UG1" i="11"/>
  <c r="TK1" i="11"/>
  <c r="SQ1" i="11"/>
  <c r="RU1" i="11"/>
  <c r="QX1" i="11"/>
  <c r="QE1" i="11"/>
  <c r="PJ1" i="11"/>
  <c r="OM1" i="11"/>
  <c r="NR1" i="11"/>
  <c r="MW1" i="11"/>
  <c r="MA1" i="11"/>
  <c r="LG1" i="11"/>
  <c r="KK1" i="11"/>
  <c r="JN1" i="11"/>
  <c r="IU1" i="11"/>
  <c r="IA1" i="11"/>
  <c r="HG1" i="11"/>
  <c r="GO1" i="11"/>
  <c r="FU1" i="11"/>
  <c r="FC1" i="11"/>
  <c r="EI1" i="11"/>
  <c r="DO1" i="11"/>
  <c r="CW1" i="11"/>
  <c r="CC1" i="11"/>
  <c r="BK1" i="11"/>
  <c r="AQ1" i="11"/>
  <c r="W1" i="11"/>
  <c r="E1" i="11"/>
  <c r="AKY1" i="11"/>
  <c r="AJT1" i="11"/>
  <c r="AIT1" i="11"/>
  <c r="AHW1" i="11"/>
  <c r="AGX1" i="11"/>
  <c r="AFZ1" i="11"/>
  <c r="AFC1" i="11"/>
  <c r="AED1" i="11"/>
  <c r="ADF1" i="11"/>
  <c r="ACK1" i="11"/>
  <c r="ABN1" i="11"/>
  <c r="AAS1" i="11"/>
  <c r="ZZ1" i="11"/>
  <c r="ZC1" i="11"/>
  <c r="YG1" i="11"/>
  <c r="XM1" i="11"/>
  <c r="WQ1" i="11"/>
  <c r="VV1" i="11"/>
  <c r="VA1" i="11"/>
  <c r="UD1" i="11"/>
  <c r="TI1" i="11"/>
  <c r="SP1" i="11"/>
  <c r="RS1" i="11"/>
  <c r="QW1" i="11"/>
  <c r="QC1" i="11"/>
  <c r="PG1" i="11"/>
  <c r="OL1" i="11"/>
  <c r="NQ1" i="11"/>
  <c r="MT1" i="11"/>
  <c r="LY1" i="11"/>
  <c r="LF1" i="11"/>
  <c r="KI1" i="11"/>
  <c r="JM1" i="11"/>
  <c r="IS1" i="11"/>
  <c r="HZ1" i="11"/>
  <c r="HF1" i="11"/>
  <c r="GM1" i="11"/>
  <c r="FT1" i="11"/>
  <c r="FA1" i="11"/>
  <c r="EH1" i="11"/>
  <c r="DN1" i="11"/>
  <c r="CU1" i="11"/>
  <c r="CB1" i="11"/>
  <c r="BI1" i="11"/>
  <c r="AP1" i="11"/>
  <c r="V1" i="11"/>
  <c r="C1" i="11"/>
  <c r="AKR1" i="11"/>
  <c r="AJQ1" i="11"/>
  <c r="AIQ1" i="11"/>
  <c r="AHS1" i="11"/>
  <c r="AGS1" i="11"/>
  <c r="AFW1" i="11"/>
  <c r="AEY1" i="11"/>
  <c r="ADY1" i="11"/>
  <c r="ADC1" i="11"/>
  <c r="ACH1" i="11"/>
  <c r="ABK1" i="11"/>
  <c r="AAP1" i="11"/>
  <c r="ZU1" i="11"/>
  <c r="YY1" i="11"/>
  <c r="YE1" i="11"/>
  <c r="XI1" i="11"/>
  <c r="WL1" i="11"/>
  <c r="VS1" i="11"/>
  <c r="UX1" i="11"/>
  <c r="UA1" i="11"/>
  <c r="TF1" i="11"/>
  <c r="SK1" i="11"/>
  <c r="RO1" i="11"/>
  <c r="QU1" i="11"/>
  <c r="PY1" i="11"/>
  <c r="PB1" i="11"/>
  <c r="OI1" i="11"/>
  <c r="NN1" i="11"/>
  <c r="MQ1" i="11"/>
  <c r="LV1" i="11"/>
  <c r="LA1" i="11"/>
  <c r="KE1" i="11"/>
  <c r="JK1" i="11"/>
  <c r="IO1" i="11"/>
  <c r="HW1" i="11"/>
  <c r="HC1" i="11"/>
  <c r="GI1" i="11"/>
  <c r="FR1" i="11"/>
  <c r="EW1" i="11"/>
  <c r="EE1" i="11"/>
  <c r="DK1" i="11"/>
  <c r="CQ1" i="11"/>
  <c r="BZ1" i="11"/>
  <c r="BE1" i="11"/>
  <c r="AM1" i="11"/>
  <c r="S1" i="11"/>
  <c r="B1" i="11"/>
  <c r="AKM1" i="11"/>
  <c r="AJM1" i="11"/>
  <c r="AIK1" i="11"/>
  <c r="AHL1" i="11"/>
  <c r="AGO1" i="11"/>
  <c r="AFQ1" i="11"/>
  <c r="AER1" i="11"/>
  <c r="ADU1" i="11"/>
  <c r="ACX1" i="11"/>
  <c r="ACA1" i="11"/>
  <c r="ABI1" i="11"/>
  <c r="AAM1" i="11"/>
  <c r="ZP1" i="11"/>
  <c r="YU1" i="11"/>
  <c r="YA1" i="11"/>
  <c r="XE1" i="11"/>
  <c r="WJ1" i="11"/>
  <c r="VN1" i="11"/>
  <c r="UQ1" i="11"/>
  <c r="TY1" i="11"/>
  <c r="TC1" i="11"/>
  <c r="SF1" i="11"/>
  <c r="RK1" i="11"/>
  <c r="QQ1" i="11"/>
  <c r="PU1" i="11"/>
  <c r="OZ1" i="11"/>
  <c r="OD1" i="11"/>
  <c r="NG1" i="11"/>
  <c r="MO1" i="11"/>
  <c r="LS1" i="11"/>
  <c r="KV1" i="11"/>
  <c r="KA1" i="11"/>
  <c r="JG1" i="11"/>
  <c r="IM1" i="11"/>
  <c r="HR1" i="11"/>
  <c r="HA1" i="11"/>
  <c r="GG1" i="11"/>
  <c r="FM1" i="11"/>
  <c r="EU1" i="11"/>
  <c r="DZ1" i="11"/>
  <c r="DI1" i="11"/>
  <c r="CO1" i="11"/>
  <c r="BU1" i="11"/>
  <c r="BC1" i="11"/>
  <c r="AH1" i="11"/>
  <c r="Q1" i="11"/>
  <c r="BF1" i="11"/>
  <c r="DL1" i="11"/>
  <c r="FS1" i="11"/>
  <c r="HY1" i="11"/>
  <c r="KG1" i="11"/>
  <c r="MR1" i="11"/>
  <c r="PC1" i="11"/>
  <c r="RQ1" i="11"/>
  <c r="UB1" i="11"/>
  <c r="WM1" i="11"/>
  <c r="ZA1" i="11"/>
  <c r="ABL1" i="11"/>
  <c r="AEA1" i="11"/>
  <c r="AGU1" i="11"/>
  <c r="AJR1" i="11"/>
  <c r="A6" i="9"/>
  <c r="A54" i="9"/>
  <c r="A102" i="9"/>
  <c r="A150" i="9"/>
  <c r="A198" i="9"/>
  <c r="A246" i="9"/>
  <c r="A294" i="9"/>
  <c r="A342" i="9"/>
  <c r="A390" i="9"/>
  <c r="A438" i="9"/>
  <c r="A486" i="9"/>
  <c r="A534" i="9"/>
  <c r="A582" i="9"/>
  <c r="A630" i="9"/>
  <c r="A678" i="9"/>
  <c r="A726" i="9"/>
  <c r="A774" i="9"/>
  <c r="A822" i="9"/>
  <c r="A870" i="9"/>
  <c r="A918" i="9"/>
  <c r="A966" i="9"/>
  <c r="I38" i="9"/>
  <c r="I758" i="9"/>
  <c r="Q53" i="9"/>
  <c r="Q197" i="9"/>
  <c r="Q340" i="9"/>
  <c r="Q458" i="9"/>
  <c r="Q602" i="9"/>
  <c r="Q734" i="9"/>
  <c r="Q865" i="9"/>
  <c r="Q996" i="9"/>
  <c r="M1" i="11"/>
  <c r="BR1" i="11"/>
  <c r="DX1" i="11"/>
  <c r="GD1" i="11"/>
  <c r="II1" i="11"/>
  <c r="KT1" i="11"/>
  <c r="NE1" i="11"/>
  <c r="PQ1" i="11"/>
  <c r="SD1" i="11"/>
  <c r="UO1" i="11"/>
  <c r="XA1" i="11"/>
  <c r="ZN1" i="11"/>
  <c r="ABY1" i="11"/>
  <c r="AEP1" i="11"/>
  <c r="AHJ1" i="11"/>
  <c r="AKG1" i="11"/>
  <c r="A7" i="9"/>
  <c r="A55" i="9"/>
  <c r="A103" i="9"/>
  <c r="A151" i="9"/>
  <c r="A199" i="9"/>
  <c r="A247" i="9"/>
  <c r="A295" i="9"/>
  <c r="A343" i="9"/>
  <c r="A391" i="9"/>
  <c r="A439" i="9"/>
  <c r="A487" i="9"/>
  <c r="A535" i="9"/>
  <c r="A583" i="9"/>
  <c r="A631" i="9"/>
  <c r="A679" i="9"/>
  <c r="A727" i="9"/>
  <c r="A775" i="9"/>
  <c r="A823" i="9"/>
  <c r="A871" i="9"/>
  <c r="A919" i="9"/>
  <c r="A967" i="9"/>
  <c r="I97" i="9"/>
  <c r="I817" i="9"/>
  <c r="Q65" i="9"/>
  <c r="Q209" i="9"/>
  <c r="Q341" i="9"/>
  <c r="Q472" i="9"/>
  <c r="Q603" i="9"/>
  <c r="Q747" i="9"/>
  <c r="Q890" i="9"/>
  <c r="O1" i="11"/>
  <c r="BS1" i="11"/>
  <c r="DY1" i="11"/>
  <c r="GE1" i="11"/>
  <c r="IK1" i="11"/>
  <c r="KU1" i="11"/>
  <c r="NF1" i="11"/>
  <c r="PS1" i="11"/>
  <c r="SE1" i="11"/>
  <c r="UP1" i="11"/>
  <c r="XC1" i="11"/>
  <c r="ZO1" i="11"/>
  <c r="ABZ1" i="11"/>
  <c r="AEQ1" i="11"/>
  <c r="AHK1" i="11"/>
  <c r="AKK1" i="11"/>
  <c r="A998" i="11"/>
  <c r="A995" i="11"/>
  <c r="A971" i="11"/>
  <c r="A947" i="11"/>
  <c r="A923" i="11"/>
  <c r="A899" i="11"/>
  <c r="A875" i="11"/>
  <c r="A851" i="11"/>
  <c r="A827" i="11"/>
  <c r="A803" i="11"/>
  <c r="A779" i="11"/>
  <c r="A755" i="11"/>
  <c r="A731" i="11"/>
  <c r="A707" i="11"/>
  <c r="A683" i="11"/>
  <c r="A659" i="11"/>
  <c r="A635" i="11"/>
  <c r="A611" i="11"/>
  <c r="A587" i="11"/>
  <c r="A563" i="11"/>
  <c r="A539" i="11"/>
  <c r="A515" i="11"/>
  <c r="A491" i="11"/>
  <c r="A467" i="11"/>
  <c r="A443" i="11"/>
  <c r="A419" i="11"/>
  <c r="A395" i="11"/>
  <c r="A371" i="11"/>
  <c r="A347" i="11"/>
  <c r="A323" i="11"/>
  <c r="A299" i="11"/>
  <c r="A275" i="11"/>
  <c r="A251" i="11"/>
  <c r="A227" i="11"/>
  <c r="A203" i="11"/>
  <c r="A179" i="11"/>
  <c r="A993" i="11"/>
  <c r="A969" i="11"/>
  <c r="A945" i="11"/>
  <c r="A921" i="11"/>
  <c r="A897" i="11"/>
  <c r="A873" i="11"/>
  <c r="A849" i="11"/>
  <c r="A825" i="11"/>
  <c r="A801" i="11"/>
  <c r="A777" i="11"/>
  <c r="A753" i="11"/>
  <c r="A729" i="11"/>
  <c r="A705" i="11"/>
  <c r="A681" i="11"/>
  <c r="A657" i="11"/>
  <c r="A633" i="11"/>
  <c r="A609" i="11"/>
  <c r="A585" i="11"/>
  <c r="A561" i="11"/>
  <c r="A537" i="11"/>
  <c r="A513" i="11"/>
  <c r="A489" i="11"/>
  <c r="A465" i="11"/>
  <c r="A441" i="11"/>
  <c r="A417" i="11"/>
  <c r="A393" i="11"/>
  <c r="A369" i="11"/>
  <c r="A345" i="11"/>
  <c r="A321" i="11"/>
  <c r="A297" i="11"/>
  <c r="A273" i="11"/>
  <c r="A249" i="11"/>
  <c r="A225" i="11"/>
  <c r="A201" i="11"/>
  <c r="A988" i="11"/>
  <c r="A964" i="11"/>
  <c r="A940" i="11"/>
  <c r="A916" i="11"/>
  <c r="A892" i="11"/>
  <c r="A868" i="11"/>
  <c r="A844" i="11"/>
  <c r="A820" i="11"/>
  <c r="A796" i="11"/>
  <c r="A772" i="11"/>
  <c r="A748" i="11"/>
  <c r="A724" i="11"/>
  <c r="A700" i="11"/>
  <c r="A676" i="11"/>
  <c r="A652" i="11"/>
  <c r="A628" i="11"/>
  <c r="A604" i="11"/>
  <c r="A580" i="11"/>
  <c r="A556" i="11"/>
  <c r="A532" i="11"/>
  <c r="A508" i="11"/>
  <c r="A484" i="11"/>
  <c r="A460" i="11"/>
  <c r="A436" i="11"/>
  <c r="A412" i="11"/>
  <c r="A388" i="11"/>
  <c r="A364" i="11"/>
  <c r="A340" i="11"/>
  <c r="A316" i="11"/>
  <c r="A292" i="11"/>
  <c r="A268" i="11"/>
  <c r="A244" i="11"/>
  <c r="A220" i="11"/>
  <c r="A985" i="11"/>
  <c r="A953" i="11"/>
  <c r="A925" i="11"/>
  <c r="A889" i="11"/>
  <c r="A857" i="11"/>
  <c r="A829" i="11"/>
  <c r="A793" i="11"/>
  <c r="A761" i="11"/>
  <c r="A733" i="11"/>
  <c r="A697" i="11"/>
  <c r="A665" i="11"/>
  <c r="A637" i="11"/>
  <c r="A601" i="11"/>
  <c r="A569" i="11"/>
  <c r="A541" i="11"/>
  <c r="A505" i="11"/>
  <c r="A473" i="11"/>
  <c r="A445" i="11"/>
  <c r="A409" i="11"/>
  <c r="A377" i="11"/>
  <c r="A349" i="11"/>
  <c r="A313" i="11"/>
  <c r="A281" i="11"/>
  <c r="A253" i="11"/>
  <c r="A217" i="11"/>
  <c r="A189" i="11"/>
  <c r="A161" i="11"/>
  <c r="A137" i="11"/>
  <c r="A113" i="11"/>
  <c r="A89" i="11"/>
  <c r="A65" i="11"/>
  <c r="A41" i="11"/>
  <c r="A17" i="11"/>
  <c r="A1000" i="11"/>
  <c r="A965" i="11"/>
  <c r="A935" i="11"/>
  <c r="A904" i="11"/>
  <c r="A869" i="11"/>
  <c r="A839" i="11"/>
  <c r="A808" i="11"/>
  <c r="A773" i="11"/>
  <c r="A743" i="11"/>
  <c r="A712" i="11"/>
  <c r="A677" i="11"/>
  <c r="A647" i="11"/>
  <c r="A616" i="11"/>
  <c r="A581" i="11"/>
  <c r="A551" i="11"/>
  <c r="A520" i="11"/>
  <c r="A485" i="11"/>
  <c r="A455" i="11"/>
  <c r="A424" i="11"/>
  <c r="A389" i="11"/>
  <c r="A359" i="11"/>
  <c r="A328" i="11"/>
  <c r="A293" i="11"/>
  <c r="A263" i="11"/>
  <c r="A232" i="11"/>
  <c r="A197" i="11"/>
  <c r="A172" i="11"/>
  <c r="A148" i="11"/>
  <c r="A124" i="11"/>
  <c r="A100" i="11"/>
  <c r="A76" i="11"/>
  <c r="A52" i="11"/>
  <c r="A28" i="11"/>
  <c r="A4" i="11"/>
  <c r="A989" i="11"/>
  <c r="A959" i="11"/>
  <c r="A928" i="11"/>
  <c r="A893" i="11"/>
  <c r="A863" i="11"/>
  <c r="A832" i="11"/>
  <c r="A797" i="11"/>
  <c r="A767" i="11"/>
  <c r="A736" i="11"/>
  <c r="A701" i="11"/>
  <c r="A671" i="11"/>
  <c r="A640" i="11"/>
  <c r="A605" i="11"/>
  <c r="A575" i="11"/>
  <c r="A544" i="11"/>
  <c r="A509" i="11"/>
  <c r="A479" i="11"/>
  <c r="A448" i="11"/>
  <c r="A413" i="11"/>
  <c r="A383" i="11"/>
  <c r="A352" i="11"/>
  <c r="A317" i="11"/>
  <c r="A287" i="11"/>
  <c r="A256" i="11"/>
  <c r="A221" i="11"/>
  <c r="A193" i="11"/>
  <c r="A167" i="11"/>
  <c r="A143" i="11"/>
  <c r="A119" i="11"/>
  <c r="A95" i="11"/>
  <c r="A71" i="11"/>
  <c r="A47" i="11"/>
  <c r="A23" i="11"/>
  <c r="A2" i="11"/>
  <c r="A33" i="11"/>
  <c r="A63" i="11"/>
  <c r="A97" i="11"/>
  <c r="A129" i="11"/>
  <c r="A159" i="11"/>
  <c r="A195" i="11"/>
  <c r="A237" i="11"/>
  <c r="A279" i="11"/>
  <c r="A325" i="11"/>
  <c r="A363" i="11"/>
  <c r="A405" i="11"/>
  <c r="A449" i="11"/>
  <c r="A495" i="11"/>
  <c r="A531" i="11"/>
  <c r="A577" i="11"/>
  <c r="A621" i="11"/>
  <c r="A663" i="11"/>
  <c r="A709" i="11"/>
  <c r="A747" i="11"/>
  <c r="A789" i="11"/>
  <c r="A833" i="11"/>
  <c r="A879" i="11"/>
  <c r="A915" i="11"/>
  <c r="A961" i="11"/>
  <c r="A3" i="11"/>
  <c r="A35" i="11"/>
  <c r="A64" i="11"/>
  <c r="A99" i="11"/>
  <c r="A131" i="11"/>
  <c r="A160" i="11"/>
  <c r="A196" i="11"/>
  <c r="A239" i="11"/>
  <c r="A280" i="11"/>
  <c r="A327" i="11"/>
  <c r="A365" i="11"/>
  <c r="A407" i="11"/>
  <c r="A453" i="11"/>
  <c r="A496" i="11"/>
  <c r="A533" i="11"/>
  <c r="A579" i="11"/>
  <c r="A623" i="11"/>
  <c r="A664" i="11"/>
  <c r="A711" i="11"/>
  <c r="A749" i="11"/>
  <c r="A791" i="11"/>
  <c r="A837" i="11"/>
  <c r="A880" i="11"/>
  <c r="A917" i="11"/>
  <c r="A963" i="11"/>
  <c r="AA8" i="12" a="1"/>
  <c r="AA8" i="12" s="1"/>
  <c r="Z8" i="12"/>
  <c r="AC8" i="12" a="1"/>
  <c r="AC8" i="12" s="1"/>
  <c r="AB8" i="12" a="1"/>
  <c r="AB8" i="12" s="1"/>
  <c r="X8" i="12"/>
  <c r="W8" i="12" s="1" a="1"/>
  <c r="W8" i="12" s="1"/>
  <c r="C8" i="12" a="1"/>
  <c r="C8" i="12" s="1"/>
  <c r="X293" i="12"/>
  <c r="W293" i="12" s="1" a="1"/>
  <c r="W293" i="12" s="1"/>
  <c r="AA293" i="12" a="1"/>
  <c r="AA293" i="12" s="1"/>
  <c r="Z293" i="12"/>
  <c r="E293" i="12" a="1"/>
  <c r="E293" i="12" s="1"/>
  <c r="D293" i="12" a="1"/>
  <c r="D293" i="12" s="1"/>
  <c r="A9" i="11"/>
  <c r="A39" i="11"/>
  <c r="A73" i="11"/>
  <c r="A105" i="11"/>
  <c r="A135" i="11"/>
  <c r="A169" i="11"/>
  <c r="A207" i="11"/>
  <c r="A243" i="11"/>
  <c r="A289" i="11"/>
  <c r="A333" i="11"/>
  <c r="A375" i="11"/>
  <c r="A421" i="11"/>
  <c r="A459" i="11"/>
  <c r="A501" i="11"/>
  <c r="A545" i="11"/>
  <c r="A591" i="11"/>
  <c r="A627" i="11"/>
  <c r="A673" i="11"/>
  <c r="A717" i="11"/>
  <c r="A759" i="11"/>
  <c r="A805" i="11"/>
  <c r="A843" i="11"/>
  <c r="A885" i="11"/>
  <c r="A929" i="11"/>
  <c r="A975" i="11"/>
  <c r="D8" i="12" a="1"/>
  <c r="D8" i="12" s="1"/>
  <c r="A13" i="11"/>
  <c r="A45" i="11"/>
  <c r="A77" i="11"/>
  <c r="A109" i="11"/>
  <c r="A141" i="11"/>
  <c r="A173" i="11"/>
  <c r="A209" i="11"/>
  <c r="A255" i="11"/>
  <c r="A301" i="11"/>
  <c r="A337" i="11"/>
  <c r="A381" i="11"/>
  <c r="A425" i="11"/>
  <c r="A469" i="11"/>
  <c r="A507" i="11"/>
  <c r="A553" i="11"/>
  <c r="A593" i="11"/>
  <c r="A639" i="11"/>
  <c r="A685" i="11"/>
  <c r="A721" i="11"/>
  <c r="A765" i="11"/>
  <c r="A809" i="11"/>
  <c r="A853" i="11"/>
  <c r="A891" i="11"/>
  <c r="A937" i="11"/>
  <c r="A977" i="11"/>
  <c r="A15" i="11"/>
  <c r="A49" i="11"/>
  <c r="A81" i="11"/>
  <c r="A111" i="11"/>
  <c r="A145" i="11"/>
  <c r="A177" i="11"/>
  <c r="A213" i="11"/>
  <c r="A257" i="11"/>
  <c r="A303" i="11"/>
  <c r="A339" i="11"/>
  <c r="A385" i="11"/>
  <c r="A429" i="11"/>
  <c r="A471" i="11"/>
  <c r="A517" i="11"/>
  <c r="A555" i="11"/>
  <c r="A597" i="11"/>
  <c r="A641" i="11"/>
  <c r="A687" i="11"/>
  <c r="A723" i="11"/>
  <c r="A769" i="11"/>
  <c r="A813" i="11"/>
  <c r="A855" i="11"/>
  <c r="A901" i="11"/>
  <c r="A939" i="11"/>
  <c r="A981" i="11"/>
  <c r="A16" i="11"/>
  <c r="A51" i="11"/>
  <c r="A83" i="11"/>
  <c r="A112" i="11"/>
  <c r="A147" i="11"/>
  <c r="A181" i="11"/>
  <c r="A215" i="11"/>
  <c r="A261" i="11"/>
  <c r="A304" i="11"/>
  <c r="A341" i="11"/>
  <c r="A387" i="11"/>
  <c r="A431" i="11"/>
  <c r="A472" i="11"/>
  <c r="A519" i="11"/>
  <c r="A557" i="11"/>
  <c r="A599" i="11"/>
  <c r="A645" i="11"/>
  <c r="A688" i="11"/>
  <c r="A725" i="11"/>
  <c r="A771" i="11"/>
  <c r="A815" i="11"/>
  <c r="A856" i="11"/>
  <c r="A903" i="11"/>
  <c r="A941" i="11"/>
  <c r="A983" i="11"/>
  <c r="A21" i="11"/>
  <c r="A53" i="11"/>
  <c r="A85" i="11"/>
  <c r="A117" i="11"/>
  <c r="A149" i="11"/>
  <c r="A183" i="11"/>
  <c r="A219" i="11"/>
  <c r="A265" i="11"/>
  <c r="A305" i="11"/>
  <c r="A351" i="11"/>
  <c r="A397" i="11"/>
  <c r="A433" i="11"/>
  <c r="A477" i="11"/>
  <c r="A521" i="11"/>
  <c r="A565" i="11"/>
  <c r="A603" i="11"/>
  <c r="A649" i="11"/>
  <c r="A689" i="11"/>
  <c r="A735" i="11"/>
  <c r="A781" i="11"/>
  <c r="A817" i="11"/>
  <c r="A861" i="11"/>
  <c r="A905" i="11"/>
  <c r="A949" i="11"/>
  <c r="A987" i="11"/>
  <c r="AB7" i="12" a="1"/>
  <c r="AB7" i="12" s="1"/>
  <c r="AA7" i="12" a="1"/>
  <c r="AA7" i="12" s="1"/>
  <c r="X7" i="12"/>
  <c r="W7" i="12" s="1" a="1"/>
  <c r="W7" i="12" s="1"/>
  <c r="D7" i="12" a="1"/>
  <c r="D7" i="12" s="1"/>
  <c r="C7" i="12" a="1"/>
  <c r="C7" i="12" s="1"/>
  <c r="A25" i="11"/>
  <c r="A57" i="11"/>
  <c r="A87" i="11"/>
  <c r="A121" i="11"/>
  <c r="A153" i="11"/>
  <c r="A184" i="11"/>
  <c r="A229" i="11"/>
  <c r="A267" i="11"/>
  <c r="A309" i="11"/>
  <c r="A353" i="11"/>
  <c r="A399" i="11"/>
  <c r="A435" i="11"/>
  <c r="A481" i="11"/>
  <c r="A525" i="11"/>
  <c r="A567" i="11"/>
  <c r="A613" i="11"/>
  <c r="A651" i="11"/>
  <c r="A693" i="11"/>
  <c r="A737" i="11"/>
  <c r="A783" i="11"/>
  <c r="A819" i="11"/>
  <c r="A865" i="11"/>
  <c r="A909" i="11"/>
  <c r="A951" i="11"/>
  <c r="A997" i="11"/>
  <c r="AB19" i="12" a="1"/>
  <c r="AB19" i="12" s="1"/>
  <c r="X19" i="12"/>
  <c r="W19" i="12" s="1" a="1"/>
  <c r="W19" i="12" s="1"/>
  <c r="D19" i="12" a="1"/>
  <c r="D19" i="12" s="1"/>
  <c r="AC19" i="12" a="1"/>
  <c r="AC19" i="12" s="1"/>
  <c r="AA19" i="12" a="1"/>
  <c r="AA19" i="12" s="1"/>
  <c r="Z19" i="12"/>
  <c r="C19" i="12" a="1"/>
  <c r="C19" i="12" s="1"/>
  <c r="A27" i="11"/>
  <c r="A59" i="11"/>
  <c r="A88" i="11"/>
  <c r="A123" i="11"/>
  <c r="A155" i="11"/>
  <c r="A185" i="11"/>
  <c r="A231" i="11"/>
  <c r="A269" i="11"/>
  <c r="A311" i="11"/>
  <c r="A357" i="11"/>
  <c r="A400" i="11"/>
  <c r="A437" i="11"/>
  <c r="A483" i="11"/>
  <c r="A527" i="11"/>
  <c r="A568" i="11"/>
  <c r="A615" i="11"/>
  <c r="A653" i="11"/>
  <c r="A695" i="11"/>
  <c r="A741" i="11"/>
  <c r="A784" i="11"/>
  <c r="A821" i="11"/>
  <c r="A867" i="11"/>
  <c r="A911" i="11"/>
  <c r="A952" i="11"/>
  <c r="A999" i="11"/>
  <c r="Z7" i="12"/>
  <c r="Z21" i="12"/>
  <c r="AC42" i="12" a="1"/>
  <c r="AC42" i="12" s="1"/>
  <c r="E42" i="12" a="1"/>
  <c r="E42" i="12" s="1"/>
  <c r="D42" i="12" a="1"/>
  <c r="D42" i="12" s="1"/>
  <c r="AC3" i="12" a="1"/>
  <c r="AC3" i="12" s="1"/>
  <c r="AA3" i="12" a="1"/>
  <c r="AA3" i="12" s="1"/>
  <c r="AC12" i="12" a="1"/>
  <c r="AC12" i="12" s="1"/>
  <c r="Z12" i="12"/>
  <c r="X12" i="12"/>
  <c r="W12" i="12" s="1" a="1"/>
  <c r="W12" i="12" s="1"/>
  <c r="AB16" i="12" a="1"/>
  <c r="AB16" i="12" s="1"/>
  <c r="X16" i="12"/>
  <c r="W16" i="12" s="1" a="1"/>
  <c r="W16" i="12" s="1"/>
  <c r="AB21" i="12" a="1"/>
  <c r="AB21" i="12" s="1"/>
  <c r="AC28" i="12" a="1"/>
  <c r="AC28" i="12" s="1"/>
  <c r="Z28" i="12"/>
  <c r="AC149" i="12" a="1"/>
  <c r="AC149" i="12" s="1"/>
  <c r="Z149" i="12"/>
  <c r="E149" i="12" a="1"/>
  <c r="E149" i="12" s="1"/>
  <c r="AA23" i="12" a="1"/>
  <c r="AA23" i="12" s="1"/>
  <c r="C23" i="12" a="1"/>
  <c r="C23" i="12" s="1"/>
  <c r="AC23" i="12" a="1"/>
  <c r="AC23" i="12" s="1"/>
  <c r="Z33" i="12"/>
  <c r="C33" i="12" a="1"/>
  <c r="C33" i="12" s="1"/>
  <c r="AA11" i="12" a="1"/>
  <c r="AA11" i="12" s="1"/>
  <c r="Z11" i="12"/>
  <c r="AC15" i="12" a="1"/>
  <c r="AC15" i="12" s="1"/>
  <c r="Z15" i="12"/>
  <c r="X15" i="12"/>
  <c r="W15" i="12" s="1" a="1"/>
  <c r="W15" i="12" s="1"/>
  <c r="AA22" i="12" a="1"/>
  <c r="AA22" i="12" s="1"/>
  <c r="C22" i="12" a="1"/>
  <c r="C22" i="12" s="1"/>
  <c r="X23" i="12"/>
  <c r="W23" i="12" s="1" a="1"/>
  <c r="W23" i="12" s="1"/>
  <c r="AA115" i="12" a="1"/>
  <c r="AA115" i="12" s="1"/>
  <c r="AB115" i="12" a="1"/>
  <c r="AB115" i="12" s="1"/>
  <c r="C115" i="12" a="1"/>
  <c r="C115" i="12" s="1"/>
  <c r="AC115" i="12" a="1"/>
  <c r="AC115" i="12" s="1"/>
  <c r="Z115" i="12"/>
  <c r="X115" i="12"/>
  <c r="W115" i="12" s="1" a="1"/>
  <c r="W115" i="12" s="1"/>
  <c r="D115" i="12" a="1"/>
  <c r="D115" i="12" s="1"/>
  <c r="X281" i="12"/>
  <c r="W281" i="12" s="1" a="1"/>
  <c r="W281" i="12" s="1"/>
  <c r="Z281" i="12"/>
  <c r="E281" i="12" a="1"/>
  <c r="E281" i="12" s="1"/>
  <c r="D22" i="12" a="1"/>
  <c r="D22" i="12" s="1"/>
  <c r="Z23" i="12"/>
  <c r="C29" i="12" a="1"/>
  <c r="C29" i="12" s="1"/>
  <c r="AC29" i="12" a="1"/>
  <c r="AC29" i="12" s="1"/>
  <c r="AA10" i="12" a="1"/>
  <c r="AA10" i="12" s="1"/>
  <c r="Z10" i="12"/>
  <c r="AC14" i="12" a="1"/>
  <c r="AC14" i="12" s="1"/>
  <c r="Z14" i="12"/>
  <c r="X14" i="12"/>
  <c r="W14" i="12" s="1" a="1"/>
  <c r="W14" i="12" s="1"/>
  <c r="AB18" i="12" a="1"/>
  <c r="AB18" i="12" s="1"/>
  <c r="X18" i="12"/>
  <c r="W18" i="12" s="1" a="1"/>
  <c r="W18" i="12" s="1"/>
  <c r="D18" i="12" a="1"/>
  <c r="D18" i="12" s="1"/>
  <c r="AB23" i="12" a="1"/>
  <c r="AB23" i="12" s="1"/>
  <c r="AB66" i="12" a="1"/>
  <c r="AB66" i="12" s="1"/>
  <c r="AC66" i="12" a="1"/>
  <c r="AC66" i="12" s="1"/>
  <c r="AA66" i="12" a="1"/>
  <c r="AA66" i="12" s="1"/>
  <c r="Z66" i="12"/>
  <c r="X66" i="12"/>
  <c r="W66" i="12" s="1" a="1"/>
  <c r="W66" i="12" s="1"/>
  <c r="E66" i="12" a="1"/>
  <c r="E66" i="12" s="1"/>
  <c r="D66" i="12" a="1"/>
  <c r="D66" i="12" s="1"/>
  <c r="C66" i="12" a="1"/>
  <c r="C66" i="12" s="1"/>
  <c r="AA21" i="12" a="1"/>
  <c r="AA21" i="12" s="1"/>
  <c r="C21" i="12" a="1"/>
  <c r="C21" i="12" s="1"/>
  <c r="AC27" i="12" a="1"/>
  <c r="AC27" i="12" s="1"/>
  <c r="Z27" i="12"/>
  <c r="X94" i="12"/>
  <c r="W94" i="12" s="1" a="1"/>
  <c r="W94" i="12" s="1"/>
  <c r="AC94" i="12" a="1"/>
  <c r="AC94" i="12" s="1"/>
  <c r="AB94" i="12" a="1"/>
  <c r="AB94" i="12" s="1"/>
  <c r="AA94" i="12" a="1"/>
  <c r="AA94" i="12" s="1"/>
  <c r="Z94" i="12"/>
  <c r="E94" i="12" a="1"/>
  <c r="E94" i="12" s="1"/>
  <c r="D94" i="12" a="1"/>
  <c r="D94" i="12" s="1"/>
  <c r="C94" i="12" a="1"/>
  <c r="C94" i="12" s="1"/>
  <c r="AC77" i="12" a="1"/>
  <c r="AC77" i="12" s="1"/>
  <c r="AB77" i="12" a="1"/>
  <c r="AB77" i="12" s="1"/>
  <c r="AA77" i="12" a="1"/>
  <c r="AA77" i="12" s="1"/>
  <c r="Z77" i="12"/>
  <c r="X77" i="12"/>
  <c r="W77" i="12" s="1" a="1"/>
  <c r="W77" i="12" s="1"/>
  <c r="E77" i="12" a="1"/>
  <c r="E77" i="12" s="1"/>
  <c r="D77" i="12" a="1"/>
  <c r="D77" i="12" s="1"/>
  <c r="C77" i="12" a="1"/>
  <c r="C77" i="12" s="1"/>
  <c r="D97" i="12" a="1"/>
  <c r="D97" i="12" s="1"/>
  <c r="C97" i="12" a="1"/>
  <c r="C97" i="12" s="1"/>
  <c r="X243" i="12"/>
  <c r="W243" i="12" s="1" a="1"/>
  <c r="W243" i="12" s="1"/>
  <c r="AC243" i="12" a="1"/>
  <c r="AC243" i="12" s="1"/>
  <c r="AA243" i="12" a="1"/>
  <c r="AA243" i="12" s="1"/>
  <c r="E243" i="12" a="1"/>
  <c r="E243" i="12" s="1"/>
  <c r="D243" i="12" a="1"/>
  <c r="D243" i="12" s="1"/>
  <c r="C243" i="12" a="1"/>
  <c r="C243" i="12" s="1"/>
  <c r="AA9" i="12" a="1"/>
  <c r="AA9" i="12" s="1"/>
  <c r="Z9" i="12"/>
  <c r="AC13" i="12" a="1"/>
  <c r="AC13" i="12" s="1"/>
  <c r="Z13" i="12"/>
  <c r="X13" i="12"/>
  <c r="W13" i="12" s="1" a="1"/>
  <c r="W13" i="12" s="1"/>
  <c r="Z18" i="12"/>
  <c r="AB22" i="12" a="1"/>
  <c r="AB22" i="12" s="1"/>
  <c r="Z24" i="12"/>
  <c r="D24" i="12" a="1"/>
  <c r="D24" i="12" s="1"/>
  <c r="C24" i="12" a="1"/>
  <c r="C24" i="12" s="1"/>
  <c r="AB24" i="12" a="1"/>
  <c r="AB24" i="12" s="1"/>
  <c r="AB27" i="12" a="1"/>
  <c r="AB27" i="12" s="1"/>
  <c r="C4" i="12" a="1"/>
  <c r="C4" i="12" s="1"/>
  <c r="AC4" i="12" a="1"/>
  <c r="AC4" i="12" s="1"/>
  <c r="AB4" i="12" a="1"/>
  <c r="AB4" i="12" s="1"/>
  <c r="Z4" i="12"/>
  <c r="C9" i="12" a="1"/>
  <c r="C9" i="12" s="1"/>
  <c r="X10" i="12"/>
  <c r="W10" i="12" s="1" a="1"/>
  <c r="W10" i="12" s="1"/>
  <c r="C13" i="12" a="1"/>
  <c r="C13" i="12" s="1"/>
  <c r="AB17" i="12" a="1"/>
  <c r="AB17" i="12" s="1"/>
  <c r="X17" i="12"/>
  <c r="W17" i="12" s="1" a="1"/>
  <c r="W17" i="12" s="1"/>
  <c r="D17" i="12" a="1"/>
  <c r="D17" i="12" s="1"/>
  <c r="AA18" i="12" a="1"/>
  <c r="AA18" i="12" s="1"/>
  <c r="AA20" i="12" a="1"/>
  <c r="AA20" i="12" s="1"/>
  <c r="D20" i="12" a="1"/>
  <c r="D20" i="12" s="1"/>
  <c r="X21" i="12"/>
  <c r="W21" i="12" s="1" a="1"/>
  <c r="W21" i="12" s="1"/>
  <c r="AC22" i="12" a="1"/>
  <c r="AC22" i="12" s="1"/>
  <c r="AB92" i="12" a="1"/>
  <c r="AB92" i="12" s="1"/>
  <c r="E92" i="12" a="1"/>
  <c r="E92" i="12" s="1"/>
  <c r="C92" i="12" a="1"/>
  <c r="C92" i="12" s="1"/>
  <c r="E49" i="12" a="1"/>
  <c r="E49" i="12" s="1"/>
  <c r="Z52" i="12"/>
  <c r="AA63" i="12" a="1"/>
  <c r="AA63" i="12" s="1"/>
  <c r="AB64" i="12" a="1"/>
  <c r="AB64" i="12" s="1"/>
  <c r="AC75" i="12" a="1"/>
  <c r="AC75" i="12" s="1"/>
  <c r="X112" i="12"/>
  <c r="W112" i="12" s="1" a="1"/>
  <c r="W112" i="12" s="1"/>
  <c r="E112" i="12" a="1"/>
  <c r="E112" i="12" s="1"/>
  <c r="D112" i="12" a="1"/>
  <c r="D112" i="12" s="1"/>
  <c r="X140" i="12"/>
  <c r="W140" i="12" s="1" a="1"/>
  <c r="W140" i="12" s="1"/>
  <c r="AB140" i="12" a="1"/>
  <c r="AB140" i="12" s="1"/>
  <c r="AA140" i="12" a="1"/>
  <c r="AA140" i="12" s="1"/>
  <c r="Z140" i="12"/>
  <c r="AB145" i="12" a="1"/>
  <c r="AB145" i="12" s="1"/>
  <c r="X275" i="12"/>
  <c r="W275" i="12" s="1" a="1"/>
  <c r="W275" i="12" s="1"/>
  <c r="AB275" i="12" a="1"/>
  <c r="AB275" i="12" s="1"/>
  <c r="E275" i="12" a="1"/>
  <c r="E275" i="12" s="1"/>
  <c r="D275" i="12" a="1"/>
  <c r="D275" i="12" s="1"/>
  <c r="C275" i="12" a="1"/>
  <c r="C275" i="12" s="1"/>
  <c r="AA52" i="12" a="1"/>
  <c r="AA52" i="12" s="1"/>
  <c r="D62" i="12" a="1"/>
  <c r="D62" i="12" s="1"/>
  <c r="AC64" i="12" a="1"/>
  <c r="AC64" i="12" s="1"/>
  <c r="Z84" i="12"/>
  <c r="C90" i="12" a="1"/>
  <c r="C90" i="12" s="1"/>
  <c r="C91" i="12" a="1"/>
  <c r="C91" i="12" s="1"/>
  <c r="X197" i="12"/>
  <c r="W197" i="12" s="1" a="1"/>
  <c r="W197" i="12" s="1"/>
  <c r="AB197" i="12" a="1"/>
  <c r="AB197" i="12" s="1"/>
  <c r="E197" i="12" a="1"/>
  <c r="E197" i="12" s="1"/>
  <c r="AB235" i="12" a="1"/>
  <c r="AB235" i="12" s="1"/>
  <c r="AC235" i="12" a="1"/>
  <c r="AC235" i="12" s="1"/>
  <c r="X264" i="12"/>
  <c r="W264" i="12" s="1" a="1"/>
  <c r="W264" i="12" s="1"/>
  <c r="AC264" i="12" a="1"/>
  <c r="AC264" i="12" s="1"/>
  <c r="AA264" i="12" a="1"/>
  <c r="AA264" i="12" s="1"/>
  <c r="Z264" i="12"/>
  <c r="E264" i="12" a="1"/>
  <c r="E264" i="12" s="1"/>
  <c r="D264" i="12" a="1"/>
  <c r="D264" i="12" s="1"/>
  <c r="C264" i="12" a="1"/>
  <c r="C264" i="12" s="1"/>
  <c r="X279" i="12"/>
  <c r="W279" i="12" s="1" a="1"/>
  <c r="W279" i="12" s="1"/>
  <c r="Z279" i="12"/>
  <c r="X49" i="12"/>
  <c r="W49" i="12" s="1" a="1"/>
  <c r="W49" i="12" s="1"/>
  <c r="Z51" i="12"/>
  <c r="C111" i="12" a="1"/>
  <c r="C111" i="12" s="1"/>
  <c r="Z111" i="12"/>
  <c r="AB120" i="12" a="1"/>
  <c r="AB120" i="12" s="1"/>
  <c r="AC120" i="12" a="1"/>
  <c r="AC120" i="12" s="1"/>
  <c r="X120" i="12"/>
  <c r="W120" i="12" s="1" a="1"/>
  <c r="W120" i="12" s="1"/>
  <c r="AB169" i="12" a="1"/>
  <c r="AB169" i="12" s="1"/>
  <c r="AA169" i="12" a="1"/>
  <c r="AA169" i="12" s="1"/>
  <c r="X183" i="12"/>
  <c r="W183" i="12" s="1" a="1"/>
  <c r="W183" i="12" s="1"/>
  <c r="AC183" i="12" a="1"/>
  <c r="AC183" i="12" s="1"/>
  <c r="AA183" i="12" a="1"/>
  <c r="AA183" i="12" s="1"/>
  <c r="Z183" i="12"/>
  <c r="E183" i="12" a="1"/>
  <c r="E183" i="12" s="1"/>
  <c r="D183" i="12" a="1"/>
  <c r="D183" i="12" s="1"/>
  <c r="C197" i="12" a="1"/>
  <c r="C197" i="12" s="1"/>
  <c r="E279" i="12" a="1"/>
  <c r="E279" i="12" s="1"/>
  <c r="Z49" i="12"/>
  <c r="E55" i="12" a="1"/>
  <c r="E55" i="12" s="1"/>
  <c r="C75" i="12" a="1"/>
  <c r="C75" i="12" s="1"/>
  <c r="C86" i="12" a="1"/>
  <c r="C86" i="12" s="1"/>
  <c r="AB88" i="12" a="1"/>
  <c r="AB88" i="12" s="1"/>
  <c r="D99" i="12" a="1"/>
  <c r="D99" i="12" s="1"/>
  <c r="C101" i="12" a="1"/>
  <c r="C101" i="12" s="1"/>
  <c r="C103" i="12" a="1"/>
  <c r="C103" i="12" s="1"/>
  <c r="D111" i="12" a="1"/>
  <c r="D111" i="12" s="1"/>
  <c r="D156" i="12" a="1"/>
  <c r="D156" i="12" s="1"/>
  <c r="C156" i="12" a="1"/>
  <c r="C156" i="12" s="1"/>
  <c r="AC156" i="12" a="1"/>
  <c r="AC156" i="12" s="1"/>
  <c r="AC158" i="12" a="1"/>
  <c r="AC158" i="12" s="1"/>
  <c r="AB158" i="12" a="1"/>
  <c r="AB158" i="12" s="1"/>
  <c r="AA158" i="12" a="1"/>
  <c r="AA158" i="12" s="1"/>
  <c r="AB214" i="12" a="1"/>
  <c r="AB214" i="12" s="1"/>
  <c r="Z214" i="12"/>
  <c r="X214" i="12"/>
  <c r="W214" i="12" s="1" a="1"/>
  <c r="W214" i="12" s="1"/>
  <c r="C223" i="12" a="1"/>
  <c r="C223" i="12" s="1"/>
  <c r="AB223" i="12" a="1"/>
  <c r="AB223" i="12" s="1"/>
  <c r="Z223" i="12"/>
  <c r="AC337" i="12" a="1"/>
  <c r="AC337" i="12" s="1"/>
  <c r="AB337" i="12" a="1"/>
  <c r="AB337" i="12" s="1"/>
  <c r="D337" i="12" a="1"/>
  <c r="D337" i="12" s="1"/>
  <c r="Z5" i="12"/>
  <c r="X6" i="12"/>
  <c r="W6" i="12" s="1" a="1"/>
  <c r="W6" i="12" s="1"/>
  <c r="AC49" i="12" a="1"/>
  <c r="AC49" i="12" s="1"/>
  <c r="AB50" i="12" a="1"/>
  <c r="AB50" i="12" s="1"/>
  <c r="AA51" i="12" a="1"/>
  <c r="AA51" i="12" s="1"/>
  <c r="D61" i="12" a="1"/>
  <c r="D61" i="12" s="1"/>
  <c r="Z62" i="12"/>
  <c r="C64" i="12" a="1"/>
  <c r="C64" i="12" s="1"/>
  <c r="Z69" i="12"/>
  <c r="D75" i="12" a="1"/>
  <c r="D75" i="12" s="1"/>
  <c r="C76" i="12" a="1"/>
  <c r="C76" i="12" s="1"/>
  <c r="AC84" i="12" a="1"/>
  <c r="AC84" i="12" s="1"/>
  <c r="D86" i="12" a="1"/>
  <c r="D86" i="12" s="1"/>
  <c r="AC88" i="12" a="1"/>
  <c r="AC88" i="12" s="1"/>
  <c r="Z95" i="12"/>
  <c r="E101" i="12" a="1"/>
  <c r="E101" i="12" s="1"/>
  <c r="D103" i="12" a="1"/>
  <c r="D103" i="12" s="1"/>
  <c r="AC108" i="12" a="1"/>
  <c r="AC108" i="12" s="1"/>
  <c r="AC109" i="12" a="1"/>
  <c r="AC109" i="12" s="1"/>
  <c r="AB131" i="12" a="1"/>
  <c r="AB131" i="12" s="1"/>
  <c r="C131" i="12" a="1"/>
  <c r="C131" i="12" s="1"/>
  <c r="E158" i="12" a="1"/>
  <c r="E158" i="12" s="1"/>
  <c r="X164" i="12"/>
  <c r="W164" i="12" s="1" a="1"/>
  <c r="W164" i="12" s="1"/>
  <c r="AB164" i="12" a="1"/>
  <c r="AB164" i="12" s="1"/>
  <c r="AA164" i="12" a="1"/>
  <c r="AA164" i="12" s="1"/>
  <c r="Z164" i="12"/>
  <c r="E164" i="12" a="1"/>
  <c r="E164" i="12" s="1"/>
  <c r="D164" i="12" a="1"/>
  <c r="D164" i="12" s="1"/>
  <c r="C164" i="12" a="1"/>
  <c r="C164" i="12" s="1"/>
  <c r="X179" i="12"/>
  <c r="W179" i="12" s="1" a="1"/>
  <c r="W179" i="12" s="1"/>
  <c r="AB179" i="12" a="1"/>
  <c r="AB179" i="12" s="1"/>
  <c r="E179" i="12" a="1"/>
  <c r="E179" i="12" s="1"/>
  <c r="C179" i="12" a="1"/>
  <c r="C179" i="12" s="1"/>
  <c r="E214" i="12" a="1"/>
  <c r="E214" i="12" s="1"/>
  <c r="D223" i="12" a="1"/>
  <c r="D223" i="12" s="1"/>
  <c r="X311" i="12"/>
  <c r="W311" i="12" s="1" a="1"/>
  <c r="W311" i="12" s="1"/>
  <c r="AB311" i="12" a="1"/>
  <c r="AB311" i="12" s="1"/>
  <c r="AA311" i="12" a="1"/>
  <c r="AA311" i="12" s="1"/>
  <c r="Z311" i="12"/>
  <c r="E311" i="12" a="1"/>
  <c r="E311" i="12" s="1"/>
  <c r="D311" i="12" a="1"/>
  <c r="D311" i="12" s="1"/>
  <c r="AC311" i="12" a="1"/>
  <c r="AC311" i="12" s="1"/>
  <c r="AC51" i="12" a="1"/>
  <c r="AC51" i="12" s="1"/>
  <c r="AA55" i="12" a="1"/>
  <c r="AA55" i="12" s="1"/>
  <c r="AA62" i="12" a="1"/>
  <c r="AA62" i="12" s="1"/>
  <c r="D64" i="12" a="1"/>
  <c r="D64" i="12" s="1"/>
  <c r="E75" i="12" a="1"/>
  <c r="E75" i="12" s="1"/>
  <c r="E76" i="12" a="1"/>
  <c r="E76" i="12" s="1"/>
  <c r="E86" i="12" a="1"/>
  <c r="E86" i="12" s="1"/>
  <c r="E99" i="12" a="1"/>
  <c r="E99" i="12" s="1"/>
  <c r="AA142" i="12" a="1"/>
  <c r="AA142" i="12" s="1"/>
  <c r="E142" i="12" a="1"/>
  <c r="E142" i="12" s="1"/>
  <c r="D142" i="12" a="1"/>
  <c r="D142" i="12" s="1"/>
  <c r="C142" i="12" a="1"/>
  <c r="C142" i="12" s="1"/>
  <c r="AB142" i="12" a="1"/>
  <c r="AB142" i="12" s="1"/>
  <c r="AC154" i="12" a="1"/>
  <c r="AC154" i="12" s="1"/>
  <c r="E154" i="12" a="1"/>
  <c r="E154" i="12" s="1"/>
  <c r="D154" i="12" a="1"/>
  <c r="D154" i="12" s="1"/>
  <c r="Z156" i="12"/>
  <c r="X221" i="12"/>
  <c r="W221" i="12" s="1" a="1"/>
  <c r="W221" i="12" s="1"/>
  <c r="AC221" i="12" a="1"/>
  <c r="AC221" i="12" s="1"/>
  <c r="AC265" i="12" a="1"/>
  <c r="AC265" i="12" s="1"/>
  <c r="D265" i="12" a="1"/>
  <c r="D265" i="12" s="1"/>
  <c r="C289" i="12" a="1"/>
  <c r="C289" i="12" s="1"/>
  <c r="AB289" i="12" a="1"/>
  <c r="AB289" i="12" s="1"/>
  <c r="Z289" i="12"/>
  <c r="X289" i="12"/>
  <c r="W289" i="12" s="1" a="1"/>
  <c r="W289" i="12" s="1"/>
  <c r="E289" i="12" a="1"/>
  <c r="E289" i="12" s="1"/>
  <c r="AB5" i="12" a="1"/>
  <c r="AB5" i="12" s="1"/>
  <c r="AA6" i="12" a="1"/>
  <c r="AA6" i="12" s="1"/>
  <c r="D25" i="12" a="1"/>
  <c r="D25" i="12" s="1"/>
  <c r="X48" i="12"/>
  <c r="W48" i="12" s="1" a="1"/>
  <c r="W48" i="12" s="1"/>
  <c r="D53" i="12" a="1"/>
  <c r="D53" i="12" s="1"/>
  <c r="C58" i="12" a="1"/>
  <c r="C58" i="12" s="1"/>
  <c r="X61" i="12"/>
  <c r="W61" i="12" s="1" a="1"/>
  <c r="W61" i="12" s="1"/>
  <c r="D65" i="12" a="1"/>
  <c r="D65" i="12" s="1"/>
  <c r="X90" i="12"/>
  <c r="W90" i="12" s="1" a="1"/>
  <c r="W90" i="12" s="1"/>
  <c r="C98" i="12" a="1"/>
  <c r="C98" i="12" s="1"/>
  <c r="X101" i="12"/>
  <c r="W101" i="12" s="1" a="1"/>
  <c r="W101" i="12" s="1"/>
  <c r="Z103" i="12"/>
  <c r="AB121" i="12" a="1"/>
  <c r="AB121" i="12" s="1"/>
  <c r="AC121" i="12" a="1"/>
  <c r="AC121" i="12" s="1"/>
  <c r="Z121" i="12"/>
  <c r="D121" i="12" a="1"/>
  <c r="D121" i="12" s="1"/>
  <c r="C121" i="12" a="1"/>
  <c r="C121" i="12" s="1"/>
  <c r="AA129" i="12" a="1"/>
  <c r="AA129" i="12" s="1"/>
  <c r="AC129" i="12" a="1"/>
  <c r="AC129" i="12" s="1"/>
  <c r="X129" i="12"/>
  <c r="W129" i="12" s="1" a="1"/>
  <c r="W129" i="12" s="1"/>
  <c r="E129" i="12" a="1"/>
  <c r="E129" i="12" s="1"/>
  <c r="D129" i="12" a="1"/>
  <c r="D129" i="12" s="1"/>
  <c r="AB156" i="12" a="1"/>
  <c r="AB156" i="12" s="1"/>
  <c r="AC164" i="12" a="1"/>
  <c r="AC164" i="12" s="1"/>
  <c r="D289" i="12" a="1"/>
  <c r="D289" i="12" s="1"/>
  <c r="D54" i="12" a="1"/>
  <c r="D54" i="12" s="1"/>
  <c r="Z61" i="12"/>
  <c r="E64" i="12" a="1"/>
  <c r="E64" i="12" s="1"/>
  <c r="Z71" i="12"/>
  <c r="Z76" i="12"/>
  <c r="AA90" i="12" a="1"/>
  <c r="AA90" i="12" s="1"/>
  <c r="E98" i="12" a="1"/>
  <c r="E98" i="12" s="1"/>
  <c r="Z99" i="12"/>
  <c r="Z100" i="12"/>
  <c r="AA101" i="12" a="1"/>
  <c r="AA101" i="12" s="1"/>
  <c r="AB103" i="12" a="1"/>
  <c r="AB103" i="12" s="1"/>
  <c r="Z110" i="12"/>
  <c r="E110" i="12" a="1"/>
  <c r="E110" i="12" s="1"/>
  <c r="AA112" i="12" a="1"/>
  <c r="AA112" i="12" s="1"/>
  <c r="X114" i="12"/>
  <c r="W114" i="12" s="1" a="1"/>
  <c r="W114" i="12" s="1"/>
  <c r="Z151" i="12"/>
  <c r="AA151" i="12" a="1"/>
  <c r="AA151" i="12" s="1"/>
  <c r="E151" i="12" a="1"/>
  <c r="E151" i="12" s="1"/>
  <c r="X154" i="12"/>
  <c r="W154" i="12" s="1" a="1"/>
  <c r="W154" i="12" s="1"/>
  <c r="C184" i="12" a="1"/>
  <c r="C184" i="12" s="1"/>
  <c r="AC184" i="12" a="1"/>
  <c r="AC184" i="12" s="1"/>
  <c r="AB184" i="12" a="1"/>
  <c r="AB184" i="12" s="1"/>
  <c r="X184" i="12"/>
  <c r="W184" i="12" s="1" a="1"/>
  <c r="W184" i="12" s="1"/>
  <c r="E184" i="12" a="1"/>
  <c r="E184" i="12" s="1"/>
  <c r="Z75" i="12"/>
  <c r="AC76" i="12" a="1"/>
  <c r="AC76" i="12" s="1"/>
  <c r="Z86" i="12"/>
  <c r="Z116" i="12"/>
  <c r="AA116" i="12" a="1"/>
  <c r="AA116" i="12" s="1"/>
  <c r="E116" i="12" a="1"/>
  <c r="E116" i="12" s="1"/>
  <c r="X134" i="12"/>
  <c r="W134" i="12" s="1" a="1"/>
  <c r="W134" i="12" s="1"/>
  <c r="AB134" i="12" a="1"/>
  <c r="AB134" i="12" s="1"/>
  <c r="AA134" i="12" a="1"/>
  <c r="AA134" i="12" s="1"/>
  <c r="AB160" i="12" a="1"/>
  <c r="AB160" i="12" s="1"/>
  <c r="AC160" i="12" a="1"/>
  <c r="AC160" i="12" s="1"/>
  <c r="AA160" i="12" a="1"/>
  <c r="AA160" i="12" s="1"/>
  <c r="Z160" i="12"/>
  <c r="E160" i="12" a="1"/>
  <c r="E160" i="12" s="1"/>
  <c r="X194" i="12"/>
  <c r="W194" i="12" s="1" a="1"/>
  <c r="W194" i="12" s="1"/>
  <c r="AC194" i="12" a="1"/>
  <c r="AC194" i="12" s="1"/>
  <c r="AB194" i="12" a="1"/>
  <c r="AB194" i="12" s="1"/>
  <c r="AA194" i="12" a="1"/>
  <c r="AA194" i="12" s="1"/>
  <c r="Z194" i="12"/>
  <c r="D194" i="12" a="1"/>
  <c r="D194" i="12" s="1"/>
  <c r="AC283" i="12" a="1"/>
  <c r="AC283" i="12" s="1"/>
  <c r="X283" i="12"/>
  <c r="W283" i="12" s="1" a="1"/>
  <c r="W283" i="12" s="1"/>
  <c r="E283" i="12" a="1"/>
  <c r="E283" i="12" s="1"/>
  <c r="D283" i="12" a="1"/>
  <c r="D283" i="12" s="1"/>
  <c r="Z331" i="12"/>
  <c r="AB331" i="12" a="1"/>
  <c r="AB331" i="12" s="1"/>
  <c r="AA331" i="12" a="1"/>
  <c r="AA331" i="12" s="1"/>
  <c r="X331" i="12"/>
  <c r="W331" i="12" s="1" a="1"/>
  <c r="W331" i="12" s="1"/>
  <c r="C51" i="12" a="1"/>
  <c r="C51" i="12" s="1"/>
  <c r="D52" i="12" a="1"/>
  <c r="D52" i="12" s="1"/>
  <c r="C134" i="12" a="1"/>
  <c r="C134" i="12" s="1"/>
  <c r="AC142" i="12" a="1"/>
  <c r="AC142" i="12" s="1"/>
  <c r="AA145" i="12" a="1"/>
  <c r="AA145" i="12" s="1"/>
  <c r="X145" i="12"/>
  <c r="W145" i="12" s="1" a="1"/>
  <c r="W145" i="12" s="1"/>
  <c r="D145" i="12" a="1"/>
  <c r="D145" i="12" s="1"/>
  <c r="C145" i="12" a="1"/>
  <c r="C145" i="12" s="1"/>
  <c r="C160" i="12" a="1"/>
  <c r="C160" i="12" s="1"/>
  <c r="C194" i="12" a="1"/>
  <c r="C194" i="12" s="1"/>
  <c r="X234" i="12"/>
  <c r="W234" i="12" s="1" a="1"/>
  <c r="W234" i="12" s="1"/>
  <c r="AC234" i="12" a="1"/>
  <c r="AC234" i="12" s="1"/>
  <c r="AB234" i="12" a="1"/>
  <c r="AB234" i="12" s="1"/>
  <c r="AA234" i="12" a="1"/>
  <c r="AA234" i="12" s="1"/>
  <c r="Z234" i="12"/>
  <c r="E234" i="12" a="1"/>
  <c r="E234" i="12" s="1"/>
  <c r="D234" i="12" a="1"/>
  <c r="D234" i="12" s="1"/>
  <c r="C234" i="12" a="1"/>
  <c r="C234" i="12" s="1"/>
  <c r="X259" i="12"/>
  <c r="W259" i="12" s="1" a="1"/>
  <c r="W259" i="12" s="1"/>
  <c r="AB259" i="12" a="1"/>
  <c r="AB259" i="12" s="1"/>
  <c r="Z259" i="12"/>
  <c r="D259" i="12" a="1"/>
  <c r="D259" i="12" s="1"/>
  <c r="AC308" i="12" a="1"/>
  <c r="AC308" i="12" s="1"/>
  <c r="AB308" i="12" a="1"/>
  <c r="AB308" i="12" s="1"/>
  <c r="Z321" i="12"/>
  <c r="AC321" i="12" a="1"/>
  <c r="AC321" i="12" s="1"/>
  <c r="AA321" i="12" a="1"/>
  <c r="AA321" i="12" s="1"/>
  <c r="E321" i="12" a="1"/>
  <c r="E321" i="12" s="1"/>
  <c r="AB321" i="12" a="1"/>
  <c r="AB321" i="12" s="1"/>
  <c r="C321" i="12" a="1"/>
  <c r="C321" i="12" s="1"/>
  <c r="E47" i="12" a="1"/>
  <c r="E47" i="12" s="1"/>
  <c r="C49" i="12" a="1"/>
  <c r="C49" i="12" s="1"/>
  <c r="E50" i="12" a="1"/>
  <c r="E50" i="12" s="1"/>
  <c r="D51" i="12" a="1"/>
  <c r="D51" i="12" s="1"/>
  <c r="E52" i="12" a="1"/>
  <c r="E52" i="12" s="1"/>
  <c r="Z54" i="12"/>
  <c r="AC58" i="12" a="1"/>
  <c r="AC58" i="12" s="1"/>
  <c r="E63" i="12" a="1"/>
  <c r="E63" i="12" s="1"/>
  <c r="Z64" i="12"/>
  <c r="C84" i="12" a="1"/>
  <c r="C84" i="12" s="1"/>
  <c r="Z85" i="12"/>
  <c r="AC86" i="12" a="1"/>
  <c r="AC86" i="12" s="1"/>
  <c r="AB100" i="12" a="1"/>
  <c r="AB100" i="12" s="1"/>
  <c r="AB116" i="12" a="1"/>
  <c r="AB116" i="12" s="1"/>
  <c r="D134" i="12" a="1"/>
  <c r="D134" i="12" s="1"/>
  <c r="E145" i="12" a="1"/>
  <c r="E145" i="12" s="1"/>
  <c r="D160" i="12" a="1"/>
  <c r="D160" i="12" s="1"/>
  <c r="X199" i="12"/>
  <c r="W199" i="12" s="1" a="1"/>
  <c r="W199" i="12" s="1"/>
  <c r="AB199" i="12" a="1"/>
  <c r="AB199" i="12" s="1"/>
  <c r="Z199" i="12"/>
  <c r="Z212" i="12"/>
  <c r="X317" i="12"/>
  <c r="W317" i="12" s="1" a="1"/>
  <c r="W317" i="12" s="1"/>
  <c r="D317" i="12" a="1"/>
  <c r="D317" i="12" s="1"/>
  <c r="AA369" i="12" a="1"/>
  <c r="AA369" i="12" s="1"/>
  <c r="AC369" i="12" a="1"/>
  <c r="AC369" i="12" s="1"/>
  <c r="AB369" i="12" a="1"/>
  <c r="AB369" i="12" s="1"/>
  <c r="Z369" i="12"/>
  <c r="Z117" i="12"/>
  <c r="E118" i="12" a="1"/>
  <c r="E118" i="12" s="1"/>
  <c r="AA125" i="12" a="1"/>
  <c r="AA125" i="12" s="1"/>
  <c r="Z132" i="12"/>
  <c r="AC138" i="12" a="1"/>
  <c r="AC138" i="12" s="1"/>
  <c r="AA152" i="12" a="1"/>
  <c r="AA152" i="12" s="1"/>
  <c r="AB153" i="12" a="1"/>
  <c r="AB153" i="12" s="1"/>
  <c r="AC175" i="12" a="1"/>
  <c r="AC175" i="12" s="1"/>
  <c r="E182" i="12" a="1"/>
  <c r="E182" i="12" s="1"/>
  <c r="AB195" i="12" a="1"/>
  <c r="AB195" i="12" s="1"/>
  <c r="Z200" i="12"/>
  <c r="D210" i="12" a="1"/>
  <c r="D210" i="12" s="1"/>
  <c r="AC212" i="12" a="1"/>
  <c r="AC212" i="12" s="1"/>
  <c r="AC218" i="12" a="1"/>
  <c r="AC218" i="12" s="1"/>
  <c r="Z224" i="12"/>
  <c r="AC225" i="12" a="1"/>
  <c r="AC225" i="12" s="1"/>
  <c r="AB236" i="12" a="1"/>
  <c r="AB236" i="12" s="1"/>
  <c r="AA237" i="12" a="1"/>
  <c r="AA237" i="12" s="1"/>
  <c r="Z240" i="12"/>
  <c r="AA246" i="12" a="1"/>
  <c r="AA246" i="12" s="1"/>
  <c r="AC249" i="12" a="1"/>
  <c r="AC249" i="12" s="1"/>
  <c r="AC250" i="12" a="1"/>
  <c r="AC250" i="12" s="1"/>
  <c r="Z254" i="12"/>
  <c r="AB256" i="12" a="1"/>
  <c r="AB256" i="12" s="1"/>
  <c r="Z260" i="12"/>
  <c r="E269" i="12" a="1"/>
  <c r="E269" i="12" s="1"/>
  <c r="E270" i="12" a="1"/>
  <c r="E270" i="12" s="1"/>
  <c r="Z276" i="12"/>
  <c r="Z286" i="12"/>
  <c r="AC314" i="12" a="1"/>
  <c r="AC314" i="12" s="1"/>
  <c r="E317" i="12" a="1"/>
  <c r="E317" i="12" s="1"/>
  <c r="X364" i="12"/>
  <c r="W364" i="12" s="1" a="1"/>
  <c r="W364" i="12" s="1"/>
  <c r="AB364" i="12" a="1"/>
  <c r="AB364" i="12" s="1"/>
  <c r="E364" i="12" a="1"/>
  <c r="E364" i="12" s="1"/>
  <c r="D364" i="12" a="1"/>
  <c r="D364" i="12" s="1"/>
  <c r="E369" i="12" a="1"/>
  <c r="E369" i="12" s="1"/>
  <c r="E210" i="12" a="1"/>
  <c r="E210" i="12" s="1"/>
  <c r="AB224" i="12" a="1"/>
  <c r="AB224" i="12" s="1"/>
  <c r="AC246" i="12" a="1"/>
  <c r="AC246" i="12" s="1"/>
  <c r="AA254" i="12" a="1"/>
  <c r="AA254" i="12" s="1"/>
  <c r="AA286" i="12" a="1"/>
  <c r="AA286" i="12" s="1"/>
  <c r="Z294" i="12"/>
  <c r="X346" i="12"/>
  <c r="W346" i="12" s="1" a="1"/>
  <c r="W346" i="12" s="1"/>
  <c r="AC346" i="12" a="1"/>
  <c r="AC346" i="12" s="1"/>
  <c r="AB346" i="12" a="1"/>
  <c r="AB346" i="12" s="1"/>
  <c r="Z346" i="12"/>
  <c r="D346" i="12" a="1"/>
  <c r="D346" i="12" s="1"/>
  <c r="AC366" i="12" a="1"/>
  <c r="AC366" i="12" s="1"/>
  <c r="E366" i="12" a="1"/>
  <c r="E366" i="12" s="1"/>
  <c r="AA117" i="12" a="1"/>
  <c r="AA117" i="12" s="1"/>
  <c r="X118" i="12"/>
  <c r="W118" i="12" s="1" a="1"/>
  <c r="W118" i="12" s="1"/>
  <c r="AC125" i="12" a="1"/>
  <c r="AC125" i="12" s="1"/>
  <c r="AC132" i="12" a="1"/>
  <c r="AC132" i="12" s="1"/>
  <c r="AA135" i="12" a="1"/>
  <c r="AA135" i="12" s="1"/>
  <c r="D148" i="12" a="1"/>
  <c r="D148" i="12" s="1"/>
  <c r="AC153" i="12" a="1"/>
  <c r="AC153" i="12" s="1"/>
  <c r="E166" i="12" a="1"/>
  <c r="E166" i="12" s="1"/>
  <c r="AA173" i="12" a="1"/>
  <c r="AA173" i="12" s="1"/>
  <c r="AA174" i="12" a="1"/>
  <c r="AA174" i="12" s="1"/>
  <c r="C181" i="12" a="1"/>
  <c r="C181" i="12" s="1"/>
  <c r="C193" i="12" a="1"/>
  <c r="C193" i="12" s="1"/>
  <c r="AA200" i="12" a="1"/>
  <c r="AA200" i="12" s="1"/>
  <c r="AA201" i="12" a="1"/>
  <c r="AA201" i="12" s="1"/>
  <c r="AC211" i="12" a="1"/>
  <c r="AC211" i="12" s="1"/>
  <c r="C228" i="12" a="1"/>
  <c r="C228" i="12" s="1"/>
  <c r="C231" i="12" a="1"/>
  <c r="C231" i="12" s="1"/>
  <c r="C232" i="12" a="1"/>
  <c r="C232" i="12" s="1"/>
  <c r="D233" i="12" a="1"/>
  <c r="D233" i="12" s="1"/>
  <c r="D242" i="12" a="1"/>
  <c r="D242" i="12" s="1"/>
  <c r="C252" i="12" a="1"/>
  <c r="C252" i="12" s="1"/>
  <c r="AB254" i="12" a="1"/>
  <c r="AB254" i="12" s="1"/>
  <c r="AA255" i="12" a="1"/>
  <c r="AA255" i="12" s="1"/>
  <c r="Z267" i="12"/>
  <c r="Z268" i="12"/>
  <c r="Z270" i="12"/>
  <c r="D278" i="12" a="1"/>
  <c r="D278" i="12" s="1"/>
  <c r="AB286" i="12" a="1"/>
  <c r="AB286" i="12" s="1"/>
  <c r="C288" i="12" a="1"/>
  <c r="C288" i="12" s="1"/>
  <c r="AA294" i="12" a="1"/>
  <c r="AA294" i="12" s="1"/>
  <c r="D296" i="12" a="1"/>
  <c r="D296" i="12" s="1"/>
  <c r="C305" i="12" a="1"/>
  <c r="C305" i="12" s="1"/>
  <c r="Z317" i="12"/>
  <c r="C323" i="12" a="1"/>
  <c r="C323" i="12" s="1"/>
  <c r="AB323" i="12" a="1"/>
  <c r="AB323" i="12" s="1"/>
  <c r="X323" i="12"/>
  <c r="W323" i="12" s="1" a="1"/>
  <c r="W323" i="12" s="1"/>
  <c r="C324" i="12" a="1"/>
  <c r="C324" i="12" s="1"/>
  <c r="AB342" i="12" a="1"/>
  <c r="AB342" i="12" s="1"/>
  <c r="AC342" i="12" a="1"/>
  <c r="AC342" i="12" s="1"/>
  <c r="AA342" i="12" a="1"/>
  <c r="AA342" i="12" s="1"/>
  <c r="E342" i="12" a="1"/>
  <c r="E342" i="12" s="1"/>
  <c r="C346" i="12" a="1"/>
  <c r="C346" i="12" s="1"/>
  <c r="Z368" i="12"/>
  <c r="AC368" i="12" a="1"/>
  <c r="AC368" i="12" s="1"/>
  <c r="AB368" i="12" a="1"/>
  <c r="AB368" i="12" s="1"/>
  <c r="AA368" i="12" a="1"/>
  <c r="AA368" i="12" s="1"/>
  <c r="D368" i="12" a="1"/>
  <c r="D368" i="12" s="1"/>
  <c r="X369" i="12"/>
  <c r="W369" i="12" s="1" a="1"/>
  <c r="W369" i="12" s="1"/>
  <c r="Z118" i="12"/>
  <c r="AB135" i="12" a="1"/>
  <c r="AB135" i="12" s="1"/>
  <c r="AA172" i="12" a="1"/>
  <c r="AA172" i="12" s="1"/>
  <c r="AB177" i="12" a="1"/>
  <c r="AB177" i="12" s="1"/>
  <c r="Z182" i="12"/>
  <c r="E193" i="12" a="1"/>
  <c r="E193" i="12" s="1"/>
  <c r="AB200" i="12" a="1"/>
  <c r="AB200" i="12" s="1"/>
  <c r="AC201" i="12" a="1"/>
  <c r="AC201" i="12" s="1"/>
  <c r="AA205" i="12" a="1"/>
  <c r="AA205" i="12" s="1"/>
  <c r="Z209" i="12"/>
  <c r="Z210" i="12"/>
  <c r="C218" i="12" a="1"/>
  <c r="C218" i="12" s="1"/>
  <c r="D228" i="12" a="1"/>
  <c r="D228" i="12" s="1"/>
  <c r="E231" i="12" a="1"/>
  <c r="E231" i="12" s="1"/>
  <c r="D232" i="12" a="1"/>
  <c r="D232" i="12" s="1"/>
  <c r="E233" i="12" a="1"/>
  <c r="E233" i="12" s="1"/>
  <c r="E242" i="12" a="1"/>
  <c r="E242" i="12" s="1"/>
  <c r="AC254" i="12" a="1"/>
  <c r="AC254" i="12" s="1"/>
  <c r="AB255" i="12" a="1"/>
  <c r="AB255" i="12" s="1"/>
  <c r="AA267" i="12" a="1"/>
  <c r="AA267" i="12" s="1"/>
  <c r="AA268" i="12" a="1"/>
  <c r="AA268" i="12" s="1"/>
  <c r="Z269" i="12"/>
  <c r="AA270" i="12" a="1"/>
  <c r="AA270" i="12" s="1"/>
  <c r="C272" i="12" a="1"/>
  <c r="C272" i="12" s="1"/>
  <c r="C273" i="12" a="1"/>
  <c r="C273" i="12" s="1"/>
  <c r="C274" i="12" a="1"/>
  <c r="C274" i="12" s="1"/>
  <c r="E278" i="12" a="1"/>
  <c r="E278" i="12" s="1"/>
  <c r="D288" i="12" a="1"/>
  <c r="D288" i="12" s="1"/>
  <c r="C292" i="12" a="1"/>
  <c r="C292" i="12" s="1"/>
  <c r="D305" i="12" a="1"/>
  <c r="D305" i="12" s="1"/>
  <c r="Z315" i="12"/>
  <c r="AB315" i="12" a="1"/>
  <c r="AB315" i="12" s="1"/>
  <c r="AC340" i="12" a="1"/>
  <c r="AC340" i="12" s="1"/>
  <c r="Z340" i="12"/>
  <c r="E346" i="12" a="1"/>
  <c r="E346" i="12" s="1"/>
  <c r="X366" i="12"/>
  <c r="W366" i="12" s="1" a="1"/>
  <c r="W366" i="12" s="1"/>
  <c r="AC172" i="12" a="1"/>
  <c r="AC172" i="12" s="1"/>
  <c r="AC200" i="12" a="1"/>
  <c r="AC200" i="12" s="1"/>
  <c r="AA209" i="12" a="1"/>
  <c r="AA209" i="12" s="1"/>
  <c r="AA210" i="12" a="1"/>
  <c r="AA210" i="12" s="1"/>
  <c r="E228" i="12" a="1"/>
  <c r="E228" i="12" s="1"/>
  <c r="E232" i="12" a="1"/>
  <c r="E232" i="12" s="1"/>
  <c r="C249" i="12" a="1"/>
  <c r="C249" i="12" s="1"/>
  <c r="C250" i="12" a="1"/>
  <c r="C250" i="12" s="1"/>
  <c r="D251" i="12" a="1"/>
  <c r="D251" i="12" s="1"/>
  <c r="D252" i="12" a="1"/>
  <c r="D252" i="12" s="1"/>
  <c r="AB267" i="12" a="1"/>
  <c r="AB267" i="12" s="1"/>
  <c r="AA269" i="12" a="1"/>
  <c r="AA269" i="12" s="1"/>
  <c r="AB270" i="12" a="1"/>
  <c r="AB270" i="12" s="1"/>
  <c r="D272" i="12" a="1"/>
  <c r="D272" i="12" s="1"/>
  <c r="D273" i="12" a="1"/>
  <c r="D273" i="12" s="1"/>
  <c r="E274" i="12" a="1"/>
  <c r="E274" i="12" s="1"/>
  <c r="E288" i="12" a="1"/>
  <c r="E288" i="12" s="1"/>
  <c r="D292" i="12" a="1"/>
  <c r="D292" i="12" s="1"/>
  <c r="Z296" i="12"/>
  <c r="AA300" i="12" a="1"/>
  <c r="AA300" i="12" s="1"/>
  <c r="E305" i="12" a="1"/>
  <c r="E305" i="12" s="1"/>
  <c r="C309" i="12" a="1"/>
  <c r="C309" i="12" s="1"/>
  <c r="C315" i="12" a="1"/>
  <c r="C315" i="12" s="1"/>
  <c r="AA317" i="12" a="1"/>
  <c r="AA317" i="12" s="1"/>
  <c r="E340" i="12" a="1"/>
  <c r="E340" i="12" s="1"/>
  <c r="AA351" i="12" a="1"/>
  <c r="AA351" i="12" s="1"/>
  <c r="AC351" i="12" a="1"/>
  <c r="AC351" i="12" s="1"/>
  <c r="C368" i="12" a="1"/>
  <c r="C368" i="12" s="1"/>
  <c r="AB269" i="12" a="1"/>
  <c r="AB269" i="12" s="1"/>
  <c r="AB317" i="12" a="1"/>
  <c r="AB317" i="12" s="1"/>
  <c r="AA333" i="12" a="1"/>
  <c r="AA333" i="12" s="1"/>
  <c r="X333" i="12"/>
  <c r="W333" i="12" s="1" a="1"/>
  <c r="W333" i="12" s="1"/>
  <c r="D333" i="12" a="1"/>
  <c r="D333" i="12" s="1"/>
  <c r="C333" i="12" a="1"/>
  <c r="C333" i="12" s="1"/>
  <c r="E384" i="12" a="1"/>
  <c r="E384" i="12" s="1"/>
  <c r="D384" i="12" a="1"/>
  <c r="D384" i="12" s="1"/>
  <c r="C384" i="12" a="1"/>
  <c r="C384" i="12" s="1"/>
  <c r="AB384" i="12" a="1"/>
  <c r="AB384" i="12" s="1"/>
  <c r="X384" i="12"/>
  <c r="W384" i="12" s="1" a="1"/>
  <c r="W384" i="12" s="1"/>
  <c r="AB181" i="12" a="1"/>
  <c r="AB181" i="12" s="1"/>
  <c r="AB182" i="12" a="1"/>
  <c r="AB182" i="12" s="1"/>
  <c r="AC209" i="12" a="1"/>
  <c r="AC209" i="12" s="1"/>
  <c r="C212" i="12" a="1"/>
  <c r="C212" i="12" s="1"/>
  <c r="C215" i="12" a="1"/>
  <c r="C215" i="12" s="1"/>
  <c r="Z233" i="12"/>
  <c r="X242" i="12"/>
  <c r="W242" i="12" s="1" a="1"/>
  <c r="W242" i="12" s="1"/>
  <c r="C246" i="12" a="1"/>
  <c r="C246" i="12" s="1"/>
  <c r="AC268" i="12" a="1"/>
  <c r="AC268" i="12" s="1"/>
  <c r="AA278" i="12" a="1"/>
  <c r="AA278" i="12" s="1"/>
  <c r="D282" i="12" a="1"/>
  <c r="D282" i="12" s="1"/>
  <c r="C287" i="12" a="1"/>
  <c r="C287" i="12" s="1"/>
  <c r="Z288" i="12"/>
  <c r="C295" i="12" a="1"/>
  <c r="C295" i="12" s="1"/>
  <c r="AB296" i="12" a="1"/>
  <c r="AB296" i="12" s="1"/>
  <c r="Z305" i="12"/>
  <c r="AC317" i="12" a="1"/>
  <c r="AC317" i="12" s="1"/>
  <c r="AA320" i="12" a="1"/>
  <c r="AA320" i="12" s="1"/>
  <c r="AC320" i="12" a="1"/>
  <c r="AC320" i="12" s="1"/>
  <c r="X320" i="12"/>
  <c r="W320" i="12" s="1" a="1"/>
  <c r="W320" i="12" s="1"/>
  <c r="C322" i="12" a="1"/>
  <c r="C322" i="12" s="1"/>
  <c r="Z322" i="12"/>
  <c r="X359" i="12"/>
  <c r="W359" i="12" s="1" a="1"/>
  <c r="W359" i="12" s="1"/>
  <c r="AA359" i="12" a="1"/>
  <c r="AA359" i="12" s="1"/>
  <c r="E359" i="12" a="1"/>
  <c r="E359" i="12" s="1"/>
  <c r="D359" i="12" a="1"/>
  <c r="D359" i="12" s="1"/>
  <c r="C359" i="12" a="1"/>
  <c r="C359" i="12" s="1"/>
  <c r="D123" i="12" a="1"/>
  <c r="D123" i="12" s="1"/>
  <c r="C125" i="12" a="1"/>
  <c r="C125" i="12" s="1"/>
  <c r="AA128" i="12" a="1"/>
  <c r="AA128" i="12" s="1"/>
  <c r="C135" i="12" a="1"/>
  <c r="C135" i="12" s="1"/>
  <c r="D138" i="12" a="1"/>
  <c r="D138" i="12" s="1"/>
  <c r="AB148" i="12" a="1"/>
  <c r="AB148" i="12" s="1"/>
  <c r="AC157" i="12" a="1"/>
  <c r="AC157" i="12" s="1"/>
  <c r="Z163" i="12"/>
  <c r="Z165" i="12"/>
  <c r="C175" i="12" a="1"/>
  <c r="C175" i="12" s="1"/>
  <c r="Z176" i="12"/>
  <c r="AC182" i="12" a="1"/>
  <c r="AC182" i="12" s="1"/>
  <c r="AC193" i="12" a="1"/>
  <c r="AC193" i="12" s="1"/>
  <c r="Z196" i="12"/>
  <c r="C200" i="12" a="1"/>
  <c r="C200" i="12" s="1"/>
  <c r="D202" i="12" a="1"/>
  <c r="D202" i="12" s="1"/>
  <c r="D204" i="12" a="1"/>
  <c r="D204" i="12" s="1"/>
  <c r="D212" i="12" a="1"/>
  <c r="D212" i="12" s="1"/>
  <c r="E215" i="12" a="1"/>
  <c r="E215" i="12" s="1"/>
  <c r="C217" i="12" a="1"/>
  <c r="C217" i="12" s="1"/>
  <c r="D224" i="12" a="1"/>
  <c r="D224" i="12" s="1"/>
  <c r="Z228" i="12"/>
  <c r="Z231" i="12"/>
  <c r="Z232" i="12"/>
  <c r="AA233" i="12" a="1"/>
  <c r="AA233" i="12" s="1"/>
  <c r="E237" i="12" a="1"/>
  <c r="E237" i="12" s="1"/>
  <c r="D241" i="12" a="1"/>
  <c r="D241" i="12" s="1"/>
  <c r="Z242" i="12"/>
  <c r="D246" i="12" a="1"/>
  <c r="D246" i="12" s="1"/>
  <c r="D247" i="12" a="1"/>
  <c r="D247" i="12" s="1"/>
  <c r="Z252" i="12"/>
  <c r="C254" i="12" a="1"/>
  <c r="C254" i="12" s="1"/>
  <c r="C255" i="12" a="1"/>
  <c r="C255" i="12" s="1"/>
  <c r="C256" i="12" a="1"/>
  <c r="C256" i="12" s="1"/>
  <c r="E257" i="12" a="1"/>
  <c r="E257" i="12" s="1"/>
  <c r="D260" i="12" a="1"/>
  <c r="D260" i="12" s="1"/>
  <c r="E261" i="12" a="1"/>
  <c r="E261" i="12" s="1"/>
  <c r="AA274" i="12" a="1"/>
  <c r="AA274" i="12" s="1"/>
  <c r="D277" i="12" a="1"/>
  <c r="D277" i="12" s="1"/>
  <c r="AC278" i="12" a="1"/>
  <c r="AC278" i="12" s="1"/>
  <c r="Z280" i="12"/>
  <c r="E282" i="12" a="1"/>
  <c r="E282" i="12" s="1"/>
  <c r="E284" i="12" a="1"/>
  <c r="E284" i="12" s="1"/>
  <c r="E287" i="12" a="1"/>
  <c r="E287" i="12" s="1"/>
  <c r="AB288" i="12" a="1"/>
  <c r="AB288" i="12" s="1"/>
  <c r="Z292" i="12"/>
  <c r="E295" i="12" a="1"/>
  <c r="E295" i="12" s="1"/>
  <c r="C303" i="12" a="1"/>
  <c r="C303" i="12" s="1"/>
  <c r="AC307" i="12" a="1"/>
  <c r="AC307" i="12" s="1"/>
  <c r="AA309" i="12" a="1"/>
  <c r="AA309" i="12" s="1"/>
  <c r="AB310" i="12" a="1"/>
  <c r="AB310" i="12" s="1"/>
  <c r="AA315" i="12" a="1"/>
  <c r="AA315" i="12" s="1"/>
  <c r="D322" i="12" a="1"/>
  <c r="D322" i="12" s="1"/>
  <c r="Z323" i="12"/>
  <c r="Z332" i="12"/>
  <c r="C332" i="12" a="1"/>
  <c r="C332" i="12" s="1"/>
  <c r="Z343" i="12"/>
  <c r="AB343" i="12" a="1"/>
  <c r="AB343" i="12" s="1"/>
  <c r="AA343" i="12" a="1"/>
  <c r="AA343" i="12" s="1"/>
  <c r="X343" i="12"/>
  <c r="W343" i="12" s="1" a="1"/>
  <c r="W343" i="12" s="1"/>
  <c r="E351" i="12" a="1"/>
  <c r="E351" i="12" s="1"/>
  <c r="Z361" i="12"/>
  <c r="C361" i="12" a="1"/>
  <c r="C361" i="12" s="1"/>
  <c r="AB361" i="12" a="1"/>
  <c r="AB361" i="12" s="1"/>
  <c r="D370" i="12" a="1"/>
  <c r="D370" i="12" s="1"/>
  <c r="E224" i="12" a="1"/>
  <c r="E224" i="12" s="1"/>
  <c r="AA228" i="12" a="1"/>
  <c r="AA228" i="12" s="1"/>
  <c r="AA231" i="12" a="1"/>
  <c r="AA231" i="12" s="1"/>
  <c r="AA232" i="12" a="1"/>
  <c r="AA232" i="12" s="1"/>
  <c r="AB233" i="12" a="1"/>
  <c r="AB233" i="12" s="1"/>
  <c r="E246" i="12" a="1"/>
  <c r="E246" i="12" s="1"/>
  <c r="AB263" i="12" a="1"/>
  <c r="AB263" i="12" s="1"/>
  <c r="D339" i="12" a="1"/>
  <c r="D339" i="12" s="1"/>
  <c r="AA339" i="12" a="1"/>
  <c r="AA339" i="12" s="1"/>
  <c r="X339" i="12"/>
  <c r="W339" i="12" s="1" a="1"/>
  <c r="W339" i="12" s="1"/>
  <c r="C339" i="12" a="1"/>
  <c r="C339" i="12" s="1"/>
  <c r="D345" i="12" a="1"/>
  <c r="D345" i="12" s="1"/>
  <c r="AC345" i="12" a="1"/>
  <c r="AC345" i="12" s="1"/>
  <c r="X345" i="12"/>
  <c r="W345" i="12" s="1" a="1"/>
  <c r="W345" i="12" s="1"/>
  <c r="E345" i="12" a="1"/>
  <c r="E345" i="12" s="1"/>
  <c r="C345" i="12" a="1"/>
  <c r="C345" i="12" s="1"/>
  <c r="AC349" i="12" a="1"/>
  <c r="AC349" i="12" s="1"/>
  <c r="E349" i="12" a="1"/>
  <c r="E349" i="12" s="1"/>
  <c r="AA374" i="12" a="1"/>
  <c r="AA374" i="12" s="1"/>
  <c r="AC374" i="12" a="1"/>
  <c r="AC374" i="12" s="1"/>
  <c r="AB374" i="12" a="1"/>
  <c r="AB374" i="12" s="1"/>
  <c r="E374" i="12" a="1"/>
  <c r="E374" i="12" s="1"/>
  <c r="AB462" i="12" a="1"/>
  <c r="AB462" i="12" s="1"/>
  <c r="E534" i="12" a="1"/>
  <c r="E534" i="12" s="1"/>
  <c r="D534" i="12" a="1"/>
  <c r="D534" i="12" s="1"/>
  <c r="AA534" i="12" a="1"/>
  <c r="AA534" i="12" s="1"/>
  <c r="Z534" i="12"/>
  <c r="X534" i="12"/>
  <c r="W534" i="12" s="1" a="1"/>
  <c r="W534" i="12" s="1"/>
  <c r="X542" i="12"/>
  <c r="W542" i="12" s="1" a="1"/>
  <c r="W542" i="12" s="1"/>
  <c r="Z542" i="12"/>
  <c r="E600" i="12" a="1"/>
  <c r="E600" i="12" s="1"/>
  <c r="D600" i="12" a="1"/>
  <c r="D600" i="12" s="1"/>
  <c r="C600" i="12" a="1"/>
  <c r="C600" i="12" s="1"/>
  <c r="AA600" i="12" a="1"/>
  <c r="AA600" i="12" s="1"/>
  <c r="Z600" i="12"/>
  <c r="X600" i="12"/>
  <c r="W600" i="12" s="1" a="1"/>
  <c r="W600" i="12" s="1"/>
  <c r="AB477" i="12" a="1"/>
  <c r="AB477" i="12" s="1"/>
  <c r="X509" i="12"/>
  <c r="W509" i="12" s="1" a="1"/>
  <c r="W509" i="12" s="1"/>
  <c r="E509" i="12" a="1"/>
  <c r="E509" i="12" s="1"/>
  <c r="D509" i="12" a="1"/>
  <c r="D509" i="12" s="1"/>
  <c r="AB509" i="12" a="1"/>
  <c r="AB509" i="12" s="1"/>
  <c r="C511" i="12" a="1"/>
  <c r="C511" i="12" s="1"/>
  <c r="AB511" i="12" a="1"/>
  <c r="AB511" i="12" s="1"/>
  <c r="AA511" i="12" a="1"/>
  <c r="AA511" i="12" s="1"/>
  <c r="D511" i="12" a="1"/>
  <c r="D511" i="12" s="1"/>
  <c r="C514" i="12" a="1"/>
  <c r="C514" i="12" s="1"/>
  <c r="X544" i="12"/>
  <c r="W544" i="12" s="1" a="1"/>
  <c r="W544" i="12" s="1"/>
  <c r="AC544" i="12" a="1"/>
  <c r="AC544" i="12" s="1"/>
  <c r="AA544" i="12" a="1"/>
  <c r="AA544" i="12" s="1"/>
  <c r="Z544" i="12"/>
  <c r="AC605" i="12" a="1"/>
  <c r="AC605" i="12" s="1"/>
  <c r="X605" i="12"/>
  <c r="W605" i="12" s="1" a="1"/>
  <c r="W605" i="12" s="1"/>
  <c r="E605" i="12" a="1"/>
  <c r="E605" i="12" s="1"/>
  <c r="D605" i="12" a="1"/>
  <c r="D605" i="12" s="1"/>
  <c r="C605" i="12" a="1"/>
  <c r="C605" i="12" s="1"/>
  <c r="Z605" i="12"/>
  <c r="AA654" i="12" a="1"/>
  <c r="AA654" i="12" s="1"/>
  <c r="E654" i="12" a="1"/>
  <c r="E654" i="12" s="1"/>
  <c r="C654" i="12" a="1"/>
  <c r="C654" i="12" s="1"/>
  <c r="AC783" i="12" a="1"/>
  <c r="AC783" i="12" s="1"/>
  <c r="AA783" i="12" a="1"/>
  <c r="AA783" i="12" s="1"/>
  <c r="Z783" i="12"/>
  <c r="E783" i="12" a="1"/>
  <c r="E783" i="12" s="1"/>
  <c r="D783" i="12" a="1"/>
  <c r="D783" i="12" s="1"/>
  <c r="D415" i="12" a="1"/>
  <c r="D415" i="12" s="1"/>
  <c r="C417" i="12" a="1"/>
  <c r="C417" i="12" s="1"/>
  <c r="E420" i="12" a="1"/>
  <c r="E420" i="12" s="1"/>
  <c r="D423" i="12" a="1"/>
  <c r="D423" i="12" s="1"/>
  <c r="Z442" i="12"/>
  <c r="E445" i="12" a="1"/>
  <c r="E445" i="12" s="1"/>
  <c r="AC477" i="12" a="1"/>
  <c r="AC477" i="12" s="1"/>
  <c r="D491" i="12" a="1"/>
  <c r="D491" i="12" s="1"/>
  <c r="C497" i="12" a="1"/>
  <c r="C497" i="12" s="1"/>
  <c r="E511" i="12" a="1"/>
  <c r="E511" i="12" s="1"/>
  <c r="C534" i="12" a="1"/>
  <c r="C534" i="12" s="1"/>
  <c r="Z551" i="12"/>
  <c r="D551" i="12" a="1"/>
  <c r="D551" i="12" s="1"/>
  <c r="AC584" i="12" a="1"/>
  <c r="AC584" i="12" s="1"/>
  <c r="AB584" i="12" a="1"/>
  <c r="AB584" i="12" s="1"/>
  <c r="AA584" i="12" a="1"/>
  <c r="AA584" i="12" s="1"/>
  <c r="C584" i="12" a="1"/>
  <c r="C584" i="12" s="1"/>
  <c r="X598" i="12"/>
  <c r="W598" i="12" s="1" a="1"/>
  <c r="W598" i="12" s="1"/>
  <c r="AA598" i="12" a="1"/>
  <c r="AA598" i="12" s="1"/>
  <c r="Z598" i="12"/>
  <c r="D598" i="12" a="1"/>
  <c r="D598" i="12" s="1"/>
  <c r="AB600" i="12" a="1"/>
  <c r="AB600" i="12" s="1"/>
  <c r="AC617" i="12" a="1"/>
  <c r="AC617" i="12" s="1"/>
  <c r="AB617" i="12" a="1"/>
  <c r="AB617" i="12" s="1"/>
  <c r="Z617" i="12"/>
  <c r="C617" i="12" a="1"/>
  <c r="C617" i="12" s="1"/>
  <c r="Z657" i="12"/>
  <c r="AB657" i="12" a="1"/>
  <c r="AB657" i="12" s="1"/>
  <c r="AA657" i="12" a="1"/>
  <c r="AA657" i="12" s="1"/>
  <c r="E657" i="12" a="1"/>
  <c r="E657" i="12" s="1"/>
  <c r="X502" i="12"/>
  <c r="W502" i="12" s="1" a="1"/>
  <c r="W502" i="12" s="1"/>
  <c r="AC502" i="12" a="1"/>
  <c r="AC502" i="12" s="1"/>
  <c r="X536" i="12"/>
  <c r="W536" i="12" s="1" a="1"/>
  <c r="W536" i="12" s="1"/>
  <c r="AC536" i="12" a="1"/>
  <c r="AC536" i="12" s="1"/>
  <c r="E588" i="12" a="1"/>
  <c r="E588" i="12" s="1"/>
  <c r="AA588" i="12" a="1"/>
  <c r="AA588" i="12" s="1"/>
  <c r="Z588" i="12"/>
  <c r="X588" i="12"/>
  <c r="W588" i="12" s="1" a="1"/>
  <c r="W588" i="12" s="1"/>
  <c r="D588" i="12" a="1"/>
  <c r="D588" i="12" s="1"/>
  <c r="Z596" i="12"/>
  <c r="AA596" i="12" a="1"/>
  <c r="AA596" i="12" s="1"/>
  <c r="E596" i="12" a="1"/>
  <c r="E596" i="12" s="1"/>
  <c r="D596" i="12" a="1"/>
  <c r="D596" i="12" s="1"/>
  <c r="AB596" i="12" a="1"/>
  <c r="AB596" i="12" s="1"/>
  <c r="X603" i="12"/>
  <c r="W603" i="12" s="1" a="1"/>
  <c r="W603" i="12" s="1"/>
  <c r="AA603" i="12" a="1"/>
  <c r="AA603" i="12" s="1"/>
  <c r="D603" i="12" a="1"/>
  <c r="D603" i="12" s="1"/>
  <c r="AB603" i="12" a="1"/>
  <c r="AB603" i="12" s="1"/>
  <c r="X615" i="12"/>
  <c r="W615" i="12" s="1" a="1"/>
  <c r="W615" i="12" s="1"/>
  <c r="AA615" i="12" a="1"/>
  <c r="AA615" i="12" s="1"/>
  <c r="Z615" i="12"/>
  <c r="D615" i="12" a="1"/>
  <c r="D615" i="12" s="1"/>
  <c r="AC615" i="12" a="1"/>
  <c r="AC615" i="12" s="1"/>
  <c r="AB615" i="12" a="1"/>
  <c r="AB615" i="12" s="1"/>
  <c r="C652" i="12" a="1"/>
  <c r="C652" i="12" s="1"/>
  <c r="X652" i="12"/>
  <c r="W652" i="12" s="1" a="1"/>
  <c r="W652" i="12" s="1"/>
  <c r="E652" i="12" a="1"/>
  <c r="E652" i="12" s="1"/>
  <c r="D652" i="12" a="1"/>
  <c r="D652" i="12" s="1"/>
  <c r="AB652" i="12" a="1"/>
  <c r="AB652" i="12" s="1"/>
  <c r="AA652" i="12" a="1"/>
  <c r="AA652" i="12" s="1"/>
  <c r="Z652" i="12"/>
  <c r="X678" i="12"/>
  <c r="W678" i="12" s="1" a="1"/>
  <c r="W678" i="12" s="1"/>
  <c r="AA678" i="12" a="1"/>
  <c r="AA678" i="12" s="1"/>
  <c r="Z678" i="12"/>
  <c r="C678" i="12" a="1"/>
  <c r="C678" i="12" s="1"/>
  <c r="X979" i="12"/>
  <c r="W979" i="12" s="1" a="1"/>
  <c r="W979" i="12" s="1"/>
  <c r="AA979" i="12" a="1"/>
  <c r="AA979" i="12" s="1"/>
  <c r="E979" i="12" a="1"/>
  <c r="E979" i="12" s="1"/>
  <c r="D979" i="12" a="1"/>
  <c r="D979" i="12" s="1"/>
  <c r="AB316" i="12" a="1"/>
  <c r="AB316" i="12" s="1"/>
  <c r="AB330" i="12" a="1"/>
  <c r="AB330" i="12" s="1"/>
  <c r="AA355" i="12" a="1"/>
  <c r="AA355" i="12" s="1"/>
  <c r="AB356" i="12" a="1"/>
  <c r="AB356" i="12" s="1"/>
  <c r="AB372" i="12" a="1"/>
  <c r="AB372" i="12" s="1"/>
  <c r="X379" i="12"/>
  <c r="W379" i="12" s="1" a="1"/>
  <c r="W379" i="12" s="1"/>
  <c r="AC380" i="12" a="1"/>
  <c r="AC380" i="12" s="1"/>
  <c r="X386" i="12"/>
  <c r="W386" i="12" s="1" a="1"/>
  <c r="W386" i="12" s="1"/>
  <c r="Z387" i="12"/>
  <c r="Z390" i="12"/>
  <c r="AB397" i="12" a="1"/>
  <c r="AB397" i="12" s="1"/>
  <c r="X402" i="12"/>
  <c r="W402" i="12" s="1" a="1"/>
  <c r="W402" i="12" s="1"/>
  <c r="AB411" i="12" a="1"/>
  <c r="AB411" i="12" s="1"/>
  <c r="D414" i="12" a="1"/>
  <c r="D414" i="12" s="1"/>
  <c r="Z415" i="12"/>
  <c r="E417" i="12" a="1"/>
  <c r="E417" i="12" s="1"/>
  <c r="AB418" i="12" a="1"/>
  <c r="AB418" i="12" s="1"/>
  <c r="X420" i="12"/>
  <c r="W420" i="12" s="1" a="1"/>
  <c r="W420" i="12" s="1"/>
  <c r="AB421" i="12" a="1"/>
  <c r="AB421" i="12" s="1"/>
  <c r="D425" i="12" a="1"/>
  <c r="D425" i="12" s="1"/>
  <c r="C430" i="12" a="1"/>
  <c r="C430" i="12" s="1"/>
  <c r="C436" i="12" a="1"/>
  <c r="C436" i="12" s="1"/>
  <c r="AC446" i="12" a="1"/>
  <c r="AC446" i="12" s="1"/>
  <c r="E456" i="12" a="1"/>
  <c r="E456" i="12" s="1"/>
  <c r="E466" i="12" a="1"/>
  <c r="E466" i="12" s="1"/>
  <c r="AB473" i="12" a="1"/>
  <c r="AB473" i="12" s="1"/>
  <c r="Z482" i="12"/>
  <c r="AC483" i="12" a="1"/>
  <c r="AC483" i="12" s="1"/>
  <c r="AA487" i="12" a="1"/>
  <c r="AA487" i="12" s="1"/>
  <c r="X489" i="12"/>
  <c r="W489" i="12" s="1" a="1"/>
  <c r="W489" i="12" s="1"/>
  <c r="X493" i="12"/>
  <c r="W493" i="12" s="1" a="1"/>
  <c r="W493" i="12" s="1"/>
  <c r="Z494" i="12"/>
  <c r="D502" i="12" a="1"/>
  <c r="D502" i="12" s="1"/>
  <c r="D504" i="12" a="1"/>
  <c r="D504" i="12" s="1"/>
  <c r="Z504" i="12"/>
  <c r="Z507" i="12"/>
  <c r="AA509" i="12" a="1"/>
  <c r="AA509" i="12" s="1"/>
  <c r="AC519" i="12" a="1"/>
  <c r="AC519" i="12" s="1"/>
  <c r="AB519" i="12" a="1"/>
  <c r="AB519" i="12" s="1"/>
  <c r="E544" i="12" a="1"/>
  <c r="E544" i="12" s="1"/>
  <c r="AA573" i="12" a="1"/>
  <c r="AA573" i="12" s="1"/>
  <c r="X575" i="12"/>
  <c r="W575" i="12" s="1" a="1"/>
  <c r="W575" i="12" s="1"/>
  <c r="AA575" i="12" a="1"/>
  <c r="AA575" i="12" s="1"/>
  <c r="Z575" i="12"/>
  <c r="E575" i="12" a="1"/>
  <c r="E575" i="12" s="1"/>
  <c r="C575" i="12" a="1"/>
  <c r="C575" i="12" s="1"/>
  <c r="AC575" i="12" a="1"/>
  <c r="AC575" i="12" s="1"/>
  <c r="AB575" i="12" a="1"/>
  <c r="AB575" i="12" s="1"/>
  <c r="C596" i="12" a="1"/>
  <c r="C596" i="12" s="1"/>
  <c r="X613" i="12"/>
  <c r="W613" i="12" s="1" a="1"/>
  <c r="W613" i="12" s="1"/>
  <c r="AB613" i="12" a="1"/>
  <c r="AB613" i="12" s="1"/>
  <c r="AA613" i="12" a="1"/>
  <c r="AA613" i="12" s="1"/>
  <c r="Z613" i="12"/>
  <c r="E613" i="12" a="1"/>
  <c r="E613" i="12" s="1"/>
  <c r="AC613" i="12" a="1"/>
  <c r="AC613" i="12" s="1"/>
  <c r="C615" i="12" a="1"/>
  <c r="C615" i="12" s="1"/>
  <c r="AA629" i="12" a="1"/>
  <c r="AA629" i="12" s="1"/>
  <c r="AB629" i="12" a="1"/>
  <c r="AB629" i="12" s="1"/>
  <c r="Z629" i="12"/>
  <c r="X629" i="12"/>
  <c r="W629" i="12" s="1" a="1"/>
  <c r="W629" i="12" s="1"/>
  <c r="D629" i="12" a="1"/>
  <c r="D629" i="12" s="1"/>
  <c r="E414" i="12" a="1"/>
  <c r="E414" i="12" s="1"/>
  <c r="AA415" i="12" a="1"/>
  <c r="AA415" i="12" s="1"/>
  <c r="AB423" i="12" a="1"/>
  <c r="AB423" i="12" s="1"/>
  <c r="E425" i="12" a="1"/>
  <c r="E425" i="12" s="1"/>
  <c r="D436" i="12" a="1"/>
  <c r="D436" i="12" s="1"/>
  <c r="Z445" i="12"/>
  <c r="AA491" i="12" a="1"/>
  <c r="AA491" i="12" s="1"/>
  <c r="AB525" i="12" a="1"/>
  <c r="AB525" i="12" s="1"/>
  <c r="E525" i="12" a="1"/>
  <c r="E525" i="12" s="1"/>
  <c r="AB534" i="12" a="1"/>
  <c r="AB534" i="12" s="1"/>
  <c r="AB582" i="12" a="1"/>
  <c r="AB582" i="12" s="1"/>
  <c r="AA582" i="12" a="1"/>
  <c r="AA582" i="12" s="1"/>
  <c r="Z582" i="12"/>
  <c r="E582" i="12" a="1"/>
  <c r="E582" i="12" s="1"/>
  <c r="X608" i="12"/>
  <c r="W608" i="12" s="1" a="1"/>
  <c r="W608" i="12" s="1"/>
  <c r="AC608" i="12" a="1"/>
  <c r="AC608" i="12" s="1"/>
  <c r="AB608" i="12" a="1"/>
  <c r="AB608" i="12" s="1"/>
  <c r="AA608" i="12" a="1"/>
  <c r="AA608" i="12" s="1"/>
  <c r="E615" i="12" a="1"/>
  <c r="E615" i="12" s="1"/>
  <c r="AB644" i="12" a="1"/>
  <c r="AB644" i="12" s="1"/>
  <c r="Z644" i="12"/>
  <c r="X644" i="12"/>
  <c r="W644" i="12" s="1" a="1"/>
  <c r="W644" i="12" s="1"/>
  <c r="D644" i="12" a="1"/>
  <c r="D644" i="12" s="1"/>
  <c r="C644" i="12" a="1"/>
  <c r="C644" i="12" s="1"/>
  <c r="AC644" i="12" a="1"/>
  <c r="AC644" i="12" s="1"/>
  <c r="AC652" i="12" a="1"/>
  <c r="AC652" i="12" s="1"/>
  <c r="AC356" i="12" a="1"/>
  <c r="AC356" i="12" s="1"/>
  <c r="AC371" i="12" a="1"/>
  <c r="AC371" i="12" s="1"/>
  <c r="AC378" i="12" a="1"/>
  <c r="AC378" i="12" s="1"/>
  <c r="AA379" i="12" a="1"/>
  <c r="AA379" i="12" s="1"/>
  <c r="AA386" i="12" a="1"/>
  <c r="AA386" i="12" s="1"/>
  <c r="AB387" i="12" a="1"/>
  <c r="AB387" i="12" s="1"/>
  <c r="AA390" i="12" a="1"/>
  <c r="AA390" i="12" s="1"/>
  <c r="D393" i="12" a="1"/>
  <c r="D393" i="12" s="1"/>
  <c r="AA402" i="12" a="1"/>
  <c r="AA402" i="12" s="1"/>
  <c r="Z403" i="12"/>
  <c r="AC410" i="12" a="1"/>
  <c r="AC410" i="12" s="1"/>
  <c r="AB412" i="12" a="1"/>
  <c r="AB412" i="12" s="1"/>
  <c r="C428" i="12" a="1"/>
  <c r="C428" i="12" s="1"/>
  <c r="D430" i="12" a="1"/>
  <c r="D430" i="12" s="1"/>
  <c r="AC445" i="12" a="1"/>
  <c r="AC445" i="12" s="1"/>
  <c r="D451" i="12" a="1"/>
  <c r="D451" i="12" s="1"/>
  <c r="C453" i="12" a="1"/>
  <c r="C453" i="12" s="1"/>
  <c r="AB454" i="12" a="1"/>
  <c r="AB454" i="12" s="1"/>
  <c r="AA457" i="12" a="1"/>
  <c r="AA457" i="12" s="1"/>
  <c r="Z466" i="12"/>
  <c r="C471" i="12" a="1"/>
  <c r="C471" i="12" s="1"/>
  <c r="AC475" i="12" a="1"/>
  <c r="AC475" i="12" s="1"/>
  <c r="C477" i="12" a="1"/>
  <c r="C477" i="12" s="1"/>
  <c r="D478" i="12" a="1"/>
  <c r="D478" i="12" s="1"/>
  <c r="C481" i="12" a="1"/>
  <c r="C481" i="12" s="1"/>
  <c r="E485" i="12" a="1"/>
  <c r="E485" i="12" s="1"/>
  <c r="AC491" i="12" a="1"/>
  <c r="AC491" i="12" s="1"/>
  <c r="AA493" i="12" a="1"/>
  <c r="AA493" i="12" s="1"/>
  <c r="AB494" i="12" a="1"/>
  <c r="AB494" i="12" s="1"/>
  <c r="E500" i="12" a="1"/>
  <c r="E500" i="12" s="1"/>
  <c r="E504" i="12" a="1"/>
  <c r="E504" i="12" s="1"/>
  <c r="X511" i="12"/>
  <c r="W511" i="12" s="1" a="1"/>
  <c r="W511" i="12" s="1"/>
  <c r="D519" i="12" a="1"/>
  <c r="D519" i="12" s="1"/>
  <c r="D525" i="12" a="1"/>
  <c r="D525" i="12" s="1"/>
  <c r="AC534" i="12" a="1"/>
  <c r="AC534" i="12" s="1"/>
  <c r="X561" i="12"/>
  <c r="W561" i="12" s="1" a="1"/>
  <c r="W561" i="12" s="1"/>
  <c r="Z561" i="12"/>
  <c r="D561" i="12" a="1"/>
  <c r="D561" i="12" s="1"/>
  <c r="C561" i="12" a="1"/>
  <c r="C561" i="12" s="1"/>
  <c r="AC561" i="12" a="1"/>
  <c r="AC561" i="12" s="1"/>
  <c r="C608" i="12" a="1"/>
  <c r="C608" i="12" s="1"/>
  <c r="E744" i="12" a="1"/>
  <c r="E744" i="12" s="1"/>
  <c r="Z744" i="12"/>
  <c r="X744" i="12"/>
  <c r="W744" i="12" s="1" a="1"/>
  <c r="W744" i="12" s="1"/>
  <c r="AC386" i="12" a="1"/>
  <c r="AC386" i="12" s="1"/>
  <c r="E393" i="12" a="1"/>
  <c r="E393" i="12" s="1"/>
  <c r="AA394" i="12" a="1"/>
  <c r="AA394" i="12" s="1"/>
  <c r="AC402" i="12" a="1"/>
  <c r="AC402" i="12" s="1"/>
  <c r="AA403" i="12" a="1"/>
  <c r="AA403" i="12" s="1"/>
  <c r="Z414" i="12"/>
  <c r="Z417" i="12"/>
  <c r="D428" i="12" a="1"/>
  <c r="D428" i="12" s="1"/>
  <c r="E430" i="12" a="1"/>
  <c r="E430" i="12" s="1"/>
  <c r="Z439" i="12"/>
  <c r="D453" i="12" a="1"/>
  <c r="D453" i="12" s="1"/>
  <c r="AC454" i="12" a="1"/>
  <c r="AC454" i="12" s="1"/>
  <c r="X456" i="12"/>
  <c r="W456" i="12" s="1" a="1"/>
  <c r="W456" i="12" s="1"/>
  <c r="AB457" i="12" a="1"/>
  <c r="AB457" i="12" s="1"/>
  <c r="C462" i="12" a="1"/>
  <c r="C462" i="12" s="1"/>
  <c r="AA466" i="12" a="1"/>
  <c r="AA466" i="12" s="1"/>
  <c r="E471" i="12" a="1"/>
  <c r="E471" i="12" s="1"/>
  <c r="E477" i="12" a="1"/>
  <c r="E477" i="12" s="1"/>
  <c r="E481" i="12" a="1"/>
  <c r="E481" i="12" s="1"/>
  <c r="AA497" i="12" a="1"/>
  <c r="AA497" i="12" s="1"/>
  <c r="Z502" i="12"/>
  <c r="Z511" i="12"/>
  <c r="AB530" i="12" a="1"/>
  <c r="AB530" i="12" s="1"/>
  <c r="X594" i="12"/>
  <c r="W594" i="12" s="1" a="1"/>
  <c r="W594" i="12" s="1"/>
  <c r="E594" i="12" a="1"/>
  <c r="E594" i="12" s="1"/>
  <c r="X604" i="12"/>
  <c r="W604" i="12" s="1" a="1"/>
  <c r="W604" i="12" s="1"/>
  <c r="AB604" i="12" a="1"/>
  <c r="AB604" i="12" s="1"/>
  <c r="AA604" i="12" a="1"/>
  <c r="AA604" i="12" s="1"/>
  <c r="Z604" i="12"/>
  <c r="AC604" i="12" a="1"/>
  <c r="AC604" i="12" s="1"/>
  <c r="Z754" i="12"/>
  <c r="X754" i="12"/>
  <c r="W754" i="12" s="1" a="1"/>
  <c r="W754" i="12" s="1"/>
  <c r="AC387" i="12" a="1"/>
  <c r="AC387" i="12" s="1"/>
  <c r="AC394" i="12" a="1"/>
  <c r="AC394" i="12" s="1"/>
  <c r="AB403" i="12" a="1"/>
  <c r="AB403" i="12" s="1"/>
  <c r="AA414" i="12" a="1"/>
  <c r="AA414" i="12" s="1"/>
  <c r="X425" i="12"/>
  <c r="W425" i="12" s="1" a="1"/>
  <c r="W425" i="12" s="1"/>
  <c r="C427" i="12" a="1"/>
  <c r="C427" i="12" s="1"/>
  <c r="AA436" i="12" a="1"/>
  <c r="AA436" i="12" s="1"/>
  <c r="AA439" i="12" a="1"/>
  <c r="AA439" i="12" s="1"/>
  <c r="Z451" i="12"/>
  <c r="E453" i="12" a="1"/>
  <c r="E453" i="12" s="1"/>
  <c r="AC457" i="12" a="1"/>
  <c r="AC457" i="12" s="1"/>
  <c r="D462" i="12" a="1"/>
  <c r="D462" i="12" s="1"/>
  <c r="AA465" i="12" a="1"/>
  <c r="AA465" i="12" s="1"/>
  <c r="Z478" i="12"/>
  <c r="X485" i="12"/>
  <c r="W485" i="12" s="1" a="1"/>
  <c r="W485" i="12" s="1"/>
  <c r="AB497" i="12" a="1"/>
  <c r="AB497" i="12" s="1"/>
  <c r="AA502" i="12" a="1"/>
  <c r="AA502" i="12" s="1"/>
  <c r="X510" i="12"/>
  <c r="W510" i="12" s="1" a="1"/>
  <c r="W510" i="12" s="1"/>
  <c r="AC510" i="12" a="1"/>
  <c r="AC510" i="12" s="1"/>
  <c r="AB510" i="12" a="1"/>
  <c r="AB510" i="12" s="1"/>
  <c r="X529" i="12"/>
  <c r="W529" i="12" s="1" a="1"/>
  <c r="W529" i="12" s="1"/>
  <c r="Z529" i="12"/>
  <c r="AB529" i="12" a="1"/>
  <c r="AB529" i="12" s="1"/>
  <c r="AA529" i="12" a="1"/>
  <c r="AA529" i="12" s="1"/>
  <c r="X550" i="12"/>
  <c r="W550" i="12" s="1" a="1"/>
  <c r="W550" i="12" s="1"/>
  <c r="E550" i="12" a="1"/>
  <c r="E550" i="12" s="1"/>
  <c r="D550" i="12" a="1"/>
  <c r="D550" i="12" s="1"/>
  <c r="AB550" i="12" a="1"/>
  <c r="AB550" i="12" s="1"/>
  <c r="AA550" i="12" a="1"/>
  <c r="AA550" i="12" s="1"/>
  <c r="Z550" i="12"/>
  <c r="Z576" i="12"/>
  <c r="AC576" i="12" a="1"/>
  <c r="AC576" i="12" s="1"/>
  <c r="AA576" i="12" a="1"/>
  <c r="AA576" i="12" s="1"/>
  <c r="Z592" i="12"/>
  <c r="X592" i="12"/>
  <c r="W592" i="12" s="1" a="1"/>
  <c r="W592" i="12" s="1"/>
  <c r="E592" i="12" a="1"/>
  <c r="E592" i="12" s="1"/>
  <c r="C592" i="12" a="1"/>
  <c r="C592" i="12" s="1"/>
  <c r="AC592" i="12" a="1"/>
  <c r="AC592" i="12" s="1"/>
  <c r="AB592" i="12" a="1"/>
  <c r="AB592" i="12" s="1"/>
  <c r="AA592" i="12" a="1"/>
  <c r="AA592" i="12" s="1"/>
  <c r="AA597" i="12" a="1"/>
  <c r="AA597" i="12" s="1"/>
  <c r="AB597" i="12" a="1"/>
  <c r="AB597" i="12" s="1"/>
  <c r="Z597" i="12"/>
  <c r="X597" i="12"/>
  <c r="W597" i="12" s="1" a="1"/>
  <c r="W597" i="12" s="1"/>
  <c r="E597" i="12" a="1"/>
  <c r="E597" i="12" s="1"/>
  <c r="D597" i="12" a="1"/>
  <c r="D597" i="12" s="1"/>
  <c r="AC597" i="12" a="1"/>
  <c r="AC597" i="12" s="1"/>
  <c r="Z608" i="12"/>
  <c r="X653" i="12"/>
  <c r="W653" i="12" s="1" a="1"/>
  <c r="W653" i="12" s="1"/>
  <c r="E653" i="12" a="1"/>
  <c r="E653" i="12" s="1"/>
  <c r="D653" i="12" a="1"/>
  <c r="D653" i="12" s="1"/>
  <c r="C653" i="12" a="1"/>
  <c r="C653" i="12" s="1"/>
  <c r="AB653" i="12" a="1"/>
  <c r="AB653" i="12" s="1"/>
  <c r="AA653" i="12" a="1"/>
  <c r="AA653" i="12" s="1"/>
  <c r="Z653" i="12"/>
  <c r="AC772" i="12" a="1"/>
  <c r="AC772" i="12" s="1"/>
  <c r="C772" i="12" a="1"/>
  <c r="C772" i="12" s="1"/>
  <c r="D772" i="12" a="1"/>
  <c r="D772" i="12" s="1"/>
  <c r="E327" i="12" a="1"/>
  <c r="E327" i="12" s="1"/>
  <c r="X329" i="12"/>
  <c r="W329" i="12" s="1" a="1"/>
  <c r="W329" i="12" s="1"/>
  <c r="X348" i="12"/>
  <c r="W348" i="12" s="1" a="1"/>
  <c r="W348" i="12" s="1"/>
  <c r="C356" i="12" a="1"/>
  <c r="C356" i="12" s="1"/>
  <c r="Z358" i="12"/>
  <c r="C371" i="12" a="1"/>
  <c r="C371" i="12" s="1"/>
  <c r="D381" i="12" a="1"/>
  <c r="D381" i="12" s="1"/>
  <c r="D383" i="12" a="1"/>
  <c r="D383" i="12" s="1"/>
  <c r="C390" i="12" a="1"/>
  <c r="C390" i="12" s="1"/>
  <c r="AC390" i="12" a="1"/>
  <c r="AC390" i="12" s="1"/>
  <c r="AB393" i="12" a="1"/>
  <c r="AB393" i="12" s="1"/>
  <c r="C397" i="12" a="1"/>
  <c r="C397" i="12" s="1"/>
  <c r="C398" i="12" a="1"/>
  <c r="C398" i="12" s="1"/>
  <c r="AC403" i="12" a="1"/>
  <c r="AC403" i="12" s="1"/>
  <c r="C412" i="12" a="1"/>
  <c r="C412" i="12" s="1"/>
  <c r="AB414" i="12" a="1"/>
  <c r="AB414" i="12" s="1"/>
  <c r="D421" i="12" a="1"/>
  <c r="D421" i="12" s="1"/>
  <c r="Z425" i="12"/>
  <c r="E427" i="12" a="1"/>
  <c r="E427" i="12" s="1"/>
  <c r="C432" i="12" a="1"/>
  <c r="C432" i="12" s="1"/>
  <c r="AB436" i="12" a="1"/>
  <c r="AB436" i="12" s="1"/>
  <c r="AB439" i="12" a="1"/>
  <c r="AB439" i="12" s="1"/>
  <c r="E447" i="12" a="1"/>
  <c r="E447" i="12" s="1"/>
  <c r="E448" i="12" a="1"/>
  <c r="E448" i="12" s="1"/>
  <c r="C450" i="12" a="1"/>
  <c r="C450" i="12" s="1"/>
  <c r="AA451" i="12" a="1"/>
  <c r="AA451" i="12" s="1"/>
  <c r="D464" i="12" a="1"/>
  <c r="D464" i="12" s="1"/>
  <c r="AB465" i="12" a="1"/>
  <c r="AB465" i="12" s="1"/>
  <c r="AA471" i="12" a="1"/>
  <c r="AA471" i="12" s="1"/>
  <c r="X477" i="12"/>
  <c r="W477" i="12" s="1" a="1"/>
  <c r="W477" i="12" s="1"/>
  <c r="AA481" i="12" a="1"/>
  <c r="AA481" i="12" s="1"/>
  <c r="C483" i="12" a="1"/>
  <c r="C483" i="12" s="1"/>
  <c r="Z485" i="12"/>
  <c r="AC497" i="12" a="1"/>
  <c r="AC497" i="12" s="1"/>
  <c r="X499" i="12"/>
  <c r="W499" i="12" s="1" a="1"/>
  <c r="W499" i="12" s="1"/>
  <c r="C499" i="12" a="1"/>
  <c r="C499" i="12" s="1"/>
  <c r="E516" i="12" a="1"/>
  <c r="E516" i="12" s="1"/>
  <c r="D516" i="12" a="1"/>
  <c r="D516" i="12" s="1"/>
  <c r="AA516" i="12" a="1"/>
  <c r="AA516" i="12" s="1"/>
  <c r="AC522" i="12" a="1"/>
  <c r="AC522" i="12" s="1"/>
  <c r="D522" i="12" a="1"/>
  <c r="D522" i="12" s="1"/>
  <c r="C550" i="12" a="1"/>
  <c r="C550" i="12" s="1"/>
  <c r="D564" i="12" a="1"/>
  <c r="D564" i="12" s="1"/>
  <c r="X564" i="12"/>
  <c r="W564" i="12" s="1" a="1"/>
  <c r="W564" i="12" s="1"/>
  <c r="E564" i="12" a="1"/>
  <c r="E564" i="12" s="1"/>
  <c r="C564" i="12" a="1"/>
  <c r="C564" i="12" s="1"/>
  <c r="D592" i="12" a="1"/>
  <c r="D592" i="12" s="1"/>
  <c r="C597" i="12" a="1"/>
  <c r="C597" i="12" s="1"/>
  <c r="E604" i="12" a="1"/>
  <c r="E604" i="12" s="1"/>
  <c r="X614" i="12"/>
  <c r="W614" i="12" s="1" a="1"/>
  <c r="W614" i="12" s="1"/>
  <c r="AB614" i="12" a="1"/>
  <c r="AB614" i="12" s="1"/>
  <c r="AA614" i="12" a="1"/>
  <c r="AA614" i="12" s="1"/>
  <c r="Z614" i="12"/>
  <c r="D614" i="12" a="1"/>
  <c r="D614" i="12" s="1"/>
  <c r="AC614" i="12" a="1"/>
  <c r="AC614" i="12" s="1"/>
  <c r="X616" i="12"/>
  <c r="W616" i="12" s="1" a="1"/>
  <c r="W616" i="12" s="1"/>
  <c r="AA616" i="12" a="1"/>
  <c r="AA616" i="12" s="1"/>
  <c r="Z616" i="12"/>
  <c r="E616" i="12" a="1"/>
  <c r="E616" i="12" s="1"/>
  <c r="C616" i="12" a="1"/>
  <c r="C616" i="12" s="1"/>
  <c r="AC616" i="12" a="1"/>
  <c r="AC616" i="12" s="1"/>
  <c r="AB616" i="12" a="1"/>
  <c r="AB616" i="12" s="1"/>
  <c r="X645" i="12"/>
  <c r="W645" i="12" s="1" a="1"/>
  <c r="W645" i="12" s="1"/>
  <c r="Z645" i="12"/>
  <c r="C645" i="12" a="1"/>
  <c r="C645" i="12" s="1"/>
  <c r="AC937" i="12" a="1"/>
  <c r="AC937" i="12" s="1"/>
  <c r="AB937" i="12" a="1"/>
  <c r="AB937" i="12" s="1"/>
  <c r="AC393" i="12" a="1"/>
  <c r="AC393" i="12" s="1"/>
  <c r="AC414" i="12" a="1"/>
  <c r="AC414" i="12" s="1"/>
  <c r="AA425" i="12" a="1"/>
  <c r="AA425" i="12" s="1"/>
  <c r="AA428" i="12" a="1"/>
  <c r="AA428" i="12" s="1"/>
  <c r="Z430" i="12"/>
  <c r="AC436" i="12" a="1"/>
  <c r="AC436" i="12" s="1"/>
  <c r="AC439" i="12" a="1"/>
  <c r="AC439" i="12" s="1"/>
  <c r="AC465" i="12" a="1"/>
  <c r="AC465" i="12" s="1"/>
  <c r="AB471" i="12" a="1"/>
  <c r="AB471" i="12" s="1"/>
  <c r="AC481" i="12" a="1"/>
  <c r="AC481" i="12" s="1"/>
  <c r="X512" i="12"/>
  <c r="W512" i="12" s="1" a="1"/>
  <c r="W512" i="12" s="1"/>
  <c r="AB512" i="12" a="1"/>
  <c r="AB512" i="12" s="1"/>
  <c r="AA512" i="12" a="1"/>
  <c r="AA512" i="12" s="1"/>
  <c r="C512" i="12" a="1"/>
  <c r="C512" i="12" s="1"/>
  <c r="X525" i="12"/>
  <c r="W525" i="12" s="1" a="1"/>
  <c r="W525" i="12" s="1"/>
  <c r="AA548" i="12" a="1"/>
  <c r="AA548" i="12" s="1"/>
  <c r="AC548" i="12" a="1"/>
  <c r="AC548" i="12" s="1"/>
  <c r="AB548" i="12" a="1"/>
  <c r="AB548" i="12" s="1"/>
  <c r="X562" i="12"/>
  <c r="W562" i="12" s="1" a="1"/>
  <c r="W562" i="12" s="1"/>
  <c r="AC562" i="12" a="1"/>
  <c r="AC562" i="12" s="1"/>
  <c r="Z562" i="12"/>
  <c r="E562" i="12" a="1"/>
  <c r="E562" i="12" s="1"/>
  <c r="AC660" i="12" a="1"/>
  <c r="AC660" i="12" s="1"/>
  <c r="C660" i="12" a="1"/>
  <c r="C660" i="12" s="1"/>
  <c r="X681" i="12"/>
  <c r="W681" i="12" s="1" a="1"/>
  <c r="W681" i="12" s="1"/>
  <c r="Z681" i="12"/>
  <c r="X327" i="12"/>
  <c r="W327" i="12" s="1" a="1"/>
  <c r="W327" i="12" s="1"/>
  <c r="AB328" i="12" a="1"/>
  <c r="AB328" i="12" s="1"/>
  <c r="E354" i="12" a="1"/>
  <c r="E354" i="12" s="1"/>
  <c r="D355" i="12" a="1"/>
  <c r="D355" i="12" s="1"/>
  <c r="D356" i="12" a="1"/>
  <c r="D356" i="12" s="1"/>
  <c r="D371" i="12" a="1"/>
  <c r="D371" i="12" s="1"/>
  <c r="C372" i="12" a="1"/>
  <c r="C372" i="12" s="1"/>
  <c r="D380" i="12" a="1"/>
  <c r="D380" i="12" s="1"/>
  <c r="E397" i="12" a="1"/>
  <c r="E397" i="12" s="1"/>
  <c r="C403" i="12" a="1"/>
  <c r="C403" i="12" s="1"/>
  <c r="E406" i="12" a="1"/>
  <c r="E406" i="12" s="1"/>
  <c r="D410" i="12" a="1"/>
  <c r="D410" i="12" s="1"/>
  <c r="E411" i="12" a="1"/>
  <c r="E411" i="12" s="1"/>
  <c r="D412" i="12" a="1"/>
  <c r="D412" i="12" s="1"/>
  <c r="C418" i="12" a="1"/>
  <c r="C418" i="12" s="1"/>
  <c r="AC424" i="12" a="1"/>
  <c r="AC424" i="12" s="1"/>
  <c r="AB429" i="12" a="1"/>
  <c r="AB429" i="12" s="1"/>
  <c r="AB430" i="12" a="1"/>
  <c r="AB430" i="12" s="1"/>
  <c r="D446" i="12" a="1"/>
  <c r="D446" i="12" s="1"/>
  <c r="Z453" i="12"/>
  <c r="C457" i="12" a="1"/>
  <c r="C457" i="12" s="1"/>
  <c r="AC471" i="12" a="1"/>
  <c r="AC471" i="12" s="1"/>
  <c r="AA477" i="12" a="1"/>
  <c r="AA477" i="12" s="1"/>
  <c r="C495" i="12" a="1"/>
  <c r="C495" i="12" s="1"/>
  <c r="X507" i="12"/>
  <c r="W507" i="12" s="1" a="1"/>
  <c r="W507" i="12" s="1"/>
  <c r="AB507" i="12" a="1"/>
  <c r="AB507" i="12" s="1"/>
  <c r="AA507" i="12" a="1"/>
  <c r="AA507" i="12" s="1"/>
  <c r="D512" i="12" a="1"/>
  <c r="D512" i="12" s="1"/>
  <c r="E522" i="12" a="1"/>
  <c r="E522" i="12" s="1"/>
  <c r="AC525" i="12" a="1"/>
  <c r="AC525" i="12" s="1"/>
  <c r="E529" i="12" a="1"/>
  <c r="E529" i="12" s="1"/>
  <c r="D539" i="12" a="1"/>
  <c r="D539" i="12" s="1"/>
  <c r="E548" i="12" a="1"/>
  <c r="E548" i="12" s="1"/>
  <c r="AC550" i="12" a="1"/>
  <c r="AC550" i="12" s="1"/>
  <c r="C562" i="12" a="1"/>
  <c r="C562" i="12" s="1"/>
  <c r="AA581" i="12" a="1"/>
  <c r="AA581" i="12" s="1"/>
  <c r="Z581" i="12"/>
  <c r="X581" i="12"/>
  <c r="W581" i="12" s="1" a="1"/>
  <c r="W581" i="12" s="1"/>
  <c r="D581" i="12" a="1"/>
  <c r="D581" i="12" s="1"/>
  <c r="AC581" i="12" a="1"/>
  <c r="AC581" i="12" s="1"/>
  <c r="AB581" i="12" a="1"/>
  <c r="AB581" i="12" s="1"/>
  <c r="E614" i="12" a="1"/>
  <c r="E614" i="12" s="1"/>
  <c r="AB628" i="12" a="1"/>
  <c r="AB628" i="12" s="1"/>
  <c r="Z628" i="12"/>
  <c r="X628" i="12"/>
  <c r="W628" i="12" s="1" a="1"/>
  <c r="W628" i="12" s="1"/>
  <c r="E628" i="12" a="1"/>
  <c r="E628" i="12" s="1"/>
  <c r="D628" i="12" a="1"/>
  <c r="D628" i="12" s="1"/>
  <c r="C628" i="12" a="1"/>
  <c r="C628" i="12" s="1"/>
  <c r="AC628" i="12" a="1"/>
  <c r="AC628" i="12" s="1"/>
  <c r="AA628" i="12" a="1"/>
  <c r="AA628" i="12" s="1"/>
  <c r="AC543" i="12" a="1"/>
  <c r="AC543" i="12" s="1"/>
  <c r="Z558" i="12"/>
  <c r="X593" i="12"/>
  <c r="W593" i="12" s="1" a="1"/>
  <c r="W593" i="12" s="1"/>
  <c r="Z642" i="12"/>
  <c r="AC656" i="12" a="1"/>
  <c r="AC656" i="12" s="1"/>
  <c r="AC659" i="12" a="1"/>
  <c r="AC659" i="12" s="1"/>
  <c r="X664" i="12"/>
  <c r="W664" i="12" s="1" a="1"/>
  <c r="W664" i="12" s="1"/>
  <c r="Z697" i="12"/>
  <c r="Z739" i="12"/>
  <c r="AC743" i="12" a="1"/>
  <c r="AC743" i="12" s="1"/>
  <c r="Z752" i="12"/>
  <c r="AC753" i="12" a="1"/>
  <c r="AC753" i="12" s="1"/>
  <c r="X770" i="12"/>
  <c r="W770" i="12" s="1" a="1"/>
  <c r="W770" i="12" s="1"/>
  <c r="AC770" i="12" a="1"/>
  <c r="AC770" i="12" s="1"/>
  <c r="AA770" i="12" a="1"/>
  <c r="AA770" i="12" s="1"/>
  <c r="E770" i="12" a="1"/>
  <c r="E770" i="12" s="1"/>
  <c r="C787" i="12" a="1"/>
  <c r="C787" i="12" s="1"/>
  <c r="E787" i="12" a="1"/>
  <c r="E787" i="12" s="1"/>
  <c r="D787" i="12" a="1"/>
  <c r="D787" i="12" s="1"/>
  <c r="AB787" i="12" a="1"/>
  <c r="AB787" i="12" s="1"/>
  <c r="Z787" i="12"/>
  <c r="AB827" i="12" a="1"/>
  <c r="AB827" i="12" s="1"/>
  <c r="Z827" i="12"/>
  <c r="D827" i="12" a="1"/>
  <c r="D827" i="12" s="1"/>
  <c r="Z865" i="12"/>
  <c r="AB865" i="12" a="1"/>
  <c r="AB865" i="12" s="1"/>
  <c r="AA865" i="12" a="1"/>
  <c r="AA865" i="12" s="1"/>
  <c r="X865" i="12"/>
  <c r="W865" i="12" s="1" a="1"/>
  <c r="W865" i="12" s="1"/>
  <c r="E865" i="12" a="1"/>
  <c r="E865" i="12" s="1"/>
  <c r="D865" i="12" a="1"/>
  <c r="D865" i="12" s="1"/>
  <c r="X904" i="12"/>
  <c r="W904" i="12" s="1" a="1"/>
  <c r="W904" i="12" s="1"/>
  <c r="AB904" i="12" a="1"/>
  <c r="AB904" i="12" s="1"/>
  <c r="Z904" i="12"/>
  <c r="E904" i="12" a="1"/>
  <c r="E904" i="12" s="1"/>
  <c r="D904" i="12" a="1"/>
  <c r="D904" i="12" s="1"/>
  <c r="C904" i="12" a="1"/>
  <c r="C904" i="12" s="1"/>
  <c r="AC904" i="12" a="1"/>
  <c r="AC904" i="12" s="1"/>
  <c r="C531" i="12" a="1"/>
  <c r="C531" i="12" s="1"/>
  <c r="D537" i="12" a="1"/>
  <c r="D537" i="12" s="1"/>
  <c r="C557" i="12" a="1"/>
  <c r="C557" i="12" s="1"/>
  <c r="AA558" i="12" a="1"/>
  <c r="AA558" i="12" s="1"/>
  <c r="E586" i="12" a="1"/>
  <c r="E586" i="12" s="1"/>
  <c r="Z593" i="12"/>
  <c r="X647" i="12"/>
  <c r="W647" i="12" s="1" a="1"/>
  <c r="W647" i="12" s="1"/>
  <c r="Z664" i="12"/>
  <c r="AB697" i="12" a="1"/>
  <c r="AB697" i="12" s="1"/>
  <c r="AB752" i="12" a="1"/>
  <c r="AB752" i="12" s="1"/>
  <c r="AC962" i="12" a="1"/>
  <c r="AC962" i="12" s="1"/>
  <c r="AB962" i="12" a="1"/>
  <c r="AB962" i="12" s="1"/>
  <c r="AA962" i="12" a="1"/>
  <c r="AA962" i="12" s="1"/>
  <c r="Z962" i="12"/>
  <c r="X962" i="12"/>
  <c r="W962" i="12" s="1" a="1"/>
  <c r="W962" i="12" s="1"/>
  <c r="E962" i="12" a="1"/>
  <c r="E962" i="12" s="1"/>
  <c r="D962" i="12" a="1"/>
  <c r="D962" i="12" s="1"/>
  <c r="E531" i="12" a="1"/>
  <c r="E531" i="12" s="1"/>
  <c r="Z535" i="12"/>
  <c r="C543" i="12" a="1"/>
  <c r="C543" i="12" s="1"/>
  <c r="C554" i="12" a="1"/>
  <c r="C554" i="12" s="1"/>
  <c r="E555" i="12" a="1"/>
  <c r="E555" i="12" s="1"/>
  <c r="E556" i="12" a="1"/>
  <c r="E556" i="12" s="1"/>
  <c r="AC558" i="12" a="1"/>
  <c r="AC558" i="12" s="1"/>
  <c r="Z560" i="12"/>
  <c r="AB563" i="12" a="1"/>
  <c r="AB563" i="12" s="1"/>
  <c r="C565" i="12" a="1"/>
  <c r="C565" i="12" s="1"/>
  <c r="D569" i="12" a="1"/>
  <c r="D569" i="12" s="1"/>
  <c r="AA570" i="12" a="1"/>
  <c r="AA570" i="12" s="1"/>
  <c r="E577" i="12" a="1"/>
  <c r="E577" i="12" s="1"/>
  <c r="C578" i="12" a="1"/>
  <c r="C578" i="12" s="1"/>
  <c r="E579" i="12" a="1"/>
  <c r="E579" i="12" s="1"/>
  <c r="D585" i="12" a="1"/>
  <c r="D585" i="12" s="1"/>
  <c r="Z587" i="12"/>
  <c r="AA593" i="12" a="1"/>
  <c r="AA593" i="12" s="1"/>
  <c r="C609" i="12" a="1"/>
  <c r="C609" i="12" s="1"/>
  <c r="D611" i="12" a="1"/>
  <c r="D611" i="12" s="1"/>
  <c r="C623" i="12" a="1"/>
  <c r="C623" i="12" s="1"/>
  <c r="D634" i="12" a="1"/>
  <c r="D634" i="12" s="1"/>
  <c r="AC637" i="12" a="1"/>
  <c r="AC637" i="12" s="1"/>
  <c r="AA642" i="12" a="1"/>
  <c r="AA642" i="12" s="1"/>
  <c r="AA643" i="12" a="1"/>
  <c r="AA643" i="12" s="1"/>
  <c r="Z647" i="12"/>
  <c r="E658" i="12" a="1"/>
  <c r="E658" i="12" s="1"/>
  <c r="C659" i="12" a="1"/>
  <c r="C659" i="12" s="1"/>
  <c r="E662" i="12" a="1"/>
  <c r="E662" i="12" s="1"/>
  <c r="X663" i="12"/>
  <c r="W663" i="12" s="1" a="1"/>
  <c r="W663" i="12" s="1"/>
  <c r="AB664" i="12" a="1"/>
  <c r="AB664" i="12" s="1"/>
  <c r="X666" i="12"/>
  <c r="W666" i="12" s="1" a="1"/>
  <c r="W666" i="12" s="1"/>
  <c r="C668" i="12" a="1"/>
  <c r="C668" i="12" s="1"/>
  <c r="AA671" i="12" a="1"/>
  <c r="AA671" i="12" s="1"/>
  <c r="C684" i="12" a="1"/>
  <c r="C684" i="12" s="1"/>
  <c r="E691" i="12" a="1"/>
  <c r="E691" i="12" s="1"/>
  <c r="E694" i="12" a="1"/>
  <c r="E694" i="12" s="1"/>
  <c r="AA696" i="12" a="1"/>
  <c r="AA696" i="12" s="1"/>
  <c r="Z700" i="12"/>
  <c r="AC716" i="12" a="1"/>
  <c r="AC716" i="12" s="1"/>
  <c r="D735" i="12" a="1"/>
  <c r="D735" i="12" s="1"/>
  <c r="AB738" i="12" a="1"/>
  <c r="AB738" i="12" s="1"/>
  <c r="AA739" i="12" a="1"/>
  <c r="AA739" i="12" s="1"/>
  <c r="D741" i="12" a="1"/>
  <c r="D741" i="12" s="1"/>
  <c r="Z746" i="12"/>
  <c r="D756" i="12" a="1"/>
  <c r="D756" i="12" s="1"/>
  <c r="AB779" i="12" a="1"/>
  <c r="AB779" i="12" s="1"/>
  <c r="C779" i="12" a="1"/>
  <c r="C779" i="12" s="1"/>
  <c r="X787" i="12"/>
  <c r="W787" i="12" s="1" a="1"/>
  <c r="W787" i="12" s="1"/>
  <c r="C962" i="12" a="1"/>
  <c r="C962" i="12" s="1"/>
  <c r="AC671" i="12" a="1"/>
  <c r="AC671" i="12" s="1"/>
  <c r="AC739" i="12" a="1"/>
  <c r="AC739" i="12" s="1"/>
  <c r="AC905" i="12" a="1"/>
  <c r="AC905" i="12" s="1"/>
  <c r="Z905" i="12"/>
  <c r="C953" i="12" a="1"/>
  <c r="C953" i="12" s="1"/>
  <c r="AC953" i="12" a="1"/>
  <c r="AC953" i="12" s="1"/>
  <c r="AB953" i="12" a="1"/>
  <c r="AB953" i="12" s="1"/>
  <c r="AA953" i="12" a="1"/>
  <c r="AA953" i="12" s="1"/>
  <c r="Z953" i="12"/>
  <c r="X953" i="12"/>
  <c r="W953" i="12" s="1" a="1"/>
  <c r="W953" i="12" s="1"/>
  <c r="E953" i="12" a="1"/>
  <c r="E953" i="12" s="1"/>
  <c r="X977" i="12"/>
  <c r="W977" i="12" s="1" a="1"/>
  <c r="W977" i="12" s="1"/>
  <c r="E977" i="12" a="1"/>
  <c r="E977" i="12" s="1"/>
  <c r="C693" i="12" a="1"/>
  <c r="C693" i="12" s="1"/>
  <c r="C698" i="12" a="1"/>
  <c r="C698" i="12" s="1"/>
  <c r="D702" i="12" a="1"/>
  <c r="D702" i="12" s="1"/>
  <c r="C732" i="12" a="1"/>
  <c r="C732" i="12" s="1"/>
  <c r="E734" i="12" a="1"/>
  <c r="E734" i="12" s="1"/>
  <c r="X760" i="12"/>
  <c r="W760" i="12" s="1" a="1"/>
  <c r="W760" i="12" s="1"/>
  <c r="Z760" i="12"/>
  <c r="C760" i="12" a="1"/>
  <c r="C760" i="12" s="1"/>
  <c r="D953" i="12" a="1"/>
  <c r="D953" i="12" s="1"/>
  <c r="Z977" i="12"/>
  <c r="C593" i="12" a="1"/>
  <c r="C593" i="12" s="1"/>
  <c r="AC620" i="12" a="1"/>
  <c r="AC620" i="12" s="1"/>
  <c r="AB623" i="12" a="1"/>
  <c r="AB623" i="12" s="1"/>
  <c r="D642" i="12" a="1"/>
  <c r="D642" i="12" s="1"/>
  <c r="C656" i="12" a="1"/>
  <c r="C656" i="12" s="1"/>
  <c r="AB658" i="12" a="1"/>
  <c r="AB658" i="12" s="1"/>
  <c r="Z659" i="12"/>
  <c r="AC662" i="12" a="1"/>
  <c r="AC662" i="12" s="1"/>
  <c r="AB691" i="12" a="1"/>
  <c r="AB691" i="12" s="1"/>
  <c r="AA693" i="12" a="1"/>
  <c r="AA693" i="12" s="1"/>
  <c r="AB694" i="12" a="1"/>
  <c r="AB694" i="12" s="1"/>
  <c r="C697" i="12" a="1"/>
  <c r="C697" i="12" s="1"/>
  <c r="AB699" i="12" a="1"/>
  <c r="AB699" i="12" s="1"/>
  <c r="AC717" i="12" a="1"/>
  <c r="AC717" i="12" s="1"/>
  <c r="E732" i="12" a="1"/>
  <c r="E732" i="12" s="1"/>
  <c r="Z734" i="12"/>
  <c r="AA735" i="12" a="1"/>
  <c r="AA735" i="12" s="1"/>
  <c r="C739" i="12" a="1"/>
  <c r="C739" i="12" s="1"/>
  <c r="AA741" i="12" a="1"/>
  <c r="AA741" i="12" s="1"/>
  <c r="E743" i="12" a="1"/>
  <c r="E743" i="12" s="1"/>
  <c r="AC745" i="12" a="1"/>
  <c r="AC745" i="12" s="1"/>
  <c r="D747" i="12" a="1"/>
  <c r="D747" i="12" s="1"/>
  <c r="AC749" i="12" a="1"/>
  <c r="AC749" i="12" s="1"/>
  <c r="C752" i="12" a="1"/>
  <c r="C752" i="12" s="1"/>
  <c r="D753" i="12" a="1"/>
  <c r="D753" i="12" s="1"/>
  <c r="E780" i="12" a="1"/>
  <c r="E780" i="12" s="1"/>
  <c r="X788" i="12"/>
  <c r="W788" i="12" s="1" a="1"/>
  <c r="W788" i="12" s="1"/>
  <c r="E788" i="12" a="1"/>
  <c r="E788" i="12" s="1"/>
  <c r="D788" i="12" a="1"/>
  <c r="D788" i="12" s="1"/>
  <c r="C788" i="12" a="1"/>
  <c r="C788" i="12" s="1"/>
  <c r="AA788" i="12" a="1"/>
  <c r="AA788" i="12" s="1"/>
  <c r="AC790" i="12" a="1"/>
  <c r="AC790" i="12" s="1"/>
  <c r="E790" i="12" a="1"/>
  <c r="E790" i="12" s="1"/>
  <c r="D790" i="12" a="1"/>
  <c r="D790" i="12" s="1"/>
  <c r="C790" i="12" a="1"/>
  <c r="C790" i="12" s="1"/>
  <c r="AB790" i="12" a="1"/>
  <c r="AB790" i="12" s="1"/>
  <c r="Z790" i="12"/>
  <c r="Z811" i="12"/>
  <c r="AB811" i="12" a="1"/>
  <c r="AB811" i="12" s="1"/>
  <c r="AA811" i="12" a="1"/>
  <c r="AA811" i="12" s="1"/>
  <c r="D811" i="12" a="1"/>
  <c r="D811" i="12" s="1"/>
  <c r="X877" i="12"/>
  <c r="W877" i="12" s="1" a="1"/>
  <c r="W877" i="12" s="1"/>
  <c r="AB877" i="12" a="1"/>
  <c r="AB877" i="12" s="1"/>
  <c r="AA877" i="12" a="1"/>
  <c r="AA877" i="12" s="1"/>
  <c r="E877" i="12" a="1"/>
  <c r="E877" i="12" s="1"/>
  <c r="AC959" i="12" a="1"/>
  <c r="AC959" i="12" s="1"/>
  <c r="AB959" i="12" a="1"/>
  <c r="AB959" i="12" s="1"/>
  <c r="Z959" i="12"/>
  <c r="X959" i="12"/>
  <c r="W959" i="12" s="1" a="1"/>
  <c r="W959" i="12" s="1"/>
  <c r="C959" i="12" a="1"/>
  <c r="C959" i="12" s="1"/>
  <c r="C558" i="12" a="1"/>
  <c r="C558" i="12" s="1"/>
  <c r="C671" i="12" a="1"/>
  <c r="C671" i="12" s="1"/>
  <c r="E683" i="12" a="1"/>
  <c r="E683" i="12" s="1"/>
  <c r="Z686" i="12"/>
  <c r="C688" i="12" a="1"/>
  <c r="C688" i="12" s="1"/>
  <c r="D697" i="12" a="1"/>
  <c r="D697" i="12" s="1"/>
  <c r="D701" i="12" a="1"/>
  <c r="D701" i="12" s="1"/>
  <c r="AA702" i="12" a="1"/>
  <c r="AA702" i="12" s="1"/>
  <c r="AB710" i="12" a="1"/>
  <c r="AB710" i="12" s="1"/>
  <c r="C720" i="12" a="1"/>
  <c r="C720" i="12" s="1"/>
  <c r="C731" i="12" a="1"/>
  <c r="C731" i="12" s="1"/>
  <c r="AC735" i="12" a="1"/>
  <c r="AC735" i="12" s="1"/>
  <c r="D739" i="12" a="1"/>
  <c r="D739" i="12" s="1"/>
  <c r="AC741" i="12" a="1"/>
  <c r="AC741" i="12" s="1"/>
  <c r="D752" i="12" a="1"/>
  <c r="D752" i="12" s="1"/>
  <c r="E753" i="12" a="1"/>
  <c r="E753" i="12" s="1"/>
  <c r="X759" i="12"/>
  <c r="W759" i="12" s="1" a="1"/>
  <c r="W759" i="12" s="1"/>
  <c r="AB759" i="12" a="1"/>
  <c r="AB759" i="12" s="1"/>
  <c r="AB760" i="12" a="1"/>
  <c r="AB760" i="12" s="1"/>
  <c r="AB762" i="12" a="1"/>
  <c r="AB762" i="12" s="1"/>
  <c r="AA766" i="12" a="1"/>
  <c r="AA766" i="12" s="1"/>
  <c r="AC766" i="12" a="1"/>
  <c r="AC766" i="12" s="1"/>
  <c r="D766" i="12" a="1"/>
  <c r="D766" i="12" s="1"/>
  <c r="X771" i="12"/>
  <c r="W771" i="12" s="1" a="1"/>
  <c r="W771" i="12" s="1"/>
  <c r="AB771" i="12" a="1"/>
  <c r="AB771" i="12" s="1"/>
  <c r="Z771" i="12"/>
  <c r="E771" i="12" a="1"/>
  <c r="E771" i="12" s="1"/>
  <c r="C771" i="12" a="1"/>
  <c r="C771" i="12" s="1"/>
  <c r="X782" i="12"/>
  <c r="W782" i="12" s="1" a="1"/>
  <c r="W782" i="12" s="1"/>
  <c r="AA782" i="12" a="1"/>
  <c r="AA782" i="12" s="1"/>
  <c r="Z782" i="12"/>
  <c r="D782" i="12" a="1"/>
  <c r="D782" i="12" s="1"/>
  <c r="AC782" i="12" a="1"/>
  <c r="AC782" i="12" s="1"/>
  <c r="AB782" i="12" a="1"/>
  <c r="AB782" i="12" s="1"/>
  <c r="AB784" i="12" a="1"/>
  <c r="AB784" i="12" s="1"/>
  <c r="AC784" i="12" a="1"/>
  <c r="AC784" i="12" s="1"/>
  <c r="C784" i="12" a="1"/>
  <c r="C784" i="12" s="1"/>
  <c r="E811" i="12" a="1"/>
  <c r="E811" i="12" s="1"/>
  <c r="Z826" i="12"/>
  <c r="AB826" i="12" a="1"/>
  <c r="AB826" i="12" s="1"/>
  <c r="AA826" i="12" a="1"/>
  <c r="AA826" i="12" s="1"/>
  <c r="X826" i="12"/>
  <c r="W826" i="12" s="1" a="1"/>
  <c r="W826" i="12" s="1"/>
  <c r="E826" i="12" a="1"/>
  <c r="E826" i="12" s="1"/>
  <c r="C826" i="12" a="1"/>
  <c r="C826" i="12" s="1"/>
  <c r="AC826" i="12" a="1"/>
  <c r="AC826" i="12" s="1"/>
  <c r="X852" i="12"/>
  <c r="W852" i="12" s="1" a="1"/>
  <c r="W852" i="12" s="1"/>
  <c r="AC852" i="12" a="1"/>
  <c r="AC852" i="12" s="1"/>
  <c r="AB852" i="12" a="1"/>
  <c r="AB852" i="12" s="1"/>
  <c r="E852" i="12" a="1"/>
  <c r="E852" i="12" s="1"/>
  <c r="Z920" i="12"/>
  <c r="C920" i="12" a="1"/>
  <c r="C920" i="12" s="1"/>
  <c r="C535" i="12" a="1"/>
  <c r="C535" i="12" s="1"/>
  <c r="AA543" i="12" a="1"/>
  <c r="AA543" i="12" s="1"/>
  <c r="AA545" i="12" a="1"/>
  <c r="AA545" i="12" s="1"/>
  <c r="AC556" i="12" a="1"/>
  <c r="AC556" i="12" s="1"/>
  <c r="D558" i="12" a="1"/>
  <c r="D558" i="12" s="1"/>
  <c r="C566" i="12" a="1"/>
  <c r="C566" i="12" s="1"/>
  <c r="AA568" i="12" a="1"/>
  <c r="AA568" i="12" s="1"/>
  <c r="C586" i="12" a="1"/>
  <c r="C586" i="12" s="1"/>
  <c r="D593" i="12" a="1"/>
  <c r="D593" i="12" s="1"/>
  <c r="E607" i="12" a="1"/>
  <c r="E607" i="12" s="1"/>
  <c r="AA609" i="12" a="1"/>
  <c r="AA609" i="12" s="1"/>
  <c r="Z612" i="12"/>
  <c r="AC622" i="12" a="1"/>
  <c r="AC622" i="12" s="1"/>
  <c r="E635" i="12" a="1"/>
  <c r="E635" i="12" s="1"/>
  <c r="C640" i="12" a="1"/>
  <c r="C640" i="12" s="1"/>
  <c r="E642" i="12" a="1"/>
  <c r="E642" i="12" s="1"/>
  <c r="C647" i="12" a="1"/>
  <c r="C647" i="12" s="1"/>
  <c r="X656" i="12"/>
  <c r="W656" i="12" s="1" a="1"/>
  <c r="W656" i="12" s="1"/>
  <c r="AC658" i="12" a="1"/>
  <c r="AC658" i="12" s="1"/>
  <c r="AA659" i="12" a="1"/>
  <c r="AA659" i="12" s="1"/>
  <c r="C664" i="12" a="1"/>
  <c r="C664" i="12" s="1"/>
  <c r="Z667" i="12"/>
  <c r="Z668" i="12"/>
  <c r="D671" i="12" a="1"/>
  <c r="D671" i="12" s="1"/>
  <c r="AA686" i="12" a="1"/>
  <c r="AA686" i="12" s="1"/>
  <c r="E697" i="12" a="1"/>
  <c r="E697" i="12" s="1"/>
  <c r="Z698" i="12"/>
  <c r="AC702" i="12" a="1"/>
  <c r="AC702" i="12" s="1"/>
  <c r="Z704" i="12"/>
  <c r="Z747" i="12"/>
  <c r="E752" i="12" a="1"/>
  <c r="E752" i="12" s="1"/>
  <c r="Z788" i="12"/>
  <c r="AA917" i="12" a="1"/>
  <c r="AA917" i="12" s="1"/>
  <c r="AC917" i="12" a="1"/>
  <c r="AC917" i="12" s="1"/>
  <c r="AB917" i="12" a="1"/>
  <c r="AB917" i="12" s="1"/>
  <c r="Z917" i="12"/>
  <c r="E917" i="12" a="1"/>
  <c r="E917" i="12" s="1"/>
  <c r="D917" i="12" a="1"/>
  <c r="D917" i="12" s="1"/>
  <c r="C917" i="12" a="1"/>
  <c r="C917" i="12" s="1"/>
  <c r="D535" i="12" a="1"/>
  <c r="D535" i="12" s="1"/>
  <c r="E558" i="12" a="1"/>
  <c r="E558" i="12" s="1"/>
  <c r="D566" i="12" a="1"/>
  <c r="D566" i="12" s="1"/>
  <c r="E593" i="12" a="1"/>
  <c r="E593" i="12" s="1"/>
  <c r="AB609" i="12" a="1"/>
  <c r="AB609" i="12" s="1"/>
  <c r="D647" i="12" a="1"/>
  <c r="D647" i="12" s="1"/>
  <c r="E664" i="12" a="1"/>
  <c r="E664" i="12" s="1"/>
  <c r="AB667" i="12" a="1"/>
  <c r="AB667" i="12" s="1"/>
  <c r="X683" i="12"/>
  <c r="W683" i="12" s="1" a="1"/>
  <c r="W683" i="12" s="1"/>
  <c r="AB698" i="12" a="1"/>
  <c r="AB698" i="12" s="1"/>
  <c r="E739" i="12" a="1"/>
  <c r="E739" i="12" s="1"/>
  <c r="AB747" i="12" a="1"/>
  <c r="AB747" i="12" s="1"/>
  <c r="X776" i="12"/>
  <c r="W776" i="12" s="1" a="1"/>
  <c r="W776" i="12" s="1"/>
  <c r="D776" i="12" a="1"/>
  <c r="D776" i="12" s="1"/>
  <c r="C776" i="12" a="1"/>
  <c r="C776" i="12" s="1"/>
  <c r="AB776" i="12" a="1"/>
  <c r="AB776" i="12" s="1"/>
  <c r="Z776" i="12"/>
  <c r="AB908" i="12" a="1"/>
  <c r="AB908" i="12" s="1"/>
  <c r="E908" i="12" a="1"/>
  <c r="E908" i="12" s="1"/>
  <c r="C908" i="12" a="1"/>
  <c r="C908" i="12" s="1"/>
  <c r="Z506" i="12"/>
  <c r="E535" i="12" a="1"/>
  <c r="E535" i="12" s="1"/>
  <c r="D540" i="12" a="1"/>
  <c r="D540" i="12" s="1"/>
  <c r="AC545" i="12" a="1"/>
  <c r="AC545" i="12" s="1"/>
  <c r="C560" i="12" a="1"/>
  <c r="C560" i="12" s="1"/>
  <c r="E566" i="12" a="1"/>
  <c r="E566" i="12" s="1"/>
  <c r="D567" i="12" a="1"/>
  <c r="D567" i="12" s="1"/>
  <c r="E570" i="12" a="1"/>
  <c r="E570" i="12" s="1"/>
  <c r="D586" i="12" a="1"/>
  <c r="D586" i="12" s="1"/>
  <c r="D587" i="12" a="1"/>
  <c r="D587" i="12" s="1"/>
  <c r="E591" i="12" a="1"/>
  <c r="E591" i="12" s="1"/>
  <c r="Z601" i="12"/>
  <c r="AB607" i="12" a="1"/>
  <c r="AB607" i="12" s="1"/>
  <c r="AC609" i="12" a="1"/>
  <c r="AC609" i="12" s="1"/>
  <c r="AB612" i="12" a="1"/>
  <c r="AB612" i="12" s="1"/>
  <c r="C620" i="12" a="1"/>
  <c r="C620" i="12" s="1"/>
  <c r="C624" i="12" a="1"/>
  <c r="C624" i="12" s="1"/>
  <c r="Z635" i="12"/>
  <c r="C637" i="12" a="1"/>
  <c r="C637" i="12" s="1"/>
  <c r="C639" i="12" a="1"/>
  <c r="C639" i="12" s="1"/>
  <c r="E647" i="12" a="1"/>
  <c r="E647" i="12" s="1"/>
  <c r="AB656" i="12" a="1"/>
  <c r="AB656" i="12" s="1"/>
  <c r="C663" i="12" a="1"/>
  <c r="C663" i="12" s="1"/>
  <c r="D666" i="12" a="1"/>
  <c r="D666" i="12" s="1"/>
  <c r="AC668" i="12" a="1"/>
  <c r="AC668" i="12" s="1"/>
  <c r="E671" i="12" a="1"/>
  <c r="E671" i="12" s="1"/>
  <c r="D679" i="12" a="1"/>
  <c r="D679" i="12" s="1"/>
  <c r="C695" i="12" a="1"/>
  <c r="C695" i="12" s="1"/>
  <c r="C700" i="12" a="1"/>
  <c r="C700" i="12" s="1"/>
  <c r="X743" i="12"/>
  <c r="W743" i="12" s="1" a="1"/>
  <c r="W743" i="12" s="1"/>
  <c r="AB753" i="12" a="1"/>
  <c r="AB753" i="12" s="1"/>
  <c r="C761" i="12" a="1"/>
  <c r="C761" i="12" s="1"/>
  <c r="E761" i="12" a="1"/>
  <c r="E761" i="12" s="1"/>
  <c r="D761" i="12" a="1"/>
  <c r="D761" i="12" s="1"/>
  <c r="AC761" i="12" a="1"/>
  <c r="AC761" i="12" s="1"/>
  <c r="E776" i="12" a="1"/>
  <c r="E776" i="12" s="1"/>
  <c r="AC842" i="12" a="1"/>
  <c r="AC842" i="12" s="1"/>
  <c r="AB842" i="12" a="1"/>
  <c r="AB842" i="12" s="1"/>
  <c r="Z842" i="12"/>
  <c r="X842" i="12"/>
  <c r="W842" i="12" s="1" a="1"/>
  <c r="W842" i="12" s="1"/>
  <c r="E842" i="12" a="1"/>
  <c r="E842" i="12" s="1"/>
  <c r="D842" i="12" a="1"/>
  <c r="D842" i="12" s="1"/>
  <c r="X813" i="12"/>
  <c r="W813" i="12" s="1" a="1"/>
  <c r="W813" i="12" s="1"/>
  <c r="AA817" i="12" a="1"/>
  <c r="AA817" i="12" s="1"/>
  <c r="E822" i="12" a="1"/>
  <c r="E822" i="12" s="1"/>
  <c r="AA847" i="12" a="1"/>
  <c r="AA847" i="12" s="1"/>
  <c r="X855" i="12"/>
  <c r="W855" i="12" s="1" a="1"/>
  <c r="W855" i="12" s="1"/>
  <c r="Z919" i="12"/>
  <c r="X925" i="12"/>
  <c r="W925" i="12" s="1" a="1"/>
  <c r="W925" i="12" s="1"/>
  <c r="AA929" i="12" a="1"/>
  <c r="AA929" i="12" s="1"/>
  <c r="E939" i="12" a="1"/>
  <c r="E939" i="12" s="1"/>
  <c r="X948" i="12"/>
  <c r="W948" i="12" s="1" a="1"/>
  <c r="W948" i="12" s="1"/>
  <c r="X965" i="12"/>
  <c r="W965" i="12" s="1" a="1"/>
  <c r="W965" i="12" s="1"/>
  <c r="X768" i="12"/>
  <c r="W768" i="12" s="1" a="1"/>
  <c r="W768" i="12" s="1"/>
  <c r="AC781" i="12" a="1"/>
  <c r="AC781" i="12" s="1"/>
  <c r="AA789" i="12" a="1"/>
  <c r="AA789" i="12" s="1"/>
  <c r="E792" i="12" a="1"/>
  <c r="E792" i="12" s="1"/>
  <c r="E793" i="12" a="1"/>
  <c r="E793" i="12" s="1"/>
  <c r="E794" i="12" a="1"/>
  <c r="E794" i="12" s="1"/>
  <c r="Z799" i="12"/>
  <c r="X800" i="12"/>
  <c r="W800" i="12" s="1" a="1"/>
  <c r="W800" i="12" s="1"/>
  <c r="AC801" i="12" a="1"/>
  <c r="AC801" i="12" s="1"/>
  <c r="E803" i="12" a="1"/>
  <c r="E803" i="12" s="1"/>
  <c r="C808" i="12" a="1"/>
  <c r="C808" i="12" s="1"/>
  <c r="AC809" i="12" a="1"/>
  <c r="AC809" i="12" s="1"/>
  <c r="AB812" i="12" a="1"/>
  <c r="AB812" i="12" s="1"/>
  <c r="AB813" i="12" a="1"/>
  <c r="AB813" i="12" s="1"/>
  <c r="AB816" i="12" a="1"/>
  <c r="AB816" i="12" s="1"/>
  <c r="Z822" i="12"/>
  <c r="AA835" i="12" a="1"/>
  <c r="AA835" i="12" s="1"/>
  <c r="D837" i="12" a="1"/>
  <c r="D837" i="12" s="1"/>
  <c r="D838" i="12" a="1"/>
  <c r="D838" i="12" s="1"/>
  <c r="D843" i="12" a="1"/>
  <c r="D843" i="12" s="1"/>
  <c r="AB846" i="12" a="1"/>
  <c r="AB846" i="12" s="1"/>
  <c r="AC847" i="12" a="1"/>
  <c r="AC847" i="12" s="1"/>
  <c r="AB850" i="12" a="1"/>
  <c r="AB850" i="12" s="1"/>
  <c r="AC855" i="12" a="1"/>
  <c r="AC855" i="12" s="1"/>
  <c r="AA857" i="12" a="1"/>
  <c r="AA857" i="12" s="1"/>
  <c r="AC859" i="12" a="1"/>
  <c r="AC859" i="12" s="1"/>
  <c r="D866" i="12" a="1"/>
  <c r="D866" i="12" s="1"/>
  <c r="AB867" i="12" a="1"/>
  <c r="AB867" i="12" s="1"/>
  <c r="D871" i="12" a="1"/>
  <c r="D871" i="12" s="1"/>
  <c r="E872" i="12" a="1"/>
  <c r="E872" i="12" s="1"/>
  <c r="Z873" i="12"/>
  <c r="E878" i="12" a="1"/>
  <c r="E878" i="12" s="1"/>
  <c r="E882" i="12" a="1"/>
  <c r="E882" i="12" s="1"/>
  <c r="D883" i="12" a="1"/>
  <c r="D883" i="12" s="1"/>
  <c r="AB884" i="12" a="1"/>
  <c r="AB884" i="12" s="1"/>
  <c r="Z893" i="12"/>
  <c r="AC910" i="12" a="1"/>
  <c r="AC910" i="12" s="1"/>
  <c r="D912" i="12" a="1"/>
  <c r="D912" i="12" s="1"/>
  <c r="Z924" i="12"/>
  <c r="D928" i="12" a="1"/>
  <c r="D928" i="12" s="1"/>
  <c r="AC929" i="12" a="1"/>
  <c r="AC929" i="12" s="1"/>
  <c r="D934" i="12" a="1"/>
  <c r="D934" i="12" s="1"/>
  <c r="X939" i="12"/>
  <c r="W939" i="12" s="1" a="1"/>
  <c r="W939" i="12" s="1"/>
  <c r="D944" i="12" a="1"/>
  <c r="D944" i="12" s="1"/>
  <c r="AB948" i="12" a="1"/>
  <c r="AB948" i="12" s="1"/>
  <c r="AC949" i="12" a="1"/>
  <c r="AC949" i="12" s="1"/>
  <c r="AC954" i="12" a="1"/>
  <c r="AC954" i="12" s="1"/>
  <c r="AA955" i="12" a="1"/>
  <c r="AA955" i="12" s="1"/>
  <c r="X960" i="12"/>
  <c r="W960" i="12" s="1" a="1"/>
  <c r="W960" i="12" s="1"/>
  <c r="D968" i="12" a="1"/>
  <c r="D968" i="12" s="1"/>
  <c r="X976" i="12"/>
  <c r="W976" i="12" s="1" a="1"/>
  <c r="W976" i="12" s="1"/>
  <c r="AB976" i="12" a="1"/>
  <c r="AB976" i="12" s="1"/>
  <c r="X996" i="12"/>
  <c r="W996" i="12" s="1" a="1"/>
  <c r="W996" i="12" s="1"/>
  <c r="C996" i="12" a="1"/>
  <c r="C996" i="12" s="1"/>
  <c r="E996" i="12" a="1"/>
  <c r="E996" i="12" s="1"/>
  <c r="A6" i="17"/>
  <c r="E5" i="17"/>
  <c r="AB768" i="12" a="1"/>
  <c r="AB768" i="12" s="1"/>
  <c r="X786" i="12"/>
  <c r="W786" i="12" s="1" a="1"/>
  <c r="W786" i="12" s="1"/>
  <c r="X793" i="12"/>
  <c r="W793" i="12" s="1" a="1"/>
  <c r="W793" i="12" s="1"/>
  <c r="X794" i="12"/>
  <c r="W794" i="12" s="1" a="1"/>
  <c r="W794" i="12" s="1"/>
  <c r="AC799" i="12" a="1"/>
  <c r="AC799" i="12" s="1"/>
  <c r="D805" i="12" a="1"/>
  <c r="D805" i="12" s="1"/>
  <c r="D808" i="12" a="1"/>
  <c r="D808" i="12" s="1"/>
  <c r="AC819" i="12" a="1"/>
  <c r="AC819" i="12" s="1"/>
  <c r="E866" i="12" a="1"/>
  <c r="E866" i="12" s="1"/>
  <c r="AB892" i="12" a="1"/>
  <c r="AB892" i="12" s="1"/>
  <c r="E912" i="12" a="1"/>
  <c r="E912" i="12" s="1"/>
  <c r="AC913" i="12" a="1"/>
  <c r="AC913" i="12" s="1"/>
  <c r="X934" i="12"/>
  <c r="W934" i="12" s="1" a="1"/>
  <c r="W934" i="12" s="1"/>
  <c r="AA939" i="12" a="1"/>
  <c r="AA939" i="12" s="1"/>
  <c r="Z871" i="12"/>
  <c r="AB873" i="12" a="1"/>
  <c r="AB873" i="12" s="1"/>
  <c r="Z883" i="12"/>
  <c r="C916" i="12" a="1"/>
  <c r="C916" i="12" s="1"/>
  <c r="AC924" i="12" a="1"/>
  <c r="AC924" i="12" s="1"/>
  <c r="C926" i="12" a="1"/>
  <c r="C926" i="12" s="1"/>
  <c r="AC928" i="12" a="1"/>
  <c r="AC928" i="12" s="1"/>
  <c r="C931" i="12" a="1"/>
  <c r="C931" i="12" s="1"/>
  <c r="Z934" i="12"/>
  <c r="AB939" i="12" a="1"/>
  <c r="AB939" i="12" s="1"/>
  <c r="C941" i="12" a="1"/>
  <c r="C941" i="12" s="1"/>
  <c r="X944" i="12"/>
  <c r="W944" i="12" s="1" a="1"/>
  <c r="W944" i="12" s="1"/>
  <c r="C958" i="12" a="1"/>
  <c r="C958" i="12" s="1"/>
  <c r="E972" i="12" a="1"/>
  <c r="E972" i="12" s="1"/>
  <c r="X975" i="12"/>
  <c r="W975" i="12" s="1" a="1"/>
  <c r="W975" i="12" s="1"/>
  <c r="C975" i="12" a="1"/>
  <c r="C975" i="12" s="1"/>
  <c r="E976" i="12" a="1"/>
  <c r="E976" i="12" s="1"/>
  <c r="AA871" i="12" a="1"/>
  <c r="AA871" i="12" s="1"/>
  <c r="AA934" i="12" a="1"/>
  <c r="AA934" i="12" s="1"/>
  <c r="AB944" i="12" a="1"/>
  <c r="AB944" i="12" s="1"/>
  <c r="E958" i="12" a="1"/>
  <c r="E958" i="12" s="1"/>
  <c r="AB792" i="12" a="1"/>
  <c r="AB792" i="12" s="1"/>
  <c r="AB794" i="12" a="1"/>
  <c r="AB794" i="12" s="1"/>
  <c r="E802" i="12" a="1"/>
  <c r="E802" i="12" s="1"/>
  <c r="AB803" i="12" a="1"/>
  <c r="AB803" i="12" s="1"/>
  <c r="D807" i="12" a="1"/>
  <c r="D807" i="12" s="1"/>
  <c r="Z808" i="12"/>
  <c r="E810" i="12" a="1"/>
  <c r="E810" i="12" s="1"/>
  <c r="D813" i="12" a="1"/>
  <c r="D813" i="12" s="1"/>
  <c r="C814" i="12" a="1"/>
  <c r="C814" i="12" s="1"/>
  <c r="E817" i="12" a="1"/>
  <c r="E817" i="12" s="1"/>
  <c r="X824" i="12"/>
  <c r="W824" i="12" s="1" a="1"/>
  <c r="W824" i="12" s="1"/>
  <c r="E836" i="12" a="1"/>
  <c r="E836" i="12" s="1"/>
  <c r="AB837" i="12" a="1"/>
  <c r="AB837" i="12" s="1"/>
  <c r="AB838" i="12" a="1"/>
  <c r="AB838" i="12" s="1"/>
  <c r="AC840" i="12" a="1"/>
  <c r="AC840" i="12" s="1"/>
  <c r="AA843" i="12" a="1"/>
  <c r="AA843" i="12" s="1"/>
  <c r="D847" i="12" a="1"/>
  <c r="D847" i="12" s="1"/>
  <c r="AC849" i="12" a="1"/>
  <c r="AC849" i="12" s="1"/>
  <c r="E851" i="12" a="1"/>
  <c r="E851" i="12" s="1"/>
  <c r="X863" i="12"/>
  <c r="W863" i="12" s="1" a="1"/>
  <c r="W863" i="12" s="1"/>
  <c r="X864" i="12"/>
  <c r="W864" i="12" s="1" a="1"/>
  <c r="W864" i="12" s="1"/>
  <c r="C868" i="12" a="1"/>
  <c r="C868" i="12" s="1"/>
  <c r="D870" i="12" a="1"/>
  <c r="D870" i="12" s="1"/>
  <c r="AB871" i="12" a="1"/>
  <c r="AB871" i="12" s="1"/>
  <c r="AA878" i="12" a="1"/>
  <c r="AA878" i="12" s="1"/>
  <c r="AB881" i="12" a="1"/>
  <c r="AB881" i="12" s="1"/>
  <c r="AA882" i="12" a="1"/>
  <c r="AA882" i="12" s="1"/>
  <c r="AC886" i="12" a="1"/>
  <c r="AC886" i="12" s="1"/>
  <c r="AB891" i="12" a="1"/>
  <c r="AB891" i="12" s="1"/>
  <c r="C898" i="12" a="1"/>
  <c r="C898" i="12" s="1"/>
  <c r="D910" i="12" a="1"/>
  <c r="D910" i="12" s="1"/>
  <c r="Z912" i="12"/>
  <c r="D915" i="12" a="1"/>
  <c r="D915" i="12" s="1"/>
  <c r="E916" i="12" a="1"/>
  <c r="E916" i="12" s="1"/>
  <c r="E930" i="12" a="1"/>
  <c r="E930" i="12" s="1"/>
  <c r="E931" i="12" a="1"/>
  <c r="E931" i="12" s="1"/>
  <c r="E943" i="12" a="1"/>
  <c r="E943" i="12" s="1"/>
  <c r="AC944" i="12" a="1"/>
  <c r="AC944" i="12" s="1"/>
  <c r="C949" i="12" a="1"/>
  <c r="C949" i="12" s="1"/>
  <c r="Z968" i="12"/>
  <c r="X974" i="12"/>
  <c r="W974" i="12" s="1" a="1"/>
  <c r="W974" i="12" s="1"/>
  <c r="E974" i="12" a="1"/>
  <c r="E974" i="12" s="1"/>
  <c r="E847" i="12" a="1"/>
  <c r="E847" i="12" s="1"/>
  <c r="D764" i="12" a="1"/>
  <c r="D764" i="12" s="1"/>
  <c r="D768" i="12" a="1"/>
  <c r="D768" i="12" s="1"/>
  <c r="E781" i="12" a="1"/>
  <c r="E781" i="12" s="1"/>
  <c r="AB808" i="12" a="1"/>
  <c r="AB808" i="12" s="1"/>
  <c r="AA810" i="12" a="1"/>
  <c r="AA810" i="12" s="1"/>
  <c r="E813" i="12" a="1"/>
  <c r="E813" i="12" s="1"/>
  <c r="X814" i="12"/>
  <c r="W814" i="12" s="1" a="1"/>
  <c r="W814" i="12" s="1"/>
  <c r="C816" i="12" a="1"/>
  <c r="C816" i="12" s="1"/>
  <c r="C822" i="12" a="1"/>
  <c r="C822" i="12" s="1"/>
  <c r="AA836" i="12" a="1"/>
  <c r="AA836" i="12" s="1"/>
  <c r="AC837" i="12" a="1"/>
  <c r="AC837" i="12" s="1"/>
  <c r="AA848" i="12" a="1"/>
  <c r="AA848" i="12" s="1"/>
  <c r="AB868" i="12" a="1"/>
  <c r="AB868" i="12" s="1"/>
  <c r="AB870" i="12" a="1"/>
  <c r="AB870" i="12" s="1"/>
  <c r="C873" i="12" a="1"/>
  <c r="C873" i="12" s="1"/>
  <c r="AB898" i="12" a="1"/>
  <c r="AB898" i="12" s="1"/>
  <c r="X907" i="12"/>
  <c r="W907" i="12" s="1" a="1"/>
  <c r="W907" i="12" s="1"/>
  <c r="AC911" i="12" a="1"/>
  <c r="AC911" i="12" s="1"/>
  <c r="AC912" i="12" a="1"/>
  <c r="AC912" i="12" s="1"/>
  <c r="Z916" i="12"/>
  <c r="C919" i="12" a="1"/>
  <c r="C919" i="12" s="1"/>
  <c r="C924" i="12" a="1"/>
  <c r="C924" i="12" s="1"/>
  <c r="C925" i="12" a="1"/>
  <c r="C925" i="12" s="1"/>
  <c r="D929" i="12" a="1"/>
  <c r="D929" i="12" s="1"/>
  <c r="X931" i="12"/>
  <c r="W931" i="12" s="1" a="1"/>
  <c r="W931" i="12" s="1"/>
  <c r="AB936" i="12" a="1"/>
  <c r="AB936" i="12" s="1"/>
  <c r="C939" i="12" a="1"/>
  <c r="C939" i="12" s="1"/>
  <c r="C948" i="12" a="1"/>
  <c r="C948" i="12" s="1"/>
  <c r="D949" i="12" a="1"/>
  <c r="D949" i="12" s="1"/>
  <c r="AB952" i="12" a="1"/>
  <c r="AB952" i="12" s="1"/>
  <c r="Z954" i="12"/>
  <c r="E955" i="12" a="1"/>
  <c r="E955" i="12" s="1"/>
  <c r="Z958" i="12"/>
  <c r="D974" i="12" a="1"/>
  <c r="D974" i="12" s="1"/>
  <c r="AA976" i="12" a="1"/>
  <c r="AA976" i="12" s="1"/>
  <c r="E764" i="12" a="1"/>
  <c r="E764" i="12" s="1"/>
  <c r="AA765" i="12" a="1"/>
  <c r="AA765" i="12" s="1"/>
  <c r="E768" i="12" a="1"/>
  <c r="E768" i="12" s="1"/>
  <c r="D789" i="12" a="1"/>
  <c r="D789" i="12" s="1"/>
  <c r="C799" i="12" a="1"/>
  <c r="C799" i="12" s="1"/>
  <c r="E800" i="12" a="1"/>
  <c r="E800" i="12" s="1"/>
  <c r="AB810" i="12" a="1"/>
  <c r="AB810" i="12" s="1"/>
  <c r="D812" i="12" a="1"/>
  <c r="D812" i="12" s="1"/>
  <c r="Z814" i="12"/>
  <c r="E816" i="12" a="1"/>
  <c r="E816" i="12" s="1"/>
  <c r="Z817" i="12"/>
  <c r="D822" i="12" a="1"/>
  <c r="D822" i="12" s="1"/>
  <c r="C823" i="12" a="1"/>
  <c r="C823" i="12" s="1"/>
  <c r="AB828" i="12" a="1"/>
  <c r="AB828" i="12" s="1"/>
  <c r="E835" i="12" a="1"/>
  <c r="E835" i="12" s="1"/>
  <c r="AB848" i="12" a="1"/>
  <c r="AB848" i="12" s="1"/>
  <c r="AC851" i="12" a="1"/>
  <c r="AC851" i="12" s="1"/>
  <c r="AB853" i="12" a="1"/>
  <c r="AB853" i="12" s="1"/>
  <c r="C857" i="12" a="1"/>
  <c r="C857" i="12" s="1"/>
  <c r="X859" i="12"/>
  <c r="W859" i="12" s="1" a="1"/>
  <c r="W859" i="12" s="1"/>
  <c r="X860" i="12"/>
  <c r="W860" i="12" s="1" a="1"/>
  <c r="W860" i="12" s="1"/>
  <c r="AA863" i="12" a="1"/>
  <c r="AA863" i="12" s="1"/>
  <c r="AB864" i="12" a="1"/>
  <c r="AB864" i="12" s="1"/>
  <c r="E867" i="12" a="1"/>
  <c r="E867" i="12" s="1"/>
  <c r="AC868" i="12" a="1"/>
  <c r="AC868" i="12" s="1"/>
  <c r="D873" i="12" a="1"/>
  <c r="D873" i="12" s="1"/>
  <c r="E884" i="12" a="1"/>
  <c r="E884" i="12" s="1"/>
  <c r="Z907" i="12"/>
  <c r="X915" i="12"/>
  <c r="W915" i="12" s="1" a="1"/>
  <c r="W915" i="12" s="1"/>
  <c r="AA916" i="12" a="1"/>
  <c r="AA916" i="12" s="1"/>
  <c r="D924" i="12" a="1"/>
  <c r="D924" i="12" s="1"/>
  <c r="E925" i="12" a="1"/>
  <c r="E925" i="12" s="1"/>
  <c r="Z930" i="12"/>
  <c r="AA931" i="12" a="1"/>
  <c r="AA931" i="12" s="1"/>
  <c r="C940" i="12" a="1"/>
  <c r="C940" i="12" s="1"/>
  <c r="E948" i="12" a="1"/>
  <c r="E948" i="12" s="1"/>
  <c r="E949" i="12" a="1"/>
  <c r="E949" i="12" s="1"/>
  <c r="AB958" i="12" a="1"/>
  <c r="AB958" i="12" s="1"/>
  <c r="Z971" i="12"/>
  <c r="X973" i="12"/>
  <c r="W973" i="12" s="1" a="1"/>
  <c r="W973" i="12" s="1"/>
  <c r="E973" i="12" a="1"/>
  <c r="E973" i="12" s="1"/>
  <c r="AC976" i="12" a="1"/>
  <c r="AC976" i="12" s="1"/>
  <c r="E789" i="12" a="1"/>
  <c r="E789" i="12" s="1"/>
  <c r="AC808" i="12" a="1"/>
  <c r="AC808" i="12" s="1"/>
  <c r="E812" i="12" a="1"/>
  <c r="E812" i="12" s="1"/>
  <c r="AA814" i="12" a="1"/>
  <c r="AA814" i="12" s="1"/>
  <c r="AC828" i="12" a="1"/>
  <c r="AC828" i="12" s="1"/>
  <c r="C840" i="12" a="1"/>
  <c r="C840" i="12" s="1"/>
  <c r="Z847" i="12"/>
  <c r="AC848" i="12" a="1"/>
  <c r="AC848" i="12" s="1"/>
  <c r="AC853" i="12" a="1"/>
  <c r="AC853" i="12" s="1"/>
  <c r="D857" i="12" a="1"/>
  <c r="D857" i="12" s="1"/>
  <c r="Z859" i="12"/>
  <c r="Z860" i="12"/>
  <c r="E873" i="12" a="1"/>
  <c r="E873" i="12" s="1"/>
  <c r="AB876" i="12" a="1"/>
  <c r="AB876" i="12" s="1"/>
  <c r="AC878" i="12" a="1"/>
  <c r="AC878" i="12" s="1"/>
  <c r="D881" i="12" a="1"/>
  <c r="D881" i="12" s="1"/>
  <c r="AB907" i="12" a="1"/>
  <c r="AB907" i="12" s="1"/>
  <c r="Z915" i="12"/>
  <c r="AB916" i="12" a="1"/>
  <c r="AB916" i="12" s="1"/>
  <c r="X919" i="12"/>
  <c r="W919" i="12" s="1" a="1"/>
  <c r="W919" i="12" s="1"/>
  <c r="D921" i="12" a="1"/>
  <c r="D921" i="12" s="1"/>
  <c r="E922" i="12" a="1"/>
  <c r="E922" i="12" s="1"/>
  <c r="E924" i="12" a="1"/>
  <c r="E924" i="12" s="1"/>
  <c r="Z929" i="12"/>
  <c r="AA930" i="12" a="1"/>
  <c r="AA930" i="12" s="1"/>
  <c r="AB931" i="12" a="1"/>
  <c r="AB931" i="12" s="1"/>
  <c r="D939" i="12" a="1"/>
  <c r="D939" i="12" s="1"/>
  <c r="C945" i="12" a="1"/>
  <c r="C945" i="12" s="1"/>
  <c r="C960" i="12" a="1"/>
  <c r="C960" i="12" s="1"/>
  <c r="C973" i="12" a="1"/>
  <c r="C973" i="12" s="1"/>
  <c r="Z974" i="12"/>
  <c r="AC975" i="12" a="1"/>
  <c r="AC975" i="12" s="1"/>
  <c r="X980" i="12"/>
  <c r="W980" i="12" s="1" a="1"/>
  <c r="W980" i="12" s="1"/>
  <c r="AA989" i="12" a="1"/>
  <c r="AA989" i="12" s="1"/>
  <c r="E347" i="17"/>
  <c r="E363" i="17"/>
  <c r="E379" i="17"/>
  <c r="E395" i="17"/>
  <c r="E411" i="17"/>
  <c r="E427" i="17"/>
  <c r="E443" i="17"/>
  <c r="E459" i="17"/>
  <c r="E4" i="17"/>
  <c r="AA985" i="12" a="1"/>
  <c r="AA985" i="12" s="1"/>
  <c r="E343" i="17"/>
  <c r="E359" i="17"/>
  <c r="E375" i="17"/>
  <c r="E391" i="17"/>
  <c r="E407" i="17"/>
  <c r="E423" i="17"/>
  <c r="E439" i="17"/>
  <c r="E455" i="17"/>
  <c r="AA992" i="12" a="1"/>
  <c r="AA992" i="12" s="1"/>
  <c r="E981" i="12" a="1"/>
  <c r="E981" i="12" s="1"/>
  <c r="E349" i="17"/>
  <c r="E365" i="17"/>
  <c r="E381" i="17"/>
  <c r="E978" i="12" a="1"/>
  <c r="E978" i="12" s="1"/>
  <c r="AA981" i="12" a="1"/>
  <c r="AA981" i="12" s="1"/>
  <c r="E345" i="17"/>
  <c r="E361" i="17"/>
  <c r="E377" i="17"/>
  <c r="E346" i="17"/>
  <c r="E378" i="17"/>
  <c r="E394" i="17"/>
  <c r="E410" i="17"/>
  <c r="E426" i="17"/>
  <c r="E442" i="17"/>
  <c r="E458" i="17"/>
  <c r="E341" i="17"/>
  <c r="E357" i="17"/>
  <c r="E373" i="17"/>
  <c r="F27" i="1"/>
  <c r="F22" i="1"/>
  <c r="K19" i="5"/>
  <c r="A6" i="10"/>
  <c r="F33" i="1"/>
  <c r="F10" i="1"/>
  <c r="F17" i="1"/>
  <c r="I14" i="9"/>
  <c r="I86" i="9"/>
  <c r="I158" i="9"/>
  <c r="I230" i="9"/>
  <c r="I302" i="9"/>
  <c r="I374" i="9"/>
  <c r="I446" i="9"/>
  <c r="I518" i="9"/>
  <c r="I590" i="9"/>
  <c r="I662" i="9"/>
  <c r="I734" i="9"/>
  <c r="I806" i="9"/>
  <c r="I878" i="9"/>
  <c r="I950" i="9"/>
  <c r="F20" i="1"/>
  <c r="F9" i="1"/>
  <c r="W13" i="1"/>
  <c r="J13" i="1"/>
  <c r="B13" i="5" a="1"/>
  <c r="B13" i="5" s="1"/>
  <c r="I11" i="5"/>
  <c r="E19" i="5"/>
  <c r="H11" i="5" a="1"/>
  <c r="H11" i="5" s="1"/>
  <c r="B19" i="5" a="1"/>
  <c r="B19" i="5" s="1"/>
  <c r="G11" i="5" a="1"/>
  <c r="G11" i="5" s="1"/>
  <c r="H16" i="5" a="1"/>
  <c r="H16" i="5" s="1"/>
  <c r="B16" i="5" a="1"/>
  <c r="B16" i="5" s="1"/>
  <c r="I26" i="9"/>
  <c r="I98" i="9"/>
  <c r="I170" i="9"/>
  <c r="I242" i="9"/>
  <c r="I314" i="9"/>
  <c r="I386" i="9"/>
  <c r="I458" i="9"/>
  <c r="I530" i="9"/>
  <c r="I602" i="9"/>
  <c r="I674" i="9"/>
  <c r="I746" i="9"/>
  <c r="I818" i="9"/>
  <c r="I890" i="9"/>
  <c r="I963" i="9"/>
  <c r="X155" i="12"/>
  <c r="W155" i="12" s="1" a="1"/>
  <c r="W155" i="12" s="1"/>
  <c r="AB155" i="12" a="1"/>
  <c r="AB155" i="12" s="1"/>
  <c r="AA155" i="12" a="1"/>
  <c r="AA155" i="12" s="1"/>
  <c r="Z155" i="12"/>
  <c r="E155" i="12" a="1"/>
  <c r="E155" i="12" s="1"/>
  <c r="D155" i="12" a="1"/>
  <c r="D155" i="12" s="1"/>
  <c r="AC155" i="12" a="1"/>
  <c r="AC155" i="12" s="1"/>
  <c r="C155" i="12" a="1"/>
  <c r="C155" i="12" s="1"/>
  <c r="I37" i="9"/>
  <c r="I109" i="9"/>
  <c r="I181" i="9"/>
  <c r="I253" i="9"/>
  <c r="I325" i="9"/>
  <c r="I397" i="9"/>
  <c r="I469" i="9"/>
  <c r="I541" i="9"/>
  <c r="I613" i="9"/>
  <c r="I685" i="9"/>
  <c r="I757" i="9"/>
  <c r="I829" i="9"/>
  <c r="I901" i="9"/>
  <c r="I975" i="9"/>
  <c r="AA34" i="12" a="1"/>
  <c r="AA34" i="12" s="1"/>
  <c r="D34" i="12" a="1"/>
  <c r="D34" i="12" s="1"/>
  <c r="Z34" i="12"/>
  <c r="C34" i="12" a="1"/>
  <c r="C34" i="12" s="1"/>
  <c r="X34" i="12"/>
  <c r="W34" i="12" s="1" a="1"/>
  <c r="W34" i="12" s="1"/>
  <c r="AB34" i="12" a="1"/>
  <c r="AB34" i="12" s="1"/>
  <c r="AC34" i="12" a="1"/>
  <c r="AC34" i="12" s="1"/>
  <c r="I49" i="9"/>
  <c r="I121" i="9"/>
  <c r="I193" i="9"/>
  <c r="I265" i="9"/>
  <c r="I337" i="9"/>
  <c r="I409" i="9"/>
  <c r="I481" i="9"/>
  <c r="I553" i="9"/>
  <c r="I697" i="9"/>
  <c r="I769" i="9"/>
  <c r="I913" i="9"/>
  <c r="I988" i="9"/>
  <c r="I841" i="9"/>
  <c r="I50" i="9"/>
  <c r="I122" i="9"/>
  <c r="I194" i="9"/>
  <c r="I266" i="9"/>
  <c r="I338" i="9"/>
  <c r="I410" i="9"/>
  <c r="I482" i="9"/>
  <c r="I554" i="9"/>
  <c r="I626" i="9"/>
  <c r="I698" i="9"/>
  <c r="I770" i="9"/>
  <c r="I842" i="9"/>
  <c r="I914" i="9"/>
  <c r="I989" i="9"/>
  <c r="F32" i="1"/>
  <c r="I61" i="9"/>
  <c r="I133" i="9"/>
  <c r="I205" i="9"/>
  <c r="I277" i="9"/>
  <c r="I349" i="9"/>
  <c r="I421" i="9"/>
  <c r="I493" i="9"/>
  <c r="I565" i="9"/>
  <c r="I637" i="9"/>
  <c r="I709" i="9"/>
  <c r="I781" i="9"/>
  <c r="I853" i="9"/>
  <c r="I925" i="9"/>
  <c r="I625" i="9"/>
  <c r="A6" i="8"/>
  <c r="I62" i="9"/>
  <c r="I134" i="9"/>
  <c r="I206" i="9"/>
  <c r="I278" i="9"/>
  <c r="I350" i="9"/>
  <c r="I422" i="9"/>
  <c r="I494" i="9"/>
  <c r="I566" i="9"/>
  <c r="I638" i="9"/>
  <c r="I710" i="9"/>
  <c r="I782" i="9"/>
  <c r="I854" i="9"/>
  <c r="I926" i="9"/>
  <c r="F29" i="1"/>
  <c r="F21" i="1"/>
  <c r="E44" i="1"/>
  <c r="J44" i="1" s="1"/>
  <c r="F30" i="1"/>
  <c r="F24" i="1"/>
  <c r="F14" i="1"/>
  <c r="I2" i="9"/>
  <c r="I73" i="9"/>
  <c r="I145" i="9"/>
  <c r="I217" i="9"/>
  <c r="I289" i="9"/>
  <c r="I361" i="9"/>
  <c r="I433" i="9"/>
  <c r="I505" i="9"/>
  <c r="I577" i="9"/>
  <c r="I649" i="9"/>
  <c r="I721" i="9"/>
  <c r="I793" i="9"/>
  <c r="I865" i="9"/>
  <c r="I996" i="9"/>
  <c r="I984" i="9"/>
  <c r="I972" i="9"/>
  <c r="I960" i="9"/>
  <c r="I999" i="9"/>
  <c r="I986" i="9"/>
  <c r="I973" i="9"/>
  <c r="I959" i="9"/>
  <c r="I947" i="9"/>
  <c r="I935" i="9"/>
  <c r="I923" i="9"/>
  <c r="I911" i="9"/>
  <c r="I899" i="9"/>
  <c r="I887" i="9"/>
  <c r="I875" i="9"/>
  <c r="I863" i="9"/>
  <c r="I851" i="9"/>
  <c r="I839" i="9"/>
  <c r="I827" i="9"/>
  <c r="I815" i="9"/>
  <c r="I803" i="9"/>
  <c r="I791" i="9"/>
  <c r="I779" i="9"/>
  <c r="I767" i="9"/>
  <c r="I755" i="9"/>
  <c r="I743" i="9"/>
  <c r="I731" i="9"/>
  <c r="I719" i="9"/>
  <c r="I707" i="9"/>
  <c r="I695" i="9"/>
  <c r="I683" i="9"/>
  <c r="I671" i="9"/>
  <c r="I659" i="9"/>
  <c r="I647" i="9"/>
  <c r="I635" i="9"/>
  <c r="I623" i="9"/>
  <c r="I611" i="9"/>
  <c r="I599" i="9"/>
  <c r="I587" i="9"/>
  <c r="I575" i="9"/>
  <c r="I563" i="9"/>
  <c r="I551" i="9"/>
  <c r="I539" i="9"/>
  <c r="I527" i="9"/>
  <c r="I515" i="9"/>
  <c r="I503" i="9"/>
  <c r="I491" i="9"/>
  <c r="I479" i="9"/>
  <c r="I467" i="9"/>
  <c r="I455" i="9"/>
  <c r="I443" i="9"/>
  <c r="I431" i="9"/>
  <c r="I419" i="9"/>
  <c r="I407" i="9"/>
  <c r="I395" i="9"/>
  <c r="I383" i="9"/>
  <c r="I371" i="9"/>
  <c r="I359" i="9"/>
  <c r="I347" i="9"/>
  <c r="I335" i="9"/>
  <c r="I323" i="9"/>
  <c r="I311" i="9"/>
  <c r="I299" i="9"/>
  <c r="I287" i="9"/>
  <c r="I275" i="9"/>
  <c r="I263" i="9"/>
  <c r="I251" i="9"/>
  <c r="I239" i="9"/>
  <c r="I227" i="9"/>
  <c r="I215" i="9"/>
  <c r="I203" i="9"/>
  <c r="I191" i="9"/>
  <c r="I179" i="9"/>
  <c r="I167" i="9"/>
  <c r="I155" i="9"/>
  <c r="I143" i="9"/>
  <c r="I131" i="9"/>
  <c r="I119" i="9"/>
  <c r="I107" i="9"/>
  <c r="I95" i="9"/>
  <c r="I83" i="9"/>
  <c r="I71" i="9"/>
  <c r="I59" i="9"/>
  <c r="I47" i="9"/>
  <c r="I35" i="9"/>
  <c r="I23" i="9"/>
  <c r="I11" i="9"/>
  <c r="I998" i="9"/>
  <c r="I985" i="9"/>
  <c r="I971" i="9"/>
  <c r="I958" i="9"/>
  <c r="I946" i="9"/>
  <c r="I934" i="9"/>
  <c r="I922" i="9"/>
  <c r="I910" i="9"/>
  <c r="I898" i="9"/>
  <c r="I886" i="9"/>
  <c r="I874" i="9"/>
  <c r="I862" i="9"/>
  <c r="I850" i="9"/>
  <c r="I838" i="9"/>
  <c r="I826" i="9"/>
  <c r="I814" i="9"/>
  <c r="I802" i="9"/>
  <c r="I790" i="9"/>
  <c r="I778" i="9"/>
  <c r="I766" i="9"/>
  <c r="I754" i="9"/>
  <c r="I742" i="9"/>
  <c r="I730" i="9"/>
  <c r="I718" i="9"/>
  <c r="I706" i="9"/>
  <c r="I694" i="9"/>
  <c r="I682" i="9"/>
  <c r="I670" i="9"/>
  <c r="I658" i="9"/>
  <c r="I646" i="9"/>
  <c r="I634" i="9"/>
  <c r="I622" i="9"/>
  <c r="I610" i="9"/>
  <c r="I598" i="9"/>
  <c r="I586" i="9"/>
  <c r="I574" i="9"/>
  <c r="I562" i="9"/>
  <c r="I550" i="9"/>
  <c r="I538" i="9"/>
  <c r="I526" i="9"/>
  <c r="I514" i="9"/>
  <c r="I502" i="9"/>
  <c r="I490" i="9"/>
  <c r="I478" i="9"/>
  <c r="I466" i="9"/>
  <c r="I454" i="9"/>
  <c r="I442" i="9"/>
  <c r="I430" i="9"/>
  <c r="I418" i="9"/>
  <c r="I406" i="9"/>
  <c r="I394" i="9"/>
  <c r="I382" i="9"/>
  <c r="I370" i="9"/>
  <c r="I358" i="9"/>
  <c r="I346" i="9"/>
  <c r="I334" i="9"/>
  <c r="I322" i="9"/>
  <c r="I310" i="9"/>
  <c r="I298" i="9"/>
  <c r="I286" i="9"/>
  <c r="I274" i="9"/>
  <c r="I262" i="9"/>
  <c r="I250" i="9"/>
  <c r="I238" i="9"/>
  <c r="I226" i="9"/>
  <c r="I214" i="9"/>
  <c r="I202" i="9"/>
  <c r="I190" i="9"/>
  <c r="I178" i="9"/>
  <c r="I166" i="9"/>
  <c r="I154" i="9"/>
  <c r="I142" i="9"/>
  <c r="I130" i="9"/>
  <c r="I118" i="9"/>
  <c r="I106" i="9"/>
  <c r="I94" i="9"/>
  <c r="I82" i="9"/>
  <c r="I70" i="9"/>
  <c r="I58" i="9"/>
  <c r="I46" i="9"/>
  <c r="I34" i="9"/>
  <c r="I22" i="9"/>
  <c r="I10" i="9"/>
  <c r="I997" i="9"/>
  <c r="I983" i="9"/>
  <c r="I970" i="9"/>
  <c r="I957" i="9"/>
  <c r="I945" i="9"/>
  <c r="I933" i="9"/>
  <c r="I921" i="9"/>
  <c r="I909" i="9"/>
  <c r="I897" i="9"/>
  <c r="I885" i="9"/>
  <c r="I873" i="9"/>
  <c r="I861" i="9"/>
  <c r="I849" i="9"/>
  <c r="I837" i="9"/>
  <c r="I825" i="9"/>
  <c r="I813" i="9"/>
  <c r="I801" i="9"/>
  <c r="I789" i="9"/>
  <c r="I777" i="9"/>
  <c r="I765" i="9"/>
  <c r="I753" i="9"/>
  <c r="I741" i="9"/>
  <c r="I729" i="9"/>
  <c r="I717" i="9"/>
  <c r="I705" i="9"/>
  <c r="I693" i="9"/>
  <c r="I681" i="9"/>
  <c r="I669" i="9"/>
  <c r="I657" i="9"/>
  <c r="I645" i="9"/>
  <c r="I633" i="9"/>
  <c r="I621" i="9"/>
  <c r="I609" i="9"/>
  <c r="I597" i="9"/>
  <c r="I585" i="9"/>
  <c r="I573" i="9"/>
  <c r="I561" i="9"/>
  <c r="I549" i="9"/>
  <c r="I537" i="9"/>
  <c r="I525" i="9"/>
  <c r="I513" i="9"/>
  <c r="I501" i="9"/>
  <c r="I489" i="9"/>
  <c r="I477" i="9"/>
  <c r="I465" i="9"/>
  <c r="I453" i="9"/>
  <c r="I441" i="9"/>
  <c r="I429" i="9"/>
  <c r="I417" i="9"/>
  <c r="I405" i="9"/>
  <c r="I393" i="9"/>
  <c r="I381" i="9"/>
  <c r="I369" i="9"/>
  <c r="I357" i="9"/>
  <c r="I345" i="9"/>
  <c r="I333" i="9"/>
  <c r="I321" i="9"/>
  <c r="I309" i="9"/>
  <c r="I297" i="9"/>
  <c r="I285" i="9"/>
  <c r="I273" i="9"/>
  <c r="I261" i="9"/>
  <c r="I249" i="9"/>
  <c r="I237" i="9"/>
  <c r="I225" i="9"/>
  <c r="I213" i="9"/>
  <c r="I201" i="9"/>
  <c r="I189" i="9"/>
  <c r="I177" i="9"/>
  <c r="I165" i="9"/>
  <c r="I153" i="9"/>
  <c r="I141" i="9"/>
  <c r="I129" i="9"/>
  <c r="I117" i="9"/>
  <c r="I105" i="9"/>
  <c r="I93" i="9"/>
  <c r="I81" i="9"/>
  <c r="I69" i="9"/>
  <c r="I57" i="9"/>
  <c r="I45" i="9"/>
  <c r="I33" i="9"/>
  <c r="I21" i="9"/>
  <c r="I9" i="9"/>
  <c r="I995" i="9"/>
  <c r="I982" i="9"/>
  <c r="I969" i="9"/>
  <c r="I956" i="9"/>
  <c r="I944" i="9"/>
  <c r="I932" i="9"/>
  <c r="I920" i="9"/>
  <c r="I908" i="9"/>
  <c r="I896" i="9"/>
  <c r="I884" i="9"/>
  <c r="I872" i="9"/>
  <c r="I860" i="9"/>
  <c r="I848" i="9"/>
  <c r="I836" i="9"/>
  <c r="I824" i="9"/>
  <c r="I812" i="9"/>
  <c r="I800" i="9"/>
  <c r="I788" i="9"/>
  <c r="I776" i="9"/>
  <c r="I764" i="9"/>
  <c r="I752" i="9"/>
  <c r="I740" i="9"/>
  <c r="I728" i="9"/>
  <c r="I716" i="9"/>
  <c r="I704" i="9"/>
  <c r="I692" i="9"/>
  <c r="I680" i="9"/>
  <c r="I668" i="9"/>
  <c r="I656" i="9"/>
  <c r="I644" i="9"/>
  <c r="I632" i="9"/>
  <c r="I620" i="9"/>
  <c r="I608" i="9"/>
  <c r="I596" i="9"/>
  <c r="I584" i="9"/>
  <c r="I572" i="9"/>
  <c r="I560" i="9"/>
  <c r="I548" i="9"/>
  <c r="I536" i="9"/>
  <c r="I524" i="9"/>
  <c r="I512" i="9"/>
  <c r="I500" i="9"/>
  <c r="I488" i="9"/>
  <c r="I476" i="9"/>
  <c r="I464" i="9"/>
  <c r="I452" i="9"/>
  <c r="I440" i="9"/>
  <c r="I428" i="9"/>
  <c r="I416" i="9"/>
  <c r="I404" i="9"/>
  <c r="I392" i="9"/>
  <c r="I380" i="9"/>
  <c r="I368" i="9"/>
  <c r="I356" i="9"/>
  <c r="I344" i="9"/>
  <c r="I332" i="9"/>
  <c r="I320" i="9"/>
  <c r="I308" i="9"/>
  <c r="I296" i="9"/>
  <c r="I284" i="9"/>
  <c r="I272" i="9"/>
  <c r="I260" i="9"/>
  <c r="I248" i="9"/>
  <c r="I236" i="9"/>
  <c r="I224" i="9"/>
  <c r="I212" i="9"/>
  <c r="I200" i="9"/>
  <c r="I188" i="9"/>
  <c r="I176" i="9"/>
  <c r="I164" i="9"/>
  <c r="I152" i="9"/>
  <c r="I140" i="9"/>
  <c r="I128" i="9"/>
  <c r="I116" i="9"/>
  <c r="I104" i="9"/>
  <c r="I92" i="9"/>
  <c r="I80" i="9"/>
  <c r="I68" i="9"/>
  <c r="I56" i="9"/>
  <c r="I44" i="9"/>
  <c r="I32" i="9"/>
  <c r="I20" i="9"/>
  <c r="I8" i="9"/>
  <c r="I994" i="9"/>
  <c r="I981" i="9"/>
  <c r="I968" i="9"/>
  <c r="I955" i="9"/>
  <c r="I943" i="9"/>
  <c r="I931" i="9"/>
  <c r="I919" i="9"/>
  <c r="I907" i="9"/>
  <c r="I895" i="9"/>
  <c r="I883" i="9"/>
  <c r="I871" i="9"/>
  <c r="I859" i="9"/>
  <c r="I847" i="9"/>
  <c r="I835" i="9"/>
  <c r="I823" i="9"/>
  <c r="I811" i="9"/>
  <c r="I799" i="9"/>
  <c r="I787" i="9"/>
  <c r="I775" i="9"/>
  <c r="I763" i="9"/>
  <c r="I751" i="9"/>
  <c r="I739" i="9"/>
  <c r="I727" i="9"/>
  <c r="I715" i="9"/>
  <c r="I703" i="9"/>
  <c r="I691" i="9"/>
  <c r="I679" i="9"/>
  <c r="I667" i="9"/>
  <c r="I655" i="9"/>
  <c r="I643" i="9"/>
  <c r="I631" i="9"/>
  <c r="I619" i="9"/>
  <c r="I607" i="9"/>
  <c r="I595" i="9"/>
  <c r="I583" i="9"/>
  <c r="I571" i="9"/>
  <c r="I559" i="9"/>
  <c r="I547" i="9"/>
  <c r="I535" i="9"/>
  <c r="I523" i="9"/>
  <c r="I511" i="9"/>
  <c r="I499" i="9"/>
  <c r="I487" i="9"/>
  <c r="I475" i="9"/>
  <c r="I463" i="9"/>
  <c r="I451" i="9"/>
  <c r="I439" i="9"/>
  <c r="I427" i="9"/>
  <c r="I415" i="9"/>
  <c r="I403" i="9"/>
  <c r="I391" i="9"/>
  <c r="I379" i="9"/>
  <c r="I367" i="9"/>
  <c r="I355" i="9"/>
  <c r="I343" i="9"/>
  <c r="I331" i="9"/>
  <c r="I319" i="9"/>
  <c r="I307" i="9"/>
  <c r="I295" i="9"/>
  <c r="I283" i="9"/>
  <c r="I271" i="9"/>
  <c r="I259" i="9"/>
  <c r="I247" i="9"/>
  <c r="I235" i="9"/>
  <c r="I223" i="9"/>
  <c r="I211" i="9"/>
  <c r="I199" i="9"/>
  <c r="I187" i="9"/>
  <c r="I175" i="9"/>
  <c r="I163" i="9"/>
  <c r="I151" i="9"/>
  <c r="I139" i="9"/>
  <c r="I127" i="9"/>
  <c r="I115" i="9"/>
  <c r="I103" i="9"/>
  <c r="I91" i="9"/>
  <c r="I79" i="9"/>
  <c r="I67" i="9"/>
  <c r="I55" i="9"/>
  <c r="I43" i="9"/>
  <c r="I31" i="9"/>
  <c r="I19" i="9"/>
  <c r="I7" i="9"/>
  <c r="I993" i="9"/>
  <c r="I980" i="9"/>
  <c r="I967" i="9"/>
  <c r="I954" i="9"/>
  <c r="I942" i="9"/>
  <c r="I930" i="9"/>
  <c r="I918" i="9"/>
  <c r="I906" i="9"/>
  <c r="I894" i="9"/>
  <c r="I882" i="9"/>
  <c r="I870" i="9"/>
  <c r="I858" i="9"/>
  <c r="I846" i="9"/>
  <c r="I834" i="9"/>
  <c r="I822" i="9"/>
  <c r="I810" i="9"/>
  <c r="I798" i="9"/>
  <c r="I786" i="9"/>
  <c r="I774" i="9"/>
  <c r="I762" i="9"/>
  <c r="I750" i="9"/>
  <c r="I738" i="9"/>
  <c r="I726" i="9"/>
  <c r="I714" i="9"/>
  <c r="I702" i="9"/>
  <c r="I690" i="9"/>
  <c r="I678" i="9"/>
  <c r="I666" i="9"/>
  <c r="I654" i="9"/>
  <c r="I642" i="9"/>
  <c r="I630" i="9"/>
  <c r="I618" i="9"/>
  <c r="I606" i="9"/>
  <c r="I594" i="9"/>
  <c r="I582" i="9"/>
  <c r="I570" i="9"/>
  <c r="I558" i="9"/>
  <c r="I546" i="9"/>
  <c r="I534" i="9"/>
  <c r="I522" i="9"/>
  <c r="I510" i="9"/>
  <c r="I498" i="9"/>
  <c r="I486" i="9"/>
  <c r="I474" i="9"/>
  <c r="I462" i="9"/>
  <c r="I450" i="9"/>
  <c r="I438" i="9"/>
  <c r="I426" i="9"/>
  <c r="I414" i="9"/>
  <c r="I402" i="9"/>
  <c r="I390" i="9"/>
  <c r="I378" i="9"/>
  <c r="I366" i="9"/>
  <c r="I354" i="9"/>
  <c r="I342" i="9"/>
  <c r="I330" i="9"/>
  <c r="I318" i="9"/>
  <c r="I306" i="9"/>
  <c r="I294" i="9"/>
  <c r="I282" i="9"/>
  <c r="I270" i="9"/>
  <c r="I258" i="9"/>
  <c r="I246" i="9"/>
  <c r="I234" i="9"/>
  <c r="I222" i="9"/>
  <c r="I210" i="9"/>
  <c r="I198" i="9"/>
  <c r="I186" i="9"/>
  <c r="I174" i="9"/>
  <c r="I162" i="9"/>
  <c r="I150" i="9"/>
  <c r="I138" i="9"/>
  <c r="I126" i="9"/>
  <c r="I114" i="9"/>
  <c r="I102" i="9"/>
  <c r="I90" i="9"/>
  <c r="I78" i="9"/>
  <c r="I66" i="9"/>
  <c r="I54" i="9"/>
  <c r="I42" i="9"/>
  <c r="I30" i="9"/>
  <c r="I18" i="9"/>
  <c r="I6" i="9"/>
  <c r="I992" i="9"/>
  <c r="I979" i="9"/>
  <c r="I966" i="9"/>
  <c r="I953" i="9"/>
  <c r="I941" i="9"/>
  <c r="I929" i="9"/>
  <c r="I917" i="9"/>
  <c r="I905" i="9"/>
  <c r="I893" i="9"/>
  <c r="I881" i="9"/>
  <c r="I869" i="9"/>
  <c r="I857" i="9"/>
  <c r="I845" i="9"/>
  <c r="I833" i="9"/>
  <c r="I821" i="9"/>
  <c r="I809" i="9"/>
  <c r="I797" i="9"/>
  <c r="I785" i="9"/>
  <c r="I773" i="9"/>
  <c r="I761" i="9"/>
  <c r="I749" i="9"/>
  <c r="I737" i="9"/>
  <c r="I725" i="9"/>
  <c r="I713" i="9"/>
  <c r="I701" i="9"/>
  <c r="I689" i="9"/>
  <c r="I677" i="9"/>
  <c r="I665" i="9"/>
  <c r="I653" i="9"/>
  <c r="I641" i="9"/>
  <c r="I629" i="9"/>
  <c r="I617" i="9"/>
  <c r="I605" i="9"/>
  <c r="I593" i="9"/>
  <c r="I581" i="9"/>
  <c r="I569" i="9"/>
  <c r="I557" i="9"/>
  <c r="I545" i="9"/>
  <c r="I533" i="9"/>
  <c r="I521" i="9"/>
  <c r="I509" i="9"/>
  <c r="I497" i="9"/>
  <c r="I485" i="9"/>
  <c r="I473" i="9"/>
  <c r="I461" i="9"/>
  <c r="I449" i="9"/>
  <c r="I437" i="9"/>
  <c r="I425" i="9"/>
  <c r="I413" i="9"/>
  <c r="I401" i="9"/>
  <c r="I389" i="9"/>
  <c r="I377" i="9"/>
  <c r="I365" i="9"/>
  <c r="I353" i="9"/>
  <c r="I341" i="9"/>
  <c r="I329" i="9"/>
  <c r="I317" i="9"/>
  <c r="I305" i="9"/>
  <c r="I293" i="9"/>
  <c r="I281" i="9"/>
  <c r="I269" i="9"/>
  <c r="I257" i="9"/>
  <c r="I245" i="9"/>
  <c r="I233" i="9"/>
  <c r="I221" i="9"/>
  <c r="I209" i="9"/>
  <c r="I197" i="9"/>
  <c r="I185" i="9"/>
  <c r="I173" i="9"/>
  <c r="I161" i="9"/>
  <c r="I149" i="9"/>
  <c r="I137" i="9"/>
  <c r="I125" i="9"/>
  <c r="I113" i="9"/>
  <c r="I101" i="9"/>
  <c r="I89" i="9"/>
  <c r="I77" i="9"/>
  <c r="I65" i="9"/>
  <c r="I53" i="9"/>
  <c r="I41" i="9"/>
  <c r="I29" i="9"/>
  <c r="I17" i="9"/>
  <c r="I5" i="9"/>
  <c r="I991" i="9"/>
  <c r="I978" i="9"/>
  <c r="I965" i="9"/>
  <c r="I952" i="9"/>
  <c r="I940" i="9"/>
  <c r="I928" i="9"/>
  <c r="I916" i="9"/>
  <c r="I904" i="9"/>
  <c r="I892" i="9"/>
  <c r="I880" i="9"/>
  <c r="I868" i="9"/>
  <c r="I856" i="9"/>
  <c r="I844" i="9"/>
  <c r="I832" i="9"/>
  <c r="I820" i="9"/>
  <c r="I808" i="9"/>
  <c r="I796" i="9"/>
  <c r="I784" i="9"/>
  <c r="I772" i="9"/>
  <c r="I760" i="9"/>
  <c r="I748" i="9"/>
  <c r="I736" i="9"/>
  <c r="I724" i="9"/>
  <c r="I712" i="9"/>
  <c r="I700" i="9"/>
  <c r="I688" i="9"/>
  <c r="I676" i="9"/>
  <c r="I664" i="9"/>
  <c r="I652" i="9"/>
  <c r="I640" i="9"/>
  <c r="I628" i="9"/>
  <c r="I616" i="9"/>
  <c r="I604" i="9"/>
  <c r="I592" i="9"/>
  <c r="I580" i="9"/>
  <c r="I568" i="9"/>
  <c r="I556" i="9"/>
  <c r="I544" i="9"/>
  <c r="I532" i="9"/>
  <c r="I520" i="9"/>
  <c r="I508" i="9"/>
  <c r="I496" i="9"/>
  <c r="I484" i="9"/>
  <c r="I472" i="9"/>
  <c r="I460" i="9"/>
  <c r="I448" i="9"/>
  <c r="I436" i="9"/>
  <c r="I424" i="9"/>
  <c r="I412" i="9"/>
  <c r="I400" i="9"/>
  <c r="I388" i="9"/>
  <c r="I376" i="9"/>
  <c r="I364" i="9"/>
  <c r="I352" i="9"/>
  <c r="I340" i="9"/>
  <c r="I328" i="9"/>
  <c r="I316" i="9"/>
  <c r="I304" i="9"/>
  <c r="I292" i="9"/>
  <c r="I280" i="9"/>
  <c r="I268" i="9"/>
  <c r="I256" i="9"/>
  <c r="I244" i="9"/>
  <c r="I232" i="9"/>
  <c r="I220" i="9"/>
  <c r="I208" i="9"/>
  <c r="I196" i="9"/>
  <c r="I184" i="9"/>
  <c r="I172" i="9"/>
  <c r="I160" i="9"/>
  <c r="I148" i="9"/>
  <c r="I136" i="9"/>
  <c r="I124" i="9"/>
  <c r="I112" i="9"/>
  <c r="I100" i="9"/>
  <c r="I88" i="9"/>
  <c r="I76" i="9"/>
  <c r="I64" i="9"/>
  <c r="I52" i="9"/>
  <c r="I40" i="9"/>
  <c r="I28" i="9"/>
  <c r="I16" i="9"/>
  <c r="I4" i="9"/>
  <c r="I990" i="9"/>
  <c r="I977" i="9"/>
  <c r="I964" i="9"/>
  <c r="I951" i="9"/>
  <c r="I939" i="9"/>
  <c r="I927" i="9"/>
  <c r="I915" i="9"/>
  <c r="I903" i="9"/>
  <c r="I891" i="9"/>
  <c r="I879" i="9"/>
  <c r="I867" i="9"/>
  <c r="I855" i="9"/>
  <c r="I843" i="9"/>
  <c r="I831" i="9"/>
  <c r="I819" i="9"/>
  <c r="I807" i="9"/>
  <c r="I795" i="9"/>
  <c r="I783" i="9"/>
  <c r="I771" i="9"/>
  <c r="I759" i="9"/>
  <c r="I747" i="9"/>
  <c r="I735" i="9"/>
  <c r="I723" i="9"/>
  <c r="I711" i="9"/>
  <c r="I699" i="9"/>
  <c r="I687" i="9"/>
  <c r="I675" i="9"/>
  <c r="I663" i="9"/>
  <c r="I651" i="9"/>
  <c r="I639" i="9"/>
  <c r="I627" i="9"/>
  <c r="I615" i="9"/>
  <c r="I603" i="9"/>
  <c r="I591" i="9"/>
  <c r="I579" i="9"/>
  <c r="I567" i="9"/>
  <c r="I555" i="9"/>
  <c r="I543" i="9"/>
  <c r="I531" i="9"/>
  <c r="I519" i="9"/>
  <c r="I507" i="9"/>
  <c r="I495" i="9"/>
  <c r="I483" i="9"/>
  <c r="I471" i="9"/>
  <c r="I459" i="9"/>
  <c r="I447" i="9"/>
  <c r="I435" i="9"/>
  <c r="I423" i="9"/>
  <c r="I411" i="9"/>
  <c r="I399" i="9"/>
  <c r="I387" i="9"/>
  <c r="I375" i="9"/>
  <c r="I363" i="9"/>
  <c r="I351" i="9"/>
  <c r="I339" i="9"/>
  <c r="I327" i="9"/>
  <c r="I315" i="9"/>
  <c r="I303" i="9"/>
  <c r="I291" i="9"/>
  <c r="I279" i="9"/>
  <c r="I267" i="9"/>
  <c r="I255" i="9"/>
  <c r="I243" i="9"/>
  <c r="I231" i="9"/>
  <c r="I219" i="9"/>
  <c r="I207" i="9"/>
  <c r="I195" i="9"/>
  <c r="I183" i="9"/>
  <c r="I171" i="9"/>
  <c r="I159" i="9"/>
  <c r="I147" i="9"/>
  <c r="I135" i="9"/>
  <c r="I123" i="9"/>
  <c r="I111" i="9"/>
  <c r="I99" i="9"/>
  <c r="I87" i="9"/>
  <c r="I75" i="9"/>
  <c r="I63" i="9"/>
  <c r="I51" i="9"/>
  <c r="I39" i="9"/>
  <c r="I27" i="9"/>
  <c r="I15" i="9"/>
  <c r="I3" i="9"/>
  <c r="I1000" i="9"/>
  <c r="I987" i="9"/>
  <c r="I974" i="9"/>
  <c r="I961" i="9"/>
  <c r="I948" i="9"/>
  <c r="I936" i="9"/>
  <c r="I924" i="9"/>
  <c r="I912" i="9"/>
  <c r="I900" i="9"/>
  <c r="I888" i="9"/>
  <c r="I876" i="9"/>
  <c r="I864" i="9"/>
  <c r="I852" i="9"/>
  <c r="I840" i="9"/>
  <c r="I828" i="9"/>
  <c r="I816" i="9"/>
  <c r="I804" i="9"/>
  <c r="I792" i="9"/>
  <c r="I780" i="9"/>
  <c r="I768" i="9"/>
  <c r="I756" i="9"/>
  <c r="I744" i="9"/>
  <c r="I732" i="9"/>
  <c r="I720" i="9"/>
  <c r="I708" i="9"/>
  <c r="I696" i="9"/>
  <c r="I684" i="9"/>
  <c r="I672" i="9"/>
  <c r="I660" i="9"/>
  <c r="I648" i="9"/>
  <c r="I636" i="9"/>
  <c r="I624" i="9"/>
  <c r="I612" i="9"/>
  <c r="I600" i="9"/>
  <c r="I588" i="9"/>
  <c r="I576" i="9"/>
  <c r="I564" i="9"/>
  <c r="I552" i="9"/>
  <c r="I540" i="9"/>
  <c r="I528" i="9"/>
  <c r="I516" i="9"/>
  <c r="I504" i="9"/>
  <c r="I492" i="9"/>
  <c r="I480" i="9"/>
  <c r="I468" i="9"/>
  <c r="I456" i="9"/>
  <c r="I444" i="9"/>
  <c r="I432" i="9"/>
  <c r="I420" i="9"/>
  <c r="I408" i="9"/>
  <c r="I396" i="9"/>
  <c r="I384" i="9"/>
  <c r="I372" i="9"/>
  <c r="I360" i="9"/>
  <c r="I348" i="9"/>
  <c r="I336" i="9"/>
  <c r="I324" i="9"/>
  <c r="I312" i="9"/>
  <c r="I300" i="9"/>
  <c r="I288" i="9"/>
  <c r="I276" i="9"/>
  <c r="I264" i="9"/>
  <c r="I252" i="9"/>
  <c r="I240" i="9"/>
  <c r="I228" i="9"/>
  <c r="I216" i="9"/>
  <c r="I204" i="9"/>
  <c r="I192" i="9"/>
  <c r="I180" i="9"/>
  <c r="I168" i="9"/>
  <c r="I156" i="9"/>
  <c r="I144" i="9"/>
  <c r="I132" i="9"/>
  <c r="I120" i="9"/>
  <c r="I108" i="9"/>
  <c r="I96" i="9"/>
  <c r="I84" i="9"/>
  <c r="I72" i="9"/>
  <c r="I60" i="9"/>
  <c r="I48" i="9"/>
  <c r="I36" i="9"/>
  <c r="I24" i="9"/>
  <c r="I12" i="9"/>
  <c r="I74" i="9"/>
  <c r="I146" i="9"/>
  <c r="I218" i="9"/>
  <c r="I290" i="9"/>
  <c r="I362" i="9"/>
  <c r="I434" i="9"/>
  <c r="I506" i="9"/>
  <c r="I578" i="9"/>
  <c r="I650" i="9"/>
  <c r="I722" i="9"/>
  <c r="I794" i="9"/>
  <c r="I866" i="9"/>
  <c r="I938" i="9"/>
  <c r="F13" i="1"/>
  <c r="F26" i="1"/>
  <c r="F18" i="1"/>
  <c r="N9" i="1"/>
  <c r="F28" i="1"/>
  <c r="F34" i="1"/>
  <c r="I13" i="9"/>
  <c r="I85" i="9"/>
  <c r="I157" i="9"/>
  <c r="I229" i="9"/>
  <c r="I301" i="9"/>
  <c r="I373" i="9"/>
  <c r="I445" i="9"/>
  <c r="I517" i="9"/>
  <c r="I589" i="9"/>
  <c r="I661" i="9"/>
  <c r="I733" i="9"/>
  <c r="I805" i="9"/>
  <c r="I877" i="9"/>
  <c r="I949" i="9"/>
  <c r="A5" i="9"/>
  <c r="A17" i="9"/>
  <c r="A29" i="9"/>
  <c r="A41" i="9"/>
  <c r="A53" i="9"/>
  <c r="A65" i="9"/>
  <c r="A77" i="9"/>
  <c r="A89" i="9"/>
  <c r="A101" i="9"/>
  <c r="A113" i="9"/>
  <c r="A125" i="9"/>
  <c r="A137" i="9"/>
  <c r="A149" i="9"/>
  <c r="A161" i="9"/>
  <c r="A173" i="9"/>
  <c r="A185" i="9"/>
  <c r="A197" i="9"/>
  <c r="A209" i="9"/>
  <c r="A221" i="9"/>
  <c r="A233" i="9"/>
  <c r="A245" i="9"/>
  <c r="A257" i="9"/>
  <c r="A269" i="9"/>
  <c r="A281" i="9"/>
  <c r="A293" i="9"/>
  <c r="A305" i="9"/>
  <c r="A317" i="9"/>
  <c r="A329" i="9"/>
  <c r="A341" i="9"/>
  <c r="A353" i="9"/>
  <c r="A365" i="9"/>
  <c r="A377" i="9"/>
  <c r="A389" i="9"/>
  <c r="A401" i="9"/>
  <c r="A413" i="9"/>
  <c r="A425" i="9"/>
  <c r="A437" i="9"/>
  <c r="A449" i="9"/>
  <c r="A461" i="9"/>
  <c r="A473" i="9"/>
  <c r="A485" i="9"/>
  <c r="A497" i="9"/>
  <c r="A509" i="9"/>
  <c r="A521" i="9"/>
  <c r="A533" i="9"/>
  <c r="A545" i="9"/>
  <c r="A557" i="9"/>
  <c r="A569" i="9"/>
  <c r="A581" i="9"/>
  <c r="A593" i="9"/>
  <c r="A605" i="9"/>
  <c r="A617" i="9"/>
  <c r="A629" i="9"/>
  <c r="A641" i="9"/>
  <c r="A653" i="9"/>
  <c r="A665" i="9"/>
  <c r="A677" i="9"/>
  <c r="A689" i="9"/>
  <c r="A701" i="9"/>
  <c r="A713" i="9"/>
  <c r="A725" i="9"/>
  <c r="A737" i="9"/>
  <c r="A749" i="9"/>
  <c r="A761" i="9"/>
  <c r="A773" i="9"/>
  <c r="A785" i="9"/>
  <c r="A797" i="9"/>
  <c r="A809" i="9"/>
  <c r="A821" i="9"/>
  <c r="A833" i="9"/>
  <c r="A845" i="9"/>
  <c r="A857" i="9"/>
  <c r="A869" i="9"/>
  <c r="A881" i="9"/>
  <c r="A893" i="9"/>
  <c r="A905" i="9"/>
  <c r="A917" i="9"/>
  <c r="A929" i="9"/>
  <c r="A941" i="9"/>
  <c r="A953" i="9"/>
  <c r="A965" i="9"/>
  <c r="A977" i="9"/>
  <c r="A989" i="9"/>
  <c r="Q12" i="9"/>
  <c r="Q25" i="9"/>
  <c r="Q38" i="9"/>
  <c r="Q51" i="9"/>
  <c r="Q64" i="9"/>
  <c r="Q77" i="9"/>
  <c r="Q90" i="9"/>
  <c r="Q104" i="9"/>
  <c r="Q117" i="9"/>
  <c r="Q130" i="9"/>
  <c r="Q143" i="9"/>
  <c r="Q156" i="9"/>
  <c r="Q169" i="9"/>
  <c r="Q182" i="9"/>
  <c r="Q195" i="9"/>
  <c r="Q208" i="9"/>
  <c r="Q221" i="9"/>
  <c r="Q234" i="9"/>
  <c r="Q248" i="9"/>
  <c r="Q261" i="9"/>
  <c r="Q274" i="9"/>
  <c r="Q287" i="9"/>
  <c r="Q300" i="9"/>
  <c r="Q313" i="9"/>
  <c r="Q326" i="9"/>
  <c r="Q339" i="9"/>
  <c r="Q352" i="9"/>
  <c r="Q365" i="9"/>
  <c r="Q378" i="9"/>
  <c r="Q392" i="9"/>
  <c r="Q405" i="9"/>
  <c r="Q418" i="9"/>
  <c r="Q431" i="9"/>
  <c r="Q444" i="9"/>
  <c r="Q457" i="9"/>
  <c r="Q470" i="9"/>
  <c r="Q483" i="9"/>
  <c r="Q496" i="9"/>
  <c r="Q509" i="9"/>
  <c r="Q522" i="9"/>
  <c r="Q536" i="9"/>
  <c r="Q549" i="9"/>
  <c r="Q562" i="9"/>
  <c r="Q575" i="9"/>
  <c r="Q588" i="9"/>
  <c r="Q601" i="9"/>
  <c r="Q614" i="9"/>
  <c r="Q627" i="9"/>
  <c r="Q640" i="9"/>
  <c r="Q653" i="9"/>
  <c r="Q666" i="9"/>
  <c r="Q680" i="9"/>
  <c r="Q693" i="9"/>
  <c r="Q706" i="9"/>
  <c r="Q719" i="9"/>
  <c r="Q732" i="9"/>
  <c r="Q745" i="9"/>
  <c r="Q758" i="9"/>
  <c r="Q771" i="9"/>
  <c r="Q784" i="9"/>
  <c r="Q797" i="9"/>
  <c r="Q810" i="9"/>
  <c r="Q824" i="9"/>
  <c r="Q837" i="9"/>
  <c r="Q850" i="9"/>
  <c r="Q863" i="9"/>
  <c r="Q876" i="9"/>
  <c r="Q889" i="9"/>
  <c r="Q902" i="9"/>
  <c r="Q915" i="9"/>
  <c r="Q928" i="9"/>
  <c r="Q941" i="9"/>
  <c r="Q954" i="9"/>
  <c r="Q968" i="9"/>
  <c r="Q981" i="9"/>
  <c r="AA29" i="12" a="1"/>
  <c r="AA29" i="12" s="1"/>
  <c r="D29" i="12" a="1"/>
  <c r="D29" i="12" s="1"/>
  <c r="X29" i="12"/>
  <c r="W29" i="12" s="1" a="1"/>
  <c r="W29" i="12" s="1"/>
  <c r="AB29" i="12" a="1"/>
  <c r="AB29" i="12" s="1"/>
  <c r="Z67" i="12"/>
  <c r="X67" i="12"/>
  <c r="W67" i="12" s="1" a="1"/>
  <c r="W67" i="12" s="1"/>
  <c r="E67" i="12" a="1"/>
  <c r="E67" i="12" s="1"/>
  <c r="D67" i="12" a="1"/>
  <c r="D67" i="12" s="1"/>
  <c r="C67" i="12" a="1"/>
  <c r="C67" i="12" s="1"/>
  <c r="AC67" i="12" a="1"/>
  <c r="AC67" i="12" s="1"/>
  <c r="AA67" i="12" a="1"/>
  <c r="AA67" i="12" s="1"/>
  <c r="AH25" i="12"/>
  <c r="AG25" i="12"/>
  <c r="Q991" i="9"/>
  <c r="Q979" i="9"/>
  <c r="Q967" i="9"/>
  <c r="Q955" i="9"/>
  <c r="Q943" i="9"/>
  <c r="Q931" i="9"/>
  <c r="Q919" i="9"/>
  <c r="Q907" i="9"/>
  <c r="Q895" i="9"/>
  <c r="Q883" i="9"/>
  <c r="Q871" i="9"/>
  <c r="Q859" i="9"/>
  <c r="Q847" i="9"/>
  <c r="Q835" i="9"/>
  <c r="Q823" i="9"/>
  <c r="Q811" i="9"/>
  <c r="Q799" i="9"/>
  <c r="Q787" i="9"/>
  <c r="Q775" i="9"/>
  <c r="Q763" i="9"/>
  <c r="Q751" i="9"/>
  <c r="Q739" i="9"/>
  <c r="Q727" i="9"/>
  <c r="Q715" i="9"/>
  <c r="Q703" i="9"/>
  <c r="Q691" i="9"/>
  <c r="Q679" i="9"/>
  <c r="Q667" i="9"/>
  <c r="Q655" i="9"/>
  <c r="Q643" i="9"/>
  <c r="Q631" i="9"/>
  <c r="Q619" i="9"/>
  <c r="Q607" i="9"/>
  <c r="Q595" i="9"/>
  <c r="Q583" i="9"/>
  <c r="Q571" i="9"/>
  <c r="Q559" i="9"/>
  <c r="Q547" i="9"/>
  <c r="Q535" i="9"/>
  <c r="Q523" i="9"/>
  <c r="Q511" i="9"/>
  <c r="Q499" i="9"/>
  <c r="Q487" i="9"/>
  <c r="Q475" i="9"/>
  <c r="Q463" i="9"/>
  <c r="Q451" i="9"/>
  <c r="Q439" i="9"/>
  <c r="Q427" i="9"/>
  <c r="Q415" i="9"/>
  <c r="Q403" i="9"/>
  <c r="Q391" i="9"/>
  <c r="Q379" i="9"/>
  <c r="Q367" i="9"/>
  <c r="Q355" i="9"/>
  <c r="Q343" i="9"/>
  <c r="Q331" i="9"/>
  <c r="Q319" i="9"/>
  <c r="Q307" i="9"/>
  <c r="Q295" i="9"/>
  <c r="Q283" i="9"/>
  <c r="Q271" i="9"/>
  <c r="Q259" i="9"/>
  <c r="Q247" i="9"/>
  <c r="Q235" i="9"/>
  <c r="Q223" i="9"/>
  <c r="Q211" i="9"/>
  <c r="Q199" i="9"/>
  <c r="Q187" i="9"/>
  <c r="Q175" i="9"/>
  <c r="Q163" i="9"/>
  <c r="Q151" i="9"/>
  <c r="Q139" i="9"/>
  <c r="Q127" i="9"/>
  <c r="Q115" i="9"/>
  <c r="Q103" i="9"/>
  <c r="Q91" i="9"/>
  <c r="Q79" i="9"/>
  <c r="Q67" i="9"/>
  <c r="Q55" i="9"/>
  <c r="Q43" i="9"/>
  <c r="Q31" i="9"/>
  <c r="Q19" i="9"/>
  <c r="Q7" i="9"/>
  <c r="Q15" i="9"/>
  <c r="Q28" i="9"/>
  <c r="Q41" i="9"/>
  <c r="Q54" i="9"/>
  <c r="Q68" i="9"/>
  <c r="Q81" i="9"/>
  <c r="Q94" i="9"/>
  <c r="Q107" i="9"/>
  <c r="Q120" i="9"/>
  <c r="Q133" i="9"/>
  <c r="Q146" i="9"/>
  <c r="Q159" i="9"/>
  <c r="Q172" i="9"/>
  <c r="Q185" i="9"/>
  <c r="Q198" i="9"/>
  <c r="Q212" i="9"/>
  <c r="Q225" i="9"/>
  <c r="Q238" i="9"/>
  <c r="Q251" i="9"/>
  <c r="Q264" i="9"/>
  <c r="Q277" i="9"/>
  <c r="Q290" i="9"/>
  <c r="Q303" i="9"/>
  <c r="Q316" i="9"/>
  <c r="Q329" i="9"/>
  <c r="Q342" i="9"/>
  <c r="Q356" i="9"/>
  <c r="Q369" i="9"/>
  <c r="Q382" i="9"/>
  <c r="Q395" i="9"/>
  <c r="Q408" i="9"/>
  <c r="Q421" i="9"/>
  <c r="Q434" i="9"/>
  <c r="Q447" i="9"/>
  <c r="Q460" i="9"/>
  <c r="Q473" i="9"/>
  <c r="Q486" i="9"/>
  <c r="Q500" i="9"/>
  <c r="Q513" i="9"/>
  <c r="Q526" i="9"/>
  <c r="Q539" i="9"/>
  <c r="Q552" i="9"/>
  <c r="Q565" i="9"/>
  <c r="Q578" i="9"/>
  <c r="Q591" i="9"/>
  <c r="Q604" i="9"/>
  <c r="Q617" i="9"/>
  <c r="Q630" i="9"/>
  <c r="Q644" i="9"/>
  <c r="Q657" i="9"/>
  <c r="Q670" i="9"/>
  <c r="Q683" i="9"/>
  <c r="Q696" i="9"/>
  <c r="Q709" i="9"/>
  <c r="Q722" i="9"/>
  <c r="Q735" i="9"/>
  <c r="Q748" i="9"/>
  <c r="Q761" i="9"/>
  <c r="Q774" i="9"/>
  <c r="Q788" i="9"/>
  <c r="Q801" i="9"/>
  <c r="Q814" i="9"/>
  <c r="Q827" i="9"/>
  <c r="Q840" i="9"/>
  <c r="Q853" i="9"/>
  <c r="Q866" i="9"/>
  <c r="Q879" i="9"/>
  <c r="Q892" i="9"/>
  <c r="Q905" i="9"/>
  <c r="Q918" i="9"/>
  <c r="Q932" i="9"/>
  <c r="Q945" i="9"/>
  <c r="Q958" i="9"/>
  <c r="Q971" i="9"/>
  <c r="Q984" i="9"/>
  <c r="Q997" i="9"/>
  <c r="C27" i="12" a="1"/>
  <c r="C27" i="12" s="1"/>
  <c r="AA32" i="12" a="1"/>
  <c r="AA32" i="12" s="1"/>
  <c r="D32" i="12" a="1"/>
  <c r="D32" i="12" s="1"/>
  <c r="X32" i="12"/>
  <c r="W32" i="12" s="1" a="1"/>
  <c r="W32" i="12" s="1"/>
  <c r="AB32" i="12" a="1"/>
  <c r="AB32" i="12" s="1"/>
  <c r="AA35" i="12" a="1"/>
  <c r="AA35" i="12" s="1"/>
  <c r="D35" i="12" a="1"/>
  <c r="D35" i="12" s="1"/>
  <c r="Z35" i="12"/>
  <c r="C35" i="12" a="1"/>
  <c r="C35" i="12" s="1"/>
  <c r="X35" i="12"/>
  <c r="W35" i="12" s="1" a="1"/>
  <c r="W35" i="12" s="1"/>
  <c r="X74" i="12"/>
  <c r="W74" i="12" s="1" a="1"/>
  <c r="W74" i="12" s="1"/>
  <c r="AB74" i="12" a="1"/>
  <c r="AB74" i="12" s="1"/>
  <c r="AA74" i="12" a="1"/>
  <c r="AA74" i="12" s="1"/>
  <c r="Z74" i="12"/>
  <c r="E74" i="12" a="1"/>
  <c r="E74" i="12" s="1"/>
  <c r="D74" i="12" a="1"/>
  <c r="D74" i="12" s="1"/>
  <c r="AC74" i="12" a="1"/>
  <c r="AC74" i="12" s="1"/>
  <c r="X56" i="12"/>
  <c r="W56" i="12" s="1" a="1"/>
  <c r="W56" i="12" s="1"/>
  <c r="AA56" i="12" a="1"/>
  <c r="AA56" i="12" s="1"/>
  <c r="Z56" i="12"/>
  <c r="E56" i="12" a="1"/>
  <c r="E56" i="12" s="1"/>
  <c r="D56" i="12" a="1"/>
  <c r="D56" i="12" s="1"/>
  <c r="AB56" i="12" a="1"/>
  <c r="AB56" i="12" s="1"/>
  <c r="A9" i="9"/>
  <c r="A21" i="9"/>
  <c r="A33" i="9"/>
  <c r="A45" i="9"/>
  <c r="A57" i="9"/>
  <c r="A69" i="9"/>
  <c r="A81" i="9"/>
  <c r="A93" i="9"/>
  <c r="A105" i="9"/>
  <c r="A117" i="9"/>
  <c r="A129" i="9"/>
  <c r="A141" i="9"/>
  <c r="A153" i="9"/>
  <c r="A165" i="9"/>
  <c r="A177" i="9"/>
  <c r="A189" i="9"/>
  <c r="A201" i="9"/>
  <c r="A213" i="9"/>
  <c r="A225" i="9"/>
  <c r="A237" i="9"/>
  <c r="A249" i="9"/>
  <c r="A261" i="9"/>
  <c r="A273" i="9"/>
  <c r="A285" i="9"/>
  <c r="A297" i="9"/>
  <c r="A309" i="9"/>
  <c r="A321" i="9"/>
  <c r="A333" i="9"/>
  <c r="A345" i="9"/>
  <c r="A357" i="9"/>
  <c r="A369" i="9"/>
  <c r="A381" i="9"/>
  <c r="A393" i="9"/>
  <c r="A405" i="9"/>
  <c r="A417" i="9"/>
  <c r="A429" i="9"/>
  <c r="A441" i="9"/>
  <c r="A453" i="9"/>
  <c r="A465" i="9"/>
  <c r="A477" i="9"/>
  <c r="A489" i="9"/>
  <c r="A501" i="9"/>
  <c r="A513" i="9"/>
  <c r="A525" i="9"/>
  <c r="A537" i="9"/>
  <c r="A549" i="9"/>
  <c r="A561" i="9"/>
  <c r="A573" i="9"/>
  <c r="A585" i="9"/>
  <c r="A597" i="9"/>
  <c r="A609" i="9"/>
  <c r="A621" i="9"/>
  <c r="A633" i="9"/>
  <c r="A645" i="9"/>
  <c r="A657" i="9"/>
  <c r="A669" i="9"/>
  <c r="A681" i="9"/>
  <c r="A693" i="9"/>
  <c r="A705" i="9"/>
  <c r="A717" i="9"/>
  <c r="A729" i="9"/>
  <c r="A741" i="9"/>
  <c r="A753" i="9"/>
  <c r="A765" i="9"/>
  <c r="A777" i="9"/>
  <c r="A789" i="9"/>
  <c r="A801" i="9"/>
  <c r="A813" i="9"/>
  <c r="A825" i="9"/>
  <c r="A837" i="9"/>
  <c r="A849" i="9"/>
  <c r="A861" i="9"/>
  <c r="A873" i="9"/>
  <c r="A885" i="9"/>
  <c r="A897" i="9"/>
  <c r="A909" i="9"/>
  <c r="A921" i="9"/>
  <c r="A933" i="9"/>
  <c r="A945" i="9"/>
  <c r="A957" i="9"/>
  <c r="A969" i="9"/>
  <c r="A981" i="9"/>
  <c r="A993" i="9"/>
  <c r="Q3" i="9"/>
  <c r="Q16" i="9"/>
  <c r="Q29" i="9"/>
  <c r="Q42" i="9"/>
  <c r="Q56" i="9"/>
  <c r="Q69" i="9"/>
  <c r="Q82" i="9"/>
  <c r="Q95" i="9"/>
  <c r="Q108" i="9"/>
  <c r="Q121" i="9"/>
  <c r="Q134" i="9"/>
  <c r="Q147" i="9"/>
  <c r="Q160" i="9"/>
  <c r="Q173" i="9"/>
  <c r="Q186" i="9"/>
  <c r="Q200" i="9"/>
  <c r="Q213" i="9"/>
  <c r="Q226" i="9"/>
  <c r="Q239" i="9"/>
  <c r="Q252" i="9"/>
  <c r="Q265" i="9"/>
  <c r="Q278" i="9"/>
  <c r="Q291" i="9"/>
  <c r="Q304" i="9"/>
  <c r="Q317" i="9"/>
  <c r="Q330" i="9"/>
  <c r="Q344" i="9"/>
  <c r="Q357" i="9"/>
  <c r="Q370" i="9"/>
  <c r="Q383" i="9"/>
  <c r="Q396" i="9"/>
  <c r="Q409" i="9"/>
  <c r="Q422" i="9"/>
  <c r="Q435" i="9"/>
  <c r="Q448" i="9"/>
  <c r="Q461" i="9"/>
  <c r="Q474" i="9"/>
  <c r="Q488" i="9"/>
  <c r="Q501" i="9"/>
  <c r="Q514" i="9"/>
  <c r="Q527" i="9"/>
  <c r="Q540" i="9"/>
  <c r="Q553" i="9"/>
  <c r="Q566" i="9"/>
  <c r="Q579" i="9"/>
  <c r="Q592" i="9"/>
  <c r="Q605" i="9"/>
  <c r="Q618" i="9"/>
  <c r="Q632" i="9"/>
  <c r="Q645" i="9"/>
  <c r="Q658" i="9"/>
  <c r="Q671" i="9"/>
  <c r="Q684" i="9"/>
  <c r="Q697" i="9"/>
  <c r="Q710" i="9"/>
  <c r="Q723" i="9"/>
  <c r="Q736" i="9"/>
  <c r="Q749" i="9"/>
  <c r="Q762" i="9"/>
  <c r="Q776" i="9"/>
  <c r="Q789" i="9"/>
  <c r="Q802" i="9"/>
  <c r="Q815" i="9"/>
  <c r="Q828" i="9"/>
  <c r="Q841" i="9"/>
  <c r="Q854" i="9"/>
  <c r="Q867" i="9"/>
  <c r="Q880" i="9"/>
  <c r="Q893" i="9"/>
  <c r="Q906" i="9"/>
  <c r="Q920" i="9"/>
  <c r="Q933" i="9"/>
  <c r="Q946" i="9"/>
  <c r="Q959" i="9"/>
  <c r="Q972" i="9"/>
  <c r="Q985" i="9"/>
  <c r="Q998" i="9"/>
  <c r="C32" i="12" a="1"/>
  <c r="C32" i="12" s="1"/>
  <c r="AB67" i="12" a="1"/>
  <c r="AB67" i="12" s="1"/>
  <c r="C74" i="12" a="1"/>
  <c r="C74" i="12" s="1"/>
  <c r="X150" i="12"/>
  <c r="W150" i="12" s="1" a="1"/>
  <c r="W150" i="12" s="1"/>
  <c r="AC150" i="12" a="1"/>
  <c r="AC150" i="12" s="1"/>
  <c r="E150" i="12" a="1"/>
  <c r="E150" i="12" s="1"/>
  <c r="D150" i="12" a="1"/>
  <c r="D150" i="12" s="1"/>
  <c r="AB150" i="12" a="1"/>
  <c r="AB150" i="12" s="1"/>
  <c r="C150" i="12" a="1"/>
  <c r="C150" i="12" s="1"/>
  <c r="Z150" i="12"/>
  <c r="AA150" i="12" a="1"/>
  <c r="AA150" i="12" s="1"/>
  <c r="F12" i="1"/>
  <c r="A10" i="9"/>
  <c r="A22" i="9"/>
  <c r="A34" i="9"/>
  <c r="A46" i="9"/>
  <c r="A58" i="9"/>
  <c r="A70" i="9"/>
  <c r="A82" i="9"/>
  <c r="A94" i="9"/>
  <c r="A106" i="9"/>
  <c r="A118" i="9"/>
  <c r="A130" i="9"/>
  <c r="A142" i="9"/>
  <c r="A154" i="9"/>
  <c r="A166" i="9"/>
  <c r="A178" i="9"/>
  <c r="A190" i="9"/>
  <c r="A202" i="9"/>
  <c r="A214" i="9"/>
  <c r="A226" i="9"/>
  <c r="A238" i="9"/>
  <c r="A250" i="9"/>
  <c r="A262" i="9"/>
  <c r="A274" i="9"/>
  <c r="A286" i="9"/>
  <c r="A298" i="9"/>
  <c r="A310" i="9"/>
  <c r="A322" i="9"/>
  <c r="A334" i="9"/>
  <c r="A346" i="9"/>
  <c r="A358" i="9"/>
  <c r="A370" i="9"/>
  <c r="A382" i="9"/>
  <c r="A394" i="9"/>
  <c r="A406" i="9"/>
  <c r="A418" i="9"/>
  <c r="A430" i="9"/>
  <c r="A442" i="9"/>
  <c r="A454" i="9"/>
  <c r="A466" i="9"/>
  <c r="A478" i="9"/>
  <c r="A490" i="9"/>
  <c r="A502" i="9"/>
  <c r="A514" i="9"/>
  <c r="A526" i="9"/>
  <c r="A538" i="9"/>
  <c r="A550" i="9"/>
  <c r="A562" i="9"/>
  <c r="A574" i="9"/>
  <c r="A586" i="9"/>
  <c r="A598" i="9"/>
  <c r="A610" i="9"/>
  <c r="A622" i="9"/>
  <c r="A634" i="9"/>
  <c r="A646" i="9"/>
  <c r="A658" i="9"/>
  <c r="A670" i="9"/>
  <c r="A682" i="9"/>
  <c r="A694" i="9"/>
  <c r="A706" i="9"/>
  <c r="A718" i="9"/>
  <c r="A730" i="9"/>
  <c r="A742" i="9"/>
  <c r="A754" i="9"/>
  <c r="A766" i="9"/>
  <c r="A778" i="9"/>
  <c r="A790" i="9"/>
  <c r="A802" i="9"/>
  <c r="A814" i="9"/>
  <c r="A826" i="9"/>
  <c r="A838" i="9"/>
  <c r="A850" i="9"/>
  <c r="A862" i="9"/>
  <c r="A874" i="9"/>
  <c r="A886" i="9"/>
  <c r="A898" i="9"/>
  <c r="A910" i="9"/>
  <c r="A922" i="9"/>
  <c r="A934" i="9"/>
  <c r="A946" i="9"/>
  <c r="A958" i="9"/>
  <c r="A970" i="9"/>
  <c r="A982" i="9"/>
  <c r="A994" i="9"/>
  <c r="Q4" i="9"/>
  <c r="Q17" i="9"/>
  <c r="Q30" i="9"/>
  <c r="Q44" i="9"/>
  <c r="Q57" i="9"/>
  <c r="Q70" i="9"/>
  <c r="Q83" i="9"/>
  <c r="Q96" i="9"/>
  <c r="Q109" i="9"/>
  <c r="Q122" i="9"/>
  <c r="Q135" i="9"/>
  <c r="Q148" i="9"/>
  <c r="Q161" i="9"/>
  <c r="Q174" i="9"/>
  <c r="Q188" i="9"/>
  <c r="Q201" i="9"/>
  <c r="Q214" i="9"/>
  <c r="Q227" i="9"/>
  <c r="Q240" i="9"/>
  <c r="Q253" i="9"/>
  <c r="Q266" i="9"/>
  <c r="Q279" i="9"/>
  <c r="Q292" i="9"/>
  <c r="Q305" i="9"/>
  <c r="Q318" i="9"/>
  <c r="Q332" i="9"/>
  <c r="Q345" i="9"/>
  <c r="Q358" i="9"/>
  <c r="Q371" i="9"/>
  <c r="Q384" i="9"/>
  <c r="Q397" i="9"/>
  <c r="Q410" i="9"/>
  <c r="Q423" i="9"/>
  <c r="Q436" i="9"/>
  <c r="Q449" i="9"/>
  <c r="Q462" i="9"/>
  <c r="Q476" i="9"/>
  <c r="Q489" i="9"/>
  <c r="Q502" i="9"/>
  <c r="Q515" i="9"/>
  <c r="Q528" i="9"/>
  <c r="Q541" i="9"/>
  <c r="Q554" i="9"/>
  <c r="Q567" i="9"/>
  <c r="Q580" i="9"/>
  <c r="Q593" i="9"/>
  <c r="Q606" i="9"/>
  <c r="Q620" i="9"/>
  <c r="Q633" i="9"/>
  <c r="Q646" i="9"/>
  <c r="Q659" i="9"/>
  <c r="Q672" i="9"/>
  <c r="Q685" i="9"/>
  <c r="Q698" i="9"/>
  <c r="Q711" i="9"/>
  <c r="Q724" i="9"/>
  <c r="Q737" i="9"/>
  <c r="Q750" i="9"/>
  <c r="Q764" i="9"/>
  <c r="Q777" i="9"/>
  <c r="Q790" i="9"/>
  <c r="Q803" i="9"/>
  <c r="Q816" i="9"/>
  <c r="Q829" i="9"/>
  <c r="Q842" i="9"/>
  <c r="Q855" i="9"/>
  <c r="Q868" i="9"/>
  <c r="Q881" i="9"/>
  <c r="Q894" i="9"/>
  <c r="Q908" i="9"/>
  <c r="Q921" i="9"/>
  <c r="Q934" i="9"/>
  <c r="Q947" i="9"/>
  <c r="Q960" i="9"/>
  <c r="Q973" i="9"/>
  <c r="Q986" i="9"/>
  <c r="Q999" i="9"/>
  <c r="AA30" i="12" a="1"/>
  <c r="AA30" i="12" s="1"/>
  <c r="D30" i="12" a="1"/>
  <c r="D30" i="12" s="1"/>
  <c r="X30" i="12"/>
  <c r="W30" i="12" s="1" a="1"/>
  <c r="W30" i="12" s="1"/>
  <c r="AB30" i="12" a="1"/>
  <c r="AB30" i="12" s="1"/>
  <c r="AC32" i="12" a="1"/>
  <c r="AC32" i="12" s="1"/>
  <c r="AA36" i="12" a="1"/>
  <c r="AA36" i="12" s="1"/>
  <c r="D36" i="12" a="1"/>
  <c r="D36" i="12" s="1"/>
  <c r="Z36" i="12"/>
  <c r="C36" i="12" a="1"/>
  <c r="C36" i="12" s="1"/>
  <c r="X36" i="12"/>
  <c r="W36" i="12" s="1" a="1"/>
  <c r="W36" i="12" s="1"/>
  <c r="A11" i="9"/>
  <c r="A23" i="9"/>
  <c r="A35" i="9"/>
  <c r="A47" i="9"/>
  <c r="A59" i="9"/>
  <c r="A71" i="9"/>
  <c r="A83" i="9"/>
  <c r="A95" i="9"/>
  <c r="A107" i="9"/>
  <c r="A119" i="9"/>
  <c r="A131" i="9"/>
  <c r="A143" i="9"/>
  <c r="A155" i="9"/>
  <c r="A167" i="9"/>
  <c r="A179" i="9"/>
  <c r="A191" i="9"/>
  <c r="A203" i="9"/>
  <c r="A215" i="9"/>
  <c r="A227" i="9"/>
  <c r="A239" i="9"/>
  <c r="A251" i="9"/>
  <c r="A263" i="9"/>
  <c r="A275" i="9"/>
  <c r="A287" i="9"/>
  <c r="A299" i="9"/>
  <c r="A311" i="9"/>
  <c r="A323" i="9"/>
  <c r="A335" i="9"/>
  <c r="A347" i="9"/>
  <c r="A359" i="9"/>
  <c r="A371" i="9"/>
  <c r="A383" i="9"/>
  <c r="A395" i="9"/>
  <c r="A407" i="9"/>
  <c r="A419" i="9"/>
  <c r="A431" i="9"/>
  <c r="A443" i="9"/>
  <c r="A455" i="9"/>
  <c r="A467" i="9"/>
  <c r="A479" i="9"/>
  <c r="A491" i="9"/>
  <c r="A503" i="9"/>
  <c r="A515" i="9"/>
  <c r="A527" i="9"/>
  <c r="A539" i="9"/>
  <c r="A551" i="9"/>
  <c r="A563" i="9"/>
  <c r="A575" i="9"/>
  <c r="A587" i="9"/>
  <c r="A599" i="9"/>
  <c r="A611" i="9"/>
  <c r="A623" i="9"/>
  <c r="A635" i="9"/>
  <c r="A647" i="9"/>
  <c r="A659" i="9"/>
  <c r="A671" i="9"/>
  <c r="A683" i="9"/>
  <c r="A695" i="9"/>
  <c r="A707" i="9"/>
  <c r="A719" i="9"/>
  <c r="A731" i="9"/>
  <c r="A743" i="9"/>
  <c r="A755" i="9"/>
  <c r="A767" i="9"/>
  <c r="A779" i="9"/>
  <c r="A791" i="9"/>
  <c r="A803" i="9"/>
  <c r="A815" i="9"/>
  <c r="A827" i="9"/>
  <c r="A839" i="9"/>
  <c r="A851" i="9"/>
  <c r="A863" i="9"/>
  <c r="A875" i="9"/>
  <c r="A887" i="9"/>
  <c r="A899" i="9"/>
  <c r="A911" i="9"/>
  <c r="A923" i="9"/>
  <c r="A935" i="9"/>
  <c r="A947" i="9"/>
  <c r="A959" i="9"/>
  <c r="A971" i="9"/>
  <c r="A983" i="9"/>
  <c r="A995" i="9"/>
  <c r="Q5" i="9"/>
  <c r="Q18" i="9"/>
  <c r="Q32" i="9"/>
  <c r="Q45" i="9"/>
  <c r="Q58" i="9"/>
  <c r="Q71" i="9"/>
  <c r="Q84" i="9"/>
  <c r="Q97" i="9"/>
  <c r="Q110" i="9"/>
  <c r="Q123" i="9"/>
  <c r="Q136" i="9"/>
  <c r="Q149" i="9"/>
  <c r="Q162" i="9"/>
  <c r="Q176" i="9"/>
  <c r="Q189" i="9"/>
  <c r="Q202" i="9"/>
  <c r="Q215" i="9"/>
  <c r="Q228" i="9"/>
  <c r="Q241" i="9"/>
  <c r="Q254" i="9"/>
  <c r="Q267" i="9"/>
  <c r="Q280" i="9"/>
  <c r="Q293" i="9"/>
  <c r="Q306" i="9"/>
  <c r="Q320" i="9"/>
  <c r="Q333" i="9"/>
  <c r="Q346" i="9"/>
  <c r="Q359" i="9"/>
  <c r="Q372" i="9"/>
  <c r="Q385" i="9"/>
  <c r="Q398" i="9"/>
  <c r="Q411" i="9"/>
  <c r="Q424" i="9"/>
  <c r="Q437" i="9"/>
  <c r="Q450" i="9"/>
  <c r="Q464" i="9"/>
  <c r="Q477" i="9"/>
  <c r="Q490" i="9"/>
  <c r="Q503" i="9"/>
  <c r="Q516" i="9"/>
  <c r="Q529" i="9"/>
  <c r="Q542" i="9"/>
  <c r="Q555" i="9"/>
  <c r="Q568" i="9"/>
  <c r="Q581" i="9"/>
  <c r="Q594" i="9"/>
  <c r="Q608" i="9"/>
  <c r="Q621" i="9"/>
  <c r="Q634" i="9"/>
  <c r="Q647" i="9"/>
  <c r="Q660" i="9"/>
  <c r="Q673" i="9"/>
  <c r="Q686" i="9"/>
  <c r="Q699" i="9"/>
  <c r="Q712" i="9"/>
  <c r="Q725" i="9"/>
  <c r="Q738" i="9"/>
  <c r="Q752" i="9"/>
  <c r="Q765" i="9"/>
  <c r="Q778" i="9"/>
  <c r="Q791" i="9"/>
  <c r="Q804" i="9"/>
  <c r="Q817" i="9"/>
  <c r="Q830" i="9"/>
  <c r="Q843" i="9"/>
  <c r="Q856" i="9"/>
  <c r="Q869" i="9"/>
  <c r="Q882" i="9"/>
  <c r="Q896" i="9"/>
  <c r="Q909" i="9"/>
  <c r="Q922" i="9"/>
  <c r="Q935" i="9"/>
  <c r="Q948" i="9"/>
  <c r="Q961" i="9"/>
  <c r="Q974" i="9"/>
  <c r="Q987" i="9"/>
  <c r="Q1000" i="9"/>
  <c r="AA40" i="12" a="1"/>
  <c r="AA40" i="12" s="1"/>
  <c r="D40" i="12" a="1"/>
  <c r="D40" i="12" s="1"/>
  <c r="Z40" i="12"/>
  <c r="C40" i="12" a="1"/>
  <c r="C40" i="12" s="1"/>
  <c r="X40" i="12"/>
  <c r="W40" i="12" s="1" a="1"/>
  <c r="W40" i="12" s="1"/>
  <c r="AB40" i="12" a="1"/>
  <c r="AB40" i="12" s="1"/>
  <c r="AA83" i="12" a="1"/>
  <c r="AA83" i="12" s="1"/>
  <c r="Z83" i="12"/>
  <c r="X83" i="12"/>
  <c r="W83" i="12" s="1" a="1"/>
  <c r="W83" i="12" s="1"/>
  <c r="E83" i="12" a="1"/>
  <c r="E83" i="12" s="1"/>
  <c r="D83" i="12" a="1"/>
  <c r="D83" i="12" s="1"/>
  <c r="C83" i="12" a="1"/>
  <c r="C83" i="12" s="1"/>
  <c r="AB83" i="12" a="1"/>
  <c r="AB83" i="12" s="1"/>
  <c r="F25" i="1"/>
  <c r="A12" i="9"/>
  <c r="A24" i="9"/>
  <c r="A36" i="9"/>
  <c r="A48" i="9"/>
  <c r="A60" i="9"/>
  <c r="A72" i="9"/>
  <c r="A84" i="9"/>
  <c r="A96" i="9"/>
  <c r="A108" i="9"/>
  <c r="A120" i="9"/>
  <c r="A132" i="9"/>
  <c r="A144" i="9"/>
  <c r="A156" i="9"/>
  <c r="A168" i="9"/>
  <c r="A180" i="9"/>
  <c r="A192" i="9"/>
  <c r="A204" i="9"/>
  <c r="A216" i="9"/>
  <c r="A228" i="9"/>
  <c r="A240" i="9"/>
  <c r="A252" i="9"/>
  <c r="A264" i="9"/>
  <c r="A276" i="9"/>
  <c r="A288" i="9"/>
  <c r="A300" i="9"/>
  <c r="A312" i="9"/>
  <c r="A324" i="9"/>
  <c r="A336" i="9"/>
  <c r="A348" i="9"/>
  <c r="A360" i="9"/>
  <c r="A372" i="9"/>
  <c r="A384" i="9"/>
  <c r="A396" i="9"/>
  <c r="A408" i="9"/>
  <c r="A420" i="9"/>
  <c r="A432" i="9"/>
  <c r="A444" i="9"/>
  <c r="A456" i="9"/>
  <c r="A468" i="9"/>
  <c r="A480" i="9"/>
  <c r="A492" i="9"/>
  <c r="A504" i="9"/>
  <c r="A516" i="9"/>
  <c r="A528" i="9"/>
  <c r="A540" i="9"/>
  <c r="A552" i="9"/>
  <c r="A564" i="9"/>
  <c r="A576" i="9"/>
  <c r="A588" i="9"/>
  <c r="A600" i="9"/>
  <c r="A612" i="9"/>
  <c r="A624" i="9"/>
  <c r="A636" i="9"/>
  <c r="A648" i="9"/>
  <c r="A660" i="9"/>
  <c r="A672" i="9"/>
  <c r="A684" i="9"/>
  <c r="A696" i="9"/>
  <c r="A708" i="9"/>
  <c r="A720" i="9"/>
  <c r="A732" i="9"/>
  <c r="A744" i="9"/>
  <c r="A756" i="9"/>
  <c r="A768" i="9"/>
  <c r="A780" i="9"/>
  <c r="A792" i="9"/>
  <c r="A804" i="9"/>
  <c r="A816" i="9"/>
  <c r="A828" i="9"/>
  <c r="A840" i="9"/>
  <c r="A852" i="9"/>
  <c r="A864" i="9"/>
  <c r="A876" i="9"/>
  <c r="A888" i="9"/>
  <c r="A900" i="9"/>
  <c r="A912" i="9"/>
  <c r="A924" i="9"/>
  <c r="A936" i="9"/>
  <c r="A948" i="9"/>
  <c r="A960" i="9"/>
  <c r="A972" i="9"/>
  <c r="A984" i="9"/>
  <c r="A996" i="9"/>
  <c r="Q6" i="9"/>
  <c r="Q20" i="9"/>
  <c r="Q33" i="9"/>
  <c r="Q46" i="9"/>
  <c r="Q59" i="9"/>
  <c r="Q72" i="9"/>
  <c r="Q85" i="9"/>
  <c r="Q98" i="9"/>
  <c r="Q111" i="9"/>
  <c r="Q124" i="9"/>
  <c r="Q137" i="9"/>
  <c r="Q150" i="9"/>
  <c r="Q164" i="9"/>
  <c r="Q177" i="9"/>
  <c r="Q190" i="9"/>
  <c r="Q203" i="9"/>
  <c r="Q216" i="9"/>
  <c r="Q229" i="9"/>
  <c r="Q242" i="9"/>
  <c r="Q255" i="9"/>
  <c r="Q268" i="9"/>
  <c r="Q281" i="9"/>
  <c r="Q294" i="9"/>
  <c r="Q308" i="9"/>
  <c r="Q321" i="9"/>
  <c r="Q334" i="9"/>
  <c r="Q347" i="9"/>
  <c r="Q360" i="9"/>
  <c r="Q373" i="9"/>
  <c r="Q386" i="9"/>
  <c r="Q399" i="9"/>
  <c r="Q412" i="9"/>
  <c r="Q425" i="9"/>
  <c r="Q438" i="9"/>
  <c r="Q452" i="9"/>
  <c r="Q465" i="9"/>
  <c r="Q478" i="9"/>
  <c r="Q491" i="9"/>
  <c r="Q504" i="9"/>
  <c r="Q517" i="9"/>
  <c r="Q530" i="9"/>
  <c r="Q543" i="9"/>
  <c r="Q556" i="9"/>
  <c r="Q569" i="9"/>
  <c r="Q582" i="9"/>
  <c r="Q596" i="9"/>
  <c r="Q609" i="9"/>
  <c r="Q622" i="9"/>
  <c r="Q635" i="9"/>
  <c r="Q648" i="9"/>
  <c r="Q661" i="9"/>
  <c r="Q674" i="9"/>
  <c r="Q687" i="9"/>
  <c r="Q700" i="9"/>
  <c r="Q713" i="9"/>
  <c r="Q726" i="9"/>
  <c r="Q740" i="9"/>
  <c r="Q753" i="9"/>
  <c r="Q766" i="9"/>
  <c r="Q779" i="9"/>
  <c r="Q792" i="9"/>
  <c r="Q805" i="9"/>
  <c r="Q818" i="9"/>
  <c r="Q831" i="9"/>
  <c r="Q844" i="9"/>
  <c r="Q857" i="9"/>
  <c r="Q870" i="9"/>
  <c r="Q884" i="9"/>
  <c r="Q897" i="9"/>
  <c r="Q910" i="9"/>
  <c r="Q923" i="9"/>
  <c r="Q936" i="9"/>
  <c r="Q949" i="9"/>
  <c r="Q962" i="9"/>
  <c r="Q975" i="9"/>
  <c r="Q988" i="9"/>
  <c r="AA28" i="12" a="1"/>
  <c r="AA28" i="12" s="1"/>
  <c r="D28" i="12" a="1"/>
  <c r="D28" i="12" s="1"/>
  <c r="X28" i="12"/>
  <c r="W28" i="12" s="1" a="1"/>
  <c r="W28" i="12" s="1"/>
  <c r="AB28" i="12" a="1"/>
  <c r="AB28" i="12" s="1"/>
  <c r="AC30" i="12" a="1"/>
  <c r="AC30" i="12" s="1"/>
  <c r="AA37" i="12" a="1"/>
  <c r="AA37" i="12" s="1"/>
  <c r="D37" i="12" a="1"/>
  <c r="D37" i="12" s="1"/>
  <c r="Z37" i="12"/>
  <c r="C37" i="12" a="1"/>
  <c r="C37" i="12" s="1"/>
  <c r="X37" i="12"/>
  <c r="W37" i="12" s="1" a="1"/>
  <c r="W37" i="12" s="1"/>
  <c r="AB37" i="12" a="1"/>
  <c r="AB37" i="12" s="1"/>
  <c r="AA39" i="12" a="1"/>
  <c r="AA39" i="12" s="1"/>
  <c r="D39" i="12" a="1"/>
  <c r="D39" i="12" s="1"/>
  <c r="Z39" i="12"/>
  <c r="C39" i="12" a="1"/>
  <c r="C39" i="12" s="1"/>
  <c r="X39" i="12"/>
  <c r="W39" i="12" s="1" a="1"/>
  <c r="W39" i="12" s="1"/>
  <c r="AB39" i="12" a="1"/>
  <c r="AB39" i="12" s="1"/>
  <c r="AC78" i="12" a="1"/>
  <c r="AC78" i="12" s="1"/>
  <c r="AB78" i="12" a="1"/>
  <c r="AB78" i="12" s="1"/>
  <c r="AA78" i="12" a="1"/>
  <c r="AA78" i="12" s="1"/>
  <c r="Z78" i="12"/>
  <c r="X78" i="12"/>
  <c r="W78" i="12" s="1" a="1"/>
  <c r="W78" i="12" s="1"/>
  <c r="E78" i="12" a="1"/>
  <c r="E78" i="12" s="1"/>
  <c r="D78" i="12" a="1"/>
  <c r="D78" i="12" s="1"/>
  <c r="C78" i="12" a="1"/>
  <c r="C78" i="12" s="1"/>
  <c r="F19" i="1"/>
  <c r="F31" i="1"/>
  <c r="A2" i="9"/>
  <c r="A13" i="9"/>
  <c r="A25" i="9"/>
  <c r="A37" i="9"/>
  <c r="A49" i="9"/>
  <c r="A61" i="9"/>
  <c r="A73" i="9"/>
  <c r="A85" i="9"/>
  <c r="A97" i="9"/>
  <c r="A109" i="9"/>
  <c r="A121" i="9"/>
  <c r="A133" i="9"/>
  <c r="A145" i="9"/>
  <c r="A157" i="9"/>
  <c r="A169" i="9"/>
  <c r="A181" i="9"/>
  <c r="A193" i="9"/>
  <c r="A205" i="9"/>
  <c r="A217" i="9"/>
  <c r="A229" i="9"/>
  <c r="A241" i="9"/>
  <c r="A253" i="9"/>
  <c r="A265" i="9"/>
  <c r="A277" i="9"/>
  <c r="A289" i="9"/>
  <c r="A301" i="9"/>
  <c r="A313" i="9"/>
  <c r="A325" i="9"/>
  <c r="A337" i="9"/>
  <c r="A349" i="9"/>
  <c r="A361" i="9"/>
  <c r="A373" i="9"/>
  <c r="A385" i="9"/>
  <c r="A397" i="9"/>
  <c r="A409" i="9"/>
  <c r="A421" i="9"/>
  <c r="A433" i="9"/>
  <c r="A445" i="9"/>
  <c r="A457" i="9"/>
  <c r="A469" i="9"/>
  <c r="A481" i="9"/>
  <c r="A493" i="9"/>
  <c r="A505" i="9"/>
  <c r="A517" i="9"/>
  <c r="A529" i="9"/>
  <c r="A541" i="9"/>
  <c r="A553" i="9"/>
  <c r="A565" i="9"/>
  <c r="A577" i="9"/>
  <c r="A589" i="9"/>
  <c r="A601" i="9"/>
  <c r="A613" i="9"/>
  <c r="A625" i="9"/>
  <c r="A637" i="9"/>
  <c r="A649" i="9"/>
  <c r="A661" i="9"/>
  <c r="A673" i="9"/>
  <c r="A685" i="9"/>
  <c r="A697" i="9"/>
  <c r="A709" i="9"/>
  <c r="A721" i="9"/>
  <c r="A733" i="9"/>
  <c r="A745" i="9"/>
  <c r="A757" i="9"/>
  <c r="A769" i="9"/>
  <c r="A781" i="9"/>
  <c r="A793" i="9"/>
  <c r="A805" i="9"/>
  <c r="A817" i="9"/>
  <c r="A829" i="9"/>
  <c r="A841" i="9"/>
  <c r="A853" i="9"/>
  <c r="A865" i="9"/>
  <c r="A877" i="9"/>
  <c r="A889" i="9"/>
  <c r="A901" i="9"/>
  <c r="A913" i="9"/>
  <c r="A925" i="9"/>
  <c r="A937" i="9"/>
  <c r="A949" i="9"/>
  <c r="A961" i="9"/>
  <c r="A973" i="9"/>
  <c r="A985" i="9"/>
  <c r="A997" i="9"/>
  <c r="Q8" i="9"/>
  <c r="Q21" i="9"/>
  <c r="Q34" i="9"/>
  <c r="Q47" i="9"/>
  <c r="Q60" i="9"/>
  <c r="Q73" i="9"/>
  <c r="Q86" i="9"/>
  <c r="Q99" i="9"/>
  <c r="Q112" i="9"/>
  <c r="Q125" i="9"/>
  <c r="Q138" i="9"/>
  <c r="Q152" i="9"/>
  <c r="Q165" i="9"/>
  <c r="Q178" i="9"/>
  <c r="Q191" i="9"/>
  <c r="Q204" i="9"/>
  <c r="Q217" i="9"/>
  <c r="Q230" i="9"/>
  <c r="Q243" i="9"/>
  <c r="Q256" i="9"/>
  <c r="Q269" i="9"/>
  <c r="Q282" i="9"/>
  <c r="Q296" i="9"/>
  <c r="Q309" i="9"/>
  <c r="Q322" i="9"/>
  <c r="Q335" i="9"/>
  <c r="Q348" i="9"/>
  <c r="Q361" i="9"/>
  <c r="Q374" i="9"/>
  <c r="Q387" i="9"/>
  <c r="Q400" i="9"/>
  <c r="Q413" i="9"/>
  <c r="Q426" i="9"/>
  <c r="Q440" i="9"/>
  <c r="Q453" i="9"/>
  <c r="Q466" i="9"/>
  <c r="Q479" i="9"/>
  <c r="Q492" i="9"/>
  <c r="Q505" i="9"/>
  <c r="Q518" i="9"/>
  <c r="Q531" i="9"/>
  <c r="Q544" i="9"/>
  <c r="Q557" i="9"/>
  <c r="Q570" i="9"/>
  <c r="Q584" i="9"/>
  <c r="Q597" i="9"/>
  <c r="Q610" i="9"/>
  <c r="Q623" i="9"/>
  <c r="Q636" i="9"/>
  <c r="Q649" i="9"/>
  <c r="Q662" i="9"/>
  <c r="Q675" i="9"/>
  <c r="Q688" i="9"/>
  <c r="Q701" i="9"/>
  <c r="Q714" i="9"/>
  <c r="Q728" i="9"/>
  <c r="Q741" i="9"/>
  <c r="Q754" i="9"/>
  <c r="Q767" i="9"/>
  <c r="Q780" i="9"/>
  <c r="Q793" i="9"/>
  <c r="Q806" i="9"/>
  <c r="Q819" i="9"/>
  <c r="Q832" i="9"/>
  <c r="Q845" i="9"/>
  <c r="Q858" i="9"/>
  <c r="Q872" i="9"/>
  <c r="Q885" i="9"/>
  <c r="Q898" i="9"/>
  <c r="Q911" i="9"/>
  <c r="Q924" i="9"/>
  <c r="Q937" i="9"/>
  <c r="Q950" i="9"/>
  <c r="Q963" i="9"/>
  <c r="Q976" i="9"/>
  <c r="Q989" i="9"/>
  <c r="AA33" i="12" a="1"/>
  <c r="AA33" i="12" s="1"/>
  <c r="D33" i="12" a="1"/>
  <c r="D33" i="12" s="1"/>
  <c r="X33" i="12"/>
  <c r="W33" i="12" s="1" a="1"/>
  <c r="W33" i="12" s="1"/>
  <c r="AB33" i="12" a="1"/>
  <c r="AB33" i="12" s="1"/>
  <c r="AA38" i="12" a="1"/>
  <c r="AA38" i="12" s="1"/>
  <c r="D38" i="12" a="1"/>
  <c r="D38" i="12" s="1"/>
  <c r="Z38" i="12"/>
  <c r="C38" i="12" a="1"/>
  <c r="C38" i="12" s="1"/>
  <c r="X38" i="12"/>
  <c r="W38" i="12" s="1" a="1"/>
  <c r="W38" i="12" s="1"/>
  <c r="AB38" i="12" a="1"/>
  <c r="AB38" i="12" s="1"/>
  <c r="AC56" i="12" a="1"/>
  <c r="AC56" i="12" s="1"/>
  <c r="A14" i="9"/>
  <c r="A26" i="9"/>
  <c r="A38" i="9"/>
  <c r="A50" i="9"/>
  <c r="A62" i="9"/>
  <c r="A74" i="9"/>
  <c r="A86" i="9"/>
  <c r="A98" i="9"/>
  <c r="A110" i="9"/>
  <c r="A122" i="9"/>
  <c r="A134" i="9"/>
  <c r="A146" i="9"/>
  <c r="A158" i="9"/>
  <c r="A170" i="9"/>
  <c r="A182" i="9"/>
  <c r="A194" i="9"/>
  <c r="A206" i="9"/>
  <c r="A218" i="9"/>
  <c r="A230" i="9"/>
  <c r="A242" i="9"/>
  <c r="A254" i="9"/>
  <c r="A266" i="9"/>
  <c r="A278" i="9"/>
  <c r="A290" i="9"/>
  <c r="A302" i="9"/>
  <c r="A314" i="9"/>
  <c r="A326" i="9"/>
  <c r="A338" i="9"/>
  <c r="A350" i="9"/>
  <c r="A362" i="9"/>
  <c r="A374" i="9"/>
  <c r="A386" i="9"/>
  <c r="A398" i="9"/>
  <c r="A410" i="9"/>
  <c r="A422" i="9"/>
  <c r="A434" i="9"/>
  <c r="A446" i="9"/>
  <c r="A458" i="9"/>
  <c r="A470" i="9"/>
  <c r="A482" i="9"/>
  <c r="A494" i="9"/>
  <c r="A506" i="9"/>
  <c r="A518" i="9"/>
  <c r="A530" i="9"/>
  <c r="A542" i="9"/>
  <c r="A554" i="9"/>
  <c r="A566" i="9"/>
  <c r="A578" i="9"/>
  <c r="A590" i="9"/>
  <c r="A602" i="9"/>
  <c r="A614" i="9"/>
  <c r="A626" i="9"/>
  <c r="A638" i="9"/>
  <c r="A650" i="9"/>
  <c r="A662" i="9"/>
  <c r="A674" i="9"/>
  <c r="A686" i="9"/>
  <c r="A698" i="9"/>
  <c r="A710" i="9"/>
  <c r="A722" i="9"/>
  <c r="A734" i="9"/>
  <c r="A746" i="9"/>
  <c r="A758" i="9"/>
  <c r="A770" i="9"/>
  <c r="A782" i="9"/>
  <c r="A794" i="9"/>
  <c r="A806" i="9"/>
  <c r="A818" i="9"/>
  <c r="A830" i="9"/>
  <c r="A842" i="9"/>
  <c r="A854" i="9"/>
  <c r="A866" i="9"/>
  <c r="A878" i="9"/>
  <c r="A890" i="9"/>
  <c r="A902" i="9"/>
  <c r="A914" i="9"/>
  <c r="A926" i="9"/>
  <c r="A938" i="9"/>
  <c r="A950" i="9"/>
  <c r="A962" i="9"/>
  <c r="A974" i="9"/>
  <c r="A986" i="9"/>
  <c r="A998" i="9"/>
  <c r="Q9" i="9"/>
  <c r="Q22" i="9"/>
  <c r="Q35" i="9"/>
  <c r="Q48" i="9"/>
  <c r="Q61" i="9"/>
  <c r="Q74" i="9"/>
  <c r="Q87" i="9"/>
  <c r="Q100" i="9"/>
  <c r="Q113" i="9"/>
  <c r="Q126" i="9"/>
  <c r="Q140" i="9"/>
  <c r="Q153" i="9"/>
  <c r="Q166" i="9"/>
  <c r="Q179" i="9"/>
  <c r="Q192" i="9"/>
  <c r="Q205" i="9"/>
  <c r="Q218" i="9"/>
  <c r="Q231" i="9"/>
  <c r="Q244" i="9"/>
  <c r="Q257" i="9"/>
  <c r="Q270" i="9"/>
  <c r="Q284" i="9"/>
  <c r="Q297" i="9"/>
  <c r="Q310" i="9"/>
  <c r="Q323" i="9"/>
  <c r="Q336" i="9"/>
  <c r="Q349" i="9"/>
  <c r="Q362" i="9"/>
  <c r="Q375" i="9"/>
  <c r="Q388" i="9"/>
  <c r="Q401" i="9"/>
  <c r="Q414" i="9"/>
  <c r="Q428" i="9"/>
  <c r="Q441" i="9"/>
  <c r="Q454" i="9"/>
  <c r="Q467" i="9"/>
  <c r="Q480" i="9"/>
  <c r="Q493" i="9"/>
  <c r="Q506" i="9"/>
  <c r="Q519" i="9"/>
  <c r="Q532" i="9"/>
  <c r="Q545" i="9"/>
  <c r="Q558" i="9"/>
  <c r="Q572" i="9"/>
  <c r="Q585" i="9"/>
  <c r="Q598" i="9"/>
  <c r="Q611" i="9"/>
  <c r="Q624" i="9"/>
  <c r="Q637" i="9"/>
  <c r="Q650" i="9"/>
  <c r="Q663" i="9"/>
  <c r="Q676" i="9"/>
  <c r="Q689" i="9"/>
  <c r="Q702" i="9"/>
  <c r="Q716" i="9"/>
  <c r="Q729" i="9"/>
  <c r="Q742" i="9"/>
  <c r="Q755" i="9"/>
  <c r="Q768" i="9"/>
  <c r="Q781" i="9"/>
  <c r="Q794" i="9"/>
  <c r="Q807" i="9"/>
  <c r="Q820" i="9"/>
  <c r="Q833" i="9"/>
  <c r="Q846" i="9"/>
  <c r="Q860" i="9"/>
  <c r="Q873" i="9"/>
  <c r="Q886" i="9"/>
  <c r="Q899" i="9"/>
  <c r="Q912" i="9"/>
  <c r="Q925" i="9"/>
  <c r="Q938" i="9"/>
  <c r="Q951" i="9"/>
  <c r="Q964" i="9"/>
  <c r="Q977" i="9"/>
  <c r="Q990" i="9"/>
  <c r="AA26" i="12" a="1"/>
  <c r="AA26" i="12" s="1"/>
  <c r="D26" i="12" a="1"/>
  <c r="D26" i="12" s="1"/>
  <c r="X26" i="12"/>
  <c r="W26" i="12" s="1" a="1"/>
  <c r="W26" i="12" s="1"/>
  <c r="AB26" i="12" a="1"/>
  <c r="AB26" i="12" s="1"/>
  <c r="A3" i="9"/>
  <c r="A15" i="9"/>
  <c r="A27" i="9"/>
  <c r="A39" i="9"/>
  <c r="A51" i="9"/>
  <c r="A63" i="9"/>
  <c r="A75" i="9"/>
  <c r="A87" i="9"/>
  <c r="A99" i="9"/>
  <c r="A111" i="9"/>
  <c r="A123" i="9"/>
  <c r="A135" i="9"/>
  <c r="A147" i="9"/>
  <c r="A159" i="9"/>
  <c r="A171" i="9"/>
  <c r="A183" i="9"/>
  <c r="A195" i="9"/>
  <c r="A207" i="9"/>
  <c r="A219" i="9"/>
  <c r="A231" i="9"/>
  <c r="A243" i="9"/>
  <c r="A255" i="9"/>
  <c r="A267" i="9"/>
  <c r="A279" i="9"/>
  <c r="A291" i="9"/>
  <c r="A303" i="9"/>
  <c r="A315" i="9"/>
  <c r="A327" i="9"/>
  <c r="A339" i="9"/>
  <c r="A351" i="9"/>
  <c r="A363" i="9"/>
  <c r="A375" i="9"/>
  <c r="A387" i="9"/>
  <c r="A399" i="9"/>
  <c r="A411" i="9"/>
  <c r="A423" i="9"/>
  <c r="A435" i="9"/>
  <c r="A447" i="9"/>
  <c r="A459" i="9"/>
  <c r="A471" i="9"/>
  <c r="A483" i="9"/>
  <c r="A495" i="9"/>
  <c r="A507" i="9"/>
  <c r="A519" i="9"/>
  <c r="A531" i="9"/>
  <c r="A543" i="9"/>
  <c r="A555" i="9"/>
  <c r="A567" i="9"/>
  <c r="A579" i="9"/>
  <c r="A591" i="9"/>
  <c r="A603" i="9"/>
  <c r="A615" i="9"/>
  <c r="A627" i="9"/>
  <c r="A639" i="9"/>
  <c r="A651" i="9"/>
  <c r="A663" i="9"/>
  <c r="A675" i="9"/>
  <c r="A687" i="9"/>
  <c r="A699" i="9"/>
  <c r="A711" i="9"/>
  <c r="A723" i="9"/>
  <c r="A735" i="9"/>
  <c r="A747" i="9"/>
  <c r="A759" i="9"/>
  <c r="A771" i="9"/>
  <c r="A783" i="9"/>
  <c r="A795" i="9"/>
  <c r="A807" i="9"/>
  <c r="A819" i="9"/>
  <c r="A831" i="9"/>
  <c r="A843" i="9"/>
  <c r="A855" i="9"/>
  <c r="A867" i="9"/>
  <c r="A879" i="9"/>
  <c r="A891" i="9"/>
  <c r="A903" i="9"/>
  <c r="A915" i="9"/>
  <c r="A927" i="9"/>
  <c r="A939" i="9"/>
  <c r="A951" i="9"/>
  <c r="A963" i="9"/>
  <c r="A975" i="9"/>
  <c r="A987" i="9"/>
  <c r="A999" i="9"/>
  <c r="Q10" i="9"/>
  <c r="Q23" i="9"/>
  <c r="Q36" i="9"/>
  <c r="Q49" i="9"/>
  <c r="Q62" i="9"/>
  <c r="Q75" i="9"/>
  <c r="Q88" i="9"/>
  <c r="Q101" i="9"/>
  <c r="Q114" i="9"/>
  <c r="Q128" i="9"/>
  <c r="Q141" i="9"/>
  <c r="Q154" i="9"/>
  <c r="Q167" i="9"/>
  <c r="Q180" i="9"/>
  <c r="Q193" i="9"/>
  <c r="Q206" i="9"/>
  <c r="Q219" i="9"/>
  <c r="Q232" i="9"/>
  <c r="Q245" i="9"/>
  <c r="Q258" i="9"/>
  <c r="Q272" i="9"/>
  <c r="Q285" i="9"/>
  <c r="Q298" i="9"/>
  <c r="Q311" i="9"/>
  <c r="Q324" i="9"/>
  <c r="Q337" i="9"/>
  <c r="Q350" i="9"/>
  <c r="Q363" i="9"/>
  <c r="Q376" i="9"/>
  <c r="Q389" i="9"/>
  <c r="Q402" i="9"/>
  <c r="Q416" i="9"/>
  <c r="Q429" i="9"/>
  <c r="Q442" i="9"/>
  <c r="Q455" i="9"/>
  <c r="Q468" i="9"/>
  <c r="Q481" i="9"/>
  <c r="Q494" i="9"/>
  <c r="Q507" i="9"/>
  <c r="Q520" i="9"/>
  <c r="Q533" i="9"/>
  <c r="Q546" i="9"/>
  <c r="Q560" i="9"/>
  <c r="Q573" i="9"/>
  <c r="Q586" i="9"/>
  <c r="Q599" i="9"/>
  <c r="Q612" i="9"/>
  <c r="Q625" i="9"/>
  <c r="Q638" i="9"/>
  <c r="Q651" i="9"/>
  <c r="Q664" i="9"/>
  <c r="Q677" i="9"/>
  <c r="Q690" i="9"/>
  <c r="Q704" i="9"/>
  <c r="Q717" i="9"/>
  <c r="Q730" i="9"/>
  <c r="Q743" i="9"/>
  <c r="Q756" i="9"/>
  <c r="Q769" i="9"/>
  <c r="Q782" i="9"/>
  <c r="Q795" i="9"/>
  <c r="Q808" i="9"/>
  <c r="Q821" i="9"/>
  <c r="Q834" i="9"/>
  <c r="Q848" i="9"/>
  <c r="Q861" i="9"/>
  <c r="Q874" i="9"/>
  <c r="Q887" i="9"/>
  <c r="Q900" i="9"/>
  <c r="Q913" i="9"/>
  <c r="Q926" i="9"/>
  <c r="Q939" i="9"/>
  <c r="Q952" i="9"/>
  <c r="Q965" i="9"/>
  <c r="Q978" i="9"/>
  <c r="Q992" i="9"/>
  <c r="C2" i="12" a="1"/>
  <c r="C2" i="12" s="1"/>
  <c r="X2" i="12"/>
  <c r="W2" i="12" a="1"/>
  <c r="W2" i="12" s="1"/>
  <c r="C26" i="12" a="1"/>
  <c r="C26" i="12" s="1"/>
  <c r="AA31" i="12" a="1"/>
  <c r="AA31" i="12" s="1"/>
  <c r="D31" i="12" a="1"/>
  <c r="D31" i="12" s="1"/>
  <c r="X31" i="12"/>
  <c r="W31" i="12" s="1" a="1"/>
  <c r="W31" i="12" s="1"/>
  <c r="AB31" i="12" a="1"/>
  <c r="AB31" i="12" s="1"/>
  <c r="AC33" i="12" a="1"/>
  <c r="AC33" i="12" s="1"/>
  <c r="AC83" i="12" a="1"/>
  <c r="AC83" i="12" s="1"/>
  <c r="AB96" i="12" a="1"/>
  <c r="AB96" i="12" s="1"/>
  <c r="AC96" i="12" a="1"/>
  <c r="AC96" i="12" s="1"/>
  <c r="AA96" i="12" a="1"/>
  <c r="AA96" i="12" s="1"/>
  <c r="Z96" i="12"/>
  <c r="E96" i="12" a="1"/>
  <c r="E96" i="12" s="1"/>
  <c r="X96" i="12"/>
  <c r="W96" i="12" s="1" a="1"/>
  <c r="W96" i="12" s="1"/>
  <c r="D96" i="12" a="1"/>
  <c r="D96" i="12" s="1"/>
  <c r="C96" i="12" a="1"/>
  <c r="C96" i="12" s="1"/>
  <c r="AA27" i="12" a="1"/>
  <c r="AA27" i="12" s="1"/>
  <c r="D27" i="12" a="1"/>
  <c r="D27" i="12" s="1"/>
  <c r="X27" i="12"/>
  <c r="W27" i="12" s="1" a="1"/>
  <c r="W27" i="12" s="1"/>
  <c r="A4" i="9"/>
  <c r="A16" i="9"/>
  <c r="A28" i="9"/>
  <c r="A40" i="9"/>
  <c r="A52" i="9"/>
  <c r="A64" i="9"/>
  <c r="A76" i="9"/>
  <c r="A88" i="9"/>
  <c r="A100" i="9"/>
  <c r="A112" i="9"/>
  <c r="A124" i="9"/>
  <c r="A136" i="9"/>
  <c r="A148" i="9"/>
  <c r="A160" i="9"/>
  <c r="A172" i="9"/>
  <c r="A184" i="9"/>
  <c r="A196" i="9"/>
  <c r="A208" i="9"/>
  <c r="A220" i="9"/>
  <c r="A232" i="9"/>
  <c r="A244" i="9"/>
  <c r="A256" i="9"/>
  <c r="A268" i="9"/>
  <c r="A280" i="9"/>
  <c r="A292" i="9"/>
  <c r="A304" i="9"/>
  <c r="A316" i="9"/>
  <c r="A328" i="9"/>
  <c r="A340" i="9"/>
  <c r="A352" i="9"/>
  <c r="A364" i="9"/>
  <c r="A376" i="9"/>
  <c r="A388" i="9"/>
  <c r="A400" i="9"/>
  <c r="A412" i="9"/>
  <c r="A424" i="9"/>
  <c r="A436" i="9"/>
  <c r="A448" i="9"/>
  <c r="A460" i="9"/>
  <c r="A472" i="9"/>
  <c r="A484" i="9"/>
  <c r="A496" i="9"/>
  <c r="A508" i="9"/>
  <c r="A520" i="9"/>
  <c r="A532" i="9"/>
  <c r="A544" i="9"/>
  <c r="A556" i="9"/>
  <c r="A568" i="9"/>
  <c r="A580" i="9"/>
  <c r="A592" i="9"/>
  <c r="A604" i="9"/>
  <c r="A616" i="9"/>
  <c r="A628" i="9"/>
  <c r="A640" i="9"/>
  <c r="A652" i="9"/>
  <c r="A664" i="9"/>
  <c r="A676" i="9"/>
  <c r="A688" i="9"/>
  <c r="A700" i="9"/>
  <c r="A712" i="9"/>
  <c r="A724" i="9"/>
  <c r="A736" i="9"/>
  <c r="A748" i="9"/>
  <c r="A760" i="9"/>
  <c r="A772" i="9"/>
  <c r="A784" i="9"/>
  <c r="A796" i="9"/>
  <c r="A808" i="9"/>
  <c r="A820" i="9"/>
  <c r="A832" i="9"/>
  <c r="A844" i="9"/>
  <c r="A856" i="9"/>
  <c r="A868" i="9"/>
  <c r="A880" i="9"/>
  <c r="A892" i="9"/>
  <c r="A904" i="9"/>
  <c r="A916" i="9"/>
  <c r="A928" i="9"/>
  <c r="A940" i="9"/>
  <c r="A952" i="9"/>
  <c r="A964" i="9"/>
  <c r="A976" i="9"/>
  <c r="A988" i="9"/>
  <c r="Q11" i="9"/>
  <c r="Q24" i="9"/>
  <c r="Q37" i="9"/>
  <c r="Q50" i="9"/>
  <c r="Q63" i="9"/>
  <c r="Q76" i="9"/>
  <c r="Q89" i="9"/>
  <c r="Q102" i="9"/>
  <c r="Q116" i="9"/>
  <c r="Q129" i="9"/>
  <c r="Q142" i="9"/>
  <c r="Q155" i="9"/>
  <c r="Q168" i="9"/>
  <c r="Q181" i="9"/>
  <c r="Q194" i="9"/>
  <c r="Q207" i="9"/>
  <c r="Q220" i="9"/>
  <c r="Q233" i="9"/>
  <c r="Q246" i="9"/>
  <c r="Q260" i="9"/>
  <c r="Q273" i="9"/>
  <c r="Q286" i="9"/>
  <c r="Q299" i="9"/>
  <c r="Q312" i="9"/>
  <c r="Q325" i="9"/>
  <c r="Q338" i="9"/>
  <c r="Q351" i="9"/>
  <c r="Q364" i="9"/>
  <c r="Q377" i="9"/>
  <c r="Q390" i="9"/>
  <c r="Q404" i="9"/>
  <c r="Q417" i="9"/>
  <c r="Q430" i="9"/>
  <c r="Q443" i="9"/>
  <c r="Q456" i="9"/>
  <c r="Q469" i="9"/>
  <c r="Q482" i="9"/>
  <c r="Q495" i="9"/>
  <c r="Q508" i="9"/>
  <c r="Q521" i="9"/>
  <c r="Q534" i="9"/>
  <c r="Q548" i="9"/>
  <c r="Q561" i="9"/>
  <c r="Q574" i="9"/>
  <c r="Q587" i="9"/>
  <c r="Q600" i="9"/>
  <c r="Q613" i="9"/>
  <c r="Q626" i="9"/>
  <c r="Q639" i="9"/>
  <c r="Q652" i="9"/>
  <c r="Q665" i="9"/>
  <c r="Q678" i="9"/>
  <c r="Q692" i="9"/>
  <c r="Q705" i="9"/>
  <c r="Q718" i="9"/>
  <c r="Q731" i="9"/>
  <c r="Q744" i="9"/>
  <c r="Q757" i="9"/>
  <c r="Q770" i="9"/>
  <c r="Q783" i="9"/>
  <c r="Q796" i="9"/>
  <c r="Q809" i="9"/>
  <c r="Q822" i="9"/>
  <c r="Q836" i="9"/>
  <c r="Q849" i="9"/>
  <c r="Q862" i="9"/>
  <c r="Q875" i="9"/>
  <c r="Q888" i="9"/>
  <c r="Q901" i="9"/>
  <c r="Q914" i="9"/>
  <c r="Q927" i="9"/>
  <c r="Q940" i="9"/>
  <c r="Q953" i="9"/>
  <c r="Q966" i="9"/>
  <c r="Q980" i="9"/>
  <c r="Q993" i="9"/>
  <c r="AC26" i="12" a="1"/>
  <c r="AC26" i="12" s="1"/>
  <c r="Z29" i="12"/>
  <c r="C31" i="12" a="1"/>
  <c r="C31" i="12" s="1"/>
  <c r="Z43" i="12"/>
  <c r="X43" i="12"/>
  <c r="W43" i="12" s="1" a="1"/>
  <c r="W43" i="12" s="1"/>
  <c r="E43" i="12" a="1"/>
  <c r="E43" i="12" s="1"/>
  <c r="D43" i="12" a="1"/>
  <c r="D43" i="12" s="1"/>
  <c r="C43" i="12" a="1"/>
  <c r="C43" i="12" s="1"/>
  <c r="AC43" i="12" a="1"/>
  <c r="AC43" i="12" s="1"/>
  <c r="AA43" i="12" a="1"/>
  <c r="AA43" i="12" s="1"/>
  <c r="E41" i="12" a="1"/>
  <c r="E41" i="12" s="1"/>
  <c r="AA41" i="12" a="1"/>
  <c r="AA41" i="12" s="1"/>
  <c r="AB45" i="12" a="1"/>
  <c r="AB45" i="12" s="1"/>
  <c r="AA47" i="12" a="1"/>
  <c r="AA47" i="12" s="1"/>
  <c r="E59" i="12" a="1"/>
  <c r="E59" i="12" s="1"/>
  <c r="AB60" i="12" a="1"/>
  <c r="AB60" i="12" s="1"/>
  <c r="Z92" i="12"/>
  <c r="D92" i="12" a="1"/>
  <c r="D92" i="12" s="1"/>
  <c r="X92" i="12"/>
  <c r="W92" i="12" s="1" a="1"/>
  <c r="W92" i="12" s="1"/>
  <c r="C93" i="12" a="1"/>
  <c r="C93" i="12" s="1"/>
  <c r="X93" i="12"/>
  <c r="W93" i="12" s="1" a="1"/>
  <c r="W93" i="12" s="1"/>
  <c r="AA97" i="12" a="1"/>
  <c r="AA97" i="12" s="1"/>
  <c r="E97" i="12" a="1"/>
  <c r="E97" i="12" s="1"/>
  <c r="X97" i="12"/>
  <c r="W97" i="12" s="1" a="1"/>
  <c r="W97" i="12" s="1"/>
  <c r="Z104" i="12"/>
  <c r="D104" i="12" a="1"/>
  <c r="D104" i="12" s="1"/>
  <c r="C104" i="12" a="1"/>
  <c r="C104" i="12" s="1"/>
  <c r="X104" i="12"/>
  <c r="W104" i="12" s="1" a="1"/>
  <c r="W104" i="12" s="1"/>
  <c r="AC104" i="12" a="1"/>
  <c r="AC104" i="12" s="1"/>
  <c r="AA104" i="12" a="1"/>
  <c r="AA104" i="12" s="1"/>
  <c r="E137" i="12" a="1"/>
  <c r="E137" i="12" s="1"/>
  <c r="AC137" i="12" a="1"/>
  <c r="AC137" i="12" s="1"/>
  <c r="D137" i="12" a="1"/>
  <c r="D137" i="12" s="1"/>
  <c r="AB137" i="12" a="1"/>
  <c r="AB137" i="12" s="1"/>
  <c r="C137" i="12" a="1"/>
  <c r="C137" i="12" s="1"/>
  <c r="AA137" i="12" a="1"/>
  <c r="AA137" i="12" s="1"/>
  <c r="Z137" i="12"/>
  <c r="X137" i="12"/>
  <c r="W137" i="12" s="1" a="1"/>
  <c r="W137" i="12" s="1"/>
  <c r="X216" i="12"/>
  <c r="W216" i="12" s="1" a="1"/>
  <c r="W216" i="12" s="1"/>
  <c r="E216" i="12" a="1"/>
  <c r="E216" i="12" s="1"/>
  <c r="D216" i="12" a="1"/>
  <c r="D216" i="12" s="1"/>
  <c r="C216" i="12" a="1"/>
  <c r="C216" i="12" s="1"/>
  <c r="AC216" i="12" a="1"/>
  <c r="AC216" i="12" s="1"/>
  <c r="AB216" i="12" a="1"/>
  <c r="AB216" i="12" s="1"/>
  <c r="AA216" i="12" a="1"/>
  <c r="AA216" i="12" s="1"/>
  <c r="Z216" i="12"/>
  <c r="ADJ1" i="11"/>
  <c r="ADV1" i="11"/>
  <c r="AEH1" i="11"/>
  <c r="AET1" i="11"/>
  <c r="AFF1" i="11"/>
  <c r="AFR1" i="11"/>
  <c r="AGD1" i="11"/>
  <c r="AGP1" i="11"/>
  <c r="AHB1" i="11"/>
  <c r="AHN1" i="11"/>
  <c r="AHZ1" i="11"/>
  <c r="AIL1" i="11"/>
  <c r="AIX1" i="11"/>
  <c r="AJJ1" i="11"/>
  <c r="AJV1" i="11"/>
  <c r="AKH1" i="11"/>
  <c r="AKT1" i="11"/>
  <c r="ALF1" i="11"/>
  <c r="A6" i="11"/>
  <c r="A18" i="11"/>
  <c r="A30" i="11"/>
  <c r="A42" i="11"/>
  <c r="A54" i="11"/>
  <c r="A66" i="11"/>
  <c r="A78" i="11"/>
  <c r="A90" i="11"/>
  <c r="A102" i="11"/>
  <c r="A114" i="11"/>
  <c r="A126" i="11"/>
  <c r="A138" i="11"/>
  <c r="A150" i="11"/>
  <c r="A162" i="11"/>
  <c r="A174" i="11"/>
  <c r="A186" i="11"/>
  <c r="A198" i="11"/>
  <c r="A210" i="11"/>
  <c r="A222" i="11"/>
  <c r="A234" i="11"/>
  <c r="A246" i="11"/>
  <c r="A258" i="11"/>
  <c r="A270" i="11"/>
  <c r="A282" i="11"/>
  <c r="A294" i="11"/>
  <c r="A306" i="11"/>
  <c r="A318" i="11"/>
  <c r="A330" i="11"/>
  <c r="A342" i="11"/>
  <c r="A354" i="11"/>
  <c r="A366" i="11"/>
  <c r="A378" i="11"/>
  <c r="A390" i="11"/>
  <c r="A402" i="11"/>
  <c r="A414" i="11"/>
  <c r="A426" i="11"/>
  <c r="A438" i="11"/>
  <c r="A450" i="11"/>
  <c r="A462" i="11"/>
  <c r="A474" i="11"/>
  <c r="A486" i="11"/>
  <c r="A498" i="11"/>
  <c r="A510" i="11"/>
  <c r="A522" i="11"/>
  <c r="A534" i="11"/>
  <c r="A546" i="11"/>
  <c r="A558" i="11"/>
  <c r="A570" i="11"/>
  <c r="A582" i="11"/>
  <c r="A594" i="11"/>
  <c r="A606" i="11"/>
  <c r="A618" i="11"/>
  <c r="A630" i="11"/>
  <c r="A642" i="11"/>
  <c r="A654" i="11"/>
  <c r="A666" i="11"/>
  <c r="A678" i="11"/>
  <c r="A690" i="11"/>
  <c r="A702" i="11"/>
  <c r="A714" i="11"/>
  <c r="A726" i="11"/>
  <c r="A738" i="11"/>
  <c r="A750" i="11"/>
  <c r="A762" i="11"/>
  <c r="A774" i="11"/>
  <c r="A786" i="11"/>
  <c r="A798" i="11"/>
  <c r="A810" i="11"/>
  <c r="A822" i="11"/>
  <c r="A834" i="11"/>
  <c r="A846" i="11"/>
  <c r="A858" i="11"/>
  <c r="A870" i="11"/>
  <c r="A882" i="11"/>
  <c r="A894" i="11"/>
  <c r="A906" i="11"/>
  <c r="A918" i="11"/>
  <c r="A930" i="11"/>
  <c r="A942" i="11"/>
  <c r="A954" i="11"/>
  <c r="A966" i="11"/>
  <c r="A978" i="11"/>
  <c r="A990" i="11"/>
  <c r="Z44" i="12"/>
  <c r="Z46" i="12"/>
  <c r="AB54" i="12" a="1"/>
  <c r="AB54" i="12" s="1"/>
  <c r="X55" i="12"/>
  <c r="W55" i="12" s="1" a="1"/>
  <c r="W55" i="12" s="1"/>
  <c r="D58" i="12" a="1"/>
  <c r="D58" i="12" s="1"/>
  <c r="AB63" i="12" a="1"/>
  <c r="AB63" i="12" s="1"/>
  <c r="AA65" i="12" a="1"/>
  <c r="AA65" i="12" s="1"/>
  <c r="Z68" i="12"/>
  <c r="AA71" i="12" a="1"/>
  <c r="AA71" i="12" s="1"/>
  <c r="AB85" i="12" a="1"/>
  <c r="AB85" i="12" s="1"/>
  <c r="AA89" i="12" a="1"/>
  <c r="AA89" i="12" s="1"/>
  <c r="E93" i="12" a="1"/>
  <c r="E93" i="12" s="1"/>
  <c r="Z93" i="12"/>
  <c r="AC127" i="12" a="1"/>
  <c r="AC127" i="12" s="1"/>
  <c r="E127" i="12" a="1"/>
  <c r="E127" i="12" s="1"/>
  <c r="AB127" i="12" a="1"/>
  <c r="AB127" i="12" s="1"/>
  <c r="D127" i="12" a="1"/>
  <c r="D127" i="12" s="1"/>
  <c r="C127" i="12" a="1"/>
  <c r="C127" i="12" s="1"/>
  <c r="AA127" i="12" a="1"/>
  <c r="AA127" i="12" s="1"/>
  <c r="Z127" i="12"/>
  <c r="X127" i="12"/>
  <c r="W127" i="12" s="1" a="1"/>
  <c r="W127" i="12" s="1"/>
  <c r="AIY1" i="11"/>
  <c r="AJK1" i="11"/>
  <c r="AJW1" i="11"/>
  <c r="AKI1" i="11"/>
  <c r="AKU1" i="11"/>
  <c r="ALG1" i="11"/>
  <c r="A7" i="11"/>
  <c r="A19" i="11"/>
  <c r="A31" i="11"/>
  <c r="A43" i="11"/>
  <c r="A55" i="11"/>
  <c r="A67" i="11"/>
  <c r="A79" i="11"/>
  <c r="A91" i="11"/>
  <c r="A103" i="11"/>
  <c r="A115" i="11"/>
  <c r="A127" i="11"/>
  <c r="A139" i="11"/>
  <c r="A151" i="11"/>
  <c r="A163" i="11"/>
  <c r="A175" i="11"/>
  <c r="A187" i="11"/>
  <c r="A199" i="11"/>
  <c r="A211" i="11"/>
  <c r="A223" i="11"/>
  <c r="A235" i="11"/>
  <c r="A247" i="11"/>
  <c r="A259" i="11"/>
  <c r="A271" i="11"/>
  <c r="A283" i="11"/>
  <c r="A295" i="11"/>
  <c r="A307" i="11"/>
  <c r="A319" i="11"/>
  <c r="A331" i="11"/>
  <c r="A343" i="11"/>
  <c r="A355" i="11"/>
  <c r="A367" i="11"/>
  <c r="A379" i="11"/>
  <c r="A391" i="11"/>
  <c r="A403" i="11"/>
  <c r="A415" i="11"/>
  <c r="A427" i="11"/>
  <c r="A439" i="11"/>
  <c r="A451" i="11"/>
  <c r="A463" i="11"/>
  <c r="A475" i="11"/>
  <c r="A487" i="11"/>
  <c r="A499" i="11"/>
  <c r="A511" i="11"/>
  <c r="A523" i="11"/>
  <c r="A535" i="11"/>
  <c r="A547" i="11"/>
  <c r="A559" i="11"/>
  <c r="A571" i="11"/>
  <c r="A583" i="11"/>
  <c r="A595" i="11"/>
  <c r="A607" i="11"/>
  <c r="A619" i="11"/>
  <c r="A631" i="11"/>
  <c r="A643" i="11"/>
  <c r="A655" i="11"/>
  <c r="A667" i="11"/>
  <c r="A679" i="11"/>
  <c r="A691" i="11"/>
  <c r="A703" i="11"/>
  <c r="A715" i="11"/>
  <c r="A727" i="11"/>
  <c r="A739" i="11"/>
  <c r="A751" i="11"/>
  <c r="A763" i="11"/>
  <c r="A775" i="11"/>
  <c r="A787" i="11"/>
  <c r="A799" i="11"/>
  <c r="A811" i="11"/>
  <c r="A823" i="11"/>
  <c r="A835" i="11"/>
  <c r="A847" i="11"/>
  <c r="A859" i="11"/>
  <c r="A871" i="11"/>
  <c r="A883" i="11"/>
  <c r="A895" i="11"/>
  <c r="A907" i="11"/>
  <c r="A919" i="11"/>
  <c r="A931" i="11"/>
  <c r="A943" i="11"/>
  <c r="A955" i="11"/>
  <c r="A967" i="11"/>
  <c r="A979" i="11"/>
  <c r="A991" i="11"/>
  <c r="AC41" i="12" a="1"/>
  <c r="AC41" i="12" s="1"/>
  <c r="X42" i="12"/>
  <c r="W42" i="12" s="1" a="1"/>
  <c r="W42" i="12" s="1"/>
  <c r="AA44" i="12" a="1"/>
  <c r="AA44" i="12" s="1"/>
  <c r="E45" i="12" a="1"/>
  <c r="E45" i="12" s="1"/>
  <c r="D47" i="12" a="1"/>
  <c r="D47" i="12" s="1"/>
  <c r="Z48" i="12"/>
  <c r="C52" i="12" a="1"/>
  <c r="C52" i="12" s="1"/>
  <c r="AB52" i="12" a="1"/>
  <c r="AB52" i="12" s="1"/>
  <c r="AC54" i="12" a="1"/>
  <c r="AC54" i="12" s="1"/>
  <c r="AA57" i="12" a="1"/>
  <c r="AA57" i="12" s="1"/>
  <c r="Z59" i="12"/>
  <c r="D60" i="12" a="1"/>
  <c r="D60" i="12" s="1"/>
  <c r="AB61" i="12" a="1"/>
  <c r="AB61" i="12" s="1"/>
  <c r="C63" i="12" a="1"/>
  <c r="C63" i="12" s="1"/>
  <c r="AB65" i="12" a="1"/>
  <c r="AB65" i="12" s="1"/>
  <c r="AA68" i="12" a="1"/>
  <c r="AA68" i="12" s="1"/>
  <c r="E69" i="12" a="1"/>
  <c r="E69" i="12" s="1"/>
  <c r="C70" i="12" a="1"/>
  <c r="C70" i="12" s="1"/>
  <c r="AB71" i="12" a="1"/>
  <c r="AB71" i="12" s="1"/>
  <c r="AA76" i="12" a="1"/>
  <c r="AA76" i="12" s="1"/>
  <c r="C79" i="12" a="1"/>
  <c r="C79" i="12" s="1"/>
  <c r="AC80" i="12" a="1"/>
  <c r="AC80" i="12" s="1"/>
  <c r="AA81" i="12" a="1"/>
  <c r="AA81" i="12" s="1"/>
  <c r="E82" i="12" a="1"/>
  <c r="E82" i="12" s="1"/>
  <c r="AA86" i="12" a="1"/>
  <c r="AA86" i="12" s="1"/>
  <c r="E87" i="12" a="1"/>
  <c r="E87" i="12" s="1"/>
  <c r="C88" i="12" a="1"/>
  <c r="C88" i="12" s="1"/>
  <c r="AB89" i="12" a="1"/>
  <c r="AB89" i="12" s="1"/>
  <c r="AA92" i="12" a="1"/>
  <c r="AA92" i="12" s="1"/>
  <c r="D95" i="12" a="1"/>
  <c r="D95" i="12" s="1"/>
  <c r="X95" i="12"/>
  <c r="W95" i="12" s="1" a="1"/>
  <c r="W95" i="12" s="1"/>
  <c r="Z97" i="12"/>
  <c r="L1" i="11"/>
  <c r="X1" i="11"/>
  <c r="AJ1" i="11"/>
  <c r="AV1" i="11"/>
  <c r="BH1" i="11"/>
  <c r="BT1" i="11"/>
  <c r="CF1" i="11"/>
  <c r="CR1" i="11"/>
  <c r="DD1" i="11"/>
  <c r="DP1" i="11"/>
  <c r="EB1" i="11"/>
  <c r="EN1" i="11"/>
  <c r="EZ1" i="11"/>
  <c r="FL1" i="11"/>
  <c r="FX1" i="11"/>
  <c r="GJ1" i="11"/>
  <c r="GV1" i="11"/>
  <c r="HH1" i="11"/>
  <c r="HT1" i="11"/>
  <c r="IF1" i="11"/>
  <c r="IR1" i="11"/>
  <c r="JD1" i="11"/>
  <c r="JP1" i="11"/>
  <c r="KB1" i="11"/>
  <c r="KN1" i="11"/>
  <c r="KZ1" i="11"/>
  <c r="LL1" i="11"/>
  <c r="LX1" i="11"/>
  <c r="MJ1" i="11"/>
  <c r="MV1" i="11"/>
  <c r="NH1" i="11"/>
  <c r="NT1" i="11"/>
  <c r="OF1" i="11"/>
  <c r="OR1" i="11"/>
  <c r="PD1" i="11"/>
  <c r="PP1" i="11"/>
  <c r="QB1" i="11"/>
  <c r="QN1" i="11"/>
  <c r="QZ1" i="11"/>
  <c r="RL1" i="11"/>
  <c r="RX1" i="11"/>
  <c r="SJ1" i="11"/>
  <c r="SV1" i="11"/>
  <c r="TH1" i="11"/>
  <c r="TT1" i="11"/>
  <c r="UF1" i="11"/>
  <c r="UR1" i="11"/>
  <c r="VD1" i="11"/>
  <c r="VP1" i="11"/>
  <c r="WB1" i="11"/>
  <c r="WN1" i="11"/>
  <c r="WZ1" i="11"/>
  <c r="XL1" i="11"/>
  <c r="XX1" i="11"/>
  <c r="YJ1" i="11"/>
  <c r="YV1" i="11"/>
  <c r="ZH1" i="11"/>
  <c r="ZT1" i="11"/>
  <c r="AAF1" i="11"/>
  <c r="AAR1" i="11"/>
  <c r="ABD1" i="11"/>
  <c r="ABP1" i="11"/>
  <c r="ACB1" i="11"/>
  <c r="ACN1" i="11"/>
  <c r="ACZ1" i="11"/>
  <c r="ADL1" i="11"/>
  <c r="ADX1" i="11"/>
  <c r="AEJ1" i="11"/>
  <c r="AEV1" i="11"/>
  <c r="AFH1" i="11"/>
  <c r="AFT1" i="11"/>
  <c r="AGF1" i="11"/>
  <c r="AGR1" i="11"/>
  <c r="AHD1" i="11"/>
  <c r="AHP1" i="11"/>
  <c r="AIB1" i="11"/>
  <c r="AIN1" i="11"/>
  <c r="AIZ1" i="11"/>
  <c r="AJL1" i="11"/>
  <c r="AJX1" i="11"/>
  <c r="AKJ1" i="11"/>
  <c r="AKV1" i="11"/>
  <c r="ALH1" i="11"/>
  <c r="A8" i="11"/>
  <c r="A20" i="11"/>
  <c r="A32" i="11"/>
  <c r="A44" i="11"/>
  <c r="A56" i="11"/>
  <c r="A68" i="11"/>
  <c r="A80" i="11"/>
  <c r="A92" i="11"/>
  <c r="A104" i="11"/>
  <c r="A116" i="11"/>
  <c r="A128" i="11"/>
  <c r="A140" i="11"/>
  <c r="A152" i="11"/>
  <c r="A164" i="11"/>
  <c r="A176" i="11"/>
  <c r="A188" i="11"/>
  <c r="A200" i="11"/>
  <c r="A212" i="11"/>
  <c r="A224" i="11"/>
  <c r="A236" i="11"/>
  <c r="A248" i="11"/>
  <c r="A260" i="11"/>
  <c r="A272" i="11"/>
  <c r="A284" i="11"/>
  <c r="A296" i="11"/>
  <c r="A308" i="11"/>
  <c r="A320" i="11"/>
  <c r="A332" i="11"/>
  <c r="A344" i="11"/>
  <c r="A356" i="11"/>
  <c r="A368" i="11"/>
  <c r="A380" i="11"/>
  <c r="A392" i="11"/>
  <c r="A404" i="11"/>
  <c r="A416" i="11"/>
  <c r="A428" i="11"/>
  <c r="A440" i="11"/>
  <c r="A452" i="11"/>
  <c r="A464" i="11"/>
  <c r="A476" i="11"/>
  <c r="A488" i="11"/>
  <c r="A500" i="11"/>
  <c r="A512" i="11"/>
  <c r="A524" i="11"/>
  <c r="A536" i="11"/>
  <c r="A548" i="11"/>
  <c r="A560" i="11"/>
  <c r="A572" i="11"/>
  <c r="A584" i="11"/>
  <c r="A596" i="11"/>
  <c r="A608" i="11"/>
  <c r="A620" i="11"/>
  <c r="A632" i="11"/>
  <c r="A644" i="11"/>
  <c r="A656" i="11"/>
  <c r="A668" i="11"/>
  <c r="A680" i="11"/>
  <c r="A692" i="11"/>
  <c r="A704" i="11"/>
  <c r="A716" i="11"/>
  <c r="A728" i="11"/>
  <c r="A740" i="11"/>
  <c r="A752" i="11"/>
  <c r="A764" i="11"/>
  <c r="A776" i="11"/>
  <c r="A788" i="11"/>
  <c r="A800" i="11"/>
  <c r="A812" i="11"/>
  <c r="A824" i="11"/>
  <c r="A836" i="11"/>
  <c r="A848" i="11"/>
  <c r="A860" i="11"/>
  <c r="A872" i="11"/>
  <c r="A884" i="11"/>
  <c r="A896" i="11"/>
  <c r="A908" i="11"/>
  <c r="A920" i="11"/>
  <c r="A932" i="11"/>
  <c r="A944" i="11"/>
  <c r="A956" i="11"/>
  <c r="A968" i="11"/>
  <c r="A980" i="11"/>
  <c r="A992" i="11"/>
  <c r="AA46" i="12" a="1"/>
  <c r="AA46" i="12" s="1"/>
  <c r="AA48" i="12" a="1"/>
  <c r="AA48" i="12" s="1"/>
  <c r="AC52" i="12" a="1"/>
  <c r="AC52" i="12" s="1"/>
  <c r="C54" i="12" a="1"/>
  <c r="C54" i="12" s="1"/>
  <c r="Z55" i="12"/>
  <c r="E58" i="12" a="1"/>
  <c r="E58" i="12" s="1"/>
  <c r="E60" i="12" a="1"/>
  <c r="E60" i="12" s="1"/>
  <c r="D63" i="12" a="1"/>
  <c r="D63" i="12" s="1"/>
  <c r="AC63" i="12" a="1"/>
  <c r="AC63" i="12" s="1"/>
  <c r="C65" i="12" a="1"/>
  <c r="C65" i="12" s="1"/>
  <c r="AC65" i="12" a="1"/>
  <c r="AC65" i="12" s="1"/>
  <c r="AC71" i="12" a="1"/>
  <c r="AC71" i="12" s="1"/>
  <c r="AB76" i="12" a="1"/>
  <c r="AB76" i="12" s="1"/>
  <c r="D79" i="12" a="1"/>
  <c r="D79" i="12" s="1"/>
  <c r="AC85" i="12" a="1"/>
  <c r="AC85" i="12" s="1"/>
  <c r="AC89" i="12" a="1"/>
  <c r="AC89" i="12" s="1"/>
  <c r="AA93" i="12" a="1"/>
  <c r="AA93" i="12" s="1"/>
  <c r="E95" i="12" a="1"/>
  <c r="E95" i="12" s="1"/>
  <c r="AB97" i="12" a="1"/>
  <c r="AB97" i="12" s="1"/>
  <c r="X162" i="12"/>
  <c r="W162" i="12" s="1" a="1"/>
  <c r="W162" i="12" s="1"/>
  <c r="AC162" i="12" a="1"/>
  <c r="AC162" i="12" s="1"/>
  <c r="AA162" i="12" a="1"/>
  <c r="AA162" i="12" s="1"/>
  <c r="Z162" i="12"/>
  <c r="E162" i="12" a="1"/>
  <c r="E162" i="12" s="1"/>
  <c r="C162" i="12" a="1"/>
  <c r="C162" i="12" s="1"/>
  <c r="AB162" i="12" a="1"/>
  <c r="AB162" i="12" s="1"/>
  <c r="AB48" i="12" a="1"/>
  <c r="AB48" i="12" s="1"/>
  <c r="AB57" i="12" a="1"/>
  <c r="AB57" i="12" s="1"/>
  <c r="AA59" i="12" a="1"/>
  <c r="AA59" i="12" s="1"/>
  <c r="N1" i="11"/>
  <c r="Z1" i="11"/>
  <c r="AL1" i="11"/>
  <c r="AX1" i="11"/>
  <c r="BJ1" i="11"/>
  <c r="BV1" i="11"/>
  <c r="CH1" i="11"/>
  <c r="CT1" i="11"/>
  <c r="DF1" i="11"/>
  <c r="DR1" i="11"/>
  <c r="ED1" i="11"/>
  <c r="EP1" i="11"/>
  <c r="FB1" i="11"/>
  <c r="FN1" i="11"/>
  <c r="FZ1" i="11"/>
  <c r="GL1" i="11"/>
  <c r="GX1" i="11"/>
  <c r="HJ1" i="11"/>
  <c r="HV1" i="11"/>
  <c r="IH1" i="11"/>
  <c r="IT1" i="11"/>
  <c r="JF1" i="11"/>
  <c r="JR1" i="11"/>
  <c r="KD1" i="11"/>
  <c r="KP1" i="11"/>
  <c r="LB1" i="11"/>
  <c r="LN1" i="11"/>
  <c r="LZ1" i="11"/>
  <c r="ML1" i="11"/>
  <c r="MX1" i="11"/>
  <c r="NJ1" i="11"/>
  <c r="NV1" i="11"/>
  <c r="OH1" i="11"/>
  <c r="OT1" i="11"/>
  <c r="PF1" i="11"/>
  <c r="PR1" i="11"/>
  <c r="QD1" i="11"/>
  <c r="QP1" i="11"/>
  <c r="RB1" i="11"/>
  <c r="RN1" i="11"/>
  <c r="RZ1" i="11"/>
  <c r="SL1" i="11"/>
  <c r="SX1" i="11"/>
  <c r="TJ1" i="11"/>
  <c r="TV1" i="11"/>
  <c r="UH1" i="11"/>
  <c r="UT1" i="11"/>
  <c r="VF1" i="11"/>
  <c r="VR1" i="11"/>
  <c r="WD1" i="11"/>
  <c r="WP1" i="11"/>
  <c r="XB1" i="11"/>
  <c r="XN1" i="11"/>
  <c r="XZ1" i="11"/>
  <c r="YL1" i="11"/>
  <c r="YX1" i="11"/>
  <c r="ZJ1" i="11"/>
  <c r="ZV1" i="11"/>
  <c r="AAH1" i="11"/>
  <c r="AAT1" i="11"/>
  <c r="ABF1" i="11"/>
  <c r="ABR1" i="11"/>
  <c r="ACD1" i="11"/>
  <c r="ACP1" i="11"/>
  <c r="ADB1" i="11"/>
  <c r="ADN1" i="11"/>
  <c r="ADZ1" i="11"/>
  <c r="AEL1" i="11"/>
  <c r="AEX1" i="11"/>
  <c r="AFJ1" i="11"/>
  <c r="AFV1" i="11"/>
  <c r="AGH1" i="11"/>
  <c r="AGT1" i="11"/>
  <c r="AHF1" i="11"/>
  <c r="AHR1" i="11"/>
  <c r="AID1" i="11"/>
  <c r="AIP1" i="11"/>
  <c r="AJB1" i="11"/>
  <c r="AJN1" i="11"/>
  <c r="AJZ1" i="11"/>
  <c r="AKL1" i="11"/>
  <c r="AKX1" i="11"/>
  <c r="ALJ1" i="11"/>
  <c r="A10" i="11"/>
  <c r="A22" i="11"/>
  <c r="A34" i="11"/>
  <c r="A46" i="11"/>
  <c r="A58" i="11"/>
  <c r="A70" i="11"/>
  <c r="A82" i="11"/>
  <c r="A94" i="11"/>
  <c r="A106" i="11"/>
  <c r="A118" i="11"/>
  <c r="A130" i="11"/>
  <c r="A142" i="11"/>
  <c r="A154" i="11"/>
  <c r="A166" i="11"/>
  <c r="A178" i="11"/>
  <c r="A190" i="11"/>
  <c r="A202" i="11"/>
  <c r="A214" i="11"/>
  <c r="A226" i="11"/>
  <c r="A238" i="11"/>
  <c r="A250" i="11"/>
  <c r="A262" i="11"/>
  <c r="A274" i="11"/>
  <c r="A286" i="11"/>
  <c r="A298" i="11"/>
  <c r="A310" i="11"/>
  <c r="A322" i="11"/>
  <c r="A334" i="11"/>
  <c r="A346" i="11"/>
  <c r="A358" i="11"/>
  <c r="A370" i="11"/>
  <c r="A382" i="11"/>
  <c r="A394" i="11"/>
  <c r="A406" i="11"/>
  <c r="A418" i="11"/>
  <c r="A430" i="11"/>
  <c r="A442" i="11"/>
  <c r="A454" i="11"/>
  <c r="A466" i="11"/>
  <c r="A478" i="11"/>
  <c r="A490" i="11"/>
  <c r="A502" i="11"/>
  <c r="A514" i="11"/>
  <c r="A526" i="11"/>
  <c r="A538" i="11"/>
  <c r="A550" i="11"/>
  <c r="A562" i="11"/>
  <c r="A574" i="11"/>
  <c r="A586" i="11"/>
  <c r="A598" i="11"/>
  <c r="A610" i="11"/>
  <c r="A622" i="11"/>
  <c r="A634" i="11"/>
  <c r="A646" i="11"/>
  <c r="A658" i="11"/>
  <c r="A670" i="11"/>
  <c r="A682" i="11"/>
  <c r="A694" i="11"/>
  <c r="A706" i="11"/>
  <c r="A718" i="11"/>
  <c r="A730" i="11"/>
  <c r="A742" i="11"/>
  <c r="A754" i="11"/>
  <c r="A766" i="11"/>
  <c r="A778" i="11"/>
  <c r="A790" i="11"/>
  <c r="A802" i="11"/>
  <c r="A814" i="11"/>
  <c r="A826" i="11"/>
  <c r="A838" i="11"/>
  <c r="A850" i="11"/>
  <c r="A862" i="11"/>
  <c r="A874" i="11"/>
  <c r="A886" i="11"/>
  <c r="A898" i="11"/>
  <c r="A910" i="11"/>
  <c r="A922" i="11"/>
  <c r="A934" i="11"/>
  <c r="A946" i="11"/>
  <c r="A958" i="11"/>
  <c r="A970" i="11"/>
  <c r="A982" i="11"/>
  <c r="A994" i="11"/>
  <c r="X41" i="12"/>
  <c r="W41" i="12" s="1" a="1"/>
  <c r="W41" i="12" s="1"/>
  <c r="Z42" i="12"/>
  <c r="C46" i="12" a="1"/>
  <c r="C46" i="12" s="1"/>
  <c r="AB46" i="12" a="1"/>
  <c r="AB46" i="12" s="1"/>
  <c r="X47" i="12"/>
  <c r="W47" i="12" s="1" a="1"/>
  <c r="W47" i="12" s="1"/>
  <c r="AC48" i="12" a="1"/>
  <c r="AC48" i="12" s="1"/>
  <c r="AB55" i="12" a="1"/>
  <c r="AB55" i="12" s="1"/>
  <c r="C57" i="12" a="1"/>
  <c r="C57" i="12" s="1"/>
  <c r="AB59" i="12" a="1"/>
  <c r="AB59" i="12" s="1"/>
  <c r="X60" i="12"/>
  <c r="W60" i="12" s="1" a="1"/>
  <c r="W60" i="12" s="1"/>
  <c r="AC81" i="12" a="1"/>
  <c r="AC81" i="12" s="1"/>
  <c r="AB93" i="12" a="1"/>
  <c r="AB93" i="12" s="1"/>
  <c r="AC97" i="12" a="1"/>
  <c r="AC97" i="12" s="1"/>
  <c r="X131" i="12"/>
  <c r="W131" i="12" s="1" a="1"/>
  <c r="W131" i="12" s="1"/>
  <c r="E131" i="12" a="1"/>
  <c r="E131" i="12" s="1"/>
  <c r="AC131" i="12" a="1"/>
  <c r="AC131" i="12" s="1"/>
  <c r="D131" i="12" a="1"/>
  <c r="D131" i="12" s="1"/>
  <c r="AA131" i="12" a="1"/>
  <c r="AA131" i="12" s="1"/>
  <c r="Z131" i="12"/>
  <c r="X144" i="12"/>
  <c r="W144" i="12" s="1" a="1"/>
  <c r="W144" i="12" s="1"/>
  <c r="AC144" i="12" a="1"/>
  <c r="AC144" i="12" s="1"/>
  <c r="E144" i="12" a="1"/>
  <c r="E144" i="12" s="1"/>
  <c r="D144" i="12" a="1"/>
  <c r="D144" i="12" s="1"/>
  <c r="C144" i="12" a="1"/>
  <c r="C144" i="12" s="1"/>
  <c r="Z144" i="12"/>
  <c r="C41" i="12" a="1"/>
  <c r="C41" i="12" s="1"/>
  <c r="AA42" i="12" a="1"/>
  <c r="AA42" i="12" s="1"/>
  <c r="Z45" i="12"/>
  <c r="AC46" i="12" a="1"/>
  <c r="AC46" i="12" s="1"/>
  <c r="C48" i="12" a="1"/>
  <c r="C48" i="12" s="1"/>
  <c r="D57" i="12" a="1"/>
  <c r="D57" i="12" s="1"/>
  <c r="AC57" i="12" a="1"/>
  <c r="AC57" i="12" s="1"/>
  <c r="C59" i="12" a="1"/>
  <c r="C59" i="12" s="1"/>
  <c r="AC59" i="12" a="1"/>
  <c r="AC59" i="12" s="1"/>
  <c r="AA69" i="12" a="1"/>
  <c r="AA69" i="12" s="1"/>
  <c r="C71" i="12" a="1"/>
  <c r="C71" i="12" s="1"/>
  <c r="AA87" i="12" a="1"/>
  <c r="AA87" i="12" s="1"/>
  <c r="C89" i="12" a="1"/>
  <c r="C89" i="12" s="1"/>
  <c r="AC92" i="12" a="1"/>
  <c r="AC92" i="12" s="1"/>
  <c r="AC93" i="12" a="1"/>
  <c r="AC93" i="12" s="1"/>
  <c r="AA95" i="12" a="1"/>
  <c r="AA95" i="12" s="1"/>
  <c r="AB102" i="12" a="1"/>
  <c r="AB102" i="12" s="1"/>
  <c r="C102" i="12" a="1"/>
  <c r="C102" i="12" s="1"/>
  <c r="X189" i="12"/>
  <c r="W189" i="12" s="1" a="1"/>
  <c r="W189" i="12" s="1"/>
  <c r="E189" i="12" a="1"/>
  <c r="E189" i="12" s="1"/>
  <c r="D189" i="12" a="1"/>
  <c r="D189" i="12" s="1"/>
  <c r="C189" i="12" a="1"/>
  <c r="C189" i="12" s="1"/>
  <c r="AC189" i="12" a="1"/>
  <c r="AC189" i="12" s="1"/>
  <c r="AB189" i="12" a="1"/>
  <c r="AB189" i="12" s="1"/>
  <c r="AA189" i="12" a="1"/>
  <c r="AA189" i="12" s="1"/>
  <c r="Z189" i="12"/>
  <c r="D1" i="11"/>
  <c r="P1" i="11"/>
  <c r="AB1" i="11"/>
  <c r="AN1" i="11"/>
  <c r="AZ1" i="11"/>
  <c r="BL1" i="11"/>
  <c r="BX1" i="11"/>
  <c r="CJ1" i="11"/>
  <c r="CV1" i="11"/>
  <c r="DH1" i="11"/>
  <c r="DT1" i="11"/>
  <c r="EF1" i="11"/>
  <c r="ER1" i="11"/>
  <c r="FD1" i="11"/>
  <c r="FP1" i="11"/>
  <c r="GB1" i="11"/>
  <c r="GN1" i="11"/>
  <c r="GZ1" i="11"/>
  <c r="HL1" i="11"/>
  <c r="HX1" i="11"/>
  <c r="IJ1" i="11"/>
  <c r="IV1" i="11"/>
  <c r="JH1" i="11"/>
  <c r="JT1" i="11"/>
  <c r="KF1" i="11"/>
  <c r="KR1" i="11"/>
  <c r="LD1" i="11"/>
  <c r="LP1" i="11"/>
  <c r="MB1" i="11"/>
  <c r="MN1" i="11"/>
  <c r="MZ1" i="11"/>
  <c r="NL1" i="11"/>
  <c r="NX1" i="11"/>
  <c r="OJ1" i="11"/>
  <c r="OV1" i="11"/>
  <c r="PH1" i="11"/>
  <c r="PT1" i="11"/>
  <c r="QF1" i="11"/>
  <c r="QR1" i="11"/>
  <c r="RD1" i="11"/>
  <c r="RP1" i="11"/>
  <c r="SB1" i="11"/>
  <c r="SN1" i="11"/>
  <c r="SZ1" i="11"/>
  <c r="TL1" i="11"/>
  <c r="TX1" i="11"/>
  <c r="UJ1" i="11"/>
  <c r="UV1" i="11"/>
  <c r="VH1" i="11"/>
  <c r="VT1" i="11"/>
  <c r="WF1" i="11"/>
  <c r="WR1" i="11"/>
  <c r="XD1" i="11"/>
  <c r="XP1" i="11"/>
  <c r="YB1" i="11"/>
  <c r="YN1" i="11"/>
  <c r="YZ1" i="11"/>
  <c r="ZL1" i="11"/>
  <c r="ZX1" i="11"/>
  <c r="AAJ1" i="11"/>
  <c r="AAV1" i="11"/>
  <c r="ABH1" i="11"/>
  <c r="ABT1" i="11"/>
  <c r="ACF1" i="11"/>
  <c r="ACR1" i="11"/>
  <c r="ADD1" i="11"/>
  <c r="ADP1" i="11"/>
  <c r="AEB1" i="11"/>
  <c r="AEN1" i="11"/>
  <c r="AEZ1" i="11"/>
  <c r="AFL1" i="11"/>
  <c r="AFX1" i="11"/>
  <c r="AGJ1" i="11"/>
  <c r="AGV1" i="11"/>
  <c r="AHH1" i="11"/>
  <c r="AHT1" i="11"/>
  <c r="AIF1" i="11"/>
  <c r="AIR1" i="11"/>
  <c r="AJD1" i="11"/>
  <c r="AJP1" i="11"/>
  <c r="AKB1" i="11"/>
  <c r="AKN1" i="11"/>
  <c r="AKZ1" i="11"/>
  <c r="A12" i="11"/>
  <c r="A24" i="11"/>
  <c r="A36" i="11"/>
  <c r="A48" i="11"/>
  <c r="A60" i="11"/>
  <c r="A72" i="11"/>
  <c r="A84" i="11"/>
  <c r="A96" i="11"/>
  <c r="A108" i="11"/>
  <c r="A120" i="11"/>
  <c r="A132" i="11"/>
  <c r="A144" i="11"/>
  <c r="A156" i="11"/>
  <c r="A168" i="11"/>
  <c r="A180" i="11"/>
  <c r="A192" i="11"/>
  <c r="A204" i="11"/>
  <c r="A216" i="11"/>
  <c r="A228" i="11"/>
  <c r="A240" i="11"/>
  <c r="A252" i="11"/>
  <c r="A264" i="11"/>
  <c r="A276" i="11"/>
  <c r="A288" i="11"/>
  <c r="A300" i="11"/>
  <c r="A312" i="11"/>
  <c r="A324" i="11"/>
  <c r="A336" i="11"/>
  <c r="A348" i="11"/>
  <c r="A360" i="11"/>
  <c r="A372" i="11"/>
  <c r="A384" i="11"/>
  <c r="A396" i="11"/>
  <c r="A408" i="11"/>
  <c r="A420" i="11"/>
  <c r="A432" i="11"/>
  <c r="A444" i="11"/>
  <c r="A456" i="11"/>
  <c r="A468" i="11"/>
  <c r="A480" i="11"/>
  <c r="A492" i="11"/>
  <c r="A504" i="11"/>
  <c r="A516" i="11"/>
  <c r="A528" i="11"/>
  <c r="A540" i="11"/>
  <c r="A552" i="11"/>
  <c r="A564" i="11"/>
  <c r="A576" i="11"/>
  <c r="A588" i="11"/>
  <c r="A600" i="11"/>
  <c r="A612" i="11"/>
  <c r="A624" i="11"/>
  <c r="A636" i="11"/>
  <c r="A648" i="11"/>
  <c r="A660" i="11"/>
  <c r="A672" i="11"/>
  <c r="A684" i="11"/>
  <c r="A696" i="11"/>
  <c r="A708" i="11"/>
  <c r="A720" i="11"/>
  <c r="A732" i="11"/>
  <c r="A744" i="11"/>
  <c r="A756" i="11"/>
  <c r="A768" i="11"/>
  <c r="A780" i="11"/>
  <c r="A792" i="11"/>
  <c r="A804" i="11"/>
  <c r="A816" i="11"/>
  <c r="A828" i="11"/>
  <c r="A840" i="11"/>
  <c r="A852" i="11"/>
  <c r="A864" i="11"/>
  <c r="A876" i="11"/>
  <c r="A888" i="11"/>
  <c r="A900" i="11"/>
  <c r="A912" i="11"/>
  <c r="A924" i="11"/>
  <c r="A936" i="11"/>
  <c r="A948" i="11"/>
  <c r="A960" i="11"/>
  <c r="A972" i="11"/>
  <c r="A984" i="11"/>
  <c r="A996" i="11"/>
  <c r="AB42" i="12" a="1"/>
  <c r="AB42" i="12" s="1"/>
  <c r="D44" i="12" a="1"/>
  <c r="D44" i="12" s="1"/>
  <c r="D46" i="12" a="1"/>
  <c r="D46" i="12" s="1"/>
  <c r="AA49" i="12" a="1"/>
  <c r="AA49" i="12" s="1"/>
  <c r="AB51" i="12" a="1"/>
  <c r="AB51" i="12" s="1"/>
  <c r="AC55" i="12" a="1"/>
  <c r="AC55" i="12" s="1"/>
  <c r="Z58" i="12"/>
  <c r="AB62" i="12" a="1"/>
  <c r="AB62" i="12" s="1"/>
  <c r="E65" i="12" a="1"/>
  <c r="E65" i="12" s="1"/>
  <c r="D68" i="12" a="1"/>
  <c r="D68" i="12" s="1"/>
  <c r="AC73" i="12" a="1"/>
  <c r="AC73" i="12" s="1"/>
  <c r="Z79" i="12"/>
  <c r="C81" i="12" a="1"/>
  <c r="C81" i="12" s="1"/>
  <c r="AB82" i="12" a="1"/>
  <c r="AB82" i="12" s="1"/>
  <c r="E84" i="12" a="1"/>
  <c r="E84" i="12" s="1"/>
  <c r="D85" i="12" a="1"/>
  <c r="D85" i="12" s="1"/>
  <c r="AB95" i="12" a="1"/>
  <c r="AB95" i="12" s="1"/>
  <c r="X102" i="12"/>
  <c r="W102" i="12" s="1" a="1"/>
  <c r="W102" i="12" s="1"/>
  <c r="D41" i="12" a="1"/>
  <c r="D41" i="12" s="1"/>
  <c r="C42" i="12" a="1"/>
  <c r="C42" i="12" s="1"/>
  <c r="E44" i="12" a="1"/>
  <c r="E44" i="12" s="1"/>
  <c r="AA45" i="12" a="1"/>
  <c r="AA45" i="12" s="1"/>
  <c r="D48" i="12" a="1"/>
  <c r="D48" i="12" s="1"/>
  <c r="C55" i="12" a="1"/>
  <c r="C55" i="12" s="1"/>
  <c r="E57" i="12" a="1"/>
  <c r="E57" i="12" s="1"/>
  <c r="Z60" i="12"/>
  <c r="E68" i="12" a="1"/>
  <c r="E68" i="12" s="1"/>
  <c r="AB69" i="12" a="1"/>
  <c r="AB69" i="12" s="1"/>
  <c r="Z70" i="12"/>
  <c r="D71" i="12" a="1"/>
  <c r="D71" i="12" s="1"/>
  <c r="D76" i="12" a="1"/>
  <c r="D76" i="12" s="1"/>
  <c r="AA79" i="12" a="1"/>
  <c r="AA79" i="12" s="1"/>
  <c r="D81" i="12" a="1"/>
  <c r="D81" i="12" s="1"/>
  <c r="AC82" i="12" a="1"/>
  <c r="AC82" i="12" s="1"/>
  <c r="E85" i="12" a="1"/>
  <c r="E85" i="12" s="1"/>
  <c r="AB87" i="12" a="1"/>
  <c r="AB87" i="12" s="1"/>
  <c r="Z88" i="12"/>
  <c r="D89" i="12" a="1"/>
  <c r="D89" i="12" s="1"/>
  <c r="AC101" i="12" a="1"/>
  <c r="AC101" i="12" s="1"/>
  <c r="Z101" i="12"/>
  <c r="D101" i="12" a="1"/>
  <c r="D101" i="12" s="1"/>
  <c r="D102" i="12" a="1"/>
  <c r="D102" i="12" s="1"/>
  <c r="Z102" i="12"/>
  <c r="E124" i="12" a="1"/>
  <c r="E124" i="12" s="1"/>
  <c r="AC124" i="12" a="1"/>
  <c r="AC124" i="12" s="1"/>
  <c r="D124" i="12" a="1"/>
  <c r="D124" i="12" s="1"/>
  <c r="AB124" i="12" a="1"/>
  <c r="AB124" i="12" s="1"/>
  <c r="C124" i="12" a="1"/>
  <c r="C124" i="12" s="1"/>
  <c r="AA124" i="12" a="1"/>
  <c r="AA124" i="12" s="1"/>
  <c r="X124" i="12"/>
  <c r="W124" i="12" s="1" a="1"/>
  <c r="W124" i="12" s="1"/>
  <c r="A14" i="11"/>
  <c r="A26" i="11"/>
  <c r="A38" i="11"/>
  <c r="A50" i="11"/>
  <c r="A62" i="11"/>
  <c r="A74" i="11"/>
  <c r="A86" i="11"/>
  <c r="A98" i="11"/>
  <c r="A110" i="11"/>
  <c r="A122" i="11"/>
  <c r="A134" i="11"/>
  <c r="A146" i="11"/>
  <c r="A158" i="11"/>
  <c r="A170" i="11"/>
  <c r="A182" i="11"/>
  <c r="A194" i="11"/>
  <c r="A206" i="11"/>
  <c r="A218" i="11"/>
  <c r="A230" i="11"/>
  <c r="A242" i="11"/>
  <c r="A254" i="11"/>
  <c r="A266" i="11"/>
  <c r="A278" i="11"/>
  <c r="A290" i="11"/>
  <c r="A302" i="11"/>
  <c r="A314" i="11"/>
  <c r="A326" i="11"/>
  <c r="A338" i="11"/>
  <c r="A350" i="11"/>
  <c r="A362" i="11"/>
  <c r="A374" i="11"/>
  <c r="A386" i="11"/>
  <c r="A398" i="11"/>
  <c r="A410" i="11"/>
  <c r="A422" i="11"/>
  <c r="A434" i="11"/>
  <c r="A446" i="11"/>
  <c r="A458" i="11"/>
  <c r="A470" i="11"/>
  <c r="A482" i="11"/>
  <c r="A494" i="11"/>
  <c r="A506" i="11"/>
  <c r="A518" i="11"/>
  <c r="A530" i="11"/>
  <c r="A542" i="11"/>
  <c r="A554" i="11"/>
  <c r="A566" i="11"/>
  <c r="A578" i="11"/>
  <c r="A590" i="11"/>
  <c r="A602" i="11"/>
  <c r="A614" i="11"/>
  <c r="A626" i="11"/>
  <c r="A638" i="11"/>
  <c r="A650" i="11"/>
  <c r="A662" i="11"/>
  <c r="A674" i="11"/>
  <c r="A686" i="11"/>
  <c r="A698" i="11"/>
  <c r="A710" i="11"/>
  <c r="A722" i="11"/>
  <c r="A734" i="11"/>
  <c r="A746" i="11"/>
  <c r="A758" i="11"/>
  <c r="A770" i="11"/>
  <c r="A782" i="11"/>
  <c r="A794" i="11"/>
  <c r="A806" i="11"/>
  <c r="A818" i="11"/>
  <c r="A830" i="11"/>
  <c r="A842" i="11"/>
  <c r="A854" i="11"/>
  <c r="A866" i="11"/>
  <c r="A878" i="11"/>
  <c r="A890" i="11"/>
  <c r="A902" i="11"/>
  <c r="A914" i="11"/>
  <c r="A926" i="11"/>
  <c r="A938" i="11"/>
  <c r="A950" i="11"/>
  <c r="A962" i="11"/>
  <c r="A974" i="11"/>
  <c r="A986" i="11"/>
  <c r="E46" i="12" a="1"/>
  <c r="E46" i="12" s="1"/>
  <c r="AA58" i="12" a="1"/>
  <c r="AA58" i="12" s="1"/>
  <c r="C62" i="12" a="1"/>
  <c r="C62" i="12" s="1"/>
  <c r="AC62" i="12" a="1"/>
  <c r="AC62" i="12" s="1"/>
  <c r="Z63" i="12"/>
  <c r="AC69" i="12" a="1"/>
  <c r="AC69" i="12" s="1"/>
  <c r="E71" i="12" a="1"/>
  <c r="E71" i="12" s="1"/>
  <c r="AB79" i="12" a="1"/>
  <c r="AB79" i="12" s="1"/>
  <c r="Z80" i="12"/>
  <c r="AC87" i="12" a="1"/>
  <c r="AC87" i="12" s="1"/>
  <c r="E89" i="12" a="1"/>
  <c r="E89" i="12" s="1"/>
  <c r="AA91" i="12" a="1"/>
  <c r="AA91" i="12" s="1"/>
  <c r="X91" i="12"/>
  <c r="W91" i="12" s="1" a="1"/>
  <c r="W91" i="12" s="1"/>
  <c r="Z98" i="12"/>
  <c r="D98" i="12" a="1"/>
  <c r="D98" i="12" s="1"/>
  <c r="X98" i="12"/>
  <c r="W98" i="12" s="1" a="1"/>
  <c r="W98" i="12" s="1"/>
  <c r="C99" i="12" a="1"/>
  <c r="C99" i="12" s="1"/>
  <c r="X99" i="12"/>
  <c r="W99" i="12" s="1" a="1"/>
  <c r="W99" i="12" s="1"/>
  <c r="E102" i="12" a="1"/>
  <c r="E102" i="12" s="1"/>
  <c r="AA102" i="12" a="1"/>
  <c r="AA102" i="12" s="1"/>
  <c r="AC107" i="12" a="1"/>
  <c r="AC107" i="12" s="1"/>
  <c r="AB107" i="12" a="1"/>
  <c r="AB107" i="12" s="1"/>
  <c r="AA107" i="12" a="1"/>
  <c r="AA107" i="12" s="1"/>
  <c r="E107" i="12" a="1"/>
  <c r="E107" i="12" s="1"/>
  <c r="Z107" i="12"/>
  <c r="D107" i="12" a="1"/>
  <c r="D107" i="12" s="1"/>
  <c r="C107" i="12" a="1"/>
  <c r="C107" i="12" s="1"/>
  <c r="AC122" i="12" a="1"/>
  <c r="AC122" i="12" s="1"/>
  <c r="Z141" i="12"/>
  <c r="X207" i="12"/>
  <c r="W207" i="12" s="1" a="1"/>
  <c r="W207" i="12" s="1"/>
  <c r="E207" i="12" a="1"/>
  <c r="E207" i="12" s="1"/>
  <c r="D207" i="12" a="1"/>
  <c r="D207" i="12" s="1"/>
  <c r="C207" i="12" a="1"/>
  <c r="C207" i="12" s="1"/>
  <c r="AC207" i="12" a="1"/>
  <c r="AC207" i="12" s="1"/>
  <c r="AB207" i="12" a="1"/>
  <c r="AB207" i="12" s="1"/>
  <c r="AA207" i="12" a="1"/>
  <c r="AA207" i="12" s="1"/>
  <c r="Z207" i="12"/>
  <c r="C113" i="12" a="1"/>
  <c r="C113" i="12" s="1"/>
  <c r="C119" i="12" a="1"/>
  <c r="C119" i="12" s="1"/>
  <c r="X130" i="12"/>
  <c r="W130" i="12" s="1" a="1"/>
  <c r="W130" i="12" s="1"/>
  <c r="X133" i="12"/>
  <c r="W133" i="12" s="1" a="1"/>
  <c r="W133" i="12" s="1"/>
  <c r="X143" i="12"/>
  <c r="W143" i="12" s="1" a="1"/>
  <c r="W143" i="12" s="1"/>
  <c r="Z147" i="12"/>
  <c r="X178" i="12"/>
  <c r="W178" i="12" s="1" a="1"/>
  <c r="W178" i="12" s="1"/>
  <c r="X244" i="12"/>
  <c r="W244" i="12" s="1" a="1"/>
  <c r="W244" i="12" s="1"/>
  <c r="AB244" i="12" a="1"/>
  <c r="AB244" i="12" s="1"/>
  <c r="AA244" i="12" a="1"/>
  <c r="AA244" i="12" s="1"/>
  <c r="Z244" i="12"/>
  <c r="D244" i="12" a="1"/>
  <c r="D244" i="12" s="1"/>
  <c r="E244" i="12" a="1"/>
  <c r="E244" i="12" s="1"/>
  <c r="C244" i="12" a="1"/>
  <c r="C244" i="12" s="1"/>
  <c r="AC244" i="12" a="1"/>
  <c r="AC244" i="12" s="1"/>
  <c r="AB105" i="12" a="1"/>
  <c r="AB105" i="12" s="1"/>
  <c r="C108" i="12" a="1"/>
  <c r="C108" i="12" s="1"/>
  <c r="AC110" i="12" a="1"/>
  <c r="AC110" i="12" s="1"/>
  <c r="AB111" i="12" a="1"/>
  <c r="AB111" i="12" s="1"/>
  <c r="D113" i="12" a="1"/>
  <c r="D113" i="12" s="1"/>
  <c r="Z113" i="12"/>
  <c r="C114" i="12" a="1"/>
  <c r="C114" i="12" s="1"/>
  <c r="AC116" i="12" a="1"/>
  <c r="AC116" i="12" s="1"/>
  <c r="AB117" i="12" a="1"/>
  <c r="AB117" i="12" s="1"/>
  <c r="D119" i="12" a="1"/>
  <c r="D119" i="12" s="1"/>
  <c r="Z119" i="12"/>
  <c r="C120" i="12" a="1"/>
  <c r="C120" i="12" s="1"/>
  <c r="AC128" i="12" a="1"/>
  <c r="AC128" i="12" s="1"/>
  <c r="Z133" i="12"/>
  <c r="X136" i="12"/>
  <c r="W136" i="12" s="1" a="1"/>
  <c r="W136" i="12" s="1"/>
  <c r="X139" i="12"/>
  <c r="W139" i="12" s="1" a="1"/>
  <c r="W139" i="12" s="1"/>
  <c r="D141" i="12" a="1"/>
  <c r="D141" i="12" s="1"/>
  <c r="Z143" i="12"/>
  <c r="C147" i="12" a="1"/>
  <c r="C147" i="12" s="1"/>
  <c r="AA147" i="12" a="1"/>
  <c r="AA147" i="12" s="1"/>
  <c r="X149" i="12"/>
  <c r="W149" i="12" s="1" a="1"/>
  <c r="W149" i="12" s="1"/>
  <c r="AC151" i="12" a="1"/>
  <c r="AC151" i="12" s="1"/>
  <c r="X156" i="12"/>
  <c r="W156" i="12" s="1" a="1"/>
  <c r="W156" i="12" s="1"/>
  <c r="AA156" i="12" a="1"/>
  <c r="AA156" i="12" s="1"/>
  <c r="E156" i="12" a="1"/>
  <c r="E156" i="12" s="1"/>
  <c r="X103" i="12"/>
  <c r="W103" i="12" s="1" a="1"/>
  <c r="W103" i="12" s="1"/>
  <c r="Z130" i="12"/>
  <c r="X203" i="12"/>
  <c r="W203" i="12" s="1" a="1"/>
  <c r="W203" i="12" s="1"/>
  <c r="D203" i="12" a="1"/>
  <c r="D203" i="12" s="1"/>
  <c r="C203" i="12" a="1"/>
  <c r="C203" i="12" s="1"/>
  <c r="AB203" i="12" a="1"/>
  <c r="AB203" i="12" s="1"/>
  <c r="AA203" i="12" a="1"/>
  <c r="AA203" i="12" s="1"/>
  <c r="Z203" i="12"/>
  <c r="E203" i="12" a="1"/>
  <c r="E203" i="12" s="1"/>
  <c r="D108" i="12" a="1"/>
  <c r="D108" i="12" s="1"/>
  <c r="Z108" i="12"/>
  <c r="E113" i="12" a="1"/>
  <c r="E113" i="12" s="1"/>
  <c r="AA113" i="12" a="1"/>
  <c r="AA113" i="12" s="1"/>
  <c r="D114" i="12" a="1"/>
  <c r="D114" i="12" s="1"/>
  <c r="Z114" i="12"/>
  <c r="E119" i="12" a="1"/>
  <c r="E119" i="12" s="1"/>
  <c r="AA119" i="12" a="1"/>
  <c r="AA119" i="12" s="1"/>
  <c r="D120" i="12" a="1"/>
  <c r="D120" i="12" s="1"/>
  <c r="Z120" i="12"/>
  <c r="C122" i="12" a="1"/>
  <c r="C122" i="12" s="1"/>
  <c r="Z122" i="12"/>
  <c r="Z126" i="12"/>
  <c r="AA130" i="12" a="1"/>
  <c r="AA130" i="12" s="1"/>
  <c r="AA133" i="12" a="1"/>
  <c r="AA133" i="12" s="1"/>
  <c r="AC134" i="12" a="1"/>
  <c r="AC134" i="12" s="1"/>
  <c r="Z139" i="12"/>
  <c r="E141" i="12" a="1"/>
  <c r="E141" i="12" s="1"/>
  <c r="AA143" i="12" a="1"/>
  <c r="AA143" i="12" s="1"/>
  <c r="D147" i="12" a="1"/>
  <c r="D147" i="12" s="1"/>
  <c r="X167" i="12"/>
  <c r="W167" i="12" s="1" a="1"/>
  <c r="W167" i="12" s="1"/>
  <c r="D167" i="12" a="1"/>
  <c r="D167" i="12" s="1"/>
  <c r="C167" i="12" a="1"/>
  <c r="C167" i="12" s="1"/>
  <c r="AB167" i="12" a="1"/>
  <c r="AB167" i="12" s="1"/>
  <c r="AA167" i="12" a="1"/>
  <c r="AA167" i="12" s="1"/>
  <c r="E167" i="12" a="1"/>
  <c r="E167" i="12" s="1"/>
  <c r="X177" i="12"/>
  <c r="W177" i="12" s="1" a="1"/>
  <c r="W177" i="12" s="1"/>
  <c r="C177" i="12" a="1"/>
  <c r="C177" i="12" s="1"/>
  <c r="AC177" i="12" a="1"/>
  <c r="AC177" i="12" s="1"/>
  <c r="Z177" i="12"/>
  <c r="E177" i="12" a="1"/>
  <c r="E177" i="12" s="1"/>
  <c r="AB178" i="12" a="1"/>
  <c r="AB178" i="12" s="1"/>
  <c r="D178" i="12" a="1"/>
  <c r="D178" i="12" s="1"/>
  <c r="AC178" i="12" a="1"/>
  <c r="AC178" i="12" s="1"/>
  <c r="X110" i="12"/>
  <c r="W110" i="12" s="1" a="1"/>
  <c r="W110" i="12" s="1"/>
  <c r="X116" i="12"/>
  <c r="W116" i="12" s="1" a="1"/>
  <c r="W116" i="12" s="1"/>
  <c r="AA126" i="12" a="1"/>
  <c r="AA126" i="12" s="1"/>
  <c r="C130" i="12" a="1"/>
  <c r="C130" i="12" s="1"/>
  <c r="C133" i="12" a="1"/>
  <c r="C133" i="12" s="1"/>
  <c r="E134" i="12" a="1"/>
  <c r="E134" i="12" s="1"/>
  <c r="Z136" i="12"/>
  <c r="C143" i="12" a="1"/>
  <c r="C143" i="12" s="1"/>
  <c r="AB143" i="12" a="1"/>
  <c r="AB143" i="12" s="1"/>
  <c r="C146" i="12" a="1"/>
  <c r="C146" i="12" s="1"/>
  <c r="AA146" i="12" a="1"/>
  <c r="AA146" i="12" s="1"/>
  <c r="AC147" i="12" a="1"/>
  <c r="AC147" i="12" s="1"/>
  <c r="AA154" i="12" a="1"/>
  <c r="AA154" i="12" s="1"/>
  <c r="AA157" i="12" a="1"/>
  <c r="AA157" i="12" s="1"/>
  <c r="Z157" i="12"/>
  <c r="D157" i="12" a="1"/>
  <c r="D157" i="12" s="1"/>
  <c r="AC168" i="12" a="1"/>
  <c r="AC168" i="12" s="1"/>
  <c r="AB168" i="12" a="1"/>
  <c r="AB168" i="12" s="1"/>
  <c r="Z168" i="12"/>
  <c r="E168" i="12" a="1"/>
  <c r="E168" i="12" s="1"/>
  <c r="C168" i="12" a="1"/>
  <c r="C168" i="12" s="1"/>
  <c r="X169" i="12"/>
  <c r="W169" i="12" s="1" a="1"/>
  <c r="W169" i="12" s="1"/>
  <c r="AC169" i="12" a="1"/>
  <c r="AC169" i="12" s="1"/>
  <c r="Z169" i="12"/>
  <c r="E169" i="12" a="1"/>
  <c r="E169" i="12" s="1"/>
  <c r="C169" i="12" a="1"/>
  <c r="C169" i="12" s="1"/>
  <c r="D177" i="12" a="1"/>
  <c r="D177" i="12" s="1"/>
  <c r="C178" i="12" a="1"/>
  <c r="C178" i="12" s="1"/>
  <c r="E108" i="12" a="1"/>
  <c r="E108" i="12" s="1"/>
  <c r="AA108" i="12" a="1"/>
  <c r="AA108" i="12" s="1"/>
  <c r="C110" i="12" a="1"/>
  <c r="C110" i="12" s="1"/>
  <c r="AB113" i="12" a="1"/>
  <c r="AB113" i="12" s="1"/>
  <c r="E114" i="12" a="1"/>
  <c r="E114" i="12" s="1"/>
  <c r="AA114" i="12" a="1"/>
  <c r="AA114" i="12" s="1"/>
  <c r="C116" i="12" a="1"/>
  <c r="C116" i="12" s="1"/>
  <c r="AB119" i="12" a="1"/>
  <c r="AB119" i="12" s="1"/>
  <c r="E120" i="12" a="1"/>
  <c r="E120" i="12" s="1"/>
  <c r="AA120" i="12" a="1"/>
  <c r="AA120" i="12" s="1"/>
  <c r="D122" i="12" a="1"/>
  <c r="D122" i="12" s="1"/>
  <c r="AA122" i="12" a="1"/>
  <c r="AA122" i="12" s="1"/>
  <c r="AA123" i="12" a="1"/>
  <c r="AA123" i="12" s="1"/>
  <c r="X125" i="12"/>
  <c r="W125" i="12" s="1" a="1"/>
  <c r="W125" i="12" s="1"/>
  <c r="C126" i="12" a="1"/>
  <c r="C126" i="12" s="1"/>
  <c r="Z129" i="12"/>
  <c r="AB130" i="12" a="1"/>
  <c r="AB130" i="12" s="1"/>
  <c r="D133" i="12" a="1"/>
  <c r="D133" i="12" s="1"/>
  <c r="AB133" i="12" a="1"/>
  <c r="AB133" i="12" s="1"/>
  <c r="AA136" i="12" a="1"/>
  <c r="AA136" i="12" s="1"/>
  <c r="AA139" i="12" a="1"/>
  <c r="AA139" i="12" s="1"/>
  <c r="AC140" i="12" a="1"/>
  <c r="AC140" i="12" s="1"/>
  <c r="D143" i="12" a="1"/>
  <c r="D143" i="12" s="1"/>
  <c r="Z145" i="12"/>
  <c r="E147" i="12" a="1"/>
  <c r="E147" i="12" s="1"/>
  <c r="X148" i="12"/>
  <c r="W148" i="12" s="1" a="1"/>
  <c r="W148" i="12" s="1"/>
  <c r="AA149" i="12" a="1"/>
  <c r="AA149" i="12" s="1"/>
  <c r="X151" i="12"/>
  <c r="W151" i="12" s="1" a="1"/>
  <c r="W151" i="12" s="1"/>
  <c r="X152" i="12"/>
  <c r="W152" i="12" s="1" a="1"/>
  <c r="W152" i="12" s="1"/>
  <c r="C152" i="12" a="1"/>
  <c r="C152" i="12" s="1"/>
  <c r="AB152" i="12" a="1"/>
  <c r="AB152" i="12" s="1"/>
  <c r="X161" i="12"/>
  <c r="W161" i="12" s="1" a="1"/>
  <c r="W161" i="12" s="1"/>
  <c r="AA161" i="12" a="1"/>
  <c r="AA161" i="12" s="1"/>
  <c r="E161" i="12" a="1"/>
  <c r="E161" i="12" s="1"/>
  <c r="AC161" i="12" a="1"/>
  <c r="AC161" i="12" s="1"/>
  <c r="C161" i="12" a="1"/>
  <c r="C161" i="12" s="1"/>
  <c r="X170" i="12"/>
  <c r="W170" i="12" s="1" a="1"/>
  <c r="W170" i="12" s="1"/>
  <c r="AA170" i="12" a="1"/>
  <c r="AA170" i="12" s="1"/>
  <c r="Z170" i="12"/>
  <c r="E170" i="12" a="1"/>
  <c r="E170" i="12" s="1"/>
  <c r="D170" i="12" a="1"/>
  <c r="D170" i="12" s="1"/>
  <c r="C170" i="12" a="1"/>
  <c r="C170" i="12" s="1"/>
  <c r="AC170" i="12" a="1"/>
  <c r="AC170" i="12" s="1"/>
  <c r="AB170" i="12" a="1"/>
  <c r="AB170" i="12" s="1"/>
  <c r="X171" i="12"/>
  <c r="W171" i="12" s="1" a="1"/>
  <c r="W171" i="12" s="1"/>
  <c r="D171" i="12" a="1"/>
  <c r="D171" i="12" s="1"/>
  <c r="C171" i="12" a="1"/>
  <c r="C171" i="12" s="1"/>
  <c r="AC171" i="12" a="1"/>
  <c r="AC171" i="12" s="1"/>
  <c r="AB171" i="12" a="1"/>
  <c r="AB171" i="12" s="1"/>
  <c r="AA171" i="12" a="1"/>
  <c r="AA171" i="12" s="1"/>
  <c r="E178" i="12" a="1"/>
  <c r="E178" i="12" s="1"/>
  <c r="X180" i="12"/>
  <c r="W180" i="12" s="1" a="1"/>
  <c r="W180" i="12" s="1"/>
  <c r="D180" i="12" a="1"/>
  <c r="D180" i="12" s="1"/>
  <c r="AC180" i="12" a="1"/>
  <c r="AC180" i="12" s="1"/>
  <c r="AA180" i="12" a="1"/>
  <c r="AA180" i="12" s="1"/>
  <c r="X187" i="12"/>
  <c r="W187" i="12" s="1" a="1"/>
  <c r="W187" i="12" s="1"/>
  <c r="AC187" i="12" a="1"/>
  <c r="AC187" i="12" s="1"/>
  <c r="AB187" i="12" a="1"/>
  <c r="AB187" i="12" s="1"/>
  <c r="Z187" i="12"/>
  <c r="E187" i="12" a="1"/>
  <c r="E187" i="12" s="1"/>
  <c r="D187" i="12" a="1"/>
  <c r="D187" i="12" s="1"/>
  <c r="C187" i="12" a="1"/>
  <c r="C187" i="12" s="1"/>
  <c r="X105" i="12"/>
  <c r="W105" i="12" s="1" a="1"/>
  <c r="W105" i="12" s="1"/>
  <c r="X111" i="12"/>
  <c r="W111" i="12" s="1" a="1"/>
  <c r="W111" i="12" s="1"/>
  <c r="X117" i="12"/>
  <c r="W117" i="12" s="1" a="1"/>
  <c r="W117" i="12" s="1"/>
  <c r="AA121" i="12" a="1"/>
  <c r="AA121" i="12" s="1"/>
  <c r="AB123" i="12" a="1"/>
  <c r="AB123" i="12" s="1"/>
  <c r="AB126" i="12" a="1"/>
  <c r="AB126" i="12" s="1"/>
  <c r="D130" i="12" a="1"/>
  <c r="D130" i="12" s="1"/>
  <c r="AC130" i="12" a="1"/>
  <c r="AC130" i="12" s="1"/>
  <c r="AA132" i="12" a="1"/>
  <c r="AA132" i="12" s="1"/>
  <c r="C136" i="12" a="1"/>
  <c r="C136" i="12" s="1"/>
  <c r="C139" i="12" a="1"/>
  <c r="C139" i="12" s="1"/>
  <c r="E140" i="12" a="1"/>
  <c r="E140" i="12" s="1"/>
  <c r="Z142" i="12"/>
  <c r="AC143" i="12" a="1"/>
  <c r="AC143" i="12" s="1"/>
  <c r="D146" i="12" a="1"/>
  <c r="D146" i="12" s="1"/>
  <c r="AB146" i="12" a="1"/>
  <c r="AB146" i="12" s="1"/>
  <c r="C149" i="12" a="1"/>
  <c r="C149" i="12" s="1"/>
  <c r="AB149" i="12" a="1"/>
  <c r="AB149" i="12" s="1"/>
  <c r="AC152" i="12" a="1"/>
  <c r="AC152" i="12" s="1"/>
  <c r="C154" i="12" a="1"/>
  <c r="C154" i="12" s="1"/>
  <c r="AB154" i="12" a="1"/>
  <c r="AB154" i="12" s="1"/>
  <c r="C157" i="12" a="1"/>
  <c r="C157" i="12" s="1"/>
  <c r="X158" i="12"/>
  <c r="W158" i="12" s="1" a="1"/>
  <c r="W158" i="12" s="1"/>
  <c r="Z158" i="12"/>
  <c r="D158" i="12" a="1"/>
  <c r="D158" i="12" s="1"/>
  <c r="C158" i="12" a="1"/>
  <c r="C158" i="12" s="1"/>
  <c r="Z161" i="12"/>
  <c r="C180" i="12" a="1"/>
  <c r="C180" i="12" s="1"/>
  <c r="X185" i="12"/>
  <c r="W185" i="12" s="1" a="1"/>
  <c r="W185" i="12" s="1"/>
  <c r="D185" i="12" a="1"/>
  <c r="D185" i="12" s="1"/>
  <c r="C185" i="12" a="1"/>
  <c r="C185" i="12" s="1"/>
  <c r="AB185" i="12" a="1"/>
  <c r="AB185" i="12" s="1"/>
  <c r="AA185" i="12" a="1"/>
  <c r="AA185" i="12" s="1"/>
  <c r="E185" i="12" a="1"/>
  <c r="E185" i="12" s="1"/>
  <c r="X198" i="12"/>
  <c r="W198" i="12" s="1" a="1"/>
  <c r="W198" i="12" s="1"/>
  <c r="E198" i="12" a="1"/>
  <c r="E198" i="12" s="1"/>
  <c r="D198" i="12" a="1"/>
  <c r="D198" i="12" s="1"/>
  <c r="AC198" i="12" a="1"/>
  <c r="AC198" i="12" s="1"/>
  <c r="AB198" i="12" a="1"/>
  <c r="AB198" i="12" s="1"/>
  <c r="AA198" i="12" a="1"/>
  <c r="AA198" i="12" s="1"/>
  <c r="Z198" i="12"/>
  <c r="AC203" i="12" a="1"/>
  <c r="AC203" i="12" s="1"/>
  <c r="E103" i="12" a="1"/>
  <c r="E103" i="12" s="1"/>
  <c r="E109" i="12" a="1"/>
  <c r="E109" i="12" s="1"/>
  <c r="D110" i="12" a="1"/>
  <c r="D110" i="12" s="1"/>
  <c r="E115" i="12" a="1"/>
  <c r="E115" i="12" s="1"/>
  <c r="D116" i="12" a="1"/>
  <c r="D116" i="12" s="1"/>
  <c r="E121" i="12" a="1"/>
  <c r="E121" i="12" s="1"/>
  <c r="E122" i="12" a="1"/>
  <c r="E122" i="12" s="1"/>
  <c r="AB122" i="12" a="1"/>
  <c r="AB122" i="12" s="1"/>
  <c r="E123" i="12" a="1"/>
  <c r="E123" i="12" s="1"/>
  <c r="D126" i="12" a="1"/>
  <c r="D126" i="12" s="1"/>
  <c r="C129" i="12" a="1"/>
  <c r="C129" i="12" s="1"/>
  <c r="C132" i="12" a="1"/>
  <c r="C132" i="12" s="1"/>
  <c r="E133" i="12" a="1"/>
  <c r="E133" i="12" s="1"/>
  <c r="AB136" i="12" a="1"/>
  <c r="AB136" i="12" s="1"/>
  <c r="Z138" i="12"/>
  <c r="D139" i="12" a="1"/>
  <c r="D139" i="12" s="1"/>
  <c r="AC146" i="12" a="1"/>
  <c r="AC146" i="12" s="1"/>
  <c r="D149" i="12" a="1"/>
  <c r="D149" i="12" s="1"/>
  <c r="D152" i="12" a="1"/>
  <c r="D152" i="12" s="1"/>
  <c r="D161" i="12" a="1"/>
  <c r="D161" i="12" s="1"/>
  <c r="AB161" i="12" a="1"/>
  <c r="AB161" i="12" s="1"/>
  <c r="E171" i="12" a="1"/>
  <c r="E171" i="12" s="1"/>
  <c r="E180" i="12" a="1"/>
  <c r="E180" i="12" s="1"/>
  <c r="C198" i="12" a="1"/>
  <c r="C198" i="12" s="1"/>
  <c r="E126" i="12" a="1"/>
  <c r="E126" i="12" s="1"/>
  <c r="AC126" i="12" a="1"/>
  <c r="AC126" i="12" s="1"/>
  <c r="Z128" i="12"/>
  <c r="D136" i="12" a="1"/>
  <c r="D136" i="12" s="1"/>
  <c r="AA138" i="12" a="1"/>
  <c r="AA138" i="12" s="1"/>
  <c r="E146" i="12" a="1"/>
  <c r="E146" i="12" s="1"/>
  <c r="E163" i="12" a="1"/>
  <c r="E163" i="12" s="1"/>
  <c r="AB165" i="12" a="1"/>
  <c r="AB165" i="12" s="1"/>
  <c r="Z166" i="12"/>
  <c r="D172" i="12" a="1"/>
  <c r="D172" i="12" s="1"/>
  <c r="AA175" i="12" a="1"/>
  <c r="AA175" i="12" s="1"/>
  <c r="AA179" i="12" a="1"/>
  <c r="AA179" i="12" s="1"/>
  <c r="E181" i="12" a="1"/>
  <c r="E181" i="12" s="1"/>
  <c r="AB183" i="12" a="1"/>
  <c r="AB183" i="12" s="1"/>
  <c r="Z184" i="12"/>
  <c r="C186" i="12" a="1"/>
  <c r="C186" i="12" s="1"/>
  <c r="AB188" i="12" a="1"/>
  <c r="AB188" i="12" s="1"/>
  <c r="D190" i="12" a="1"/>
  <c r="D190" i="12" s="1"/>
  <c r="AA193" i="12" a="1"/>
  <c r="AA193" i="12" s="1"/>
  <c r="AC196" i="12" a="1"/>
  <c r="AC196" i="12" s="1"/>
  <c r="AA197" i="12" a="1"/>
  <c r="AA197" i="12" s="1"/>
  <c r="E199" i="12" a="1"/>
  <c r="E199" i="12" s="1"/>
  <c r="AB201" i="12" a="1"/>
  <c r="AB201" i="12" s="1"/>
  <c r="Z202" i="12"/>
  <c r="C204" i="12" a="1"/>
  <c r="C204" i="12" s="1"/>
  <c r="AB206" i="12" a="1"/>
  <c r="AB206" i="12" s="1"/>
  <c r="D208" i="12" a="1"/>
  <c r="D208" i="12" s="1"/>
  <c r="AA211" i="12" a="1"/>
  <c r="AA211" i="12" s="1"/>
  <c r="AC214" i="12" a="1"/>
  <c r="AC214" i="12" s="1"/>
  <c r="AA215" i="12" a="1"/>
  <c r="AA215" i="12" s="1"/>
  <c r="E217" i="12" a="1"/>
  <c r="E217" i="12" s="1"/>
  <c r="AB219" i="12" a="1"/>
  <c r="AB219" i="12" s="1"/>
  <c r="Z220" i="12"/>
  <c r="E221" i="12" a="1"/>
  <c r="E221" i="12" s="1"/>
  <c r="C222" i="12" a="1"/>
  <c r="C222" i="12" s="1"/>
  <c r="AC229" i="12" a="1"/>
  <c r="AC229" i="12" s="1"/>
  <c r="AB229" i="12" a="1"/>
  <c r="AB229" i="12" s="1"/>
  <c r="AA229" i="12" a="1"/>
  <c r="AA229" i="12" s="1"/>
  <c r="X229" i="12"/>
  <c r="W229" i="12" s="1" a="1"/>
  <c r="W229" i="12" s="1"/>
  <c r="E229" i="12" a="1"/>
  <c r="E229" i="12" s="1"/>
  <c r="X226" i="12"/>
  <c r="W226" i="12" s="1" a="1"/>
  <c r="W226" i="12" s="1"/>
  <c r="AA226" i="12" a="1"/>
  <c r="AA226" i="12" s="1"/>
  <c r="Z226" i="12"/>
  <c r="D226" i="12" a="1"/>
  <c r="D226" i="12" s="1"/>
  <c r="X160" i="12"/>
  <c r="W160" i="12" s="1" a="1"/>
  <c r="W160" i="12" s="1"/>
  <c r="AA166" i="12" a="1"/>
  <c r="AA166" i="12" s="1"/>
  <c r="E172" i="12" a="1"/>
  <c r="E172" i="12" s="1"/>
  <c r="X172" i="12"/>
  <c r="W172" i="12" s="1" a="1"/>
  <c r="W172" i="12" s="1"/>
  <c r="AB175" i="12" a="1"/>
  <c r="AB175" i="12" s="1"/>
  <c r="AC179" i="12" a="1"/>
  <c r="AC179" i="12" s="1"/>
  <c r="AA184" i="12" a="1"/>
  <c r="AA184" i="12" s="1"/>
  <c r="E186" i="12" a="1"/>
  <c r="E186" i="12" s="1"/>
  <c r="AC188" i="12" a="1"/>
  <c r="AC188" i="12" s="1"/>
  <c r="E190" i="12" a="1"/>
  <c r="E190" i="12" s="1"/>
  <c r="X190" i="12"/>
  <c r="W190" i="12" s="1" a="1"/>
  <c r="W190" i="12" s="1"/>
  <c r="AB193" i="12" a="1"/>
  <c r="AB193" i="12" s="1"/>
  <c r="E195" i="12" a="1"/>
  <c r="E195" i="12" s="1"/>
  <c r="AC197" i="12" a="1"/>
  <c r="AC197" i="12" s="1"/>
  <c r="AA202" i="12" a="1"/>
  <c r="AA202" i="12" s="1"/>
  <c r="E204" i="12" a="1"/>
  <c r="E204" i="12" s="1"/>
  <c r="C205" i="12" a="1"/>
  <c r="C205" i="12" s="1"/>
  <c r="AC206" i="12" a="1"/>
  <c r="AC206" i="12" s="1"/>
  <c r="E208" i="12" a="1"/>
  <c r="E208" i="12" s="1"/>
  <c r="X208" i="12"/>
  <c r="W208" i="12" s="1" a="1"/>
  <c r="W208" i="12" s="1"/>
  <c r="AB211" i="12" a="1"/>
  <c r="AB211" i="12" s="1"/>
  <c r="E213" i="12" a="1"/>
  <c r="E213" i="12" s="1"/>
  <c r="AA220" i="12" a="1"/>
  <c r="AA220" i="12" s="1"/>
  <c r="E222" i="12" a="1"/>
  <c r="E222" i="12" s="1"/>
  <c r="X222" i="12"/>
  <c r="W222" i="12" s="1" a="1"/>
  <c r="W222" i="12" s="1"/>
  <c r="C226" i="12" a="1"/>
  <c r="C226" i="12" s="1"/>
  <c r="AC230" i="12" a="1"/>
  <c r="AC230" i="12" s="1"/>
  <c r="AA230" i="12" a="1"/>
  <c r="AA230" i="12" s="1"/>
  <c r="Z230" i="12"/>
  <c r="E230" i="12" a="1"/>
  <c r="E230" i="12" s="1"/>
  <c r="C230" i="12" a="1"/>
  <c r="C230" i="12" s="1"/>
  <c r="C196" i="12" a="1"/>
  <c r="C196" i="12" s="1"/>
  <c r="D205" i="12" a="1"/>
  <c r="D205" i="12" s="1"/>
  <c r="C214" i="12" a="1"/>
  <c r="C214" i="12" s="1"/>
  <c r="Z221" i="12"/>
  <c r="E226" i="12" a="1"/>
  <c r="E226" i="12" s="1"/>
  <c r="AA235" i="12" a="1"/>
  <c r="AA235" i="12" s="1"/>
  <c r="X235" i="12"/>
  <c r="W235" i="12" s="1" a="1"/>
  <c r="W235" i="12" s="1"/>
  <c r="E235" i="12" a="1"/>
  <c r="E235" i="12" s="1"/>
  <c r="D235" i="12" a="1"/>
  <c r="D235" i="12" s="1"/>
  <c r="AA163" i="12" a="1"/>
  <c r="AA163" i="12" s="1"/>
  <c r="Z172" i="12"/>
  <c r="AA181" i="12" a="1"/>
  <c r="AA181" i="12" s="1"/>
  <c r="C188" i="12" a="1"/>
  <c r="C188" i="12" s="1"/>
  <c r="Z190" i="12"/>
  <c r="D196" i="12" a="1"/>
  <c r="D196" i="12" s="1"/>
  <c r="AA199" i="12" a="1"/>
  <c r="AA199" i="12" s="1"/>
  <c r="AC202" i="12" a="1"/>
  <c r="AC202" i="12" s="1"/>
  <c r="E205" i="12" a="1"/>
  <c r="E205" i="12" s="1"/>
  <c r="C206" i="12" a="1"/>
  <c r="C206" i="12" s="1"/>
  <c r="Z208" i="12"/>
  <c r="D214" i="12" a="1"/>
  <c r="D214" i="12" s="1"/>
  <c r="AA217" i="12" a="1"/>
  <c r="AA217" i="12" s="1"/>
  <c r="AC220" i="12" a="1"/>
  <c r="AC220" i="12" s="1"/>
  <c r="AA221" i="12" a="1"/>
  <c r="AA221" i="12" s="1"/>
  <c r="Z222" i="12"/>
  <c r="X227" i="12"/>
  <c r="W227" i="12" s="1" a="1"/>
  <c r="W227" i="12" s="1"/>
  <c r="E227" i="12" a="1"/>
  <c r="E227" i="12" s="1"/>
  <c r="C227" i="12" a="1"/>
  <c r="C227" i="12" s="1"/>
  <c r="AC227" i="12" a="1"/>
  <c r="AC227" i="12" s="1"/>
  <c r="AB227" i="12" a="1"/>
  <c r="AB227" i="12" s="1"/>
  <c r="C235" i="12" a="1"/>
  <c r="C235" i="12" s="1"/>
  <c r="AC248" i="12" a="1"/>
  <c r="AC248" i="12" s="1"/>
  <c r="AB248" i="12" a="1"/>
  <c r="AB248" i="12" s="1"/>
  <c r="AA248" i="12" a="1"/>
  <c r="AA248" i="12" s="1"/>
  <c r="Z248" i="12"/>
  <c r="X248" i="12"/>
  <c r="W248" i="12" s="1" a="1"/>
  <c r="W248" i="12" s="1"/>
  <c r="E248" i="12" a="1"/>
  <c r="E248" i="12" s="1"/>
  <c r="D248" i="12" a="1"/>
  <c r="D248" i="12" s="1"/>
  <c r="C248" i="12" a="1"/>
  <c r="C248" i="12" s="1"/>
  <c r="Z186" i="12"/>
  <c r="D188" i="12" a="1"/>
  <c r="D188" i="12" s="1"/>
  <c r="Z195" i="12"/>
  <c r="Z204" i="12"/>
  <c r="D206" i="12" a="1"/>
  <c r="D206" i="12" s="1"/>
  <c r="Z213" i="12"/>
  <c r="AB221" i="12" a="1"/>
  <c r="AB221" i="12" s="1"/>
  <c r="AA222" i="12" a="1"/>
  <c r="AA222" i="12" s="1"/>
  <c r="X245" i="12"/>
  <c r="W245" i="12" s="1" a="1"/>
  <c r="W245" i="12" s="1"/>
  <c r="Z245" i="12"/>
  <c r="E245" i="12" a="1"/>
  <c r="E245" i="12" s="1"/>
  <c r="D245" i="12" a="1"/>
  <c r="D245" i="12" s="1"/>
  <c r="C245" i="12" a="1"/>
  <c r="C245" i="12" s="1"/>
  <c r="AC245" i="12" a="1"/>
  <c r="AC245" i="12" s="1"/>
  <c r="AA245" i="12" a="1"/>
  <c r="AA245" i="12" s="1"/>
  <c r="AC266" i="12" a="1"/>
  <c r="AC266" i="12" s="1"/>
  <c r="AB266" i="12" a="1"/>
  <c r="AB266" i="12" s="1"/>
  <c r="AA266" i="12" a="1"/>
  <c r="AA266" i="12" s="1"/>
  <c r="Z266" i="12"/>
  <c r="X266" i="12"/>
  <c r="W266" i="12" s="1" a="1"/>
  <c r="W266" i="12" s="1"/>
  <c r="E266" i="12" a="1"/>
  <c r="E266" i="12" s="1"/>
  <c r="D266" i="12" a="1"/>
  <c r="D266" i="12" s="1"/>
  <c r="C266" i="12" a="1"/>
  <c r="C266" i="12" s="1"/>
  <c r="X306" i="12"/>
  <c r="W306" i="12" s="1" a="1"/>
  <c r="W306" i="12" s="1"/>
  <c r="AC306" i="12" a="1"/>
  <c r="AC306" i="12" s="1"/>
  <c r="AB306" i="12" a="1"/>
  <c r="AB306" i="12" s="1"/>
  <c r="AA306" i="12" a="1"/>
  <c r="AA306" i="12" s="1"/>
  <c r="E306" i="12" a="1"/>
  <c r="E306" i="12" s="1"/>
  <c r="D306" i="12" a="1"/>
  <c r="D306" i="12" s="1"/>
  <c r="Z306" i="12"/>
  <c r="C306" i="12" a="1"/>
  <c r="C306" i="12" s="1"/>
  <c r="AC163" i="12" a="1"/>
  <c r="AC163" i="12" s="1"/>
  <c r="AB172" i="12" a="1"/>
  <c r="AB172" i="12" s="1"/>
  <c r="Z173" i="12"/>
  <c r="X174" i="12"/>
  <c r="W174" i="12" s="1" a="1"/>
  <c r="W174" i="12" s="1"/>
  <c r="D175" i="12" a="1"/>
  <c r="D175" i="12" s="1"/>
  <c r="D179" i="12" a="1"/>
  <c r="D179" i="12" s="1"/>
  <c r="AC181" i="12" a="1"/>
  <c r="AC181" i="12" s="1"/>
  <c r="AB186" i="12" a="1"/>
  <c r="AB186" i="12" s="1"/>
  <c r="E188" i="12" a="1"/>
  <c r="E188" i="12" s="1"/>
  <c r="AB190" i="12" a="1"/>
  <c r="AB190" i="12" s="1"/>
  <c r="Z191" i="12"/>
  <c r="X192" i="12"/>
  <c r="W192" i="12" s="1" a="1"/>
  <c r="W192" i="12" s="1"/>
  <c r="D193" i="12" a="1"/>
  <c r="D193" i="12" s="1"/>
  <c r="D197" i="12" a="1"/>
  <c r="D197" i="12" s="1"/>
  <c r="AC199" i="12" a="1"/>
  <c r="AC199" i="12" s="1"/>
  <c r="AB204" i="12" a="1"/>
  <c r="AB204" i="12" s="1"/>
  <c r="Z205" i="12"/>
  <c r="E206" i="12" a="1"/>
  <c r="E206" i="12" s="1"/>
  <c r="AB208" i="12" a="1"/>
  <c r="AB208" i="12" s="1"/>
  <c r="X210" i="12"/>
  <c r="W210" i="12" s="1" a="1"/>
  <c r="W210" i="12" s="1"/>
  <c r="D211" i="12" a="1"/>
  <c r="D211" i="12" s="1"/>
  <c r="D215" i="12" a="1"/>
  <c r="D215" i="12" s="1"/>
  <c r="AC217" i="12" a="1"/>
  <c r="AC217" i="12" s="1"/>
  <c r="AA253" i="12" a="1"/>
  <c r="AA253" i="12" s="1"/>
  <c r="Z253" i="12"/>
  <c r="X253" i="12"/>
  <c r="W253" i="12" s="1" a="1"/>
  <c r="W253" i="12" s="1"/>
  <c r="E253" i="12" a="1"/>
  <c r="E253" i="12" s="1"/>
  <c r="D253" i="12" a="1"/>
  <c r="D253" i="12" s="1"/>
  <c r="C253" i="12" a="1"/>
  <c r="C253" i="12" s="1"/>
  <c r="AB253" i="12" a="1"/>
  <c r="AB253" i="12" s="1"/>
  <c r="X239" i="12"/>
  <c r="W239" i="12" s="1" a="1"/>
  <c r="W239" i="12" s="1"/>
  <c r="AC239" i="12" a="1"/>
  <c r="AC239" i="12" s="1"/>
  <c r="AA239" i="12" a="1"/>
  <c r="AA239" i="12" s="1"/>
  <c r="Z239" i="12"/>
  <c r="Z188" i="12"/>
  <c r="AC195" i="12" a="1"/>
  <c r="AC195" i="12" s="1"/>
  <c r="Z206" i="12"/>
  <c r="AC213" i="12" a="1"/>
  <c r="AC213" i="12" s="1"/>
  <c r="C221" i="12" a="1"/>
  <c r="C221" i="12" s="1"/>
  <c r="C239" i="12" a="1"/>
  <c r="C239" i="12" s="1"/>
  <c r="AA196" i="12" a="1"/>
  <c r="AA196" i="12" s="1"/>
  <c r="AB205" i="12" a="1"/>
  <c r="AB205" i="12" s="1"/>
  <c r="AA214" i="12" a="1"/>
  <c r="AA214" i="12" s="1"/>
  <c r="D239" i="12" a="1"/>
  <c r="D239" i="12" s="1"/>
  <c r="X262" i="12"/>
  <c r="W262" i="12" s="1" a="1"/>
  <c r="W262" i="12" s="1"/>
  <c r="AB262" i="12" a="1"/>
  <c r="AB262" i="12" s="1"/>
  <c r="AA262" i="12" a="1"/>
  <c r="AA262" i="12" s="1"/>
  <c r="Z262" i="12"/>
  <c r="E262" i="12" a="1"/>
  <c r="E262" i="12" s="1"/>
  <c r="D262" i="12" a="1"/>
  <c r="D262" i="12" s="1"/>
  <c r="C262" i="12" a="1"/>
  <c r="C262" i="12" s="1"/>
  <c r="AC262" i="12" a="1"/>
  <c r="AC262" i="12" s="1"/>
  <c r="D163" i="12" a="1"/>
  <c r="D163" i="12" s="1"/>
  <c r="Z175" i="12"/>
  <c r="E176" i="12" a="1"/>
  <c r="E176" i="12" s="1"/>
  <c r="Z179" i="12"/>
  <c r="D181" i="12" a="1"/>
  <c r="D181" i="12" s="1"/>
  <c r="AA188" i="12" a="1"/>
  <c r="AA188" i="12" s="1"/>
  <c r="Z193" i="12"/>
  <c r="E194" i="12" a="1"/>
  <c r="E194" i="12" s="1"/>
  <c r="C195" i="12" a="1"/>
  <c r="C195" i="12" s="1"/>
  <c r="Z197" i="12"/>
  <c r="D199" i="12" a="1"/>
  <c r="D199" i="12" s="1"/>
  <c r="AC205" i="12" a="1"/>
  <c r="AC205" i="12" s="1"/>
  <c r="AA206" i="12" a="1"/>
  <c r="AA206" i="12" s="1"/>
  <c r="Z211" i="12"/>
  <c r="E212" i="12" a="1"/>
  <c r="E212" i="12" s="1"/>
  <c r="C213" i="12" a="1"/>
  <c r="C213" i="12" s="1"/>
  <c r="Z215" i="12"/>
  <c r="D217" i="12" a="1"/>
  <c r="D217" i="12" s="1"/>
  <c r="D221" i="12" a="1"/>
  <c r="D221" i="12" s="1"/>
  <c r="X223" i="12"/>
  <c r="W223" i="12" s="1" a="1"/>
  <c r="W223" i="12" s="1"/>
  <c r="E223" i="12" a="1"/>
  <c r="E223" i="12" s="1"/>
  <c r="AC223" i="12" a="1"/>
  <c r="AC223" i="12" s="1"/>
  <c r="AA223" i="12" a="1"/>
  <c r="AA223" i="12" s="1"/>
  <c r="AB226" i="12" a="1"/>
  <c r="AB226" i="12" s="1"/>
  <c r="Z235" i="12"/>
  <c r="E239" i="12" a="1"/>
  <c r="E239" i="12" s="1"/>
  <c r="AC253" i="12" a="1"/>
  <c r="AC253" i="12" s="1"/>
  <c r="AA263" i="12" a="1"/>
  <c r="AA263" i="12" s="1"/>
  <c r="C265" i="12" a="1"/>
  <c r="C265" i="12" s="1"/>
  <c r="AB271" i="12" a="1"/>
  <c r="AB271" i="12" s="1"/>
  <c r="D279" i="12" a="1"/>
  <c r="D279" i="12" s="1"/>
  <c r="D280" i="12" a="1"/>
  <c r="D280" i="12" s="1"/>
  <c r="D281" i="12" a="1"/>
  <c r="D281" i="12" s="1"/>
  <c r="C283" i="12" a="1"/>
  <c r="C283" i="12" s="1"/>
  <c r="D284" i="12" a="1"/>
  <c r="D284" i="12" s="1"/>
  <c r="AA297" i="12" a="1"/>
  <c r="AA297" i="12" s="1"/>
  <c r="AA298" i="12" a="1"/>
  <c r="AA298" i="12" s="1"/>
  <c r="AA302" i="12" a="1"/>
  <c r="AA302" i="12" s="1"/>
  <c r="E302" i="12" a="1"/>
  <c r="E302" i="12" s="1"/>
  <c r="C302" i="12" a="1"/>
  <c r="C302" i="12" s="1"/>
  <c r="X302" i="12"/>
  <c r="W302" i="12" s="1" a="1"/>
  <c r="W302" i="12" s="1"/>
  <c r="AB302" i="12" a="1"/>
  <c r="AB302" i="12" s="1"/>
  <c r="Z238" i="12"/>
  <c r="AA241" i="12" a="1"/>
  <c r="AA241" i="12" s="1"/>
  <c r="E247" i="12" a="1"/>
  <c r="E247" i="12" s="1"/>
  <c r="X247" i="12"/>
  <c r="W247" i="12" s="1" a="1"/>
  <c r="W247" i="12" s="1"/>
  <c r="Z256" i="12"/>
  <c r="AA259" i="12" a="1"/>
  <c r="AA259" i="12" s="1"/>
  <c r="AC263" i="12" a="1"/>
  <c r="AC263" i="12" s="1"/>
  <c r="E265" i="12" a="1"/>
  <c r="E265" i="12" s="1"/>
  <c r="X265" i="12"/>
  <c r="W265" i="12" s="1" a="1"/>
  <c r="W265" i="12" s="1"/>
  <c r="Z274" i="12"/>
  <c r="AA277" i="12" a="1"/>
  <c r="AA277" i="12" s="1"/>
  <c r="Z278" i="12"/>
  <c r="AA279" i="12" a="1"/>
  <c r="AA279" i="12" s="1"/>
  <c r="AA280" i="12" a="1"/>
  <c r="AA280" i="12" s="1"/>
  <c r="Z282" i="12"/>
  <c r="Z283" i="12"/>
  <c r="AA284" i="12" a="1"/>
  <c r="AA284" i="12" s="1"/>
  <c r="AB285" i="12" a="1"/>
  <c r="AB285" i="12" s="1"/>
  <c r="AA287" i="12" a="1"/>
  <c r="AA287" i="12" s="1"/>
  <c r="AA288" i="12" a="1"/>
  <c r="AA288" i="12" s="1"/>
  <c r="AA289" i="12" a="1"/>
  <c r="AA289" i="12" s="1"/>
  <c r="AB290" i="12" a="1"/>
  <c r="AB290" i="12" s="1"/>
  <c r="AB292" i="12" a="1"/>
  <c r="AB292" i="12" s="1"/>
  <c r="AB293" i="12" a="1"/>
  <c r="AB293" i="12" s="1"/>
  <c r="AB294" i="12" a="1"/>
  <c r="AB294" i="12" s="1"/>
  <c r="AB295" i="12" a="1"/>
  <c r="AB295" i="12" s="1"/>
  <c r="AC296" i="12" a="1"/>
  <c r="AC296" i="12" s="1"/>
  <c r="AC297" i="12" a="1"/>
  <c r="AC297" i="12" s="1"/>
  <c r="AC298" i="12" a="1"/>
  <c r="AC298" i="12" s="1"/>
  <c r="AC299" i="12" a="1"/>
  <c r="AC299" i="12" s="1"/>
  <c r="C271" i="12" a="1"/>
  <c r="C271" i="12" s="1"/>
  <c r="AB279" i="12" a="1"/>
  <c r="AB279" i="12" s="1"/>
  <c r="AA281" i="12" a="1"/>
  <c r="AA281" i="12" s="1"/>
  <c r="AA282" i="12" a="1"/>
  <c r="AA282" i="12" s="1"/>
  <c r="AA283" i="12" a="1"/>
  <c r="AA283" i="12" s="1"/>
  <c r="AB284" i="12" a="1"/>
  <c r="AB284" i="12" s="1"/>
  <c r="AC291" i="12" a="1"/>
  <c r="AC291" i="12" s="1"/>
  <c r="AC292" i="12" a="1"/>
  <c r="AC292" i="12" s="1"/>
  <c r="AC293" i="12" a="1"/>
  <c r="AC293" i="12" s="1"/>
  <c r="AC294" i="12" a="1"/>
  <c r="AC294" i="12" s="1"/>
  <c r="AC295" i="12" a="1"/>
  <c r="AC295" i="12" s="1"/>
  <c r="X347" i="12"/>
  <c r="W347" i="12" s="1" a="1"/>
  <c r="W347" i="12" s="1"/>
  <c r="Z347" i="12"/>
  <c r="AC347" i="12" a="1"/>
  <c r="AC347" i="12" s="1"/>
  <c r="E347" i="12" a="1"/>
  <c r="E347" i="12" s="1"/>
  <c r="AB347" i="12" a="1"/>
  <c r="AB347" i="12" s="1"/>
  <c r="D347" i="12" a="1"/>
  <c r="D347" i="12" s="1"/>
  <c r="AA347" i="12" a="1"/>
  <c r="AA347" i="12" s="1"/>
  <c r="C347" i="12" a="1"/>
  <c r="C347" i="12" s="1"/>
  <c r="AA224" i="12" a="1"/>
  <c r="AA224" i="12" s="1"/>
  <c r="Z225" i="12"/>
  <c r="AB228" i="12" a="1"/>
  <c r="AB228" i="12" s="1"/>
  <c r="D231" i="12" a="1"/>
  <c r="D231" i="12" s="1"/>
  <c r="AC237" i="12" a="1"/>
  <c r="AC237" i="12" s="1"/>
  <c r="AC241" i="12" a="1"/>
  <c r="AC241" i="12" s="1"/>
  <c r="AA242" i="12" a="1"/>
  <c r="AA242" i="12" s="1"/>
  <c r="Z243" i="12"/>
  <c r="AB246" i="12" a="1"/>
  <c r="AB246" i="12" s="1"/>
  <c r="D249" i="12" a="1"/>
  <c r="D249" i="12" s="1"/>
  <c r="AC255" i="12" a="1"/>
  <c r="AC255" i="12" s="1"/>
  <c r="AC259" i="12" a="1"/>
  <c r="AC259" i="12" s="1"/>
  <c r="AA260" i="12" a="1"/>
  <c r="AA260" i="12" s="1"/>
  <c r="Z261" i="12"/>
  <c r="C263" i="12" a="1"/>
  <c r="C263" i="12" s="1"/>
  <c r="AB264" i="12" a="1"/>
  <c r="AB264" i="12" s="1"/>
  <c r="D267" i="12" a="1"/>
  <c r="D267" i="12" s="1"/>
  <c r="AC273" i="12" a="1"/>
  <c r="AC273" i="12" s="1"/>
  <c r="AC277" i="12" a="1"/>
  <c r="AC277" i="12" s="1"/>
  <c r="AB278" i="12" a="1"/>
  <c r="AB278" i="12" s="1"/>
  <c r="AB280" i="12" a="1"/>
  <c r="AB280" i="12" s="1"/>
  <c r="AB281" i="12" a="1"/>
  <c r="AB281" i="12" s="1"/>
  <c r="AB282" i="12" a="1"/>
  <c r="AB282" i="12" s="1"/>
  <c r="AB283" i="12" a="1"/>
  <c r="AB283" i="12" s="1"/>
  <c r="AC284" i="12" a="1"/>
  <c r="AC284" i="12" s="1"/>
  <c r="AC285" i="12" a="1"/>
  <c r="AC285" i="12" s="1"/>
  <c r="AC286" i="12" a="1"/>
  <c r="AC286" i="12" s="1"/>
  <c r="AC287" i="12" a="1"/>
  <c r="AC287" i="12" s="1"/>
  <c r="AC288" i="12" a="1"/>
  <c r="AC288" i="12" s="1"/>
  <c r="AC289" i="12" a="1"/>
  <c r="AC289" i="12" s="1"/>
  <c r="Z247" i="12"/>
  <c r="Z257" i="12"/>
  <c r="D263" i="12" a="1"/>
  <c r="D263" i="12" s="1"/>
  <c r="Z265" i="12"/>
  <c r="D271" i="12" a="1"/>
  <c r="D271" i="12" s="1"/>
  <c r="Z275" i="12"/>
  <c r="AC279" i="12" a="1"/>
  <c r="AC279" i="12" s="1"/>
  <c r="AC280" i="12" a="1"/>
  <c r="AC280" i="12" s="1"/>
  <c r="AC281" i="12" a="1"/>
  <c r="AC281" i="12" s="1"/>
  <c r="AC282" i="12" a="1"/>
  <c r="AC282" i="12" s="1"/>
  <c r="AB301" i="12" a="1"/>
  <c r="AB301" i="12" s="1"/>
  <c r="Z301" i="12"/>
  <c r="D301" i="12" a="1"/>
  <c r="D301" i="12" s="1"/>
  <c r="AC224" i="12" a="1"/>
  <c r="AC224" i="12" s="1"/>
  <c r="AB225" i="12" a="1"/>
  <c r="AB225" i="12" s="1"/>
  <c r="AC233" i="12" a="1"/>
  <c r="AC233" i="12" s="1"/>
  <c r="AC242" i="12" a="1"/>
  <c r="AC242" i="12" s="1"/>
  <c r="AB243" i="12" a="1"/>
  <c r="AB243" i="12" s="1"/>
  <c r="AA247" i="12" a="1"/>
  <c r="AA247" i="12" s="1"/>
  <c r="AC251" i="12" a="1"/>
  <c r="AC251" i="12" s="1"/>
  <c r="AC260" i="12" a="1"/>
  <c r="AC260" i="12" s="1"/>
  <c r="AB261" i="12" a="1"/>
  <c r="AB261" i="12" s="1"/>
  <c r="AA265" i="12" a="1"/>
  <c r="AA265" i="12" s="1"/>
  <c r="AC269" i="12" a="1"/>
  <c r="AC269" i="12" s="1"/>
  <c r="E271" i="12" a="1"/>
  <c r="E271" i="12" s="1"/>
  <c r="X271" i="12"/>
  <c r="W271" i="12" s="1" a="1"/>
  <c r="W271" i="12" s="1"/>
  <c r="X300" i="12"/>
  <c r="W300" i="12" s="1" a="1"/>
  <c r="W300" i="12" s="1"/>
  <c r="AC300" i="12" a="1"/>
  <c r="AC300" i="12" s="1"/>
  <c r="AA301" i="12" a="1"/>
  <c r="AA301" i="12" s="1"/>
  <c r="AB307" i="12" a="1"/>
  <c r="AB307" i="12" s="1"/>
  <c r="AA307" i="12" a="1"/>
  <c r="AA307" i="12" s="1"/>
  <c r="E307" i="12" a="1"/>
  <c r="E307" i="12" s="1"/>
  <c r="Z307" i="12"/>
  <c r="D307" i="12" a="1"/>
  <c r="D307" i="12" s="1"/>
  <c r="C241" i="12" a="1"/>
  <c r="C241" i="12" s="1"/>
  <c r="AB247" i="12" a="1"/>
  <c r="AB247" i="12" s="1"/>
  <c r="AA257" i="12" a="1"/>
  <c r="AA257" i="12" s="1"/>
  <c r="C259" i="12" a="1"/>
  <c r="C259" i="12" s="1"/>
  <c r="E263" i="12" a="1"/>
  <c r="E263" i="12" s="1"/>
  <c r="AB265" i="12" a="1"/>
  <c r="AB265" i="12" s="1"/>
  <c r="AC274" i="12" a="1"/>
  <c r="AC274" i="12" s="1"/>
  <c r="AA275" i="12" a="1"/>
  <c r="AA275" i="12" s="1"/>
  <c r="C277" i="12" a="1"/>
  <c r="C277" i="12" s="1"/>
  <c r="C297" i="12" a="1"/>
  <c r="C297" i="12" s="1"/>
  <c r="C298" i="12" a="1"/>
  <c r="C298" i="12" s="1"/>
  <c r="C299" i="12" a="1"/>
  <c r="C299" i="12" s="1"/>
  <c r="C300" i="12" a="1"/>
  <c r="C300" i="12" s="1"/>
  <c r="C301" i="12" a="1"/>
  <c r="C301" i="12" s="1"/>
  <c r="AC301" i="12" a="1"/>
  <c r="AC301" i="12" s="1"/>
  <c r="C233" i="12" a="1"/>
  <c r="C233" i="12" s="1"/>
  <c r="C251" i="12" a="1"/>
  <c r="C251" i="12" s="1"/>
  <c r="C293" i="12" a="1"/>
  <c r="C293" i="12" s="1"/>
  <c r="C294" i="12" a="1"/>
  <c r="C294" i="12" s="1"/>
  <c r="C296" i="12" a="1"/>
  <c r="C296" i="12" s="1"/>
  <c r="D297" i="12" a="1"/>
  <c r="D297" i="12" s="1"/>
  <c r="D298" i="12" a="1"/>
  <c r="D298" i="12" s="1"/>
  <c r="D299" i="12" a="1"/>
  <c r="D299" i="12" s="1"/>
  <c r="E301" i="12" a="1"/>
  <c r="E301" i="12" s="1"/>
  <c r="C307" i="12" a="1"/>
  <c r="C307" i="12" s="1"/>
  <c r="AC313" i="12" a="1"/>
  <c r="AC313" i="12" s="1"/>
  <c r="AB313" i="12" a="1"/>
  <c r="AB313" i="12" s="1"/>
  <c r="AA313" i="12" a="1"/>
  <c r="AA313" i="12" s="1"/>
  <c r="E313" i="12" a="1"/>
  <c r="E313" i="12" s="1"/>
  <c r="Z313" i="12"/>
  <c r="D313" i="12" a="1"/>
  <c r="D313" i="12" s="1"/>
  <c r="C313" i="12" a="1"/>
  <c r="C313" i="12" s="1"/>
  <c r="AC319" i="12" a="1"/>
  <c r="AC319" i="12" s="1"/>
  <c r="AB319" i="12" a="1"/>
  <c r="AB319" i="12" s="1"/>
  <c r="AA319" i="12" a="1"/>
  <c r="AA319" i="12" s="1"/>
  <c r="E319" i="12" a="1"/>
  <c r="E319" i="12" s="1"/>
  <c r="Z319" i="12"/>
  <c r="D319" i="12" a="1"/>
  <c r="D319" i="12" s="1"/>
  <c r="C319" i="12" a="1"/>
  <c r="C319" i="12" s="1"/>
  <c r="AB257" i="12" a="1"/>
  <c r="AB257" i="12" s="1"/>
  <c r="Z263" i="12"/>
  <c r="Z271" i="12"/>
  <c r="E297" i="12" a="1"/>
  <c r="E297" i="12" s="1"/>
  <c r="E298" i="12" a="1"/>
  <c r="E298" i="12" s="1"/>
  <c r="D300" i="12" a="1"/>
  <c r="D300" i="12" s="1"/>
  <c r="AA308" i="12" a="1"/>
  <c r="AA308" i="12" s="1"/>
  <c r="E308" i="12" a="1"/>
  <c r="E308" i="12" s="1"/>
  <c r="Z308" i="12"/>
  <c r="D308" i="12" a="1"/>
  <c r="D308" i="12" s="1"/>
  <c r="C308" i="12" a="1"/>
  <c r="C308" i="12" s="1"/>
  <c r="X308" i="12"/>
  <c r="W308" i="12" s="1" a="1"/>
  <c r="W308" i="12" s="1"/>
  <c r="D238" i="12" a="1"/>
  <c r="D238" i="12" s="1"/>
  <c r="E241" i="12" a="1"/>
  <c r="E241" i="12" s="1"/>
  <c r="D256" i="12" a="1"/>
  <c r="D256" i="12" s="1"/>
  <c r="AC257" i="12" a="1"/>
  <c r="AC257" i="12" s="1"/>
  <c r="E259" i="12" a="1"/>
  <c r="E259" i="12" s="1"/>
  <c r="D274" i="12" a="1"/>
  <c r="D274" i="12" s="1"/>
  <c r="AC275" i="12" a="1"/>
  <c r="AC275" i="12" s="1"/>
  <c r="E277" i="12" a="1"/>
  <c r="E277" i="12" s="1"/>
  <c r="C278" i="12" a="1"/>
  <c r="C278" i="12" s="1"/>
  <c r="C279" i="12" a="1"/>
  <c r="C279" i="12" s="1"/>
  <c r="C280" i="12" a="1"/>
  <c r="C280" i="12" s="1"/>
  <c r="C281" i="12" a="1"/>
  <c r="C281" i="12" s="1"/>
  <c r="C282" i="12" a="1"/>
  <c r="C282" i="12" s="1"/>
  <c r="C284" i="12" a="1"/>
  <c r="C284" i="12" s="1"/>
  <c r="D285" i="12" a="1"/>
  <c r="D285" i="12" s="1"/>
  <c r="D286" i="12" a="1"/>
  <c r="D286" i="12" s="1"/>
  <c r="D287" i="12" a="1"/>
  <c r="D287" i="12" s="1"/>
  <c r="D290" i="12" a="1"/>
  <c r="D290" i="12" s="1"/>
  <c r="E291" i="12" a="1"/>
  <c r="E291" i="12" s="1"/>
  <c r="E292" i="12" a="1"/>
  <c r="E292" i="12" s="1"/>
  <c r="D294" i="12" a="1"/>
  <c r="D294" i="12" s="1"/>
  <c r="D295" i="12" a="1"/>
  <c r="D295" i="12" s="1"/>
  <c r="E296" i="12" a="1"/>
  <c r="E296" i="12" s="1"/>
  <c r="Z297" i="12"/>
  <c r="Z298" i="12"/>
  <c r="E299" i="12" a="1"/>
  <c r="E299" i="12" s="1"/>
  <c r="Z299" i="12"/>
  <c r="E300" i="12" a="1"/>
  <c r="E300" i="12" s="1"/>
  <c r="Z302" i="12"/>
  <c r="C304" i="12" a="1"/>
  <c r="C304" i="12" s="1"/>
  <c r="X304" i="12"/>
  <c r="W304" i="12" s="1" a="1"/>
  <c r="W304" i="12" s="1"/>
  <c r="AC304" i="12" a="1"/>
  <c r="AC304" i="12" s="1"/>
  <c r="Z304" i="12"/>
  <c r="D312" i="12" a="1"/>
  <c r="D312" i="12" s="1"/>
  <c r="Z312" i="12"/>
  <c r="D318" i="12" a="1"/>
  <c r="D318" i="12" s="1"/>
  <c r="Z318" i="12"/>
  <c r="D324" i="12" a="1"/>
  <c r="D324" i="12" s="1"/>
  <c r="Z324" i="12"/>
  <c r="C325" i="12" a="1"/>
  <c r="C325" i="12" s="1"/>
  <c r="X334" i="12"/>
  <c r="W334" i="12" s="1" a="1"/>
  <c r="W334" i="12" s="1"/>
  <c r="AC334" i="12" a="1"/>
  <c r="AC334" i="12" s="1"/>
  <c r="E334" i="12" a="1"/>
  <c r="E334" i="12" s="1"/>
  <c r="X337" i="12"/>
  <c r="W337" i="12" s="1" a="1"/>
  <c r="W337" i="12" s="1"/>
  <c r="AA337" i="12" a="1"/>
  <c r="AA337" i="12" s="1"/>
  <c r="C337" i="12" a="1"/>
  <c r="C337" i="12" s="1"/>
  <c r="Z338" i="12"/>
  <c r="X314" i="12"/>
  <c r="W314" i="12" s="1" a="1"/>
  <c r="W314" i="12" s="1"/>
  <c r="AC310" i="12" a="1"/>
  <c r="AC310" i="12" s="1"/>
  <c r="E312" i="12" a="1"/>
  <c r="E312" i="12" s="1"/>
  <c r="AA312" i="12" a="1"/>
  <c r="AA312" i="12" s="1"/>
  <c r="C314" i="12" a="1"/>
  <c r="C314" i="12" s="1"/>
  <c r="AC316" i="12" a="1"/>
  <c r="AC316" i="12" s="1"/>
  <c r="E318" i="12" a="1"/>
  <c r="E318" i="12" s="1"/>
  <c r="AA318" i="12" a="1"/>
  <c r="AA318" i="12" s="1"/>
  <c r="C320" i="12" a="1"/>
  <c r="C320" i="12" s="1"/>
  <c r="AC322" i="12" a="1"/>
  <c r="AC322" i="12" s="1"/>
  <c r="E324" i="12" a="1"/>
  <c r="E324" i="12" s="1"/>
  <c r="AA324" i="12" a="1"/>
  <c r="AA324" i="12" s="1"/>
  <c r="D325" i="12" a="1"/>
  <c r="D325" i="12" s="1"/>
  <c r="Z325" i="12"/>
  <c r="C326" i="12" a="1"/>
  <c r="C326" i="12" s="1"/>
  <c r="AC331" i="12" a="1"/>
  <c r="AC331" i="12" s="1"/>
  <c r="D331" i="12" a="1"/>
  <c r="D331" i="12" s="1"/>
  <c r="D334" i="12" a="1"/>
  <c r="D334" i="12" s="1"/>
  <c r="AA340" i="12" a="1"/>
  <c r="AA340" i="12" s="1"/>
  <c r="X350" i="12"/>
  <c r="W350" i="12" s="1" a="1"/>
  <c r="W350" i="12" s="1"/>
  <c r="E350" i="12" a="1"/>
  <c r="E350" i="12" s="1"/>
  <c r="AC350" i="12" a="1"/>
  <c r="AC350" i="12" s="1"/>
  <c r="D350" i="12" a="1"/>
  <c r="D350" i="12" s="1"/>
  <c r="AB350" i="12" a="1"/>
  <c r="AB350" i="12" s="1"/>
  <c r="C350" i="12" a="1"/>
  <c r="C350" i="12" s="1"/>
  <c r="AA350" i="12" a="1"/>
  <c r="AA350" i="12" s="1"/>
  <c r="X303" i="12"/>
  <c r="W303" i="12" s="1" a="1"/>
  <c r="W303" i="12" s="1"/>
  <c r="X309" i="12"/>
  <c r="W309" i="12" s="1" a="1"/>
  <c r="W309" i="12" s="1"/>
  <c r="X315" i="12"/>
  <c r="W315" i="12" s="1" a="1"/>
  <c r="W315" i="12" s="1"/>
  <c r="X321" i="12"/>
  <c r="W321" i="12" s="1" a="1"/>
  <c r="W321" i="12" s="1"/>
  <c r="X335" i="12"/>
  <c r="W335" i="12" s="1" a="1"/>
  <c r="W335" i="12" s="1"/>
  <c r="AB335" i="12" a="1"/>
  <c r="AB335" i="12" s="1"/>
  <c r="D335" i="12" a="1"/>
  <c r="D335" i="12" s="1"/>
  <c r="AC335" i="12" a="1"/>
  <c r="AC335" i="12" s="1"/>
  <c r="AC338" i="12" a="1"/>
  <c r="AC338" i="12" s="1"/>
  <c r="AB312" i="12" a="1"/>
  <c r="AB312" i="12" s="1"/>
  <c r="D314" i="12" a="1"/>
  <c r="D314" i="12" s="1"/>
  <c r="Z314" i="12"/>
  <c r="AB318" i="12" a="1"/>
  <c r="AB318" i="12" s="1"/>
  <c r="D320" i="12" a="1"/>
  <c r="D320" i="12" s="1"/>
  <c r="Z320" i="12"/>
  <c r="AB324" i="12" a="1"/>
  <c r="AB324" i="12" s="1"/>
  <c r="E325" i="12" a="1"/>
  <c r="E325" i="12" s="1"/>
  <c r="AA325" i="12" a="1"/>
  <c r="AA325" i="12" s="1"/>
  <c r="D326" i="12" a="1"/>
  <c r="D326" i="12" s="1"/>
  <c r="Z326" i="12"/>
  <c r="X328" i="12"/>
  <c r="W328" i="12" s="1" a="1"/>
  <c r="W328" i="12" s="1"/>
  <c r="C331" i="12" a="1"/>
  <c r="C331" i="12" s="1"/>
  <c r="C335" i="12" a="1"/>
  <c r="C335" i="12" s="1"/>
  <c r="C338" i="12" a="1"/>
  <c r="C338" i="12" s="1"/>
  <c r="AC339" i="12" a="1"/>
  <c r="AC339" i="12" s="1"/>
  <c r="X310" i="12"/>
  <c r="W310" i="12" s="1" a="1"/>
  <c r="W310" i="12" s="1"/>
  <c r="X316" i="12"/>
  <c r="W316" i="12" s="1" a="1"/>
  <c r="W316" i="12" s="1"/>
  <c r="X322" i="12"/>
  <c r="W322" i="12" s="1" a="1"/>
  <c r="W322" i="12" s="1"/>
  <c r="Z329" i="12"/>
  <c r="AA336" i="12" a="1"/>
  <c r="AA336" i="12" s="1"/>
  <c r="E337" i="12" a="1"/>
  <c r="E337" i="12" s="1"/>
  <c r="D303" i="12" a="1"/>
  <c r="D303" i="12" s="1"/>
  <c r="D309" i="12" a="1"/>
  <c r="D309" i="12" s="1"/>
  <c r="AC312" i="12" a="1"/>
  <c r="AC312" i="12" s="1"/>
  <c r="E314" i="12" a="1"/>
  <c r="E314" i="12" s="1"/>
  <c r="D315" i="12" a="1"/>
  <c r="D315" i="12" s="1"/>
  <c r="AC318" i="12" a="1"/>
  <c r="AC318" i="12" s="1"/>
  <c r="E320" i="12" a="1"/>
  <c r="E320" i="12" s="1"/>
  <c r="D321" i="12" a="1"/>
  <c r="D321" i="12" s="1"/>
  <c r="AC324" i="12" a="1"/>
  <c r="AC324" i="12" s="1"/>
  <c r="AB325" i="12" a="1"/>
  <c r="AB325" i="12" s="1"/>
  <c r="E326" i="12" a="1"/>
  <c r="E326" i="12" s="1"/>
  <c r="D327" i="12" a="1"/>
  <c r="D327" i="12" s="1"/>
  <c r="C328" i="12" a="1"/>
  <c r="C328" i="12" s="1"/>
  <c r="D338" i="12" a="1"/>
  <c r="D338" i="12" s="1"/>
  <c r="X344" i="12"/>
  <c r="W344" i="12" s="1" a="1"/>
  <c r="W344" i="12" s="1"/>
  <c r="AC344" i="12" a="1"/>
  <c r="AC344" i="12" s="1"/>
  <c r="D344" i="12" a="1"/>
  <c r="D344" i="12" s="1"/>
  <c r="Z344" i="12"/>
  <c r="E331" i="12" a="1"/>
  <c r="E331" i="12" s="1"/>
  <c r="Z334" i="12"/>
  <c r="E335" i="12" a="1"/>
  <c r="E335" i="12" s="1"/>
  <c r="AB336" i="12" a="1"/>
  <c r="AB336" i="12" s="1"/>
  <c r="E338" i="12" a="1"/>
  <c r="E338" i="12" s="1"/>
  <c r="AA344" i="12" a="1"/>
  <c r="AA344" i="12" s="1"/>
  <c r="X360" i="12"/>
  <c r="W360" i="12" s="1" a="1"/>
  <c r="W360" i="12" s="1"/>
  <c r="E360" i="12" a="1"/>
  <c r="E360" i="12" s="1"/>
  <c r="AC360" i="12" a="1"/>
  <c r="AC360" i="12" s="1"/>
  <c r="AB360" i="12" a="1"/>
  <c r="AB360" i="12" s="1"/>
  <c r="D360" i="12" a="1"/>
  <c r="D360" i="12" s="1"/>
  <c r="AA360" i="12" a="1"/>
  <c r="AA360" i="12" s="1"/>
  <c r="C360" i="12" a="1"/>
  <c r="C360" i="12" s="1"/>
  <c r="AA334" i="12" a="1"/>
  <c r="AA334" i="12" s="1"/>
  <c r="Z337" i="12"/>
  <c r="X340" i="12"/>
  <c r="W340" i="12" s="1" a="1"/>
  <c r="W340" i="12" s="1"/>
  <c r="AB340" i="12" a="1"/>
  <c r="AB340" i="12" s="1"/>
  <c r="D340" i="12" a="1"/>
  <c r="D340" i="12" s="1"/>
  <c r="C344" i="12" a="1"/>
  <c r="C344" i="12" s="1"/>
  <c r="AB344" i="12" a="1"/>
  <c r="AB344" i="12" s="1"/>
  <c r="X338" i="12"/>
  <c r="W338" i="12" s="1" a="1"/>
  <c r="W338" i="12" s="1"/>
  <c r="C340" i="12" a="1"/>
  <c r="C340" i="12" s="1"/>
  <c r="X341" i="12"/>
  <c r="W341" i="12" s="1" a="1"/>
  <c r="W341" i="12" s="1"/>
  <c r="AA341" i="12" a="1"/>
  <c r="AA341" i="12" s="1"/>
  <c r="C341" i="12" a="1"/>
  <c r="C341" i="12" s="1"/>
  <c r="AC341" i="12" a="1"/>
  <c r="AC341" i="12" s="1"/>
  <c r="E341" i="12" a="1"/>
  <c r="E341" i="12" s="1"/>
  <c r="E344" i="12" a="1"/>
  <c r="E344" i="12" s="1"/>
  <c r="Z350" i="12"/>
  <c r="X353" i="12"/>
  <c r="W353" i="12" s="1" a="1"/>
  <c r="W353" i="12" s="1"/>
  <c r="AC353" i="12" a="1"/>
  <c r="AC353" i="12" s="1"/>
  <c r="E353" i="12" a="1"/>
  <c r="E353" i="12" s="1"/>
  <c r="AB353" i="12" a="1"/>
  <c r="AB353" i="12" s="1"/>
  <c r="D353" i="12" a="1"/>
  <c r="D353" i="12" s="1"/>
  <c r="AA353" i="12" a="1"/>
  <c r="AA353" i="12" s="1"/>
  <c r="C353" i="12" a="1"/>
  <c r="C353" i="12" s="1"/>
  <c r="AA363" i="12" a="1"/>
  <c r="AA363" i="12" s="1"/>
  <c r="Z373" i="12"/>
  <c r="AA376" i="12" a="1"/>
  <c r="AA376" i="12" s="1"/>
  <c r="AC385" i="12" a="1"/>
  <c r="AC385" i="12" s="1"/>
  <c r="Z385" i="12"/>
  <c r="D385" i="12" a="1"/>
  <c r="D385" i="12" s="1"/>
  <c r="C385" i="12" a="1"/>
  <c r="C385" i="12" s="1"/>
  <c r="Z388" i="12"/>
  <c r="D388" i="12" a="1"/>
  <c r="D388" i="12" s="1"/>
  <c r="X388" i="12"/>
  <c r="W388" i="12" s="1" a="1"/>
  <c r="W388" i="12" s="1"/>
  <c r="AC388" i="12" a="1"/>
  <c r="AC388" i="12" s="1"/>
  <c r="AB388" i="12" a="1"/>
  <c r="AB388" i="12" s="1"/>
  <c r="C389" i="12" a="1"/>
  <c r="C389" i="12" s="1"/>
  <c r="X389" i="12"/>
  <c r="W389" i="12" s="1" a="1"/>
  <c r="W389" i="12" s="1"/>
  <c r="AB389" i="12" a="1"/>
  <c r="AB389" i="12" s="1"/>
  <c r="AA389" i="12" a="1"/>
  <c r="AA389" i="12" s="1"/>
  <c r="E389" i="12" a="1"/>
  <c r="E389" i="12" s="1"/>
  <c r="AB396" i="12" a="1"/>
  <c r="AB396" i="12" s="1"/>
  <c r="C396" i="12" a="1"/>
  <c r="C396" i="12" s="1"/>
  <c r="Z396" i="12"/>
  <c r="D396" i="12" a="1"/>
  <c r="D396" i="12" s="1"/>
  <c r="AC396" i="12" a="1"/>
  <c r="AC396" i="12" s="1"/>
  <c r="AC444" i="12" a="1"/>
  <c r="AC444" i="12" s="1"/>
  <c r="AB444" i="12" a="1"/>
  <c r="AB444" i="12" s="1"/>
  <c r="AA444" i="12" a="1"/>
  <c r="AA444" i="12" s="1"/>
  <c r="Z444" i="12"/>
  <c r="X444" i="12"/>
  <c r="W444" i="12" s="1" a="1"/>
  <c r="W444" i="12" s="1"/>
  <c r="E444" i="12" a="1"/>
  <c r="E444" i="12" s="1"/>
  <c r="D444" i="12" a="1"/>
  <c r="D444" i="12" s="1"/>
  <c r="C444" i="12" a="1"/>
  <c r="C444" i="12" s="1"/>
  <c r="AA458" i="12" a="1"/>
  <c r="AA458" i="12" s="1"/>
  <c r="X458" i="12"/>
  <c r="W458" i="12" s="1" a="1"/>
  <c r="W458" i="12" s="1"/>
  <c r="AC458" i="12" a="1"/>
  <c r="AC458" i="12" s="1"/>
  <c r="AB458" i="12" a="1"/>
  <c r="AB458" i="12" s="1"/>
  <c r="Z458" i="12"/>
  <c r="E458" i="12" a="1"/>
  <c r="E458" i="12" s="1"/>
  <c r="D458" i="12" a="1"/>
  <c r="D458" i="12" s="1"/>
  <c r="E348" i="12" a="1"/>
  <c r="E348" i="12" s="1"/>
  <c r="X349" i="12"/>
  <c r="W349" i="12" s="1" a="1"/>
  <c r="W349" i="12" s="1"/>
  <c r="D357" i="12" a="1"/>
  <c r="D357" i="12" s="1"/>
  <c r="X362" i="12"/>
  <c r="W362" i="12" s="1" a="1"/>
  <c r="W362" i="12" s="1"/>
  <c r="Z366" i="12"/>
  <c r="AB367" i="12" a="1"/>
  <c r="AB367" i="12" s="1"/>
  <c r="X375" i="12"/>
  <c r="W375" i="12" s="1" a="1"/>
  <c r="W375" i="12" s="1"/>
  <c r="C376" i="12" a="1"/>
  <c r="C376" i="12" s="1"/>
  <c r="Z382" i="12"/>
  <c r="D382" i="12" a="1"/>
  <c r="D382" i="12" s="1"/>
  <c r="X382" i="12"/>
  <c r="W382" i="12" s="1" a="1"/>
  <c r="W382" i="12" s="1"/>
  <c r="AC382" i="12" a="1"/>
  <c r="AC382" i="12" s="1"/>
  <c r="C388" i="12" a="1"/>
  <c r="C388" i="12" s="1"/>
  <c r="E396" i="12" a="1"/>
  <c r="E396" i="12" s="1"/>
  <c r="X342" i="12"/>
  <c r="W342" i="12" s="1" a="1"/>
  <c r="W342" i="12" s="1"/>
  <c r="AA346" i="12" a="1"/>
  <c r="AA346" i="12" s="1"/>
  <c r="Z352" i="12"/>
  <c r="AC354" i="12" a="1"/>
  <c r="AC354" i="12" s="1"/>
  <c r="E357" i="12" a="1"/>
  <c r="E357" i="12" s="1"/>
  <c r="AC357" i="12" a="1"/>
  <c r="AC357" i="12" s="1"/>
  <c r="E361" i="12" a="1"/>
  <c r="E361" i="12" s="1"/>
  <c r="C363" i="12" a="1"/>
  <c r="C363" i="12" s="1"/>
  <c r="AB363" i="12" a="1"/>
  <c r="AB363" i="12" s="1"/>
  <c r="D367" i="12" a="1"/>
  <c r="D367" i="12" s="1"/>
  <c r="AC367" i="12" a="1"/>
  <c r="AC367" i="12" s="1"/>
  <c r="E370" i="12" a="1"/>
  <c r="E370" i="12" s="1"/>
  <c r="AC370" i="12" a="1"/>
  <c r="AC370" i="12" s="1"/>
  <c r="C373" i="12" a="1"/>
  <c r="C373" i="12" s="1"/>
  <c r="AA373" i="12" a="1"/>
  <c r="AA373" i="12" s="1"/>
  <c r="D376" i="12" a="1"/>
  <c r="D376" i="12" s="1"/>
  <c r="AB376" i="12" a="1"/>
  <c r="AB376" i="12" s="1"/>
  <c r="AA380" i="12" a="1"/>
  <c r="AA380" i="12" s="1"/>
  <c r="C382" i="12" a="1"/>
  <c r="C382" i="12" s="1"/>
  <c r="D389" i="12" a="1"/>
  <c r="D389" i="12" s="1"/>
  <c r="AC408" i="12" a="1"/>
  <c r="AC408" i="12" s="1"/>
  <c r="AB408" i="12" a="1"/>
  <c r="AB408" i="12" s="1"/>
  <c r="AA408" i="12" a="1"/>
  <c r="AA408" i="12" s="1"/>
  <c r="Z408" i="12"/>
  <c r="X408" i="12"/>
  <c r="W408" i="12" s="1" a="1"/>
  <c r="W408" i="12" s="1"/>
  <c r="E408" i="12" a="1"/>
  <c r="E408" i="12" s="1"/>
  <c r="D408" i="12" a="1"/>
  <c r="D408" i="12" s="1"/>
  <c r="C408" i="12" a="1"/>
  <c r="C408" i="12" s="1"/>
  <c r="AA431" i="12" a="1"/>
  <c r="AA431" i="12" s="1"/>
  <c r="Z431" i="12"/>
  <c r="X431" i="12"/>
  <c r="W431" i="12" s="1" a="1"/>
  <c r="W431" i="12" s="1"/>
  <c r="E431" i="12" a="1"/>
  <c r="E431" i="12" s="1"/>
  <c r="D431" i="12" a="1"/>
  <c r="D431" i="12" s="1"/>
  <c r="C431" i="12" a="1"/>
  <c r="C431" i="12" s="1"/>
  <c r="AB431" i="12" a="1"/>
  <c r="AB431" i="12" s="1"/>
  <c r="D363" i="12" a="1"/>
  <c r="D363" i="12" s="1"/>
  <c r="Z365" i="12"/>
  <c r="C366" i="12" a="1"/>
  <c r="C366" i="12" s="1"/>
  <c r="AA366" i="12" a="1"/>
  <c r="AA366" i="12" s="1"/>
  <c r="X368" i="12"/>
  <c r="W368" i="12" s="1" a="1"/>
  <c r="W368" i="12" s="1"/>
  <c r="Z372" i="12"/>
  <c r="AB373" i="12" a="1"/>
  <c r="AB373" i="12" s="1"/>
  <c r="Z375" i="12"/>
  <c r="X381" i="12"/>
  <c r="W381" i="12" s="1" a="1"/>
  <c r="W381" i="12" s="1"/>
  <c r="E388" i="12" a="1"/>
  <c r="E388" i="12" s="1"/>
  <c r="AC426" i="12" a="1"/>
  <c r="AC426" i="12" s="1"/>
  <c r="AB426" i="12" a="1"/>
  <c r="AB426" i="12" s="1"/>
  <c r="AA426" i="12" a="1"/>
  <c r="AA426" i="12" s="1"/>
  <c r="Z426" i="12"/>
  <c r="X426" i="12"/>
  <c r="W426" i="12" s="1" a="1"/>
  <c r="W426" i="12" s="1"/>
  <c r="E426" i="12" a="1"/>
  <c r="E426" i="12" s="1"/>
  <c r="D426" i="12" a="1"/>
  <c r="D426" i="12" s="1"/>
  <c r="C426" i="12" a="1"/>
  <c r="C426" i="12" s="1"/>
  <c r="Z349" i="12"/>
  <c r="AA352" i="12" a="1"/>
  <c r="AA352" i="12" s="1"/>
  <c r="Z362" i="12"/>
  <c r="E363" i="12" a="1"/>
  <c r="E363" i="12" s="1"/>
  <c r="AC363" i="12" a="1"/>
  <c r="AC363" i="12" s="1"/>
  <c r="D373" i="12" a="1"/>
  <c r="D373" i="12" s="1"/>
  <c r="AC373" i="12" a="1"/>
  <c r="AC373" i="12" s="1"/>
  <c r="AA375" i="12" a="1"/>
  <c r="AA375" i="12" s="1"/>
  <c r="E376" i="12" a="1"/>
  <c r="E376" i="12" s="1"/>
  <c r="AC376" i="12" a="1"/>
  <c r="AC376" i="12" s="1"/>
  <c r="E385" i="12" a="1"/>
  <c r="E385" i="12" s="1"/>
  <c r="X385" i="12"/>
  <c r="W385" i="12" s="1" a="1"/>
  <c r="W385" i="12" s="1"/>
  <c r="Z389" i="12"/>
  <c r="X391" i="12"/>
  <c r="W391" i="12" s="1" a="1"/>
  <c r="W391" i="12" s="1"/>
  <c r="AB391" i="12" a="1"/>
  <c r="AB391" i="12" s="1"/>
  <c r="D391" i="12" a="1"/>
  <c r="D391" i="12" s="1"/>
  <c r="AA391" i="12" a="1"/>
  <c r="AA391" i="12" s="1"/>
  <c r="C391" i="12" a="1"/>
  <c r="C391" i="12" s="1"/>
  <c r="AA413" i="12" a="1"/>
  <c r="AA413" i="12" s="1"/>
  <c r="Z413" i="12"/>
  <c r="X413" i="12"/>
  <c r="W413" i="12" s="1" a="1"/>
  <c r="W413" i="12" s="1"/>
  <c r="E413" i="12" a="1"/>
  <c r="E413" i="12" s="1"/>
  <c r="D413" i="12" a="1"/>
  <c r="D413" i="12" s="1"/>
  <c r="C413" i="12" a="1"/>
  <c r="C413" i="12" s="1"/>
  <c r="AB413" i="12" a="1"/>
  <c r="AB413" i="12" s="1"/>
  <c r="Z342" i="12"/>
  <c r="Z345" i="12"/>
  <c r="X351" i="12"/>
  <c r="W351" i="12" s="1" a="1"/>
  <c r="W351" i="12" s="1"/>
  <c r="C352" i="12" a="1"/>
  <c r="C352" i="12" s="1"/>
  <c r="X361" i="12"/>
  <c r="W361" i="12" s="1" a="1"/>
  <c r="W361" i="12" s="1"/>
  <c r="AA362" i="12" a="1"/>
  <c r="AA362" i="12" s="1"/>
  <c r="C365" i="12" a="1"/>
  <c r="C365" i="12" s="1"/>
  <c r="AA365" i="12" a="1"/>
  <c r="AA365" i="12" s="1"/>
  <c r="D366" i="12" a="1"/>
  <c r="D366" i="12" s="1"/>
  <c r="AB366" i="12" a="1"/>
  <c r="AB366" i="12" s="1"/>
  <c r="AA372" i="12" a="1"/>
  <c r="AA372" i="12" s="1"/>
  <c r="X374" i="12"/>
  <c r="W374" i="12" s="1" a="1"/>
  <c r="W374" i="12" s="1"/>
  <c r="C380" i="12" a="1"/>
  <c r="C380" i="12" s="1"/>
  <c r="Z381" i="12"/>
  <c r="C383" i="12" a="1"/>
  <c r="C383" i="12" s="1"/>
  <c r="X383" i="12"/>
  <c r="W383" i="12" s="1" a="1"/>
  <c r="W383" i="12" s="1"/>
  <c r="AB383" i="12" a="1"/>
  <c r="AB383" i="12" s="1"/>
  <c r="AA345" i="12" a="1"/>
  <c r="AA345" i="12" s="1"/>
  <c r="C349" i="12" a="1"/>
  <c r="C349" i="12" s="1"/>
  <c r="AA349" i="12" a="1"/>
  <c r="AA349" i="12" s="1"/>
  <c r="D352" i="12" a="1"/>
  <c r="D352" i="12" s="1"/>
  <c r="AB352" i="12" a="1"/>
  <c r="AB352" i="12" s="1"/>
  <c r="Z355" i="12"/>
  <c r="AA358" i="12" a="1"/>
  <c r="AA358" i="12" s="1"/>
  <c r="C362" i="12" a="1"/>
  <c r="C362" i="12" s="1"/>
  <c r="AB362" i="12" a="1"/>
  <c r="AB362" i="12" s="1"/>
  <c r="Z364" i="12"/>
  <c r="E373" i="12" a="1"/>
  <c r="E373" i="12" s="1"/>
  <c r="C375" i="12" a="1"/>
  <c r="C375" i="12" s="1"/>
  <c r="AB375" i="12" a="1"/>
  <c r="AB375" i="12" s="1"/>
  <c r="AA388" i="12" a="1"/>
  <c r="AA388" i="12" s="1"/>
  <c r="Z391" i="12"/>
  <c r="X395" i="12"/>
  <c r="W395" i="12" s="1" a="1"/>
  <c r="W395" i="12" s="1"/>
  <c r="AC395" i="12" a="1"/>
  <c r="AC395" i="12" s="1"/>
  <c r="D395" i="12" a="1"/>
  <c r="D395" i="12" s="1"/>
  <c r="AB395" i="12" a="1"/>
  <c r="AB395" i="12" s="1"/>
  <c r="C395" i="12" a="1"/>
  <c r="C395" i="12" s="1"/>
  <c r="Z348" i="12"/>
  <c r="AB349" i="12" a="1"/>
  <c r="AB349" i="12" s="1"/>
  <c r="Z351" i="12"/>
  <c r="X357" i="12"/>
  <c r="W357" i="12" s="1" a="1"/>
  <c r="W357" i="12" s="1"/>
  <c r="AB365" i="12" a="1"/>
  <c r="AB365" i="12" s="1"/>
  <c r="X367" i="12"/>
  <c r="W367" i="12" s="1" a="1"/>
  <c r="W367" i="12" s="1"/>
  <c r="D375" i="12" a="1"/>
  <c r="D375" i="12" s="1"/>
  <c r="AA385" i="12" a="1"/>
  <c r="AA385" i="12" s="1"/>
  <c r="Z395" i="12"/>
  <c r="D349" i="12" a="1"/>
  <c r="D349" i="12" s="1"/>
  <c r="E352" i="12" a="1"/>
  <c r="E352" i="12" s="1"/>
  <c r="AC352" i="12" a="1"/>
  <c r="AC352" i="12" s="1"/>
  <c r="D362" i="12" a="1"/>
  <c r="D362" i="12" s="1"/>
  <c r="AC362" i="12" a="1"/>
  <c r="AC362" i="12" s="1"/>
  <c r="AA364" i="12" a="1"/>
  <c r="AA364" i="12" s="1"/>
  <c r="Z370" i="12"/>
  <c r="Z374" i="12"/>
  <c r="E375" i="12" a="1"/>
  <c r="E375" i="12" s="1"/>
  <c r="AA381" i="12" a="1"/>
  <c r="AA381" i="12" s="1"/>
  <c r="E381" i="12" a="1"/>
  <c r="E381" i="12" s="1"/>
  <c r="AB385" i="12" a="1"/>
  <c r="AB385" i="12" s="1"/>
  <c r="AC389" i="12" a="1"/>
  <c r="AC389" i="12" s="1"/>
  <c r="E391" i="12" a="1"/>
  <c r="E391" i="12" s="1"/>
  <c r="AA395" i="12" a="1"/>
  <c r="AA395" i="12" s="1"/>
  <c r="X404" i="12"/>
  <c r="W404" i="12" s="1" a="1"/>
  <c r="W404" i="12" s="1"/>
  <c r="AB404" i="12" a="1"/>
  <c r="AB404" i="12" s="1"/>
  <c r="AA404" i="12" a="1"/>
  <c r="AA404" i="12" s="1"/>
  <c r="Z404" i="12"/>
  <c r="E404" i="12" a="1"/>
  <c r="E404" i="12" s="1"/>
  <c r="D404" i="12" a="1"/>
  <c r="D404" i="12" s="1"/>
  <c r="AC404" i="12" a="1"/>
  <c r="AC404" i="12" s="1"/>
  <c r="AC413" i="12" a="1"/>
  <c r="AC413" i="12" s="1"/>
  <c r="X440" i="12"/>
  <c r="W440" i="12" s="1" a="1"/>
  <c r="W440" i="12" s="1"/>
  <c r="AB440" i="12" a="1"/>
  <c r="AB440" i="12" s="1"/>
  <c r="AA440" i="12" a="1"/>
  <c r="AA440" i="12" s="1"/>
  <c r="Z440" i="12"/>
  <c r="E440" i="12" a="1"/>
  <c r="E440" i="12" s="1"/>
  <c r="D440" i="12" a="1"/>
  <c r="D440" i="12" s="1"/>
  <c r="AC440" i="12" a="1"/>
  <c r="AC440" i="12" s="1"/>
  <c r="D342" i="12" a="1"/>
  <c r="D342" i="12" s="1"/>
  <c r="C348" i="12" a="1"/>
  <c r="C348" i="12" s="1"/>
  <c r="Z357" i="12"/>
  <c r="C364" i="12" a="1"/>
  <c r="C364" i="12" s="1"/>
  <c r="E365" i="12" a="1"/>
  <c r="E365" i="12" s="1"/>
  <c r="AC365" i="12" a="1"/>
  <c r="AC365" i="12" s="1"/>
  <c r="C377" i="12" a="1"/>
  <c r="C377" i="12" s="1"/>
  <c r="AB377" i="12" a="1"/>
  <c r="AB377" i="12" s="1"/>
  <c r="AC381" i="12" a="1"/>
  <c r="AC381" i="12" s="1"/>
  <c r="E383" i="12" a="1"/>
  <c r="E383" i="12" s="1"/>
  <c r="E395" i="12" a="1"/>
  <c r="E395" i="12" s="1"/>
  <c r="X400" i="12"/>
  <c r="W400" i="12" s="1" a="1"/>
  <c r="W400" i="12" s="1"/>
  <c r="E400" i="12" a="1"/>
  <c r="E400" i="12" s="1"/>
  <c r="AC400" i="12" a="1"/>
  <c r="AC400" i="12" s="1"/>
  <c r="C400" i="12" a="1"/>
  <c r="C400" i="12" s="1"/>
  <c r="AA400" i="12" a="1"/>
  <c r="AA400" i="12" s="1"/>
  <c r="Z400" i="12"/>
  <c r="C404" i="12" a="1"/>
  <c r="C404" i="12" s="1"/>
  <c r="AA370" i="12" a="1"/>
  <c r="AA370" i="12" s="1"/>
  <c r="Z376" i="12"/>
  <c r="AA382" i="12" a="1"/>
  <c r="AA382" i="12" s="1"/>
  <c r="AC391" i="12" a="1"/>
  <c r="AC391" i="12" s="1"/>
  <c r="X396" i="12"/>
  <c r="W396" i="12" s="1" a="1"/>
  <c r="W396" i="12" s="1"/>
  <c r="X398" i="12"/>
  <c r="W398" i="12" s="1" a="1"/>
  <c r="W398" i="12" s="1"/>
  <c r="Z398" i="12"/>
  <c r="AA398" i="12" a="1"/>
  <c r="AA398" i="12" s="1"/>
  <c r="AA449" i="12" a="1"/>
  <c r="AA449" i="12" s="1"/>
  <c r="Z449" i="12"/>
  <c r="X449" i="12"/>
  <c r="W449" i="12" s="1" a="1"/>
  <c r="W449" i="12" s="1"/>
  <c r="E449" i="12" a="1"/>
  <c r="E449" i="12" s="1"/>
  <c r="D449" i="12" a="1"/>
  <c r="D449" i="12" s="1"/>
  <c r="C449" i="12" a="1"/>
  <c r="C449" i="12" s="1"/>
  <c r="AB449" i="12" a="1"/>
  <c r="AB449" i="12" s="1"/>
  <c r="X422" i="12"/>
  <c r="W422" i="12" s="1" a="1"/>
  <c r="W422" i="12" s="1"/>
  <c r="AB422" i="12" a="1"/>
  <c r="AB422" i="12" s="1"/>
  <c r="AA422" i="12" a="1"/>
  <c r="AA422" i="12" s="1"/>
  <c r="Z422" i="12"/>
  <c r="E422" i="12" a="1"/>
  <c r="E422" i="12" s="1"/>
  <c r="D422" i="12" a="1"/>
  <c r="D422" i="12" s="1"/>
  <c r="AC422" i="12" a="1"/>
  <c r="AC422" i="12" s="1"/>
  <c r="AA405" i="12" a="1"/>
  <c r="AA405" i="12" s="1"/>
  <c r="E416" i="12" a="1"/>
  <c r="E416" i="12" s="1"/>
  <c r="D420" i="12" a="1"/>
  <c r="D420" i="12" s="1"/>
  <c r="AA423" i="12" a="1"/>
  <c r="AA423" i="12" s="1"/>
  <c r="E424" i="12" a="1"/>
  <c r="E424" i="12" s="1"/>
  <c r="E434" i="12" a="1"/>
  <c r="E434" i="12" s="1"/>
  <c r="D438" i="12" a="1"/>
  <c r="D438" i="12" s="1"/>
  <c r="AA441" i="12" a="1"/>
  <c r="AA441" i="12" s="1"/>
  <c r="E442" i="12" a="1"/>
  <c r="E442" i="12" s="1"/>
  <c r="Z450" i="12"/>
  <c r="E452" i="12" a="1"/>
  <c r="E452" i="12" s="1"/>
  <c r="AA454" i="12" a="1"/>
  <c r="AA454" i="12" s="1"/>
  <c r="D456" i="12" a="1"/>
  <c r="D456" i="12" s="1"/>
  <c r="AC462" i="12" a="1"/>
  <c r="AC462" i="12" s="1"/>
  <c r="AA462" i="12" a="1"/>
  <c r="AA462" i="12" s="1"/>
  <c r="E462" i="12" a="1"/>
  <c r="E462" i="12" s="1"/>
  <c r="AA470" i="12" a="1"/>
  <c r="AA470" i="12" s="1"/>
  <c r="E470" i="12" a="1"/>
  <c r="E470" i="12" s="1"/>
  <c r="C470" i="12" a="1"/>
  <c r="C470" i="12" s="1"/>
  <c r="X470" i="12"/>
  <c r="W470" i="12" s="1" a="1"/>
  <c r="W470" i="12" s="1"/>
  <c r="C472" i="12" a="1"/>
  <c r="C472" i="12" s="1"/>
  <c r="X472" i="12"/>
  <c r="W472" i="12" s="1" a="1"/>
  <c r="W472" i="12" s="1"/>
  <c r="AC472" i="12" a="1"/>
  <c r="AC472" i="12" s="1"/>
  <c r="AA472" i="12" a="1"/>
  <c r="AA472" i="12" s="1"/>
  <c r="E472" i="12" a="1"/>
  <c r="E472" i="12" s="1"/>
  <c r="AB472" i="12" a="1"/>
  <c r="AB472" i="12" s="1"/>
  <c r="AC486" i="12" a="1"/>
  <c r="AC486" i="12" s="1"/>
  <c r="AB486" i="12" a="1"/>
  <c r="AB486" i="12" s="1"/>
  <c r="AA486" i="12" a="1"/>
  <c r="AA486" i="12" s="1"/>
  <c r="E486" i="12" a="1"/>
  <c r="E486" i="12" s="1"/>
  <c r="Z486" i="12"/>
  <c r="D486" i="12" a="1"/>
  <c r="D486" i="12" s="1"/>
  <c r="C486" i="12" a="1"/>
  <c r="C486" i="12" s="1"/>
  <c r="X486" i="12"/>
  <c r="W486" i="12" s="1" a="1"/>
  <c r="W486" i="12" s="1"/>
  <c r="AA505" i="12" a="1"/>
  <c r="AA505" i="12" s="1"/>
  <c r="Z505" i="12"/>
  <c r="X505" i="12"/>
  <c r="W505" i="12" s="1" a="1"/>
  <c r="W505" i="12" s="1"/>
  <c r="E505" i="12" a="1"/>
  <c r="E505" i="12" s="1"/>
  <c r="D505" i="12" a="1"/>
  <c r="D505" i="12" s="1"/>
  <c r="C505" i="12" a="1"/>
  <c r="C505" i="12" s="1"/>
  <c r="AC405" i="12" a="1"/>
  <c r="AC405" i="12" s="1"/>
  <c r="AB415" i="12" a="1"/>
  <c r="AB415" i="12" s="1"/>
  <c r="Z416" i="12"/>
  <c r="AA419" i="12" a="1"/>
  <c r="AA419" i="12" s="1"/>
  <c r="AC423" i="12" a="1"/>
  <c r="AC423" i="12" s="1"/>
  <c r="AB433" i="12" a="1"/>
  <c r="AB433" i="12" s="1"/>
  <c r="Z434" i="12"/>
  <c r="AA437" i="12" a="1"/>
  <c r="AA437" i="12" s="1"/>
  <c r="AC441" i="12" a="1"/>
  <c r="AC441" i="12" s="1"/>
  <c r="AB451" i="12" a="1"/>
  <c r="AB451" i="12" s="1"/>
  <c r="Z452" i="12"/>
  <c r="AA455" i="12" a="1"/>
  <c r="AA455" i="12" s="1"/>
  <c r="Z459" i="12"/>
  <c r="D459" i="12" a="1"/>
  <c r="D459" i="12" s="1"/>
  <c r="X459" i="12"/>
  <c r="W459" i="12" s="1" a="1"/>
  <c r="W459" i="12" s="1"/>
  <c r="C460" i="12" a="1"/>
  <c r="C460" i="12" s="1"/>
  <c r="X460" i="12"/>
  <c r="W460" i="12" s="1" a="1"/>
  <c r="W460" i="12" s="1"/>
  <c r="AC460" i="12" a="1"/>
  <c r="AC460" i="12" s="1"/>
  <c r="Z492" i="12"/>
  <c r="X492" i="12"/>
  <c r="W492" i="12" s="1" a="1"/>
  <c r="W492" i="12" s="1"/>
  <c r="E492" i="12" a="1"/>
  <c r="E492" i="12" s="1"/>
  <c r="D492" i="12" a="1"/>
  <c r="D492" i="12" s="1"/>
  <c r="AC492" i="12" a="1"/>
  <c r="AC492" i="12" s="1"/>
  <c r="C492" i="12" a="1"/>
  <c r="C492" i="12" s="1"/>
  <c r="AA416" i="12" a="1"/>
  <c r="AA416" i="12" s="1"/>
  <c r="AB419" i="12" a="1"/>
  <c r="AB419" i="12" s="1"/>
  <c r="Z420" i="12"/>
  <c r="AA424" i="12" a="1"/>
  <c r="AA424" i="12" s="1"/>
  <c r="AA434" i="12" a="1"/>
  <c r="AA434" i="12" s="1"/>
  <c r="AB437" i="12" a="1"/>
  <c r="AB437" i="12" s="1"/>
  <c r="Z438" i="12"/>
  <c r="AA442" i="12" a="1"/>
  <c r="AA442" i="12" s="1"/>
  <c r="AA452" i="12" a="1"/>
  <c r="AA452" i="12" s="1"/>
  <c r="C454" i="12" a="1"/>
  <c r="C454" i="12" s="1"/>
  <c r="AB455" i="12" a="1"/>
  <c r="AB455" i="12" s="1"/>
  <c r="Z456" i="12"/>
  <c r="O456" i="12" s="1"/>
  <c r="P456" i="12" s="1"/>
  <c r="C459" i="12" a="1"/>
  <c r="C459" i="12" s="1"/>
  <c r="Z462" i="12"/>
  <c r="AB469" i="12" a="1"/>
  <c r="AB469" i="12" s="1"/>
  <c r="Z469" i="12"/>
  <c r="D469" i="12" a="1"/>
  <c r="D469" i="12" s="1"/>
  <c r="X469" i="12"/>
  <c r="W469" i="12" s="1" a="1"/>
  <c r="W469" i="12" s="1"/>
  <c r="X503" i="12"/>
  <c r="W503" i="12" s="1" a="1"/>
  <c r="W503" i="12" s="1"/>
  <c r="AA503" i="12" a="1"/>
  <c r="AA503" i="12" s="1"/>
  <c r="Z503" i="12"/>
  <c r="E503" i="12" a="1"/>
  <c r="E503" i="12" s="1"/>
  <c r="D503" i="12" a="1"/>
  <c r="D503" i="12" s="1"/>
  <c r="AC503" i="12" a="1"/>
  <c r="AC503" i="12" s="1"/>
  <c r="C386" i="12" a="1"/>
  <c r="C386" i="12" s="1"/>
  <c r="X393" i="12"/>
  <c r="W393" i="12" s="1" a="1"/>
  <c r="W393" i="12" s="1"/>
  <c r="Z394" i="12"/>
  <c r="AA397" i="12" a="1"/>
  <c r="AA397" i="12" s="1"/>
  <c r="C405" i="12" a="1"/>
  <c r="C405" i="12" s="1"/>
  <c r="AB406" i="12" a="1"/>
  <c r="AB406" i="12" s="1"/>
  <c r="D409" i="12" a="1"/>
  <c r="D409" i="12" s="1"/>
  <c r="AC415" i="12" a="1"/>
  <c r="AC415" i="12" s="1"/>
  <c r="AC419" i="12" a="1"/>
  <c r="AC419" i="12" s="1"/>
  <c r="AA420" i="12" a="1"/>
  <c r="AA420" i="12" s="1"/>
  <c r="C423" i="12" a="1"/>
  <c r="C423" i="12" s="1"/>
  <c r="AB424" i="12" a="1"/>
  <c r="AB424" i="12" s="1"/>
  <c r="D427" i="12" a="1"/>
  <c r="D427" i="12" s="1"/>
  <c r="AC433" i="12" a="1"/>
  <c r="AC433" i="12" s="1"/>
  <c r="AC437" i="12" a="1"/>
  <c r="AC437" i="12" s="1"/>
  <c r="AA438" i="12" a="1"/>
  <c r="AA438" i="12" s="1"/>
  <c r="C441" i="12" a="1"/>
  <c r="C441" i="12" s="1"/>
  <c r="AB442" i="12" a="1"/>
  <c r="AB442" i="12" s="1"/>
  <c r="D445" i="12" a="1"/>
  <c r="D445" i="12" s="1"/>
  <c r="AC451" i="12" a="1"/>
  <c r="AC451" i="12" s="1"/>
  <c r="AC455" i="12" a="1"/>
  <c r="AC455" i="12" s="1"/>
  <c r="AA456" i="12" a="1"/>
  <c r="AA456" i="12" s="1"/>
  <c r="D460" i="12" a="1"/>
  <c r="D460" i="12" s="1"/>
  <c r="AA464" i="12" a="1"/>
  <c r="AA464" i="12" s="1"/>
  <c r="E464" i="12" a="1"/>
  <c r="E464" i="12" s="1"/>
  <c r="C464" i="12" a="1"/>
  <c r="C464" i="12" s="1"/>
  <c r="X464" i="12"/>
  <c r="W464" i="12" s="1" a="1"/>
  <c r="W464" i="12" s="1"/>
  <c r="C469" i="12" a="1"/>
  <c r="C469" i="12" s="1"/>
  <c r="AB416" i="12" a="1"/>
  <c r="AB416" i="12" s="1"/>
  <c r="AB420" i="12" a="1"/>
  <c r="AB420" i="12" s="1"/>
  <c r="AB434" i="12" a="1"/>
  <c r="AB434" i="12" s="1"/>
  <c r="AB438" i="12" a="1"/>
  <c r="AB438" i="12" s="1"/>
  <c r="AB452" i="12" a="1"/>
  <c r="AB452" i="12" s="1"/>
  <c r="AB456" i="12" a="1"/>
  <c r="AB456" i="12" s="1"/>
  <c r="X490" i="12"/>
  <c r="W490" i="12" s="1" a="1"/>
  <c r="W490" i="12" s="1"/>
  <c r="AA490" i="12" a="1"/>
  <c r="AA490" i="12" s="1"/>
  <c r="Z490" i="12"/>
  <c r="E490" i="12" a="1"/>
  <c r="E490" i="12" s="1"/>
  <c r="AC490" i="12" a="1"/>
  <c r="AC490" i="12" s="1"/>
  <c r="D490" i="12" a="1"/>
  <c r="D490" i="12" s="1"/>
  <c r="AA513" i="12" a="1"/>
  <c r="AA513" i="12" s="1"/>
  <c r="X513" i="12"/>
  <c r="W513" i="12" s="1" a="1"/>
  <c r="W513" i="12" s="1"/>
  <c r="AC513" i="12" a="1"/>
  <c r="AC513" i="12" s="1"/>
  <c r="AB513" i="12" a="1"/>
  <c r="AB513" i="12" s="1"/>
  <c r="Z513" i="12"/>
  <c r="E513" i="12" a="1"/>
  <c r="E513" i="12" s="1"/>
  <c r="D513" i="12" a="1"/>
  <c r="D513" i="12" s="1"/>
  <c r="C513" i="12" a="1"/>
  <c r="C513" i="12" s="1"/>
  <c r="AC420" i="12" a="1"/>
  <c r="AC420" i="12" s="1"/>
  <c r="AC438" i="12" a="1"/>
  <c r="AC438" i="12" s="1"/>
  <c r="AC456" i="12" a="1"/>
  <c r="AC456" i="12" s="1"/>
  <c r="AC468" i="12" a="1"/>
  <c r="AC468" i="12" s="1"/>
  <c r="AA468" i="12" a="1"/>
  <c r="AA468" i="12" s="1"/>
  <c r="E468" i="12" a="1"/>
  <c r="E468" i="12" s="1"/>
  <c r="AC480" i="12" a="1"/>
  <c r="AC480" i="12" s="1"/>
  <c r="AB480" i="12" a="1"/>
  <c r="AB480" i="12" s="1"/>
  <c r="AA480" i="12" a="1"/>
  <c r="AA480" i="12" s="1"/>
  <c r="E480" i="12" a="1"/>
  <c r="E480" i="12" s="1"/>
  <c r="Z480" i="12"/>
  <c r="D480" i="12" a="1"/>
  <c r="D480" i="12" s="1"/>
  <c r="C480" i="12" a="1"/>
  <c r="C480" i="12" s="1"/>
  <c r="X480" i="12"/>
  <c r="W480" i="12" s="1" a="1"/>
  <c r="W480" i="12" s="1"/>
  <c r="C490" i="12" a="1"/>
  <c r="C490" i="12" s="1"/>
  <c r="X508" i="12"/>
  <c r="W508" i="12" s="1" a="1"/>
  <c r="W508" i="12" s="1"/>
  <c r="AC508" i="12" a="1"/>
  <c r="AC508" i="12" s="1"/>
  <c r="AB508" i="12" a="1"/>
  <c r="AB508" i="12" s="1"/>
  <c r="AA508" i="12" a="1"/>
  <c r="AA508" i="12" s="1"/>
  <c r="Z508" i="12"/>
  <c r="E508" i="12" a="1"/>
  <c r="E508" i="12" s="1"/>
  <c r="D508" i="12" a="1"/>
  <c r="D508" i="12" s="1"/>
  <c r="Z393" i="12"/>
  <c r="AB394" i="12" a="1"/>
  <c r="AB394" i="12" s="1"/>
  <c r="E405" i="12" a="1"/>
  <c r="E405" i="12" s="1"/>
  <c r="C406" i="12" a="1"/>
  <c r="C406" i="12" s="1"/>
  <c r="C415" i="12" a="1"/>
  <c r="C415" i="12" s="1"/>
  <c r="AC416" i="12" a="1"/>
  <c r="AC416" i="12" s="1"/>
  <c r="AA417" i="12" a="1"/>
  <c r="AA417" i="12" s="1"/>
  <c r="E418" i="12" a="1"/>
  <c r="E418" i="12" s="1"/>
  <c r="C419" i="12" a="1"/>
  <c r="C419" i="12" s="1"/>
  <c r="E423" i="12" a="1"/>
  <c r="E423" i="12" s="1"/>
  <c r="C424" i="12" a="1"/>
  <c r="C424" i="12" s="1"/>
  <c r="E428" i="12" a="1"/>
  <c r="E428" i="12" s="1"/>
  <c r="AA430" i="12" a="1"/>
  <c r="AA430" i="12" s="1"/>
  <c r="D432" i="12" a="1"/>
  <c r="D432" i="12" s="1"/>
  <c r="C433" i="12" a="1"/>
  <c r="C433" i="12" s="1"/>
  <c r="AC434" i="12" a="1"/>
  <c r="AC434" i="12" s="1"/>
  <c r="AA435" i="12" a="1"/>
  <c r="AA435" i="12" s="1"/>
  <c r="E436" i="12" a="1"/>
  <c r="E436" i="12" s="1"/>
  <c r="C437" i="12" a="1"/>
  <c r="C437" i="12" s="1"/>
  <c r="E441" i="12" a="1"/>
  <c r="E441" i="12" s="1"/>
  <c r="C442" i="12" a="1"/>
  <c r="C442" i="12" s="1"/>
  <c r="E446" i="12" a="1"/>
  <c r="E446" i="12" s="1"/>
  <c r="AA448" i="12" a="1"/>
  <c r="AA448" i="12" s="1"/>
  <c r="D450" i="12" a="1"/>
  <c r="D450" i="12" s="1"/>
  <c r="C451" i="12" a="1"/>
  <c r="C451" i="12" s="1"/>
  <c r="AC452" i="12" a="1"/>
  <c r="AC452" i="12" s="1"/>
  <c r="AA453" i="12" a="1"/>
  <c r="AA453" i="12" s="1"/>
  <c r="E454" i="12" a="1"/>
  <c r="E454" i="12" s="1"/>
  <c r="C455" i="12" a="1"/>
  <c r="C455" i="12" s="1"/>
  <c r="AA459" i="12" a="1"/>
  <c r="AA459" i="12" s="1"/>
  <c r="AB464" i="12" a="1"/>
  <c r="AB464" i="12" s="1"/>
  <c r="AC469" i="12" a="1"/>
  <c r="AC469" i="12" s="1"/>
  <c r="AA492" i="12" a="1"/>
  <c r="AA492" i="12" s="1"/>
  <c r="X501" i="12"/>
  <c r="W501" i="12" s="1" a="1"/>
  <c r="W501" i="12" s="1"/>
  <c r="AA501" i="12" a="1"/>
  <c r="AA501" i="12" s="1"/>
  <c r="Z501" i="12"/>
  <c r="E501" i="12" a="1"/>
  <c r="E501" i="12" s="1"/>
  <c r="D501" i="12" a="1"/>
  <c r="D501" i="12" s="1"/>
  <c r="AC501" i="12" a="1"/>
  <c r="AC501" i="12" s="1"/>
  <c r="C501" i="12" a="1"/>
  <c r="C501" i="12" s="1"/>
  <c r="C508" i="12" a="1"/>
  <c r="C508" i="12" s="1"/>
  <c r="AB463" i="12" a="1"/>
  <c r="AB463" i="12" s="1"/>
  <c r="Z463" i="12"/>
  <c r="D463" i="12" a="1"/>
  <c r="D463" i="12" s="1"/>
  <c r="X463" i="12"/>
  <c r="W463" i="12" s="1" a="1"/>
  <c r="W463" i="12" s="1"/>
  <c r="X468" i="12"/>
  <c r="W468" i="12" s="1" a="1"/>
  <c r="W468" i="12" s="1"/>
  <c r="AB492" i="12" a="1"/>
  <c r="AB492" i="12" s="1"/>
  <c r="Z392" i="12"/>
  <c r="C393" i="12" a="1"/>
  <c r="C393" i="12" s="1"/>
  <c r="AA401" i="12" a="1"/>
  <c r="AA401" i="12" s="1"/>
  <c r="Z405" i="12"/>
  <c r="D406" i="12" a="1"/>
  <c r="D406" i="12" s="1"/>
  <c r="AA409" i="12" a="1"/>
  <c r="AA409" i="12" s="1"/>
  <c r="D411" i="12" a="1"/>
  <c r="D411" i="12" s="1"/>
  <c r="AC412" i="12" a="1"/>
  <c r="AC412" i="12" s="1"/>
  <c r="E415" i="12" a="1"/>
  <c r="E415" i="12" s="1"/>
  <c r="C416" i="12" a="1"/>
  <c r="C416" i="12" s="1"/>
  <c r="AB417" i="12" a="1"/>
  <c r="AB417" i="12" s="1"/>
  <c r="Z418" i="12"/>
  <c r="D419" i="12" a="1"/>
  <c r="D419" i="12" s="1"/>
  <c r="Z423" i="12"/>
  <c r="D424" i="12" a="1"/>
  <c r="D424" i="12" s="1"/>
  <c r="AA427" i="12" a="1"/>
  <c r="AA427" i="12" s="1"/>
  <c r="D429" i="12" a="1"/>
  <c r="D429" i="12" s="1"/>
  <c r="AC430" i="12" a="1"/>
  <c r="AC430" i="12" s="1"/>
  <c r="E433" i="12" a="1"/>
  <c r="E433" i="12" s="1"/>
  <c r="C434" i="12" a="1"/>
  <c r="C434" i="12" s="1"/>
  <c r="AB435" i="12" a="1"/>
  <c r="AB435" i="12" s="1"/>
  <c r="Z436" i="12"/>
  <c r="D437" i="12" a="1"/>
  <c r="D437" i="12" s="1"/>
  <c r="Z441" i="12"/>
  <c r="D442" i="12" a="1"/>
  <c r="D442" i="12" s="1"/>
  <c r="AA445" i="12" a="1"/>
  <c r="AA445" i="12" s="1"/>
  <c r="D447" i="12" a="1"/>
  <c r="D447" i="12" s="1"/>
  <c r="AC448" i="12" a="1"/>
  <c r="AC448" i="12" s="1"/>
  <c r="E451" i="12" a="1"/>
  <c r="E451" i="12" s="1"/>
  <c r="C452" i="12" a="1"/>
  <c r="C452" i="12" s="1"/>
  <c r="AB453" i="12" a="1"/>
  <c r="AB453" i="12" s="1"/>
  <c r="Z454" i="12"/>
  <c r="D455" i="12" a="1"/>
  <c r="D455" i="12" s="1"/>
  <c r="AB459" i="12" a="1"/>
  <c r="AB459" i="12" s="1"/>
  <c r="AB460" i="12" a="1"/>
  <c r="AB460" i="12" s="1"/>
  <c r="C463" i="12" a="1"/>
  <c r="C463" i="12" s="1"/>
  <c r="AC464" i="12" a="1"/>
  <c r="AC464" i="12" s="1"/>
  <c r="D468" i="12" a="1"/>
  <c r="D468" i="12" s="1"/>
  <c r="AB503" i="12" a="1"/>
  <c r="AB503" i="12" s="1"/>
  <c r="E387" i="12" a="1"/>
  <c r="E387" i="12" s="1"/>
  <c r="AB409" i="12" a="1"/>
  <c r="AB409" i="12" s="1"/>
  <c r="Z410" i="12"/>
  <c r="D416" i="12" a="1"/>
  <c r="D416" i="12" s="1"/>
  <c r="AC417" i="12" a="1"/>
  <c r="AC417" i="12" s="1"/>
  <c r="E419" i="12" a="1"/>
  <c r="E419" i="12" s="1"/>
  <c r="AB427" i="12" a="1"/>
  <c r="AB427" i="12" s="1"/>
  <c r="Z428" i="12"/>
  <c r="D434" i="12" a="1"/>
  <c r="D434" i="12" s="1"/>
  <c r="AC435" i="12" a="1"/>
  <c r="AC435" i="12" s="1"/>
  <c r="E437" i="12" a="1"/>
  <c r="E437" i="12" s="1"/>
  <c r="AB445" i="12" a="1"/>
  <c r="AB445" i="12" s="1"/>
  <c r="Z446" i="12"/>
  <c r="D452" i="12" a="1"/>
  <c r="D452" i="12" s="1"/>
  <c r="AC453" i="12" a="1"/>
  <c r="AC453" i="12" s="1"/>
  <c r="E455" i="12" a="1"/>
  <c r="E455" i="12" s="1"/>
  <c r="AC459" i="12" a="1"/>
  <c r="AC459" i="12" s="1"/>
  <c r="E463" i="12" a="1"/>
  <c r="E463" i="12" s="1"/>
  <c r="AA463" i="12" a="1"/>
  <c r="AA463" i="12" s="1"/>
  <c r="C466" i="12" a="1"/>
  <c r="C466" i="12" s="1"/>
  <c r="X466" i="12"/>
  <c r="W466" i="12" s="1" a="1"/>
  <c r="W466" i="12" s="1"/>
  <c r="AC466" i="12" a="1"/>
  <c r="AC466" i="12" s="1"/>
  <c r="Z468" i="12"/>
  <c r="Z470" i="12"/>
  <c r="Z472" i="12"/>
  <c r="AC474" i="12" a="1"/>
  <c r="AC474" i="12" s="1"/>
  <c r="AA474" i="12" a="1"/>
  <c r="AA474" i="12" s="1"/>
  <c r="E474" i="12" a="1"/>
  <c r="E474" i="12" s="1"/>
  <c r="Z474" i="12"/>
  <c r="D474" i="12" a="1"/>
  <c r="D474" i="12" s="1"/>
  <c r="C474" i="12" a="1"/>
  <c r="C474" i="12" s="1"/>
  <c r="X474" i="12"/>
  <c r="W474" i="12" s="1" a="1"/>
  <c r="W474" i="12" s="1"/>
  <c r="AB490" i="12" a="1"/>
  <c r="AB490" i="12" s="1"/>
  <c r="AB518" i="12" a="1"/>
  <c r="AB518" i="12" s="1"/>
  <c r="X518" i="12"/>
  <c r="W518" i="12" s="1" a="1"/>
  <c r="W518" i="12" s="1"/>
  <c r="AC476" i="12" a="1"/>
  <c r="AC476" i="12" s="1"/>
  <c r="E478" i="12" a="1"/>
  <c r="E478" i="12" s="1"/>
  <c r="AA478" i="12" a="1"/>
  <c r="AA478" i="12" s="1"/>
  <c r="AC482" i="12" a="1"/>
  <c r="AC482" i="12" s="1"/>
  <c r="E484" i="12" a="1"/>
  <c r="E484" i="12" s="1"/>
  <c r="AA484" i="12" a="1"/>
  <c r="AA484" i="12" s="1"/>
  <c r="Z489" i="12"/>
  <c r="Z491" i="12"/>
  <c r="AB495" i="12" a="1"/>
  <c r="AB495" i="12" s="1"/>
  <c r="AB499" i="12" a="1"/>
  <c r="AB499" i="12" s="1"/>
  <c r="X500" i="12"/>
  <c r="W500" i="12" s="1" a="1"/>
  <c r="W500" i="12" s="1"/>
  <c r="AB506" i="12" a="1"/>
  <c r="AB506" i="12" s="1"/>
  <c r="AA510" i="12" a="1"/>
  <c r="AA510" i="12" s="1"/>
  <c r="Z514" i="12"/>
  <c r="D514" i="12" a="1"/>
  <c r="D514" i="12" s="1"/>
  <c r="X514" i="12"/>
  <c r="W514" i="12" s="1" a="1"/>
  <c r="W514" i="12" s="1"/>
  <c r="C515" i="12" a="1"/>
  <c r="C515" i="12" s="1"/>
  <c r="X515" i="12"/>
  <c r="W515" i="12" s="1" a="1"/>
  <c r="W515" i="12" s="1"/>
  <c r="AC517" i="12" a="1"/>
  <c r="AC517" i="12" s="1"/>
  <c r="X517" i="12"/>
  <c r="W517" i="12" s="1" a="1"/>
  <c r="W517" i="12" s="1"/>
  <c r="C518" i="12" a="1"/>
  <c r="C518" i="12" s="1"/>
  <c r="X475" i="12"/>
  <c r="W475" i="12" s="1" a="1"/>
  <c r="W475" i="12" s="1"/>
  <c r="X481" i="12"/>
  <c r="W481" i="12" s="1" a="1"/>
  <c r="W481" i="12" s="1"/>
  <c r="X488" i="12"/>
  <c r="W488" i="12" s="1" a="1"/>
  <c r="W488" i="12" s="1"/>
  <c r="AA489" i="12" a="1"/>
  <c r="AA489" i="12" s="1"/>
  <c r="D518" i="12" a="1"/>
  <c r="D518" i="12" s="1"/>
  <c r="Z518" i="12"/>
  <c r="AB524" i="12" a="1"/>
  <c r="AB524" i="12" s="1"/>
  <c r="AA524" i="12" a="1"/>
  <c r="AA524" i="12" s="1"/>
  <c r="Z524" i="12"/>
  <c r="D524" i="12" a="1"/>
  <c r="D524" i="12" s="1"/>
  <c r="C524" i="12" a="1"/>
  <c r="C524" i="12" s="1"/>
  <c r="X524" i="12"/>
  <c r="W524" i="12" s="1" a="1"/>
  <c r="W524" i="12" s="1"/>
  <c r="AB478" i="12" a="1"/>
  <c r="AB478" i="12" s="1"/>
  <c r="AB484" i="12" a="1"/>
  <c r="AB484" i="12" s="1"/>
  <c r="Z500" i="12"/>
  <c r="AC506" i="12" a="1"/>
  <c r="AC506" i="12" s="1"/>
  <c r="E518" i="12" a="1"/>
  <c r="E518" i="12" s="1"/>
  <c r="AA518" i="12" a="1"/>
  <c r="AA518" i="12" s="1"/>
  <c r="C521" i="12" a="1"/>
  <c r="C521" i="12" s="1"/>
  <c r="X521" i="12"/>
  <c r="W521" i="12" s="1" a="1"/>
  <c r="W521" i="12" s="1"/>
  <c r="E524" i="12" a="1"/>
  <c r="E524" i="12" s="1"/>
  <c r="X476" i="12"/>
  <c r="W476" i="12" s="1" a="1"/>
  <c r="W476" i="12" s="1"/>
  <c r="X482" i="12"/>
  <c r="W482" i="12" s="1" a="1"/>
  <c r="W482" i="12" s="1"/>
  <c r="C489" i="12" a="1"/>
  <c r="C489" i="12" s="1"/>
  <c r="AB489" i="12" a="1"/>
  <c r="AB489" i="12" s="1"/>
  <c r="AB493" i="12" a="1"/>
  <c r="AB493" i="12" s="1"/>
  <c r="D495" i="12" a="1"/>
  <c r="D495" i="12" s="1"/>
  <c r="D497" i="12" a="1"/>
  <c r="D497" i="12" s="1"/>
  <c r="AA500" i="12" a="1"/>
  <c r="AA500" i="12" s="1"/>
  <c r="AB502" i="12" a="1"/>
  <c r="AB502" i="12" s="1"/>
  <c r="AA504" i="12" a="1"/>
  <c r="AA504" i="12" s="1"/>
  <c r="E514" i="12" a="1"/>
  <c r="E514" i="12" s="1"/>
  <c r="D517" i="12" a="1"/>
  <c r="D517" i="12" s="1"/>
  <c r="X528" i="12"/>
  <c r="W528" i="12" s="1" a="1"/>
  <c r="W528" i="12" s="1"/>
  <c r="E528" i="12" a="1"/>
  <c r="E528" i="12" s="1"/>
  <c r="D528" i="12" a="1"/>
  <c r="D528" i="12" s="1"/>
  <c r="C528" i="12" a="1"/>
  <c r="C528" i="12" s="1"/>
  <c r="AC528" i="12" a="1"/>
  <c r="AC528" i="12" s="1"/>
  <c r="X532" i="12"/>
  <c r="W532" i="12" s="1" a="1"/>
  <c r="W532" i="12" s="1"/>
  <c r="AC532" i="12" a="1"/>
  <c r="AC532" i="12" s="1"/>
  <c r="AA532" i="12" a="1"/>
  <c r="AA532" i="12" s="1"/>
  <c r="Z532" i="12"/>
  <c r="E532" i="12" a="1"/>
  <c r="E532" i="12" s="1"/>
  <c r="D532" i="12" a="1"/>
  <c r="D532" i="12" s="1"/>
  <c r="C532" i="12" a="1"/>
  <c r="C532" i="12" s="1"/>
  <c r="X541" i="12"/>
  <c r="W541" i="12" s="1" a="1"/>
  <c r="W541" i="12" s="1"/>
  <c r="AC541" i="12" a="1"/>
  <c r="AC541" i="12" s="1"/>
  <c r="AB541" i="12" a="1"/>
  <c r="AB541" i="12" s="1"/>
  <c r="AA541" i="12" a="1"/>
  <c r="AA541" i="12" s="1"/>
  <c r="Z541" i="12"/>
  <c r="E541" i="12" a="1"/>
  <c r="E541" i="12" s="1"/>
  <c r="D541" i="12" a="1"/>
  <c r="D541" i="12" s="1"/>
  <c r="C541" i="12" a="1"/>
  <c r="C541" i="12" s="1"/>
  <c r="D475" i="12" a="1"/>
  <c r="D475" i="12" s="1"/>
  <c r="Z475" i="12"/>
  <c r="C476" i="12" a="1"/>
  <c r="C476" i="12" s="1"/>
  <c r="AC478" i="12" a="1"/>
  <c r="AC478" i="12" s="1"/>
  <c r="D481" i="12" a="1"/>
  <c r="D481" i="12" s="1"/>
  <c r="Z481" i="12"/>
  <c r="C482" i="12" a="1"/>
  <c r="C482" i="12" s="1"/>
  <c r="AC484" i="12" a="1"/>
  <c r="AC484" i="12" s="1"/>
  <c r="D487" i="12" a="1"/>
  <c r="D487" i="12" s="1"/>
  <c r="Z487" i="12"/>
  <c r="C488" i="12" a="1"/>
  <c r="C488" i="12" s="1"/>
  <c r="Z488" i="12"/>
  <c r="C491" i="12" a="1"/>
  <c r="C491" i="12" s="1"/>
  <c r="AB491" i="12" a="1"/>
  <c r="AB491" i="12" s="1"/>
  <c r="AC493" i="12" a="1"/>
  <c r="AC493" i="12" s="1"/>
  <c r="E495" i="12" a="1"/>
  <c r="E495" i="12" s="1"/>
  <c r="AA496" i="12" a="1"/>
  <c r="AA496" i="12" s="1"/>
  <c r="Z498" i="12"/>
  <c r="D499" i="12" a="1"/>
  <c r="D499" i="12" s="1"/>
  <c r="AB500" i="12" a="1"/>
  <c r="AB500" i="12" s="1"/>
  <c r="C502" i="12" a="1"/>
  <c r="C502" i="12" s="1"/>
  <c r="AB504" i="12" a="1"/>
  <c r="AB504" i="12" s="1"/>
  <c r="C506" i="12" a="1"/>
  <c r="C506" i="12" s="1"/>
  <c r="AC511" i="12" a="1"/>
  <c r="AC511" i="12" s="1"/>
  <c r="E515" i="12" a="1"/>
  <c r="E515" i="12" s="1"/>
  <c r="Z515" i="12"/>
  <c r="E517" i="12" a="1"/>
  <c r="E517" i="12" s="1"/>
  <c r="AC518" i="12" a="1"/>
  <c r="AC518" i="12" s="1"/>
  <c r="D521" i="12" a="1"/>
  <c r="D521" i="12" s="1"/>
  <c r="Z521" i="12"/>
  <c r="X465" i="12"/>
  <c r="W465" i="12" s="1" a="1"/>
  <c r="W465" i="12" s="1"/>
  <c r="X471" i="12"/>
  <c r="W471" i="12" s="1" a="1"/>
  <c r="W471" i="12" s="1"/>
  <c r="D506" i="12" a="1"/>
  <c r="D506" i="12" s="1"/>
  <c r="C510" i="12" a="1"/>
  <c r="C510" i="12" s="1"/>
  <c r="Z517" i="12"/>
  <c r="Z520" i="12"/>
  <c r="D520" i="12" a="1"/>
  <c r="D520" i="12" s="1"/>
  <c r="X520" i="12"/>
  <c r="W520" i="12" s="1" a="1"/>
  <c r="W520" i="12" s="1"/>
  <c r="E521" i="12" a="1"/>
  <c r="E521" i="12" s="1"/>
  <c r="AA521" i="12" a="1"/>
  <c r="AA521" i="12" s="1"/>
  <c r="X526" i="12"/>
  <c r="W526" i="12" s="1" a="1"/>
  <c r="W526" i="12" s="1"/>
  <c r="E526" i="12" a="1"/>
  <c r="E526" i="12" s="1"/>
  <c r="AC526" i="12" a="1"/>
  <c r="AC526" i="12" s="1"/>
  <c r="D526" i="12" a="1"/>
  <c r="D526" i="12" s="1"/>
  <c r="AA526" i="12" a="1"/>
  <c r="AA526" i="12" s="1"/>
  <c r="C526" i="12" a="1"/>
  <c r="C526" i="12" s="1"/>
  <c r="D488" i="12" a="1"/>
  <c r="D488" i="12" s="1"/>
  <c r="AA488" i="12" a="1"/>
  <c r="AA488" i="12" s="1"/>
  <c r="AB496" i="12" a="1"/>
  <c r="AB496" i="12" s="1"/>
  <c r="AA498" i="12" a="1"/>
  <c r="AA498" i="12" s="1"/>
  <c r="AC500" i="12" a="1"/>
  <c r="AC500" i="12" s="1"/>
  <c r="E506" i="12" a="1"/>
  <c r="E506" i="12" s="1"/>
  <c r="AA515" i="12" a="1"/>
  <c r="AA515" i="12" s="1"/>
  <c r="AA517" i="12" a="1"/>
  <c r="AA517" i="12" s="1"/>
  <c r="C520" i="12" a="1"/>
  <c r="C520" i="12" s="1"/>
  <c r="AB521" i="12" a="1"/>
  <c r="AB521" i="12" s="1"/>
  <c r="X530" i="12"/>
  <c r="W530" i="12" s="1" a="1"/>
  <c r="W530" i="12" s="1"/>
  <c r="AA530" i="12" a="1"/>
  <c r="AA530" i="12" s="1"/>
  <c r="Z530" i="12"/>
  <c r="E530" i="12" a="1"/>
  <c r="E530" i="12" s="1"/>
  <c r="D530" i="12" a="1"/>
  <c r="D530" i="12" s="1"/>
  <c r="C530" i="12" a="1"/>
  <c r="C530" i="12" s="1"/>
  <c r="X478" i="12"/>
  <c r="W478" i="12" s="1" a="1"/>
  <c r="W478" i="12" s="1"/>
  <c r="X484" i="12"/>
  <c r="W484" i="12" s="1" a="1"/>
  <c r="W484" i="12" s="1"/>
  <c r="AB488" i="12" a="1"/>
  <c r="AB488" i="12" s="1"/>
  <c r="D493" i="12" a="1"/>
  <c r="D493" i="12" s="1"/>
  <c r="C496" i="12" a="1"/>
  <c r="C496" i="12" s="1"/>
  <c r="C500" i="12" a="1"/>
  <c r="C500" i="12" s="1"/>
  <c r="E502" i="12" a="1"/>
  <c r="E502" i="12" s="1"/>
  <c r="Z509" i="12"/>
  <c r="D510" i="12" a="1"/>
  <c r="D510" i="12" s="1"/>
  <c r="AB514" i="12" a="1"/>
  <c r="AB514" i="12" s="1"/>
  <c r="AB515" i="12" a="1"/>
  <c r="AB515" i="12" s="1"/>
  <c r="AB517" i="12" a="1"/>
  <c r="AB517" i="12" s="1"/>
  <c r="AC521" i="12" a="1"/>
  <c r="AC521" i="12" s="1"/>
  <c r="D465" i="12" a="1"/>
  <c r="D465" i="12" s="1"/>
  <c r="D471" i="12" a="1"/>
  <c r="D471" i="12" s="1"/>
  <c r="E476" i="12" a="1"/>
  <c r="E476" i="12" s="1"/>
  <c r="D477" i="12" a="1"/>
  <c r="D477" i="12" s="1"/>
  <c r="E482" i="12" a="1"/>
  <c r="E482" i="12" s="1"/>
  <c r="D483" i="12" a="1"/>
  <c r="D483" i="12" s="1"/>
  <c r="E491" i="12" a="1"/>
  <c r="E491" i="12" s="1"/>
  <c r="D496" i="12" a="1"/>
  <c r="D496" i="12" s="1"/>
  <c r="AC496" i="12" a="1"/>
  <c r="AC496" i="12" s="1"/>
  <c r="C498" i="12" a="1"/>
  <c r="C498" i="12" s="1"/>
  <c r="D507" i="12" a="1"/>
  <c r="D507" i="12" s="1"/>
  <c r="E510" i="12" a="1"/>
  <c r="E510" i="12" s="1"/>
  <c r="AC514" i="12" a="1"/>
  <c r="AC514" i="12" s="1"/>
  <c r="AC515" i="12" a="1"/>
  <c r="AC515" i="12" s="1"/>
  <c r="AA519" i="12" a="1"/>
  <c r="AA519" i="12" s="1"/>
  <c r="E519" i="12" a="1"/>
  <c r="E519" i="12" s="1"/>
  <c r="X519" i="12"/>
  <c r="W519" i="12" s="1" a="1"/>
  <c r="W519" i="12" s="1"/>
  <c r="E520" i="12" a="1"/>
  <c r="E520" i="12" s="1"/>
  <c r="AA520" i="12" a="1"/>
  <c r="AA520" i="12" s="1"/>
  <c r="AC523" i="12" a="1"/>
  <c r="AC523" i="12" s="1"/>
  <c r="AA523" i="12" a="1"/>
  <c r="AA523" i="12" s="1"/>
  <c r="Z523" i="12"/>
  <c r="D523" i="12" a="1"/>
  <c r="D523" i="12" s="1"/>
  <c r="X523" i="12"/>
  <c r="W523" i="12" s="1" a="1"/>
  <c r="W523" i="12" s="1"/>
  <c r="Z528" i="12"/>
  <c r="E527" i="12" a="1"/>
  <c r="E527" i="12" s="1"/>
  <c r="X531" i="12"/>
  <c r="W531" i="12" s="1" a="1"/>
  <c r="W531" i="12" s="1"/>
  <c r="AB533" i="12" a="1"/>
  <c r="AB533" i="12" s="1"/>
  <c r="C536" i="12" a="1"/>
  <c r="C536" i="12" s="1"/>
  <c r="C540" i="12" a="1"/>
  <c r="C540" i="12" s="1"/>
  <c r="AB542" i="12" a="1"/>
  <c r="AB542" i="12" s="1"/>
  <c r="AA549" i="12" a="1"/>
  <c r="AA549" i="12" s="1"/>
  <c r="Z525" i="12"/>
  <c r="X527" i="12"/>
  <c r="W527" i="12" s="1" a="1"/>
  <c r="W527" i="12" s="1"/>
  <c r="Z531" i="12"/>
  <c r="AC533" i="12" a="1"/>
  <c r="AC533" i="12" s="1"/>
  <c r="D536" i="12" a="1"/>
  <c r="D536" i="12" s="1"/>
  <c r="AB538" i="12" a="1"/>
  <c r="AB538" i="12" s="1"/>
  <c r="Z539" i="12"/>
  <c r="E540" i="12" a="1"/>
  <c r="E540" i="12" s="1"/>
  <c r="AC542" i="12" a="1"/>
  <c r="AC542" i="12" s="1"/>
  <c r="AB547" i="12" a="1"/>
  <c r="AB547" i="12" s="1"/>
  <c r="AB549" i="12" a="1"/>
  <c r="AB549" i="12" s="1"/>
  <c r="E536" i="12" a="1"/>
  <c r="E536" i="12" s="1"/>
  <c r="X540" i="12"/>
  <c r="W540" i="12" s="1" a="1"/>
  <c r="W540" i="12" s="1"/>
  <c r="AB552" i="12" a="1"/>
  <c r="AB552" i="12" s="1"/>
  <c r="AA552" i="12" a="1"/>
  <c r="AA552" i="12" s="1"/>
  <c r="E552" i="12" a="1"/>
  <c r="E552" i="12" s="1"/>
  <c r="Z552" i="12"/>
  <c r="D552" i="12" a="1"/>
  <c r="D552" i="12" s="1"/>
  <c r="C525" i="12" a="1"/>
  <c r="C525" i="12" s="1"/>
  <c r="AA525" i="12" a="1"/>
  <c r="AA525" i="12" s="1"/>
  <c r="AA531" i="12" a="1"/>
  <c r="AA531" i="12" s="1"/>
  <c r="C533" i="12" a="1"/>
  <c r="C533" i="12" s="1"/>
  <c r="C537" i="12" a="1"/>
  <c r="C537" i="12" s="1"/>
  <c r="AB539" i="12" a="1"/>
  <c r="AB539" i="12" s="1"/>
  <c r="C542" i="12" a="1"/>
  <c r="C542" i="12" s="1"/>
  <c r="C546" i="12" a="1"/>
  <c r="C546" i="12" s="1"/>
  <c r="X559" i="12"/>
  <c r="W559" i="12" s="1" a="1"/>
  <c r="W559" i="12" s="1"/>
  <c r="E559" i="12" a="1"/>
  <c r="E559" i="12" s="1"/>
  <c r="D559" i="12" a="1"/>
  <c r="D559" i="12" s="1"/>
  <c r="C559" i="12" a="1"/>
  <c r="C559" i="12" s="1"/>
  <c r="AA559" i="12" a="1"/>
  <c r="AA559" i="12" s="1"/>
  <c r="X572" i="12"/>
  <c r="W572" i="12" s="1" a="1"/>
  <c r="W572" i="12" s="1"/>
  <c r="AA572" i="12" a="1"/>
  <c r="AA572" i="12" s="1"/>
  <c r="Z572" i="12"/>
  <c r="E572" i="12" a="1"/>
  <c r="E572" i="12" s="1"/>
  <c r="D572" i="12" a="1"/>
  <c r="D572" i="12" s="1"/>
  <c r="AB572" i="12" a="1"/>
  <c r="AB572" i="12" s="1"/>
  <c r="Z527" i="12"/>
  <c r="Z540" i="12"/>
  <c r="AC552" i="12" a="1"/>
  <c r="AC552" i="12" s="1"/>
  <c r="AA527" i="12" a="1"/>
  <c r="AA527" i="12" s="1"/>
  <c r="AB531" i="12" a="1"/>
  <c r="AB531" i="12" s="1"/>
  <c r="D533" i="12" a="1"/>
  <c r="D533" i="12" s="1"/>
  <c r="AB535" i="12" a="1"/>
  <c r="AB535" i="12" s="1"/>
  <c r="Z536" i="12"/>
  <c r="E537" i="12" a="1"/>
  <c r="E537" i="12" s="1"/>
  <c r="C538" i="12" a="1"/>
  <c r="C538" i="12" s="1"/>
  <c r="AC539" i="12" a="1"/>
  <c r="AC539" i="12" s="1"/>
  <c r="AA540" i="12" a="1"/>
  <c r="AA540" i="12" s="1"/>
  <c r="D542" i="12" a="1"/>
  <c r="D542" i="12" s="1"/>
  <c r="AB544" i="12" a="1"/>
  <c r="AB544" i="12" s="1"/>
  <c r="Z545" i="12"/>
  <c r="E546" i="12" a="1"/>
  <c r="E546" i="12" s="1"/>
  <c r="C547" i="12" a="1"/>
  <c r="C547" i="12" s="1"/>
  <c r="AC551" i="12" a="1"/>
  <c r="AC551" i="12" s="1"/>
  <c r="AB551" i="12" a="1"/>
  <c r="AB551" i="12" s="1"/>
  <c r="AA551" i="12" a="1"/>
  <c r="AA551" i="12" s="1"/>
  <c r="E551" i="12" a="1"/>
  <c r="E551" i="12" s="1"/>
  <c r="X551" i="12"/>
  <c r="W551" i="12" s="1" a="1"/>
  <c r="W551" i="12" s="1"/>
  <c r="AB527" i="12" a="1"/>
  <c r="AB527" i="12" s="1"/>
  <c r="AC531" i="12" a="1"/>
  <c r="AC531" i="12" s="1"/>
  <c r="E533" i="12" a="1"/>
  <c r="E533" i="12" s="1"/>
  <c r="AA536" i="12" a="1"/>
  <c r="AA536" i="12" s="1"/>
  <c r="E542" i="12" a="1"/>
  <c r="E542" i="12" s="1"/>
  <c r="Z548" i="12"/>
  <c r="D548" i="12" a="1"/>
  <c r="D548" i="12" s="1"/>
  <c r="X548" i="12"/>
  <c r="W548" i="12" s="1" a="1"/>
  <c r="W548" i="12" s="1"/>
  <c r="AA590" i="12" a="1"/>
  <c r="AA590" i="12" s="1"/>
  <c r="E590" i="12" a="1"/>
  <c r="E590" i="12" s="1"/>
  <c r="Z590" i="12"/>
  <c r="D590" i="12" a="1"/>
  <c r="D590" i="12" s="1"/>
  <c r="X590" i="12"/>
  <c r="W590" i="12" s="1" a="1"/>
  <c r="W590" i="12" s="1"/>
  <c r="AC590" i="12" a="1"/>
  <c r="AC590" i="12" s="1"/>
  <c r="AB590" i="12" a="1"/>
  <c r="AB590" i="12" s="1"/>
  <c r="C590" i="12" a="1"/>
  <c r="C590" i="12" s="1"/>
  <c r="AB536" i="12" a="1"/>
  <c r="AB536" i="12" s="1"/>
  <c r="C539" i="12" a="1"/>
  <c r="C539" i="12" s="1"/>
  <c r="AB540" i="12" a="1"/>
  <c r="AB540" i="12" s="1"/>
  <c r="C548" i="12" a="1"/>
  <c r="C548" i="12" s="1"/>
  <c r="C527" i="12" a="1"/>
  <c r="C527" i="12" s="1"/>
  <c r="E538" i="12" a="1"/>
  <c r="E538" i="12" s="1"/>
  <c r="E547" i="12" a="1"/>
  <c r="E547" i="12" s="1"/>
  <c r="D549" i="12" a="1"/>
  <c r="D549" i="12" s="1"/>
  <c r="AA553" i="12" a="1"/>
  <c r="AA553" i="12" s="1"/>
  <c r="E553" i="12" a="1"/>
  <c r="E553" i="12" s="1"/>
  <c r="Z553" i="12"/>
  <c r="D553" i="12" a="1"/>
  <c r="D553" i="12" s="1"/>
  <c r="C553" i="12" a="1"/>
  <c r="C553" i="12" s="1"/>
  <c r="X553" i="12"/>
  <c r="W553" i="12" s="1" a="1"/>
  <c r="W553" i="12" s="1"/>
  <c r="AB553" i="12" a="1"/>
  <c r="AB553" i="12" s="1"/>
  <c r="E549" i="12" a="1"/>
  <c r="E549" i="12" s="1"/>
  <c r="X549" i="12"/>
  <c r="W549" i="12" s="1" a="1"/>
  <c r="W549" i="12" s="1"/>
  <c r="AC572" i="12" a="1"/>
  <c r="AC572" i="12" s="1"/>
  <c r="X580" i="12"/>
  <c r="W580" i="12" s="1" a="1"/>
  <c r="W580" i="12" s="1"/>
  <c r="AB580" i="12" a="1"/>
  <c r="AB580" i="12" s="1"/>
  <c r="AA580" i="12" a="1"/>
  <c r="AA580" i="12" s="1"/>
  <c r="Z580" i="12"/>
  <c r="E580" i="12" a="1"/>
  <c r="E580" i="12" s="1"/>
  <c r="D580" i="12" a="1"/>
  <c r="D580" i="12" s="1"/>
  <c r="AC580" i="12" a="1"/>
  <c r="AC580" i="12" s="1"/>
  <c r="Z538" i="12"/>
  <c r="E539" i="12" a="1"/>
  <c r="E539" i="12" s="1"/>
  <c r="AA542" i="12" a="1"/>
  <c r="AA542" i="12" s="1"/>
  <c r="Z547" i="12"/>
  <c r="Z549" i="12"/>
  <c r="X557" i="12"/>
  <c r="W557" i="12" s="1" a="1"/>
  <c r="W557" i="12" s="1"/>
  <c r="AC557" i="12" a="1"/>
  <c r="AC557" i="12" s="1"/>
  <c r="E557" i="12" a="1"/>
  <c r="E557" i="12" s="1"/>
  <c r="AB557" i="12" a="1"/>
  <c r="AB557" i="12" s="1"/>
  <c r="AA557" i="12" a="1"/>
  <c r="AA557" i="12" s="1"/>
  <c r="Z559" i="12"/>
  <c r="AB561" i="12" a="1"/>
  <c r="AB561" i="12" s="1"/>
  <c r="AA563" i="12" a="1"/>
  <c r="AA563" i="12" s="1"/>
  <c r="AC565" i="12" a="1"/>
  <c r="AC565" i="12" s="1"/>
  <c r="Z568" i="12"/>
  <c r="E571" i="12" a="1"/>
  <c r="E571" i="12" s="1"/>
  <c r="Z573" i="12"/>
  <c r="D574" i="12" a="1"/>
  <c r="D574" i="12" s="1"/>
  <c r="AB576" i="12" a="1"/>
  <c r="AB576" i="12" s="1"/>
  <c r="D579" i="12" a="1"/>
  <c r="D579" i="12" s="1"/>
  <c r="X582" i="12"/>
  <c r="W582" i="12" s="1" a="1"/>
  <c r="W582" i="12" s="1"/>
  <c r="Z583" i="12"/>
  <c r="E587" i="12" a="1"/>
  <c r="E587" i="12" s="1"/>
  <c r="AB570" i="12" a="1"/>
  <c r="AB570" i="12" s="1"/>
  <c r="X571" i="12"/>
  <c r="W571" i="12" s="1" a="1"/>
  <c r="W571" i="12" s="1"/>
  <c r="AB591" i="12" a="1"/>
  <c r="AB591" i="12" s="1"/>
  <c r="X558" i="12"/>
  <c r="W558" i="12" s="1" a="1"/>
  <c r="W558" i="12" s="1"/>
  <c r="AA560" i="12" a="1"/>
  <c r="AA560" i="12" s="1"/>
  <c r="E561" i="12" a="1"/>
  <c r="E561" i="12" s="1"/>
  <c r="D563" i="12" a="1"/>
  <c r="D563" i="12" s="1"/>
  <c r="Z564" i="12"/>
  <c r="C568" i="12" a="1"/>
  <c r="C568" i="12" s="1"/>
  <c r="AB568" i="12" a="1"/>
  <c r="AB568" i="12" s="1"/>
  <c r="X569" i="12"/>
  <c r="W569" i="12" s="1" a="1"/>
  <c r="W569" i="12" s="1"/>
  <c r="AC570" i="12" a="1"/>
  <c r="AC570" i="12" s="1"/>
  <c r="AB573" i="12" a="1"/>
  <c r="AB573" i="12" s="1"/>
  <c r="Z574" i="12"/>
  <c r="D575" i="12" a="1"/>
  <c r="D575" i="12" s="1"/>
  <c r="AB578" i="12" a="1"/>
  <c r="AB578" i="12" s="1"/>
  <c r="Z579" i="12"/>
  <c r="AC582" i="12" a="1"/>
  <c r="AC582" i="12" s="1"/>
  <c r="AB587" i="12" a="1"/>
  <c r="AB587" i="12" s="1"/>
  <c r="AC594" i="12" a="1"/>
  <c r="AC594" i="12" s="1"/>
  <c r="AB594" i="12" a="1"/>
  <c r="AB594" i="12" s="1"/>
  <c r="AA594" i="12" a="1"/>
  <c r="AA594" i="12" s="1"/>
  <c r="D594" i="12" a="1"/>
  <c r="D594" i="12" s="1"/>
  <c r="Z594" i="12"/>
  <c r="C594" i="12" a="1"/>
  <c r="C594" i="12" s="1"/>
  <c r="Z595" i="12"/>
  <c r="AC555" i="12" a="1"/>
  <c r="AC555" i="12" s="1"/>
  <c r="AA562" i="12" a="1"/>
  <c r="AA562" i="12" s="1"/>
  <c r="AA564" i="12" a="1"/>
  <c r="AA564" i="12" s="1"/>
  <c r="Z567" i="12"/>
  <c r="AC568" i="12" a="1"/>
  <c r="AC568" i="12" s="1"/>
  <c r="C570" i="12" a="1"/>
  <c r="C570" i="12" s="1"/>
  <c r="Z571" i="12"/>
  <c r="G571" i="12" s="1"/>
  <c r="H571" i="12" s="1"/>
  <c r="AC573" i="12" a="1"/>
  <c r="AC573" i="12" s="1"/>
  <c r="C576" i="12" a="1"/>
  <c r="C576" i="12" s="1"/>
  <c r="X599" i="12"/>
  <c r="W599" i="12" s="1" a="1"/>
  <c r="W599" i="12" s="1"/>
  <c r="AC599" i="12" a="1"/>
  <c r="AC599" i="12" s="1"/>
  <c r="E599" i="12" a="1"/>
  <c r="E599" i="12" s="1"/>
  <c r="D599" i="12" a="1"/>
  <c r="D599" i="12" s="1"/>
  <c r="AB599" i="12" a="1"/>
  <c r="AB599" i="12" s="1"/>
  <c r="AA599" i="12" a="1"/>
  <c r="AA599" i="12" s="1"/>
  <c r="X554" i="12"/>
  <c r="W554" i="12" s="1" a="1"/>
  <c r="W554" i="12" s="1"/>
  <c r="AB560" i="12" a="1"/>
  <c r="AB560" i="12" s="1"/>
  <c r="E563" i="12" a="1"/>
  <c r="E563" i="12" s="1"/>
  <c r="AB564" i="12" a="1"/>
  <c r="AB564" i="12" s="1"/>
  <c r="X565" i="12"/>
  <c r="W565" i="12" s="1" a="1"/>
  <c r="W565" i="12" s="1"/>
  <c r="D568" i="12" a="1"/>
  <c r="D568" i="12" s="1"/>
  <c r="AA571" i="12" a="1"/>
  <c r="AA571" i="12" s="1"/>
  <c r="D576" i="12" a="1"/>
  <c r="D576" i="12" s="1"/>
  <c r="AB589" i="12" a="1"/>
  <c r="AB589" i="12" s="1"/>
  <c r="AA589" i="12" a="1"/>
  <c r="AA589" i="12" s="1"/>
  <c r="E589" i="12" a="1"/>
  <c r="E589" i="12" s="1"/>
  <c r="X589" i="12"/>
  <c r="W589" i="12" s="1" a="1"/>
  <c r="W589" i="12" s="1"/>
  <c r="X595" i="12"/>
  <c r="W595" i="12" s="1" a="1"/>
  <c r="W595" i="12" s="1"/>
  <c r="AB595" i="12" a="1"/>
  <c r="AB595" i="12" s="1"/>
  <c r="D595" i="12" a="1"/>
  <c r="D595" i="12" s="1"/>
  <c r="AA595" i="12" a="1"/>
  <c r="AA595" i="12" s="1"/>
  <c r="C595" i="12" a="1"/>
  <c r="C595" i="12" s="1"/>
  <c r="AC606" i="12" a="1"/>
  <c r="AC606" i="12" s="1"/>
  <c r="AB606" i="12" a="1"/>
  <c r="AB606" i="12" s="1"/>
  <c r="AA606" i="12" a="1"/>
  <c r="AA606" i="12" s="1"/>
  <c r="Z606" i="12"/>
  <c r="X606" i="12"/>
  <c r="W606" i="12" s="1" a="1"/>
  <c r="W606" i="12" s="1"/>
  <c r="E606" i="12" a="1"/>
  <c r="E606" i="12" s="1"/>
  <c r="D606" i="12" a="1"/>
  <c r="D606" i="12" s="1"/>
  <c r="C606" i="12" a="1"/>
  <c r="C606" i="12" s="1"/>
  <c r="AB562" i="12" a="1"/>
  <c r="AB562" i="12" s="1"/>
  <c r="X563" i="12"/>
  <c r="W563" i="12" s="1" a="1"/>
  <c r="W563" i="12" s="1"/>
  <c r="AC564" i="12" a="1"/>
  <c r="AC564" i="12" s="1"/>
  <c r="D570" i="12" a="1"/>
  <c r="D570" i="12" s="1"/>
  <c r="AB571" i="12" a="1"/>
  <c r="AB571" i="12" s="1"/>
  <c r="C573" i="12" a="1"/>
  <c r="C573" i="12" s="1"/>
  <c r="AB574" i="12" a="1"/>
  <c r="AB574" i="12" s="1"/>
  <c r="E576" i="12" a="1"/>
  <c r="E576" i="12" s="1"/>
  <c r="Z584" i="12"/>
  <c r="D584" i="12" a="1"/>
  <c r="D584" i="12" s="1"/>
  <c r="X584" i="12"/>
  <c r="W584" i="12" s="1" a="1"/>
  <c r="W584" i="12" s="1"/>
  <c r="C585" i="12" a="1"/>
  <c r="C585" i="12" s="1"/>
  <c r="X585" i="12"/>
  <c r="W585" i="12" s="1" a="1"/>
  <c r="W585" i="12" s="1"/>
  <c r="C589" i="12" a="1"/>
  <c r="C589" i="12" s="1"/>
  <c r="Z565" i="12"/>
  <c r="E568" i="12" a="1"/>
  <c r="E568" i="12" s="1"/>
  <c r="AA583" i="12" a="1"/>
  <c r="AA583" i="12" s="1"/>
  <c r="E583" i="12" a="1"/>
  <c r="E583" i="12" s="1"/>
  <c r="X583" i="12"/>
  <c r="W583" i="12" s="1" a="1"/>
  <c r="W583" i="12" s="1"/>
  <c r="AC588" i="12" a="1"/>
  <c r="AC588" i="12" s="1"/>
  <c r="AB588" i="12" a="1"/>
  <c r="AB588" i="12" s="1"/>
  <c r="D589" i="12" a="1"/>
  <c r="D589" i="12" s="1"/>
  <c r="Z589" i="12"/>
  <c r="E595" i="12" a="1"/>
  <c r="E595" i="12" s="1"/>
  <c r="D554" i="12" a="1"/>
  <c r="D554" i="12" s="1"/>
  <c r="D560" i="12" a="1"/>
  <c r="D560" i="12" s="1"/>
  <c r="D562" i="12" a="1"/>
  <c r="D562" i="12" s="1"/>
  <c r="AA565" i="12" a="1"/>
  <c r="AA565" i="12" s="1"/>
  <c r="AB567" i="12" a="1"/>
  <c r="AB567" i="12" s="1"/>
  <c r="AA569" i="12" a="1"/>
  <c r="AA569" i="12" s="1"/>
  <c r="AC571" i="12" a="1"/>
  <c r="AC571" i="12" s="1"/>
  <c r="C582" i="12" a="1"/>
  <c r="C582" i="12" s="1"/>
  <c r="C583" i="12" a="1"/>
  <c r="C583" i="12" s="1"/>
  <c r="E584" i="12" a="1"/>
  <c r="E584" i="12" s="1"/>
  <c r="C587" i="12" a="1"/>
  <c r="C587" i="12" s="1"/>
  <c r="E560" i="12" a="1"/>
  <c r="E560" i="12" s="1"/>
  <c r="AA561" i="12" a="1"/>
  <c r="AA561" i="12" s="1"/>
  <c r="C567" i="12" a="1"/>
  <c r="C567" i="12" s="1"/>
  <c r="E573" i="12" a="1"/>
  <c r="E573" i="12" s="1"/>
  <c r="C574" i="12" a="1"/>
  <c r="C574" i="12" s="1"/>
  <c r="E578" i="12" a="1"/>
  <c r="E578" i="12" s="1"/>
  <c r="D582" i="12" a="1"/>
  <c r="D582" i="12" s="1"/>
  <c r="D583" i="12" a="1"/>
  <c r="D583" i="12" s="1"/>
  <c r="E585" i="12" a="1"/>
  <c r="E585" i="12" s="1"/>
  <c r="Z585" i="12"/>
  <c r="C588" i="12" a="1"/>
  <c r="C588" i="12" s="1"/>
  <c r="AC589" i="12" a="1"/>
  <c r="AC589" i="12" s="1"/>
  <c r="Z591" i="12"/>
  <c r="D591" i="12" a="1"/>
  <c r="D591" i="12" s="1"/>
  <c r="C591" i="12" a="1"/>
  <c r="C591" i="12" s="1"/>
  <c r="X591" i="12"/>
  <c r="W591" i="12" s="1" a="1"/>
  <c r="W591" i="12" s="1"/>
  <c r="C602" i="12" a="1"/>
  <c r="C602" i="12" s="1"/>
  <c r="AC602" i="12" a="1"/>
  <c r="AC602" i="12" s="1"/>
  <c r="AB611" i="12" a="1"/>
  <c r="AB611" i="12" s="1"/>
  <c r="C625" i="12" a="1"/>
  <c r="C625" i="12" s="1"/>
  <c r="X625" i="12"/>
  <c r="W625" i="12" s="1" a="1"/>
  <c r="W625" i="12" s="1"/>
  <c r="AC625" i="12" a="1"/>
  <c r="AC625" i="12" s="1"/>
  <c r="AB625" i="12" a="1"/>
  <c r="AB625" i="12" s="1"/>
  <c r="AA625" i="12" a="1"/>
  <c r="AA625" i="12" s="1"/>
  <c r="E625" i="12" a="1"/>
  <c r="E625" i="12" s="1"/>
  <c r="AA638" i="12" a="1"/>
  <c r="AA638" i="12" s="1"/>
  <c r="Z638" i="12"/>
  <c r="X638" i="12"/>
  <c r="W638" i="12" s="1" a="1"/>
  <c r="W638" i="12" s="1"/>
  <c r="D638" i="12" a="1"/>
  <c r="D638" i="12" s="1"/>
  <c r="AC638" i="12" a="1"/>
  <c r="AC638" i="12" s="1"/>
  <c r="C638" i="12" a="1"/>
  <c r="C638" i="12" s="1"/>
  <c r="AB638" i="12" a="1"/>
  <c r="AB638" i="12" s="1"/>
  <c r="D602" i="12" a="1"/>
  <c r="D602" i="12" s="1"/>
  <c r="C619" i="12" a="1"/>
  <c r="C619" i="12" s="1"/>
  <c r="X619" i="12"/>
  <c r="W619" i="12" s="1" a="1"/>
  <c r="W619" i="12" s="1"/>
  <c r="AA619" i="12" a="1"/>
  <c r="AA619" i="12" s="1"/>
  <c r="AC596" i="12" a="1"/>
  <c r="AC596" i="12" s="1"/>
  <c r="E602" i="12" a="1"/>
  <c r="E602" i="12" s="1"/>
  <c r="AC603" i="12" a="1"/>
  <c r="AC603" i="12" s="1"/>
  <c r="D619" i="12" a="1"/>
  <c r="D619" i="12" s="1"/>
  <c r="Z619" i="12"/>
  <c r="X633" i="12"/>
  <c r="W633" i="12" s="1" a="1"/>
  <c r="W633" i="12" s="1"/>
  <c r="E633" i="12" a="1"/>
  <c r="E633" i="12" s="1"/>
  <c r="AC633" i="12" a="1"/>
  <c r="AC633" i="12" s="1"/>
  <c r="AB633" i="12" a="1"/>
  <c r="AB633" i="12" s="1"/>
  <c r="AA633" i="12" a="1"/>
  <c r="AA633" i="12" s="1"/>
  <c r="C633" i="12" a="1"/>
  <c r="C633" i="12" s="1"/>
  <c r="Z633" i="12"/>
  <c r="AA601" i="12" a="1"/>
  <c r="AA601" i="12" s="1"/>
  <c r="C611" i="12" a="1"/>
  <c r="C611" i="12" s="1"/>
  <c r="E619" i="12" a="1"/>
  <c r="E619" i="12" s="1"/>
  <c r="AB619" i="12" a="1"/>
  <c r="AB619" i="12" s="1"/>
  <c r="AB632" i="12" a="1"/>
  <c r="AB632" i="12" s="1"/>
  <c r="D632" i="12" a="1"/>
  <c r="D632" i="12" s="1"/>
  <c r="C632" i="12" a="1"/>
  <c r="C632" i="12" s="1"/>
  <c r="AA632" i="12" a="1"/>
  <c r="AA632" i="12" s="1"/>
  <c r="Z632" i="12"/>
  <c r="AC632" i="12" a="1"/>
  <c r="AC632" i="12" s="1"/>
  <c r="E632" i="12" a="1"/>
  <c r="E632" i="12" s="1"/>
  <c r="E641" i="12" a="1"/>
  <c r="E641" i="12" s="1"/>
  <c r="D641" i="12" a="1"/>
  <c r="D641" i="12" s="1"/>
  <c r="C641" i="12" a="1"/>
  <c r="C641" i="12" s="1"/>
  <c r="AC641" i="12" a="1"/>
  <c r="AC641" i="12" s="1"/>
  <c r="AA641" i="12" a="1"/>
  <c r="AA641" i="12" s="1"/>
  <c r="Z641" i="12"/>
  <c r="AB598" i="12" a="1"/>
  <c r="AB598" i="12" s="1"/>
  <c r="C601" i="12" a="1"/>
  <c r="C601" i="12" s="1"/>
  <c r="AB601" i="12" a="1"/>
  <c r="AB601" i="12" s="1"/>
  <c r="C603" i="12" a="1"/>
  <c r="C603" i="12" s="1"/>
  <c r="D607" i="12" a="1"/>
  <c r="D607" i="12" s="1"/>
  <c r="X631" i="12"/>
  <c r="W631" i="12" s="1" a="1"/>
  <c r="W631" i="12" s="1"/>
  <c r="Z631" i="12"/>
  <c r="C631" i="12" a="1"/>
  <c r="C631" i="12" s="1"/>
  <c r="AC631" i="12" a="1"/>
  <c r="AC631" i="12" s="1"/>
  <c r="AB631" i="12" a="1"/>
  <c r="AB631" i="12" s="1"/>
  <c r="E631" i="12" a="1"/>
  <c r="E631" i="12" s="1"/>
  <c r="Z618" i="12"/>
  <c r="D618" i="12" a="1"/>
  <c r="D618" i="12" s="1"/>
  <c r="X618" i="12"/>
  <c r="W618" i="12" s="1" a="1"/>
  <c r="W618" i="12" s="1"/>
  <c r="AC621" i="12" a="1"/>
  <c r="AC621" i="12" s="1"/>
  <c r="C621" i="12" a="1"/>
  <c r="C621" i="12" s="1"/>
  <c r="X621" i="12"/>
  <c r="W621" i="12" s="1" a="1"/>
  <c r="W621" i="12" s="1"/>
  <c r="Z621" i="12"/>
  <c r="X596" i="12"/>
  <c r="W596" i="12" s="1" a="1"/>
  <c r="W596" i="12" s="1"/>
  <c r="AC598" i="12" a="1"/>
  <c r="AC598" i="12" s="1"/>
  <c r="D601" i="12" a="1"/>
  <c r="D601" i="12" s="1"/>
  <c r="AC601" i="12" a="1"/>
  <c r="AC601" i="12" s="1"/>
  <c r="Z602" i="12"/>
  <c r="AA605" i="12" a="1"/>
  <c r="AA605" i="12" s="1"/>
  <c r="D608" i="12" a="1"/>
  <c r="D608" i="12" s="1"/>
  <c r="E611" i="12" a="1"/>
  <c r="E611" i="12" s="1"/>
  <c r="X611" i="12"/>
  <c r="W611" i="12" s="1" a="1"/>
  <c r="W611" i="12" s="1"/>
  <c r="C612" i="12" a="1"/>
  <c r="C612" i="12" s="1"/>
  <c r="C618" i="12" a="1"/>
  <c r="C618" i="12" s="1"/>
  <c r="D621" i="12" a="1"/>
  <c r="D621" i="12" s="1"/>
  <c r="E598" i="12" a="1"/>
  <c r="E598" i="12" s="1"/>
  <c r="AA602" i="12" a="1"/>
  <c r="AA602" i="12" s="1"/>
  <c r="E603" i="12" a="1"/>
  <c r="E603" i="12" s="1"/>
  <c r="C604" i="12" a="1"/>
  <c r="C604" i="12" s="1"/>
  <c r="AB605" i="12" a="1"/>
  <c r="AB605" i="12" s="1"/>
  <c r="E608" i="12" a="1"/>
  <c r="E608" i="12" s="1"/>
  <c r="AA610" i="12" a="1"/>
  <c r="AA610" i="12" s="1"/>
  <c r="D612" i="12" a="1"/>
  <c r="D612" i="12" s="1"/>
  <c r="C613" i="12" a="1"/>
  <c r="C613" i="12" s="1"/>
  <c r="E618" i="12" a="1"/>
  <c r="E618" i="12" s="1"/>
  <c r="AA618" i="12" a="1"/>
  <c r="AA618" i="12" s="1"/>
  <c r="AA621" i="12" a="1"/>
  <c r="AA621" i="12" s="1"/>
  <c r="X641" i="12"/>
  <c r="W641" i="12" s="1" a="1"/>
  <c r="W641" i="12" s="1"/>
  <c r="E601" i="12" a="1"/>
  <c r="E601" i="12" s="1"/>
  <c r="Z607" i="12"/>
  <c r="AB610" i="12" a="1"/>
  <c r="AB610" i="12" s="1"/>
  <c r="E612" i="12" a="1"/>
  <c r="E612" i="12" s="1"/>
  <c r="AA617" i="12" a="1"/>
  <c r="AA617" i="12" s="1"/>
  <c r="E617" i="12" a="1"/>
  <c r="E617" i="12" s="1"/>
  <c r="AB618" i="12" a="1"/>
  <c r="AB618" i="12" s="1"/>
  <c r="E621" i="12" a="1"/>
  <c r="E621" i="12" s="1"/>
  <c r="AB621" i="12" a="1"/>
  <c r="AB621" i="12" s="1"/>
  <c r="Z624" i="12"/>
  <c r="D624" i="12" a="1"/>
  <c r="D624" i="12" s="1"/>
  <c r="X624" i="12"/>
  <c r="W624" i="12" s="1" a="1"/>
  <c r="W624" i="12" s="1"/>
  <c r="AC624" i="12" a="1"/>
  <c r="AC624" i="12" s="1"/>
  <c r="AB624" i="12" a="1"/>
  <c r="AB624" i="12" s="1"/>
  <c r="Z625" i="12"/>
  <c r="AC627" i="12" a="1"/>
  <c r="AC627" i="12" s="1"/>
  <c r="AA627" i="12" a="1"/>
  <c r="AA627" i="12" s="1"/>
  <c r="E627" i="12" a="1"/>
  <c r="E627" i="12" s="1"/>
  <c r="Z627" i="12"/>
  <c r="D627" i="12" a="1"/>
  <c r="D627" i="12" s="1"/>
  <c r="C627" i="12" a="1"/>
  <c r="C627" i="12" s="1"/>
  <c r="X627" i="12"/>
  <c r="W627" i="12" s="1" a="1"/>
  <c r="W627" i="12" s="1"/>
  <c r="AB641" i="12" a="1"/>
  <c r="AB641" i="12" s="1"/>
  <c r="AB602" i="12" a="1"/>
  <c r="AB602" i="12" s="1"/>
  <c r="Z603" i="12"/>
  <c r="AA607" i="12" a="1"/>
  <c r="AA607" i="12" s="1"/>
  <c r="AC610" i="12" a="1"/>
  <c r="AC610" i="12" s="1"/>
  <c r="Z611" i="12"/>
  <c r="O611" i="12" s="1"/>
  <c r="P611" i="12" s="1"/>
  <c r="X617" i="12"/>
  <c r="W617" i="12" s="1" a="1"/>
  <c r="W617" i="12" s="1"/>
  <c r="AC618" i="12" a="1"/>
  <c r="AC618" i="12" s="1"/>
  <c r="X632" i="12"/>
  <c r="W632" i="12" s="1" a="1"/>
  <c r="W632" i="12" s="1"/>
  <c r="AB649" i="12" a="1"/>
  <c r="AB649" i="12" s="1"/>
  <c r="X649" i="12"/>
  <c r="W649" i="12" s="1" a="1"/>
  <c r="W649" i="12" s="1"/>
  <c r="AA649" i="12" a="1"/>
  <c r="AA649" i="12" s="1"/>
  <c r="Z649" i="12"/>
  <c r="E649" i="12" a="1"/>
  <c r="E649" i="12" s="1"/>
  <c r="D649" i="12" a="1"/>
  <c r="D649" i="12" s="1"/>
  <c r="AC649" i="12" a="1"/>
  <c r="AC649" i="12" s="1"/>
  <c r="C649" i="12" a="1"/>
  <c r="C649" i="12" s="1"/>
  <c r="AA634" i="12" a="1"/>
  <c r="AA634" i="12" s="1"/>
  <c r="AC640" i="12" a="1"/>
  <c r="AC640" i="12" s="1"/>
  <c r="X675" i="12"/>
  <c r="W675" i="12" s="1" a="1"/>
  <c r="W675" i="12" s="1"/>
  <c r="C675" i="12" a="1"/>
  <c r="C675" i="12" s="1"/>
  <c r="AB675" i="12" a="1"/>
  <c r="AB675" i="12" s="1"/>
  <c r="AA675" i="12" a="1"/>
  <c r="AA675" i="12" s="1"/>
  <c r="Z675" i="12"/>
  <c r="E675" i="12" a="1"/>
  <c r="E675" i="12" s="1"/>
  <c r="AC623" i="12" a="1"/>
  <c r="AC623" i="12" s="1"/>
  <c r="AC629" i="12" a="1"/>
  <c r="AC629" i="12" s="1"/>
  <c r="AB630" i="12" a="1"/>
  <c r="AB630" i="12" s="1"/>
  <c r="AB634" i="12" a="1"/>
  <c r="AB634" i="12" s="1"/>
  <c r="C636" i="12" a="1"/>
  <c r="C636" i="12" s="1"/>
  <c r="AC636" i="12" a="1"/>
  <c r="AC636" i="12" s="1"/>
  <c r="E644" i="12" a="1"/>
  <c r="E644" i="12" s="1"/>
  <c r="AA645" i="12" a="1"/>
  <c r="AA645" i="12" s="1"/>
  <c r="D675" i="12" a="1"/>
  <c r="D675" i="12" s="1"/>
  <c r="X622" i="12"/>
  <c r="W622" i="12" s="1" a="1"/>
  <c r="W622" i="12" s="1"/>
  <c r="C634" i="12" a="1"/>
  <c r="C634" i="12" s="1"/>
  <c r="X635" i="12"/>
  <c r="W635" i="12" s="1" a="1"/>
  <c r="W635" i="12" s="1"/>
  <c r="D636" i="12" a="1"/>
  <c r="D636" i="12" s="1"/>
  <c r="Z637" i="12"/>
  <c r="Z639" i="12"/>
  <c r="D640" i="12" a="1"/>
  <c r="D640" i="12" s="1"/>
  <c r="AB643" i="12" a="1"/>
  <c r="AB643" i="12" s="1"/>
  <c r="AB645" i="12" a="1"/>
  <c r="AB645" i="12" s="1"/>
  <c r="Z648" i="12"/>
  <c r="AB650" i="12" a="1"/>
  <c r="AB650" i="12" s="1"/>
  <c r="AC630" i="12" a="1"/>
  <c r="AC630" i="12" s="1"/>
  <c r="AC634" i="12" a="1"/>
  <c r="AC634" i="12" s="1"/>
  <c r="AA637" i="12" a="1"/>
  <c r="AA637" i="12" s="1"/>
  <c r="E640" i="12" a="1"/>
  <c r="E640" i="12" s="1"/>
  <c r="AC645" i="12" a="1"/>
  <c r="AC645" i="12" s="1"/>
  <c r="C690" i="12" a="1"/>
  <c r="C690" i="12" s="1"/>
  <c r="AC690" i="12" a="1"/>
  <c r="AC690" i="12" s="1"/>
  <c r="AB690" i="12" a="1"/>
  <c r="AB690" i="12" s="1"/>
  <c r="AA690" i="12" a="1"/>
  <c r="AA690" i="12" s="1"/>
  <c r="Z690" i="12"/>
  <c r="E690" i="12" a="1"/>
  <c r="E690" i="12" s="1"/>
  <c r="X690" i="12"/>
  <c r="W690" i="12" s="1" a="1"/>
  <c r="W690" i="12" s="1"/>
  <c r="D690" i="12" a="1"/>
  <c r="D690" i="12" s="1"/>
  <c r="AA650" i="12" a="1"/>
  <c r="AA650" i="12" s="1"/>
  <c r="E650" i="12" a="1"/>
  <c r="E650" i="12" s="1"/>
  <c r="AB655" i="12" a="1"/>
  <c r="AB655" i="12" s="1"/>
  <c r="AA655" i="12" a="1"/>
  <c r="AA655" i="12" s="1"/>
  <c r="E655" i="12" a="1"/>
  <c r="E655" i="12" s="1"/>
  <c r="C655" i="12" a="1"/>
  <c r="C655" i="12" s="1"/>
  <c r="X655" i="12"/>
  <c r="W655" i="12" s="1" a="1"/>
  <c r="W655" i="12" s="1"/>
  <c r="AA635" i="12" a="1"/>
  <c r="AA635" i="12" s="1"/>
  <c r="AB637" i="12" a="1"/>
  <c r="AB637" i="12" s="1"/>
  <c r="AB639" i="12" a="1"/>
  <c r="AB639" i="12" s="1"/>
  <c r="X640" i="12"/>
  <c r="W640" i="12" s="1" a="1"/>
  <c r="W640" i="12" s="1"/>
  <c r="AB648" i="12" a="1"/>
  <c r="AB648" i="12" s="1"/>
  <c r="C650" i="12" a="1"/>
  <c r="C650" i="12" s="1"/>
  <c r="D655" i="12" a="1"/>
  <c r="D655" i="12" s="1"/>
  <c r="Z655" i="12"/>
  <c r="AC675" i="12" a="1"/>
  <c r="AC675" i="12" s="1"/>
  <c r="X728" i="12"/>
  <c r="W728" i="12" s="1" a="1"/>
  <c r="W728" i="12" s="1"/>
  <c r="AC728" i="12" a="1"/>
  <c r="AC728" i="12" s="1"/>
  <c r="AB728" i="12" a="1"/>
  <c r="AB728" i="12" s="1"/>
  <c r="AA728" i="12" a="1"/>
  <c r="AA728" i="12" s="1"/>
  <c r="Z728" i="12"/>
  <c r="E728" i="12" a="1"/>
  <c r="E728" i="12" s="1"/>
  <c r="D728" i="12" a="1"/>
  <c r="D728" i="12" s="1"/>
  <c r="C728" i="12" a="1"/>
  <c r="C728" i="12" s="1"/>
  <c r="AB635" i="12" a="1"/>
  <c r="AB635" i="12" s="1"/>
  <c r="AA644" i="12" a="1"/>
  <c r="AA644" i="12" s="1"/>
  <c r="E645" i="12" a="1"/>
  <c r="E645" i="12" s="1"/>
  <c r="AB646" i="12" a="1"/>
  <c r="AB646" i="12" s="1"/>
  <c r="C648" i="12" a="1"/>
  <c r="C648" i="12" s="1"/>
  <c r="AC648" i="12" a="1"/>
  <c r="AC648" i="12" s="1"/>
  <c r="D650" i="12" a="1"/>
  <c r="D650" i="12" s="1"/>
  <c r="Z651" i="12"/>
  <c r="D651" i="12" a="1"/>
  <c r="D651" i="12" s="1"/>
  <c r="C651" i="12" a="1"/>
  <c r="C651" i="12" s="1"/>
  <c r="X651" i="12"/>
  <c r="W651" i="12" s="1" a="1"/>
  <c r="W651" i="12" s="1"/>
  <c r="AC654" i="12" a="1"/>
  <c r="AC654" i="12" s="1"/>
  <c r="AB654" i="12" a="1"/>
  <c r="AB654" i="12" s="1"/>
  <c r="Z654" i="12"/>
  <c r="D654" i="12" a="1"/>
  <c r="D654" i="12" s="1"/>
  <c r="X654" i="12"/>
  <c r="W654" i="12" s="1" a="1"/>
  <c r="W654" i="12" s="1"/>
  <c r="AC635" i="12" a="1"/>
  <c r="AC635" i="12" s="1"/>
  <c r="Z636" i="12"/>
  <c r="D637" i="12" a="1"/>
  <c r="D637" i="12" s="1"/>
  <c r="D639" i="12" a="1"/>
  <c r="D639" i="12" s="1"/>
  <c r="Z640" i="12"/>
  <c r="D648" i="12" a="1"/>
  <c r="D648" i="12" s="1"/>
  <c r="E623" i="12" a="1"/>
  <c r="E623" i="12" s="1"/>
  <c r="E629" i="12" a="1"/>
  <c r="E629" i="12" s="1"/>
  <c r="D630" i="12" a="1"/>
  <c r="D630" i="12" s="1"/>
  <c r="C635" i="12" a="1"/>
  <c r="C635" i="12" s="1"/>
  <c r="E637" i="12" a="1"/>
  <c r="E637" i="12" s="1"/>
  <c r="AA640" i="12" a="1"/>
  <c r="AA640" i="12" s="1"/>
  <c r="C646" i="12" a="1"/>
  <c r="C646" i="12" s="1"/>
  <c r="X650" i="12"/>
  <c r="W650" i="12" s="1" a="1"/>
  <c r="W650" i="12" s="1"/>
  <c r="AC655" i="12" a="1"/>
  <c r="AC655" i="12" s="1"/>
  <c r="E665" i="12" a="1"/>
  <c r="E665" i="12" s="1"/>
  <c r="AB665" i="12" a="1"/>
  <c r="AB665" i="12" s="1"/>
  <c r="AA665" i="12" a="1"/>
  <c r="AA665" i="12" s="1"/>
  <c r="D665" i="12" a="1"/>
  <c r="D665" i="12" s="1"/>
  <c r="Z665" i="12"/>
  <c r="C665" i="12" a="1"/>
  <c r="C665" i="12" s="1"/>
  <c r="X665" i="12"/>
  <c r="W665" i="12" s="1" a="1"/>
  <c r="W665" i="12" s="1"/>
  <c r="AB673" i="12" a="1"/>
  <c r="AB673" i="12" s="1"/>
  <c r="Z673" i="12"/>
  <c r="X673" i="12"/>
  <c r="W673" i="12" s="1" a="1"/>
  <c r="W673" i="12" s="1"/>
  <c r="E673" i="12" a="1"/>
  <c r="E673" i="12" s="1"/>
  <c r="C673" i="12" a="1"/>
  <c r="C673" i="12" s="1"/>
  <c r="AC673" i="12" a="1"/>
  <c r="AC673" i="12" s="1"/>
  <c r="Z689" i="12"/>
  <c r="D689" i="12" a="1"/>
  <c r="D689" i="12" s="1"/>
  <c r="X689" i="12"/>
  <c r="W689" i="12" s="1" a="1"/>
  <c r="W689" i="12" s="1"/>
  <c r="AC689" i="12" a="1"/>
  <c r="AC689" i="12" s="1"/>
  <c r="AB689" i="12" a="1"/>
  <c r="AB689" i="12" s="1"/>
  <c r="AA689" i="12" a="1"/>
  <c r="AA689" i="12" s="1"/>
  <c r="E689" i="12" a="1"/>
  <c r="E689" i="12" s="1"/>
  <c r="C689" i="12" a="1"/>
  <c r="C689" i="12" s="1"/>
  <c r="E648" i="12" a="1"/>
  <c r="E648" i="12" s="1"/>
  <c r="AB661" i="12" a="1"/>
  <c r="AB661" i="12" s="1"/>
  <c r="AA661" i="12" a="1"/>
  <c r="AA661" i="12" s="1"/>
  <c r="E661" i="12" a="1"/>
  <c r="E661" i="12" s="1"/>
  <c r="Z661" i="12"/>
  <c r="D661" i="12" a="1"/>
  <c r="D661" i="12" s="1"/>
  <c r="C661" i="12" a="1"/>
  <c r="C661" i="12" s="1"/>
  <c r="X661" i="12"/>
  <c r="W661" i="12" s="1" a="1"/>
  <c r="W661" i="12" s="1"/>
  <c r="AC661" i="12" a="1"/>
  <c r="AC661" i="12" s="1"/>
  <c r="AA667" i="12" a="1"/>
  <c r="AA667" i="12" s="1"/>
  <c r="AB680" i="12" a="1"/>
  <c r="AB680" i="12" s="1"/>
  <c r="AB684" i="12" a="1"/>
  <c r="AB684" i="12" s="1"/>
  <c r="Z685" i="12"/>
  <c r="E687" i="12" a="1"/>
  <c r="E687" i="12" s="1"/>
  <c r="AA688" i="12" a="1"/>
  <c r="AA688" i="12" s="1"/>
  <c r="X688" i="12"/>
  <c r="W688" i="12" s="1" a="1"/>
  <c r="W688" i="12" s="1"/>
  <c r="X726" i="12"/>
  <c r="W726" i="12" s="1" a="1"/>
  <c r="W726" i="12" s="1"/>
  <c r="AC726" i="12" a="1"/>
  <c r="AC726" i="12" s="1"/>
  <c r="AB726" i="12" a="1"/>
  <c r="AB726" i="12" s="1"/>
  <c r="AA726" i="12" a="1"/>
  <c r="AA726" i="12" s="1"/>
  <c r="Z726" i="12"/>
  <c r="E726" i="12" a="1"/>
  <c r="E726" i="12" s="1"/>
  <c r="D726" i="12" a="1"/>
  <c r="D726" i="12" s="1"/>
  <c r="C726" i="12" a="1"/>
  <c r="C726" i="12" s="1"/>
  <c r="X660" i="12"/>
  <c r="W660" i="12" s="1" a="1"/>
  <c r="W660" i="12" s="1"/>
  <c r="Z670" i="12"/>
  <c r="D677" i="12" a="1"/>
  <c r="D677" i="12" s="1"/>
  <c r="AA685" i="12" a="1"/>
  <c r="AA685" i="12" s="1"/>
  <c r="AB693" i="12" a="1"/>
  <c r="AB693" i="12" s="1"/>
  <c r="Z693" i="12"/>
  <c r="X693" i="12"/>
  <c r="W693" i="12" s="1" a="1"/>
  <c r="W693" i="12" s="1"/>
  <c r="E693" i="12" a="1"/>
  <c r="E693" i="12" s="1"/>
  <c r="D693" i="12" a="1"/>
  <c r="D693" i="12" s="1"/>
  <c r="C666" i="12" a="1"/>
  <c r="C666" i="12" s="1"/>
  <c r="Z666" i="12"/>
  <c r="D667" i="12" a="1"/>
  <c r="D667" i="12" s="1"/>
  <c r="C670" i="12" a="1"/>
  <c r="C670" i="12" s="1"/>
  <c r="AA670" i="12" a="1"/>
  <c r="AA670" i="12" s="1"/>
  <c r="E677" i="12" a="1"/>
  <c r="E677" i="12" s="1"/>
  <c r="AB678" i="12" a="1"/>
  <c r="AB678" i="12" s="1"/>
  <c r="D680" i="12" a="1"/>
  <c r="D680" i="12" s="1"/>
  <c r="D682" i="12" a="1"/>
  <c r="D682" i="12" s="1"/>
  <c r="AC685" i="12" a="1"/>
  <c r="AC685" i="12" s="1"/>
  <c r="Z687" i="12"/>
  <c r="AC657" i="12" a="1"/>
  <c r="AC657" i="12" s="1"/>
  <c r="D660" i="12" a="1"/>
  <c r="D660" i="12" s="1"/>
  <c r="Z660" i="12"/>
  <c r="AA666" i="12" a="1"/>
  <c r="AA666" i="12" s="1"/>
  <c r="E667" i="12" a="1"/>
  <c r="E667" i="12" s="1"/>
  <c r="Z672" i="12"/>
  <c r="C676" i="12" a="1"/>
  <c r="C676" i="12" s="1"/>
  <c r="AB676" i="12" a="1"/>
  <c r="AB676" i="12" s="1"/>
  <c r="X677" i="12"/>
  <c r="W677" i="12" s="1" a="1"/>
  <c r="W677" i="12" s="1"/>
  <c r="AC678" i="12" a="1"/>
  <c r="AC678" i="12" s="1"/>
  <c r="E680" i="12" a="1"/>
  <c r="E680" i="12" s="1"/>
  <c r="AA681" i="12" a="1"/>
  <c r="AA681" i="12" s="1"/>
  <c r="Z683" i="12"/>
  <c r="D684" i="12" a="1"/>
  <c r="D684" i="12" s="1"/>
  <c r="AA687" i="12" a="1"/>
  <c r="AA687" i="12" s="1"/>
  <c r="E688" i="12" a="1"/>
  <c r="E688" i="12" s="1"/>
  <c r="X730" i="12"/>
  <c r="W730" i="12" s="1" a="1"/>
  <c r="W730" i="12" s="1"/>
  <c r="AC730" i="12" a="1"/>
  <c r="AC730" i="12" s="1"/>
  <c r="AB730" i="12" a="1"/>
  <c r="AB730" i="12" s="1"/>
  <c r="AA730" i="12" a="1"/>
  <c r="AA730" i="12" s="1"/>
  <c r="Z730" i="12"/>
  <c r="E730" i="12" a="1"/>
  <c r="E730" i="12" s="1"/>
  <c r="D730" i="12" a="1"/>
  <c r="D730" i="12" s="1"/>
  <c r="C730" i="12" a="1"/>
  <c r="C730" i="12" s="1"/>
  <c r="X733" i="12"/>
  <c r="W733" i="12" s="1" a="1"/>
  <c r="W733" i="12" s="1"/>
  <c r="Z733" i="12"/>
  <c r="D733" i="12" a="1"/>
  <c r="D733" i="12" s="1"/>
  <c r="AC733" i="12" a="1"/>
  <c r="AC733" i="12" s="1"/>
  <c r="AB733" i="12" a="1"/>
  <c r="AB733" i="12" s="1"/>
  <c r="AA733" i="12" a="1"/>
  <c r="AA733" i="12" s="1"/>
  <c r="E733" i="12" a="1"/>
  <c r="E733" i="12" s="1"/>
  <c r="C733" i="12" a="1"/>
  <c r="C733" i="12" s="1"/>
  <c r="X725" i="12"/>
  <c r="W725" i="12" s="1" a="1"/>
  <c r="W725" i="12" s="1"/>
  <c r="AC725" i="12" a="1"/>
  <c r="AC725" i="12" s="1"/>
  <c r="AB725" i="12" a="1"/>
  <c r="AB725" i="12" s="1"/>
  <c r="AA725" i="12" a="1"/>
  <c r="AA725" i="12" s="1"/>
  <c r="Z725" i="12"/>
  <c r="E725" i="12" a="1"/>
  <c r="E725" i="12" s="1"/>
  <c r="D725" i="12" a="1"/>
  <c r="D725" i="12" s="1"/>
  <c r="C725" i="12" a="1"/>
  <c r="C725" i="12" s="1"/>
  <c r="E660" i="12" a="1"/>
  <c r="E660" i="12" s="1"/>
  <c r="AA660" i="12" a="1"/>
  <c r="AA660" i="12" s="1"/>
  <c r="E666" i="12" a="1"/>
  <c r="E666" i="12" s="1"/>
  <c r="AB666" i="12" a="1"/>
  <c r="AB666" i="12" s="1"/>
  <c r="AC670" i="12" a="1"/>
  <c r="AC670" i="12" s="1"/>
  <c r="AB672" i="12" a="1"/>
  <c r="AB672" i="12" s="1"/>
  <c r="AB681" i="12" a="1"/>
  <c r="AB681" i="12" s="1"/>
  <c r="AA683" i="12" a="1"/>
  <c r="AA683" i="12" s="1"/>
  <c r="AB687" i="12" a="1"/>
  <c r="AB687" i="12" s="1"/>
  <c r="Z688" i="12"/>
  <c r="X657" i="12"/>
  <c r="W657" i="12" s="1" a="1"/>
  <c r="W657" i="12" s="1"/>
  <c r="D662" i="12" a="1"/>
  <c r="D662" i="12" s="1"/>
  <c r="AA662" i="12" a="1"/>
  <c r="AA662" i="12" s="1"/>
  <c r="D663" i="12" a="1"/>
  <c r="D663" i="12" s="1"/>
  <c r="D664" i="12" a="1"/>
  <c r="D664" i="12" s="1"/>
  <c r="AA664" i="12" a="1"/>
  <c r="AA664" i="12" s="1"/>
  <c r="D669" i="12" a="1"/>
  <c r="D669" i="12" s="1"/>
  <c r="AB669" i="12" a="1"/>
  <c r="AB669" i="12" s="1"/>
  <c r="E670" i="12" a="1"/>
  <c r="E670" i="12" s="1"/>
  <c r="X671" i="12"/>
  <c r="W671" i="12" s="1" a="1"/>
  <c r="W671" i="12" s="1"/>
  <c r="AC672" i="12" a="1"/>
  <c r="AC672" i="12" s="1"/>
  <c r="E674" i="12" a="1"/>
  <c r="E674" i="12" s="1"/>
  <c r="Z677" i="12"/>
  <c r="D678" i="12" a="1"/>
  <c r="D678" i="12" s="1"/>
  <c r="AB679" i="12" a="1"/>
  <c r="AB679" i="12" s="1"/>
  <c r="C681" i="12" a="1"/>
  <c r="C681" i="12" s="1"/>
  <c r="AB683" i="12" a="1"/>
  <c r="AB683" i="12" s="1"/>
  <c r="X684" i="12"/>
  <c r="W684" i="12" s="1" a="1"/>
  <c r="W684" i="12" s="1"/>
  <c r="C685" i="12" a="1"/>
  <c r="C685" i="12" s="1"/>
  <c r="X727" i="12"/>
  <c r="W727" i="12" s="1" a="1"/>
  <c r="W727" i="12" s="1"/>
  <c r="AC727" i="12" a="1"/>
  <c r="AC727" i="12" s="1"/>
  <c r="AB727" i="12" a="1"/>
  <c r="AB727" i="12" s="1"/>
  <c r="AA727" i="12" a="1"/>
  <c r="AA727" i="12" s="1"/>
  <c r="Z727" i="12"/>
  <c r="E727" i="12" a="1"/>
  <c r="E727" i="12" s="1"/>
  <c r="D727" i="12" a="1"/>
  <c r="D727" i="12" s="1"/>
  <c r="C727" i="12" a="1"/>
  <c r="C727" i="12" s="1"/>
  <c r="D656" i="12" a="1"/>
  <c r="D656" i="12" s="1"/>
  <c r="Z656" i="12"/>
  <c r="C657" i="12" a="1"/>
  <c r="C657" i="12" s="1"/>
  <c r="AB660" i="12" a="1"/>
  <c r="AB660" i="12" s="1"/>
  <c r="AA668" i="12" a="1"/>
  <c r="AA668" i="12" s="1"/>
  <c r="C672" i="12" a="1"/>
  <c r="C672" i="12" s="1"/>
  <c r="E676" i="12" a="1"/>
  <c r="E676" i="12" s="1"/>
  <c r="E678" i="12" a="1"/>
  <c r="E678" i="12" s="1"/>
  <c r="D681" i="12" a="1"/>
  <c r="D681" i="12" s="1"/>
  <c r="AC681" i="12" a="1"/>
  <c r="AC681" i="12" s="1"/>
  <c r="C683" i="12" a="1"/>
  <c r="C683" i="12" s="1"/>
  <c r="AC683" i="12" a="1"/>
  <c r="AC683" i="12" s="1"/>
  <c r="D685" i="12" a="1"/>
  <c r="D685" i="12" s="1"/>
  <c r="AC687" i="12" a="1"/>
  <c r="AC687" i="12" s="1"/>
  <c r="AA677" i="12" a="1"/>
  <c r="AA677" i="12" s="1"/>
  <c r="Z680" i="12"/>
  <c r="E685" i="12" a="1"/>
  <c r="E685" i="12" s="1"/>
  <c r="AC729" i="12" a="1"/>
  <c r="AC729" i="12" s="1"/>
  <c r="AB729" i="12" a="1"/>
  <c r="AB729" i="12" s="1"/>
  <c r="AA729" i="12" a="1"/>
  <c r="AA729" i="12" s="1"/>
  <c r="Z729" i="12"/>
  <c r="E729" i="12" a="1"/>
  <c r="E729" i="12" s="1"/>
  <c r="X729" i="12"/>
  <c r="W729" i="12" s="1" a="1"/>
  <c r="W729" i="12" s="1"/>
  <c r="D729" i="12" a="1"/>
  <c r="D729" i="12" s="1"/>
  <c r="C729" i="12" a="1"/>
  <c r="C729" i="12" s="1"/>
  <c r="E656" i="12" a="1"/>
  <c r="E656" i="12" s="1"/>
  <c r="D657" i="12" a="1"/>
  <c r="D657" i="12" s="1"/>
  <c r="AB668" i="12" a="1"/>
  <c r="AB668" i="12" s="1"/>
  <c r="AA680" i="12" a="1"/>
  <c r="AA680" i="12" s="1"/>
  <c r="E681" i="12" a="1"/>
  <c r="E681" i="12" s="1"/>
  <c r="C687" i="12" a="1"/>
  <c r="C687" i="12" s="1"/>
  <c r="AC688" i="12" a="1"/>
  <c r="AC688" i="12" s="1"/>
  <c r="AB692" i="12" a="1"/>
  <c r="AB692" i="12" s="1"/>
  <c r="E692" i="12" a="1"/>
  <c r="E692" i="12" s="1"/>
  <c r="AA692" i="12" a="1"/>
  <c r="AA692" i="12" s="1"/>
  <c r="D692" i="12" a="1"/>
  <c r="D692" i="12" s="1"/>
  <c r="Z692" i="12"/>
  <c r="AC692" i="12" a="1"/>
  <c r="AC692" i="12" s="1"/>
  <c r="AB707" i="12" a="1"/>
  <c r="AB707" i="12" s="1"/>
  <c r="AA709" i="12" a="1"/>
  <c r="AA709" i="12" s="1"/>
  <c r="AA710" i="12" a="1"/>
  <c r="AA710" i="12" s="1"/>
  <c r="AA711" i="12" a="1"/>
  <c r="AA711" i="12" s="1"/>
  <c r="AB712" i="12" a="1"/>
  <c r="AB712" i="12" s="1"/>
  <c r="AB714" i="12" a="1"/>
  <c r="AB714" i="12" s="1"/>
  <c r="AB715" i="12" a="1"/>
  <c r="AB715" i="12" s="1"/>
  <c r="AB716" i="12" a="1"/>
  <c r="AB716" i="12" s="1"/>
  <c r="AB717" i="12" a="1"/>
  <c r="AB717" i="12" s="1"/>
  <c r="AC718" i="12" a="1"/>
  <c r="AC718" i="12" s="1"/>
  <c r="AC719" i="12" a="1"/>
  <c r="AC719" i="12" s="1"/>
  <c r="AC720" i="12" a="1"/>
  <c r="AC720" i="12" s="1"/>
  <c r="AC721" i="12" a="1"/>
  <c r="AC721" i="12" s="1"/>
  <c r="AC722" i="12" a="1"/>
  <c r="AC722" i="12" s="1"/>
  <c r="AC723" i="12" a="1"/>
  <c r="AC723" i="12" s="1"/>
  <c r="Z737" i="12"/>
  <c r="D737" i="12" a="1"/>
  <c r="D737" i="12" s="1"/>
  <c r="C737" i="12" a="1"/>
  <c r="C737" i="12" s="1"/>
  <c r="X737" i="12"/>
  <c r="W737" i="12" s="1" a="1"/>
  <c r="W737" i="12" s="1"/>
  <c r="AB737" i="12" a="1"/>
  <c r="AB737" i="12" s="1"/>
  <c r="AC740" i="12" a="1"/>
  <c r="AC740" i="12" s="1"/>
  <c r="AB740" i="12" a="1"/>
  <c r="AB740" i="12" s="1"/>
  <c r="AA740" i="12" a="1"/>
  <c r="AA740" i="12" s="1"/>
  <c r="E740" i="12" a="1"/>
  <c r="E740" i="12" s="1"/>
  <c r="Z740" i="12"/>
  <c r="M740" i="12" s="1"/>
  <c r="N740" i="12" s="1"/>
  <c r="D740" i="12" a="1"/>
  <c r="D740" i="12" s="1"/>
  <c r="C740" i="12" a="1"/>
  <c r="C740" i="12" s="1"/>
  <c r="X740" i="12"/>
  <c r="W740" i="12" s="1" a="1"/>
  <c r="W740" i="12" s="1"/>
  <c r="AC694" i="12" a="1"/>
  <c r="AC694" i="12" s="1"/>
  <c r="AB695" i="12" a="1"/>
  <c r="AB695" i="12" s="1"/>
  <c r="AA697" i="12" a="1"/>
  <c r="AA697" i="12" s="1"/>
  <c r="AA698" i="12" a="1"/>
  <c r="AA698" i="12" s="1"/>
  <c r="AA699" i="12" a="1"/>
  <c r="AA699" i="12" s="1"/>
  <c r="AB700" i="12" a="1"/>
  <c r="AB700" i="12" s="1"/>
  <c r="AB702" i="12" a="1"/>
  <c r="AB702" i="12" s="1"/>
  <c r="AB703" i="12" a="1"/>
  <c r="AB703" i="12" s="1"/>
  <c r="AB704" i="12" a="1"/>
  <c r="AB704" i="12" s="1"/>
  <c r="AB705" i="12" a="1"/>
  <c r="AB705" i="12" s="1"/>
  <c r="AC706" i="12" a="1"/>
  <c r="AC706" i="12" s="1"/>
  <c r="AC707" i="12" a="1"/>
  <c r="AC707" i="12" s="1"/>
  <c r="AC708" i="12" a="1"/>
  <c r="AC708" i="12" s="1"/>
  <c r="AC709" i="12" a="1"/>
  <c r="AC709" i="12" s="1"/>
  <c r="AC710" i="12" a="1"/>
  <c r="AC710" i="12" s="1"/>
  <c r="AC711" i="12" a="1"/>
  <c r="AC711" i="12" s="1"/>
  <c r="X732" i="12"/>
  <c r="W732" i="12" s="1" a="1"/>
  <c r="W732" i="12" s="1"/>
  <c r="AA732" i="12" a="1"/>
  <c r="AA732" i="12" s="1"/>
  <c r="AC695" i="12" a="1"/>
  <c r="AC695" i="12" s="1"/>
  <c r="AC696" i="12" a="1"/>
  <c r="AC696" i="12" s="1"/>
  <c r="AC697" i="12" a="1"/>
  <c r="AC697" i="12" s="1"/>
  <c r="AC698" i="12" a="1"/>
  <c r="AC698" i="12" s="1"/>
  <c r="AC699" i="12" a="1"/>
  <c r="AC699" i="12" s="1"/>
  <c r="C713" i="12" a="1"/>
  <c r="C713" i="12" s="1"/>
  <c r="C714" i="12" a="1"/>
  <c r="C714" i="12" s="1"/>
  <c r="C715" i="12" a="1"/>
  <c r="C715" i="12" s="1"/>
  <c r="C716" i="12" a="1"/>
  <c r="C716" i="12" s="1"/>
  <c r="C718" i="12" a="1"/>
  <c r="C718" i="12" s="1"/>
  <c r="D719" i="12" a="1"/>
  <c r="D719" i="12" s="1"/>
  <c r="D720" i="12" a="1"/>
  <c r="D720" i="12" s="1"/>
  <c r="D721" i="12" a="1"/>
  <c r="D721" i="12" s="1"/>
  <c r="C723" i="12" a="1"/>
  <c r="C723" i="12" s="1"/>
  <c r="D724" i="12" a="1"/>
  <c r="D724" i="12" s="1"/>
  <c r="Z731" i="12"/>
  <c r="Z732" i="12"/>
  <c r="C707" i="12" a="1"/>
  <c r="C707" i="12" s="1"/>
  <c r="C708" i="12" a="1"/>
  <c r="C708" i="12" s="1"/>
  <c r="C709" i="12" a="1"/>
  <c r="C709" i="12" s="1"/>
  <c r="C710" i="12" a="1"/>
  <c r="C710" i="12" s="1"/>
  <c r="C712" i="12" a="1"/>
  <c r="C712" i="12" s="1"/>
  <c r="D713" i="12" a="1"/>
  <c r="D713" i="12" s="1"/>
  <c r="D714" i="12" a="1"/>
  <c r="D714" i="12" s="1"/>
  <c r="D715" i="12" a="1"/>
  <c r="D715" i="12" s="1"/>
  <c r="C717" i="12" a="1"/>
  <c r="C717" i="12" s="1"/>
  <c r="D718" i="12" a="1"/>
  <c r="D718" i="12" s="1"/>
  <c r="E719" i="12" a="1"/>
  <c r="E719" i="12" s="1"/>
  <c r="E720" i="12" a="1"/>
  <c r="E720" i="12" s="1"/>
  <c r="D722" i="12" a="1"/>
  <c r="D722" i="12" s="1"/>
  <c r="D723" i="12" a="1"/>
  <c r="D723" i="12" s="1"/>
  <c r="X723" i="12"/>
  <c r="W723" i="12" s="1" a="1"/>
  <c r="W723" i="12" s="1"/>
  <c r="E724" i="12" a="1"/>
  <c r="E724" i="12" s="1"/>
  <c r="AA731" i="12" a="1"/>
  <c r="AA731" i="12" s="1"/>
  <c r="X769" i="12"/>
  <c r="W769" i="12" s="1" a="1"/>
  <c r="W769" i="12" s="1"/>
  <c r="AA769" i="12" a="1"/>
  <c r="AA769" i="12" s="1"/>
  <c r="Z769" i="12"/>
  <c r="E769" i="12" a="1"/>
  <c r="E769" i="12" s="1"/>
  <c r="D769" i="12" a="1"/>
  <c r="D769" i="12" s="1"/>
  <c r="C769" i="12" a="1"/>
  <c r="C769" i="12" s="1"/>
  <c r="AC769" i="12" a="1"/>
  <c r="AC769" i="12" s="1"/>
  <c r="AB769" i="12" a="1"/>
  <c r="AB769" i="12" s="1"/>
  <c r="C701" i="12" a="1"/>
  <c r="C701" i="12" s="1"/>
  <c r="C702" i="12" a="1"/>
  <c r="C702" i="12" s="1"/>
  <c r="C703" i="12" a="1"/>
  <c r="C703" i="12" s="1"/>
  <c r="C704" i="12" a="1"/>
  <c r="C704" i="12" s="1"/>
  <c r="C706" i="12" a="1"/>
  <c r="C706" i="12" s="1"/>
  <c r="D707" i="12" a="1"/>
  <c r="D707" i="12" s="1"/>
  <c r="D708" i="12" a="1"/>
  <c r="D708" i="12" s="1"/>
  <c r="D709" i="12" a="1"/>
  <c r="D709" i="12" s="1"/>
  <c r="C711" i="12" a="1"/>
  <c r="C711" i="12" s="1"/>
  <c r="D712" i="12" a="1"/>
  <c r="D712" i="12" s="1"/>
  <c r="E713" i="12" a="1"/>
  <c r="E713" i="12" s="1"/>
  <c r="E714" i="12" a="1"/>
  <c r="E714" i="12" s="1"/>
  <c r="D716" i="12" a="1"/>
  <c r="D716" i="12" s="1"/>
  <c r="D717" i="12" a="1"/>
  <c r="D717" i="12" s="1"/>
  <c r="X717" i="12"/>
  <c r="W717" i="12" s="1" a="1"/>
  <c r="W717" i="12" s="1"/>
  <c r="E718" i="12" a="1"/>
  <c r="E718" i="12" s="1"/>
  <c r="Z719" i="12"/>
  <c r="Z720" i="12"/>
  <c r="E721" i="12" a="1"/>
  <c r="E721" i="12" s="1"/>
  <c r="Z721" i="12"/>
  <c r="E722" i="12" a="1"/>
  <c r="E722" i="12" s="1"/>
  <c r="E723" i="12" a="1"/>
  <c r="E723" i="12" s="1"/>
  <c r="Z724" i="12"/>
  <c r="AB731" i="12" a="1"/>
  <c r="AB731" i="12" s="1"/>
  <c r="AB732" i="12" a="1"/>
  <c r="AB732" i="12" s="1"/>
  <c r="D706" i="12" a="1"/>
  <c r="D706" i="12" s="1"/>
  <c r="E707" i="12" a="1"/>
  <c r="E707" i="12" s="1"/>
  <c r="E708" i="12" a="1"/>
  <c r="E708" i="12" s="1"/>
  <c r="D710" i="12" a="1"/>
  <c r="D710" i="12" s="1"/>
  <c r="D711" i="12" a="1"/>
  <c r="D711" i="12" s="1"/>
  <c r="X711" i="12"/>
  <c r="W711" i="12" s="1" a="1"/>
  <c r="W711" i="12" s="1"/>
  <c r="E712" i="12" a="1"/>
  <c r="E712" i="12" s="1"/>
  <c r="Z713" i="12"/>
  <c r="Z714" i="12"/>
  <c r="E715" i="12" a="1"/>
  <c r="E715" i="12" s="1"/>
  <c r="Z715" i="12"/>
  <c r="E716" i="12" a="1"/>
  <c r="E716" i="12" s="1"/>
  <c r="E717" i="12" a="1"/>
  <c r="E717" i="12" s="1"/>
  <c r="Z718" i="12"/>
  <c r="AA719" i="12" a="1"/>
  <c r="AA719" i="12" s="1"/>
  <c r="AA720" i="12" a="1"/>
  <c r="AA720" i="12" s="1"/>
  <c r="Z722" i="12"/>
  <c r="Z723" i="12"/>
  <c r="AA724" i="12" a="1"/>
  <c r="AA724" i="12" s="1"/>
  <c r="AC734" i="12" a="1"/>
  <c r="AC734" i="12" s="1"/>
  <c r="C734" i="12" a="1"/>
  <c r="C734" i="12" s="1"/>
  <c r="X734" i="12"/>
  <c r="W734" i="12" s="1" a="1"/>
  <c r="W734" i="12" s="1"/>
  <c r="AA736" i="12" a="1"/>
  <c r="AA736" i="12" s="1"/>
  <c r="E736" i="12" a="1"/>
  <c r="E736" i="12" s="1"/>
  <c r="Z736" i="12"/>
  <c r="D736" i="12" a="1"/>
  <c r="D736" i="12" s="1"/>
  <c r="X736" i="12"/>
  <c r="W736" i="12" s="1" a="1"/>
  <c r="W736" i="12" s="1"/>
  <c r="AC736" i="12" a="1"/>
  <c r="AC736" i="12" s="1"/>
  <c r="AA737" i="12" a="1"/>
  <c r="AA737" i="12" s="1"/>
  <c r="E701" i="12" a="1"/>
  <c r="E701" i="12" s="1"/>
  <c r="E702" i="12" a="1"/>
  <c r="E702" i="12" s="1"/>
  <c r="D704" i="12" a="1"/>
  <c r="D704" i="12" s="1"/>
  <c r="D705" i="12" a="1"/>
  <c r="D705" i="12" s="1"/>
  <c r="X705" i="12"/>
  <c r="W705" i="12" s="1" a="1"/>
  <c r="W705" i="12" s="1"/>
  <c r="E706" i="12" a="1"/>
  <c r="E706" i="12" s="1"/>
  <c r="Z707" i="12"/>
  <c r="Z708" i="12"/>
  <c r="E709" i="12" a="1"/>
  <c r="E709" i="12" s="1"/>
  <c r="Z709" i="12"/>
  <c r="E710" i="12" a="1"/>
  <c r="E710" i="12" s="1"/>
  <c r="E711" i="12" a="1"/>
  <c r="E711" i="12" s="1"/>
  <c r="Z712" i="12"/>
  <c r="AA713" i="12" a="1"/>
  <c r="AA713" i="12" s="1"/>
  <c r="AA714" i="12" a="1"/>
  <c r="AA714" i="12" s="1"/>
  <c r="Z716" i="12"/>
  <c r="Z717" i="12"/>
  <c r="AA718" i="12" a="1"/>
  <c r="AA718" i="12" s="1"/>
  <c r="AB719" i="12" a="1"/>
  <c r="AB719" i="12" s="1"/>
  <c r="AA721" i="12" a="1"/>
  <c r="AA721" i="12" s="1"/>
  <c r="AA722" i="12" a="1"/>
  <c r="AA722" i="12" s="1"/>
  <c r="AA723" i="12" a="1"/>
  <c r="AA723" i="12" s="1"/>
  <c r="AB724" i="12" a="1"/>
  <c r="AB724" i="12" s="1"/>
  <c r="E696" i="12" a="1"/>
  <c r="E696" i="12" s="1"/>
  <c r="D698" i="12" a="1"/>
  <c r="D698" i="12" s="1"/>
  <c r="D699" i="12" a="1"/>
  <c r="D699" i="12" s="1"/>
  <c r="E700" i="12" a="1"/>
  <c r="E700" i="12" s="1"/>
  <c r="Z701" i="12"/>
  <c r="Z702" i="12"/>
  <c r="E703" i="12" a="1"/>
  <c r="E703" i="12" s="1"/>
  <c r="Z703" i="12"/>
  <c r="E704" i="12" a="1"/>
  <c r="E704" i="12" s="1"/>
  <c r="Z706" i="12"/>
  <c r="AA707" i="12" a="1"/>
  <c r="AA707" i="12" s="1"/>
  <c r="AA708" i="12" a="1"/>
  <c r="AA708" i="12" s="1"/>
  <c r="Z710" i="12"/>
  <c r="AA712" i="12" a="1"/>
  <c r="AA712" i="12" s="1"/>
  <c r="AB713" i="12" a="1"/>
  <c r="AB713" i="12" s="1"/>
  <c r="AA715" i="12" a="1"/>
  <c r="AA715" i="12" s="1"/>
  <c r="AA716" i="12" a="1"/>
  <c r="AA716" i="12" s="1"/>
  <c r="AB718" i="12" a="1"/>
  <c r="AB718" i="12" s="1"/>
  <c r="AB720" i="12" a="1"/>
  <c r="AB720" i="12" s="1"/>
  <c r="AB721" i="12" a="1"/>
  <c r="AB721" i="12" s="1"/>
  <c r="AB722" i="12" a="1"/>
  <c r="AB722" i="12" s="1"/>
  <c r="AC724" i="12" a="1"/>
  <c r="AC724" i="12" s="1"/>
  <c r="D734" i="12" a="1"/>
  <c r="D734" i="12" s="1"/>
  <c r="AA734" i="12" a="1"/>
  <c r="AA734" i="12" s="1"/>
  <c r="AC737" i="12" a="1"/>
  <c r="AC737" i="12" s="1"/>
  <c r="E738" i="12" a="1"/>
  <c r="E738" i="12" s="1"/>
  <c r="AA738" i="12" a="1"/>
  <c r="AA738" i="12" s="1"/>
  <c r="AC742" i="12" a="1"/>
  <c r="AC742" i="12" s="1"/>
  <c r="AC757" i="12" a="1"/>
  <c r="AC757" i="12" s="1"/>
  <c r="E757" i="12" a="1"/>
  <c r="E757" i="12" s="1"/>
  <c r="D757" i="12" a="1"/>
  <c r="D757" i="12" s="1"/>
  <c r="AB757" i="12" a="1"/>
  <c r="AB757" i="12" s="1"/>
  <c r="C757" i="12" a="1"/>
  <c r="C757" i="12" s="1"/>
  <c r="X758" i="12"/>
  <c r="W758" i="12" s="1" a="1"/>
  <c r="W758" i="12" s="1"/>
  <c r="Z758" i="12"/>
  <c r="AB758" i="12" a="1"/>
  <c r="AB758" i="12" s="1"/>
  <c r="D758" i="12" a="1"/>
  <c r="D758" i="12" s="1"/>
  <c r="C758" i="12" a="1"/>
  <c r="C758" i="12" s="1"/>
  <c r="Z774" i="12"/>
  <c r="D774" i="12" a="1"/>
  <c r="D774" i="12" s="1"/>
  <c r="AC774" i="12" a="1"/>
  <c r="AC774" i="12" s="1"/>
  <c r="AB774" i="12" a="1"/>
  <c r="AB774" i="12" s="1"/>
  <c r="AA774" i="12" a="1"/>
  <c r="AA774" i="12" s="1"/>
  <c r="X774" i="12"/>
  <c r="W774" i="12" s="1" a="1"/>
  <c r="W774" i="12" s="1"/>
  <c r="E774" i="12" a="1"/>
  <c r="E774" i="12" s="1"/>
  <c r="C774" i="12" a="1"/>
  <c r="C774" i="12" s="1"/>
  <c r="AA744" i="12" a="1"/>
  <c r="AA744" i="12" s="1"/>
  <c r="X742" i="12"/>
  <c r="W742" i="12" s="1" a="1"/>
  <c r="W742" i="12" s="1"/>
  <c r="AB744" i="12" a="1"/>
  <c r="AB744" i="12" s="1"/>
  <c r="C742" i="12" a="1"/>
  <c r="C742" i="12" s="1"/>
  <c r="C744" i="12" a="1"/>
  <c r="C744" i="12" s="1"/>
  <c r="AC751" i="12" a="1"/>
  <c r="AC751" i="12" s="1"/>
  <c r="E751" i="12" a="1"/>
  <c r="E751" i="12" s="1"/>
  <c r="D751" i="12" a="1"/>
  <c r="D751" i="12" s="1"/>
  <c r="X751" i="12"/>
  <c r="W751" i="12" s="1" a="1"/>
  <c r="W751" i="12" s="1"/>
  <c r="Z755" i="12"/>
  <c r="AC791" i="12" a="1"/>
  <c r="AC791" i="12" s="1"/>
  <c r="AB791" i="12" a="1"/>
  <c r="AB791" i="12" s="1"/>
  <c r="E791" i="12" a="1"/>
  <c r="E791" i="12" s="1"/>
  <c r="AA791" i="12" a="1"/>
  <c r="AA791" i="12" s="1"/>
  <c r="D791" i="12" a="1"/>
  <c r="D791" i="12" s="1"/>
  <c r="C791" i="12" a="1"/>
  <c r="C791" i="12" s="1"/>
  <c r="Z791" i="12"/>
  <c r="X791" i="12"/>
  <c r="W791" i="12" s="1" a="1"/>
  <c r="W791" i="12" s="1"/>
  <c r="AC744" i="12" a="1"/>
  <c r="AC744" i="12" s="1"/>
  <c r="X747" i="12"/>
  <c r="W747" i="12" s="1" a="1"/>
  <c r="W747" i="12" s="1"/>
  <c r="AA747" i="12" a="1"/>
  <c r="AA747" i="12" s="1"/>
  <c r="C747" i="12" a="1"/>
  <c r="C747" i="12" s="1"/>
  <c r="E754" i="12" a="1"/>
  <c r="E754" i="12" s="1"/>
  <c r="AC754" i="12" a="1"/>
  <c r="AC754" i="12" s="1"/>
  <c r="AB754" i="12" a="1"/>
  <c r="AB754" i="12" s="1"/>
  <c r="D754" i="12" a="1"/>
  <c r="D754" i="12" s="1"/>
  <c r="AA754" i="12" a="1"/>
  <c r="AA754" i="12" s="1"/>
  <c r="C754" i="12" a="1"/>
  <c r="C754" i="12" s="1"/>
  <c r="C775" i="12" a="1"/>
  <c r="C775" i="12" s="1"/>
  <c r="X775" i="12"/>
  <c r="W775" i="12" s="1" a="1"/>
  <c r="W775" i="12" s="1"/>
  <c r="AC775" i="12" a="1"/>
  <c r="AC775" i="12" s="1"/>
  <c r="AB775" i="12" a="1"/>
  <c r="AB775" i="12" s="1"/>
  <c r="AA775" i="12" a="1"/>
  <c r="AA775" i="12" s="1"/>
  <c r="Z775" i="12"/>
  <c r="E775" i="12" a="1"/>
  <c r="E775" i="12" s="1"/>
  <c r="D775" i="12" a="1"/>
  <c r="D775" i="12" s="1"/>
  <c r="D742" i="12" a="1"/>
  <c r="D742" i="12" s="1"/>
  <c r="Z742" i="12"/>
  <c r="Z743" i="12"/>
  <c r="D744" i="12" a="1"/>
  <c r="D744" i="12" s="1"/>
  <c r="X748" i="12"/>
  <c r="W748" i="12" s="1" a="1"/>
  <c r="W748" i="12" s="1"/>
  <c r="E748" i="12" a="1"/>
  <c r="E748" i="12" s="1"/>
  <c r="AB748" i="12" a="1"/>
  <c r="AB748" i="12" s="1"/>
  <c r="D748" i="12" a="1"/>
  <c r="D748" i="12" s="1"/>
  <c r="C751" i="12" a="1"/>
  <c r="C751" i="12" s="1"/>
  <c r="Z751" i="12"/>
  <c r="X738" i="12"/>
  <c r="W738" i="12" s="1" a="1"/>
  <c r="W738" i="12" s="1"/>
  <c r="AC750" i="12" a="1"/>
  <c r="AC750" i="12" s="1"/>
  <c r="D750" i="12" a="1"/>
  <c r="D750" i="12" s="1"/>
  <c r="AB750" i="12" a="1"/>
  <c r="AB750" i="12" s="1"/>
  <c r="C750" i="12" a="1"/>
  <c r="C750" i="12" s="1"/>
  <c r="AA750" i="12" a="1"/>
  <c r="AA750" i="12" s="1"/>
  <c r="AA751" i="12" a="1"/>
  <c r="AA751" i="12" s="1"/>
  <c r="X755" i="12"/>
  <c r="W755" i="12" s="1" a="1"/>
  <c r="W755" i="12" s="1"/>
  <c r="E755" i="12" a="1"/>
  <c r="E755" i="12" s="1"/>
  <c r="AA755" i="12" a="1"/>
  <c r="AA755" i="12" s="1"/>
  <c r="C755" i="12" a="1"/>
  <c r="C755" i="12" s="1"/>
  <c r="AC755" i="12" a="1"/>
  <c r="AC755" i="12" s="1"/>
  <c r="E742" i="12" a="1"/>
  <c r="E742" i="12" s="1"/>
  <c r="D743" i="12" a="1"/>
  <c r="D743" i="12" s="1"/>
  <c r="AA743" i="12" a="1"/>
  <c r="AA743" i="12" s="1"/>
  <c r="E747" i="12" a="1"/>
  <c r="E747" i="12" s="1"/>
  <c r="C748" i="12" a="1"/>
  <c r="C748" i="12" s="1"/>
  <c r="Z757" i="12"/>
  <c r="E750" i="12" a="1"/>
  <c r="E750" i="12" s="1"/>
  <c r="X750" i="12"/>
  <c r="W750" i="12" s="1" a="1"/>
  <c r="W750" i="12" s="1"/>
  <c r="AB751" i="12" a="1"/>
  <c r="AB751" i="12" s="1"/>
  <c r="AA757" i="12" a="1"/>
  <c r="AA757" i="12" s="1"/>
  <c r="AC758" i="12" a="1"/>
  <c r="AC758" i="12" s="1"/>
  <c r="AA785" i="12" a="1"/>
  <c r="AA785" i="12" s="1"/>
  <c r="E785" i="12" a="1"/>
  <c r="E785" i="12" s="1"/>
  <c r="Z785" i="12"/>
  <c r="D785" i="12" a="1"/>
  <c r="D785" i="12" s="1"/>
  <c r="X785" i="12"/>
  <c r="W785" i="12" s="1" a="1"/>
  <c r="W785" i="12" s="1"/>
  <c r="AC785" i="12" a="1"/>
  <c r="AC785" i="12" s="1"/>
  <c r="AB785" i="12" a="1"/>
  <c r="AB785" i="12" s="1"/>
  <c r="C785" i="12" a="1"/>
  <c r="C785" i="12" s="1"/>
  <c r="AA760" i="12" a="1"/>
  <c r="AA760" i="12" s="1"/>
  <c r="AC762" i="12" a="1"/>
  <c r="AC762" i="12" s="1"/>
  <c r="AA773" i="12" a="1"/>
  <c r="AA773" i="12" s="1"/>
  <c r="X773" i="12"/>
  <c r="W773" i="12" s="1" a="1"/>
  <c r="W773" i="12" s="1"/>
  <c r="AC777" i="12" a="1"/>
  <c r="AC777" i="12" s="1"/>
  <c r="AB777" i="12" a="1"/>
  <c r="AB777" i="12" s="1"/>
  <c r="X777" i="12"/>
  <c r="W777" i="12" s="1" a="1"/>
  <c r="W777" i="12" s="1"/>
  <c r="AB778" i="12" a="1"/>
  <c r="AB778" i="12" s="1"/>
  <c r="AA778" i="12" a="1"/>
  <c r="AA778" i="12" s="1"/>
  <c r="E778" i="12" a="1"/>
  <c r="E778" i="12" s="1"/>
  <c r="AC760" i="12" a="1"/>
  <c r="AC760" i="12" s="1"/>
  <c r="D762" i="12" a="1"/>
  <c r="D762" i="12" s="1"/>
  <c r="E772" i="12" a="1"/>
  <c r="E772" i="12" s="1"/>
  <c r="X772" i="12"/>
  <c r="W772" i="12" s="1" a="1"/>
  <c r="W772" i="12" s="1"/>
  <c r="C778" i="12" a="1"/>
  <c r="C778" i="12" s="1"/>
  <c r="Z753" i="12"/>
  <c r="X756" i="12"/>
  <c r="W756" i="12" s="1" a="1"/>
  <c r="W756" i="12" s="1"/>
  <c r="E762" i="12" a="1"/>
  <c r="E762" i="12" s="1"/>
  <c r="AB763" i="12" a="1"/>
  <c r="AB763" i="12" s="1"/>
  <c r="E766" i="12" a="1"/>
  <c r="E766" i="12" s="1"/>
  <c r="AB767" i="12" a="1"/>
  <c r="AB767" i="12" s="1"/>
  <c r="D773" i="12" a="1"/>
  <c r="D773" i="12" s="1"/>
  <c r="D777" i="12" a="1"/>
  <c r="D777" i="12" s="1"/>
  <c r="D778" i="12" a="1"/>
  <c r="D778" i="12" s="1"/>
  <c r="Z778" i="12"/>
  <c r="D760" i="12" a="1"/>
  <c r="D760" i="12" s="1"/>
  <c r="AB765" i="12" a="1"/>
  <c r="AB765" i="12" s="1"/>
  <c r="X766" i="12"/>
  <c r="W766" i="12" s="1" a="1"/>
  <c r="W766" i="12" s="1"/>
  <c r="Z772" i="12"/>
  <c r="E773" i="12" a="1"/>
  <c r="E773" i="12" s="1"/>
  <c r="E777" i="12" a="1"/>
  <c r="E777" i="12" s="1"/>
  <c r="Z780" i="12"/>
  <c r="D780" i="12" a="1"/>
  <c r="D780" i="12" s="1"/>
  <c r="C780" i="12" a="1"/>
  <c r="C780" i="12" s="1"/>
  <c r="AB780" i="12" a="1"/>
  <c r="AB780" i="12" s="1"/>
  <c r="AA780" i="12" a="1"/>
  <c r="AA780" i="12" s="1"/>
  <c r="C753" i="12" a="1"/>
  <c r="C753" i="12" s="1"/>
  <c r="AA753" i="12" a="1"/>
  <c r="AA753" i="12" s="1"/>
  <c r="AA759" i="12" a="1"/>
  <c r="AA759" i="12" s="1"/>
  <c r="AA761" i="12" a="1"/>
  <c r="AA761" i="12" s="1"/>
  <c r="C763" i="12" a="1"/>
  <c r="C763" i="12" s="1"/>
  <c r="AC763" i="12" a="1"/>
  <c r="AC763" i="12" s="1"/>
  <c r="Z764" i="12"/>
  <c r="AC765" i="12" a="1"/>
  <c r="AC765" i="12" s="1"/>
  <c r="C767" i="12" a="1"/>
  <c r="C767" i="12" s="1"/>
  <c r="D770" i="12" a="1"/>
  <c r="D770" i="12" s="1"/>
  <c r="AC771" i="12" a="1"/>
  <c r="AC771" i="12" s="1"/>
  <c r="AC778" i="12" a="1"/>
  <c r="AC778" i="12" s="1"/>
  <c r="AA746" i="12" a="1"/>
  <c r="AA746" i="12" s="1"/>
  <c r="Z756" i="12"/>
  <c r="E760" i="12" a="1"/>
  <c r="E760" i="12" s="1"/>
  <c r="AB761" i="12" a="1"/>
  <c r="AB761" i="12" s="1"/>
  <c r="X762" i="12"/>
  <c r="W762" i="12" s="1" a="1"/>
  <c r="W762" i="12" s="1"/>
  <c r="D763" i="12" a="1"/>
  <c r="D763" i="12" s="1"/>
  <c r="D765" i="12" a="1"/>
  <c r="D765" i="12" s="1"/>
  <c r="AA772" i="12" a="1"/>
  <c r="AA772" i="12" s="1"/>
  <c r="Z777" i="12"/>
  <c r="AC780" i="12" a="1"/>
  <c r="AC780" i="12" s="1"/>
  <c r="AA764" i="12" a="1"/>
  <c r="AA764" i="12" s="1"/>
  <c r="Z766" i="12"/>
  <c r="AB772" i="12" a="1"/>
  <c r="AB772" i="12" s="1"/>
  <c r="Z773" i="12"/>
  <c r="AA777" i="12" a="1"/>
  <c r="AA777" i="12" s="1"/>
  <c r="D746" i="12" a="1"/>
  <c r="D746" i="12" s="1"/>
  <c r="AB746" i="12" a="1"/>
  <c r="AB746" i="12" s="1"/>
  <c r="AA752" i="12" a="1"/>
  <c r="AA752" i="12" s="1"/>
  <c r="C756" i="12" a="1"/>
  <c r="C756" i="12" s="1"/>
  <c r="AC759" i="12" a="1"/>
  <c r="AC759" i="12" s="1"/>
  <c r="Z762" i="12"/>
  <c r="E765" i="12" a="1"/>
  <c r="E765" i="12" s="1"/>
  <c r="AB773" i="12" a="1"/>
  <c r="AB773" i="12" s="1"/>
  <c r="AB764" i="12" a="1"/>
  <c r="AB764" i="12" s="1"/>
  <c r="AC773" i="12" a="1"/>
  <c r="AC773" i="12" s="1"/>
  <c r="AA779" i="12" a="1"/>
  <c r="AA779" i="12" s="1"/>
  <c r="E779" i="12" a="1"/>
  <c r="E779" i="12" s="1"/>
  <c r="Z779" i="12"/>
  <c r="D779" i="12" a="1"/>
  <c r="D779" i="12" s="1"/>
  <c r="X779" i="12"/>
  <c r="W779" i="12" s="1" a="1"/>
  <c r="W779" i="12" s="1"/>
  <c r="AC779" i="12" a="1"/>
  <c r="AC779" i="12" s="1"/>
  <c r="E786" i="12" a="1"/>
  <c r="E786" i="12" s="1"/>
  <c r="AA786" i="12" a="1"/>
  <c r="AA786" i="12" s="1"/>
  <c r="X783" i="12"/>
  <c r="W783" i="12" s="1" a="1"/>
  <c r="W783" i="12" s="1"/>
  <c r="X789" i="12"/>
  <c r="W789" i="12" s="1" a="1"/>
  <c r="W789" i="12" s="1"/>
  <c r="AB805" i="12" a="1"/>
  <c r="AB805" i="12" s="1"/>
  <c r="E805" i="12" a="1"/>
  <c r="E805" i="12" s="1"/>
  <c r="Z805" i="12"/>
  <c r="C805" i="12" a="1"/>
  <c r="C805" i="12" s="1"/>
  <c r="X805" i="12"/>
  <c r="W805" i="12" s="1" a="1"/>
  <c r="W805" i="12" s="1"/>
  <c r="X807" i="12"/>
  <c r="W807" i="12" s="1" a="1"/>
  <c r="W807" i="12" s="1"/>
  <c r="AC807" i="12" a="1"/>
  <c r="AC807" i="12" s="1"/>
  <c r="E807" i="12" a="1"/>
  <c r="E807" i="12" s="1"/>
  <c r="AA807" i="12" a="1"/>
  <c r="AA807" i="12" s="1"/>
  <c r="AB807" i="12" a="1"/>
  <c r="AB807" i="12" s="1"/>
  <c r="C783" i="12" a="1"/>
  <c r="C783" i="12" s="1"/>
  <c r="AB786" i="12" a="1"/>
  <c r="AB786" i="12" s="1"/>
  <c r="AA787" i="12" a="1"/>
  <c r="AA787" i="12" s="1"/>
  <c r="C789" i="12" a="1"/>
  <c r="C789" i="12" s="1"/>
  <c r="C795" i="12" a="1"/>
  <c r="C795" i="12" s="1"/>
  <c r="Z795" i="12"/>
  <c r="E797" i="12" a="1"/>
  <c r="E797" i="12" s="1"/>
  <c r="AA799" i="12" a="1"/>
  <c r="AA799" i="12" s="1"/>
  <c r="D799" i="12" a="1"/>
  <c r="D799" i="12" s="1"/>
  <c r="AB799" i="12" a="1"/>
  <c r="AB799" i="12" s="1"/>
  <c r="C807" i="12" a="1"/>
  <c r="C807" i="12" s="1"/>
  <c r="D795" i="12" a="1"/>
  <c r="D795" i="12" s="1"/>
  <c r="AA795" i="12" a="1"/>
  <c r="AA795" i="12" s="1"/>
  <c r="C825" i="12" a="1"/>
  <c r="C825" i="12" s="1"/>
  <c r="AA825" i="12" a="1"/>
  <c r="AA825" i="12" s="1"/>
  <c r="E825" i="12" a="1"/>
  <c r="E825" i="12" s="1"/>
  <c r="AC825" i="12" a="1"/>
  <c r="AC825" i="12" s="1"/>
  <c r="AB825" i="12" a="1"/>
  <c r="AB825" i="12" s="1"/>
  <c r="Z825" i="12"/>
  <c r="X825" i="12"/>
  <c r="W825" i="12" s="1" a="1"/>
  <c r="W825" i="12" s="1"/>
  <c r="D825" i="12" a="1"/>
  <c r="D825" i="12" s="1"/>
  <c r="AB795" i="12" a="1"/>
  <c r="AB795" i="12" s="1"/>
  <c r="Z798" i="12"/>
  <c r="X804" i="12"/>
  <c r="W804" i="12" s="1" a="1"/>
  <c r="W804" i="12" s="1"/>
  <c r="AB804" i="12" a="1"/>
  <c r="AB804" i="12" s="1"/>
  <c r="E804" i="12" a="1"/>
  <c r="E804" i="12" s="1"/>
  <c r="Z804" i="12"/>
  <c r="C804" i="12" a="1"/>
  <c r="C804" i="12" s="1"/>
  <c r="C798" i="12" a="1"/>
  <c r="C798" i="12" s="1"/>
  <c r="AA798" i="12" a="1"/>
  <c r="AA798" i="12" s="1"/>
  <c r="AA831" i="12" a="1"/>
  <c r="AA831" i="12" s="1"/>
  <c r="D831" i="12" a="1"/>
  <c r="D831" i="12" s="1"/>
  <c r="Z831" i="12"/>
  <c r="X831" i="12"/>
  <c r="W831" i="12" s="1" a="1"/>
  <c r="W831" i="12" s="1"/>
  <c r="AC831" i="12" a="1"/>
  <c r="AC831" i="12" s="1"/>
  <c r="AB831" i="12" a="1"/>
  <c r="AB831" i="12" s="1"/>
  <c r="E831" i="12" a="1"/>
  <c r="E831" i="12" s="1"/>
  <c r="C831" i="12" a="1"/>
  <c r="C831" i="12" s="1"/>
  <c r="AB783" i="12" a="1"/>
  <c r="AB783" i="12" s="1"/>
  <c r="E784" i="12" a="1"/>
  <c r="E784" i="12" s="1"/>
  <c r="AA784" i="12" a="1"/>
  <c r="AA784" i="12" s="1"/>
  <c r="C786" i="12" a="1"/>
  <c r="C786" i="12" s="1"/>
  <c r="AB789" i="12" a="1"/>
  <c r="AB789" i="12" s="1"/>
  <c r="AB798" i="12" a="1"/>
  <c r="AB798" i="12" s="1"/>
  <c r="D804" i="12" a="1"/>
  <c r="D804" i="12" s="1"/>
  <c r="X781" i="12"/>
  <c r="W781" i="12" s="1" a="1"/>
  <c r="W781" i="12" s="1"/>
  <c r="D798" i="12" a="1"/>
  <c r="D798" i="12" s="1"/>
  <c r="AA804" i="12" a="1"/>
  <c r="AA804" i="12" s="1"/>
  <c r="D786" i="12" a="1"/>
  <c r="D786" i="12" s="1"/>
  <c r="AA797" i="12" a="1"/>
  <c r="AA797" i="12" s="1"/>
  <c r="D797" i="12" a="1"/>
  <c r="D797" i="12" s="1"/>
  <c r="E798" i="12" a="1"/>
  <c r="E798" i="12" s="1"/>
  <c r="AC798" i="12" a="1"/>
  <c r="AC798" i="12" s="1"/>
  <c r="AC802" i="12" a="1"/>
  <c r="AC802" i="12" s="1"/>
  <c r="AA802" i="12" a="1"/>
  <c r="AA802" i="12" s="1"/>
  <c r="Z802" i="12"/>
  <c r="C802" i="12" a="1"/>
  <c r="C802" i="12" s="1"/>
  <c r="X802" i="12"/>
  <c r="W802" i="12" s="1" a="1"/>
  <c r="W802" i="12" s="1"/>
  <c r="AC804" i="12" a="1"/>
  <c r="AC804" i="12" s="1"/>
  <c r="E801" i="12" a="1"/>
  <c r="E801" i="12" s="1"/>
  <c r="AB801" i="12" a="1"/>
  <c r="AB801" i="12" s="1"/>
  <c r="Z801" i="12"/>
  <c r="C801" i="12" a="1"/>
  <c r="C801" i="12" s="1"/>
  <c r="X818" i="12"/>
  <c r="W818" i="12" s="1" a="1"/>
  <c r="W818" i="12" s="1"/>
  <c r="E818" i="12" a="1"/>
  <c r="E818" i="12" s="1"/>
  <c r="AC818" i="12" a="1"/>
  <c r="AC818" i="12" s="1"/>
  <c r="AB818" i="12" a="1"/>
  <c r="AB818" i="12" s="1"/>
  <c r="D818" i="12" a="1"/>
  <c r="D818" i="12" s="1"/>
  <c r="AA818" i="12" a="1"/>
  <c r="AA818" i="12" s="1"/>
  <c r="C818" i="12" a="1"/>
  <c r="C818" i="12" s="1"/>
  <c r="X844" i="12"/>
  <c r="W844" i="12" s="1" a="1"/>
  <c r="W844" i="12" s="1"/>
  <c r="E844" i="12" a="1"/>
  <c r="E844" i="12" s="1"/>
  <c r="AC844" i="12" a="1"/>
  <c r="AC844" i="12" s="1"/>
  <c r="C844" i="12" a="1"/>
  <c r="C844" i="12" s="1"/>
  <c r="AB844" i="12" a="1"/>
  <c r="AB844" i="12" s="1"/>
  <c r="AA844" i="12" a="1"/>
  <c r="AA844" i="12" s="1"/>
  <c r="Z844" i="12"/>
  <c r="D844" i="12" a="1"/>
  <c r="D844" i="12" s="1"/>
  <c r="C806" i="12" a="1"/>
  <c r="C806" i="12" s="1"/>
  <c r="Z806" i="12"/>
  <c r="AC812" i="12" a="1"/>
  <c r="AC812" i="12" s="1"/>
  <c r="Z823" i="12"/>
  <c r="X845" i="12"/>
  <c r="W845" i="12" s="1" a="1"/>
  <c r="W845" i="12" s="1"/>
  <c r="AB845" i="12" a="1"/>
  <c r="AB845" i="12" s="1"/>
  <c r="AA845" i="12" a="1"/>
  <c r="AA845" i="12" s="1"/>
  <c r="E845" i="12" a="1"/>
  <c r="E845" i="12" s="1"/>
  <c r="D845" i="12" a="1"/>
  <c r="D845" i="12" s="1"/>
  <c r="C845" i="12" a="1"/>
  <c r="C845" i="12" s="1"/>
  <c r="AC810" i="12" a="1"/>
  <c r="AC810" i="12" s="1"/>
  <c r="AC811" i="12" a="1"/>
  <c r="AC811" i="12" s="1"/>
  <c r="X815" i="12"/>
  <c r="W815" i="12" s="1" a="1"/>
  <c r="W815" i="12" s="1"/>
  <c r="Z820" i="12"/>
  <c r="D820" i="12" a="1"/>
  <c r="D820" i="12" s="1"/>
  <c r="X821" i="12"/>
  <c r="W821" i="12" s="1" a="1"/>
  <c r="W821" i="12" s="1"/>
  <c r="D803" i="12" a="1"/>
  <c r="D803" i="12" s="1"/>
  <c r="AA803" i="12" a="1"/>
  <c r="AA803" i="12" s="1"/>
  <c r="Z815" i="12"/>
  <c r="C820" i="12" a="1"/>
  <c r="C820" i="12" s="1"/>
  <c r="AA821" i="12" a="1"/>
  <c r="AA821" i="12" s="1"/>
  <c r="AC827" i="12" a="1"/>
  <c r="AC827" i="12" s="1"/>
  <c r="AA827" i="12" a="1"/>
  <c r="AA827" i="12" s="1"/>
  <c r="E827" i="12" a="1"/>
  <c r="E827" i="12" s="1"/>
  <c r="C827" i="12" a="1"/>
  <c r="C827" i="12" s="1"/>
  <c r="E806" i="12" a="1"/>
  <c r="E806" i="12" s="1"/>
  <c r="AB806" i="12" a="1"/>
  <c r="AB806" i="12" s="1"/>
  <c r="X811" i="12"/>
  <c r="W811" i="12" s="1" a="1"/>
  <c r="W811" i="12" s="1"/>
  <c r="X812" i="12"/>
  <c r="W812" i="12" s="1" a="1"/>
  <c r="W812" i="12" s="1"/>
  <c r="C815" i="12" a="1"/>
  <c r="C815" i="12" s="1"/>
  <c r="D816" i="12" a="1"/>
  <c r="D816" i="12" s="1"/>
  <c r="AA816" i="12" a="1"/>
  <c r="AA816" i="12" s="1"/>
  <c r="D817" i="12" a="1"/>
  <c r="D817" i="12" s="1"/>
  <c r="AA823" i="12" a="1"/>
  <c r="AA823" i="12" s="1"/>
  <c r="E823" i="12" a="1"/>
  <c r="E823" i="12" s="1"/>
  <c r="X823" i="12"/>
  <c r="W823" i="12" s="1" a="1"/>
  <c r="W823" i="12" s="1"/>
  <c r="AC823" i="12" a="1"/>
  <c r="AC823" i="12" s="1"/>
  <c r="AA829" i="12" a="1"/>
  <c r="AA829" i="12" s="1"/>
  <c r="E829" i="12" a="1"/>
  <c r="E829" i="12" s="1"/>
  <c r="Z829" i="12"/>
  <c r="D829" i="12" a="1"/>
  <c r="D829" i="12" s="1"/>
  <c r="C829" i="12" a="1"/>
  <c r="C829" i="12" s="1"/>
  <c r="X829" i="12"/>
  <c r="W829" i="12" s="1" a="1"/>
  <c r="W829" i="12" s="1"/>
  <c r="AC829" i="12" a="1"/>
  <c r="AC829" i="12" s="1"/>
  <c r="X833" i="12"/>
  <c r="W833" i="12" s="1" a="1"/>
  <c r="W833" i="12" s="1"/>
  <c r="AA833" i="12" a="1"/>
  <c r="AA833" i="12" s="1"/>
  <c r="C833" i="12" a="1"/>
  <c r="C833" i="12" s="1"/>
  <c r="Z833" i="12"/>
  <c r="D815" i="12" a="1"/>
  <c r="D815" i="12" s="1"/>
  <c r="AA815" i="12" a="1"/>
  <c r="AA815" i="12" s="1"/>
  <c r="AB821" i="12" a="1"/>
  <c r="AB821" i="12" s="1"/>
  <c r="AB833" i="12" a="1"/>
  <c r="AB833" i="12" s="1"/>
  <c r="AA856" i="12" a="1"/>
  <c r="AA856" i="12" s="1"/>
  <c r="E856" i="12" a="1"/>
  <c r="E856" i="12" s="1"/>
  <c r="Z856" i="12"/>
  <c r="D856" i="12" a="1"/>
  <c r="D856" i="12" s="1"/>
  <c r="C856" i="12" a="1"/>
  <c r="C856" i="12" s="1"/>
  <c r="X856" i="12"/>
  <c r="W856" i="12" s="1" a="1"/>
  <c r="W856" i="12" s="1"/>
  <c r="AC856" i="12" a="1"/>
  <c r="AC856" i="12" s="1"/>
  <c r="AB856" i="12" a="1"/>
  <c r="AB856" i="12" s="1"/>
  <c r="D800" i="12" a="1"/>
  <c r="D800" i="12" s="1"/>
  <c r="C810" i="12" a="1"/>
  <c r="C810" i="12" s="1"/>
  <c r="Z810" i="12"/>
  <c r="C811" i="12" a="1"/>
  <c r="C811" i="12" s="1"/>
  <c r="C812" i="12" a="1"/>
  <c r="C812" i="12" s="1"/>
  <c r="D814" i="12" a="1"/>
  <c r="D814" i="12" s="1"/>
  <c r="E815" i="12" a="1"/>
  <c r="E815" i="12" s="1"/>
  <c r="AB815" i="12" a="1"/>
  <c r="AB815" i="12" s="1"/>
  <c r="AC817" i="12" a="1"/>
  <c r="AC817" i="12" s="1"/>
  <c r="AC821" i="12" a="1"/>
  <c r="AC821" i="12" s="1"/>
  <c r="D823" i="12" a="1"/>
  <c r="D823" i="12" s="1"/>
  <c r="X827" i="12"/>
  <c r="W827" i="12" s="1" a="1"/>
  <c r="W827" i="12" s="1"/>
  <c r="E814" i="12" a="1"/>
  <c r="E814" i="12" s="1"/>
  <c r="AC816" i="12" a="1"/>
  <c r="AC816" i="12" s="1"/>
  <c r="AA819" i="12" a="1"/>
  <c r="AA819" i="12" s="1"/>
  <c r="E819" i="12" a="1"/>
  <c r="E819" i="12" s="1"/>
  <c r="AB819" i="12" a="1"/>
  <c r="AB819" i="12" s="1"/>
  <c r="X820" i="12"/>
  <c r="W820" i="12" s="1" a="1"/>
  <c r="W820" i="12" s="1"/>
  <c r="D821" i="12" a="1"/>
  <c r="D821" i="12" s="1"/>
  <c r="Z824" i="12"/>
  <c r="D824" i="12" a="1"/>
  <c r="D824" i="12" s="1"/>
  <c r="AB824" i="12" a="1"/>
  <c r="AB824" i="12" s="1"/>
  <c r="Z875" i="12"/>
  <c r="D875" i="12" a="1"/>
  <c r="D875" i="12" s="1"/>
  <c r="C875" i="12" a="1"/>
  <c r="C875" i="12" s="1"/>
  <c r="X875" i="12"/>
  <c r="W875" i="12" s="1" a="1"/>
  <c r="W875" i="12" s="1"/>
  <c r="AB875" i="12" a="1"/>
  <c r="AB875" i="12" s="1"/>
  <c r="AA875" i="12" a="1"/>
  <c r="AA875" i="12" s="1"/>
  <c r="E875" i="12" a="1"/>
  <c r="E875" i="12" s="1"/>
  <c r="AC875" i="12" a="1"/>
  <c r="AC875" i="12" s="1"/>
  <c r="X834" i="12"/>
  <c r="W834" i="12" s="1" a="1"/>
  <c r="W834" i="12" s="1"/>
  <c r="AC834" i="12" a="1"/>
  <c r="AC834" i="12" s="1"/>
  <c r="AB834" i="12" a="1"/>
  <c r="AB834" i="12" s="1"/>
  <c r="D834" i="12" a="1"/>
  <c r="D834" i="12" s="1"/>
  <c r="AA834" i="12" a="1"/>
  <c r="AA834" i="12" s="1"/>
  <c r="C834" i="12" a="1"/>
  <c r="C834" i="12" s="1"/>
  <c r="E841" i="12" a="1"/>
  <c r="E841" i="12" s="1"/>
  <c r="AC841" i="12" a="1"/>
  <c r="AC841" i="12" s="1"/>
  <c r="D841" i="12" a="1"/>
  <c r="D841" i="12" s="1"/>
  <c r="AB841" i="12" a="1"/>
  <c r="AB841" i="12" s="1"/>
  <c r="AA841" i="12" a="1"/>
  <c r="AA841" i="12" s="1"/>
  <c r="C841" i="12" a="1"/>
  <c r="C841" i="12" s="1"/>
  <c r="AC861" i="12" a="1"/>
  <c r="AC861" i="12" s="1"/>
  <c r="AB861" i="12" a="1"/>
  <c r="AB861" i="12" s="1"/>
  <c r="AA861" i="12" a="1"/>
  <c r="AA861" i="12" s="1"/>
  <c r="E861" i="12" a="1"/>
  <c r="E861" i="12" s="1"/>
  <c r="Z861" i="12"/>
  <c r="D861" i="12" a="1"/>
  <c r="D861" i="12" s="1"/>
  <c r="C861" i="12" a="1"/>
  <c r="C861" i="12" s="1"/>
  <c r="D826" i="12" a="1"/>
  <c r="D826" i="12" s="1"/>
  <c r="D835" i="12" a="1"/>
  <c r="D835" i="12" s="1"/>
  <c r="AC835" i="12" a="1"/>
  <c r="AC835" i="12" s="1"/>
  <c r="E838" i="12" a="1"/>
  <c r="E838" i="12" s="1"/>
  <c r="AC838" i="12" a="1"/>
  <c r="AC838" i="12" s="1"/>
  <c r="AC830" i="12" a="1"/>
  <c r="AC830" i="12" s="1"/>
  <c r="X836" i="12"/>
  <c r="W836" i="12" s="1" a="1"/>
  <c r="W836" i="12" s="1"/>
  <c r="Z855" i="12"/>
  <c r="D855" i="12" a="1"/>
  <c r="D855" i="12" s="1"/>
  <c r="AA854" i="12" a="1"/>
  <c r="AA854" i="12" s="1"/>
  <c r="X854" i="12"/>
  <c r="W854" i="12" s="1" a="1"/>
  <c r="W854" i="12" s="1"/>
  <c r="X880" i="12"/>
  <c r="W880" i="12" s="1" a="1"/>
  <c r="W880" i="12" s="1"/>
  <c r="AC880" i="12" a="1"/>
  <c r="AC880" i="12" s="1"/>
  <c r="AB880" i="12" a="1"/>
  <c r="AB880" i="12" s="1"/>
  <c r="E880" i="12" a="1"/>
  <c r="E880" i="12" s="1"/>
  <c r="AA880" i="12" a="1"/>
  <c r="AA880" i="12" s="1"/>
  <c r="D880" i="12" a="1"/>
  <c r="D880" i="12" s="1"/>
  <c r="Z880" i="12"/>
  <c r="C880" i="12" a="1"/>
  <c r="C880" i="12" s="1"/>
  <c r="C846" i="12" a="1"/>
  <c r="C846" i="12" s="1"/>
  <c r="C851" i="12" a="1"/>
  <c r="C851" i="12" s="1"/>
  <c r="C852" i="12" a="1"/>
  <c r="C852" i="12" s="1"/>
  <c r="C853" i="12" a="1"/>
  <c r="C853" i="12" s="1"/>
  <c r="C854" i="12" a="1"/>
  <c r="C854" i="12" s="1"/>
  <c r="Z832" i="12"/>
  <c r="Z836" i="12"/>
  <c r="D846" i="12" a="1"/>
  <c r="D846" i="12" s="1"/>
  <c r="C847" i="12" a="1"/>
  <c r="C847" i="12" s="1"/>
  <c r="C848" i="12" a="1"/>
  <c r="C848" i="12" s="1"/>
  <c r="C850" i="12" a="1"/>
  <c r="C850" i="12" s="1"/>
  <c r="D851" i="12" a="1"/>
  <c r="D851" i="12" s="1"/>
  <c r="D852" i="12" a="1"/>
  <c r="D852" i="12" s="1"/>
  <c r="D853" i="12" a="1"/>
  <c r="D853" i="12" s="1"/>
  <c r="E855" i="12" a="1"/>
  <c r="E855" i="12" s="1"/>
  <c r="AA855" i="12" a="1"/>
  <c r="AA855" i="12" s="1"/>
  <c r="X869" i="12"/>
  <c r="W869" i="12" s="1" a="1"/>
  <c r="W869" i="12" s="1"/>
  <c r="AC869" i="12" a="1"/>
  <c r="AC869" i="12" s="1"/>
  <c r="E869" i="12" a="1"/>
  <c r="E869" i="12" s="1"/>
  <c r="D869" i="12" a="1"/>
  <c r="D869" i="12" s="1"/>
  <c r="AB869" i="12" a="1"/>
  <c r="AB869" i="12" s="1"/>
  <c r="C869" i="12" a="1"/>
  <c r="C869" i="12" s="1"/>
  <c r="Z874" i="12"/>
  <c r="D874" i="12" a="1"/>
  <c r="D874" i="12" s="1"/>
  <c r="AC874" i="12" a="1"/>
  <c r="AC874" i="12" s="1"/>
  <c r="AB874" i="12" a="1"/>
  <c r="AB874" i="12" s="1"/>
  <c r="AA874" i="12" a="1"/>
  <c r="AA874" i="12" s="1"/>
  <c r="X874" i="12"/>
  <c r="W874" i="12" s="1" a="1"/>
  <c r="W874" i="12" s="1"/>
  <c r="E874" i="12" a="1"/>
  <c r="E874" i="12" s="1"/>
  <c r="C874" i="12" a="1"/>
  <c r="C874" i="12" s="1"/>
  <c r="X861" i="12"/>
  <c r="W861" i="12" s="1" a="1"/>
  <c r="W861" i="12" s="1"/>
  <c r="AB889" i="12" a="1"/>
  <c r="AB889" i="12" s="1"/>
  <c r="Z889" i="12"/>
  <c r="D889" i="12" a="1"/>
  <c r="D889" i="12" s="1"/>
  <c r="C889" i="12" a="1"/>
  <c r="C889" i="12" s="1"/>
  <c r="AC889" i="12" a="1"/>
  <c r="AC889" i="12" s="1"/>
  <c r="AA889" i="12" a="1"/>
  <c r="AA889" i="12" s="1"/>
  <c r="X889" i="12"/>
  <c r="W889" i="12" s="1" a="1"/>
  <c r="W889" i="12" s="1"/>
  <c r="E889" i="12" a="1"/>
  <c r="E889" i="12" s="1"/>
  <c r="AA832" i="12" a="1"/>
  <c r="AA832" i="12" s="1"/>
  <c r="C836" i="12" a="1"/>
  <c r="C836" i="12" s="1"/>
  <c r="AB836" i="12" a="1"/>
  <c r="AB836" i="12" s="1"/>
  <c r="AA842" i="12" a="1"/>
  <c r="AA842" i="12" s="1"/>
  <c r="E846" i="12" a="1"/>
  <c r="E846" i="12" s="1"/>
  <c r="D848" i="12" a="1"/>
  <c r="D848" i="12" s="1"/>
  <c r="D849" i="12" a="1"/>
  <c r="D849" i="12" s="1"/>
  <c r="X849" i="12"/>
  <c r="W849" i="12" s="1" a="1"/>
  <c r="W849" i="12" s="1"/>
  <c r="E850" i="12" a="1"/>
  <c r="E850" i="12" s="1"/>
  <c r="Z851" i="12"/>
  <c r="Z852" i="12"/>
  <c r="G852" i="12" s="1"/>
  <c r="H852" i="12" s="1"/>
  <c r="E853" i="12" a="1"/>
  <c r="E853" i="12" s="1"/>
  <c r="Z853" i="12"/>
  <c r="E854" i="12" a="1"/>
  <c r="E854" i="12" s="1"/>
  <c r="E849" i="12" a="1"/>
  <c r="E849" i="12" s="1"/>
  <c r="Z850" i="12"/>
  <c r="AA851" i="12" a="1"/>
  <c r="AA851" i="12" s="1"/>
  <c r="AA852" i="12" a="1"/>
  <c r="AA852" i="12" s="1"/>
  <c r="Z854" i="12"/>
  <c r="C885" i="12" a="1"/>
  <c r="C885" i="12" s="1"/>
  <c r="Z885" i="12"/>
  <c r="X885" i="12"/>
  <c r="W885" i="12" s="1" a="1"/>
  <c r="W885" i="12" s="1"/>
  <c r="AC885" i="12" a="1"/>
  <c r="AC885" i="12" s="1"/>
  <c r="AB885" i="12" a="1"/>
  <c r="AB885" i="12" s="1"/>
  <c r="E885" i="12" a="1"/>
  <c r="E885" i="12" s="1"/>
  <c r="AA885" i="12" a="1"/>
  <c r="AA885" i="12" s="1"/>
  <c r="D885" i="12" a="1"/>
  <c r="D885" i="12" s="1"/>
  <c r="D830" i="12" a="1"/>
  <c r="D830" i="12" s="1"/>
  <c r="AB832" i="12" a="1"/>
  <c r="AB832" i="12" s="1"/>
  <c r="D836" i="12" a="1"/>
  <c r="D836" i="12" s="1"/>
  <c r="AA838" i="12" a="1"/>
  <c r="AA838" i="12" s="1"/>
  <c r="C842" i="12" a="1"/>
  <c r="C842" i="12" s="1"/>
  <c r="AA846" i="12" a="1"/>
  <c r="AA846" i="12" s="1"/>
  <c r="Z848" i="12"/>
  <c r="AA850" i="12" a="1"/>
  <c r="AA850" i="12" s="1"/>
  <c r="AB851" i="12" a="1"/>
  <c r="AB851" i="12" s="1"/>
  <c r="AA853" i="12" a="1"/>
  <c r="AA853" i="12" s="1"/>
  <c r="AB854" i="12" a="1"/>
  <c r="AB854" i="12" s="1"/>
  <c r="Z869" i="12"/>
  <c r="AA866" i="12" a="1"/>
  <c r="AA866" i="12" s="1"/>
  <c r="C870" i="12" a="1"/>
  <c r="C870" i="12" s="1"/>
  <c r="AC866" i="12" a="1"/>
  <c r="AC866" i="12" s="1"/>
  <c r="X868" i="12"/>
  <c r="W868" i="12" s="1" a="1"/>
  <c r="W868" i="12" s="1"/>
  <c r="E870" i="12" a="1"/>
  <c r="E870" i="12" s="1"/>
  <c r="AC870" i="12" a="1"/>
  <c r="AC870" i="12" s="1"/>
  <c r="AA872" i="12" a="1"/>
  <c r="AA872" i="12" s="1"/>
  <c r="X862" i="12"/>
  <c r="W862" i="12" s="1" a="1"/>
  <c r="W862" i="12" s="1"/>
  <c r="AC865" i="12" a="1"/>
  <c r="AC865" i="12" s="1"/>
  <c r="AB872" i="12" a="1"/>
  <c r="AB872" i="12" s="1"/>
  <c r="AC858" i="12" a="1"/>
  <c r="AC858" i="12" s="1"/>
  <c r="E860" i="12" a="1"/>
  <c r="E860" i="12" s="1"/>
  <c r="AA860" i="12" a="1"/>
  <c r="AA860" i="12" s="1"/>
  <c r="C862" i="12" a="1"/>
  <c r="C862" i="12" s="1"/>
  <c r="AC864" i="12" a="1"/>
  <c r="AC864" i="12" s="1"/>
  <c r="Z868" i="12"/>
  <c r="C872" i="12" a="1"/>
  <c r="C872" i="12" s="1"/>
  <c r="AB900" i="12" a="1"/>
  <c r="AB900" i="12" s="1"/>
  <c r="E900" i="12" a="1"/>
  <c r="E900" i="12" s="1"/>
  <c r="Z900" i="12"/>
  <c r="C900" i="12" a="1"/>
  <c r="C900" i="12" s="1"/>
  <c r="AC900" i="12" a="1"/>
  <c r="AC900" i="12" s="1"/>
  <c r="AA900" i="12" a="1"/>
  <c r="AA900" i="12" s="1"/>
  <c r="D900" i="12" a="1"/>
  <c r="D900" i="12" s="1"/>
  <c r="X857" i="12"/>
  <c r="W857" i="12" s="1" a="1"/>
  <c r="W857" i="12" s="1"/>
  <c r="AB860" i="12" a="1"/>
  <c r="AB860" i="12" s="1"/>
  <c r="D862" i="12" a="1"/>
  <c r="D862" i="12" s="1"/>
  <c r="Z862" i="12"/>
  <c r="X866" i="12"/>
  <c r="W866" i="12" s="1" a="1"/>
  <c r="W866" i="12" s="1"/>
  <c r="AA868" i="12" a="1"/>
  <c r="AA868" i="12" s="1"/>
  <c r="X870" i="12"/>
  <c r="W870" i="12" s="1" a="1"/>
  <c r="W870" i="12" s="1"/>
  <c r="X887" i="12"/>
  <c r="W887" i="12" s="1" a="1"/>
  <c r="W887" i="12" s="1"/>
  <c r="AC887" i="12" a="1"/>
  <c r="AC887" i="12" s="1"/>
  <c r="E887" i="12" a="1"/>
  <c r="E887" i="12" s="1"/>
  <c r="AB887" i="12" a="1"/>
  <c r="AB887" i="12" s="1"/>
  <c r="D887" i="12" a="1"/>
  <c r="D887" i="12" s="1"/>
  <c r="AA887" i="12" a="1"/>
  <c r="AA887" i="12" s="1"/>
  <c r="C887" i="12" a="1"/>
  <c r="C887" i="12" s="1"/>
  <c r="Z887" i="12"/>
  <c r="X858" i="12"/>
  <c r="W858" i="12" s="1" a="1"/>
  <c r="W858" i="12" s="1"/>
  <c r="AC897" i="12" a="1"/>
  <c r="AC897" i="12" s="1"/>
  <c r="AA897" i="12" a="1"/>
  <c r="AA897" i="12" s="1"/>
  <c r="D897" i="12" a="1"/>
  <c r="D897" i="12" s="1"/>
  <c r="Z897" i="12"/>
  <c r="I897" i="12" s="1"/>
  <c r="J897" i="12" s="1"/>
  <c r="X897" i="12"/>
  <c r="W897" i="12" s="1" a="1"/>
  <c r="W897" i="12" s="1"/>
  <c r="E897" i="12" a="1"/>
  <c r="E897" i="12" s="1"/>
  <c r="C897" i="12" a="1"/>
  <c r="C897" i="12" s="1"/>
  <c r="AB897" i="12" a="1"/>
  <c r="AB897" i="12" s="1"/>
  <c r="C858" i="12" a="1"/>
  <c r="C858" i="12" s="1"/>
  <c r="E862" i="12" a="1"/>
  <c r="E862" i="12" s="1"/>
  <c r="AA862" i="12" a="1"/>
  <c r="AA862" i="12" s="1"/>
  <c r="C864" i="12" a="1"/>
  <c r="C864" i="12" s="1"/>
  <c r="C867" i="12" a="1"/>
  <c r="C867" i="12" s="1"/>
  <c r="Z867" i="12"/>
  <c r="D868" i="12" a="1"/>
  <c r="D868" i="12" s="1"/>
  <c r="Z870" i="12"/>
  <c r="X905" i="12"/>
  <c r="W905" i="12" s="1" a="1"/>
  <c r="W905" i="12" s="1"/>
  <c r="E905" i="12" a="1"/>
  <c r="E905" i="12" s="1"/>
  <c r="C905" i="12" a="1"/>
  <c r="C905" i="12" s="1"/>
  <c r="AB905" i="12" a="1"/>
  <c r="AB905" i="12" s="1"/>
  <c r="AA905" i="12" a="1"/>
  <c r="AA905" i="12" s="1"/>
  <c r="D905" i="12" a="1"/>
  <c r="D905" i="12" s="1"/>
  <c r="D864" i="12" a="1"/>
  <c r="D864" i="12" s="1"/>
  <c r="C865" i="12" a="1"/>
  <c r="C865" i="12" s="1"/>
  <c r="AC871" i="12" a="1"/>
  <c r="AC871" i="12" s="1"/>
  <c r="X923" i="12"/>
  <c r="W923" i="12" s="1" a="1"/>
  <c r="W923" i="12" s="1"/>
  <c r="E923" i="12" a="1"/>
  <c r="E923" i="12" s="1"/>
  <c r="AC923" i="12" a="1"/>
  <c r="AC923" i="12" s="1"/>
  <c r="D923" i="12" a="1"/>
  <c r="D923" i="12" s="1"/>
  <c r="AB923" i="12" a="1"/>
  <c r="AB923" i="12" s="1"/>
  <c r="C923" i="12" a="1"/>
  <c r="C923" i="12" s="1"/>
  <c r="AA923" i="12" a="1"/>
  <c r="AA923" i="12" s="1"/>
  <c r="Z923" i="12"/>
  <c r="D876" i="12" a="1"/>
  <c r="D876" i="12" s="1"/>
  <c r="Z876" i="12"/>
  <c r="C877" i="12" a="1"/>
  <c r="C877" i="12" s="1"/>
  <c r="C884" i="12" a="1"/>
  <c r="C884" i="12" s="1"/>
  <c r="Z884" i="12"/>
  <c r="E876" i="12" a="1"/>
  <c r="E876" i="12" s="1"/>
  <c r="D877" i="12" a="1"/>
  <c r="D877" i="12" s="1"/>
  <c r="Z877" i="12"/>
  <c r="C881" i="12" a="1"/>
  <c r="C881" i="12" s="1"/>
  <c r="Z881" i="12"/>
  <c r="C882" i="12" a="1"/>
  <c r="C882" i="12" s="1"/>
  <c r="Z882" i="12"/>
  <c r="AC888" i="12" a="1"/>
  <c r="AC888" i="12" s="1"/>
  <c r="AA888" i="12" a="1"/>
  <c r="AA888" i="12" s="1"/>
  <c r="Z888" i="12"/>
  <c r="D890" i="12" a="1"/>
  <c r="D890" i="12" s="1"/>
  <c r="AA908" i="12" a="1"/>
  <c r="AA908" i="12" s="1"/>
  <c r="Z908" i="12"/>
  <c r="X908" i="12"/>
  <c r="W908" i="12" s="1" a="1"/>
  <c r="W908" i="12" s="1"/>
  <c r="D908" i="12" a="1"/>
  <c r="D908" i="12" s="1"/>
  <c r="AC908" i="12" a="1"/>
  <c r="AC908" i="12" s="1"/>
  <c r="AB883" i="12" a="1"/>
  <c r="AB883" i="12" s="1"/>
  <c r="X890" i="12"/>
  <c r="W890" i="12" s="1" a="1"/>
  <c r="W890" i="12" s="1"/>
  <c r="X892" i="12"/>
  <c r="W892" i="12" s="1" a="1"/>
  <c r="W892" i="12" s="1"/>
  <c r="AA892" i="12" a="1"/>
  <c r="AA892" i="12" s="1"/>
  <c r="D892" i="12" a="1"/>
  <c r="D892" i="12" s="1"/>
  <c r="AC896" i="12" a="1"/>
  <c r="AC896" i="12" s="1"/>
  <c r="AB896" i="12" a="1"/>
  <c r="AB896" i="12" s="1"/>
  <c r="E896" i="12" a="1"/>
  <c r="E896" i="12" s="1"/>
  <c r="Z896" i="12"/>
  <c r="C896" i="12" a="1"/>
  <c r="C896" i="12" s="1"/>
  <c r="X898" i="12"/>
  <c r="W898" i="12" s="1" a="1"/>
  <c r="W898" i="12" s="1"/>
  <c r="AC898" i="12" a="1"/>
  <c r="AC898" i="12" s="1"/>
  <c r="E895" i="12" a="1"/>
  <c r="E895" i="12" s="1"/>
  <c r="AB895" i="12" a="1"/>
  <c r="AB895" i="12" s="1"/>
  <c r="AA895" i="12" a="1"/>
  <c r="AA895" i="12" s="1"/>
  <c r="D895" i="12" a="1"/>
  <c r="D895" i="12" s="1"/>
  <c r="AC899" i="12" a="1"/>
  <c r="AC899" i="12" s="1"/>
  <c r="AB899" i="12" a="1"/>
  <c r="AB899" i="12" s="1"/>
  <c r="E899" i="12" a="1"/>
  <c r="E899" i="12" s="1"/>
  <c r="Z899" i="12"/>
  <c r="C899" i="12" a="1"/>
  <c r="C899" i="12" s="1"/>
  <c r="X899" i="12"/>
  <c r="W899" i="12" s="1" a="1"/>
  <c r="W899" i="12" s="1"/>
  <c r="E909" i="12" a="1"/>
  <c r="E909" i="12" s="1"/>
  <c r="C909" i="12" a="1"/>
  <c r="C909" i="12" s="1"/>
  <c r="AC909" i="12" a="1"/>
  <c r="AC909" i="12" s="1"/>
  <c r="AB909" i="12" a="1"/>
  <c r="AB909" i="12" s="1"/>
  <c r="AA909" i="12" a="1"/>
  <c r="AA909" i="12" s="1"/>
  <c r="AC883" i="12" a="1"/>
  <c r="AC883" i="12" s="1"/>
  <c r="Z890" i="12"/>
  <c r="E892" i="12" a="1"/>
  <c r="E892" i="12" s="1"/>
  <c r="C895" i="12" a="1"/>
  <c r="C895" i="12" s="1"/>
  <c r="X906" i="12"/>
  <c r="W906" i="12" s="1" a="1"/>
  <c r="W906" i="12" s="1"/>
  <c r="AA906" i="12" a="1"/>
  <c r="AA906" i="12" s="1"/>
  <c r="Z906" i="12"/>
  <c r="D906" i="12" a="1"/>
  <c r="D906" i="12" s="1"/>
  <c r="AC906" i="12" a="1"/>
  <c r="AC906" i="12" s="1"/>
  <c r="D909" i="12" a="1"/>
  <c r="D909" i="12" s="1"/>
  <c r="Z886" i="12"/>
  <c r="D896" i="12" a="1"/>
  <c r="D896" i="12" s="1"/>
  <c r="X896" i="12"/>
  <c r="W896" i="12" s="1" a="1"/>
  <c r="W896" i="12" s="1"/>
  <c r="D898" i="12" a="1"/>
  <c r="D898" i="12" s="1"/>
  <c r="AC877" i="12" a="1"/>
  <c r="AC877" i="12" s="1"/>
  <c r="X895" i="12"/>
  <c r="W895" i="12" s="1" a="1"/>
  <c r="W895" i="12" s="1"/>
  <c r="E898" i="12" a="1"/>
  <c r="E898" i="12" s="1"/>
  <c r="D899" i="12" a="1"/>
  <c r="D899" i="12" s="1"/>
  <c r="X901" i="12"/>
  <c r="W901" i="12" s="1" a="1"/>
  <c r="W901" i="12" s="1"/>
  <c r="AC901" i="12" a="1"/>
  <c r="AC901" i="12" s="1"/>
  <c r="E901" i="12" a="1"/>
  <c r="E901" i="12" s="1"/>
  <c r="AA901" i="12" a="1"/>
  <c r="AA901" i="12" s="1"/>
  <c r="D901" i="12" a="1"/>
  <c r="D901" i="12" s="1"/>
  <c r="Z901" i="12"/>
  <c r="X932" i="12"/>
  <c r="W932" i="12" s="1" a="1"/>
  <c r="W932" i="12" s="1"/>
  <c r="AC932" i="12" a="1"/>
  <c r="AC932" i="12" s="1"/>
  <c r="AB932" i="12" a="1"/>
  <c r="AB932" i="12" s="1"/>
  <c r="AA932" i="12" a="1"/>
  <c r="AA932" i="12" s="1"/>
  <c r="Z932" i="12"/>
  <c r="E932" i="12" a="1"/>
  <c r="E932" i="12" s="1"/>
  <c r="D932" i="12" a="1"/>
  <c r="D932" i="12" s="1"/>
  <c r="C932" i="12" a="1"/>
  <c r="C932" i="12" s="1"/>
  <c r="Z895" i="12"/>
  <c r="Z898" i="12"/>
  <c r="AB901" i="12" a="1"/>
  <c r="AB901" i="12" s="1"/>
  <c r="AA890" i="12" a="1"/>
  <c r="AA890" i="12" s="1"/>
  <c r="E890" i="12" a="1"/>
  <c r="E890" i="12" s="1"/>
  <c r="C890" i="12" a="1"/>
  <c r="C890" i="12" s="1"/>
  <c r="C901" i="12" a="1"/>
  <c r="C901" i="12" s="1"/>
  <c r="AB911" i="12" a="1"/>
  <c r="AB911" i="12" s="1"/>
  <c r="AA913" i="12" a="1"/>
  <c r="AA913" i="12" s="1"/>
  <c r="C911" i="12" a="1"/>
  <c r="C911" i="12" s="1"/>
  <c r="AB913" i="12" a="1"/>
  <c r="AB913" i="12" s="1"/>
  <c r="X920" i="12"/>
  <c r="W920" i="12" s="1" a="1"/>
  <c r="W920" i="12" s="1"/>
  <c r="E920" i="12" a="1"/>
  <c r="E920" i="12" s="1"/>
  <c r="AC920" i="12" a="1"/>
  <c r="AC920" i="12" s="1"/>
  <c r="AB920" i="12" a="1"/>
  <c r="AB920" i="12" s="1"/>
  <c r="D920" i="12" a="1"/>
  <c r="D920" i="12" s="1"/>
  <c r="AA920" i="12" a="1"/>
  <c r="AA920" i="12" s="1"/>
  <c r="AC902" i="12" a="1"/>
  <c r="AC902" i="12" s="1"/>
  <c r="AA907" i="12" a="1"/>
  <c r="AA907" i="12" s="1"/>
  <c r="E911" i="12" a="1"/>
  <c r="E911" i="12" s="1"/>
  <c r="D913" i="12" a="1"/>
  <c r="D913" i="12" s="1"/>
  <c r="Z891" i="12"/>
  <c r="AA904" i="12" a="1"/>
  <c r="AA904" i="12" s="1"/>
  <c r="AB910" i="12" a="1"/>
  <c r="AB910" i="12" s="1"/>
  <c r="E913" i="12" a="1"/>
  <c r="E913" i="12" s="1"/>
  <c r="Z914" i="12"/>
  <c r="D914" i="12" a="1"/>
  <c r="D914" i="12" s="1"/>
  <c r="AC915" i="12" a="1"/>
  <c r="AC915" i="12" s="1"/>
  <c r="D893" i="12" a="1"/>
  <c r="D893" i="12" s="1"/>
  <c r="D894" i="12" a="1"/>
  <c r="D894" i="12" s="1"/>
  <c r="AB912" i="12" a="1"/>
  <c r="AB912" i="12" s="1"/>
  <c r="Z911" i="12"/>
  <c r="X933" i="12"/>
  <c r="W933" i="12" s="1" a="1"/>
  <c r="W933" i="12" s="1"/>
  <c r="AA933" i="12" a="1"/>
  <c r="AA933" i="12" s="1"/>
  <c r="Z933" i="12"/>
  <c r="I933" i="12" s="1"/>
  <c r="J933" i="12" s="1"/>
  <c r="E933" i="12" a="1"/>
  <c r="E933" i="12" s="1"/>
  <c r="D933" i="12" a="1"/>
  <c r="D933" i="12" s="1"/>
  <c r="C933" i="12" a="1"/>
  <c r="C933" i="12" s="1"/>
  <c r="AB933" i="12" a="1"/>
  <c r="AB933" i="12" s="1"/>
  <c r="AB926" i="12" a="1"/>
  <c r="AB926" i="12" s="1"/>
  <c r="AC940" i="12" a="1"/>
  <c r="AC940" i="12" s="1"/>
  <c r="AB940" i="12" a="1"/>
  <c r="AB940" i="12" s="1"/>
  <c r="X943" i="12"/>
  <c r="W943" i="12" s="1" a="1"/>
  <c r="W943" i="12" s="1"/>
  <c r="AC943" i="12" a="1"/>
  <c r="AC943" i="12" s="1"/>
  <c r="D943" i="12" a="1"/>
  <c r="D943" i="12" s="1"/>
  <c r="AB943" i="12" a="1"/>
  <c r="AB943" i="12" s="1"/>
  <c r="C943" i="12" a="1"/>
  <c r="C943" i="12" s="1"/>
  <c r="Z943" i="12"/>
  <c r="E940" i="12" a="1"/>
  <c r="E940" i="12" s="1"/>
  <c r="Z940" i="12"/>
  <c r="X917" i="12"/>
  <c r="W917" i="12" s="1" a="1"/>
  <c r="W917" i="12" s="1"/>
  <c r="AA919" i="12" a="1"/>
  <c r="AA919" i="12" s="1"/>
  <c r="AA925" i="12" a="1"/>
  <c r="AA925" i="12" s="1"/>
  <c r="E926" i="12" a="1"/>
  <c r="E926" i="12" s="1"/>
  <c r="C929" i="12" a="1"/>
  <c r="C929" i="12" s="1"/>
  <c r="AA940" i="12" a="1"/>
  <c r="AA940" i="12" s="1"/>
  <c r="Z922" i="12"/>
  <c r="X928" i="12"/>
  <c r="W928" i="12" s="1" a="1"/>
  <c r="W928" i="12" s="1"/>
  <c r="E942" i="12" a="1"/>
  <c r="E942" i="12" s="1"/>
  <c r="AC942" i="12" a="1"/>
  <c r="AC942" i="12" s="1"/>
  <c r="AB942" i="12" a="1"/>
  <c r="AB942" i="12" s="1"/>
  <c r="D942" i="12" a="1"/>
  <c r="D942" i="12" s="1"/>
  <c r="Z942" i="12"/>
  <c r="X942" i="12"/>
  <c r="W942" i="12" s="1" a="1"/>
  <c r="W942" i="12" s="1"/>
  <c r="D919" i="12" a="1"/>
  <c r="D919" i="12" s="1"/>
  <c r="AB919" i="12" a="1"/>
  <c r="AB919" i="12" s="1"/>
  <c r="AA922" i="12" a="1"/>
  <c r="AA922" i="12" s="1"/>
  <c r="AB925" i="12" a="1"/>
  <c r="AB925" i="12" s="1"/>
  <c r="Z936" i="12"/>
  <c r="D936" i="12" a="1"/>
  <c r="D936" i="12" s="1"/>
  <c r="X936" i="12"/>
  <c r="W936" i="12" s="1" a="1"/>
  <c r="W936" i="12" s="1"/>
  <c r="Z937" i="12"/>
  <c r="D937" i="12" a="1"/>
  <c r="D937" i="12" s="1"/>
  <c r="C937" i="12" a="1"/>
  <c r="C937" i="12" s="1"/>
  <c r="X946" i="12"/>
  <c r="W946" i="12" s="1" a="1"/>
  <c r="W946" i="12" s="1"/>
  <c r="AC946" i="12" a="1"/>
  <c r="AC946" i="12" s="1"/>
  <c r="E946" i="12" a="1"/>
  <c r="E946" i="12" s="1"/>
  <c r="AA946" i="12" a="1"/>
  <c r="AA946" i="12" s="1"/>
  <c r="AC925" i="12" a="1"/>
  <c r="AC925" i="12" s="1"/>
  <c r="Z928" i="12"/>
  <c r="E929" i="12" a="1"/>
  <c r="E929" i="12" s="1"/>
  <c r="AA935" i="12" a="1"/>
  <c r="AA935" i="12" s="1"/>
  <c r="E935" i="12" a="1"/>
  <c r="E935" i="12" s="1"/>
  <c r="X935" i="12"/>
  <c r="W935" i="12" s="1" a="1"/>
  <c r="W935" i="12" s="1"/>
  <c r="C936" i="12" a="1"/>
  <c r="C936" i="12" s="1"/>
  <c r="X937" i="12"/>
  <c r="W937" i="12" s="1" a="1"/>
  <c r="W937" i="12" s="1"/>
  <c r="C946" i="12" a="1"/>
  <c r="C946" i="12" s="1"/>
  <c r="AB946" i="12" a="1"/>
  <c r="AB946" i="12" s="1"/>
  <c r="E919" i="12" a="1"/>
  <c r="E919" i="12" s="1"/>
  <c r="AB922" i="12" a="1"/>
  <c r="AB922" i="12" s="1"/>
  <c r="Z926" i="12"/>
  <c r="AA928" i="12" a="1"/>
  <c r="AA928" i="12" s="1"/>
  <c r="C935" i="12" a="1"/>
  <c r="C935" i="12" s="1"/>
  <c r="E937" i="12" a="1"/>
  <c r="E937" i="12" s="1"/>
  <c r="AA937" i="12" a="1"/>
  <c r="AA937" i="12" s="1"/>
  <c r="D946" i="12" a="1"/>
  <c r="D946" i="12" s="1"/>
  <c r="D922" i="12" a="1"/>
  <c r="D922" i="12" s="1"/>
  <c r="AA924" i="12" a="1"/>
  <c r="AA924" i="12" s="1"/>
  <c r="D930" i="12" a="1"/>
  <c r="D930" i="12" s="1"/>
  <c r="E934" i="12" a="1"/>
  <c r="E934" i="12" s="1"/>
  <c r="D935" i="12" a="1"/>
  <c r="D935" i="12" s="1"/>
  <c r="E936" i="12" a="1"/>
  <c r="E936" i="12" s="1"/>
  <c r="AB941" i="12" a="1"/>
  <c r="AB941" i="12" s="1"/>
  <c r="AA941" i="12" a="1"/>
  <c r="AA941" i="12" s="1"/>
  <c r="E941" i="12" a="1"/>
  <c r="E941" i="12" s="1"/>
  <c r="X941" i="12"/>
  <c r="W941" i="12" s="1" a="1"/>
  <c r="W941" i="12" s="1"/>
  <c r="AA926" i="12" a="1"/>
  <c r="AA926" i="12" s="1"/>
  <c r="AB950" i="12" a="1"/>
  <c r="AB950" i="12" s="1"/>
  <c r="AA950" i="12" a="1"/>
  <c r="AA950" i="12" s="1"/>
  <c r="E950" i="12" a="1"/>
  <c r="E950" i="12" s="1"/>
  <c r="AC950" i="12" a="1"/>
  <c r="AC950" i="12" s="1"/>
  <c r="Z950" i="12"/>
  <c r="X950" i="12"/>
  <c r="W950" i="12" s="1" a="1"/>
  <c r="W950" i="12" s="1"/>
  <c r="D950" i="12" a="1"/>
  <c r="D950" i="12" s="1"/>
  <c r="C950" i="12" a="1"/>
  <c r="C950" i="12" s="1"/>
  <c r="AA951" i="12" a="1"/>
  <c r="AA951" i="12" s="1"/>
  <c r="E951" i="12" a="1"/>
  <c r="E951" i="12" s="1"/>
  <c r="Z951" i="12"/>
  <c r="D951" i="12" a="1"/>
  <c r="D951" i="12" s="1"/>
  <c r="X951" i="12"/>
  <c r="W951" i="12" s="1" a="1"/>
  <c r="W951" i="12" s="1"/>
  <c r="AA945" i="12" a="1"/>
  <c r="AA945" i="12" s="1"/>
  <c r="AA948" i="12" a="1"/>
  <c r="AA948" i="12" s="1"/>
  <c r="Z944" i="12"/>
  <c r="Z947" i="12"/>
  <c r="E945" i="12" a="1"/>
  <c r="E945" i="12" s="1"/>
  <c r="AC945" i="12" a="1"/>
  <c r="AC945" i="12" s="1"/>
  <c r="Z949" i="12"/>
  <c r="AC956" i="12" a="1"/>
  <c r="AC956" i="12" s="1"/>
  <c r="AB956" i="12" a="1"/>
  <c r="AB956" i="12" s="1"/>
  <c r="E956" i="12" a="1"/>
  <c r="E956" i="12" s="1"/>
  <c r="Z956" i="12"/>
  <c r="C956" i="12" a="1"/>
  <c r="C956" i="12" s="1"/>
  <c r="AB969" i="12" a="1"/>
  <c r="AB969" i="12" s="1"/>
  <c r="AA969" i="12" a="1"/>
  <c r="AA969" i="12" s="1"/>
  <c r="E969" i="12" a="1"/>
  <c r="E969" i="12" s="1"/>
  <c r="Z969" i="12"/>
  <c r="X969" i="12"/>
  <c r="W969" i="12" s="1" a="1"/>
  <c r="W969" i="12" s="1"/>
  <c r="D969" i="12" a="1"/>
  <c r="D969" i="12" s="1"/>
  <c r="C969" i="12" a="1"/>
  <c r="C969" i="12" s="1"/>
  <c r="AC969" i="12" a="1"/>
  <c r="AC969" i="12" s="1"/>
  <c r="AA947" i="12" a="1"/>
  <c r="AA947" i="12" s="1"/>
  <c r="AA949" i="12" a="1"/>
  <c r="AA949" i="12" s="1"/>
  <c r="AC957" i="12" a="1"/>
  <c r="AC957" i="12" s="1"/>
  <c r="AB957" i="12" a="1"/>
  <c r="AB957" i="12" s="1"/>
  <c r="E957" i="12" a="1"/>
  <c r="E957" i="12" s="1"/>
  <c r="AA957" i="12" a="1"/>
  <c r="AA957" i="12" s="1"/>
  <c r="D957" i="12" a="1"/>
  <c r="D957" i="12" s="1"/>
  <c r="C957" i="12" a="1"/>
  <c r="C957" i="12" s="1"/>
  <c r="X957" i="12"/>
  <c r="W957" i="12" s="1" a="1"/>
  <c r="W957" i="12" s="1"/>
  <c r="X961" i="12"/>
  <c r="W961" i="12" s="1" a="1"/>
  <c r="W961" i="12" s="1"/>
  <c r="AC961" i="12" a="1"/>
  <c r="AC961" i="12" s="1"/>
  <c r="E961" i="12" a="1"/>
  <c r="E961" i="12" s="1"/>
  <c r="AB961" i="12" a="1"/>
  <c r="AB961" i="12" s="1"/>
  <c r="Z961" i="12"/>
  <c r="C961" i="12" a="1"/>
  <c r="C961" i="12" s="1"/>
  <c r="Z952" i="12"/>
  <c r="D952" i="12" a="1"/>
  <c r="D952" i="12" s="1"/>
  <c r="C952" i="12" a="1"/>
  <c r="C952" i="12" s="1"/>
  <c r="X952" i="12"/>
  <c r="W952" i="12" s="1" a="1"/>
  <c r="W952" i="12" s="1"/>
  <c r="D963" i="12" a="1"/>
  <c r="D963" i="12" s="1"/>
  <c r="AA963" i="12" a="1"/>
  <c r="AA963" i="12" s="1"/>
  <c r="X966" i="12"/>
  <c r="W966" i="12" s="1" a="1"/>
  <c r="W966" i="12" s="1"/>
  <c r="X972" i="12"/>
  <c r="W972" i="12" s="1" a="1"/>
  <c r="W972" i="12" s="1"/>
  <c r="AC972" i="12" a="1"/>
  <c r="AC972" i="12" s="1"/>
  <c r="AA972" i="12" a="1"/>
  <c r="AA972" i="12" s="1"/>
  <c r="D972" i="12" a="1"/>
  <c r="D972" i="12" s="1"/>
  <c r="Z972" i="12"/>
  <c r="X988" i="12"/>
  <c r="W988" i="12" s="1" a="1"/>
  <c r="W988" i="12" s="1"/>
  <c r="AC988" i="12" a="1"/>
  <c r="AC988" i="12" s="1"/>
  <c r="AB988" i="12" a="1"/>
  <c r="AB988" i="12" s="1"/>
  <c r="Z988" i="12"/>
  <c r="D988" i="12" a="1"/>
  <c r="D988" i="12" s="1"/>
  <c r="X991" i="12"/>
  <c r="W991" i="12" s="1" a="1"/>
  <c r="W991" i="12" s="1"/>
  <c r="AC991" i="12" a="1"/>
  <c r="AC991" i="12" s="1"/>
  <c r="AB991" i="12" a="1"/>
  <c r="AB991" i="12" s="1"/>
  <c r="AA991" i="12" a="1"/>
  <c r="AA991" i="12" s="1"/>
  <c r="E991" i="12" a="1"/>
  <c r="E991" i="12" s="1"/>
  <c r="Z991" i="12"/>
  <c r="D991" i="12" a="1"/>
  <c r="D991" i="12" s="1"/>
  <c r="C991" i="12" a="1"/>
  <c r="C991" i="12" s="1"/>
  <c r="D958" i="12" a="1"/>
  <c r="D958" i="12" s="1"/>
  <c r="AA958" i="12" a="1"/>
  <c r="AA958" i="12" s="1"/>
  <c r="D959" i="12" a="1"/>
  <c r="D959" i="12" s="1"/>
  <c r="AA959" i="12" a="1"/>
  <c r="AA959" i="12" s="1"/>
  <c r="D960" i="12" a="1"/>
  <c r="D960" i="12" s="1"/>
  <c r="AA960" i="12" a="1"/>
  <c r="AA960" i="12" s="1"/>
  <c r="AC963" i="12" a="1"/>
  <c r="AC963" i="12" s="1"/>
  <c r="AA966" i="12" a="1"/>
  <c r="AA966" i="12" s="1"/>
  <c r="AA970" i="12" a="1"/>
  <c r="AA970" i="12" s="1"/>
  <c r="E970" i="12" a="1"/>
  <c r="E970" i="12" s="1"/>
  <c r="Z970" i="12"/>
  <c r="G970" i="12" s="1"/>
  <c r="H970" i="12" s="1"/>
  <c r="D970" i="12" a="1"/>
  <c r="D970" i="12" s="1"/>
  <c r="X970" i="12"/>
  <c r="W970" i="12" s="1" a="1"/>
  <c r="W970" i="12" s="1"/>
  <c r="AC970" i="12" a="1"/>
  <c r="AC970" i="12" s="1"/>
  <c r="X984" i="12"/>
  <c r="W984" i="12" s="1" a="1"/>
  <c r="W984" i="12" s="1"/>
  <c r="AC984" i="12" a="1"/>
  <c r="AC984" i="12" s="1"/>
  <c r="AB984" i="12" a="1"/>
  <c r="AB984" i="12" s="1"/>
  <c r="Z984" i="12"/>
  <c r="D984" i="12" a="1"/>
  <c r="D984" i="12" s="1"/>
  <c r="E971" i="12" a="1"/>
  <c r="E971" i="12" s="1"/>
  <c r="D971" i="12" a="1"/>
  <c r="D971" i="12" s="1"/>
  <c r="AC971" i="12" a="1"/>
  <c r="AC971" i="12" s="1"/>
  <c r="C971" i="12" a="1"/>
  <c r="C971" i="12" s="1"/>
  <c r="AA971" i="12" a="1"/>
  <c r="AA971" i="12" s="1"/>
  <c r="X971" i="12"/>
  <c r="W971" i="12" s="1" a="1"/>
  <c r="W971" i="12" s="1"/>
  <c r="C984" i="12" a="1"/>
  <c r="C984" i="12" s="1"/>
  <c r="Z965" i="12"/>
  <c r="D965" i="12" a="1"/>
  <c r="D965" i="12" s="1"/>
  <c r="D966" i="12" a="1"/>
  <c r="D966" i="12" s="1"/>
  <c r="AB966" i="12" a="1"/>
  <c r="AB966" i="12" s="1"/>
  <c r="X987" i="12"/>
  <c r="W987" i="12" s="1" a="1"/>
  <c r="W987" i="12" s="1"/>
  <c r="AC987" i="12" a="1"/>
  <c r="AC987" i="12" s="1"/>
  <c r="AB987" i="12" a="1"/>
  <c r="AB987" i="12" s="1"/>
  <c r="AA987" i="12" a="1"/>
  <c r="AA987" i="12" s="1"/>
  <c r="E987" i="12" a="1"/>
  <c r="E987" i="12" s="1"/>
  <c r="Z987" i="12"/>
  <c r="D987" i="12" a="1"/>
  <c r="D987" i="12" s="1"/>
  <c r="C987" i="12" a="1"/>
  <c r="C987" i="12" s="1"/>
  <c r="AA988" i="12" a="1"/>
  <c r="AA988" i="12" s="1"/>
  <c r="AA965" i="12" a="1"/>
  <c r="AA965" i="12" s="1"/>
  <c r="AC966" i="12" a="1"/>
  <c r="AC966" i="12" s="1"/>
  <c r="AA968" i="12" a="1"/>
  <c r="AA968" i="12" s="1"/>
  <c r="X995" i="12"/>
  <c r="W995" i="12" s="1" a="1"/>
  <c r="W995" i="12" s="1"/>
  <c r="AC995" i="12" a="1"/>
  <c r="AC995" i="12" s="1"/>
  <c r="AB995" i="12" a="1"/>
  <c r="AB995" i="12" s="1"/>
  <c r="AA995" i="12" a="1"/>
  <c r="AA995" i="12" s="1"/>
  <c r="E995" i="12" a="1"/>
  <c r="E995" i="12" s="1"/>
  <c r="Z995" i="12"/>
  <c r="D995" i="12" a="1"/>
  <c r="D995" i="12" s="1"/>
  <c r="C995" i="12" a="1"/>
  <c r="C995" i="12" s="1"/>
  <c r="AB955" i="12" a="1"/>
  <c r="AB955" i="12" s="1"/>
  <c r="AC958" i="12" a="1"/>
  <c r="AC958" i="12" s="1"/>
  <c r="X963" i="12"/>
  <c r="W963" i="12" s="1" a="1"/>
  <c r="W963" i="12" s="1"/>
  <c r="AA964" i="12" a="1"/>
  <c r="AA964" i="12" s="1"/>
  <c r="X964" i="12"/>
  <c r="W964" i="12" s="1" a="1"/>
  <c r="W964" i="12" s="1"/>
  <c r="C965" i="12" a="1"/>
  <c r="C965" i="12" s="1"/>
  <c r="E966" i="12" a="1"/>
  <c r="E966" i="12" s="1"/>
  <c r="AB965" i="12" a="1"/>
  <c r="AB965" i="12" s="1"/>
  <c r="AB968" i="12" a="1"/>
  <c r="AB968" i="12" s="1"/>
  <c r="X983" i="12"/>
  <c r="W983" i="12" s="1" a="1"/>
  <c r="W983" i="12" s="1"/>
  <c r="AC983" i="12" a="1"/>
  <c r="AC983" i="12" s="1"/>
  <c r="AB983" i="12" a="1"/>
  <c r="AB983" i="12" s="1"/>
  <c r="AA983" i="12" a="1"/>
  <c r="AA983" i="12" s="1"/>
  <c r="E983" i="12" a="1"/>
  <c r="E983" i="12" s="1"/>
  <c r="Z983" i="12"/>
  <c r="D983" i="12" a="1"/>
  <c r="D983" i="12" s="1"/>
  <c r="C983" i="12" a="1"/>
  <c r="C983" i="12" s="1"/>
  <c r="AA984" i="12" a="1"/>
  <c r="AA984" i="12" s="1"/>
  <c r="C977" i="12" a="1"/>
  <c r="C977" i="12" s="1"/>
  <c r="C978" i="12" a="1"/>
  <c r="C978" i="12" s="1"/>
  <c r="C979" i="12" a="1"/>
  <c r="C979" i="12" s="1"/>
  <c r="C981" i="12" a="1"/>
  <c r="C981" i="12" s="1"/>
  <c r="AB982" i="12" a="1"/>
  <c r="AB982" i="12" s="1"/>
  <c r="C985" i="12" a="1"/>
  <c r="C985" i="12" s="1"/>
  <c r="AB986" i="12" a="1"/>
  <c r="AB986" i="12" s="1"/>
  <c r="C989" i="12" a="1"/>
  <c r="C989" i="12" s="1"/>
  <c r="AB990" i="12" a="1"/>
  <c r="AB990" i="12" s="1"/>
  <c r="C993" i="12" a="1"/>
  <c r="C993" i="12" s="1"/>
  <c r="AB994" i="12" a="1"/>
  <c r="AB994" i="12" s="1"/>
  <c r="C997" i="12" a="1"/>
  <c r="C997" i="12" s="1"/>
  <c r="AB998" i="12" a="1"/>
  <c r="AB998" i="12" s="1"/>
  <c r="D977" i="12" a="1"/>
  <c r="D977" i="12" s="1"/>
  <c r="D978" i="12" a="1"/>
  <c r="D978" i="12" s="1"/>
  <c r="C980" i="12" a="1"/>
  <c r="C980" i="12" s="1"/>
  <c r="D981" i="12" a="1"/>
  <c r="D981" i="12" s="1"/>
  <c r="Z981" i="12"/>
  <c r="AC982" i="12" a="1"/>
  <c r="AC982" i="12" s="1"/>
  <c r="D985" i="12" a="1"/>
  <c r="D985" i="12" s="1"/>
  <c r="Z985" i="12"/>
  <c r="AC986" i="12" a="1"/>
  <c r="AC986" i="12" s="1"/>
  <c r="D989" i="12" a="1"/>
  <c r="D989" i="12" s="1"/>
  <c r="Z989" i="12"/>
  <c r="AC990" i="12" a="1"/>
  <c r="AC990" i="12" s="1"/>
  <c r="D993" i="12" a="1"/>
  <c r="D993" i="12" s="1"/>
  <c r="Z993" i="12"/>
  <c r="AC994" i="12" a="1"/>
  <c r="AC994" i="12" s="1"/>
  <c r="D997" i="12" a="1"/>
  <c r="D997" i="12" s="1"/>
  <c r="Z997" i="12"/>
  <c r="AC998" i="12" a="1"/>
  <c r="AC998" i="12" s="1"/>
  <c r="X1000" i="12"/>
  <c r="W1000" i="12" s="1" a="1"/>
  <c r="W1000" i="12" s="1"/>
  <c r="AC1000" i="12" a="1"/>
  <c r="AC1000" i="12" s="1"/>
  <c r="AB1000" i="12" a="1"/>
  <c r="AB1000" i="12" s="1"/>
  <c r="AA1000" i="12" a="1"/>
  <c r="AA1000" i="12" s="1"/>
  <c r="Z1000" i="12"/>
  <c r="D1000" i="12" a="1"/>
  <c r="D1000" i="12" s="1"/>
  <c r="C1000" i="12" a="1"/>
  <c r="C1000" i="12" s="1"/>
  <c r="D973" i="12" a="1"/>
  <c r="D973" i="12" s="1"/>
  <c r="AB975" i="12" a="1"/>
  <c r="AB975" i="12" s="1"/>
  <c r="AA977" i="12" a="1"/>
  <c r="AA977" i="12" s="1"/>
  <c r="Z979" i="12"/>
  <c r="Z980" i="12"/>
  <c r="AC981" i="12" a="1"/>
  <c r="AC981" i="12" s="1"/>
  <c r="AC985" i="12" a="1"/>
  <c r="AC985" i="12" s="1"/>
  <c r="AC989" i="12" a="1"/>
  <c r="AC989" i="12" s="1"/>
  <c r="D992" i="12" a="1"/>
  <c r="D992" i="12" s="1"/>
  <c r="Z992" i="12"/>
  <c r="AC993" i="12" a="1"/>
  <c r="AC993" i="12" s="1"/>
  <c r="D996" i="12" a="1"/>
  <c r="D996" i="12" s="1"/>
  <c r="Z996" i="12"/>
  <c r="AC997" i="12" a="1"/>
  <c r="AC997" i="12" s="1"/>
  <c r="AB977" i="12" a="1"/>
  <c r="AB977" i="12" s="1"/>
  <c r="AB978" i="12" a="1"/>
  <c r="AB978" i="12" s="1"/>
  <c r="AB979" i="12" a="1"/>
  <c r="AB979" i="12" s="1"/>
  <c r="AB980" i="12" a="1"/>
  <c r="AB980" i="12" s="1"/>
  <c r="AB992" i="12" a="1"/>
  <c r="AB992" i="12" s="1"/>
  <c r="AB996" i="12" a="1"/>
  <c r="AB996" i="12" s="1"/>
  <c r="C999" i="12" a="1"/>
  <c r="C999" i="12" s="1"/>
  <c r="AC977" i="12" a="1"/>
  <c r="AC977" i="12" s="1"/>
  <c r="AC978" i="12" a="1"/>
  <c r="AC978" i="12" s="1"/>
  <c r="AC979" i="12" a="1"/>
  <c r="AC979" i="12" s="1"/>
  <c r="AC992" i="12" a="1"/>
  <c r="AC992" i="12" s="1"/>
  <c r="AC996" i="12" a="1"/>
  <c r="AC996" i="12" s="1"/>
  <c r="D999" i="12" a="1"/>
  <c r="D999" i="12" s="1"/>
  <c r="Z999" i="12"/>
  <c r="E999" i="12" a="1"/>
  <c r="E999" i="12" s="1"/>
  <c r="AA999" i="12" a="1"/>
  <c r="AA999" i="12" s="1"/>
  <c r="AA973" i="12" a="1"/>
  <c r="AA973" i="12" s="1"/>
  <c r="D975" i="12" a="1"/>
  <c r="D975" i="12" s="1"/>
  <c r="C982" i="12" a="1"/>
  <c r="C982" i="12" s="1"/>
  <c r="C986" i="12" a="1"/>
  <c r="C986" i="12" s="1"/>
  <c r="C990" i="12" a="1"/>
  <c r="C990" i="12" s="1"/>
  <c r="C994" i="12" a="1"/>
  <c r="C994" i="12" s="1"/>
  <c r="C998" i="12" a="1"/>
  <c r="C998" i="12" s="1"/>
  <c r="AB999" i="12" a="1"/>
  <c r="AB999" i="12" s="1"/>
  <c r="AB973" i="12" a="1"/>
  <c r="AB973" i="12" s="1"/>
  <c r="D982" i="12" a="1"/>
  <c r="D982" i="12" s="1"/>
  <c r="Z982" i="12"/>
  <c r="D986" i="12" a="1"/>
  <c r="D986" i="12" s="1"/>
  <c r="Z986" i="12"/>
  <c r="D990" i="12" a="1"/>
  <c r="D990" i="12" s="1"/>
  <c r="Z990" i="12"/>
  <c r="D994" i="12" a="1"/>
  <c r="D994" i="12" s="1"/>
  <c r="Z994" i="12"/>
  <c r="D998" i="12" a="1"/>
  <c r="D998" i="12" s="1"/>
  <c r="Z998" i="12"/>
  <c r="AC999" i="12" a="1"/>
  <c r="AC999" i="12" s="1"/>
  <c r="E982" i="12" a="1"/>
  <c r="E982" i="12" s="1"/>
  <c r="AA982" i="12" a="1"/>
  <c r="AA982" i="12" s="1"/>
  <c r="E986" i="12" a="1"/>
  <c r="E986" i="12" s="1"/>
  <c r="AA986" i="12" a="1"/>
  <c r="AA986" i="12" s="1"/>
  <c r="E990" i="12" a="1"/>
  <c r="E990" i="12" s="1"/>
  <c r="AA990" i="12" a="1"/>
  <c r="AA990" i="12" s="1"/>
  <c r="E994" i="12" a="1"/>
  <c r="E994" i="12" s="1"/>
  <c r="AA994" i="12" a="1"/>
  <c r="AA994" i="12" s="1"/>
  <c r="E998" i="12" a="1"/>
  <c r="E998" i="12" s="1"/>
  <c r="AA998" i="12" a="1"/>
  <c r="AA998" i="12" s="1"/>
  <c r="Y34" i="12" a="1"/>
  <c r="Y902" i="12" a="1"/>
  <c r="Y378" i="12" a="1"/>
  <c r="Y32" i="12" a="1"/>
  <c r="Y77" i="12" a="1"/>
  <c r="Y45" i="12" a="1"/>
  <c r="Y98" i="12" a="1"/>
  <c r="Y196" i="12" a="1"/>
  <c r="Y138" i="12" a="1"/>
  <c r="Y279" i="12" a="1"/>
  <c r="Y305" i="12" a="1"/>
  <c r="Y241" i="12" a="1"/>
  <c r="Y329" i="12" a="1"/>
  <c r="Y359" i="12" a="1"/>
  <c r="Y358" i="12" a="1"/>
  <c r="Y485" i="12" a="1"/>
  <c r="Y510" i="12" a="1"/>
  <c r="Y570" i="12" a="1"/>
  <c r="Y556" i="12" a="1"/>
  <c r="Y586" i="12" a="1"/>
  <c r="Y676" i="12" a="1"/>
  <c r="Y741" i="12" a="1"/>
  <c r="Y830" i="12" a="1"/>
  <c r="Y842" i="12" a="1"/>
  <c r="Y866" i="12" a="1"/>
  <c r="Y894" i="12" a="1"/>
  <c r="Y860" i="12" a="1"/>
  <c r="Y924" i="12" a="1"/>
  <c r="Y921" i="12" a="1"/>
  <c r="Y955" i="12" a="1"/>
  <c r="Y963" i="12" a="1"/>
  <c r="Y808" i="12" a="1"/>
  <c r="Y209" i="12" a="1"/>
  <c r="Y30" i="12" a="1"/>
  <c r="Y24" i="12" a="1"/>
  <c r="Y6" i="12" a="1"/>
  <c r="Y60" i="12" a="1"/>
  <c r="Y158" i="12" a="1"/>
  <c r="Y220" i="12" a="1"/>
  <c r="Y200" i="12" a="1"/>
  <c r="Y234" i="12" a="1"/>
  <c r="Y237" i="12" a="1"/>
  <c r="Y280" i="12" a="1"/>
  <c r="Y267" i="12" a="1"/>
  <c r="Y250" i="12" a="1"/>
  <c r="Y343" i="12" a="1"/>
  <c r="Y447" i="12" a="1"/>
  <c r="Y429" i="12" a="1"/>
  <c r="Y439" i="12" a="1"/>
  <c r="Y504" i="12" a="1"/>
  <c r="Y437" i="12" a="1"/>
  <c r="Y512" i="12" a="1"/>
  <c r="Y575" i="12" a="1"/>
  <c r="Y566" i="12" a="1"/>
  <c r="Y596" i="12" a="1"/>
  <c r="Y652" i="12" a="1"/>
  <c r="Y659" i="12" a="1"/>
  <c r="Y663" i="12" a="1"/>
  <c r="Y664" i="12" a="1"/>
  <c r="Y699" i="12" a="1"/>
  <c r="Y749" i="12" a="1"/>
  <c r="Y761" i="12" a="1"/>
  <c r="Y776" i="12" a="1"/>
  <c r="Y765" i="12" a="1"/>
  <c r="Y811" i="12" a="1"/>
  <c r="Y822" i="12" a="1"/>
  <c r="Y879" i="12" a="1"/>
  <c r="Y917" i="12" a="1"/>
  <c r="Y958" i="12" a="1"/>
  <c r="Y978" i="12" a="1"/>
  <c r="Y973" i="12" a="1"/>
  <c r="Y288" i="12" a="1"/>
  <c r="Y67" i="12" a="1"/>
  <c r="Y99" i="12" a="1"/>
  <c r="Y88" i="12" a="1"/>
  <c r="Y139" i="12" a="1"/>
  <c r="Y157" i="12" a="1"/>
  <c r="Y142" i="12" a="1"/>
  <c r="Y128" i="12" a="1"/>
  <c r="Y199" i="12" a="1"/>
  <c r="Y204" i="12" a="1"/>
  <c r="Y295" i="12" a="1"/>
  <c r="Y173" i="12" a="1"/>
  <c r="Y240" i="12" a="1"/>
  <c r="Y206" i="12" a="1"/>
  <c r="Y175" i="12" a="1"/>
  <c r="Y281" i="12" a="1"/>
  <c r="Y311" i="12" a="1"/>
  <c r="Y275" i="12" a="1"/>
  <c r="Y327" i="12" a="1"/>
  <c r="Y465" i="12" a="1"/>
  <c r="Y432" i="12" a="1"/>
  <c r="Y473" i="12" a="1"/>
  <c r="Y516" i="12" a="1"/>
  <c r="Y482" i="12" a="1"/>
  <c r="Y507" i="12" a="1"/>
  <c r="Y554" i="12" a="1"/>
  <c r="Y537" i="12" a="1"/>
  <c r="Y529" i="12" a="1"/>
  <c r="Y535" i="12" a="1"/>
  <c r="Y582" i="12" a="1"/>
  <c r="Y550" i="12" a="1"/>
  <c r="Y561" i="12" a="1"/>
  <c r="Y610" i="12" a="1"/>
  <c r="Y686" i="12" a="1"/>
  <c r="Y697" i="12" a="1"/>
  <c r="Y744" i="12" a="1"/>
  <c r="Y788" i="12" a="1"/>
  <c r="Y752" i="12" a="1"/>
  <c r="Y817" i="12" a="1"/>
  <c r="Y834" i="12" a="1"/>
  <c r="Y858" i="12" a="1"/>
  <c r="Y927" i="12" a="1"/>
  <c r="Y934" i="12" a="1"/>
  <c r="Y903" i="12" a="1"/>
  <c r="Y929" i="12" a="1"/>
  <c r="Y959" i="12" a="1"/>
  <c r="Y800" i="12" a="1"/>
  <c r="Y154" i="12" a="1"/>
  <c r="Y10" i="12" a="1"/>
  <c r="Y50" i="12" a="1"/>
  <c r="Y47" i="12" a="1"/>
  <c r="Y55" i="12" a="1"/>
  <c r="Y49" i="12" a="1"/>
  <c r="Y71" i="12" a="1"/>
  <c r="Y202" i="12" a="1"/>
  <c r="Y276" i="12" a="1"/>
  <c r="Y210" i="12" a="1"/>
  <c r="Y272" i="12" a="1"/>
  <c r="Y284" i="12" a="1"/>
  <c r="Y303" i="12" a="1"/>
  <c r="Y322" i="12" a="1"/>
  <c r="Y333" i="12" a="1"/>
  <c r="Y497" i="12" a="1"/>
  <c r="Y453" i="12" a="1"/>
  <c r="Y493" i="12" a="1"/>
  <c r="Y593" i="12" a="1"/>
  <c r="Y597" i="12" a="1"/>
  <c r="Y658" i="12" a="1"/>
  <c r="Y634" i="12" a="1"/>
  <c r="Y682" i="12" a="1"/>
  <c r="Y647" i="12" a="1"/>
  <c r="Y691" i="12" a="1"/>
  <c r="Y668" i="12" a="1"/>
  <c r="Y781" i="12" a="1"/>
  <c r="Y792" i="12" a="1"/>
  <c r="Y839" i="12" a="1"/>
  <c r="Y821" i="12" a="1"/>
  <c r="Y828" i="12" a="1"/>
  <c r="Y859" i="12" a="1"/>
  <c r="Y915" i="12" a="1"/>
  <c r="Y953" i="12" a="1"/>
  <c r="Y967" i="12" a="1"/>
  <c r="Y960" i="12" a="1"/>
  <c r="Y974" i="12" a="1"/>
  <c r="Y975" i="12" a="1"/>
  <c r="Y783" i="12" a="1"/>
  <c r="Y91" i="12" a="1"/>
  <c r="Y132" i="12" a="1"/>
  <c r="Y70" i="12" a="1"/>
  <c r="Y160" i="12" a="1"/>
  <c r="Y161" i="12" a="1"/>
  <c r="Y285" i="12" a="1"/>
  <c r="Y179" i="12" a="1"/>
  <c r="Y211" i="12" a="1"/>
  <c r="Y289" i="12" a="1"/>
  <c r="Y274" i="12" a="1"/>
  <c r="Y317" i="12" a="1"/>
  <c r="Y259" i="12" a="1"/>
  <c r="Y379" i="12" a="1"/>
  <c r="Y401" i="12" a="1"/>
  <c r="Y477" i="12" a="1"/>
  <c r="Y397" i="12" a="1"/>
  <c r="Y409" i="12" a="1"/>
  <c r="Y605" i="12" a="1"/>
  <c r="Y613" i="12" a="1"/>
  <c r="Y614" i="12" a="1"/>
  <c r="Y600" i="12" a="1"/>
  <c r="Y598" i="12" a="1"/>
  <c r="Y695" i="12" a="1"/>
  <c r="Y705" i="12" a="1"/>
  <c r="Y763" i="12" a="1"/>
  <c r="Y826" i="12" a="1"/>
  <c r="Y837" i="12" a="1"/>
  <c r="Y827" i="12" a="1"/>
  <c r="Y916" i="12" a="1"/>
  <c r="Y968" i="12" a="1"/>
  <c r="Y669" i="12" a="1"/>
  <c r="Y8" i="12" a="1"/>
  <c r="Y94" i="12" a="1"/>
  <c r="Y14" i="12" a="1"/>
  <c r="Y72" i="12" a="1"/>
  <c r="Y80" i="12" a="1"/>
  <c r="Y117" i="12" a="1"/>
  <c r="Y203" i="12" a="1"/>
  <c r="Y177" i="12" a="1"/>
  <c r="Y145" i="12" a="1"/>
  <c r="Y123" i="12" a="1"/>
  <c r="Y184" i="12" a="1"/>
  <c r="Y208" i="12" a="1"/>
  <c r="Y164" i="12" a="1"/>
  <c r="Y321" i="12" a="1"/>
  <c r="Y328" i="12" a="1"/>
  <c r="Y268" i="12" a="1"/>
  <c r="Y346" i="12" a="1"/>
  <c r="Y421" i="12" a="1"/>
  <c r="Y479" i="12" a="1"/>
  <c r="Y544" i="12" a="1"/>
  <c r="Y588" i="12" a="1"/>
  <c r="Y628" i="12" a="1"/>
  <c r="Y615" i="12" a="1"/>
  <c r="Y739" i="12" a="1"/>
  <c r="Y789" i="12" a="1"/>
  <c r="Y748" i="12" a="1"/>
  <c r="Y845" i="12" a="1"/>
  <c r="Y809" i="12" a="1"/>
  <c r="Y847" i="12" a="1"/>
  <c r="Y930" i="12" a="1"/>
  <c r="Y904" i="12" a="1"/>
  <c r="Y938" i="12" a="1"/>
  <c r="Y954" i="12" a="1"/>
  <c r="Y26" i="12" a="1"/>
  <c r="Y646" i="12" a="1"/>
  <c r="Y159" i="12" a="1"/>
  <c r="Y74" i="12" a="1"/>
  <c r="Y64" i="12" a="1"/>
  <c r="Y201" i="12" a="1"/>
  <c r="Y42" i="12" a="1"/>
  <c r="Y149" i="12" a="1"/>
  <c r="Y136" i="12" a="1"/>
  <c r="Y168" i="12" a="1"/>
  <c r="Y172" i="12" a="1"/>
  <c r="Y218" i="12" a="1"/>
  <c r="Y205" i="12" a="1"/>
  <c r="Y273" i="12" a="1"/>
  <c r="Y262" i="12" a="1"/>
  <c r="Y330" i="12" a="1"/>
  <c r="Y260" i="12" a="1"/>
  <c r="Y339" i="12" a="1"/>
  <c r="Y354" i="12" a="1"/>
  <c r="Y442" i="12" a="1"/>
  <c r="Y427" i="12" a="1"/>
  <c r="Y543" i="12" a="1"/>
  <c r="Y522" i="12" a="1"/>
  <c r="Y494" i="12" a="1"/>
  <c r="Y558" i="12" a="1"/>
  <c r="Y657" i="12" a="1"/>
  <c r="Y671" i="12" a="1"/>
  <c r="Y684" i="12" a="1"/>
  <c r="Y745" i="12" a="1"/>
  <c r="Y787" i="12" a="1"/>
  <c r="Y790" i="12" a="1"/>
  <c r="Y770" i="12" a="1"/>
  <c r="Y840" i="12" a="1"/>
  <c r="Y838" i="12" a="1"/>
  <c r="Y871" i="12" a="1"/>
  <c r="Y931" i="12" a="1"/>
  <c r="Y604" i="12" a="1"/>
  <c r="Y12" i="12" a="1"/>
  <c r="Y18" i="12" a="1"/>
  <c r="Y104" i="12" a="1"/>
  <c r="Y59" i="12" a="1"/>
  <c r="Y62" i="12" a="1"/>
  <c r="Y79" i="12" a="1"/>
  <c r="Y75" i="12" a="1"/>
  <c r="Y101" i="12" a="1"/>
  <c r="Y89" i="12" a="1"/>
  <c r="Y246" i="12" a="1"/>
  <c r="Y129" i="12" a="1"/>
  <c r="Y255" i="12" a="1"/>
  <c r="Y236" i="12" a="1"/>
  <c r="Y294" i="12" a="1"/>
  <c r="Y215" i="12" a="1"/>
  <c r="Y238" i="12" a="1"/>
  <c r="Y231" i="12" a="1"/>
  <c r="Y340" i="12" a="1"/>
  <c r="Y336" i="12" a="1"/>
  <c r="Y367" i="12" a="1"/>
  <c r="Y616" i="12" a="1"/>
  <c r="Y425" i="12" a="1"/>
  <c r="Y417" i="12" a="1"/>
  <c r="Y471" i="12" a="1"/>
  <c r="Y609" i="12" a="1"/>
  <c r="Y746" i="12" a="1"/>
  <c r="Y793" i="12" a="1"/>
  <c r="Y883" i="12" a="1"/>
  <c r="Y925" i="12" a="1"/>
  <c r="Y920" i="12" a="1"/>
  <c r="Y581" i="12" a="1"/>
  <c r="Y61" i="12" a="1"/>
  <c r="Y97" i="12" a="1"/>
  <c r="Y144" i="12" a="1"/>
  <c r="Y151" i="12" a="1"/>
  <c r="Y207" i="12" a="1"/>
  <c r="Y130" i="12" a="1"/>
  <c r="Y251" i="12" a="1"/>
  <c r="Y290" i="12" a="1"/>
  <c r="Y182" i="12" a="1"/>
  <c r="Y174" i="12" a="1"/>
  <c r="Y287" i="12" a="1"/>
  <c r="Y193" i="12" a="1"/>
  <c r="Y310" i="12" a="1"/>
  <c r="Y309" i="12" a="1"/>
  <c r="Y315" i="12" a="1"/>
  <c r="Y225" i="12" a="1"/>
  <c r="Y323" i="12" a="1"/>
  <c r="Y277" i="12" a="1"/>
  <c r="Y368" i="12" a="1"/>
  <c r="Y406" i="12" a="1"/>
  <c r="Y622" i="12" a="1"/>
  <c r="Y414" i="12" a="1"/>
  <c r="Y457" i="12" a="1"/>
  <c r="Y445" i="12" a="1"/>
  <c r="Y419" i="12" a="1"/>
  <c r="Y511" i="12" a="1"/>
  <c r="Y623" i="12" a="1"/>
  <c r="Y608" i="12" a="1"/>
  <c r="Y735" i="12" a="1"/>
  <c r="Y771" i="12" a="1"/>
  <c r="Y794" i="12" a="1"/>
  <c r="Y819" i="12" a="1"/>
  <c r="Y812" i="12" a="1"/>
  <c r="Y857" i="12" a="1"/>
  <c r="Y864" i="12" a="1"/>
  <c r="Y907" i="12" a="1"/>
  <c r="Y910" i="12" a="1"/>
  <c r="Y562" i="12" a="1"/>
  <c r="Y112" i="12" a="1"/>
  <c r="Y16" i="12" a="1"/>
  <c r="Y36" i="12" a="1"/>
  <c r="Y28" i="12" a="1"/>
  <c r="Y90" i="12" a="1"/>
  <c r="Y22" i="12" a="1"/>
  <c r="Y137" i="12" a="1"/>
  <c r="Y69" i="12" a="1"/>
  <c r="Y165" i="12" a="1"/>
  <c r="Y141" i="12" a="1"/>
  <c r="Y108" i="12" a="1"/>
  <c r="Y242" i="12" a="1"/>
  <c r="Y252" i="12" a="1"/>
  <c r="Y186" i="12" a="1"/>
  <c r="Y224" i="12" a="1"/>
  <c r="Y306" i="12" a="1"/>
  <c r="Y356" i="12" a="1"/>
  <c r="Y282" i="12" a="1"/>
  <c r="Y332" i="12" a="1"/>
  <c r="Y377" i="12" a="1"/>
  <c r="Y371" i="12" a="1"/>
  <c r="Y386" i="12" a="1"/>
  <c r="Y402" i="12" a="1"/>
  <c r="Y369" i="12" a="1"/>
  <c r="Y443" i="12" a="1"/>
  <c r="Y460" i="12" a="1"/>
  <c r="Y412" i="12" a="1"/>
  <c r="Y483" i="12" a="1"/>
  <c r="Y403" i="12" a="1"/>
  <c r="Y555" i="12" a="1"/>
  <c r="Y592" i="12" a="1"/>
  <c r="Y630" i="12" a="1"/>
  <c r="Y620" i="12" a="1"/>
  <c r="Y642" i="12" a="1"/>
  <c r="Y734" i="12" a="1"/>
  <c r="Y835" i="12" a="1"/>
  <c r="Y816" i="12" a="1"/>
  <c r="Y863" i="12" a="1"/>
  <c r="Y878" i="12" a="1"/>
  <c r="Y865" i="12" a="1"/>
  <c r="Y872" i="12" a="1"/>
  <c r="Y892" i="12" a="1"/>
  <c r="Y939" i="12" a="1"/>
  <c r="Y976" i="12" a="1"/>
  <c r="Y499" i="12" a="1"/>
  <c r="Y152" i="12" a="1"/>
  <c r="Y92" i="12" a="1"/>
  <c r="Y153" i="12" a="1"/>
  <c r="Y166" i="12" a="1"/>
  <c r="Y258" i="12" a="1"/>
  <c r="Y316" i="12" a="1"/>
  <c r="Y233" i="12" a="1"/>
  <c r="Y214" i="12" a="1"/>
  <c r="Y254" i="12" a="1"/>
  <c r="Y261" i="12" a="1"/>
  <c r="Y249" i="12" a="1"/>
  <c r="Y232" i="12" a="1"/>
  <c r="Y384" i="12" a="1"/>
  <c r="Y466" i="12" a="1"/>
  <c r="Y448" i="12" a="1"/>
  <c r="Y407" i="12" a="1"/>
  <c r="Y461" i="12" a="1"/>
  <c r="Y496" i="12" a="1"/>
  <c r="Y569" i="12" a="1"/>
  <c r="Y534" i="12" a="1"/>
  <c r="Y643" i="12" a="1"/>
  <c r="Y577" i="12" a="1"/>
  <c r="Y653" i="12" a="1"/>
  <c r="Y759" i="12" a="1"/>
  <c r="Y768" i="12" a="1"/>
  <c r="Y803" i="12" a="1"/>
  <c r="Y912" i="12" a="1"/>
  <c r="Y977" i="12" a="1"/>
  <c r="Y7" i="12" a="1"/>
  <c r="Y25" i="12" a="1"/>
  <c r="Y41" i="12" a="1"/>
  <c r="Y105" i="12" a="1"/>
  <c r="Y451" i="12" a="1"/>
  <c r="Y387" i="12" a="1"/>
  <c r="Y563" i="12" a="1"/>
  <c r="Y644" i="12" a="1"/>
  <c r="Y679" i="12" a="1"/>
  <c r="Y711" i="12" a="1"/>
  <c r="Y696" i="12" a="1"/>
  <c r="Y797" i="12" a="1"/>
  <c r="Y433" i="12" a="1"/>
  <c r="Y2" i="12" a="1"/>
  <c r="Y84" i="12" a="1"/>
  <c r="Y217" i="12" a="1"/>
  <c r="Y194" i="12" a="1"/>
  <c r="Y269" i="12" a="1"/>
  <c r="Y300" i="12" a="1"/>
  <c r="Y361" i="12" a="1"/>
  <c r="Y411" i="12" a="1"/>
  <c r="Y430" i="12" a="1"/>
  <c r="Y478" i="12" a="1"/>
  <c r="Y551" i="12" a="1"/>
  <c r="Y786" i="12" a="1"/>
  <c r="Y747" i="12" a="1"/>
  <c r="Y738" i="12" a="1"/>
  <c r="Y73" i="12" a="1"/>
  <c r="Y171" i="12" a="1"/>
  <c r="Y223" i="12" a="1"/>
  <c r="Y86" i="12" a="1"/>
  <c r="Y51" i="12" a="1"/>
  <c r="Y180" i="12" a="1"/>
  <c r="Y227" i="12" a="1"/>
  <c r="Y331" i="12" a="1"/>
  <c r="Y455" i="12" a="1"/>
  <c r="Y560" i="12" a="1"/>
  <c r="Y629" i="12" a="1"/>
  <c r="Y700" i="12" a="1"/>
  <c r="Y909" i="12" a="1"/>
  <c r="Y945" i="12" a="1"/>
  <c r="Y905" i="12" a="1"/>
  <c r="Y941" i="12" a="1"/>
  <c r="Y957" i="12" a="1"/>
  <c r="Y576" i="12" a="1"/>
  <c r="Y103" i="12" a="1"/>
  <c r="Y291" i="12" a="1"/>
  <c r="Y467" i="12" a="1"/>
  <c r="Y435" i="12" a="1"/>
  <c r="Y415" i="12" a="1"/>
  <c r="Y484" i="12" a="1"/>
  <c r="Y557" i="12" a="1"/>
  <c r="Y635" i="12" a="1"/>
  <c r="Y626" i="12" a="1"/>
  <c r="Y650" i="12" a="1"/>
  <c r="Y681" i="12" a="1"/>
  <c r="Y750" i="12" a="1"/>
  <c r="Y799" i="12" a="1"/>
  <c r="Y873" i="12" a="1"/>
  <c r="Y913" i="12" a="1"/>
  <c r="Y971" i="12" a="1"/>
  <c r="Y760" i="12" a="1"/>
  <c r="Y807" i="12" a="1"/>
  <c r="Y893" i="12" a="1"/>
  <c r="Y146" i="12" a="1"/>
  <c r="Y109" i="12" a="1"/>
  <c r="Y264" i="12" a="1"/>
  <c r="Y270" i="12" a="1"/>
  <c r="Y293" i="12" a="1"/>
  <c r="Y292" i="12" a="1"/>
  <c r="Y335" i="12" a="1"/>
  <c r="Y399" i="12" a="1"/>
  <c r="Y363" i="12" a="1"/>
  <c r="Y495" i="12" a="1"/>
  <c r="Y533" i="12" a="1"/>
  <c r="Y645" i="12" a="1"/>
  <c r="Y813" i="12" a="1"/>
  <c r="Y818" i="12" a="1"/>
  <c r="Y841" i="12" a="1"/>
  <c r="Y935" i="12" a="1"/>
  <c r="Y612" i="12" a="1"/>
  <c r="Y946" i="12" a="1"/>
  <c r="Y380" i="12" a="1"/>
  <c r="Y796" i="12" a="1"/>
  <c r="Y163" i="12" a="1"/>
  <c r="Y156" i="12" a="1"/>
  <c r="Y167" i="12" a="1"/>
  <c r="Y341" i="12" a="1"/>
  <c r="Y506" i="12" a="1"/>
  <c r="Y601" i="12" a="1"/>
  <c r="Y678" i="12" a="1"/>
  <c r="Y849" i="12" a="1"/>
  <c r="Y82" i="12" a="1"/>
  <c r="Y65" i="12" a="1"/>
  <c r="Y124" i="12" a="1"/>
  <c r="Y185" i="12" a="1"/>
  <c r="Y115" i="12" a="1"/>
  <c r="Y383" i="12" a="1"/>
  <c r="Y542" i="12" a="1"/>
  <c r="Y587" i="12" a="1"/>
  <c r="Y694" i="12" a="1"/>
  <c r="Y698" i="12" a="1"/>
  <c r="Y674" i="12" a="1"/>
  <c r="Y782" i="12" a="1"/>
  <c r="Y962" i="12" a="1"/>
  <c r="Y814" i="12" a="1"/>
  <c r="Y20" i="12" a="1"/>
  <c r="Y52" i="12" a="1"/>
  <c r="Y87" i="12" a="1"/>
  <c r="Y125" i="12" a="1"/>
  <c r="Y134" i="12" a="1"/>
  <c r="Y176" i="12" a="1"/>
  <c r="Y212" i="12" a="1"/>
  <c r="Y296" i="12" a="1"/>
  <c r="Y424" i="12" a="1"/>
  <c r="Y546" i="12" a="1"/>
  <c r="Y578" i="12" a="1"/>
  <c r="Y667" i="12" a="1"/>
  <c r="Y704" i="12" a="1"/>
  <c r="Y843" i="12" a="1"/>
  <c r="Y846" i="12" a="1"/>
  <c r="Y966" i="12" a="1"/>
  <c r="Y919" i="12" a="1"/>
  <c r="Y85" i="12" a="1"/>
  <c r="Y181" i="12" a="1"/>
  <c r="Y178" i="12" a="1"/>
  <c r="Y219" i="12" a="1"/>
  <c r="Y140" i="12" a="1"/>
  <c r="Y121" i="12" a="1"/>
  <c r="Y464" i="12" a="1"/>
  <c r="Y476" i="12" a="1"/>
  <c r="Y599" i="12" a="1"/>
  <c r="Y754" i="12" a="1"/>
  <c r="Y767" i="12" a="1"/>
  <c r="Y964" i="12" a="1"/>
  <c r="Y229" i="12" a="1"/>
  <c r="Y390" i="12" a="1"/>
  <c r="Y519" i="12" a="1"/>
  <c r="Y784" i="12" a="1"/>
  <c r="Y57" i="12" a="1"/>
  <c r="Y286" i="12" a="1"/>
  <c r="Y192" i="12" a="1"/>
  <c r="Y360" i="12" a="1"/>
  <c r="Y353" i="12" a="1"/>
  <c r="Y526" i="12" a="1"/>
  <c r="Y502" i="12" a="1"/>
  <c r="Y617" i="12" a="1"/>
  <c r="Y662" i="12" a="1"/>
  <c r="Q987" i="12" l="1"/>
  <c r="R987" i="12" s="1"/>
  <c r="I714" i="12"/>
  <c r="J714" i="12" s="1"/>
  <c r="M728" i="12"/>
  <c r="N728" i="12" s="1"/>
  <c r="Q580" i="12"/>
  <c r="R580" i="12" s="1"/>
  <c r="I525" i="12"/>
  <c r="J525" i="12" s="1"/>
  <c r="G142" i="12"/>
  <c r="H142" i="12" s="1"/>
  <c r="K162" i="12"/>
  <c r="M766" i="12"/>
  <c r="N766" i="12" s="1"/>
  <c r="K721" i="12"/>
  <c r="M625" i="12"/>
  <c r="N625" i="12" s="1"/>
  <c r="G468" i="12"/>
  <c r="H468" i="12" s="1"/>
  <c r="Q393" i="12"/>
  <c r="R393" i="12" s="1"/>
  <c r="I452" i="12"/>
  <c r="J452" i="12" s="1"/>
  <c r="G801" i="12"/>
  <c r="H801" i="12" s="1"/>
  <c r="G712" i="12"/>
  <c r="H712" i="12" s="1"/>
  <c r="M769" i="12"/>
  <c r="N769" i="12" s="1"/>
  <c r="O590" i="12"/>
  <c r="P590" i="12" s="1"/>
  <c r="K541" i="12"/>
  <c r="O392" i="12"/>
  <c r="P392" i="12" s="1"/>
  <c r="K214" i="12"/>
  <c r="Q743" i="12"/>
  <c r="R743" i="12" s="1"/>
  <c r="K573" i="12"/>
  <c r="M441" i="12"/>
  <c r="N441" i="12" s="1"/>
  <c r="G400" i="12"/>
  <c r="H400" i="12" s="1"/>
  <c r="Q39" i="12"/>
  <c r="R39" i="12" s="1"/>
  <c r="O926" i="12"/>
  <c r="P926" i="12" s="1"/>
  <c r="M547" i="12"/>
  <c r="N547" i="12" s="1"/>
  <c r="Q172" i="12"/>
  <c r="R172" i="12" s="1"/>
  <c r="A7" i="17"/>
  <c r="E6" i="17"/>
  <c r="Q798" i="12"/>
  <c r="R798" i="12" s="1"/>
  <c r="Q649" i="12"/>
  <c r="R649" i="12" s="1"/>
  <c r="G568" i="12"/>
  <c r="H568" i="12" s="1"/>
  <c r="Q539" i="12"/>
  <c r="R539" i="12" s="1"/>
  <c r="Q521" i="12"/>
  <c r="R521" i="12" s="1"/>
  <c r="K498" i="12"/>
  <c r="I481" i="12"/>
  <c r="J481" i="12" s="1"/>
  <c r="Q491" i="12"/>
  <c r="R491" i="12" s="1"/>
  <c r="K21" i="1"/>
  <c r="K733" i="12"/>
  <c r="M675" i="12"/>
  <c r="N675" i="12" s="1"/>
  <c r="K585" i="12"/>
  <c r="G584" i="12"/>
  <c r="H584" i="12" s="1"/>
  <c r="G302" i="12"/>
  <c r="H302" i="12" s="1"/>
  <c r="G79" i="12"/>
  <c r="H79" i="12" s="1"/>
  <c r="M890" i="12"/>
  <c r="N890" i="12" s="1"/>
  <c r="Q882" i="12"/>
  <c r="R882" i="12" s="1"/>
  <c r="G831" i="12"/>
  <c r="H831" i="12" s="1"/>
  <c r="M606" i="12"/>
  <c r="N606" i="12" s="1"/>
  <c r="G574" i="12"/>
  <c r="H574" i="12" s="1"/>
  <c r="G454" i="12"/>
  <c r="H454" i="12" s="1"/>
  <c r="G398" i="12"/>
  <c r="H398" i="12" s="1"/>
  <c r="M965" i="12"/>
  <c r="N965" i="12" s="1"/>
  <c r="Q215" i="12"/>
  <c r="R215" i="12" s="1"/>
  <c r="Q980" i="12"/>
  <c r="R980" i="12" s="1"/>
  <c r="K594" i="12"/>
  <c r="M540" i="12"/>
  <c r="N540" i="12" s="1"/>
  <c r="M531" i="12"/>
  <c r="N531" i="12" s="1"/>
  <c r="O420" i="12"/>
  <c r="P420" i="12" s="1"/>
  <c r="K344" i="12"/>
  <c r="O195" i="12"/>
  <c r="P195" i="12" s="1"/>
  <c r="K527" i="12"/>
  <c r="I298" i="12"/>
  <c r="J298" i="12" s="1"/>
  <c r="Q243" i="12"/>
  <c r="R243" i="12" s="1"/>
  <c r="Q129" i="12"/>
  <c r="R129" i="12" s="1"/>
  <c r="K177" i="12"/>
  <c r="O114" i="12"/>
  <c r="P114" i="12" s="1"/>
  <c r="Y662" i="12"/>
  <c r="Y617" i="12"/>
  <c r="Y502" i="12"/>
  <c r="Y526" i="12"/>
  <c r="Y353" i="12"/>
  <c r="Y360" i="12"/>
  <c r="Y192" i="12"/>
  <c r="Y286" i="12"/>
  <c r="Y57" i="12"/>
  <c r="Y784" i="12"/>
  <c r="Y519" i="12"/>
  <c r="Y390" i="12"/>
  <c r="Y229" i="12"/>
  <c r="Y964" i="12"/>
  <c r="Y767" i="12"/>
  <c r="Y754" i="12"/>
  <c r="Y599" i="12"/>
  <c r="Y476" i="12"/>
  <c r="Y464" i="12"/>
  <c r="Y121" i="12"/>
  <c r="Y140" i="12"/>
  <c r="Y219" i="12"/>
  <c r="Y178" i="12"/>
  <c r="Y181" i="12"/>
  <c r="Y85" i="12"/>
  <c r="Y919" i="12"/>
  <c r="Y966" i="12"/>
  <c r="Y846" i="12"/>
  <c r="Y843" i="12"/>
  <c r="Y704" i="12"/>
  <c r="Y667" i="12"/>
  <c r="Y578" i="12"/>
  <c r="Y546" i="12"/>
  <c r="Y424" i="12"/>
  <c r="Y296" i="12"/>
  <c r="Y212" i="12"/>
  <c r="Y176" i="12"/>
  <c r="Y134" i="12"/>
  <c r="Y125" i="12"/>
  <c r="Y87" i="12"/>
  <c r="Y52" i="12"/>
  <c r="Y20" i="12"/>
  <c r="Y814" i="12"/>
  <c r="Y962" i="12"/>
  <c r="Y782" i="12"/>
  <c r="Y674" i="12"/>
  <c r="Y698" i="12"/>
  <c r="Y694" i="12"/>
  <c r="Y587" i="12"/>
  <c r="Y542" i="12"/>
  <c r="Y383" i="12"/>
  <c r="Y115" i="12"/>
  <c r="Y185" i="12"/>
  <c r="Y124" i="12"/>
  <c r="Y65" i="12"/>
  <c r="Y82" i="12"/>
  <c r="Y849" i="12"/>
  <c r="Y678" i="12"/>
  <c r="Y601" i="12"/>
  <c r="Y506" i="12"/>
  <c r="Y341" i="12"/>
  <c r="Y167" i="12"/>
  <c r="Y156" i="12"/>
  <c r="Y163" i="12"/>
  <c r="Y796" i="12"/>
  <c r="Y380" i="12"/>
  <c r="Y946" i="12"/>
  <c r="Y612" i="12"/>
  <c r="Y935" i="12"/>
  <c r="Y841" i="12"/>
  <c r="Y818" i="12"/>
  <c r="Y813" i="12"/>
  <c r="Y645" i="12"/>
  <c r="Y533" i="12"/>
  <c r="Y495" i="12"/>
  <c r="Y363" i="12"/>
  <c r="Y399" i="12"/>
  <c r="Y335" i="12"/>
  <c r="Y292" i="12"/>
  <c r="Y293" i="12"/>
  <c r="Y270" i="12"/>
  <c r="Y264" i="12"/>
  <c r="Y109" i="12"/>
  <c r="Y146" i="12"/>
  <c r="Y893" i="12"/>
  <c r="Y807" i="12"/>
  <c r="Y760" i="12"/>
  <c r="Y971" i="12"/>
  <c r="Y913" i="12"/>
  <c r="Y873" i="12"/>
  <c r="Y799" i="12"/>
  <c r="Y750" i="12"/>
  <c r="Y681" i="12"/>
  <c r="Y650" i="12"/>
  <c r="Y626" i="12"/>
  <c r="Y635" i="12"/>
  <c r="Y557" i="12"/>
  <c r="Y484" i="12"/>
  <c r="Y415" i="12"/>
  <c r="Y435" i="12"/>
  <c r="Y467" i="12"/>
  <c r="Y291" i="12"/>
  <c r="Y103" i="12"/>
  <c r="Y576" i="12"/>
  <c r="Y957" i="12"/>
  <c r="Y941" i="12"/>
  <c r="Y905" i="12"/>
  <c r="Y945" i="12"/>
  <c r="Y909" i="12"/>
  <c r="Y700" i="12"/>
  <c r="Y629" i="12"/>
  <c r="Y560" i="12"/>
  <c r="Y455" i="12"/>
  <c r="Y331" i="12"/>
  <c r="Y227" i="12"/>
  <c r="Y180" i="12"/>
  <c r="Y51" i="12"/>
  <c r="Y86" i="12"/>
  <c r="Y223" i="12"/>
  <c r="Y171" i="12"/>
  <c r="Y73" i="12"/>
  <c r="Y738" i="12"/>
  <c r="Y747" i="12"/>
  <c r="Y786" i="12"/>
  <c r="Y551" i="12"/>
  <c r="Y478" i="12"/>
  <c r="Y430" i="12"/>
  <c r="Y411" i="12"/>
  <c r="Y361" i="12"/>
  <c r="Y300" i="12"/>
  <c r="Y269" i="12"/>
  <c r="Y194" i="12"/>
  <c r="Y217" i="12"/>
  <c r="Y84" i="12"/>
  <c r="Y2" i="12"/>
  <c r="Y433" i="12"/>
  <c r="Y797" i="12"/>
  <c r="Y696" i="12"/>
  <c r="Y711" i="12"/>
  <c r="Y679" i="12"/>
  <c r="Y644" i="12"/>
  <c r="Y563" i="12"/>
  <c r="Y387" i="12"/>
  <c r="Y451" i="12"/>
  <c r="Y105" i="12"/>
  <c r="Y41" i="12"/>
  <c r="Y25" i="12"/>
  <c r="Y7" i="12"/>
  <c r="Y977" i="12"/>
  <c r="Y912" i="12"/>
  <c r="Y803" i="12"/>
  <c r="Y768" i="12"/>
  <c r="Y759" i="12"/>
  <c r="Y653" i="12"/>
  <c r="Y577" i="12"/>
  <c r="Y643" i="12"/>
  <c r="Y534" i="12"/>
  <c r="Y569" i="12"/>
  <c r="Y496" i="12"/>
  <c r="Y461" i="12"/>
  <c r="Y407" i="12"/>
  <c r="Y448" i="12"/>
  <c r="Y466" i="12"/>
  <c r="Y384" i="12"/>
  <c r="Y232" i="12"/>
  <c r="Y249" i="12"/>
  <c r="Y261" i="12"/>
  <c r="Y254" i="12"/>
  <c r="Y214" i="12"/>
  <c r="Y233" i="12"/>
  <c r="Y316" i="12"/>
  <c r="Y258" i="12"/>
  <c r="Y166" i="12"/>
  <c r="Y153" i="12"/>
  <c r="Y92" i="12"/>
  <c r="Y152" i="12"/>
  <c r="Y499" i="12"/>
  <c r="Y976" i="12"/>
  <c r="Y939" i="12"/>
  <c r="Y892" i="12"/>
  <c r="Y872" i="12"/>
  <c r="Y865" i="12"/>
  <c r="Y878" i="12"/>
  <c r="Y863" i="12"/>
  <c r="Y816" i="12"/>
  <c r="Y835" i="12"/>
  <c r="Y734" i="12"/>
  <c r="Y642" i="12"/>
  <c r="Y620" i="12"/>
  <c r="Y630" i="12"/>
  <c r="Y592" i="12"/>
  <c r="Y555" i="12"/>
  <c r="Y403" i="12"/>
  <c r="Y483" i="12"/>
  <c r="Y412" i="12"/>
  <c r="Y460" i="12"/>
  <c r="Y443" i="12"/>
  <c r="Y369" i="12"/>
  <c r="Y402" i="12"/>
  <c r="Y386" i="12"/>
  <c r="Y371" i="12"/>
  <c r="Y377" i="12"/>
  <c r="Y332" i="12"/>
  <c r="Y282" i="12"/>
  <c r="Y356" i="12"/>
  <c r="Y306" i="12"/>
  <c r="Y224" i="12"/>
  <c r="Y186" i="12"/>
  <c r="Y252" i="12"/>
  <c r="Y242" i="12"/>
  <c r="Y108" i="12"/>
  <c r="Y141" i="12"/>
  <c r="Y165" i="12"/>
  <c r="Y69" i="12"/>
  <c r="Y137" i="12"/>
  <c r="Y22" i="12"/>
  <c r="Y90" i="12"/>
  <c r="Y28" i="12"/>
  <c r="Y36" i="12"/>
  <c r="Y16" i="12"/>
  <c r="Y112" i="12"/>
  <c r="Y562" i="12"/>
  <c r="Y910" i="12"/>
  <c r="Y907" i="12"/>
  <c r="Y864" i="12"/>
  <c r="Y857" i="12"/>
  <c r="Y812" i="12"/>
  <c r="Y819" i="12"/>
  <c r="Y794" i="12"/>
  <c r="Y771" i="12"/>
  <c r="Y735" i="12"/>
  <c r="Y608" i="12"/>
  <c r="Y623" i="12"/>
  <c r="Y511" i="12"/>
  <c r="Y419" i="12"/>
  <c r="Y445" i="12"/>
  <c r="Y457" i="12"/>
  <c r="Y414" i="12"/>
  <c r="Y622" i="12"/>
  <c r="Y406" i="12"/>
  <c r="Y368" i="12"/>
  <c r="Y277" i="12"/>
  <c r="Y323" i="12"/>
  <c r="Y225" i="12"/>
  <c r="Y315" i="12"/>
  <c r="Y309" i="12"/>
  <c r="Y310" i="12"/>
  <c r="Y193" i="12"/>
  <c r="Y287" i="12"/>
  <c r="Y174" i="12"/>
  <c r="Y182" i="12"/>
  <c r="Y290" i="12"/>
  <c r="Y251" i="12"/>
  <c r="Y130" i="12"/>
  <c r="Y207" i="12"/>
  <c r="Y151" i="12"/>
  <c r="Y144" i="12"/>
  <c r="Y97" i="12"/>
  <c r="Y61" i="12"/>
  <c r="Y581" i="12"/>
  <c r="Y920" i="12"/>
  <c r="Y925" i="12"/>
  <c r="Y883" i="12"/>
  <c r="Y793" i="12"/>
  <c r="Y746" i="12"/>
  <c r="Y609" i="12"/>
  <c r="Y471" i="12"/>
  <c r="Y417" i="12"/>
  <c r="Y425" i="12"/>
  <c r="Y616" i="12"/>
  <c r="Y367" i="12"/>
  <c r="Y336" i="12"/>
  <c r="Y340" i="12"/>
  <c r="Y231" i="12"/>
  <c r="Y238" i="12"/>
  <c r="Y215" i="12"/>
  <c r="Y294" i="12"/>
  <c r="Y236" i="12"/>
  <c r="Y255" i="12"/>
  <c r="Y129" i="12"/>
  <c r="Y246" i="12"/>
  <c r="Y89" i="12"/>
  <c r="Y101" i="12"/>
  <c r="Y75" i="12"/>
  <c r="Y79" i="12"/>
  <c r="Y62" i="12"/>
  <c r="Y59" i="12"/>
  <c r="Y104" i="12"/>
  <c r="Y18" i="12"/>
  <c r="Y12" i="12"/>
  <c r="Y604" i="12"/>
  <c r="Y931" i="12"/>
  <c r="Y871" i="12"/>
  <c r="Y838" i="12"/>
  <c r="Y840" i="12"/>
  <c r="Y770" i="12"/>
  <c r="Y790" i="12"/>
  <c r="Y787" i="12"/>
  <c r="Y745" i="12"/>
  <c r="Y684" i="12"/>
  <c r="Y671" i="12"/>
  <c r="Y657" i="12"/>
  <c r="Y558" i="12"/>
  <c r="Y494" i="12"/>
  <c r="Y522" i="12"/>
  <c r="Y543" i="12"/>
  <c r="Y427" i="12"/>
  <c r="Y442" i="12"/>
  <c r="Y354" i="12"/>
  <c r="Y339" i="12"/>
  <c r="Y260" i="12"/>
  <c r="Y330" i="12"/>
  <c r="Y262" i="12"/>
  <c r="Y273" i="12"/>
  <c r="Y205" i="12"/>
  <c r="Y218" i="12"/>
  <c r="Y172" i="12"/>
  <c r="Y168" i="12"/>
  <c r="Y136" i="12"/>
  <c r="Y149" i="12"/>
  <c r="Y42" i="12"/>
  <c r="Y201" i="12"/>
  <c r="Y64" i="12"/>
  <c r="Y74" i="12"/>
  <c r="Y159" i="12"/>
  <c r="Y646" i="12"/>
  <c r="Y26" i="12"/>
  <c r="Y954" i="12"/>
  <c r="Y938" i="12"/>
  <c r="Y904" i="12"/>
  <c r="Y930" i="12"/>
  <c r="Y847" i="12"/>
  <c r="Y809" i="12"/>
  <c r="Y845" i="12"/>
  <c r="Y748" i="12"/>
  <c r="Y789" i="12"/>
  <c r="Y739" i="12"/>
  <c r="Y615" i="12"/>
  <c r="Y628" i="12"/>
  <c r="Y588" i="12"/>
  <c r="Y544" i="12"/>
  <c r="Y479" i="12"/>
  <c r="Y421" i="12"/>
  <c r="Y346" i="12"/>
  <c r="Y268" i="12"/>
  <c r="Y328" i="12"/>
  <c r="Y321" i="12"/>
  <c r="Y164" i="12"/>
  <c r="Y208" i="12"/>
  <c r="Y184" i="12"/>
  <c r="Y123" i="12"/>
  <c r="Y145" i="12"/>
  <c r="Y177" i="12"/>
  <c r="Y203" i="12"/>
  <c r="Y117" i="12"/>
  <c r="Y80" i="12"/>
  <c r="Y72" i="12"/>
  <c r="Y14" i="12"/>
  <c r="Y94" i="12"/>
  <c r="Y8" i="12"/>
  <c r="Y669" i="12"/>
  <c r="Y968" i="12"/>
  <c r="Y916" i="12"/>
  <c r="Y827" i="12"/>
  <c r="Y837" i="12"/>
  <c r="Y826" i="12"/>
  <c r="Y763" i="12"/>
  <c r="Y705" i="12"/>
  <c r="Y695" i="12"/>
  <c r="Y598" i="12"/>
  <c r="Y600" i="12"/>
  <c r="Y614" i="12"/>
  <c r="Y613" i="12"/>
  <c r="Y605" i="12"/>
  <c r="Y409" i="12"/>
  <c r="Y397" i="12"/>
  <c r="Y477" i="12"/>
  <c r="Y401" i="12"/>
  <c r="Y379" i="12"/>
  <c r="Y259" i="12"/>
  <c r="Y317" i="12"/>
  <c r="Y274" i="12"/>
  <c r="Y289" i="12"/>
  <c r="Y211" i="12"/>
  <c r="Y179" i="12"/>
  <c r="Y285" i="12"/>
  <c r="Y161" i="12"/>
  <c r="Y160" i="12"/>
  <c r="Y70" i="12"/>
  <c r="Y132" i="12"/>
  <c r="Y91" i="12"/>
  <c r="Y783" i="12"/>
  <c r="Y975" i="12"/>
  <c r="Y974" i="12"/>
  <c r="Y960" i="12"/>
  <c r="Y967" i="12"/>
  <c r="Y953" i="12"/>
  <c r="Y915" i="12"/>
  <c r="Y859" i="12"/>
  <c r="Y828" i="12"/>
  <c r="Y821" i="12"/>
  <c r="Y839" i="12"/>
  <c r="Y792" i="12"/>
  <c r="Y781" i="12"/>
  <c r="Y668" i="12"/>
  <c r="Y691" i="12"/>
  <c r="Y647" i="12"/>
  <c r="Y682" i="12"/>
  <c r="Y634" i="12"/>
  <c r="Y658" i="12"/>
  <c r="Y597" i="12"/>
  <c r="Y593" i="12"/>
  <c r="Y493" i="12"/>
  <c r="Y453" i="12"/>
  <c r="Y497" i="12"/>
  <c r="Y333" i="12"/>
  <c r="Y322" i="12"/>
  <c r="Y303" i="12"/>
  <c r="Y284" i="12"/>
  <c r="Y272" i="12"/>
  <c r="Y210" i="12"/>
  <c r="Y276" i="12"/>
  <c r="Y202" i="12"/>
  <c r="Y71" i="12"/>
  <c r="Y49" i="12"/>
  <c r="Y55" i="12"/>
  <c r="Y47" i="12"/>
  <c r="Y50" i="12"/>
  <c r="Y10" i="12"/>
  <c r="Y154" i="12"/>
  <c r="Y800" i="12"/>
  <c r="Y959" i="12"/>
  <c r="Y929" i="12"/>
  <c r="Y903" i="12"/>
  <c r="Y934" i="12"/>
  <c r="Y927" i="12"/>
  <c r="Y858" i="12"/>
  <c r="Y834" i="12"/>
  <c r="Y817" i="12"/>
  <c r="Y752" i="12"/>
  <c r="Y788" i="12"/>
  <c r="Y744" i="12"/>
  <c r="Y697" i="12"/>
  <c r="Y686" i="12"/>
  <c r="Y610" i="12"/>
  <c r="Y561" i="12"/>
  <c r="Y550" i="12"/>
  <c r="Y582" i="12"/>
  <c r="Y535" i="12"/>
  <c r="Y529" i="12"/>
  <c r="Y537" i="12"/>
  <c r="Y554" i="12"/>
  <c r="Y507" i="12"/>
  <c r="Y482" i="12"/>
  <c r="Y516" i="12"/>
  <c r="Y473" i="12"/>
  <c r="Y432" i="12"/>
  <c r="Y465" i="12"/>
  <c r="Y327" i="12"/>
  <c r="Y275" i="12"/>
  <c r="Y311" i="12"/>
  <c r="Y281" i="12"/>
  <c r="Y175" i="12"/>
  <c r="Y206" i="12"/>
  <c r="Y240" i="12"/>
  <c r="Y173" i="12"/>
  <c r="Y295" i="12"/>
  <c r="Y204" i="12"/>
  <c r="Y199" i="12"/>
  <c r="Y128" i="12"/>
  <c r="Y142" i="12"/>
  <c r="Y157" i="12"/>
  <c r="Y139" i="12"/>
  <c r="Y88" i="12"/>
  <c r="Y99" i="12"/>
  <c r="Y67" i="12"/>
  <c r="Y288" i="12"/>
  <c r="Y973" i="12"/>
  <c r="Y978" i="12"/>
  <c r="Y958" i="12"/>
  <c r="Y917" i="12"/>
  <c r="Y879" i="12"/>
  <c r="Y822" i="12"/>
  <c r="Y811" i="12"/>
  <c r="Y765" i="12"/>
  <c r="Y776" i="12"/>
  <c r="Y761" i="12"/>
  <c r="Y749" i="12"/>
  <c r="Y699" i="12"/>
  <c r="Y664" i="12"/>
  <c r="Y663" i="12"/>
  <c r="Y659" i="12"/>
  <c r="Y652" i="12"/>
  <c r="Y596" i="12"/>
  <c r="Y566" i="12"/>
  <c r="Y575" i="12"/>
  <c r="Y512" i="12"/>
  <c r="Y437" i="12"/>
  <c r="Y504" i="12"/>
  <c r="Y439" i="12"/>
  <c r="Y429" i="12"/>
  <c r="Y447" i="12"/>
  <c r="Y343" i="12"/>
  <c r="Y250" i="12"/>
  <c r="Y267" i="12"/>
  <c r="Y280" i="12"/>
  <c r="Y237" i="12"/>
  <c r="Y234" i="12"/>
  <c r="Y200" i="12"/>
  <c r="Y220" i="12"/>
  <c r="Y158" i="12"/>
  <c r="Y60" i="12"/>
  <c r="Y6" i="12"/>
  <c r="Y24" i="12"/>
  <c r="Y30" i="12"/>
  <c r="Y209" i="12"/>
  <c r="Y808" i="12"/>
  <c r="Y963" i="12"/>
  <c r="Y955" i="12"/>
  <c r="Y921" i="12"/>
  <c r="Y924" i="12"/>
  <c r="Y860" i="12"/>
  <c r="Y894" i="12"/>
  <c r="Y866" i="12"/>
  <c r="Y842" i="12"/>
  <c r="Y830" i="12"/>
  <c r="Y741" i="12"/>
  <c r="Y676" i="12"/>
  <c r="Y586" i="12"/>
  <c r="Y556" i="12"/>
  <c r="Y570" i="12"/>
  <c r="Y510" i="12"/>
  <c r="Y485" i="12"/>
  <c r="Y358" i="12"/>
  <c r="Y359" i="12"/>
  <c r="Y329" i="12"/>
  <c r="Y241" i="12"/>
  <c r="Y305" i="12"/>
  <c r="Y279" i="12"/>
  <c r="Y138" i="12"/>
  <c r="Y196" i="12"/>
  <c r="Y98" i="12"/>
  <c r="Y45" i="12"/>
  <c r="Y77" i="12"/>
  <c r="Y32" i="12"/>
  <c r="Y378" i="12"/>
  <c r="Y902" i="12"/>
  <c r="Y34" i="12"/>
  <c r="L162" i="12"/>
  <c r="S162" i="12"/>
  <c r="T162" i="12" s="1"/>
  <c r="U162" i="12" s="1"/>
  <c r="L214" i="12"/>
  <c r="S214" i="12"/>
  <c r="T214" i="12" s="1"/>
  <c r="U214" i="12" s="1"/>
  <c r="K500" i="12"/>
  <c r="I500" i="12"/>
  <c r="J500" i="12" s="1"/>
  <c r="G500" i="12"/>
  <c r="H500" i="12" s="1"/>
  <c r="Q500" i="12"/>
  <c r="R500" i="12" s="1"/>
  <c r="M500" i="12"/>
  <c r="N500" i="12" s="1"/>
  <c r="O500" i="12"/>
  <c r="P500" i="12" s="1"/>
  <c r="Q391" i="12"/>
  <c r="R391" i="12" s="1"/>
  <c r="O396" i="12"/>
  <c r="P396" i="12" s="1"/>
  <c r="I388" i="12"/>
  <c r="J388" i="12" s="1"/>
  <c r="Q325" i="12"/>
  <c r="R325" i="12" s="1"/>
  <c r="O318" i="12"/>
  <c r="P318" i="12" s="1"/>
  <c r="Q274" i="12"/>
  <c r="R274" i="12" s="1"/>
  <c r="I253" i="12"/>
  <c r="J253" i="12" s="1"/>
  <c r="G248" i="12"/>
  <c r="H248" i="12" s="1"/>
  <c r="O248" i="12"/>
  <c r="P248" i="12" s="1"/>
  <c r="Q248" i="12"/>
  <c r="R248" i="12" s="1"/>
  <c r="M248" i="12"/>
  <c r="N248" i="12" s="1"/>
  <c r="K248" i="12"/>
  <c r="I248" i="12"/>
  <c r="J248" i="12" s="1"/>
  <c r="O143" i="12"/>
  <c r="P143" i="12" s="1"/>
  <c r="Q143" i="12"/>
  <c r="R143" i="12" s="1"/>
  <c r="K143" i="12"/>
  <c r="I143" i="12"/>
  <c r="J143" i="12" s="1"/>
  <c r="K88" i="12"/>
  <c r="O45" i="12"/>
  <c r="P45" i="12" s="1"/>
  <c r="O216" i="12"/>
  <c r="P216" i="12" s="1"/>
  <c r="U26" i="1"/>
  <c r="L33" i="1" s="1"/>
  <c r="K33" i="1" s="1"/>
  <c r="M67" i="12"/>
  <c r="N67" i="12" s="1"/>
  <c r="I31" i="12"/>
  <c r="J31" i="12" s="1"/>
  <c r="K24" i="12"/>
  <c r="O20" i="12"/>
  <c r="P20" i="12" s="1"/>
  <c r="G15" i="12"/>
  <c r="H15" i="12" s="1"/>
  <c r="M190" i="12"/>
  <c r="N190" i="12" s="1"/>
  <c r="O79" i="12"/>
  <c r="P79" i="12" s="1"/>
  <c r="O116" i="12"/>
  <c r="P116" i="12" s="1"/>
  <c r="I216" i="12"/>
  <c r="J216" i="12" s="1"/>
  <c r="G286" i="12"/>
  <c r="H286" i="12" s="1"/>
  <c r="I279" i="12"/>
  <c r="J279" i="12" s="1"/>
  <c r="O490" i="12"/>
  <c r="P490" i="12" s="1"/>
  <c r="Q490" i="12"/>
  <c r="R490" i="12" s="1"/>
  <c r="G490" i="12"/>
  <c r="H490" i="12" s="1"/>
  <c r="M490" i="12"/>
  <c r="N490" i="12" s="1"/>
  <c r="K490" i="12"/>
  <c r="I490" i="12"/>
  <c r="J490" i="12" s="1"/>
  <c r="S177" i="12"/>
  <c r="T177" i="12" s="1"/>
  <c r="U177" i="12" s="1"/>
  <c r="L177" i="12"/>
  <c r="Q997" i="12"/>
  <c r="R997" i="12" s="1"/>
  <c r="O301" i="12"/>
  <c r="P301" i="12" s="1"/>
  <c r="O443" i="12"/>
  <c r="P443" i="12" s="1"/>
  <c r="M390" i="12"/>
  <c r="N390" i="12" s="1"/>
  <c r="Q460" i="12"/>
  <c r="R460" i="12" s="1"/>
  <c r="I374" i="12"/>
  <c r="J374" i="12" s="1"/>
  <c r="M294" i="12"/>
  <c r="N294" i="12" s="1"/>
  <c r="I338" i="12"/>
  <c r="J338" i="12" s="1"/>
  <c r="M287" i="12"/>
  <c r="N287" i="12" s="1"/>
  <c r="M263" i="12"/>
  <c r="N263" i="12" s="1"/>
  <c r="M227" i="12"/>
  <c r="N227" i="12" s="1"/>
  <c r="I300" i="12"/>
  <c r="J300" i="12" s="1"/>
  <c r="I264" i="12"/>
  <c r="J264" i="12" s="1"/>
  <c r="I228" i="12"/>
  <c r="J228" i="12" s="1"/>
  <c r="I311" i="12"/>
  <c r="J311" i="12" s="1"/>
  <c r="I275" i="12"/>
  <c r="J275" i="12" s="1"/>
  <c r="I251" i="12"/>
  <c r="J251" i="12" s="1"/>
  <c r="O325" i="12"/>
  <c r="P325" i="12" s="1"/>
  <c r="M271" i="12"/>
  <c r="N271" i="12" s="1"/>
  <c r="K198" i="12"/>
  <c r="Q233" i="12"/>
  <c r="R233" i="12" s="1"/>
  <c r="M388" i="12"/>
  <c r="N388" i="12" s="1"/>
  <c r="I463" i="12"/>
  <c r="J463" i="12" s="1"/>
  <c r="K379" i="12"/>
  <c r="M318" i="12"/>
  <c r="N318" i="12" s="1"/>
  <c r="M246" i="12"/>
  <c r="N246" i="12" s="1"/>
  <c r="I313" i="12"/>
  <c r="J313" i="12" s="1"/>
  <c r="M275" i="12"/>
  <c r="N275" i="12" s="1"/>
  <c r="M239" i="12"/>
  <c r="N239" i="12" s="1"/>
  <c r="Q361" i="12"/>
  <c r="R361" i="12" s="1"/>
  <c r="I312" i="12"/>
  <c r="J312" i="12" s="1"/>
  <c r="I276" i="12"/>
  <c r="J276" i="12" s="1"/>
  <c r="I240" i="12"/>
  <c r="J240" i="12" s="1"/>
  <c r="I323" i="12"/>
  <c r="J323" i="12" s="1"/>
  <c r="I287" i="12"/>
  <c r="J287" i="12" s="1"/>
  <c r="I239" i="12"/>
  <c r="J239" i="12" s="1"/>
  <c r="K330" i="12"/>
  <c r="O289" i="12"/>
  <c r="P289" i="12" s="1"/>
  <c r="K210" i="12"/>
  <c r="G227" i="12"/>
  <c r="H227" i="12" s="1"/>
  <c r="O969" i="12"/>
  <c r="P969" i="12" s="1"/>
  <c r="M949" i="12"/>
  <c r="N949" i="12" s="1"/>
  <c r="K912" i="12"/>
  <c r="G903" i="12"/>
  <c r="H903" i="12" s="1"/>
  <c r="I849" i="12"/>
  <c r="J849" i="12" s="1"/>
  <c r="K891" i="12"/>
  <c r="O833" i="12"/>
  <c r="P833" i="12" s="1"/>
  <c r="G808" i="12"/>
  <c r="H808" i="12" s="1"/>
  <c r="G770" i="12"/>
  <c r="H770" i="12" s="1"/>
  <c r="O789" i="12"/>
  <c r="P789" i="12" s="1"/>
  <c r="I739" i="12"/>
  <c r="J739" i="12" s="1"/>
  <c r="M716" i="12"/>
  <c r="N716" i="12" s="1"/>
  <c r="Q672" i="12"/>
  <c r="R672" i="12" s="1"/>
  <c r="K664" i="12"/>
  <c r="O646" i="12"/>
  <c r="P646" i="12" s="1"/>
  <c r="Q619" i="12"/>
  <c r="R619" i="12" s="1"/>
  <c r="O578" i="12"/>
  <c r="P578" i="12" s="1"/>
  <c r="O601" i="12"/>
  <c r="P601" i="12" s="1"/>
  <c r="Q542" i="12"/>
  <c r="R542" i="12" s="1"/>
  <c r="O535" i="12"/>
  <c r="P535" i="12" s="1"/>
  <c r="M535" i="12"/>
  <c r="N535" i="12" s="1"/>
  <c r="I535" i="12"/>
  <c r="J535" i="12" s="1"/>
  <c r="K516" i="12"/>
  <c r="O527" i="12"/>
  <c r="P527" i="12" s="1"/>
  <c r="M496" i="12"/>
  <c r="N496" i="12" s="1"/>
  <c r="O512" i="12"/>
  <c r="P512" i="12" s="1"/>
  <c r="K529" i="12"/>
  <c r="I519" i="12"/>
  <c r="J519" i="12" s="1"/>
  <c r="G469" i="12"/>
  <c r="H469" i="12" s="1"/>
  <c r="G433" i="12"/>
  <c r="H433" i="12" s="1"/>
  <c r="M465" i="12"/>
  <c r="N465" i="12" s="1"/>
  <c r="M429" i="12"/>
  <c r="N429" i="12" s="1"/>
  <c r="O533" i="12"/>
  <c r="P533" i="12" s="1"/>
  <c r="G461" i="12"/>
  <c r="H461" i="12" s="1"/>
  <c r="G425" i="12"/>
  <c r="H425" i="12" s="1"/>
  <c r="O510" i="12"/>
  <c r="P510" i="12" s="1"/>
  <c r="G466" i="12"/>
  <c r="H466" i="12" s="1"/>
  <c r="G430" i="12"/>
  <c r="H430" i="12" s="1"/>
  <c r="G394" i="12"/>
  <c r="H394" i="12" s="1"/>
  <c r="I470" i="12"/>
  <c r="J470" i="12" s="1"/>
  <c r="I355" i="12"/>
  <c r="J355" i="12" s="1"/>
  <c r="G361" i="12"/>
  <c r="H361" i="12" s="1"/>
  <c r="Q503" i="12"/>
  <c r="R503" i="12" s="1"/>
  <c r="O467" i="12"/>
  <c r="P467" i="12" s="1"/>
  <c r="M467" i="12"/>
  <c r="N467" i="12" s="1"/>
  <c r="Q355" i="12"/>
  <c r="R355" i="12" s="1"/>
  <c r="Q360" i="12"/>
  <c r="R360" i="12" s="1"/>
  <c r="M270" i="12"/>
  <c r="N270" i="12" s="1"/>
  <c r="M299" i="12"/>
  <c r="N299" i="12" s="1"/>
  <c r="M251" i="12"/>
  <c r="N251" i="12" s="1"/>
  <c r="I324" i="12"/>
  <c r="J324" i="12" s="1"/>
  <c r="I288" i="12"/>
  <c r="J288" i="12" s="1"/>
  <c r="I252" i="12"/>
  <c r="J252" i="12" s="1"/>
  <c r="M329" i="12"/>
  <c r="N329" i="12" s="1"/>
  <c r="I299" i="12"/>
  <c r="J299" i="12" s="1"/>
  <c r="I263" i="12"/>
  <c r="J263" i="12" s="1"/>
  <c r="I227" i="12"/>
  <c r="J227" i="12" s="1"/>
  <c r="O313" i="12"/>
  <c r="P313" i="12" s="1"/>
  <c r="M338" i="12"/>
  <c r="N338" i="12" s="1"/>
  <c r="K186" i="12"/>
  <c r="Q323" i="12"/>
  <c r="R323" i="12" s="1"/>
  <c r="O264" i="12"/>
  <c r="P264" i="12" s="1"/>
  <c r="I68" i="12"/>
  <c r="J68" i="12" s="1"/>
  <c r="M32" i="12"/>
  <c r="N32" i="12" s="1"/>
  <c r="Q27" i="12"/>
  <c r="R27" i="12" s="1"/>
  <c r="M143" i="12"/>
  <c r="N143" i="12" s="1"/>
  <c r="O91" i="12"/>
  <c r="P91" i="12" s="1"/>
  <c r="Q139" i="12"/>
  <c r="R139" i="12" s="1"/>
  <c r="Q170" i="12"/>
  <c r="R170" i="12" s="1"/>
  <c r="G131" i="12"/>
  <c r="H131" i="12" s="1"/>
  <c r="I309" i="12"/>
  <c r="J309" i="12" s="1"/>
  <c r="I303" i="12"/>
  <c r="J303" i="12" s="1"/>
  <c r="I670" i="12"/>
  <c r="J670" i="12" s="1"/>
  <c r="K670" i="12"/>
  <c r="O670" i="12"/>
  <c r="P670" i="12" s="1"/>
  <c r="Q670" i="12"/>
  <c r="R670" i="12" s="1"/>
  <c r="M670" i="12"/>
  <c r="N670" i="12" s="1"/>
  <c r="G670" i="12"/>
  <c r="H670" i="12" s="1"/>
  <c r="K426" i="12"/>
  <c r="O352" i="12"/>
  <c r="P352" i="12" s="1"/>
  <c r="G352" i="12"/>
  <c r="H352" i="12" s="1"/>
  <c r="M352" i="12"/>
  <c r="N352" i="12" s="1"/>
  <c r="I352" i="12"/>
  <c r="J352" i="12" s="1"/>
  <c r="Q352" i="12"/>
  <c r="R352" i="12" s="1"/>
  <c r="K352" i="12"/>
  <c r="G366" i="12"/>
  <c r="H366" i="12" s="1"/>
  <c r="G326" i="12"/>
  <c r="H326" i="12" s="1"/>
  <c r="I326" i="12"/>
  <c r="J326" i="12" s="1"/>
  <c r="K326" i="12"/>
  <c r="O326" i="12"/>
  <c r="P326" i="12" s="1"/>
  <c r="Q326" i="12"/>
  <c r="R326" i="12" s="1"/>
  <c r="M326" i="12"/>
  <c r="N326" i="12" s="1"/>
  <c r="O312" i="12"/>
  <c r="P312" i="12" s="1"/>
  <c r="Q297" i="12"/>
  <c r="R297" i="12" s="1"/>
  <c r="M247" i="12"/>
  <c r="N247" i="12" s="1"/>
  <c r="M179" i="12"/>
  <c r="N179" i="12" s="1"/>
  <c r="Q239" i="12"/>
  <c r="R239" i="12" s="1"/>
  <c r="K191" i="12"/>
  <c r="G191" i="12"/>
  <c r="H191" i="12" s="1"/>
  <c r="M191" i="12"/>
  <c r="N191" i="12" s="1"/>
  <c r="Q191" i="12"/>
  <c r="R191" i="12" s="1"/>
  <c r="I191" i="12"/>
  <c r="J191" i="12" s="1"/>
  <c r="K213" i="12"/>
  <c r="M184" i="12"/>
  <c r="N184" i="12" s="1"/>
  <c r="O158" i="12"/>
  <c r="P158" i="12" s="1"/>
  <c r="O168" i="12"/>
  <c r="P168" i="12" s="1"/>
  <c r="Q136" i="12"/>
  <c r="R136" i="12" s="1"/>
  <c r="O139" i="12"/>
  <c r="P139" i="12" s="1"/>
  <c r="Q45" i="12"/>
  <c r="R45" i="12" s="1"/>
  <c r="O46" i="12"/>
  <c r="P46" i="12" s="1"/>
  <c r="K74" i="12"/>
  <c r="O103" i="12"/>
  <c r="P103" i="12" s="1"/>
  <c r="I147" i="12"/>
  <c r="J147" i="12" s="1"/>
  <c r="G195" i="12"/>
  <c r="H195" i="12" s="1"/>
  <c r="G143" i="12"/>
  <c r="H143" i="12" s="1"/>
  <c r="I172" i="12"/>
  <c r="J172" i="12" s="1"/>
  <c r="O639" i="12"/>
  <c r="P639" i="12" s="1"/>
  <c r="I639" i="12"/>
  <c r="J639" i="12" s="1"/>
  <c r="Q639" i="12"/>
  <c r="R639" i="12" s="1"/>
  <c r="M639" i="12"/>
  <c r="N639" i="12" s="1"/>
  <c r="G639" i="12"/>
  <c r="H639" i="12" s="1"/>
  <c r="K639" i="12"/>
  <c r="Q365" i="12"/>
  <c r="R365" i="12" s="1"/>
  <c r="M350" i="12"/>
  <c r="N350" i="12" s="1"/>
  <c r="M347" i="12"/>
  <c r="N347" i="12" s="1"/>
  <c r="G230" i="12"/>
  <c r="H230" i="12" s="1"/>
  <c r="I128" i="12"/>
  <c r="J128" i="12" s="1"/>
  <c r="G130" i="12"/>
  <c r="H130" i="12" s="1"/>
  <c r="M147" i="12"/>
  <c r="N147" i="12" s="1"/>
  <c r="Q80" i="12"/>
  <c r="R80" i="12" s="1"/>
  <c r="Q144" i="12"/>
  <c r="R144" i="12" s="1"/>
  <c r="O42" i="12"/>
  <c r="P42" i="12" s="1"/>
  <c r="M929" i="12"/>
  <c r="N929" i="12" s="1"/>
  <c r="Q56" i="12"/>
  <c r="R56" i="12" s="1"/>
  <c r="M2" i="12"/>
  <c r="N2" i="12" s="1"/>
  <c r="M101" i="12"/>
  <c r="N101" i="12" s="1"/>
  <c r="G80" i="12"/>
  <c r="H80" i="12" s="1"/>
  <c r="K86" i="12"/>
  <c r="O115" i="12"/>
  <c r="P115" i="12" s="1"/>
  <c r="O189" i="12"/>
  <c r="P189" i="12" s="1"/>
  <c r="G155" i="12"/>
  <c r="H155" i="12" s="1"/>
  <c r="I184" i="12"/>
  <c r="J184" i="12" s="1"/>
  <c r="K174" i="12"/>
  <c r="O607" i="12"/>
  <c r="P607" i="12" s="1"/>
  <c r="I607" i="12"/>
  <c r="J607" i="12" s="1"/>
  <c r="M607" i="12"/>
  <c r="N607" i="12" s="1"/>
  <c r="G607" i="12"/>
  <c r="H607" i="12" s="1"/>
  <c r="K607" i="12"/>
  <c r="Q607" i="12"/>
  <c r="R607" i="12" s="1"/>
  <c r="L594" i="12"/>
  <c r="S594" i="12"/>
  <c r="T594" i="12" s="1"/>
  <c r="U594" i="12" s="1"/>
  <c r="L498" i="12"/>
  <c r="S498" i="12"/>
  <c r="T498" i="12" s="1"/>
  <c r="U498" i="12" s="1"/>
  <c r="O351" i="12"/>
  <c r="P351" i="12" s="1"/>
  <c r="Q319" i="12"/>
  <c r="R319" i="12" s="1"/>
  <c r="O211" i="12"/>
  <c r="P211" i="12" s="1"/>
  <c r="K175" i="12"/>
  <c r="Q204" i="12"/>
  <c r="R204" i="12" s="1"/>
  <c r="G138" i="12"/>
  <c r="H138" i="12" s="1"/>
  <c r="G133" i="12"/>
  <c r="H133" i="12" s="1"/>
  <c r="M38" i="12"/>
  <c r="N38" i="12" s="1"/>
  <c r="G35" i="12"/>
  <c r="H35" i="12" s="1"/>
  <c r="M14" i="12"/>
  <c r="N14" i="12" s="1"/>
  <c r="M72" i="12"/>
  <c r="N72" i="12" s="1"/>
  <c r="I63" i="12"/>
  <c r="J63" i="12" s="1"/>
  <c r="K98" i="12"/>
  <c r="O154" i="12"/>
  <c r="P154" i="12" s="1"/>
  <c r="M52" i="12"/>
  <c r="N52" i="12" s="1"/>
  <c r="Q159" i="12"/>
  <c r="R159" i="12" s="1"/>
  <c r="G207" i="12"/>
  <c r="H207" i="12" s="1"/>
  <c r="I196" i="12"/>
  <c r="J196" i="12" s="1"/>
  <c r="I666" i="12"/>
  <c r="J666" i="12" s="1"/>
  <c r="Q666" i="12"/>
  <c r="R666" i="12" s="1"/>
  <c r="O666" i="12"/>
  <c r="P666" i="12" s="1"/>
  <c r="K666" i="12"/>
  <c r="G666" i="12"/>
  <c r="H666" i="12" s="1"/>
  <c r="M666" i="12"/>
  <c r="N666" i="12" s="1"/>
  <c r="M376" i="12"/>
  <c r="N376" i="12" s="1"/>
  <c r="G440" i="12"/>
  <c r="H440" i="12" s="1"/>
  <c r="Q329" i="12"/>
  <c r="R329" i="12" s="1"/>
  <c r="K308" i="12"/>
  <c r="Q256" i="12"/>
  <c r="R256" i="12" s="1"/>
  <c r="G256" i="12"/>
  <c r="H256" i="12" s="1"/>
  <c r="O256" i="12"/>
  <c r="P256" i="12" s="1"/>
  <c r="K256" i="12"/>
  <c r="I256" i="12"/>
  <c r="J256" i="12" s="1"/>
  <c r="M256" i="12"/>
  <c r="N256" i="12" s="1"/>
  <c r="M235" i="12"/>
  <c r="N235" i="12" s="1"/>
  <c r="K195" i="12"/>
  <c r="Q195" i="12"/>
  <c r="R195" i="12" s="1"/>
  <c r="I195" i="12"/>
  <c r="J195" i="12" s="1"/>
  <c r="M195" i="12"/>
  <c r="N195" i="12" s="1"/>
  <c r="I202" i="12"/>
  <c r="J202" i="12" s="1"/>
  <c r="O145" i="12"/>
  <c r="P145" i="12" s="1"/>
  <c r="M55" i="12"/>
  <c r="N55" i="12" s="1"/>
  <c r="I59" i="12"/>
  <c r="J59" i="12" s="1"/>
  <c r="I93" i="12"/>
  <c r="J93" i="12" s="1"/>
  <c r="M46" i="12"/>
  <c r="N46" i="12" s="1"/>
  <c r="M39" i="12"/>
  <c r="N39" i="12" s="1"/>
  <c r="G39" i="12"/>
  <c r="H39" i="12" s="1"/>
  <c r="I39" i="12"/>
  <c r="J39" i="12" s="1"/>
  <c r="K39" i="12"/>
  <c r="K26" i="12"/>
  <c r="Q3" i="12"/>
  <c r="R3" i="12" s="1"/>
  <c r="K205" i="12"/>
  <c r="K110" i="12"/>
  <c r="I144" i="12"/>
  <c r="J144" i="12" s="1"/>
  <c r="M64" i="12"/>
  <c r="N64" i="12" s="1"/>
  <c r="Q220" i="12"/>
  <c r="R220" i="12" s="1"/>
  <c r="M313" i="12"/>
  <c r="N313" i="12" s="1"/>
  <c r="I208" i="12"/>
  <c r="J208" i="12" s="1"/>
  <c r="S721" i="12"/>
  <c r="T721" i="12" s="1"/>
  <c r="U721" i="12" s="1"/>
  <c r="L721" i="12"/>
  <c r="K772" i="12"/>
  <c r="Q772" i="12"/>
  <c r="R772" i="12" s="1"/>
  <c r="G772" i="12"/>
  <c r="H772" i="12" s="1"/>
  <c r="O772" i="12"/>
  <c r="P772" i="12" s="1"/>
  <c r="M772" i="12"/>
  <c r="N772" i="12" s="1"/>
  <c r="I772" i="12"/>
  <c r="J772" i="12" s="1"/>
  <c r="M732" i="12"/>
  <c r="N732" i="12" s="1"/>
  <c r="O732" i="12"/>
  <c r="P732" i="12" s="1"/>
  <c r="I732" i="12"/>
  <c r="J732" i="12" s="1"/>
  <c r="K732" i="12"/>
  <c r="Q732" i="12"/>
  <c r="R732" i="12" s="1"/>
  <c r="G732" i="12"/>
  <c r="H732" i="12" s="1"/>
  <c r="S733" i="12"/>
  <c r="T733" i="12" s="1"/>
  <c r="U733" i="12" s="1"/>
  <c r="L733" i="12"/>
  <c r="L527" i="12"/>
  <c r="S527" i="12"/>
  <c r="T527" i="12" s="1"/>
  <c r="U527" i="12" s="1"/>
  <c r="O524" i="12"/>
  <c r="P524" i="12" s="1"/>
  <c r="Q436" i="12"/>
  <c r="R436" i="12" s="1"/>
  <c r="I503" i="12"/>
  <c r="J503" i="12" s="1"/>
  <c r="I348" i="12"/>
  <c r="J348" i="12" s="1"/>
  <c r="M348" i="12"/>
  <c r="N348" i="12" s="1"/>
  <c r="G348" i="12"/>
  <c r="H348" i="12" s="1"/>
  <c r="K348" i="12"/>
  <c r="Q348" i="12"/>
  <c r="R348" i="12" s="1"/>
  <c r="O348" i="12"/>
  <c r="P348" i="12" s="1"/>
  <c r="G444" i="12"/>
  <c r="H444" i="12" s="1"/>
  <c r="G373" i="12"/>
  <c r="H373" i="12" s="1"/>
  <c r="I307" i="12"/>
  <c r="J307" i="12" s="1"/>
  <c r="O187" i="12"/>
  <c r="P187" i="12" s="1"/>
  <c r="Q157" i="12"/>
  <c r="R157" i="12" s="1"/>
  <c r="I126" i="12"/>
  <c r="J126" i="12" s="1"/>
  <c r="O58" i="12"/>
  <c r="P58" i="12" s="1"/>
  <c r="I44" i="12"/>
  <c r="J44" i="12" s="1"/>
  <c r="G43" i="12"/>
  <c r="H43" i="12" s="1"/>
  <c r="K38" i="12"/>
  <c r="Q15" i="12"/>
  <c r="R15" i="12" s="1"/>
  <c r="I13" i="12"/>
  <c r="J13" i="12" s="1"/>
  <c r="Q127" i="12"/>
  <c r="R127" i="12" s="1"/>
  <c r="O44" i="12"/>
  <c r="P44" i="12" s="1"/>
  <c r="M76" i="12"/>
  <c r="N76" i="12" s="1"/>
  <c r="M132" i="12"/>
  <c r="N132" i="12" s="1"/>
  <c r="K164" i="12"/>
  <c r="I220" i="12"/>
  <c r="J220" i="12" s="1"/>
  <c r="M854" i="12"/>
  <c r="N854" i="12" s="1"/>
  <c r="I854" i="12"/>
  <c r="J854" i="12" s="1"/>
  <c r="K854" i="12"/>
  <c r="G854" i="12"/>
  <c r="H854" i="12" s="1"/>
  <c r="O854" i="12"/>
  <c r="P854" i="12" s="1"/>
  <c r="Q854" i="12"/>
  <c r="R854" i="12" s="1"/>
  <c r="S541" i="12"/>
  <c r="T541" i="12" s="1"/>
  <c r="U541" i="12" s="1"/>
  <c r="L541" i="12"/>
  <c r="I983" i="12"/>
  <c r="J983" i="12" s="1"/>
  <c r="Q983" i="12"/>
  <c r="R983" i="12" s="1"/>
  <c r="M983" i="12"/>
  <c r="N983" i="12" s="1"/>
  <c r="G983" i="12"/>
  <c r="H983" i="12" s="1"/>
  <c r="K983" i="12"/>
  <c r="O983" i="12"/>
  <c r="P983" i="12" s="1"/>
  <c r="I381" i="12"/>
  <c r="J381" i="12" s="1"/>
  <c r="O362" i="12"/>
  <c r="P362" i="12" s="1"/>
  <c r="G334" i="12"/>
  <c r="H334" i="12" s="1"/>
  <c r="I320" i="12"/>
  <c r="J320" i="12" s="1"/>
  <c r="G225" i="12"/>
  <c r="H225" i="12" s="1"/>
  <c r="M122" i="12"/>
  <c r="N122" i="12" s="1"/>
  <c r="K119" i="12"/>
  <c r="K63" i="12"/>
  <c r="M71" i="12"/>
  <c r="N71" i="12" s="1"/>
  <c r="O27" i="12"/>
  <c r="P27" i="12" s="1"/>
  <c r="I25" i="12"/>
  <c r="J25" i="12" s="1"/>
  <c r="O123" i="12"/>
  <c r="P123" i="12" s="1"/>
  <c r="O56" i="12"/>
  <c r="P56" i="12" s="1"/>
  <c r="M88" i="12"/>
  <c r="N88" i="12" s="1"/>
  <c r="M144" i="12"/>
  <c r="N144" i="12" s="1"/>
  <c r="K176" i="12"/>
  <c r="K261" i="12"/>
  <c r="M709" i="12"/>
  <c r="N709" i="12" s="1"/>
  <c r="Q709" i="12"/>
  <c r="R709" i="12" s="1"/>
  <c r="G709" i="12"/>
  <c r="H709" i="12" s="1"/>
  <c r="I709" i="12"/>
  <c r="J709" i="12" s="1"/>
  <c r="O709" i="12"/>
  <c r="P709" i="12" s="1"/>
  <c r="K709" i="12"/>
  <c r="O591" i="12"/>
  <c r="P591" i="12" s="1"/>
  <c r="K591" i="12"/>
  <c r="Q591" i="12"/>
  <c r="R591" i="12" s="1"/>
  <c r="I591" i="12"/>
  <c r="J591" i="12" s="1"/>
  <c r="M591" i="12"/>
  <c r="N591" i="12" s="1"/>
  <c r="G591" i="12"/>
  <c r="H591" i="12" s="1"/>
  <c r="Q492" i="12"/>
  <c r="R492" i="12" s="1"/>
  <c r="I505" i="12"/>
  <c r="J505" i="12" s="1"/>
  <c r="K505" i="12"/>
  <c r="G505" i="12"/>
  <c r="H505" i="12" s="1"/>
  <c r="M505" i="12"/>
  <c r="N505" i="12" s="1"/>
  <c r="Q505" i="12"/>
  <c r="R505" i="12" s="1"/>
  <c r="O505" i="12"/>
  <c r="P505" i="12" s="1"/>
  <c r="G449" i="12"/>
  <c r="H449" i="12" s="1"/>
  <c r="M342" i="12"/>
  <c r="N342" i="12" s="1"/>
  <c r="M197" i="12"/>
  <c r="N197" i="12" s="1"/>
  <c r="K197" i="12"/>
  <c r="Q197" i="12"/>
  <c r="R197" i="12" s="1"/>
  <c r="I197" i="12"/>
  <c r="J197" i="12" s="1"/>
  <c r="O197" i="12"/>
  <c r="P197" i="12" s="1"/>
  <c r="G197" i="12"/>
  <c r="H197" i="12" s="1"/>
  <c r="Q205" i="12"/>
  <c r="R205" i="12" s="1"/>
  <c r="G221" i="12"/>
  <c r="H221" i="12" s="1"/>
  <c r="G220" i="12"/>
  <c r="H220" i="12" s="1"/>
  <c r="M203" i="12"/>
  <c r="N203" i="12" s="1"/>
  <c r="M70" i="12"/>
  <c r="N70" i="12" s="1"/>
  <c r="M29" i="12"/>
  <c r="N29" i="12" s="1"/>
  <c r="K2" i="12"/>
  <c r="M114" i="12"/>
  <c r="N114" i="12" s="1"/>
  <c r="O39" i="12"/>
  <c r="P39" i="12" s="1"/>
  <c r="G37" i="12"/>
  <c r="H37" i="12" s="1"/>
  <c r="O146" i="12"/>
  <c r="P146" i="12" s="1"/>
  <c r="O68" i="12"/>
  <c r="P68" i="12" s="1"/>
  <c r="M100" i="12"/>
  <c r="N100" i="12" s="1"/>
  <c r="M156" i="12"/>
  <c r="N156" i="12" s="1"/>
  <c r="K188" i="12"/>
  <c r="K166" i="12"/>
  <c r="O275" i="12"/>
  <c r="P275" i="12" s="1"/>
  <c r="I238" i="12"/>
  <c r="J238" i="12" s="1"/>
  <c r="Q226" i="12"/>
  <c r="R226" i="12" s="1"/>
  <c r="Q198" i="12"/>
  <c r="R198" i="12" s="1"/>
  <c r="O169" i="12"/>
  <c r="P169" i="12" s="1"/>
  <c r="I169" i="12"/>
  <c r="J169" i="12" s="1"/>
  <c r="K169" i="12"/>
  <c r="M169" i="12"/>
  <c r="N169" i="12" s="1"/>
  <c r="G169" i="12"/>
  <c r="H169" i="12" s="1"/>
  <c r="Q169" i="12"/>
  <c r="R169" i="12" s="1"/>
  <c r="Q120" i="12"/>
  <c r="R120" i="12" s="1"/>
  <c r="Q98" i="12"/>
  <c r="R98" i="12" s="1"/>
  <c r="Q101" i="12"/>
  <c r="R101" i="12" s="1"/>
  <c r="Q131" i="12"/>
  <c r="R131" i="12" s="1"/>
  <c r="Q137" i="12"/>
  <c r="R137" i="12" s="1"/>
  <c r="M104" i="12"/>
  <c r="N104" i="12" s="1"/>
  <c r="O96" i="12"/>
  <c r="P96" i="12" s="1"/>
  <c r="I96" i="12"/>
  <c r="J96" i="12" s="1"/>
  <c r="Q96" i="12"/>
  <c r="R96" i="12" s="1"/>
  <c r="G96" i="12"/>
  <c r="H96" i="12" s="1"/>
  <c r="M96" i="12"/>
  <c r="N96" i="12" s="1"/>
  <c r="K96" i="12"/>
  <c r="M40" i="12"/>
  <c r="N40" i="12" s="1"/>
  <c r="M65" i="12"/>
  <c r="N65" i="12" s="1"/>
  <c r="K72" i="12"/>
  <c r="M77" i="12"/>
  <c r="N77" i="12" s="1"/>
  <c r="Q69" i="12"/>
  <c r="R69" i="12" s="1"/>
  <c r="O43" i="12"/>
  <c r="P43" i="12" s="1"/>
  <c r="O80" i="12"/>
  <c r="P80" i="12" s="1"/>
  <c r="M112" i="12"/>
  <c r="N112" i="12" s="1"/>
  <c r="M204" i="12"/>
  <c r="N204" i="12" s="1"/>
  <c r="K200" i="12"/>
  <c r="K178" i="12"/>
  <c r="Q680" i="12"/>
  <c r="R680" i="12" s="1"/>
  <c r="I680" i="12"/>
  <c r="J680" i="12" s="1"/>
  <c r="G680" i="12"/>
  <c r="H680" i="12" s="1"/>
  <c r="M680" i="12"/>
  <c r="N680" i="12" s="1"/>
  <c r="K680" i="12"/>
  <c r="O680" i="12"/>
  <c r="P680" i="12" s="1"/>
  <c r="Q434" i="12"/>
  <c r="R434" i="12" s="1"/>
  <c r="M434" i="12"/>
  <c r="N434" i="12" s="1"/>
  <c r="O434" i="12"/>
  <c r="P434" i="12" s="1"/>
  <c r="K434" i="12"/>
  <c r="G434" i="12"/>
  <c r="H434" i="12" s="1"/>
  <c r="I434" i="12"/>
  <c r="J434" i="12" s="1"/>
  <c r="M981" i="12"/>
  <c r="N981" i="12" s="1"/>
  <c r="I981" i="12"/>
  <c r="J981" i="12" s="1"/>
  <c r="Q981" i="12"/>
  <c r="R981" i="12" s="1"/>
  <c r="K981" i="12"/>
  <c r="O981" i="12"/>
  <c r="P981" i="12" s="1"/>
  <c r="G981" i="12"/>
  <c r="H981" i="12" s="1"/>
  <c r="S573" i="12"/>
  <c r="T573" i="12" s="1"/>
  <c r="U573" i="12" s="1"/>
  <c r="L573" i="12"/>
  <c r="M520" i="12"/>
  <c r="N520" i="12" s="1"/>
  <c r="I488" i="12"/>
  <c r="J488" i="12" s="1"/>
  <c r="K514" i="12"/>
  <c r="Q382" i="12"/>
  <c r="R382" i="12" s="1"/>
  <c r="O314" i="12"/>
  <c r="P314" i="12" s="1"/>
  <c r="G324" i="12"/>
  <c r="H324" i="12" s="1"/>
  <c r="G278" i="12"/>
  <c r="H278" i="12" s="1"/>
  <c r="G206" i="12"/>
  <c r="H206" i="12" s="1"/>
  <c r="I173" i="12"/>
  <c r="J173" i="12" s="1"/>
  <c r="M245" i="12"/>
  <c r="N245" i="12" s="1"/>
  <c r="O222" i="12"/>
  <c r="P222" i="12" s="1"/>
  <c r="G222" i="12"/>
  <c r="H222" i="12" s="1"/>
  <c r="I222" i="12"/>
  <c r="J222" i="12" s="1"/>
  <c r="M222" i="12"/>
  <c r="N222" i="12" s="1"/>
  <c r="Q222" i="12"/>
  <c r="R222" i="12" s="1"/>
  <c r="K222" i="12"/>
  <c r="Q244" i="12"/>
  <c r="R244" i="12" s="1"/>
  <c r="G244" i="12"/>
  <c r="H244" i="12" s="1"/>
  <c r="O244" i="12"/>
  <c r="P244" i="12" s="1"/>
  <c r="K244" i="12"/>
  <c r="M244" i="12"/>
  <c r="N244" i="12" s="1"/>
  <c r="I244" i="12"/>
  <c r="J244" i="12" s="1"/>
  <c r="Q107" i="12"/>
  <c r="R107" i="12" s="1"/>
  <c r="O162" i="12"/>
  <c r="P162" i="12" s="1"/>
  <c r="G162" i="12"/>
  <c r="H162" i="12" s="1"/>
  <c r="M162" i="12"/>
  <c r="N162" i="12" s="1"/>
  <c r="I162" i="12"/>
  <c r="J162" i="12" s="1"/>
  <c r="Q162" i="12"/>
  <c r="R162" i="12" s="1"/>
  <c r="I48" i="12"/>
  <c r="J48" i="12" s="1"/>
  <c r="O127" i="12"/>
  <c r="P127" i="12" s="1"/>
  <c r="Q150" i="12"/>
  <c r="R150" i="12" s="1"/>
  <c r="I27" i="12"/>
  <c r="J27" i="12" s="1"/>
  <c r="G116" i="12"/>
  <c r="H116" i="12" s="1"/>
  <c r="G63" i="12"/>
  <c r="H63" i="12" s="1"/>
  <c r="K124" i="12"/>
  <c r="O55" i="12"/>
  <c r="P55" i="12" s="1"/>
  <c r="O92" i="12"/>
  <c r="P92" i="12" s="1"/>
  <c r="I127" i="12"/>
  <c r="J127" i="12" s="1"/>
  <c r="O253" i="12"/>
  <c r="P253" i="12" s="1"/>
  <c r="K212" i="12"/>
  <c r="K190" i="12"/>
  <c r="K589" i="12"/>
  <c r="G589" i="12"/>
  <c r="H589" i="12" s="1"/>
  <c r="I589" i="12"/>
  <c r="J589" i="12" s="1"/>
  <c r="O589" i="12"/>
  <c r="P589" i="12" s="1"/>
  <c r="Q589" i="12"/>
  <c r="R589" i="12" s="1"/>
  <c r="M589" i="12"/>
  <c r="N589" i="12" s="1"/>
  <c r="Q389" i="12"/>
  <c r="R389" i="12" s="1"/>
  <c r="O389" i="12"/>
  <c r="P389" i="12" s="1"/>
  <c r="I389" i="12"/>
  <c r="J389" i="12" s="1"/>
  <c r="K389" i="12"/>
  <c r="M389" i="12"/>
  <c r="N389" i="12" s="1"/>
  <c r="G389" i="12"/>
  <c r="H389" i="12" s="1"/>
  <c r="L344" i="12"/>
  <c r="S344" i="12"/>
  <c r="T344" i="12" s="1"/>
  <c r="U344" i="12" s="1"/>
  <c r="M720" i="12"/>
  <c r="N720" i="12" s="1"/>
  <c r="O720" i="12"/>
  <c r="P720" i="12" s="1"/>
  <c r="I720" i="12"/>
  <c r="J720" i="12" s="1"/>
  <c r="K720" i="12"/>
  <c r="Q720" i="12"/>
  <c r="R720" i="12" s="1"/>
  <c r="G720" i="12"/>
  <c r="H720" i="12" s="1"/>
  <c r="S585" i="12"/>
  <c r="T585" i="12" s="1"/>
  <c r="U585" i="12" s="1"/>
  <c r="L585" i="12"/>
  <c r="Q536" i="12"/>
  <c r="R536" i="12" s="1"/>
  <c r="I536" i="12"/>
  <c r="J536" i="12" s="1"/>
  <c r="M536" i="12"/>
  <c r="N536" i="12" s="1"/>
  <c r="O536" i="12"/>
  <c r="P536" i="12" s="1"/>
  <c r="K536" i="12"/>
  <c r="G536" i="12"/>
  <c r="H536" i="12" s="1"/>
  <c r="G509" i="12"/>
  <c r="H509" i="12" s="1"/>
  <c r="I517" i="12"/>
  <c r="J517" i="12" s="1"/>
  <c r="G517" i="12"/>
  <c r="H517" i="12" s="1"/>
  <c r="M517" i="12"/>
  <c r="N517" i="12" s="1"/>
  <c r="Q517" i="12"/>
  <c r="R517" i="12" s="1"/>
  <c r="O517" i="12"/>
  <c r="P517" i="12" s="1"/>
  <c r="K517" i="12"/>
  <c r="G472" i="12"/>
  <c r="H472" i="12" s="1"/>
  <c r="M469" i="12"/>
  <c r="N469" i="12" s="1"/>
  <c r="I422" i="12"/>
  <c r="J422" i="12" s="1"/>
  <c r="I357" i="12"/>
  <c r="J357" i="12" s="1"/>
  <c r="M372" i="12"/>
  <c r="N372" i="12" s="1"/>
  <c r="O431" i="12"/>
  <c r="P431" i="12" s="1"/>
  <c r="Q299" i="12"/>
  <c r="R299" i="12" s="1"/>
  <c r="Q313" i="12"/>
  <c r="R313" i="12" s="1"/>
  <c r="K265" i="12"/>
  <c r="O265" i="12"/>
  <c r="P265" i="12" s="1"/>
  <c r="M265" i="12"/>
  <c r="N265" i="12" s="1"/>
  <c r="I265" i="12"/>
  <c r="J265" i="12" s="1"/>
  <c r="Q265" i="12"/>
  <c r="R265" i="12" s="1"/>
  <c r="G265" i="12"/>
  <c r="H265" i="12" s="1"/>
  <c r="O161" i="12"/>
  <c r="P161" i="12" s="1"/>
  <c r="I60" i="12"/>
  <c r="J60" i="12" s="1"/>
  <c r="Q189" i="12"/>
  <c r="R189" i="12" s="1"/>
  <c r="M68" i="12"/>
  <c r="N68" i="12" s="1"/>
  <c r="M37" i="12"/>
  <c r="N37" i="12" s="1"/>
  <c r="I36" i="12"/>
  <c r="J36" i="12" s="1"/>
  <c r="O8" i="12"/>
  <c r="P8" i="12" s="1"/>
  <c r="G3" i="12"/>
  <c r="H3" i="12" s="1"/>
  <c r="M124" i="12"/>
  <c r="N124" i="12" s="1"/>
  <c r="O67" i="12"/>
  <c r="P67" i="12" s="1"/>
  <c r="O104" i="12"/>
  <c r="P104" i="12" s="1"/>
  <c r="G181" i="12"/>
  <c r="H181" i="12" s="1"/>
  <c r="O191" i="12"/>
  <c r="P191" i="12" s="1"/>
  <c r="Q227" i="12"/>
  <c r="R227" i="12" s="1"/>
  <c r="K202" i="12"/>
  <c r="K994" i="12"/>
  <c r="G994" i="12"/>
  <c r="H994" i="12" s="1"/>
  <c r="O994" i="12"/>
  <c r="P994" i="12" s="1"/>
  <c r="I994" i="12"/>
  <c r="J994" i="12" s="1"/>
  <c r="M994" i="12"/>
  <c r="N994" i="12" s="1"/>
  <c r="Q994" i="12"/>
  <c r="R994" i="12" s="1"/>
  <c r="I992" i="12"/>
  <c r="J992" i="12" s="1"/>
  <c r="O992" i="12"/>
  <c r="P992" i="12" s="1"/>
  <c r="K992" i="12"/>
  <c r="G992" i="12"/>
  <c r="H992" i="12" s="1"/>
  <c r="M992" i="12"/>
  <c r="N992" i="12" s="1"/>
  <c r="M993" i="12"/>
  <c r="N993" i="12" s="1"/>
  <c r="I993" i="12"/>
  <c r="J993" i="12" s="1"/>
  <c r="Q993" i="12"/>
  <c r="R993" i="12" s="1"/>
  <c r="K993" i="12"/>
  <c r="O993" i="12"/>
  <c r="P993" i="12" s="1"/>
  <c r="O942" i="12"/>
  <c r="P942" i="12" s="1"/>
  <c r="I942" i="12"/>
  <c r="J942" i="12" s="1"/>
  <c r="Q942" i="12"/>
  <c r="R942" i="12" s="1"/>
  <c r="M942" i="12"/>
  <c r="N942" i="12" s="1"/>
  <c r="K942" i="12"/>
  <c r="G942" i="12"/>
  <c r="H942" i="12" s="1"/>
  <c r="M943" i="12"/>
  <c r="N943" i="12" s="1"/>
  <c r="Q943" i="12"/>
  <c r="R943" i="12" s="1"/>
  <c r="G943" i="12"/>
  <c r="H943" i="12" s="1"/>
  <c r="I943" i="12"/>
  <c r="J943" i="12" s="1"/>
  <c r="K943" i="12"/>
  <c r="O943" i="12"/>
  <c r="P943" i="12" s="1"/>
  <c r="I932" i="12"/>
  <c r="J932" i="12" s="1"/>
  <c r="K932" i="12"/>
  <c r="O932" i="12"/>
  <c r="P932" i="12" s="1"/>
  <c r="G932" i="12"/>
  <c r="H932" i="12" s="1"/>
  <c r="Q932" i="12"/>
  <c r="R932" i="12" s="1"/>
  <c r="M932" i="12"/>
  <c r="N932" i="12" s="1"/>
  <c r="K886" i="12"/>
  <c r="O886" i="12"/>
  <c r="P886" i="12" s="1"/>
  <c r="G886" i="12"/>
  <c r="H886" i="12" s="1"/>
  <c r="M886" i="12"/>
  <c r="N886" i="12" s="1"/>
  <c r="Q886" i="12"/>
  <c r="R886" i="12" s="1"/>
  <c r="I886" i="12"/>
  <c r="J886" i="12" s="1"/>
  <c r="I900" i="12"/>
  <c r="J900" i="12" s="1"/>
  <c r="G900" i="12"/>
  <c r="H900" i="12" s="1"/>
  <c r="Q900" i="12"/>
  <c r="R900" i="12" s="1"/>
  <c r="M900" i="12"/>
  <c r="N900" i="12" s="1"/>
  <c r="O900" i="12"/>
  <c r="P900" i="12" s="1"/>
  <c r="K900" i="12"/>
  <c r="Q874" i="12"/>
  <c r="R874" i="12" s="1"/>
  <c r="K874" i="12"/>
  <c r="M874" i="12"/>
  <c r="N874" i="12" s="1"/>
  <c r="O874" i="12"/>
  <c r="P874" i="12" s="1"/>
  <c r="G874" i="12"/>
  <c r="H874" i="12" s="1"/>
  <c r="I874" i="12"/>
  <c r="J874" i="12" s="1"/>
  <c r="Q861" i="12"/>
  <c r="R861" i="12" s="1"/>
  <c r="O861" i="12"/>
  <c r="P861" i="12" s="1"/>
  <c r="K861" i="12"/>
  <c r="M861" i="12"/>
  <c r="N861" i="12" s="1"/>
  <c r="G861" i="12"/>
  <c r="H861" i="12" s="1"/>
  <c r="M875" i="12"/>
  <c r="N875" i="12" s="1"/>
  <c r="Q875" i="12"/>
  <c r="R875" i="12" s="1"/>
  <c r="O875" i="12"/>
  <c r="P875" i="12" s="1"/>
  <c r="K875" i="12"/>
  <c r="G875" i="12"/>
  <c r="H875" i="12" s="1"/>
  <c r="I875" i="12"/>
  <c r="J875" i="12" s="1"/>
  <c r="K815" i="12"/>
  <c r="M815" i="12"/>
  <c r="N815" i="12" s="1"/>
  <c r="I815" i="12"/>
  <c r="J815" i="12" s="1"/>
  <c r="Q815" i="12"/>
  <c r="R815" i="12" s="1"/>
  <c r="O815" i="12"/>
  <c r="P815" i="12" s="1"/>
  <c r="G815" i="12"/>
  <c r="H815" i="12" s="1"/>
  <c r="G820" i="12"/>
  <c r="H820" i="12" s="1"/>
  <c r="Q820" i="12"/>
  <c r="R820" i="12" s="1"/>
  <c r="M820" i="12"/>
  <c r="N820" i="12" s="1"/>
  <c r="K820" i="12"/>
  <c r="I820" i="12"/>
  <c r="J820" i="12" s="1"/>
  <c r="K779" i="12"/>
  <c r="Q779" i="12"/>
  <c r="R779" i="12" s="1"/>
  <c r="M779" i="12"/>
  <c r="N779" i="12" s="1"/>
  <c r="G779" i="12"/>
  <c r="H779" i="12" s="1"/>
  <c r="O779" i="12"/>
  <c r="P779" i="12" s="1"/>
  <c r="I779" i="12"/>
  <c r="J779" i="12" s="1"/>
  <c r="O777" i="12"/>
  <c r="P777" i="12" s="1"/>
  <c r="I777" i="12"/>
  <c r="J777" i="12" s="1"/>
  <c r="Q777" i="12"/>
  <c r="R777" i="12" s="1"/>
  <c r="K777" i="12"/>
  <c r="G777" i="12"/>
  <c r="H777" i="12" s="1"/>
  <c r="O703" i="12"/>
  <c r="P703" i="12" s="1"/>
  <c r="Q703" i="12"/>
  <c r="R703" i="12" s="1"/>
  <c r="K703" i="12"/>
  <c r="M703" i="12"/>
  <c r="N703" i="12" s="1"/>
  <c r="G703" i="12"/>
  <c r="H703" i="12" s="1"/>
  <c r="O719" i="12"/>
  <c r="P719" i="12" s="1"/>
  <c r="Q719" i="12"/>
  <c r="R719" i="12" s="1"/>
  <c r="I719" i="12"/>
  <c r="J719" i="12" s="1"/>
  <c r="K719" i="12"/>
  <c r="M719" i="12"/>
  <c r="N719" i="12" s="1"/>
  <c r="G719" i="12"/>
  <c r="H719" i="12" s="1"/>
  <c r="O731" i="12"/>
  <c r="P731" i="12" s="1"/>
  <c r="Q731" i="12"/>
  <c r="R731" i="12" s="1"/>
  <c r="K731" i="12"/>
  <c r="I731" i="12"/>
  <c r="J731" i="12" s="1"/>
  <c r="M731" i="12"/>
  <c r="N731" i="12" s="1"/>
  <c r="G731" i="12"/>
  <c r="H731" i="12" s="1"/>
  <c r="Q692" i="12"/>
  <c r="R692" i="12" s="1"/>
  <c r="M692" i="12"/>
  <c r="N692" i="12" s="1"/>
  <c r="I692" i="12"/>
  <c r="J692" i="12" s="1"/>
  <c r="O692" i="12"/>
  <c r="P692" i="12" s="1"/>
  <c r="G692" i="12"/>
  <c r="H692" i="12" s="1"/>
  <c r="G688" i="12"/>
  <c r="H688" i="12" s="1"/>
  <c r="O688" i="12"/>
  <c r="P688" i="12" s="1"/>
  <c r="M688" i="12"/>
  <c r="N688" i="12" s="1"/>
  <c r="I688" i="12"/>
  <c r="J688" i="12" s="1"/>
  <c r="K688" i="12"/>
  <c r="Q688" i="12"/>
  <c r="R688" i="12" s="1"/>
  <c r="G683" i="12"/>
  <c r="H683" i="12" s="1"/>
  <c r="I683" i="12"/>
  <c r="J683" i="12" s="1"/>
  <c r="O683" i="12"/>
  <c r="P683" i="12" s="1"/>
  <c r="M683" i="12"/>
  <c r="N683" i="12" s="1"/>
  <c r="K683" i="12"/>
  <c r="Q683" i="12"/>
  <c r="R683" i="12" s="1"/>
  <c r="O665" i="12"/>
  <c r="P665" i="12" s="1"/>
  <c r="K665" i="12"/>
  <c r="M665" i="12"/>
  <c r="N665" i="12" s="1"/>
  <c r="G665" i="12"/>
  <c r="H665" i="12" s="1"/>
  <c r="K637" i="12"/>
  <c r="M637" i="12"/>
  <c r="N637" i="12" s="1"/>
  <c r="I637" i="12"/>
  <c r="J637" i="12" s="1"/>
  <c r="O637" i="12"/>
  <c r="P637" i="12" s="1"/>
  <c r="Q621" i="12"/>
  <c r="R621" i="12" s="1"/>
  <c r="I621" i="12"/>
  <c r="J621" i="12" s="1"/>
  <c r="O621" i="12"/>
  <c r="P621" i="12" s="1"/>
  <c r="G621" i="12"/>
  <c r="H621" i="12" s="1"/>
  <c r="M621" i="12"/>
  <c r="N621" i="12" s="1"/>
  <c r="O631" i="12"/>
  <c r="P631" i="12" s="1"/>
  <c r="M631" i="12"/>
  <c r="N631" i="12" s="1"/>
  <c r="I631" i="12"/>
  <c r="J631" i="12" s="1"/>
  <c r="G631" i="12"/>
  <c r="H631" i="12" s="1"/>
  <c r="Q567" i="12"/>
  <c r="R567" i="12" s="1"/>
  <c r="O567" i="12"/>
  <c r="P567" i="12" s="1"/>
  <c r="K567" i="12"/>
  <c r="M567" i="12"/>
  <c r="N567" i="12" s="1"/>
  <c r="G567" i="12"/>
  <c r="H567" i="12" s="1"/>
  <c r="O583" i="12"/>
  <c r="P583" i="12" s="1"/>
  <c r="M583" i="12"/>
  <c r="N583" i="12" s="1"/>
  <c r="Q583" i="12"/>
  <c r="R583" i="12" s="1"/>
  <c r="K583" i="12"/>
  <c r="I583" i="12"/>
  <c r="J583" i="12" s="1"/>
  <c r="O553" i="12"/>
  <c r="P553" i="12" s="1"/>
  <c r="Q553" i="12"/>
  <c r="R553" i="12" s="1"/>
  <c r="M553" i="12"/>
  <c r="N553" i="12" s="1"/>
  <c r="I553" i="12"/>
  <c r="J553" i="12" s="1"/>
  <c r="G553" i="12"/>
  <c r="H553" i="12" s="1"/>
  <c r="Q548" i="12"/>
  <c r="R548" i="12" s="1"/>
  <c r="M548" i="12"/>
  <c r="N548" i="12" s="1"/>
  <c r="Q523" i="12"/>
  <c r="R523" i="12" s="1"/>
  <c r="O523" i="12"/>
  <c r="P523" i="12" s="1"/>
  <c r="K523" i="12"/>
  <c r="I523" i="12"/>
  <c r="J523" i="12" s="1"/>
  <c r="M523" i="12"/>
  <c r="N523" i="12" s="1"/>
  <c r="K518" i="12"/>
  <c r="Q518" i="12"/>
  <c r="R518" i="12" s="1"/>
  <c r="I518" i="12"/>
  <c r="J518" i="12" s="1"/>
  <c r="O428" i="12"/>
  <c r="P428" i="12" s="1"/>
  <c r="K428" i="12"/>
  <c r="I428" i="12"/>
  <c r="J428" i="12" s="1"/>
  <c r="Q428" i="12"/>
  <c r="R428" i="12" s="1"/>
  <c r="K463" i="12"/>
  <c r="Q463" i="12"/>
  <c r="R463" i="12" s="1"/>
  <c r="M463" i="12"/>
  <c r="N463" i="12" s="1"/>
  <c r="I480" i="12"/>
  <c r="J480" i="12" s="1"/>
  <c r="M480" i="12"/>
  <c r="N480" i="12" s="1"/>
  <c r="Q480" i="12"/>
  <c r="R480" i="12" s="1"/>
  <c r="Q395" i="12"/>
  <c r="R395" i="12" s="1"/>
  <c r="I395" i="12"/>
  <c r="J395" i="12" s="1"/>
  <c r="M349" i="12"/>
  <c r="N349" i="12" s="1"/>
  <c r="O349" i="12"/>
  <c r="P349" i="12" s="1"/>
  <c r="K349" i="12"/>
  <c r="I349" i="12"/>
  <c r="J349" i="12" s="1"/>
  <c r="I408" i="12"/>
  <c r="J408" i="12" s="1"/>
  <c r="K408" i="12"/>
  <c r="Q408" i="12"/>
  <c r="R408" i="12" s="1"/>
  <c r="Q458" i="12"/>
  <c r="R458" i="12" s="1"/>
  <c r="G458" i="12"/>
  <c r="H458" i="12" s="1"/>
  <c r="M458" i="12"/>
  <c r="N458" i="12" s="1"/>
  <c r="I458" i="12"/>
  <c r="J458" i="12" s="1"/>
  <c r="O458" i="12"/>
  <c r="P458" i="12" s="1"/>
  <c r="K458" i="12"/>
  <c r="Q304" i="12"/>
  <c r="R304" i="12" s="1"/>
  <c r="K301" i="12"/>
  <c r="K283" i="12"/>
  <c r="I29" i="12"/>
  <c r="J29" i="12" s="1"/>
  <c r="O118" i="12"/>
  <c r="P118" i="12" s="1"/>
  <c r="I35" i="12"/>
  <c r="J35" i="12" s="1"/>
  <c r="I40" i="12"/>
  <c r="J40" i="12" s="1"/>
  <c r="I30" i="12"/>
  <c r="J30" i="12" s="1"/>
  <c r="G81" i="12"/>
  <c r="H81" i="12" s="1"/>
  <c r="G46" i="12"/>
  <c r="H46" i="12" s="1"/>
  <c r="M3" i="12"/>
  <c r="N3" i="12" s="1"/>
  <c r="M15" i="12"/>
  <c r="N15" i="12" s="1"/>
  <c r="K27" i="12"/>
  <c r="Q75" i="12"/>
  <c r="R75" i="12" s="1"/>
  <c r="K115" i="12"/>
  <c r="I73" i="12"/>
  <c r="J73" i="12" s="1"/>
  <c r="K121" i="12"/>
  <c r="O9" i="12"/>
  <c r="P9" i="12" s="1"/>
  <c r="O21" i="12"/>
  <c r="P21" i="12" s="1"/>
  <c r="M33" i="12"/>
  <c r="N33" i="12" s="1"/>
  <c r="I49" i="12"/>
  <c r="J49" i="12" s="1"/>
  <c r="M113" i="12"/>
  <c r="N113" i="12" s="1"/>
  <c r="K73" i="12"/>
  <c r="Q4" i="12"/>
  <c r="R4" i="12" s="1"/>
  <c r="Q16" i="12"/>
  <c r="R16" i="12" s="1"/>
  <c r="O28" i="12"/>
  <c r="P28" i="12" s="1"/>
  <c r="O40" i="12"/>
  <c r="P40" i="12" s="1"/>
  <c r="Q81" i="12"/>
  <c r="R81" i="12" s="1"/>
  <c r="O64" i="12"/>
  <c r="P64" i="12" s="1"/>
  <c r="G4" i="12"/>
  <c r="H4" i="12" s="1"/>
  <c r="G16" i="12"/>
  <c r="H16" i="12" s="1"/>
  <c r="Q28" i="12"/>
  <c r="R28" i="12" s="1"/>
  <c r="Q40" i="12"/>
  <c r="R40" i="12" s="1"/>
  <c r="O82" i="12"/>
  <c r="P82" i="12" s="1"/>
  <c r="Q64" i="12"/>
  <c r="R64" i="12" s="1"/>
  <c r="I2" i="12"/>
  <c r="J2" i="12" s="1"/>
  <c r="I14" i="12"/>
  <c r="J14" i="12" s="1"/>
  <c r="G26" i="12"/>
  <c r="H26" i="12" s="1"/>
  <c r="G38" i="12"/>
  <c r="H38" i="12" s="1"/>
  <c r="I80" i="12"/>
  <c r="J80" i="12" s="1"/>
  <c r="G126" i="12"/>
  <c r="H126" i="12" s="1"/>
  <c r="M123" i="12"/>
  <c r="N123" i="12" s="1"/>
  <c r="K149" i="12"/>
  <c r="I75" i="12"/>
  <c r="J75" i="12" s="1"/>
  <c r="I87" i="12"/>
  <c r="J87" i="12" s="1"/>
  <c r="I99" i="12"/>
  <c r="J99" i="12" s="1"/>
  <c r="I111" i="12"/>
  <c r="J111" i="12" s="1"/>
  <c r="I125" i="12"/>
  <c r="J125" i="12" s="1"/>
  <c r="M149" i="12"/>
  <c r="N149" i="12" s="1"/>
  <c r="M44" i="12"/>
  <c r="N44" i="12" s="1"/>
  <c r="M56" i="12"/>
  <c r="N56" i="12" s="1"/>
  <c r="M80" i="12"/>
  <c r="N80" i="12" s="1"/>
  <c r="M92" i="12"/>
  <c r="N92" i="12" s="1"/>
  <c r="M116" i="12"/>
  <c r="N116" i="12" s="1"/>
  <c r="I155" i="12"/>
  <c r="J155" i="12" s="1"/>
  <c r="M145" i="12"/>
  <c r="N145" i="12" s="1"/>
  <c r="M45" i="12"/>
  <c r="N45" i="12" s="1"/>
  <c r="M57" i="12"/>
  <c r="N57" i="12" s="1"/>
  <c r="M69" i="12"/>
  <c r="N69" i="12" s="1"/>
  <c r="M81" i="12"/>
  <c r="N81" i="12" s="1"/>
  <c r="M93" i="12"/>
  <c r="N93" i="12" s="1"/>
  <c r="M105" i="12"/>
  <c r="N105" i="12" s="1"/>
  <c r="M117" i="12"/>
  <c r="N117" i="12" s="1"/>
  <c r="Q149" i="12"/>
  <c r="R149" i="12" s="1"/>
  <c r="M148" i="12"/>
  <c r="N148" i="12" s="1"/>
  <c r="G269" i="12"/>
  <c r="H269" i="12" s="1"/>
  <c r="K53" i="12"/>
  <c r="K65" i="12"/>
  <c r="K77" i="12"/>
  <c r="K89" i="12"/>
  <c r="K101" i="12"/>
  <c r="K113" i="12"/>
  <c r="K185" i="12"/>
  <c r="O219" i="12"/>
  <c r="P219" i="12" s="1"/>
  <c r="O179" i="12"/>
  <c r="P179" i="12" s="1"/>
  <c r="M198" i="12"/>
  <c r="N198" i="12" s="1"/>
  <c r="K199" i="12"/>
  <c r="O160" i="12"/>
  <c r="P160" i="12" s="1"/>
  <c r="M223" i="12"/>
  <c r="N223" i="12" s="1"/>
  <c r="K133" i="12"/>
  <c r="K145" i="12"/>
  <c r="K157" i="12"/>
  <c r="K209" i="12"/>
  <c r="M254" i="12"/>
  <c r="N254" i="12" s="1"/>
  <c r="M196" i="12"/>
  <c r="N196" i="12" s="1"/>
  <c r="I291" i="12"/>
  <c r="J291" i="12" s="1"/>
  <c r="Q132" i="12"/>
  <c r="R132" i="12" s="1"/>
  <c r="Q156" i="12"/>
  <c r="R156" i="12" s="1"/>
  <c r="M210" i="12"/>
  <c r="N210" i="12" s="1"/>
  <c r="M319" i="12"/>
  <c r="N319" i="12" s="1"/>
  <c r="I165" i="12"/>
  <c r="J165" i="12" s="1"/>
  <c r="I177" i="12"/>
  <c r="J177" i="12" s="1"/>
  <c r="I189" i="12"/>
  <c r="J189" i="12" s="1"/>
  <c r="I201" i="12"/>
  <c r="J201" i="12" s="1"/>
  <c r="I213" i="12"/>
  <c r="J213" i="12" s="1"/>
  <c r="K290" i="12"/>
  <c r="M325" i="12"/>
  <c r="N325" i="12" s="1"/>
  <c r="G173" i="12"/>
  <c r="H173" i="12" s="1"/>
  <c r="G185" i="12"/>
  <c r="H185" i="12" s="1"/>
  <c r="G209" i="12"/>
  <c r="H209" i="12" s="1"/>
  <c r="G275" i="12"/>
  <c r="H275" i="12" s="1"/>
  <c r="M278" i="12"/>
  <c r="N278" i="12" s="1"/>
  <c r="I167" i="12"/>
  <c r="J167" i="12" s="1"/>
  <c r="I179" i="12"/>
  <c r="J179" i="12" s="1"/>
  <c r="I203" i="12"/>
  <c r="J203" i="12" s="1"/>
  <c r="I215" i="12"/>
  <c r="J215" i="12" s="1"/>
  <c r="Q334" i="12"/>
  <c r="R334" i="12" s="1"/>
  <c r="O229" i="12"/>
  <c r="P229" i="12" s="1"/>
  <c r="K314" i="12"/>
  <c r="I163" i="12"/>
  <c r="J163" i="12" s="1"/>
  <c r="I175" i="12"/>
  <c r="J175" i="12" s="1"/>
  <c r="I187" i="12"/>
  <c r="J187" i="12" s="1"/>
  <c r="I199" i="12"/>
  <c r="J199" i="12" s="1"/>
  <c r="I211" i="12"/>
  <c r="J211" i="12" s="1"/>
  <c r="K223" i="12"/>
  <c r="Q275" i="12"/>
  <c r="R275" i="12" s="1"/>
  <c r="I339" i="12"/>
  <c r="J339" i="12" s="1"/>
  <c r="M290" i="12"/>
  <c r="N290" i="12" s="1"/>
  <c r="M302" i="12"/>
  <c r="N302" i="12" s="1"/>
  <c r="M314" i="12"/>
  <c r="N314" i="12" s="1"/>
  <c r="M332" i="12"/>
  <c r="N332" i="12" s="1"/>
  <c r="G228" i="12"/>
  <c r="H228" i="12" s="1"/>
  <c r="G240" i="12"/>
  <c r="H240" i="12" s="1"/>
  <c r="G252" i="12"/>
  <c r="H252" i="12" s="1"/>
  <c r="G264" i="12"/>
  <c r="H264" i="12" s="1"/>
  <c r="G276" i="12"/>
  <c r="H276" i="12" s="1"/>
  <c r="G288" i="12"/>
  <c r="H288" i="12" s="1"/>
  <c r="G300" i="12"/>
  <c r="H300" i="12" s="1"/>
  <c r="G312" i="12"/>
  <c r="H312" i="12" s="1"/>
  <c r="O332" i="12"/>
  <c r="P332" i="12" s="1"/>
  <c r="G229" i="12"/>
  <c r="H229" i="12" s="1"/>
  <c r="G241" i="12"/>
  <c r="H241" i="12" s="1"/>
  <c r="G253" i="12"/>
  <c r="H253" i="12" s="1"/>
  <c r="G277" i="12"/>
  <c r="H277" i="12" s="1"/>
  <c r="G289" i="12"/>
  <c r="H289" i="12" s="1"/>
  <c r="G301" i="12"/>
  <c r="H301" i="12" s="1"/>
  <c r="G313" i="12"/>
  <c r="H313" i="12" s="1"/>
  <c r="G325" i="12"/>
  <c r="H325" i="12" s="1"/>
  <c r="M333" i="12"/>
  <c r="N333" i="12" s="1"/>
  <c r="K228" i="12"/>
  <c r="K240" i="12"/>
  <c r="K252" i="12"/>
  <c r="K264" i="12"/>
  <c r="K276" i="12"/>
  <c r="K288" i="12"/>
  <c r="K300" i="12"/>
  <c r="Q315" i="12"/>
  <c r="R315" i="12" s="1"/>
  <c r="I224" i="12"/>
  <c r="J224" i="12" s="1"/>
  <c r="I272" i="12"/>
  <c r="J272" i="12" s="1"/>
  <c r="I296" i="12"/>
  <c r="J296" i="12" s="1"/>
  <c r="I358" i="12"/>
  <c r="J358" i="12" s="1"/>
  <c r="I371" i="12"/>
  <c r="J371" i="12" s="1"/>
  <c r="O378" i="12"/>
  <c r="P378" i="12" s="1"/>
  <c r="K396" i="12"/>
  <c r="I386" i="12"/>
  <c r="J386" i="12" s="1"/>
  <c r="I353" i="12"/>
  <c r="J353" i="12" s="1"/>
  <c r="M357" i="12"/>
  <c r="N357" i="12" s="1"/>
  <c r="Q397" i="12"/>
  <c r="R397" i="12" s="1"/>
  <c r="K468" i="12"/>
  <c r="G417" i="12"/>
  <c r="H417" i="12" s="1"/>
  <c r="G482" i="12"/>
  <c r="H482" i="12" s="1"/>
  <c r="G331" i="12"/>
  <c r="H331" i="12" s="1"/>
  <c r="O363" i="12"/>
  <c r="P363" i="12" s="1"/>
  <c r="G507" i="12"/>
  <c r="H507" i="12" s="1"/>
  <c r="G356" i="12"/>
  <c r="H356" i="12" s="1"/>
  <c r="I391" i="12"/>
  <c r="J391" i="12" s="1"/>
  <c r="Q472" i="12"/>
  <c r="R472" i="12" s="1"/>
  <c r="O432" i="12"/>
  <c r="P432" i="12" s="1"/>
  <c r="O468" i="12"/>
  <c r="P468" i="12" s="1"/>
  <c r="O391" i="12"/>
  <c r="P391" i="12" s="1"/>
  <c r="O427" i="12"/>
  <c r="P427" i="12" s="1"/>
  <c r="O463" i="12"/>
  <c r="P463" i="12" s="1"/>
  <c r="I431" i="12"/>
  <c r="J431" i="12" s="1"/>
  <c r="I467" i="12"/>
  <c r="J467" i="12" s="1"/>
  <c r="G555" i="12"/>
  <c r="H555" i="12" s="1"/>
  <c r="O435" i="12"/>
  <c r="P435" i="12" s="1"/>
  <c r="O471" i="12"/>
  <c r="P471" i="12" s="1"/>
  <c r="O551" i="12"/>
  <c r="P551" i="12" s="1"/>
  <c r="I498" i="12"/>
  <c r="J498" i="12" s="1"/>
  <c r="G537" i="12"/>
  <c r="H537" i="12" s="1"/>
  <c r="G518" i="12"/>
  <c r="H518" i="12" s="1"/>
  <c r="I544" i="12"/>
  <c r="J544" i="12" s="1"/>
  <c r="K551" i="12"/>
  <c r="K561" i="12"/>
  <c r="I587" i="12"/>
  <c r="J587" i="12" s="1"/>
  <c r="Q631" i="12"/>
  <c r="R631" i="12" s="1"/>
  <c r="M601" i="12"/>
  <c r="N601" i="12" s="1"/>
  <c r="G634" i="12"/>
  <c r="H634" i="12" s="1"/>
  <c r="Q684" i="12"/>
  <c r="R684" i="12" s="1"/>
  <c r="K697" i="12"/>
  <c r="Q765" i="12"/>
  <c r="R765" i="12" s="1"/>
  <c r="G782" i="12"/>
  <c r="H782" i="12" s="1"/>
  <c r="I821" i="12"/>
  <c r="J821" i="12" s="1"/>
  <c r="Q859" i="12"/>
  <c r="R859" i="12" s="1"/>
  <c r="Q842" i="12"/>
  <c r="R842" i="12" s="1"/>
  <c r="I861" i="12"/>
  <c r="J861" i="12" s="1"/>
  <c r="M893" i="12"/>
  <c r="N893" i="12" s="1"/>
  <c r="I939" i="12"/>
  <c r="J939" i="12" s="1"/>
  <c r="G977" i="12"/>
  <c r="H977" i="12" s="1"/>
  <c r="K999" i="12"/>
  <c r="O999" i="12"/>
  <c r="P999" i="12" s="1"/>
  <c r="G999" i="12"/>
  <c r="H999" i="12" s="1"/>
  <c r="M999" i="12"/>
  <c r="N999" i="12" s="1"/>
  <c r="I1000" i="12"/>
  <c r="J1000" i="12" s="1"/>
  <c r="M1000" i="12"/>
  <c r="N1000" i="12" s="1"/>
  <c r="Q1000" i="12"/>
  <c r="R1000" i="12" s="1"/>
  <c r="K1000" i="12"/>
  <c r="G1000" i="12"/>
  <c r="H1000" i="12" s="1"/>
  <c r="O1000" i="12"/>
  <c r="P1000" i="12" s="1"/>
  <c r="O970" i="12"/>
  <c r="P970" i="12" s="1"/>
  <c r="I970" i="12"/>
  <c r="J970" i="12" s="1"/>
  <c r="K970" i="12"/>
  <c r="Q970" i="12"/>
  <c r="R970" i="12" s="1"/>
  <c r="M970" i="12"/>
  <c r="N970" i="12" s="1"/>
  <c r="G972" i="12"/>
  <c r="H972" i="12" s="1"/>
  <c r="O972" i="12"/>
  <c r="P972" i="12" s="1"/>
  <c r="I972" i="12"/>
  <c r="J972" i="12" s="1"/>
  <c r="M972" i="12"/>
  <c r="N972" i="12" s="1"/>
  <c r="K972" i="12"/>
  <c r="Q972" i="12"/>
  <c r="R972" i="12" s="1"/>
  <c r="Q952" i="12"/>
  <c r="R952" i="12" s="1"/>
  <c r="K952" i="12"/>
  <c r="M952" i="12"/>
  <c r="N952" i="12" s="1"/>
  <c r="G952" i="12"/>
  <c r="H952" i="12" s="1"/>
  <c r="O952" i="12"/>
  <c r="P952" i="12" s="1"/>
  <c r="I952" i="12"/>
  <c r="J952" i="12" s="1"/>
  <c r="K947" i="12"/>
  <c r="M947" i="12"/>
  <c r="N947" i="12" s="1"/>
  <c r="O947" i="12"/>
  <c r="P947" i="12" s="1"/>
  <c r="G947" i="12"/>
  <c r="H947" i="12" s="1"/>
  <c r="Q947" i="12"/>
  <c r="R947" i="12" s="1"/>
  <c r="M950" i="12"/>
  <c r="N950" i="12" s="1"/>
  <c r="O950" i="12"/>
  <c r="P950" i="12" s="1"/>
  <c r="Q950" i="12"/>
  <c r="R950" i="12" s="1"/>
  <c r="K950" i="12"/>
  <c r="G950" i="12"/>
  <c r="H950" i="12" s="1"/>
  <c r="I950" i="12"/>
  <c r="J950" i="12" s="1"/>
  <c r="G887" i="12"/>
  <c r="H887" i="12" s="1"/>
  <c r="M887" i="12"/>
  <c r="N887" i="12" s="1"/>
  <c r="I887" i="12"/>
  <c r="J887" i="12" s="1"/>
  <c r="K887" i="12"/>
  <c r="Q887" i="12"/>
  <c r="R887" i="12" s="1"/>
  <c r="M862" i="12"/>
  <c r="N862" i="12" s="1"/>
  <c r="I862" i="12"/>
  <c r="J862" i="12" s="1"/>
  <c r="K862" i="12"/>
  <c r="Q862" i="12"/>
  <c r="R862" i="12" s="1"/>
  <c r="G862" i="12"/>
  <c r="H862" i="12" s="1"/>
  <c r="K823" i="12"/>
  <c r="I823" i="12"/>
  <c r="J823" i="12" s="1"/>
  <c r="G823" i="12"/>
  <c r="H823" i="12" s="1"/>
  <c r="Q823" i="12"/>
  <c r="R823" i="12" s="1"/>
  <c r="O823" i="12"/>
  <c r="P823" i="12" s="1"/>
  <c r="Q751" i="12"/>
  <c r="R751" i="12" s="1"/>
  <c r="I751" i="12"/>
  <c r="J751" i="12" s="1"/>
  <c r="G751" i="12"/>
  <c r="H751" i="12" s="1"/>
  <c r="O751" i="12"/>
  <c r="P751" i="12" s="1"/>
  <c r="K751" i="12"/>
  <c r="Q775" i="12"/>
  <c r="R775" i="12" s="1"/>
  <c r="M775" i="12"/>
  <c r="N775" i="12" s="1"/>
  <c r="I775" i="12"/>
  <c r="J775" i="12" s="1"/>
  <c r="O775" i="12"/>
  <c r="P775" i="12" s="1"/>
  <c r="G775" i="12"/>
  <c r="H775" i="12" s="1"/>
  <c r="K775" i="12"/>
  <c r="M758" i="12"/>
  <c r="N758" i="12" s="1"/>
  <c r="K758" i="12"/>
  <c r="O758" i="12"/>
  <c r="P758" i="12" s="1"/>
  <c r="G758" i="12"/>
  <c r="H758" i="12" s="1"/>
  <c r="Q758" i="12"/>
  <c r="R758" i="12" s="1"/>
  <c r="M708" i="12"/>
  <c r="N708" i="12" s="1"/>
  <c r="G708" i="12"/>
  <c r="H708" i="12" s="1"/>
  <c r="O708" i="12"/>
  <c r="P708" i="12" s="1"/>
  <c r="I708" i="12"/>
  <c r="J708" i="12" s="1"/>
  <c r="K708" i="12"/>
  <c r="Q708" i="12"/>
  <c r="R708" i="12" s="1"/>
  <c r="Q718" i="12"/>
  <c r="R718" i="12" s="1"/>
  <c r="K718" i="12"/>
  <c r="G718" i="12"/>
  <c r="H718" i="12" s="1"/>
  <c r="M718" i="12"/>
  <c r="N718" i="12" s="1"/>
  <c r="O718" i="12"/>
  <c r="P718" i="12" s="1"/>
  <c r="I718" i="12"/>
  <c r="J718" i="12" s="1"/>
  <c r="Q730" i="12"/>
  <c r="R730" i="12" s="1"/>
  <c r="K730" i="12"/>
  <c r="G730" i="12"/>
  <c r="H730" i="12" s="1"/>
  <c r="M730" i="12"/>
  <c r="N730" i="12" s="1"/>
  <c r="O730" i="12"/>
  <c r="P730" i="12" s="1"/>
  <c r="I730" i="12"/>
  <c r="J730" i="12" s="1"/>
  <c r="I687" i="12"/>
  <c r="J687" i="12" s="1"/>
  <c r="Q687" i="12"/>
  <c r="R687" i="12" s="1"/>
  <c r="G687" i="12"/>
  <c r="H687" i="12" s="1"/>
  <c r="O687" i="12"/>
  <c r="P687" i="12" s="1"/>
  <c r="K687" i="12"/>
  <c r="K661" i="12"/>
  <c r="O661" i="12"/>
  <c r="P661" i="12" s="1"/>
  <c r="I661" i="12"/>
  <c r="J661" i="12" s="1"/>
  <c r="G661" i="12"/>
  <c r="H661" i="12" s="1"/>
  <c r="M661" i="12"/>
  <c r="N661" i="12" s="1"/>
  <c r="M638" i="12"/>
  <c r="N638" i="12" s="1"/>
  <c r="K638" i="12"/>
  <c r="Q638" i="12"/>
  <c r="R638" i="12" s="1"/>
  <c r="O638" i="12"/>
  <c r="P638" i="12" s="1"/>
  <c r="M564" i="12"/>
  <c r="N564" i="12" s="1"/>
  <c r="I564" i="12"/>
  <c r="J564" i="12" s="1"/>
  <c r="O564" i="12"/>
  <c r="P564" i="12" s="1"/>
  <c r="G564" i="12"/>
  <c r="H564" i="12" s="1"/>
  <c r="M538" i="12"/>
  <c r="N538" i="12" s="1"/>
  <c r="I538" i="12"/>
  <c r="J538" i="12" s="1"/>
  <c r="K538" i="12"/>
  <c r="G538" i="12"/>
  <c r="H538" i="12" s="1"/>
  <c r="O538" i="12"/>
  <c r="P538" i="12" s="1"/>
  <c r="Q552" i="12"/>
  <c r="R552" i="12" s="1"/>
  <c r="G552" i="12"/>
  <c r="H552" i="12" s="1"/>
  <c r="M552" i="12"/>
  <c r="N552" i="12" s="1"/>
  <c r="O552" i="12"/>
  <c r="P552" i="12" s="1"/>
  <c r="K552" i="12"/>
  <c r="I552" i="12"/>
  <c r="J552" i="12" s="1"/>
  <c r="M515" i="12"/>
  <c r="N515" i="12" s="1"/>
  <c r="K515" i="12"/>
  <c r="O515" i="12"/>
  <c r="P515" i="12" s="1"/>
  <c r="Q474" i="12"/>
  <c r="R474" i="12" s="1"/>
  <c r="G474" i="12"/>
  <c r="H474" i="12" s="1"/>
  <c r="O474" i="12"/>
  <c r="P474" i="12" s="1"/>
  <c r="I474" i="12"/>
  <c r="J474" i="12" s="1"/>
  <c r="K474" i="12"/>
  <c r="M474" i="12"/>
  <c r="N474" i="12" s="1"/>
  <c r="G508" i="12"/>
  <c r="H508" i="12" s="1"/>
  <c r="K508" i="12"/>
  <c r="I508" i="12"/>
  <c r="J508" i="12" s="1"/>
  <c r="O508" i="12"/>
  <c r="P508" i="12" s="1"/>
  <c r="Q508" i="12"/>
  <c r="R508" i="12" s="1"/>
  <c r="O364" i="12"/>
  <c r="P364" i="12" s="1"/>
  <c r="Q364" i="12"/>
  <c r="R364" i="12" s="1"/>
  <c r="I364" i="12"/>
  <c r="J364" i="12" s="1"/>
  <c r="M337" i="12"/>
  <c r="N337" i="12" s="1"/>
  <c r="I337" i="12"/>
  <c r="J337" i="12" s="1"/>
  <c r="K337" i="12"/>
  <c r="K324" i="12"/>
  <c r="K271" i="12"/>
  <c r="O257" i="12"/>
  <c r="P257" i="12" s="1"/>
  <c r="I266" i="12"/>
  <c r="J266" i="12" s="1"/>
  <c r="I34" i="12"/>
  <c r="J34" i="12" s="1"/>
  <c r="Q141" i="12"/>
  <c r="R141" i="12" s="1"/>
  <c r="K85" i="12"/>
  <c r="O52" i="12"/>
  <c r="P52" i="12" s="1"/>
  <c r="K3" i="12"/>
  <c r="O47" i="12"/>
  <c r="P47" i="12" s="1"/>
  <c r="M4" i="12"/>
  <c r="N4" i="12" s="1"/>
  <c r="M16" i="12"/>
  <c r="N16" i="12" s="1"/>
  <c r="K28" i="12"/>
  <c r="K40" i="12"/>
  <c r="I86" i="12"/>
  <c r="J86" i="12" s="1"/>
  <c r="M120" i="12"/>
  <c r="N120" i="12" s="1"/>
  <c r="K90" i="12"/>
  <c r="K122" i="12"/>
  <c r="O10" i="12"/>
  <c r="P10" i="12" s="1"/>
  <c r="O22" i="12"/>
  <c r="P22" i="12" s="1"/>
  <c r="M34" i="12"/>
  <c r="N34" i="12" s="1"/>
  <c r="G56" i="12"/>
  <c r="H56" i="12" s="1"/>
  <c r="I116" i="12"/>
  <c r="J116" i="12" s="1"/>
  <c r="M90" i="12"/>
  <c r="N90" i="12" s="1"/>
  <c r="Q5" i="12"/>
  <c r="R5" i="12" s="1"/>
  <c r="Q17" i="12"/>
  <c r="R17" i="12" s="1"/>
  <c r="O29" i="12"/>
  <c r="P29" i="12" s="1"/>
  <c r="M41" i="12"/>
  <c r="N41" i="12" s="1"/>
  <c r="I67" i="12"/>
  <c r="J67" i="12" s="1"/>
  <c r="G5" i="12"/>
  <c r="H5" i="12" s="1"/>
  <c r="G17" i="12"/>
  <c r="H17" i="12" s="1"/>
  <c r="Q29" i="12"/>
  <c r="R29" i="12" s="1"/>
  <c r="O41" i="12"/>
  <c r="P41" i="12" s="1"/>
  <c r="Q93" i="12"/>
  <c r="R93" i="12" s="1"/>
  <c r="K67" i="12"/>
  <c r="I3" i="12"/>
  <c r="J3" i="12" s="1"/>
  <c r="I15" i="12"/>
  <c r="J15" i="12" s="1"/>
  <c r="G27" i="12"/>
  <c r="H27" i="12" s="1"/>
  <c r="Q82" i="12"/>
  <c r="R82" i="12" s="1"/>
  <c r="O128" i="12"/>
  <c r="P128" i="12" s="1"/>
  <c r="M127" i="12"/>
  <c r="N127" i="12" s="1"/>
  <c r="O124" i="12"/>
  <c r="P124" i="12" s="1"/>
  <c r="K152" i="12"/>
  <c r="G76" i="12"/>
  <c r="H76" i="12" s="1"/>
  <c r="G88" i="12"/>
  <c r="H88" i="12" s="1"/>
  <c r="G100" i="12"/>
  <c r="H100" i="12" s="1"/>
  <c r="G112" i="12"/>
  <c r="H112" i="12" s="1"/>
  <c r="I145" i="12"/>
  <c r="J145" i="12" s="1"/>
  <c r="G128" i="12"/>
  <c r="H128" i="12" s="1"/>
  <c r="O152" i="12"/>
  <c r="P152" i="12" s="1"/>
  <c r="K45" i="12"/>
  <c r="K57" i="12"/>
  <c r="K69" i="12"/>
  <c r="K81" i="12"/>
  <c r="K93" i="12"/>
  <c r="K105" i="12"/>
  <c r="K117" i="12"/>
  <c r="I192" i="12"/>
  <c r="J192" i="12" s="1"/>
  <c r="Q146" i="12"/>
  <c r="R146" i="12" s="1"/>
  <c r="K46" i="12"/>
  <c r="K58" i="12"/>
  <c r="K70" i="12"/>
  <c r="K82" i="12"/>
  <c r="K94" i="12"/>
  <c r="K106" i="12"/>
  <c r="K118" i="12"/>
  <c r="I153" i="12"/>
  <c r="J153" i="12" s="1"/>
  <c r="I150" i="12"/>
  <c r="J150" i="12" s="1"/>
  <c r="I42" i="12"/>
  <c r="J42" i="12" s="1"/>
  <c r="I54" i="12"/>
  <c r="J54" i="12" s="1"/>
  <c r="I66" i="12"/>
  <c r="J66" i="12" s="1"/>
  <c r="I78" i="12"/>
  <c r="J78" i="12" s="1"/>
  <c r="I90" i="12"/>
  <c r="J90" i="12" s="1"/>
  <c r="I102" i="12"/>
  <c r="J102" i="12" s="1"/>
  <c r="I114" i="12"/>
  <c r="J114" i="12" s="1"/>
  <c r="M236" i="12"/>
  <c r="N236" i="12" s="1"/>
  <c r="K203" i="12"/>
  <c r="I204" i="12"/>
  <c r="J204" i="12" s="1"/>
  <c r="I164" i="12"/>
  <c r="J164" i="12" s="1"/>
  <c r="O271" i="12"/>
  <c r="P271" i="12" s="1"/>
  <c r="I134" i="12"/>
  <c r="J134" i="12" s="1"/>
  <c r="I146" i="12"/>
  <c r="J146" i="12" s="1"/>
  <c r="I158" i="12"/>
  <c r="J158" i="12" s="1"/>
  <c r="G219" i="12"/>
  <c r="H219" i="12" s="1"/>
  <c r="I170" i="12"/>
  <c r="J170" i="12" s="1"/>
  <c r="Q200" i="12"/>
  <c r="R200" i="12" s="1"/>
  <c r="Q311" i="12"/>
  <c r="R311" i="12" s="1"/>
  <c r="O133" i="12"/>
  <c r="P133" i="12" s="1"/>
  <c r="O157" i="12"/>
  <c r="P157" i="12" s="1"/>
  <c r="K215" i="12"/>
  <c r="M272" i="12"/>
  <c r="N272" i="12" s="1"/>
  <c r="G166" i="12"/>
  <c r="H166" i="12" s="1"/>
  <c r="G178" i="12"/>
  <c r="H178" i="12" s="1"/>
  <c r="G190" i="12"/>
  <c r="H190" i="12" s="1"/>
  <c r="G202" i="12"/>
  <c r="H202" i="12" s="1"/>
  <c r="G214" i="12"/>
  <c r="H214" i="12" s="1"/>
  <c r="Q240" i="12"/>
  <c r="R240" i="12" s="1"/>
  <c r="Q174" i="12"/>
  <c r="R174" i="12" s="1"/>
  <c r="Q186" i="12"/>
  <c r="R186" i="12" s="1"/>
  <c r="Q210" i="12"/>
  <c r="R210" i="12" s="1"/>
  <c r="O277" i="12"/>
  <c r="P277" i="12" s="1"/>
  <c r="M283" i="12"/>
  <c r="N283" i="12" s="1"/>
  <c r="G168" i="12"/>
  <c r="H168" i="12" s="1"/>
  <c r="G180" i="12"/>
  <c r="H180" i="12" s="1"/>
  <c r="G192" i="12"/>
  <c r="H192" i="12" s="1"/>
  <c r="G204" i="12"/>
  <c r="H204" i="12" s="1"/>
  <c r="G216" i="12"/>
  <c r="H216" i="12" s="1"/>
  <c r="Q246" i="12"/>
  <c r="R246" i="12" s="1"/>
  <c r="K346" i="12"/>
  <c r="G232" i="12"/>
  <c r="H232" i="12" s="1"/>
  <c r="G316" i="12"/>
  <c r="H316" i="12" s="1"/>
  <c r="G164" i="12"/>
  <c r="H164" i="12" s="1"/>
  <c r="G176" i="12"/>
  <c r="H176" i="12" s="1"/>
  <c r="G188" i="12"/>
  <c r="H188" i="12" s="1"/>
  <c r="G200" i="12"/>
  <c r="H200" i="12" s="1"/>
  <c r="G212" i="12"/>
  <c r="H212" i="12" s="1"/>
  <c r="I232" i="12"/>
  <c r="J232" i="12" s="1"/>
  <c r="G298" i="12"/>
  <c r="H298" i="12" s="1"/>
  <c r="K279" i="12"/>
  <c r="K291" i="12"/>
  <c r="K303" i="12"/>
  <c r="K315" i="12"/>
  <c r="K327" i="12"/>
  <c r="K339" i="12"/>
  <c r="Q229" i="12"/>
  <c r="R229" i="12" s="1"/>
  <c r="Q241" i="12"/>
  <c r="R241" i="12" s="1"/>
  <c r="Q253" i="12"/>
  <c r="R253" i="12" s="1"/>
  <c r="Q277" i="12"/>
  <c r="R277" i="12" s="1"/>
  <c r="Q289" i="12"/>
  <c r="R289" i="12" s="1"/>
  <c r="Q301" i="12"/>
  <c r="R301" i="12" s="1"/>
  <c r="K333" i="12"/>
  <c r="Q230" i="12"/>
  <c r="R230" i="12" s="1"/>
  <c r="Q242" i="12"/>
  <c r="R242" i="12" s="1"/>
  <c r="Q254" i="12"/>
  <c r="R254" i="12" s="1"/>
  <c r="Q266" i="12"/>
  <c r="R266" i="12" s="1"/>
  <c r="Q278" i="12"/>
  <c r="R278" i="12" s="1"/>
  <c r="Q290" i="12"/>
  <c r="R290" i="12" s="1"/>
  <c r="Q302" i="12"/>
  <c r="R302" i="12" s="1"/>
  <c r="Q314" i="12"/>
  <c r="R314" i="12" s="1"/>
  <c r="I334" i="12"/>
  <c r="J334" i="12" s="1"/>
  <c r="I229" i="12"/>
  <c r="J229" i="12" s="1"/>
  <c r="I241" i="12"/>
  <c r="J241" i="12" s="1"/>
  <c r="I277" i="12"/>
  <c r="J277" i="12" s="1"/>
  <c r="I289" i="12"/>
  <c r="J289" i="12" s="1"/>
  <c r="I301" i="12"/>
  <c r="J301" i="12" s="1"/>
  <c r="O316" i="12"/>
  <c r="P316" i="12" s="1"/>
  <c r="G249" i="12"/>
  <c r="H249" i="12" s="1"/>
  <c r="G273" i="12"/>
  <c r="H273" i="12" s="1"/>
  <c r="G297" i="12"/>
  <c r="H297" i="12" s="1"/>
  <c r="G321" i="12"/>
  <c r="H321" i="12" s="1"/>
  <c r="K362" i="12"/>
  <c r="O380" i="12"/>
  <c r="P380" i="12" s="1"/>
  <c r="M401" i="12"/>
  <c r="N401" i="12" s="1"/>
  <c r="I387" i="12"/>
  <c r="J387" i="12" s="1"/>
  <c r="G346" i="12"/>
  <c r="H346" i="12" s="1"/>
  <c r="M354" i="12"/>
  <c r="N354" i="12" s="1"/>
  <c r="K373" i="12"/>
  <c r="Q399" i="12"/>
  <c r="R399" i="12" s="1"/>
  <c r="G393" i="12"/>
  <c r="H393" i="12" s="1"/>
  <c r="G422" i="12"/>
  <c r="H422" i="12" s="1"/>
  <c r="G491" i="12"/>
  <c r="H491" i="12" s="1"/>
  <c r="G337" i="12"/>
  <c r="H337" i="12" s="1"/>
  <c r="M364" i="12"/>
  <c r="N364" i="12" s="1"/>
  <c r="G391" i="12"/>
  <c r="H391" i="12" s="1"/>
  <c r="I331" i="12"/>
  <c r="J331" i="12" s="1"/>
  <c r="Q357" i="12"/>
  <c r="R357" i="12" s="1"/>
  <c r="K395" i="12"/>
  <c r="O473" i="12"/>
  <c r="P473" i="12" s="1"/>
  <c r="M397" i="12"/>
  <c r="N397" i="12" s="1"/>
  <c r="M433" i="12"/>
  <c r="N433" i="12" s="1"/>
  <c r="M392" i="12"/>
  <c r="N392" i="12" s="1"/>
  <c r="M428" i="12"/>
  <c r="N428" i="12" s="1"/>
  <c r="M464" i="12"/>
  <c r="N464" i="12" s="1"/>
  <c r="G432" i="12"/>
  <c r="H432" i="12" s="1"/>
  <c r="M400" i="12"/>
  <c r="N400" i="12" s="1"/>
  <c r="M436" i="12"/>
  <c r="N436" i="12" s="1"/>
  <c r="M472" i="12"/>
  <c r="N472" i="12" s="1"/>
  <c r="O522" i="12"/>
  <c r="P522" i="12" s="1"/>
  <c r="K564" i="12"/>
  <c r="I515" i="12"/>
  <c r="J515" i="12" s="1"/>
  <c r="G499" i="12"/>
  <c r="H499" i="12" s="1"/>
  <c r="Q519" i="12"/>
  <c r="R519" i="12" s="1"/>
  <c r="M539" i="12"/>
  <c r="N539" i="12" s="1"/>
  <c r="O547" i="12"/>
  <c r="P547" i="12" s="1"/>
  <c r="Q554" i="12"/>
  <c r="R554" i="12" s="1"/>
  <c r="Q564" i="12"/>
  <c r="R564" i="12" s="1"/>
  <c r="O634" i="12"/>
  <c r="P634" i="12" s="1"/>
  <c r="M613" i="12"/>
  <c r="N613" i="12" s="1"/>
  <c r="G646" i="12"/>
  <c r="H646" i="12" s="1"/>
  <c r="Q721" i="12"/>
  <c r="R721" i="12" s="1"/>
  <c r="I758" i="12"/>
  <c r="J758" i="12" s="1"/>
  <c r="G796" i="12"/>
  <c r="H796" i="12" s="1"/>
  <c r="O820" i="12"/>
  <c r="P820" i="12" s="1"/>
  <c r="O887" i="12"/>
  <c r="P887" i="12" s="1"/>
  <c r="I918" i="12"/>
  <c r="J918" i="12" s="1"/>
  <c r="K907" i="12"/>
  <c r="I941" i="12"/>
  <c r="J941" i="12" s="1"/>
  <c r="Q992" i="12"/>
  <c r="R992" i="12" s="1"/>
  <c r="K951" i="12"/>
  <c r="G951" i="12"/>
  <c r="H951" i="12" s="1"/>
  <c r="M951" i="12"/>
  <c r="N951" i="12" s="1"/>
  <c r="O951" i="12"/>
  <c r="P951" i="12" s="1"/>
  <c r="I951" i="12"/>
  <c r="J951" i="12" s="1"/>
  <c r="Q951" i="12"/>
  <c r="R951" i="12" s="1"/>
  <c r="G888" i="12"/>
  <c r="H888" i="12" s="1"/>
  <c r="K888" i="12"/>
  <c r="M888" i="12"/>
  <c r="N888" i="12" s="1"/>
  <c r="Q888" i="12"/>
  <c r="R888" i="12" s="1"/>
  <c r="I888" i="12"/>
  <c r="J888" i="12" s="1"/>
  <c r="O888" i="12"/>
  <c r="P888" i="12" s="1"/>
  <c r="K884" i="12"/>
  <c r="I884" i="12"/>
  <c r="J884" i="12" s="1"/>
  <c r="O884" i="12"/>
  <c r="P884" i="12" s="1"/>
  <c r="Q884" i="12"/>
  <c r="R884" i="12" s="1"/>
  <c r="M884" i="12"/>
  <c r="N884" i="12" s="1"/>
  <c r="G884" i="12"/>
  <c r="H884" i="12" s="1"/>
  <c r="Q869" i="12"/>
  <c r="R869" i="12" s="1"/>
  <c r="K869" i="12"/>
  <c r="O869" i="12"/>
  <c r="P869" i="12" s="1"/>
  <c r="I869" i="12"/>
  <c r="J869" i="12" s="1"/>
  <c r="M850" i="12"/>
  <c r="N850" i="12" s="1"/>
  <c r="I850" i="12"/>
  <c r="J850" i="12" s="1"/>
  <c r="K850" i="12"/>
  <c r="Q850" i="12"/>
  <c r="R850" i="12" s="1"/>
  <c r="G850" i="12"/>
  <c r="H850" i="12" s="1"/>
  <c r="O889" i="12"/>
  <c r="P889" i="12" s="1"/>
  <c r="I889" i="12"/>
  <c r="J889" i="12" s="1"/>
  <c r="Q889" i="12"/>
  <c r="R889" i="12" s="1"/>
  <c r="G889" i="12"/>
  <c r="H889" i="12" s="1"/>
  <c r="K889" i="12"/>
  <c r="Q856" i="12"/>
  <c r="R856" i="12" s="1"/>
  <c r="G856" i="12"/>
  <c r="H856" i="12" s="1"/>
  <c r="O856" i="12"/>
  <c r="P856" i="12" s="1"/>
  <c r="M856" i="12"/>
  <c r="N856" i="12" s="1"/>
  <c r="K856" i="12"/>
  <c r="G829" i="12"/>
  <c r="H829" i="12" s="1"/>
  <c r="O829" i="12"/>
  <c r="P829" i="12" s="1"/>
  <c r="M829" i="12"/>
  <c r="N829" i="12" s="1"/>
  <c r="K829" i="12"/>
  <c r="Q829" i="12"/>
  <c r="R829" i="12" s="1"/>
  <c r="O801" i="12"/>
  <c r="P801" i="12" s="1"/>
  <c r="M801" i="12"/>
  <c r="N801" i="12" s="1"/>
  <c r="I801" i="12"/>
  <c r="J801" i="12" s="1"/>
  <c r="Q801" i="12"/>
  <c r="R801" i="12" s="1"/>
  <c r="K801" i="12"/>
  <c r="O825" i="12"/>
  <c r="P825" i="12" s="1"/>
  <c r="M825" i="12"/>
  <c r="N825" i="12" s="1"/>
  <c r="Q825" i="12"/>
  <c r="R825" i="12" s="1"/>
  <c r="I825" i="12"/>
  <c r="J825" i="12" s="1"/>
  <c r="K702" i="12"/>
  <c r="Q702" i="12"/>
  <c r="R702" i="12" s="1"/>
  <c r="M702" i="12"/>
  <c r="N702" i="12" s="1"/>
  <c r="G702" i="12"/>
  <c r="H702" i="12" s="1"/>
  <c r="O702" i="12"/>
  <c r="P702" i="12" s="1"/>
  <c r="O707" i="12"/>
  <c r="P707" i="12" s="1"/>
  <c r="Q707" i="12"/>
  <c r="R707" i="12" s="1"/>
  <c r="I707" i="12"/>
  <c r="J707" i="12" s="1"/>
  <c r="K707" i="12"/>
  <c r="M707" i="12"/>
  <c r="N707" i="12" s="1"/>
  <c r="G707" i="12"/>
  <c r="H707" i="12" s="1"/>
  <c r="M736" i="12"/>
  <c r="N736" i="12" s="1"/>
  <c r="O736" i="12"/>
  <c r="P736" i="12" s="1"/>
  <c r="I736" i="12"/>
  <c r="J736" i="12" s="1"/>
  <c r="Q736" i="12"/>
  <c r="R736" i="12" s="1"/>
  <c r="K737" i="12"/>
  <c r="M737" i="12"/>
  <c r="N737" i="12" s="1"/>
  <c r="G737" i="12"/>
  <c r="H737" i="12" s="1"/>
  <c r="O737" i="12"/>
  <c r="P737" i="12" s="1"/>
  <c r="Q737" i="12"/>
  <c r="R737" i="12" s="1"/>
  <c r="I737" i="12"/>
  <c r="J737" i="12" s="1"/>
  <c r="Q685" i="12"/>
  <c r="R685" i="12" s="1"/>
  <c r="I685" i="12"/>
  <c r="J685" i="12" s="1"/>
  <c r="G685" i="12"/>
  <c r="H685" i="12" s="1"/>
  <c r="K685" i="12"/>
  <c r="M685" i="12"/>
  <c r="N685" i="12" s="1"/>
  <c r="O685" i="12"/>
  <c r="P685" i="12" s="1"/>
  <c r="O624" i="12"/>
  <c r="P624" i="12" s="1"/>
  <c r="I624" i="12"/>
  <c r="J624" i="12" s="1"/>
  <c r="M624" i="12"/>
  <c r="N624" i="12" s="1"/>
  <c r="G624" i="12"/>
  <c r="H624" i="12" s="1"/>
  <c r="Q624" i="12"/>
  <c r="R624" i="12" s="1"/>
  <c r="O559" i="12"/>
  <c r="P559" i="12" s="1"/>
  <c r="M559" i="12"/>
  <c r="N559" i="12" s="1"/>
  <c r="Q559" i="12"/>
  <c r="R559" i="12" s="1"/>
  <c r="K559" i="12"/>
  <c r="I559" i="12"/>
  <c r="J559" i="12" s="1"/>
  <c r="M572" i="12"/>
  <c r="N572" i="12" s="1"/>
  <c r="O572" i="12"/>
  <c r="P572" i="12" s="1"/>
  <c r="K572" i="12"/>
  <c r="Q572" i="12"/>
  <c r="R572" i="12" s="1"/>
  <c r="I572" i="12"/>
  <c r="J572" i="12" s="1"/>
  <c r="Q475" i="12"/>
  <c r="R475" i="12" s="1"/>
  <c r="M475" i="12"/>
  <c r="N475" i="12" s="1"/>
  <c r="K475" i="12"/>
  <c r="I475" i="12"/>
  <c r="J475" i="12" s="1"/>
  <c r="M491" i="12"/>
  <c r="N491" i="12" s="1"/>
  <c r="O491" i="12"/>
  <c r="P491" i="12" s="1"/>
  <c r="K491" i="12"/>
  <c r="I405" i="12"/>
  <c r="J405" i="12" s="1"/>
  <c r="G405" i="12"/>
  <c r="H405" i="12" s="1"/>
  <c r="Q405" i="12"/>
  <c r="R405" i="12" s="1"/>
  <c r="O405" i="12"/>
  <c r="P405" i="12" s="1"/>
  <c r="K405" i="12"/>
  <c r="M501" i="12"/>
  <c r="N501" i="12" s="1"/>
  <c r="K501" i="12"/>
  <c r="G501" i="12"/>
  <c r="H501" i="12" s="1"/>
  <c r="Q501" i="12"/>
  <c r="R501" i="12" s="1"/>
  <c r="O501" i="12"/>
  <c r="P501" i="12" s="1"/>
  <c r="Q450" i="12"/>
  <c r="R450" i="12" s="1"/>
  <c r="G450" i="12"/>
  <c r="H450" i="12" s="1"/>
  <c r="O450" i="12"/>
  <c r="P450" i="12" s="1"/>
  <c r="I450" i="12"/>
  <c r="J450" i="12" s="1"/>
  <c r="M375" i="12"/>
  <c r="N375" i="12" s="1"/>
  <c r="Q375" i="12"/>
  <c r="R375" i="12" s="1"/>
  <c r="K375" i="12"/>
  <c r="I375" i="12"/>
  <c r="J375" i="12" s="1"/>
  <c r="K61" i="12"/>
  <c r="K114" i="12"/>
  <c r="I55" i="12"/>
  <c r="J55" i="12" s="1"/>
  <c r="O70" i="12"/>
  <c r="P70" i="12" s="1"/>
  <c r="K7" i="12"/>
  <c r="K50" i="12"/>
  <c r="M5" i="12"/>
  <c r="N5" i="12" s="1"/>
  <c r="M17" i="12"/>
  <c r="N17" i="12" s="1"/>
  <c r="K29" i="12"/>
  <c r="I41" i="12"/>
  <c r="J41" i="12" s="1"/>
  <c r="Q88" i="12"/>
  <c r="R88" i="12" s="1"/>
  <c r="I121" i="12"/>
  <c r="J121" i="12" s="1"/>
  <c r="I91" i="12"/>
  <c r="J91" i="12" s="1"/>
  <c r="O150" i="12"/>
  <c r="P150" i="12" s="1"/>
  <c r="O11" i="12"/>
  <c r="P11" i="12" s="1"/>
  <c r="O23" i="12"/>
  <c r="P23" i="12" s="1"/>
  <c r="M35" i="12"/>
  <c r="N35" i="12" s="1"/>
  <c r="Q65" i="12"/>
  <c r="R65" i="12" s="1"/>
  <c r="M119" i="12"/>
  <c r="N119" i="12" s="1"/>
  <c r="K91" i="12"/>
  <c r="Q6" i="12"/>
  <c r="R6" i="12" s="1"/>
  <c r="Q18" i="12"/>
  <c r="R18" i="12" s="1"/>
  <c r="O30" i="12"/>
  <c r="P30" i="12" s="1"/>
  <c r="M42" i="12"/>
  <c r="N42" i="12" s="1"/>
  <c r="O101" i="12"/>
  <c r="P101" i="12" s="1"/>
  <c r="K78" i="12"/>
  <c r="G6" i="12"/>
  <c r="H6" i="12" s="1"/>
  <c r="G18" i="12"/>
  <c r="H18" i="12" s="1"/>
  <c r="Q30" i="12"/>
  <c r="R30" i="12" s="1"/>
  <c r="O94" i="12"/>
  <c r="P94" i="12" s="1"/>
  <c r="M78" i="12"/>
  <c r="N78" i="12" s="1"/>
  <c r="I4" i="12"/>
  <c r="J4" i="12" s="1"/>
  <c r="I16" i="12"/>
  <c r="J16" i="12" s="1"/>
  <c r="G28" i="12"/>
  <c r="H28" i="12" s="1"/>
  <c r="G40" i="12"/>
  <c r="H40" i="12" s="1"/>
  <c r="M83" i="12"/>
  <c r="N83" i="12" s="1"/>
  <c r="M131" i="12"/>
  <c r="N131" i="12" s="1"/>
  <c r="Q128" i="12"/>
  <c r="R128" i="12" s="1"/>
  <c r="K126" i="12"/>
  <c r="M157" i="12"/>
  <c r="N157" i="12" s="1"/>
  <c r="Q77" i="12"/>
  <c r="R77" i="12" s="1"/>
  <c r="Q89" i="12"/>
  <c r="R89" i="12" s="1"/>
  <c r="Q113" i="12"/>
  <c r="R113" i="12" s="1"/>
  <c r="Q147" i="12"/>
  <c r="R147" i="12" s="1"/>
  <c r="O130" i="12"/>
  <c r="P130" i="12" s="1"/>
  <c r="I46" i="12"/>
  <c r="J46" i="12" s="1"/>
  <c r="I58" i="12"/>
  <c r="J58" i="12" s="1"/>
  <c r="I70" i="12"/>
  <c r="J70" i="12" s="1"/>
  <c r="I82" i="12"/>
  <c r="J82" i="12" s="1"/>
  <c r="I94" i="12"/>
  <c r="J94" i="12" s="1"/>
  <c r="I106" i="12"/>
  <c r="J106" i="12" s="1"/>
  <c r="I118" i="12"/>
  <c r="J118" i="12" s="1"/>
  <c r="Q122" i="12"/>
  <c r="R122" i="12" s="1"/>
  <c r="K148" i="12"/>
  <c r="I47" i="12"/>
  <c r="J47" i="12" s="1"/>
  <c r="I71" i="12"/>
  <c r="J71" i="12" s="1"/>
  <c r="I83" i="12"/>
  <c r="J83" i="12" s="1"/>
  <c r="I95" i="12"/>
  <c r="J95" i="12" s="1"/>
  <c r="I107" i="12"/>
  <c r="J107" i="12" s="1"/>
  <c r="I119" i="12"/>
  <c r="J119" i="12" s="1"/>
  <c r="K155" i="12"/>
  <c r="M151" i="12"/>
  <c r="N151" i="12" s="1"/>
  <c r="G55" i="12"/>
  <c r="H55" i="12" s="1"/>
  <c r="G67" i="12"/>
  <c r="H67" i="12" s="1"/>
  <c r="G91" i="12"/>
  <c r="H91" i="12" s="1"/>
  <c r="G103" i="12"/>
  <c r="H103" i="12" s="1"/>
  <c r="G115" i="12"/>
  <c r="H115" i="12" s="1"/>
  <c r="Q196" i="12"/>
  <c r="R196" i="12" s="1"/>
  <c r="Q188" i="12"/>
  <c r="R188" i="12" s="1"/>
  <c r="G213" i="12"/>
  <c r="H213" i="12" s="1"/>
  <c r="O207" i="12"/>
  <c r="P207" i="12" s="1"/>
  <c r="Q166" i="12"/>
  <c r="R166" i="12" s="1"/>
  <c r="G135" i="12"/>
  <c r="H135" i="12" s="1"/>
  <c r="G147" i="12"/>
  <c r="H147" i="12" s="1"/>
  <c r="G159" i="12"/>
  <c r="H159" i="12" s="1"/>
  <c r="O209" i="12"/>
  <c r="P209" i="12" s="1"/>
  <c r="M134" i="12"/>
  <c r="N134" i="12" s="1"/>
  <c r="M146" i="12"/>
  <c r="N146" i="12" s="1"/>
  <c r="M158" i="12"/>
  <c r="N158" i="12" s="1"/>
  <c r="M224" i="12"/>
  <c r="N224" i="12" s="1"/>
  <c r="K273" i="12"/>
  <c r="Q167" i="12"/>
  <c r="R167" i="12" s="1"/>
  <c r="Q179" i="12"/>
  <c r="R179" i="12" s="1"/>
  <c r="Q203" i="12"/>
  <c r="R203" i="12" s="1"/>
  <c r="M241" i="12"/>
  <c r="N241" i="12" s="1"/>
  <c r="O163" i="12"/>
  <c r="P163" i="12" s="1"/>
  <c r="O175" i="12"/>
  <c r="P175" i="12" s="1"/>
  <c r="O199" i="12"/>
  <c r="P199" i="12" s="1"/>
  <c r="G226" i="12"/>
  <c r="H226" i="12" s="1"/>
  <c r="M289" i="12"/>
  <c r="N289" i="12" s="1"/>
  <c r="O288" i="12"/>
  <c r="P288" i="12" s="1"/>
  <c r="Q181" i="12"/>
  <c r="R181" i="12" s="1"/>
  <c r="Q193" i="12"/>
  <c r="R193" i="12" s="1"/>
  <c r="Q217" i="12"/>
  <c r="R217" i="12" s="1"/>
  <c r="K230" i="12"/>
  <c r="O234" i="12"/>
  <c r="P234" i="12" s="1"/>
  <c r="O324" i="12"/>
  <c r="P324" i="12" s="1"/>
  <c r="Q165" i="12"/>
  <c r="R165" i="12" s="1"/>
  <c r="Q177" i="12"/>
  <c r="R177" i="12" s="1"/>
  <c r="Q201" i="12"/>
  <c r="R201" i="12" s="1"/>
  <c r="Q213" i="12"/>
  <c r="R213" i="12" s="1"/>
  <c r="Q234" i="12"/>
  <c r="R234" i="12" s="1"/>
  <c r="G328" i="12"/>
  <c r="H328" i="12" s="1"/>
  <c r="I280" i="12"/>
  <c r="J280" i="12" s="1"/>
  <c r="I292" i="12"/>
  <c r="J292" i="12" s="1"/>
  <c r="I304" i="12"/>
  <c r="J304" i="12" s="1"/>
  <c r="I316" i="12"/>
  <c r="J316" i="12" s="1"/>
  <c r="I328" i="12"/>
  <c r="J328" i="12" s="1"/>
  <c r="I341" i="12"/>
  <c r="J341" i="12" s="1"/>
  <c r="O230" i="12"/>
  <c r="P230" i="12" s="1"/>
  <c r="O242" i="12"/>
  <c r="P242" i="12" s="1"/>
  <c r="O254" i="12"/>
  <c r="P254" i="12" s="1"/>
  <c r="O266" i="12"/>
  <c r="P266" i="12" s="1"/>
  <c r="O278" i="12"/>
  <c r="P278" i="12" s="1"/>
  <c r="O290" i="12"/>
  <c r="P290" i="12" s="1"/>
  <c r="O302" i="12"/>
  <c r="P302" i="12" s="1"/>
  <c r="O231" i="12"/>
  <c r="P231" i="12" s="1"/>
  <c r="O243" i="12"/>
  <c r="P243" i="12" s="1"/>
  <c r="O255" i="12"/>
  <c r="P255" i="12" s="1"/>
  <c r="O267" i="12"/>
  <c r="P267" i="12" s="1"/>
  <c r="O279" i="12"/>
  <c r="P279" i="12" s="1"/>
  <c r="O291" i="12"/>
  <c r="P291" i="12" s="1"/>
  <c r="O303" i="12"/>
  <c r="P303" i="12" s="1"/>
  <c r="O315" i="12"/>
  <c r="P315" i="12" s="1"/>
  <c r="O327" i="12"/>
  <c r="P327" i="12" s="1"/>
  <c r="O336" i="12"/>
  <c r="P336" i="12" s="1"/>
  <c r="G242" i="12"/>
  <c r="H242" i="12" s="1"/>
  <c r="G254" i="12"/>
  <c r="H254" i="12" s="1"/>
  <c r="G266" i="12"/>
  <c r="H266" i="12" s="1"/>
  <c r="G290" i="12"/>
  <c r="H290" i="12" s="1"/>
  <c r="M317" i="12"/>
  <c r="N317" i="12" s="1"/>
  <c r="Q250" i="12"/>
  <c r="R250" i="12" s="1"/>
  <c r="Q298" i="12"/>
  <c r="R298" i="12" s="1"/>
  <c r="Q322" i="12"/>
  <c r="R322" i="12" s="1"/>
  <c r="G364" i="12"/>
  <c r="H364" i="12" s="1"/>
  <c r="G377" i="12"/>
  <c r="H377" i="12" s="1"/>
  <c r="G384" i="12"/>
  <c r="H384" i="12" s="1"/>
  <c r="K415" i="12"/>
  <c r="Q349" i="12"/>
  <c r="R349" i="12" s="1"/>
  <c r="G375" i="12"/>
  <c r="H375" i="12" s="1"/>
  <c r="M419" i="12"/>
  <c r="N419" i="12" s="1"/>
  <c r="O424" i="12"/>
  <c r="P424" i="12" s="1"/>
  <c r="O339" i="12"/>
  <c r="P339" i="12" s="1"/>
  <c r="K365" i="12"/>
  <c r="G332" i="12"/>
  <c r="H332" i="12" s="1"/>
  <c r="M359" i="12"/>
  <c r="N359" i="12" s="1"/>
  <c r="M408" i="12"/>
  <c r="N408" i="12" s="1"/>
  <c r="I476" i="12"/>
  <c r="J476" i="12" s="1"/>
  <c r="G436" i="12"/>
  <c r="H436" i="12" s="1"/>
  <c r="G395" i="12"/>
  <c r="H395" i="12" s="1"/>
  <c r="G431" i="12"/>
  <c r="H431" i="12" s="1"/>
  <c r="G467" i="12"/>
  <c r="H467" i="12" s="1"/>
  <c r="I501" i="12"/>
  <c r="J501" i="12" s="1"/>
  <c r="M435" i="12"/>
  <c r="N435" i="12" s="1"/>
  <c r="M471" i="12"/>
  <c r="N471" i="12" s="1"/>
  <c r="G403" i="12"/>
  <c r="H403" i="12" s="1"/>
  <c r="G439" i="12"/>
  <c r="H439" i="12" s="1"/>
  <c r="G475" i="12"/>
  <c r="H475" i="12" s="1"/>
  <c r="K525" i="12"/>
  <c r="O518" i="12"/>
  <c r="P518" i="12" s="1"/>
  <c r="M502" i="12"/>
  <c r="N502" i="12" s="1"/>
  <c r="G560" i="12"/>
  <c r="H560" i="12" s="1"/>
  <c r="K522" i="12"/>
  <c r="I547" i="12"/>
  <c r="J547" i="12" s="1"/>
  <c r="I556" i="12"/>
  <c r="J556" i="12" s="1"/>
  <c r="Q609" i="12"/>
  <c r="R609" i="12" s="1"/>
  <c r="O676" i="12"/>
  <c r="P676" i="12" s="1"/>
  <c r="G658" i="12"/>
  <c r="H658" i="12" s="1"/>
  <c r="O747" i="12"/>
  <c r="P747" i="12" s="1"/>
  <c r="M768" i="12"/>
  <c r="N768" i="12" s="1"/>
  <c r="I796" i="12"/>
  <c r="J796" i="12" s="1"/>
  <c r="K821" i="12"/>
  <c r="G813" i="12"/>
  <c r="H813" i="12" s="1"/>
  <c r="I866" i="12"/>
  <c r="J866" i="12" s="1"/>
  <c r="M879" i="12"/>
  <c r="N879" i="12" s="1"/>
  <c r="G883" i="12"/>
  <c r="H883" i="12" s="1"/>
  <c r="K966" i="12"/>
  <c r="Q999" i="12"/>
  <c r="R999" i="12" s="1"/>
  <c r="I961" i="12"/>
  <c r="J961" i="12" s="1"/>
  <c r="K961" i="12"/>
  <c r="O961" i="12"/>
  <c r="P961" i="12" s="1"/>
  <c r="M961" i="12"/>
  <c r="N961" i="12" s="1"/>
  <c r="Q961" i="12"/>
  <c r="R961" i="12" s="1"/>
  <c r="G961" i="12"/>
  <c r="H961" i="12" s="1"/>
  <c r="Q937" i="12"/>
  <c r="R937" i="12" s="1"/>
  <c r="I937" i="12"/>
  <c r="J937" i="12" s="1"/>
  <c r="G937" i="12"/>
  <c r="H937" i="12" s="1"/>
  <c r="O937" i="12"/>
  <c r="P937" i="12" s="1"/>
  <c r="M937" i="12"/>
  <c r="N937" i="12" s="1"/>
  <c r="O933" i="12"/>
  <c r="P933" i="12" s="1"/>
  <c r="G933" i="12"/>
  <c r="H933" i="12" s="1"/>
  <c r="M933" i="12"/>
  <c r="N933" i="12" s="1"/>
  <c r="Q933" i="12"/>
  <c r="R933" i="12" s="1"/>
  <c r="K933" i="12"/>
  <c r="O755" i="12"/>
  <c r="P755" i="12" s="1"/>
  <c r="G755" i="12"/>
  <c r="H755" i="12" s="1"/>
  <c r="K755" i="12"/>
  <c r="Q755" i="12"/>
  <c r="R755" i="12" s="1"/>
  <c r="I755" i="12"/>
  <c r="J755" i="12" s="1"/>
  <c r="K701" i="12"/>
  <c r="M701" i="12"/>
  <c r="N701" i="12" s="1"/>
  <c r="G701" i="12"/>
  <c r="H701" i="12" s="1"/>
  <c r="I701" i="12"/>
  <c r="J701" i="12" s="1"/>
  <c r="O701" i="12"/>
  <c r="P701" i="12" s="1"/>
  <c r="Q701" i="12"/>
  <c r="R701" i="12" s="1"/>
  <c r="M656" i="12"/>
  <c r="N656" i="12" s="1"/>
  <c r="K656" i="12"/>
  <c r="O656" i="12"/>
  <c r="P656" i="12" s="1"/>
  <c r="I656" i="12"/>
  <c r="J656" i="12" s="1"/>
  <c r="G656" i="12"/>
  <c r="H656" i="12" s="1"/>
  <c r="K725" i="12"/>
  <c r="M725" i="12"/>
  <c r="N725" i="12" s="1"/>
  <c r="G725" i="12"/>
  <c r="H725" i="12" s="1"/>
  <c r="O725" i="12"/>
  <c r="P725" i="12" s="1"/>
  <c r="I725" i="12"/>
  <c r="J725" i="12" s="1"/>
  <c r="Q725" i="12"/>
  <c r="R725" i="12" s="1"/>
  <c r="M689" i="12"/>
  <c r="N689" i="12" s="1"/>
  <c r="K689" i="12"/>
  <c r="O689" i="12"/>
  <c r="P689" i="12" s="1"/>
  <c r="Q689" i="12"/>
  <c r="R689" i="12" s="1"/>
  <c r="G689" i="12"/>
  <c r="H689" i="12" s="1"/>
  <c r="I689" i="12"/>
  <c r="J689" i="12" s="1"/>
  <c r="I655" i="12"/>
  <c r="J655" i="12" s="1"/>
  <c r="M655" i="12"/>
  <c r="N655" i="12" s="1"/>
  <c r="Q655" i="12"/>
  <c r="R655" i="12" s="1"/>
  <c r="O655" i="12"/>
  <c r="P655" i="12" s="1"/>
  <c r="K655" i="12"/>
  <c r="G655" i="12"/>
  <c r="H655" i="12" s="1"/>
  <c r="O602" i="12"/>
  <c r="P602" i="12" s="1"/>
  <c r="Q602" i="12"/>
  <c r="R602" i="12" s="1"/>
  <c r="I602" i="12"/>
  <c r="J602" i="12" s="1"/>
  <c r="M602" i="12"/>
  <c r="N602" i="12" s="1"/>
  <c r="G602" i="12"/>
  <c r="H602" i="12" s="1"/>
  <c r="K602" i="12"/>
  <c r="G579" i="12"/>
  <c r="H579" i="12" s="1"/>
  <c r="O579" i="12"/>
  <c r="P579" i="12" s="1"/>
  <c r="K579" i="12"/>
  <c r="I579" i="12"/>
  <c r="J579" i="12" s="1"/>
  <c r="Q579" i="12"/>
  <c r="R579" i="12" s="1"/>
  <c r="M579" i="12"/>
  <c r="N579" i="12" s="1"/>
  <c r="I545" i="12"/>
  <c r="J545" i="12" s="1"/>
  <c r="Q545" i="12"/>
  <c r="R545" i="12" s="1"/>
  <c r="M545" i="12"/>
  <c r="N545" i="12" s="1"/>
  <c r="K545" i="12"/>
  <c r="O545" i="12"/>
  <c r="P545" i="12" s="1"/>
  <c r="G545" i="12"/>
  <c r="H545" i="12" s="1"/>
  <c r="G539" i="12"/>
  <c r="H539" i="12" s="1"/>
  <c r="I539" i="12"/>
  <c r="J539" i="12" s="1"/>
  <c r="K532" i="12"/>
  <c r="G532" i="12"/>
  <c r="H532" i="12" s="1"/>
  <c r="M532" i="12"/>
  <c r="N532" i="12" s="1"/>
  <c r="Q532" i="12"/>
  <c r="R532" i="12" s="1"/>
  <c r="O532" i="12"/>
  <c r="P532" i="12" s="1"/>
  <c r="I489" i="12"/>
  <c r="J489" i="12" s="1"/>
  <c r="K489" i="12"/>
  <c r="Q489" i="12"/>
  <c r="R489" i="12" s="1"/>
  <c r="O489" i="12"/>
  <c r="P489" i="12" s="1"/>
  <c r="G423" i="12"/>
  <c r="H423" i="12" s="1"/>
  <c r="Q423" i="12"/>
  <c r="R423" i="12" s="1"/>
  <c r="K423" i="12"/>
  <c r="I423" i="12"/>
  <c r="J423" i="12" s="1"/>
  <c r="M513" i="12"/>
  <c r="N513" i="12" s="1"/>
  <c r="G513" i="12"/>
  <c r="H513" i="12" s="1"/>
  <c r="K513" i="12"/>
  <c r="Q513" i="12"/>
  <c r="R513" i="12" s="1"/>
  <c r="I513" i="12"/>
  <c r="J513" i="12" s="1"/>
  <c r="O513" i="12"/>
  <c r="P513" i="12" s="1"/>
  <c r="M394" i="12"/>
  <c r="N394" i="12" s="1"/>
  <c r="Q394" i="12"/>
  <c r="R394" i="12" s="1"/>
  <c r="I394" i="12"/>
  <c r="J394" i="12" s="1"/>
  <c r="G416" i="12"/>
  <c r="H416" i="12" s="1"/>
  <c r="O416" i="12"/>
  <c r="P416" i="12" s="1"/>
  <c r="K416" i="12"/>
  <c r="I416" i="12"/>
  <c r="J416" i="12" s="1"/>
  <c r="Q416" i="12"/>
  <c r="R416" i="12" s="1"/>
  <c r="M398" i="12"/>
  <c r="N398" i="12" s="1"/>
  <c r="O398" i="12"/>
  <c r="P398" i="12" s="1"/>
  <c r="I398" i="12"/>
  <c r="J398" i="12" s="1"/>
  <c r="Q398" i="12"/>
  <c r="R398" i="12" s="1"/>
  <c r="K398" i="12"/>
  <c r="Q374" i="12"/>
  <c r="R374" i="12" s="1"/>
  <c r="O374" i="12"/>
  <c r="P374" i="12" s="1"/>
  <c r="G374" i="12"/>
  <c r="H374" i="12" s="1"/>
  <c r="K374" i="12"/>
  <c r="I413" i="12"/>
  <c r="J413" i="12" s="1"/>
  <c r="M413" i="12"/>
  <c r="N413" i="12" s="1"/>
  <c r="Q413" i="12"/>
  <c r="R413" i="12" s="1"/>
  <c r="O413" i="12"/>
  <c r="P413" i="12" s="1"/>
  <c r="K413" i="12"/>
  <c r="K247" i="12"/>
  <c r="G86" i="12"/>
  <c r="H86" i="12" s="1"/>
  <c r="K10" i="12"/>
  <c r="Q118" i="12"/>
  <c r="R118" i="12" s="1"/>
  <c r="O83" i="12"/>
  <c r="P83" i="12" s="1"/>
  <c r="I37" i="12"/>
  <c r="J37" i="12" s="1"/>
  <c r="K11" i="12"/>
  <c r="O60" i="12"/>
  <c r="P60" i="12" s="1"/>
  <c r="M6" i="12"/>
  <c r="N6" i="12" s="1"/>
  <c r="M18" i="12"/>
  <c r="N18" i="12" s="1"/>
  <c r="K30" i="12"/>
  <c r="K44" i="12"/>
  <c r="M89" i="12"/>
  <c r="N89" i="12" s="1"/>
  <c r="I122" i="12"/>
  <c r="J122" i="12" s="1"/>
  <c r="G93" i="12"/>
  <c r="H93" i="12" s="1"/>
  <c r="O153" i="12"/>
  <c r="P153" i="12" s="1"/>
  <c r="O12" i="12"/>
  <c r="P12" i="12" s="1"/>
  <c r="O24" i="12"/>
  <c r="P24" i="12" s="1"/>
  <c r="M36" i="12"/>
  <c r="N36" i="12" s="1"/>
  <c r="K66" i="12"/>
  <c r="G136" i="12"/>
  <c r="H136" i="12" s="1"/>
  <c r="K97" i="12"/>
  <c r="Q7" i="12"/>
  <c r="R7" i="12" s="1"/>
  <c r="Q19" i="12"/>
  <c r="R19" i="12" s="1"/>
  <c r="O31" i="12"/>
  <c r="P31" i="12" s="1"/>
  <c r="I45" i="12"/>
  <c r="J45" i="12" s="1"/>
  <c r="I110" i="12"/>
  <c r="J110" i="12" s="1"/>
  <c r="I79" i="12"/>
  <c r="J79" i="12" s="1"/>
  <c r="G7" i="12"/>
  <c r="H7" i="12" s="1"/>
  <c r="G19" i="12"/>
  <c r="H19" i="12" s="1"/>
  <c r="Q31" i="12"/>
  <c r="R31" i="12" s="1"/>
  <c r="M49" i="12"/>
  <c r="N49" i="12" s="1"/>
  <c r="K79" i="12"/>
  <c r="I5" i="12"/>
  <c r="J5" i="12" s="1"/>
  <c r="I17" i="12"/>
  <c r="J17" i="12" s="1"/>
  <c r="G29" i="12"/>
  <c r="H29" i="12" s="1"/>
  <c r="Q41" i="12"/>
  <c r="R41" i="12" s="1"/>
  <c r="Q87" i="12"/>
  <c r="R87" i="12" s="1"/>
  <c r="K137" i="12"/>
  <c r="K130" i="12"/>
  <c r="I129" i="12"/>
  <c r="J129" i="12" s="1"/>
  <c r="K160" i="12"/>
  <c r="O78" i="12"/>
  <c r="P78" i="12" s="1"/>
  <c r="O90" i="12"/>
  <c r="P90" i="12" s="1"/>
  <c r="O102" i="12"/>
  <c r="P102" i="12" s="1"/>
  <c r="G148" i="12"/>
  <c r="H148" i="12" s="1"/>
  <c r="K132" i="12"/>
  <c r="Q158" i="12"/>
  <c r="R158" i="12" s="1"/>
  <c r="G47" i="12"/>
  <c r="H47" i="12" s="1"/>
  <c r="G59" i="12"/>
  <c r="H59" i="12" s="1"/>
  <c r="G71" i="12"/>
  <c r="H71" i="12" s="1"/>
  <c r="G83" i="12"/>
  <c r="H83" i="12" s="1"/>
  <c r="G95" i="12"/>
  <c r="H95" i="12" s="1"/>
  <c r="G107" i="12"/>
  <c r="H107" i="12" s="1"/>
  <c r="G119" i="12"/>
  <c r="H119" i="12" s="1"/>
  <c r="Q123" i="12"/>
  <c r="R123" i="12" s="1"/>
  <c r="G150" i="12"/>
  <c r="H150" i="12" s="1"/>
  <c r="G48" i="12"/>
  <c r="H48" i="12" s="1"/>
  <c r="G60" i="12"/>
  <c r="H60" i="12" s="1"/>
  <c r="G72" i="12"/>
  <c r="H72" i="12" s="1"/>
  <c r="G84" i="12"/>
  <c r="H84" i="12" s="1"/>
  <c r="G108" i="12"/>
  <c r="H108" i="12" s="1"/>
  <c r="G120" i="12"/>
  <c r="H120" i="12" s="1"/>
  <c r="K167" i="12"/>
  <c r="I156" i="12"/>
  <c r="J156" i="12" s="1"/>
  <c r="Q44" i="12"/>
  <c r="R44" i="12" s="1"/>
  <c r="Q68" i="12"/>
  <c r="R68" i="12" s="1"/>
  <c r="Q92" i="12"/>
  <c r="R92" i="12" s="1"/>
  <c r="Q104" i="12"/>
  <c r="R104" i="12" s="1"/>
  <c r="Q116" i="12"/>
  <c r="R116" i="12" s="1"/>
  <c r="K134" i="12"/>
  <c r="O165" i="12"/>
  <c r="P165" i="12" s="1"/>
  <c r="G199" i="12"/>
  <c r="H199" i="12" s="1"/>
  <c r="M216" i="12"/>
  <c r="N216" i="12" s="1"/>
  <c r="K217" i="12"/>
  <c r="Q124" i="12"/>
  <c r="R124" i="12" s="1"/>
  <c r="Q148" i="12"/>
  <c r="R148" i="12" s="1"/>
  <c r="Q160" i="12"/>
  <c r="R160" i="12" s="1"/>
  <c r="O235" i="12"/>
  <c r="P235" i="12" s="1"/>
  <c r="G175" i="12"/>
  <c r="H175" i="12" s="1"/>
  <c r="M214" i="12"/>
  <c r="N214" i="12" s="1"/>
  <c r="K123" i="12"/>
  <c r="K135" i="12"/>
  <c r="K147" i="12"/>
  <c r="K159" i="12"/>
  <c r="K254" i="12"/>
  <c r="G280" i="12"/>
  <c r="H280" i="12" s="1"/>
  <c r="O180" i="12"/>
  <c r="P180" i="12" s="1"/>
  <c r="O192" i="12"/>
  <c r="P192" i="12" s="1"/>
  <c r="O204" i="12"/>
  <c r="P204" i="12" s="1"/>
  <c r="Q245" i="12"/>
  <c r="R245" i="12" s="1"/>
  <c r="Q354" i="12"/>
  <c r="R354" i="12" s="1"/>
  <c r="M164" i="12"/>
  <c r="N164" i="12" s="1"/>
  <c r="M176" i="12"/>
  <c r="N176" i="12" s="1"/>
  <c r="M188" i="12"/>
  <c r="N188" i="12" s="1"/>
  <c r="M200" i="12"/>
  <c r="N200" i="12" s="1"/>
  <c r="M212" i="12"/>
  <c r="N212" i="12" s="1"/>
  <c r="O228" i="12"/>
  <c r="P228" i="12" s="1"/>
  <c r="O294" i="12"/>
  <c r="P294" i="12" s="1"/>
  <c r="Q293" i="12"/>
  <c r="R293" i="12" s="1"/>
  <c r="O170" i="12"/>
  <c r="P170" i="12" s="1"/>
  <c r="O182" i="12"/>
  <c r="P182" i="12" s="1"/>
  <c r="O194" i="12"/>
  <c r="P194" i="12" s="1"/>
  <c r="O206" i="12"/>
  <c r="P206" i="12" s="1"/>
  <c r="O218" i="12"/>
  <c r="P218" i="12" s="1"/>
  <c r="Q251" i="12"/>
  <c r="R251" i="12" s="1"/>
  <c r="I231" i="12"/>
  <c r="J231" i="12" s="1"/>
  <c r="G245" i="12"/>
  <c r="H245" i="12" s="1"/>
  <c r="O337" i="12"/>
  <c r="P337" i="12" s="1"/>
  <c r="O166" i="12"/>
  <c r="P166" i="12" s="1"/>
  <c r="O178" i="12"/>
  <c r="P178" i="12" s="1"/>
  <c r="O190" i="12"/>
  <c r="P190" i="12" s="1"/>
  <c r="O202" i="12"/>
  <c r="P202" i="12" s="1"/>
  <c r="O214" i="12"/>
  <c r="P214" i="12" s="1"/>
  <c r="G329" i="12"/>
  <c r="H329" i="12" s="1"/>
  <c r="G281" i="12"/>
  <c r="H281" i="12" s="1"/>
  <c r="G293" i="12"/>
  <c r="H293" i="12" s="1"/>
  <c r="G305" i="12"/>
  <c r="H305" i="12" s="1"/>
  <c r="G317" i="12"/>
  <c r="H317" i="12" s="1"/>
  <c r="O331" i="12"/>
  <c r="P331" i="12" s="1"/>
  <c r="G342" i="12"/>
  <c r="H342" i="12" s="1"/>
  <c r="M231" i="12"/>
  <c r="N231" i="12" s="1"/>
  <c r="M243" i="12"/>
  <c r="N243" i="12" s="1"/>
  <c r="M255" i="12"/>
  <c r="N255" i="12" s="1"/>
  <c r="M267" i="12"/>
  <c r="N267" i="12" s="1"/>
  <c r="M279" i="12"/>
  <c r="N279" i="12" s="1"/>
  <c r="M291" i="12"/>
  <c r="N291" i="12" s="1"/>
  <c r="M303" i="12"/>
  <c r="N303" i="12" s="1"/>
  <c r="M315" i="12"/>
  <c r="N315" i="12" s="1"/>
  <c r="M327" i="12"/>
  <c r="N327" i="12" s="1"/>
  <c r="M232" i="12"/>
  <c r="N232" i="12" s="1"/>
  <c r="M268" i="12"/>
  <c r="N268" i="12" s="1"/>
  <c r="M280" i="12"/>
  <c r="N280" i="12" s="1"/>
  <c r="M292" i="12"/>
  <c r="N292" i="12" s="1"/>
  <c r="M304" i="12"/>
  <c r="N304" i="12" s="1"/>
  <c r="M316" i="12"/>
  <c r="N316" i="12" s="1"/>
  <c r="M328" i="12"/>
  <c r="N328" i="12" s="1"/>
  <c r="Q340" i="12"/>
  <c r="R340" i="12" s="1"/>
  <c r="Q231" i="12"/>
  <c r="R231" i="12" s="1"/>
  <c r="Q255" i="12"/>
  <c r="R255" i="12" s="1"/>
  <c r="Q267" i="12"/>
  <c r="R267" i="12" s="1"/>
  <c r="Q279" i="12"/>
  <c r="R279" i="12" s="1"/>
  <c r="Q291" i="12"/>
  <c r="R291" i="12" s="1"/>
  <c r="Q303" i="12"/>
  <c r="R303" i="12" s="1"/>
  <c r="K318" i="12"/>
  <c r="O227" i="12"/>
  <c r="P227" i="12" s="1"/>
  <c r="O251" i="12"/>
  <c r="P251" i="12" s="1"/>
  <c r="O299" i="12"/>
  <c r="P299" i="12" s="1"/>
  <c r="O323" i="12"/>
  <c r="P323" i="12" s="1"/>
  <c r="Q367" i="12"/>
  <c r="R367" i="12" s="1"/>
  <c r="G387" i="12"/>
  <c r="H387" i="12" s="1"/>
  <c r="G476" i="12"/>
  <c r="H476" i="12" s="1"/>
  <c r="I350" i="12"/>
  <c r="J350" i="12" s="1"/>
  <c r="I392" i="12"/>
  <c r="J392" i="12" s="1"/>
  <c r="K376" i="12"/>
  <c r="M373" i="12"/>
  <c r="N373" i="12" s="1"/>
  <c r="G435" i="12"/>
  <c r="H435" i="12" s="1"/>
  <c r="M340" i="12"/>
  <c r="N340" i="12" s="1"/>
  <c r="G367" i="12"/>
  <c r="H367" i="12" s="1"/>
  <c r="K444" i="12"/>
  <c r="Q333" i="12"/>
  <c r="R333" i="12" s="1"/>
  <c r="M365" i="12"/>
  <c r="N365" i="12" s="1"/>
  <c r="Q465" i="12"/>
  <c r="R465" i="12" s="1"/>
  <c r="I482" i="12"/>
  <c r="J482" i="12" s="1"/>
  <c r="G406" i="12"/>
  <c r="H406" i="12" s="1"/>
  <c r="G442" i="12"/>
  <c r="H442" i="12" s="1"/>
  <c r="G478" i="12"/>
  <c r="H478" i="12" s="1"/>
  <c r="G401" i="12"/>
  <c r="H401" i="12" s="1"/>
  <c r="G437" i="12"/>
  <c r="H437" i="12" s="1"/>
  <c r="G473" i="12"/>
  <c r="H473" i="12" s="1"/>
  <c r="M405" i="12"/>
  <c r="N405" i="12" s="1"/>
  <c r="M477" i="12"/>
  <c r="N477" i="12" s="1"/>
  <c r="G409" i="12"/>
  <c r="H409" i="12" s="1"/>
  <c r="G445" i="12"/>
  <c r="H445" i="12" s="1"/>
  <c r="G481" i="12"/>
  <c r="H481" i="12" s="1"/>
  <c r="I548" i="12"/>
  <c r="J548" i="12" s="1"/>
  <c r="M555" i="12"/>
  <c r="N555" i="12" s="1"/>
  <c r="M508" i="12"/>
  <c r="N508" i="12" s="1"/>
  <c r="K492" i="12"/>
  <c r="G548" i="12"/>
  <c r="H548" i="12" s="1"/>
  <c r="K548" i="12"/>
  <c r="M571" i="12"/>
  <c r="N571" i="12" s="1"/>
  <c r="K570" i="12"/>
  <c r="Q576" i="12"/>
  <c r="R576" i="12" s="1"/>
  <c r="G626" i="12"/>
  <c r="H626" i="12" s="1"/>
  <c r="K605" i="12"/>
  <c r="M658" i="12"/>
  <c r="N658" i="12" s="1"/>
  <c r="O669" i="12"/>
  <c r="P669" i="12" s="1"/>
  <c r="M687" i="12"/>
  <c r="N687" i="12" s="1"/>
  <c r="I702" i="12"/>
  <c r="J702" i="12" s="1"/>
  <c r="G825" i="12"/>
  <c r="H825" i="12" s="1"/>
  <c r="Q872" i="12"/>
  <c r="R872" i="12" s="1"/>
  <c r="O904" i="12"/>
  <c r="P904" i="12" s="1"/>
  <c r="O966" i="12"/>
  <c r="P966" i="12" s="1"/>
  <c r="G991" i="12"/>
  <c r="H991" i="12" s="1"/>
  <c r="K991" i="12"/>
  <c r="Q991" i="12"/>
  <c r="R991" i="12" s="1"/>
  <c r="M991" i="12"/>
  <c r="N991" i="12" s="1"/>
  <c r="I991" i="12"/>
  <c r="J991" i="12" s="1"/>
  <c r="O944" i="12"/>
  <c r="P944" i="12" s="1"/>
  <c r="G944" i="12"/>
  <c r="H944" i="12" s="1"/>
  <c r="Q944" i="12"/>
  <c r="R944" i="12" s="1"/>
  <c r="M944" i="12"/>
  <c r="N944" i="12" s="1"/>
  <c r="K944" i="12"/>
  <c r="I944" i="12"/>
  <c r="J944" i="12" s="1"/>
  <c r="Q956" i="12"/>
  <c r="R956" i="12" s="1"/>
  <c r="I956" i="12"/>
  <c r="J956" i="12" s="1"/>
  <c r="O956" i="12"/>
  <c r="P956" i="12" s="1"/>
  <c r="K956" i="12"/>
  <c r="G956" i="12"/>
  <c r="H956" i="12" s="1"/>
  <c r="M956" i="12"/>
  <c r="N956" i="12" s="1"/>
  <c r="M914" i="12"/>
  <c r="N914" i="12" s="1"/>
  <c r="I914" i="12"/>
  <c r="J914" i="12" s="1"/>
  <c r="O914" i="12"/>
  <c r="P914" i="12" s="1"/>
  <c r="K914" i="12"/>
  <c r="G914" i="12"/>
  <c r="H914" i="12" s="1"/>
  <c r="Q914" i="12"/>
  <c r="R914" i="12" s="1"/>
  <c r="K806" i="12"/>
  <c r="G806" i="12"/>
  <c r="H806" i="12" s="1"/>
  <c r="I806" i="12"/>
  <c r="J806" i="12" s="1"/>
  <c r="O806" i="12"/>
  <c r="P806" i="12" s="1"/>
  <c r="Q806" i="12"/>
  <c r="R806" i="12" s="1"/>
  <c r="M806" i="12"/>
  <c r="N806" i="12" s="1"/>
  <c r="I804" i="12"/>
  <c r="J804" i="12" s="1"/>
  <c r="G804" i="12"/>
  <c r="H804" i="12" s="1"/>
  <c r="K804" i="12"/>
  <c r="M804" i="12"/>
  <c r="N804" i="12" s="1"/>
  <c r="Q804" i="12"/>
  <c r="R804" i="12" s="1"/>
  <c r="O804" i="12"/>
  <c r="P804" i="12" s="1"/>
  <c r="Q753" i="12"/>
  <c r="R753" i="12" s="1"/>
  <c r="I753" i="12"/>
  <c r="J753" i="12" s="1"/>
  <c r="O753" i="12"/>
  <c r="P753" i="12" s="1"/>
  <c r="K753" i="12"/>
  <c r="G753" i="12"/>
  <c r="H753" i="12" s="1"/>
  <c r="K785" i="12"/>
  <c r="I785" i="12"/>
  <c r="J785" i="12" s="1"/>
  <c r="O785" i="12"/>
  <c r="P785" i="12" s="1"/>
  <c r="Q785" i="12"/>
  <c r="R785" i="12" s="1"/>
  <c r="M785" i="12"/>
  <c r="N785" i="12" s="1"/>
  <c r="G785" i="12"/>
  <c r="H785" i="12" s="1"/>
  <c r="M757" i="12"/>
  <c r="N757" i="12" s="1"/>
  <c r="O757" i="12"/>
  <c r="P757" i="12" s="1"/>
  <c r="G757" i="12"/>
  <c r="H757" i="12" s="1"/>
  <c r="Q757" i="12"/>
  <c r="R757" i="12" s="1"/>
  <c r="K757" i="12"/>
  <c r="I757" i="12"/>
  <c r="J757" i="12" s="1"/>
  <c r="G717" i="12"/>
  <c r="H717" i="12" s="1"/>
  <c r="M717" i="12"/>
  <c r="N717" i="12" s="1"/>
  <c r="I717" i="12"/>
  <c r="J717" i="12" s="1"/>
  <c r="O717" i="12"/>
  <c r="P717" i="12" s="1"/>
  <c r="Q717" i="12"/>
  <c r="R717" i="12" s="1"/>
  <c r="K717" i="12"/>
  <c r="O715" i="12"/>
  <c r="P715" i="12" s="1"/>
  <c r="Q715" i="12"/>
  <c r="R715" i="12" s="1"/>
  <c r="K715" i="12"/>
  <c r="M715" i="12"/>
  <c r="N715" i="12" s="1"/>
  <c r="G715" i="12"/>
  <c r="H715" i="12" s="1"/>
  <c r="I740" i="12"/>
  <c r="J740" i="12" s="1"/>
  <c r="K740" i="12"/>
  <c r="Q740" i="12"/>
  <c r="R740" i="12" s="1"/>
  <c r="O740" i="12"/>
  <c r="P740" i="12" s="1"/>
  <c r="G740" i="12"/>
  <c r="H740" i="12" s="1"/>
  <c r="K726" i="12"/>
  <c r="Q726" i="12"/>
  <c r="R726" i="12" s="1"/>
  <c r="M726" i="12"/>
  <c r="N726" i="12" s="1"/>
  <c r="G726" i="12"/>
  <c r="H726" i="12" s="1"/>
  <c r="O726" i="12"/>
  <c r="P726" i="12" s="1"/>
  <c r="I654" i="12"/>
  <c r="J654" i="12" s="1"/>
  <c r="O654" i="12"/>
  <c r="P654" i="12" s="1"/>
  <c r="K654" i="12"/>
  <c r="Q654" i="12"/>
  <c r="R654" i="12" s="1"/>
  <c r="G654" i="12"/>
  <c r="H654" i="12" s="1"/>
  <c r="M654" i="12"/>
  <c r="N654" i="12" s="1"/>
  <c r="K690" i="12"/>
  <c r="I690" i="12"/>
  <c r="J690" i="12" s="1"/>
  <c r="O690" i="12"/>
  <c r="P690" i="12" s="1"/>
  <c r="Q690" i="12"/>
  <c r="R690" i="12" s="1"/>
  <c r="M690" i="12"/>
  <c r="N690" i="12" s="1"/>
  <c r="G690" i="12"/>
  <c r="H690" i="12" s="1"/>
  <c r="M584" i="12"/>
  <c r="N584" i="12" s="1"/>
  <c r="K584" i="12"/>
  <c r="O584" i="12"/>
  <c r="P584" i="12" s="1"/>
  <c r="I584" i="12"/>
  <c r="J584" i="12" s="1"/>
  <c r="Q584" i="12"/>
  <c r="R584" i="12" s="1"/>
  <c r="O488" i="12"/>
  <c r="P488" i="12" s="1"/>
  <c r="K488" i="12"/>
  <c r="G488" i="12"/>
  <c r="H488" i="12" s="1"/>
  <c r="Q488" i="12"/>
  <c r="R488" i="12" s="1"/>
  <c r="I441" i="12"/>
  <c r="J441" i="12" s="1"/>
  <c r="O441" i="12"/>
  <c r="P441" i="12" s="1"/>
  <c r="G441" i="12"/>
  <c r="H441" i="12" s="1"/>
  <c r="Q441" i="12"/>
  <c r="R441" i="12" s="1"/>
  <c r="K441" i="12"/>
  <c r="K469" i="12"/>
  <c r="O469" i="12"/>
  <c r="P469" i="12" s="1"/>
  <c r="Q469" i="12"/>
  <c r="R469" i="12" s="1"/>
  <c r="Q438" i="12"/>
  <c r="R438" i="12" s="1"/>
  <c r="G438" i="12"/>
  <c r="H438" i="12" s="1"/>
  <c r="O438" i="12"/>
  <c r="P438" i="12" s="1"/>
  <c r="M438" i="12"/>
  <c r="N438" i="12" s="1"/>
  <c r="I438" i="12"/>
  <c r="J438" i="12" s="1"/>
  <c r="Q486" i="12"/>
  <c r="R486" i="12" s="1"/>
  <c r="K486" i="12"/>
  <c r="G486" i="12"/>
  <c r="H486" i="12" s="1"/>
  <c r="O486" i="12"/>
  <c r="P486" i="12" s="1"/>
  <c r="I486" i="12"/>
  <c r="J486" i="12" s="1"/>
  <c r="M486" i="12"/>
  <c r="N486" i="12" s="1"/>
  <c r="O404" i="12"/>
  <c r="P404" i="12" s="1"/>
  <c r="K404" i="12"/>
  <c r="G404" i="12"/>
  <c r="H404" i="12" s="1"/>
  <c r="I404" i="12"/>
  <c r="J404" i="12" s="1"/>
  <c r="Q404" i="12"/>
  <c r="R404" i="12" s="1"/>
  <c r="G370" i="12"/>
  <c r="H370" i="12" s="1"/>
  <c r="M370" i="12"/>
  <c r="N370" i="12" s="1"/>
  <c r="I370" i="12"/>
  <c r="J370" i="12" s="1"/>
  <c r="O370" i="12"/>
  <c r="P370" i="12" s="1"/>
  <c r="Q370" i="12"/>
  <c r="R370" i="12" s="1"/>
  <c r="K381" i="12"/>
  <c r="O381" i="12"/>
  <c r="P381" i="12" s="1"/>
  <c r="Q381" i="12"/>
  <c r="R381" i="12" s="1"/>
  <c r="K366" i="12"/>
  <c r="O366" i="12"/>
  <c r="P366" i="12" s="1"/>
  <c r="M366" i="12"/>
  <c r="N366" i="12" s="1"/>
  <c r="I366" i="12"/>
  <c r="J366" i="12" s="1"/>
  <c r="M396" i="12"/>
  <c r="N396" i="12" s="1"/>
  <c r="Q396" i="12"/>
  <c r="R396" i="12" s="1"/>
  <c r="I396" i="12"/>
  <c r="J396" i="12" s="1"/>
  <c r="G396" i="12"/>
  <c r="H396" i="12" s="1"/>
  <c r="O388" i="12"/>
  <c r="P388" i="12" s="1"/>
  <c r="Q388" i="12"/>
  <c r="R388" i="12" s="1"/>
  <c r="G388" i="12"/>
  <c r="H388" i="12" s="1"/>
  <c r="K388" i="12"/>
  <c r="M334" i="12"/>
  <c r="N334" i="12" s="1"/>
  <c r="K334" i="12"/>
  <c r="O334" i="12"/>
  <c r="P334" i="12" s="1"/>
  <c r="G320" i="12"/>
  <c r="H320" i="12" s="1"/>
  <c r="K325" i="12"/>
  <c r="I302" i="12"/>
  <c r="J302" i="12" s="1"/>
  <c r="K313" i="12"/>
  <c r="I278" i="12"/>
  <c r="J278" i="12" s="1"/>
  <c r="O88" i="12"/>
  <c r="P88" i="12" s="1"/>
  <c r="K22" i="12"/>
  <c r="K48" i="12"/>
  <c r="K14" i="12"/>
  <c r="I38" i="12"/>
  <c r="J38" i="12" s="1"/>
  <c r="K15" i="12"/>
  <c r="M7" i="12"/>
  <c r="N7" i="12" s="1"/>
  <c r="M19" i="12"/>
  <c r="N19" i="12" s="1"/>
  <c r="K31" i="12"/>
  <c r="O54" i="12"/>
  <c r="P54" i="12" s="1"/>
  <c r="G92" i="12"/>
  <c r="H92" i="12" s="1"/>
  <c r="Q151" i="12"/>
  <c r="R151" i="12" s="1"/>
  <c r="I97" i="12"/>
  <c r="J97" i="12" s="1"/>
  <c r="Q155" i="12"/>
  <c r="R155" i="12" s="1"/>
  <c r="O13" i="12"/>
  <c r="P13" i="12" s="1"/>
  <c r="O25" i="12"/>
  <c r="P25" i="12" s="1"/>
  <c r="G69" i="12"/>
  <c r="H69" i="12" s="1"/>
  <c r="Q153" i="12"/>
  <c r="R153" i="12" s="1"/>
  <c r="G110" i="12"/>
  <c r="H110" i="12" s="1"/>
  <c r="Q8" i="12"/>
  <c r="R8" i="12" s="1"/>
  <c r="Q20" i="12"/>
  <c r="R20" i="12" s="1"/>
  <c r="O32" i="12"/>
  <c r="P32" i="12" s="1"/>
  <c r="Q46" i="12"/>
  <c r="R46" i="12" s="1"/>
  <c r="G117" i="12"/>
  <c r="H117" i="12" s="1"/>
  <c r="M95" i="12"/>
  <c r="N95" i="12" s="1"/>
  <c r="G8" i="12"/>
  <c r="H8" i="12" s="1"/>
  <c r="G20" i="12"/>
  <c r="H20" i="12" s="1"/>
  <c r="Q32" i="12"/>
  <c r="R32" i="12" s="1"/>
  <c r="Q51" i="12"/>
  <c r="R51" i="12" s="1"/>
  <c r="O106" i="12"/>
  <c r="P106" i="12" s="1"/>
  <c r="O95" i="12"/>
  <c r="P95" i="12" s="1"/>
  <c r="I6" i="12"/>
  <c r="J6" i="12" s="1"/>
  <c r="I18" i="12"/>
  <c r="J18" i="12" s="1"/>
  <c r="G30" i="12"/>
  <c r="H30" i="12" s="1"/>
  <c r="G44" i="12"/>
  <c r="H44" i="12" s="1"/>
  <c r="Q94" i="12"/>
  <c r="R94" i="12" s="1"/>
  <c r="G132" i="12"/>
  <c r="H132" i="12" s="1"/>
  <c r="M130" i="12"/>
  <c r="N130" i="12" s="1"/>
  <c r="Q212" i="12"/>
  <c r="R212" i="12" s="1"/>
  <c r="M79" i="12"/>
  <c r="N79" i="12" s="1"/>
  <c r="M91" i="12"/>
  <c r="N91" i="12" s="1"/>
  <c r="M103" i="12"/>
  <c r="N103" i="12" s="1"/>
  <c r="M115" i="12"/>
  <c r="N115" i="12" s="1"/>
  <c r="G151" i="12"/>
  <c r="H151" i="12" s="1"/>
  <c r="I135" i="12"/>
  <c r="J135" i="12" s="1"/>
  <c r="O159" i="12"/>
  <c r="P159" i="12" s="1"/>
  <c r="Q48" i="12"/>
  <c r="R48" i="12" s="1"/>
  <c r="Q60" i="12"/>
  <c r="R60" i="12" s="1"/>
  <c r="Q72" i="12"/>
  <c r="R72" i="12" s="1"/>
  <c r="Q84" i="12"/>
  <c r="R84" i="12" s="1"/>
  <c r="Q108" i="12"/>
  <c r="R108" i="12" s="1"/>
  <c r="K125" i="12"/>
  <c r="Q152" i="12"/>
  <c r="R152" i="12" s="1"/>
  <c r="Q49" i="12"/>
  <c r="R49" i="12" s="1"/>
  <c r="Q61" i="12"/>
  <c r="R61" i="12" s="1"/>
  <c r="Q73" i="12"/>
  <c r="R73" i="12" s="1"/>
  <c r="Q85" i="12"/>
  <c r="R85" i="12" s="1"/>
  <c r="Q97" i="12"/>
  <c r="R97" i="12" s="1"/>
  <c r="Q109" i="12"/>
  <c r="R109" i="12" s="1"/>
  <c r="Q121" i="12"/>
  <c r="R121" i="12" s="1"/>
  <c r="Q194" i="12"/>
  <c r="R194" i="12" s="1"/>
  <c r="Q164" i="12"/>
  <c r="R164" i="12" s="1"/>
  <c r="O57" i="12"/>
  <c r="P57" i="12" s="1"/>
  <c r="O69" i="12"/>
  <c r="P69" i="12" s="1"/>
  <c r="O81" i="12"/>
  <c r="P81" i="12" s="1"/>
  <c r="O93" i="12"/>
  <c r="P93" i="12" s="1"/>
  <c r="O105" i="12"/>
  <c r="P105" i="12" s="1"/>
  <c r="O117" i="12"/>
  <c r="P117" i="12" s="1"/>
  <c r="O135" i="12"/>
  <c r="P135" i="12" s="1"/>
  <c r="I212" i="12"/>
  <c r="J212" i="12" s="1"/>
  <c r="M202" i="12"/>
  <c r="N202" i="12" s="1"/>
  <c r="K221" i="12"/>
  <c r="I182" i="12"/>
  <c r="J182" i="12" s="1"/>
  <c r="O125" i="12"/>
  <c r="P125" i="12" s="1"/>
  <c r="O137" i="12"/>
  <c r="P137" i="12" s="1"/>
  <c r="O149" i="12"/>
  <c r="P149" i="12" s="1"/>
  <c r="G165" i="12"/>
  <c r="H165" i="12" s="1"/>
  <c r="G238" i="12"/>
  <c r="H238" i="12" s="1"/>
  <c r="I188" i="12"/>
  <c r="J188" i="12" s="1"/>
  <c r="Q218" i="12"/>
  <c r="R218" i="12" s="1"/>
  <c r="I124" i="12"/>
  <c r="J124" i="12" s="1"/>
  <c r="I136" i="12"/>
  <c r="J136" i="12" s="1"/>
  <c r="I148" i="12"/>
  <c r="J148" i="12" s="1"/>
  <c r="I160" i="12"/>
  <c r="J160" i="12" s="1"/>
  <c r="I255" i="12"/>
  <c r="J255" i="12" s="1"/>
  <c r="I285" i="12"/>
  <c r="J285" i="12" s="1"/>
  <c r="M181" i="12"/>
  <c r="N181" i="12" s="1"/>
  <c r="M193" i="12"/>
  <c r="N193" i="12" s="1"/>
  <c r="M205" i="12"/>
  <c r="N205" i="12" s="1"/>
  <c r="M217" i="12"/>
  <c r="N217" i="12" s="1"/>
  <c r="K260" i="12"/>
  <c r="K165" i="12"/>
  <c r="K189" i="12"/>
  <c r="K201" i="12"/>
  <c r="G239" i="12"/>
  <c r="H239" i="12" s="1"/>
  <c r="K320" i="12"/>
  <c r="M171" i="12"/>
  <c r="N171" i="12" s="1"/>
  <c r="M183" i="12"/>
  <c r="N183" i="12" s="1"/>
  <c r="M207" i="12"/>
  <c r="N207" i="12" s="1"/>
  <c r="M219" i="12"/>
  <c r="N219" i="12" s="1"/>
  <c r="I262" i="12"/>
  <c r="J262" i="12" s="1"/>
  <c r="O247" i="12"/>
  <c r="P247" i="12" s="1"/>
  <c r="M167" i="12"/>
  <c r="N167" i="12" s="1"/>
  <c r="M215" i="12"/>
  <c r="N215" i="12" s="1"/>
  <c r="G330" i="12"/>
  <c r="H330" i="12" s="1"/>
  <c r="Q282" i="12"/>
  <c r="R282" i="12" s="1"/>
  <c r="Q294" i="12"/>
  <c r="R294" i="12" s="1"/>
  <c r="Q306" i="12"/>
  <c r="R306" i="12" s="1"/>
  <c r="Q318" i="12"/>
  <c r="R318" i="12" s="1"/>
  <c r="G333" i="12"/>
  <c r="H333" i="12" s="1"/>
  <c r="K343" i="12"/>
  <c r="K232" i="12"/>
  <c r="K268" i="12"/>
  <c r="K280" i="12"/>
  <c r="K292" i="12"/>
  <c r="K304" i="12"/>
  <c r="K316" i="12"/>
  <c r="K328" i="12"/>
  <c r="O343" i="12"/>
  <c r="P343" i="12" s="1"/>
  <c r="K233" i="12"/>
  <c r="K245" i="12"/>
  <c r="K257" i="12"/>
  <c r="K269" i="12"/>
  <c r="K281" i="12"/>
  <c r="K293" i="12"/>
  <c r="K305" i="12"/>
  <c r="K317" i="12"/>
  <c r="O329" i="12"/>
  <c r="P329" i="12" s="1"/>
  <c r="Q341" i="12"/>
  <c r="R341" i="12" s="1"/>
  <c r="O232" i="12"/>
  <c r="P232" i="12" s="1"/>
  <c r="O268" i="12"/>
  <c r="P268" i="12" s="1"/>
  <c r="O280" i="12"/>
  <c r="P280" i="12" s="1"/>
  <c r="O292" i="12"/>
  <c r="P292" i="12" s="1"/>
  <c r="O304" i="12"/>
  <c r="P304" i="12" s="1"/>
  <c r="I319" i="12"/>
  <c r="J319" i="12" s="1"/>
  <c r="M228" i="12"/>
  <c r="N228" i="12" s="1"/>
  <c r="M252" i="12"/>
  <c r="N252" i="12" s="1"/>
  <c r="M276" i="12"/>
  <c r="N276" i="12" s="1"/>
  <c r="M300" i="12"/>
  <c r="N300" i="12" s="1"/>
  <c r="M324" i="12"/>
  <c r="N324" i="12" s="1"/>
  <c r="I368" i="12"/>
  <c r="J368" i="12" s="1"/>
  <c r="O383" i="12"/>
  <c r="P383" i="12" s="1"/>
  <c r="K394" i="12"/>
  <c r="G340" i="12"/>
  <c r="H340" i="12" s="1"/>
  <c r="O394" i="12"/>
  <c r="P394" i="12" s="1"/>
  <c r="M351" i="12"/>
  <c r="N351" i="12" s="1"/>
  <c r="K397" i="12"/>
  <c r="Q377" i="12"/>
  <c r="R377" i="12" s="1"/>
  <c r="M395" i="12"/>
  <c r="N395" i="12" s="1"/>
  <c r="M425" i="12"/>
  <c r="N425" i="12" s="1"/>
  <c r="K341" i="12"/>
  <c r="I445" i="12"/>
  <c r="J445" i="12" s="1"/>
  <c r="M335" i="12"/>
  <c r="N335" i="12" s="1"/>
  <c r="I367" i="12"/>
  <c r="J367" i="12" s="1"/>
  <c r="Q484" i="12"/>
  <c r="R484" i="12" s="1"/>
  <c r="O408" i="12"/>
  <c r="P408" i="12" s="1"/>
  <c r="O444" i="12"/>
  <c r="P444" i="12" s="1"/>
  <c r="O480" i="12"/>
  <c r="P480" i="12" s="1"/>
  <c r="O403" i="12"/>
  <c r="P403" i="12" s="1"/>
  <c r="O439" i="12"/>
  <c r="P439" i="12" s="1"/>
  <c r="O475" i="12"/>
  <c r="P475" i="12" s="1"/>
  <c r="I407" i="12"/>
  <c r="J407" i="12" s="1"/>
  <c r="I443" i="12"/>
  <c r="J443" i="12" s="1"/>
  <c r="I479" i="12"/>
  <c r="J479" i="12" s="1"/>
  <c r="O411" i="12"/>
  <c r="P411" i="12" s="1"/>
  <c r="O447" i="12"/>
  <c r="P447" i="12" s="1"/>
  <c r="O483" i="12"/>
  <c r="P483" i="12" s="1"/>
  <c r="K535" i="12"/>
  <c r="I510" i="12"/>
  <c r="J510" i="12" s="1"/>
  <c r="G494" i="12"/>
  <c r="H494" i="12" s="1"/>
  <c r="I560" i="12"/>
  <c r="J560" i="12" s="1"/>
  <c r="M551" i="12"/>
  <c r="N551" i="12" s="1"/>
  <c r="Q551" i="12"/>
  <c r="R551" i="12" s="1"/>
  <c r="M569" i="12"/>
  <c r="N569" i="12" s="1"/>
  <c r="O599" i="12"/>
  <c r="P599" i="12" s="1"/>
  <c r="G559" i="12"/>
  <c r="H559" i="12" s="1"/>
  <c r="K617" i="12"/>
  <c r="Q656" i="12"/>
  <c r="R656" i="12" s="1"/>
  <c r="Q665" i="12"/>
  <c r="R665" i="12" s="1"/>
  <c r="G738" i="12"/>
  <c r="H738" i="12" s="1"/>
  <c r="M755" i="12"/>
  <c r="N755" i="12" s="1"/>
  <c r="K819" i="12"/>
  <c r="Q847" i="12"/>
  <c r="R847" i="12" s="1"/>
  <c r="O838" i="12"/>
  <c r="P838" i="12" s="1"/>
  <c r="M889" i="12"/>
  <c r="N889" i="12" s="1"/>
  <c r="M903" i="12"/>
  <c r="N903" i="12" s="1"/>
  <c r="I947" i="12"/>
  <c r="J947" i="12" s="1"/>
  <c r="G993" i="12"/>
  <c r="H993" i="12" s="1"/>
  <c r="K986" i="12"/>
  <c r="G986" i="12"/>
  <c r="H986" i="12" s="1"/>
  <c r="M986" i="12"/>
  <c r="N986" i="12" s="1"/>
  <c r="Q986" i="12"/>
  <c r="R986" i="12" s="1"/>
  <c r="I986" i="12"/>
  <c r="J986" i="12" s="1"/>
  <c r="O986" i="12"/>
  <c r="P986" i="12" s="1"/>
  <c r="I995" i="12"/>
  <c r="J995" i="12" s="1"/>
  <c r="Q995" i="12"/>
  <c r="R995" i="12" s="1"/>
  <c r="M995" i="12"/>
  <c r="N995" i="12" s="1"/>
  <c r="G995" i="12"/>
  <c r="H995" i="12" s="1"/>
  <c r="K995" i="12"/>
  <c r="O995" i="12"/>
  <c r="P995" i="12" s="1"/>
  <c r="G984" i="12"/>
  <c r="H984" i="12" s="1"/>
  <c r="O984" i="12"/>
  <c r="P984" i="12" s="1"/>
  <c r="K984" i="12"/>
  <c r="Q984" i="12"/>
  <c r="R984" i="12" s="1"/>
  <c r="I984" i="12"/>
  <c r="J984" i="12" s="1"/>
  <c r="M984" i="12"/>
  <c r="N984" i="12" s="1"/>
  <c r="G926" i="12"/>
  <c r="H926" i="12" s="1"/>
  <c r="M926" i="12"/>
  <c r="N926" i="12" s="1"/>
  <c r="K926" i="12"/>
  <c r="Q926" i="12"/>
  <c r="R926" i="12" s="1"/>
  <c r="I926" i="12"/>
  <c r="J926" i="12" s="1"/>
  <c r="O928" i="12"/>
  <c r="P928" i="12" s="1"/>
  <c r="M928" i="12"/>
  <c r="N928" i="12" s="1"/>
  <c r="K928" i="12"/>
  <c r="I928" i="12"/>
  <c r="J928" i="12" s="1"/>
  <c r="Q928" i="12"/>
  <c r="R928" i="12" s="1"/>
  <c r="M906" i="12"/>
  <c r="N906" i="12" s="1"/>
  <c r="Q906" i="12"/>
  <c r="R906" i="12" s="1"/>
  <c r="G906" i="12"/>
  <c r="H906" i="12" s="1"/>
  <c r="K906" i="12"/>
  <c r="I906" i="12"/>
  <c r="J906" i="12" s="1"/>
  <c r="O906" i="12"/>
  <c r="P906" i="12" s="1"/>
  <c r="I882" i="12"/>
  <c r="J882" i="12" s="1"/>
  <c r="O882" i="12"/>
  <c r="P882" i="12" s="1"/>
  <c r="M882" i="12"/>
  <c r="N882" i="12" s="1"/>
  <c r="K876" i="12"/>
  <c r="O876" i="12"/>
  <c r="P876" i="12" s="1"/>
  <c r="Q876" i="12"/>
  <c r="R876" i="12" s="1"/>
  <c r="M876" i="12"/>
  <c r="N876" i="12" s="1"/>
  <c r="I876" i="12"/>
  <c r="J876" i="12" s="1"/>
  <c r="O810" i="12"/>
  <c r="P810" i="12" s="1"/>
  <c r="M810" i="12"/>
  <c r="N810" i="12" s="1"/>
  <c r="I810" i="12"/>
  <c r="J810" i="12" s="1"/>
  <c r="K810" i="12"/>
  <c r="G810" i="12"/>
  <c r="H810" i="12" s="1"/>
  <c r="Q810" i="12"/>
  <c r="R810" i="12" s="1"/>
  <c r="I795" i="12"/>
  <c r="J795" i="12" s="1"/>
  <c r="M795" i="12"/>
  <c r="N795" i="12" s="1"/>
  <c r="Q795" i="12"/>
  <c r="R795" i="12" s="1"/>
  <c r="G795" i="12"/>
  <c r="H795" i="12" s="1"/>
  <c r="K795" i="12"/>
  <c r="O773" i="12"/>
  <c r="P773" i="12" s="1"/>
  <c r="I773" i="12"/>
  <c r="J773" i="12" s="1"/>
  <c r="Q773" i="12"/>
  <c r="R773" i="12" s="1"/>
  <c r="M773" i="12"/>
  <c r="N773" i="12" s="1"/>
  <c r="G773" i="12"/>
  <c r="H773" i="12" s="1"/>
  <c r="K773" i="12"/>
  <c r="O764" i="12"/>
  <c r="P764" i="12" s="1"/>
  <c r="I764" i="12"/>
  <c r="J764" i="12" s="1"/>
  <c r="K764" i="12"/>
  <c r="G764" i="12"/>
  <c r="H764" i="12" s="1"/>
  <c r="M764" i="12"/>
  <c r="N764" i="12" s="1"/>
  <c r="Q764" i="12"/>
  <c r="R764" i="12" s="1"/>
  <c r="O716" i="12"/>
  <c r="P716" i="12" s="1"/>
  <c r="I716" i="12"/>
  <c r="J716" i="12" s="1"/>
  <c r="K716" i="12"/>
  <c r="Q716" i="12"/>
  <c r="R716" i="12" s="1"/>
  <c r="G716" i="12"/>
  <c r="H716" i="12" s="1"/>
  <c r="G729" i="12"/>
  <c r="H729" i="12" s="1"/>
  <c r="M729" i="12"/>
  <c r="N729" i="12" s="1"/>
  <c r="I729" i="12"/>
  <c r="J729" i="12" s="1"/>
  <c r="O729" i="12"/>
  <c r="P729" i="12" s="1"/>
  <c r="Q729" i="12"/>
  <c r="R729" i="12" s="1"/>
  <c r="K729" i="12"/>
  <c r="M693" i="12"/>
  <c r="N693" i="12" s="1"/>
  <c r="I693" i="12"/>
  <c r="J693" i="12" s="1"/>
  <c r="O693" i="12"/>
  <c r="P693" i="12" s="1"/>
  <c r="Q693" i="12"/>
  <c r="R693" i="12" s="1"/>
  <c r="K693" i="12"/>
  <c r="O627" i="12"/>
  <c r="P627" i="12" s="1"/>
  <c r="G627" i="12"/>
  <c r="H627" i="12" s="1"/>
  <c r="M627" i="12"/>
  <c r="N627" i="12" s="1"/>
  <c r="Q627" i="12"/>
  <c r="R627" i="12" s="1"/>
  <c r="K627" i="12"/>
  <c r="I627" i="12"/>
  <c r="J627" i="12" s="1"/>
  <c r="O619" i="12"/>
  <c r="P619" i="12" s="1"/>
  <c r="M619" i="12"/>
  <c r="N619" i="12" s="1"/>
  <c r="I619" i="12"/>
  <c r="J619" i="12" s="1"/>
  <c r="G619" i="12"/>
  <c r="H619" i="12" s="1"/>
  <c r="I585" i="12"/>
  <c r="J585" i="12" s="1"/>
  <c r="M585" i="12"/>
  <c r="N585" i="12" s="1"/>
  <c r="G585" i="12"/>
  <c r="H585" i="12" s="1"/>
  <c r="O585" i="12"/>
  <c r="P585" i="12" s="1"/>
  <c r="I573" i="12"/>
  <c r="J573" i="12" s="1"/>
  <c r="M573" i="12"/>
  <c r="N573" i="12" s="1"/>
  <c r="G573" i="12"/>
  <c r="H573" i="12" s="1"/>
  <c r="Q573" i="12"/>
  <c r="R573" i="12" s="1"/>
  <c r="O573" i="12"/>
  <c r="P573" i="12" s="1"/>
  <c r="M580" i="12"/>
  <c r="N580" i="12" s="1"/>
  <c r="I580" i="12"/>
  <c r="J580" i="12" s="1"/>
  <c r="O580" i="12"/>
  <c r="P580" i="12" s="1"/>
  <c r="G580" i="12"/>
  <c r="H580" i="12" s="1"/>
  <c r="K580" i="12"/>
  <c r="I472" i="12"/>
  <c r="J472" i="12" s="1"/>
  <c r="K472" i="12"/>
  <c r="Q410" i="12"/>
  <c r="R410" i="12" s="1"/>
  <c r="G410" i="12"/>
  <c r="H410" i="12" s="1"/>
  <c r="M410" i="12"/>
  <c r="N410" i="12" s="1"/>
  <c r="O410" i="12"/>
  <c r="P410" i="12" s="1"/>
  <c r="K410" i="12"/>
  <c r="K459" i="12"/>
  <c r="G459" i="12"/>
  <c r="H459" i="12" s="1"/>
  <c r="I459" i="12"/>
  <c r="J459" i="12" s="1"/>
  <c r="O440" i="12"/>
  <c r="P440" i="12" s="1"/>
  <c r="K440" i="12"/>
  <c r="Q440" i="12"/>
  <c r="R440" i="12" s="1"/>
  <c r="M355" i="12"/>
  <c r="N355" i="12" s="1"/>
  <c r="O355" i="12"/>
  <c r="P355" i="12" s="1"/>
  <c r="M345" i="12"/>
  <c r="N345" i="12" s="1"/>
  <c r="O345" i="12"/>
  <c r="P345" i="12" s="1"/>
  <c r="I345" i="12"/>
  <c r="J345" i="12" s="1"/>
  <c r="I372" i="12"/>
  <c r="J372" i="12" s="1"/>
  <c r="K372" i="12"/>
  <c r="G372" i="12"/>
  <c r="H372" i="12" s="1"/>
  <c r="O372" i="12"/>
  <c r="P372" i="12" s="1"/>
  <c r="Q338" i="12"/>
  <c r="R338" i="12" s="1"/>
  <c r="G338" i="12"/>
  <c r="H338" i="12" s="1"/>
  <c r="O338" i="12"/>
  <c r="P338" i="12" s="1"/>
  <c r="K312" i="12"/>
  <c r="K974" i="12"/>
  <c r="Q968" i="12"/>
  <c r="R968" i="12" s="1"/>
  <c r="M963" i="12"/>
  <c r="N963" i="12" s="1"/>
  <c r="K948" i="12"/>
  <c r="I963" i="12"/>
  <c r="J963" i="12" s="1"/>
  <c r="K946" i="12"/>
  <c r="I976" i="12"/>
  <c r="J976" i="12" s="1"/>
  <c r="O973" i="12"/>
  <c r="P973" i="12" s="1"/>
  <c r="I946" i="12"/>
  <c r="J946" i="12" s="1"/>
  <c r="Q930" i="12"/>
  <c r="R930" i="12" s="1"/>
  <c r="Q918" i="12"/>
  <c r="R918" i="12" s="1"/>
  <c r="O958" i="12"/>
  <c r="P958" i="12" s="1"/>
  <c r="M924" i="12"/>
  <c r="N924" i="12" s="1"/>
  <c r="M931" i="12"/>
  <c r="N931" i="12" s="1"/>
  <c r="I912" i="12"/>
  <c r="J912" i="12" s="1"/>
  <c r="M925" i="12"/>
  <c r="N925" i="12" s="1"/>
  <c r="G925" i="12"/>
  <c r="H925" i="12" s="1"/>
  <c r="K902" i="12"/>
  <c r="K915" i="12"/>
  <c r="G931" i="12"/>
  <c r="H931" i="12" s="1"/>
  <c r="K892" i="12"/>
  <c r="I879" i="12"/>
  <c r="J879" i="12" s="1"/>
  <c r="I930" i="12"/>
  <c r="J930" i="12" s="1"/>
  <c r="K883" i="12"/>
  <c r="K860" i="12"/>
  <c r="M865" i="12"/>
  <c r="N865" i="12" s="1"/>
  <c r="O857" i="12"/>
  <c r="P857" i="12" s="1"/>
  <c r="O845" i="12"/>
  <c r="P845" i="12" s="1"/>
  <c r="Q849" i="12"/>
  <c r="R849" i="12" s="1"/>
  <c r="Q837" i="12"/>
  <c r="R837" i="12" s="1"/>
  <c r="G865" i="12"/>
  <c r="H865" i="12" s="1"/>
  <c r="G841" i="12"/>
  <c r="H841" i="12" s="1"/>
  <c r="I843" i="12"/>
  <c r="J843" i="12" s="1"/>
  <c r="K842" i="12"/>
  <c r="O822" i="12"/>
  <c r="P822" i="12" s="1"/>
  <c r="I812" i="12"/>
  <c r="J812" i="12" s="1"/>
  <c r="I800" i="12"/>
  <c r="J800" i="12" s="1"/>
  <c r="M830" i="12"/>
  <c r="N830" i="12" s="1"/>
  <c r="I828" i="12"/>
  <c r="J828" i="12" s="1"/>
  <c r="K835" i="12"/>
  <c r="I822" i="12"/>
  <c r="J822" i="12" s="1"/>
  <c r="K809" i="12"/>
  <c r="Q817" i="12"/>
  <c r="R817" i="12" s="1"/>
  <c r="M814" i="12"/>
  <c r="N814" i="12" s="1"/>
  <c r="Q818" i="12"/>
  <c r="R818" i="12" s="1"/>
  <c r="K814" i="12"/>
  <c r="O818" i="12"/>
  <c r="P818" i="12" s="1"/>
  <c r="G803" i="12"/>
  <c r="H803" i="12" s="1"/>
  <c r="K783" i="12"/>
  <c r="K771" i="12"/>
  <c r="K759" i="12"/>
  <c r="K747" i="12"/>
  <c r="K796" i="12"/>
  <c r="O768" i="12"/>
  <c r="P768" i="12" s="1"/>
  <c r="Q790" i="12"/>
  <c r="R790" i="12" s="1"/>
  <c r="Q794" i="12"/>
  <c r="R794" i="12" s="1"/>
  <c r="I781" i="12"/>
  <c r="J781" i="12" s="1"/>
  <c r="M827" i="12"/>
  <c r="N827" i="12" s="1"/>
  <c r="O788" i="12"/>
  <c r="P788" i="12" s="1"/>
  <c r="O776" i="12"/>
  <c r="P776" i="12" s="1"/>
  <c r="O752" i="12"/>
  <c r="P752" i="12" s="1"/>
  <c r="Q752" i="12"/>
  <c r="R752" i="12" s="1"/>
  <c r="O761" i="12"/>
  <c r="P761" i="12" s="1"/>
  <c r="G759" i="12"/>
  <c r="H759" i="12" s="1"/>
  <c r="I735" i="12"/>
  <c r="J735" i="12" s="1"/>
  <c r="I711" i="12"/>
  <c r="J711" i="12" s="1"/>
  <c r="I699" i="12"/>
  <c r="J699" i="12" s="1"/>
  <c r="M696" i="12"/>
  <c r="N696" i="12" s="1"/>
  <c r="K738" i="12"/>
  <c r="M767" i="12"/>
  <c r="N767" i="12" s="1"/>
  <c r="O744" i="12"/>
  <c r="P744" i="12" s="1"/>
  <c r="O739" i="12"/>
  <c r="P739" i="12" s="1"/>
  <c r="I747" i="12"/>
  <c r="J747" i="12" s="1"/>
  <c r="O686" i="12"/>
  <c r="P686" i="12" s="1"/>
  <c r="O674" i="12"/>
  <c r="P674" i="12" s="1"/>
  <c r="G671" i="12"/>
  <c r="H671" i="12" s="1"/>
  <c r="G664" i="12"/>
  <c r="H664" i="12" s="1"/>
  <c r="I657" i="12"/>
  <c r="J657" i="12" s="1"/>
  <c r="I645" i="12"/>
  <c r="J645" i="12" s="1"/>
  <c r="M620" i="12"/>
  <c r="N620" i="12" s="1"/>
  <c r="M608" i="12"/>
  <c r="N608" i="12" s="1"/>
  <c r="G650" i="12"/>
  <c r="H650" i="12" s="1"/>
  <c r="O612" i="12"/>
  <c r="P612" i="12" s="1"/>
  <c r="O600" i="12"/>
  <c r="P600" i="12" s="1"/>
  <c r="G643" i="12"/>
  <c r="H643" i="12" s="1"/>
  <c r="M630" i="12"/>
  <c r="N630" i="12" s="1"/>
  <c r="M635" i="12"/>
  <c r="N635" i="12" s="1"/>
  <c r="O682" i="12"/>
  <c r="P682" i="12" s="1"/>
  <c r="M628" i="12"/>
  <c r="N628" i="12" s="1"/>
  <c r="M616" i="12"/>
  <c r="N616" i="12" s="1"/>
  <c r="M604" i="12"/>
  <c r="N604" i="12" s="1"/>
  <c r="G630" i="12"/>
  <c r="H630" i="12" s="1"/>
  <c r="I582" i="12"/>
  <c r="J582" i="12" s="1"/>
  <c r="I570" i="12"/>
  <c r="J570" i="12" s="1"/>
  <c r="I558" i="12"/>
  <c r="J558" i="12" s="1"/>
  <c r="M605" i="12"/>
  <c r="N605" i="12" s="1"/>
  <c r="K586" i="12"/>
  <c r="K562" i="12"/>
  <c r="G599" i="12"/>
  <c r="H599" i="12" s="1"/>
  <c r="M560" i="12"/>
  <c r="N560" i="12" s="1"/>
  <c r="K598" i="12"/>
  <c r="I577" i="12"/>
  <c r="J577" i="12" s="1"/>
  <c r="M550" i="12"/>
  <c r="N550" i="12" s="1"/>
  <c r="M526" i="12"/>
  <c r="N526" i="12" s="1"/>
  <c r="K555" i="12"/>
  <c r="K543" i="12"/>
  <c r="K558" i="12"/>
  <c r="I978" i="12"/>
  <c r="J978" i="12" s="1"/>
  <c r="I971" i="12"/>
  <c r="J971" i="12" s="1"/>
  <c r="M973" i="12"/>
  <c r="N973" i="12" s="1"/>
  <c r="K968" i="12"/>
  <c r="G967" i="12"/>
  <c r="H967" i="12" s="1"/>
  <c r="M974" i="12"/>
  <c r="N974" i="12" s="1"/>
  <c r="G960" i="12"/>
  <c r="H960" i="12" s="1"/>
  <c r="M946" i="12"/>
  <c r="N946" i="12" s="1"/>
  <c r="Q957" i="12"/>
  <c r="R957" i="12" s="1"/>
  <c r="M945" i="12"/>
  <c r="N945" i="12" s="1"/>
  <c r="G968" i="12"/>
  <c r="H968" i="12" s="1"/>
  <c r="Q963" i="12"/>
  <c r="R963" i="12" s="1"/>
  <c r="M939" i="12"/>
  <c r="N939" i="12" s="1"/>
  <c r="G941" i="12"/>
  <c r="H941" i="12" s="1"/>
  <c r="G929" i="12"/>
  <c r="H929" i="12" s="1"/>
  <c r="G917" i="12"/>
  <c r="H917" i="12" s="1"/>
  <c r="O935" i="12"/>
  <c r="P935" i="12" s="1"/>
  <c r="Q939" i="12"/>
  <c r="R939" i="12" s="1"/>
  <c r="Q927" i="12"/>
  <c r="R927" i="12" s="1"/>
  <c r="G946" i="12"/>
  <c r="H946" i="12" s="1"/>
  <c r="O905" i="12"/>
  <c r="P905" i="12" s="1"/>
  <c r="O910" i="12"/>
  <c r="P910" i="12" s="1"/>
  <c r="G924" i="12"/>
  <c r="H924" i="12" s="1"/>
  <c r="O912" i="12"/>
  <c r="P912" i="12" s="1"/>
  <c r="I878" i="12"/>
  <c r="J878" i="12" s="1"/>
  <c r="M859" i="12"/>
  <c r="N859" i="12" s="1"/>
  <c r="M847" i="12"/>
  <c r="N847" i="12" s="1"/>
  <c r="K865" i="12"/>
  <c r="G860" i="12"/>
  <c r="H860" i="12" s="1"/>
  <c r="I864" i="12"/>
  <c r="J864" i="12" s="1"/>
  <c r="I840" i="12"/>
  <c r="J840" i="12" s="1"/>
  <c r="K843" i="12"/>
  <c r="Q839" i="12"/>
  <c r="R839" i="12" s="1"/>
  <c r="I838" i="12"/>
  <c r="J838" i="12" s="1"/>
  <c r="Q821" i="12"/>
  <c r="R821" i="12" s="1"/>
  <c r="I842" i="12"/>
  <c r="J842" i="12" s="1"/>
  <c r="K811" i="12"/>
  <c r="K799" i="12"/>
  <c r="M826" i="12"/>
  <c r="N826" i="12" s="1"/>
  <c r="K827" i="12"/>
  <c r="I803" i="12"/>
  <c r="J803" i="12" s="1"/>
  <c r="M809" i="12"/>
  <c r="N809" i="12" s="1"/>
  <c r="M819" i="12"/>
  <c r="N819" i="12" s="1"/>
  <c r="I807" i="12"/>
  <c r="J807" i="12" s="1"/>
  <c r="Q816" i="12"/>
  <c r="R816" i="12" s="1"/>
  <c r="K812" i="12"/>
  <c r="O817" i="12"/>
  <c r="P817" i="12" s="1"/>
  <c r="G809" i="12"/>
  <c r="H809" i="12" s="1"/>
  <c r="M817" i="12"/>
  <c r="N817" i="12" s="1"/>
  <c r="M782" i="12"/>
  <c r="N782" i="12" s="1"/>
  <c r="M770" i="12"/>
  <c r="N770" i="12" s="1"/>
  <c r="M746" i="12"/>
  <c r="N746" i="12" s="1"/>
  <c r="Q767" i="12"/>
  <c r="R767" i="12" s="1"/>
  <c r="G794" i="12"/>
  <c r="H794" i="12" s="1"/>
  <c r="G789" i="12"/>
  <c r="H789" i="12" s="1"/>
  <c r="Q793" i="12"/>
  <c r="R793" i="12" s="1"/>
  <c r="Q787" i="12"/>
  <c r="R787" i="12" s="1"/>
  <c r="Q763" i="12"/>
  <c r="R763" i="12" s="1"/>
  <c r="K792" i="12"/>
  <c r="Q759" i="12"/>
  <c r="R759" i="12" s="1"/>
  <c r="K752" i="12"/>
  <c r="M761" i="12"/>
  <c r="N761" i="12" s="1"/>
  <c r="Q770" i="12"/>
  <c r="R770" i="12" s="1"/>
  <c r="O792" i="12"/>
  <c r="P792" i="12" s="1"/>
  <c r="Q776" i="12"/>
  <c r="R776" i="12" s="1"/>
  <c r="K734" i="12"/>
  <c r="K698" i="12"/>
  <c r="G746" i="12"/>
  <c r="H746" i="12" s="1"/>
  <c r="M700" i="12"/>
  <c r="N700" i="12" s="1"/>
  <c r="Q738" i="12"/>
  <c r="R738" i="12" s="1"/>
  <c r="K746" i="12"/>
  <c r="G691" i="12"/>
  <c r="H691" i="12" s="1"/>
  <c r="G679" i="12"/>
  <c r="H679" i="12" s="1"/>
  <c r="O698" i="12"/>
  <c r="P698" i="12" s="1"/>
  <c r="M711" i="12"/>
  <c r="N711" i="12" s="1"/>
  <c r="I682" i="12"/>
  <c r="J682" i="12" s="1"/>
  <c r="G663" i="12"/>
  <c r="H663" i="12" s="1"/>
  <c r="K691" i="12"/>
  <c r="I659" i="12"/>
  <c r="J659" i="12" s="1"/>
  <c r="I647" i="12"/>
  <c r="J647" i="12" s="1"/>
  <c r="I635" i="12"/>
  <c r="J635" i="12" s="1"/>
  <c r="M705" i="12"/>
  <c r="N705" i="12" s="1"/>
  <c r="K644" i="12"/>
  <c r="I663" i="12"/>
  <c r="J663" i="12" s="1"/>
  <c r="K647" i="12"/>
  <c r="Q623" i="12"/>
  <c r="R623" i="12" s="1"/>
  <c r="Q599" i="12"/>
  <c r="R599" i="12" s="1"/>
  <c r="M667" i="12"/>
  <c r="N667" i="12" s="1"/>
  <c r="O629" i="12"/>
  <c r="P629" i="12" s="1"/>
  <c r="O617" i="12"/>
  <c r="P617" i="12" s="1"/>
  <c r="I695" i="12"/>
  <c r="J695" i="12" s="1"/>
  <c r="O615" i="12"/>
  <c r="P615" i="12" s="1"/>
  <c r="O664" i="12"/>
  <c r="P664" i="12" s="1"/>
  <c r="I629" i="12"/>
  <c r="J629" i="12" s="1"/>
  <c r="I617" i="12"/>
  <c r="J617" i="12" s="1"/>
  <c r="I605" i="12"/>
  <c r="J605" i="12" s="1"/>
  <c r="Q600" i="12"/>
  <c r="R600" i="12" s="1"/>
  <c r="K593" i="12"/>
  <c r="K581" i="12"/>
  <c r="K569" i="12"/>
  <c r="M647" i="12"/>
  <c r="N647" i="12" s="1"/>
  <c r="Q604" i="12"/>
  <c r="R604" i="12" s="1"/>
  <c r="M561" i="12"/>
  <c r="N561" i="12" s="1"/>
  <c r="Q598" i="12"/>
  <c r="R598" i="12" s="1"/>
  <c r="G653" i="12"/>
  <c r="H653" i="12" s="1"/>
  <c r="I601" i="12"/>
  <c r="J601" i="12" s="1"/>
  <c r="K576" i="12"/>
  <c r="O537" i="12"/>
  <c r="P537" i="12" s="1"/>
  <c r="Q562" i="12"/>
  <c r="R562" i="12" s="1"/>
  <c r="M554" i="12"/>
  <c r="N554" i="12" s="1"/>
  <c r="M542" i="12"/>
  <c r="N542" i="12" s="1"/>
  <c r="O546" i="12"/>
  <c r="P546" i="12" s="1"/>
  <c r="O534" i="12"/>
  <c r="P534" i="12" s="1"/>
  <c r="K546" i="12"/>
  <c r="K534" i="12"/>
  <c r="Q544" i="12"/>
  <c r="R544" i="12" s="1"/>
  <c r="I493" i="12"/>
  <c r="J493" i="12" s="1"/>
  <c r="K497" i="12"/>
  <c r="Q563" i="12"/>
  <c r="R563" i="12" s="1"/>
  <c r="K550" i="12"/>
  <c r="Q516" i="12"/>
  <c r="R516" i="12" s="1"/>
  <c r="M570" i="12"/>
  <c r="N570" i="12" s="1"/>
  <c r="G502" i="12"/>
  <c r="H502" i="12" s="1"/>
  <c r="Q482" i="12"/>
  <c r="R482" i="12" s="1"/>
  <c r="M522" i="12"/>
  <c r="N522" i="12" s="1"/>
  <c r="K478" i="12"/>
  <c r="K466" i="12"/>
  <c r="K442" i="12"/>
  <c r="K430" i="12"/>
  <c r="K406" i="12"/>
  <c r="Q414" i="12"/>
  <c r="R414" i="12" s="1"/>
  <c r="Q402" i="12"/>
  <c r="R402" i="12" s="1"/>
  <c r="Q479" i="12"/>
  <c r="R479" i="12" s="1"/>
  <c r="Q467" i="12"/>
  <c r="R467" i="12" s="1"/>
  <c r="Q455" i="12"/>
  <c r="R455" i="12" s="1"/>
  <c r="Q443" i="12"/>
  <c r="R443" i="12" s="1"/>
  <c r="Q419" i="12"/>
  <c r="R419" i="12" s="1"/>
  <c r="Q407" i="12"/>
  <c r="R407" i="12" s="1"/>
  <c r="G483" i="12"/>
  <c r="H483" i="12" s="1"/>
  <c r="G471" i="12"/>
  <c r="H471" i="12" s="1"/>
  <c r="Q435" i="12"/>
  <c r="R435" i="12" s="1"/>
  <c r="O484" i="12"/>
  <c r="P484" i="12" s="1"/>
  <c r="K390" i="12"/>
  <c r="K378" i="12"/>
  <c r="K354" i="12"/>
  <c r="I427" i="12"/>
  <c r="J427" i="12" s="1"/>
  <c r="Q386" i="12"/>
  <c r="R386" i="12" s="1"/>
  <c r="O478" i="12"/>
  <c r="P478" i="12" s="1"/>
  <c r="Q424" i="12"/>
  <c r="R424" i="12" s="1"/>
  <c r="O466" i="12"/>
  <c r="P466" i="12" s="1"/>
  <c r="Q477" i="12"/>
  <c r="R477" i="12" s="1"/>
  <c r="O419" i="12"/>
  <c r="P419" i="12" s="1"/>
  <c r="I421" i="12"/>
  <c r="J421" i="12" s="1"/>
  <c r="I451" i="12"/>
  <c r="J451" i="12" s="1"/>
  <c r="I346" i="12"/>
  <c r="J346" i="12" s="1"/>
  <c r="K451" i="12"/>
  <c r="O368" i="12"/>
  <c r="P368" i="12" s="1"/>
  <c r="G360" i="12"/>
  <c r="H360" i="12" s="1"/>
  <c r="Q390" i="12"/>
  <c r="R390" i="12" s="1"/>
  <c r="M356" i="12"/>
  <c r="N356" i="12" s="1"/>
  <c r="K295" i="12"/>
  <c r="K259" i="12"/>
  <c r="O367" i="12"/>
  <c r="P367" i="12" s="1"/>
  <c r="K977" i="12"/>
  <c r="M978" i="12"/>
  <c r="N978" i="12" s="1"/>
  <c r="Q978" i="12"/>
  <c r="R978" i="12" s="1"/>
  <c r="I966" i="12"/>
  <c r="J966" i="12" s="1"/>
  <c r="K971" i="12"/>
  <c r="I959" i="12"/>
  <c r="J959" i="12" s="1"/>
  <c r="K975" i="12"/>
  <c r="G959" i="12"/>
  <c r="H959" i="12" s="1"/>
  <c r="O945" i="12"/>
  <c r="P945" i="12" s="1"/>
  <c r="O962" i="12"/>
  <c r="P962" i="12" s="1"/>
  <c r="O938" i="12"/>
  <c r="P938" i="12" s="1"/>
  <c r="Q967" i="12"/>
  <c r="R967" i="12" s="1"/>
  <c r="Q945" i="12"/>
  <c r="R945" i="12" s="1"/>
  <c r="Q934" i="12"/>
  <c r="R934" i="12" s="1"/>
  <c r="G938" i="12"/>
  <c r="H938" i="12" s="1"/>
  <c r="Q916" i="12"/>
  <c r="R916" i="12" s="1"/>
  <c r="Q904" i="12"/>
  <c r="R904" i="12" s="1"/>
  <c r="Q925" i="12"/>
  <c r="R925" i="12" s="1"/>
  <c r="Q909" i="12"/>
  <c r="R909" i="12" s="1"/>
  <c r="O930" i="12"/>
  <c r="P930" i="12" s="1"/>
  <c r="M910" i="12"/>
  <c r="N910" i="12" s="1"/>
  <c r="K917" i="12"/>
  <c r="Q921" i="12"/>
  <c r="R921" i="12" s="1"/>
  <c r="K910" i="12"/>
  <c r="G916" i="12"/>
  <c r="H916" i="12" s="1"/>
  <c r="O913" i="12"/>
  <c r="P913" i="12" s="1"/>
  <c r="M883" i="12"/>
  <c r="N883" i="12" s="1"/>
  <c r="G879" i="12"/>
  <c r="H879" i="12" s="1"/>
  <c r="G878" i="12"/>
  <c r="H878" i="12" s="1"/>
  <c r="G866" i="12"/>
  <c r="H866" i="12" s="1"/>
  <c r="G910" i="12"/>
  <c r="H910" i="12" s="1"/>
  <c r="I872" i="12"/>
  <c r="J872" i="12" s="1"/>
  <c r="O858" i="12"/>
  <c r="P858" i="12" s="1"/>
  <c r="O846" i="12"/>
  <c r="P846" i="12" s="1"/>
  <c r="M873" i="12"/>
  <c r="N873" i="12" s="1"/>
  <c r="G843" i="12"/>
  <c r="H843" i="12" s="1"/>
  <c r="I892" i="12"/>
  <c r="J892" i="12" s="1"/>
  <c r="I859" i="12"/>
  <c r="J859" i="12" s="1"/>
  <c r="I847" i="12"/>
  <c r="J847" i="12" s="1"/>
  <c r="I835" i="12"/>
  <c r="J835" i="12" s="1"/>
  <c r="K863" i="12"/>
  <c r="K839" i="12"/>
  <c r="Q879" i="12"/>
  <c r="R879" i="12" s="1"/>
  <c r="Q866" i="12"/>
  <c r="R866" i="12" s="1"/>
  <c r="G840" i="12"/>
  <c r="H840" i="12" s="1"/>
  <c r="G834" i="12"/>
  <c r="H834" i="12" s="1"/>
  <c r="Q841" i="12"/>
  <c r="R841" i="12" s="1"/>
  <c r="M822" i="12"/>
  <c r="N822" i="12" s="1"/>
  <c r="M840" i="12"/>
  <c r="N840" i="12" s="1"/>
  <c r="G821" i="12"/>
  <c r="H821" i="12" s="1"/>
  <c r="K826" i="12"/>
  <c r="G830" i="12"/>
  <c r="H830" i="12" s="1"/>
  <c r="Q797" i="12"/>
  <c r="R797" i="12" s="1"/>
  <c r="K807" i="12"/>
  <c r="G818" i="12"/>
  <c r="H818" i="12" s="1"/>
  <c r="M813" i="12"/>
  <c r="N813" i="12" s="1"/>
  <c r="I809" i="12"/>
  <c r="J809" i="12" s="1"/>
  <c r="O816" i="12"/>
  <c r="P816" i="12" s="1"/>
  <c r="Q807" i="12"/>
  <c r="R807" i="12" s="1"/>
  <c r="M796" i="12"/>
  <c r="N796" i="12" s="1"/>
  <c r="O781" i="12"/>
  <c r="P781" i="12" s="1"/>
  <c r="O745" i="12"/>
  <c r="P745" i="12" s="1"/>
  <c r="G790" i="12"/>
  <c r="H790" i="12" s="1"/>
  <c r="G793" i="12"/>
  <c r="H793" i="12" s="1"/>
  <c r="I788" i="12"/>
  <c r="J788" i="12" s="1"/>
  <c r="Q792" i="12"/>
  <c r="R792" i="12" s="1"/>
  <c r="K800" i="12"/>
  <c r="G786" i="12"/>
  <c r="H786" i="12" s="1"/>
  <c r="G750" i="12"/>
  <c r="H750" i="12" s="1"/>
  <c r="G763" i="12"/>
  <c r="H763" i="12" s="1"/>
  <c r="G748" i="12"/>
  <c r="H748" i="12" s="1"/>
  <c r="Q754" i="12"/>
  <c r="R754" i="12" s="1"/>
  <c r="I768" i="12"/>
  <c r="J768" i="12" s="1"/>
  <c r="Q788" i="12"/>
  <c r="R788" i="12" s="1"/>
  <c r="M697" i="12"/>
  <c r="N697" i="12" s="1"/>
  <c r="M745" i="12"/>
  <c r="N745" i="12" s="1"/>
  <c r="O700" i="12"/>
  <c r="P700" i="12" s="1"/>
  <c r="O735" i="12"/>
  <c r="P735" i="12" s="1"/>
  <c r="O711" i="12"/>
  <c r="P711" i="12" s="1"/>
  <c r="O699" i="12"/>
  <c r="P699" i="12" s="1"/>
  <c r="O794" i="12"/>
  <c r="P794" i="12" s="1"/>
  <c r="K744" i="12"/>
  <c r="I678" i="12"/>
  <c r="J678" i="12" s="1"/>
  <c r="G684" i="12"/>
  <c r="H684" i="12" s="1"/>
  <c r="K700" i="12"/>
  <c r="K681" i="12"/>
  <c r="K669" i="12"/>
  <c r="G662" i="12"/>
  <c r="H662" i="12" s="1"/>
  <c r="K658" i="12"/>
  <c r="K646" i="12"/>
  <c r="K634" i="12"/>
  <c r="M643" i="12"/>
  <c r="N643" i="12" s="1"/>
  <c r="Q739" i="12"/>
  <c r="R739" i="12" s="1"/>
  <c r="O659" i="12"/>
  <c r="P659" i="12" s="1"/>
  <c r="O647" i="12"/>
  <c r="P647" i="12" s="1"/>
  <c r="O635" i="12"/>
  <c r="P635" i="12" s="1"/>
  <c r="I662" i="12"/>
  <c r="J662" i="12" s="1"/>
  <c r="Q630" i="12"/>
  <c r="R630" i="12" s="1"/>
  <c r="Q644" i="12"/>
  <c r="R644" i="12" s="1"/>
  <c r="G622" i="12"/>
  <c r="H622" i="12" s="1"/>
  <c r="G610" i="12"/>
  <c r="H610" i="12" s="1"/>
  <c r="G598" i="12"/>
  <c r="H598" i="12" s="1"/>
  <c r="K662" i="12"/>
  <c r="Q628" i="12"/>
  <c r="R628" i="12" s="1"/>
  <c r="Q616" i="12"/>
  <c r="R616" i="12" s="1"/>
  <c r="G659" i="12"/>
  <c r="H659" i="12" s="1"/>
  <c r="O657" i="12"/>
  <c r="P657" i="12" s="1"/>
  <c r="Q626" i="12"/>
  <c r="R626" i="12" s="1"/>
  <c r="Q614" i="12"/>
  <c r="R614" i="12" s="1"/>
  <c r="K628" i="12"/>
  <c r="K616" i="12"/>
  <c r="K604" i="12"/>
  <c r="M599" i="12"/>
  <c r="N599" i="12" s="1"/>
  <c r="M592" i="12"/>
  <c r="N592" i="12" s="1"/>
  <c r="M600" i="12"/>
  <c r="N600" i="12" s="1"/>
  <c r="O560" i="12"/>
  <c r="P560" i="12" s="1"/>
  <c r="Q582" i="12"/>
  <c r="R582" i="12" s="1"/>
  <c r="Q570" i="12"/>
  <c r="R570" i="12" s="1"/>
  <c r="Q558" i="12"/>
  <c r="R558" i="12" s="1"/>
  <c r="O598" i="12"/>
  <c r="P598" i="12" s="1"/>
  <c r="I566" i="12"/>
  <c r="J566" i="12" s="1"/>
  <c r="O558" i="12"/>
  <c r="P558" i="12" s="1"/>
  <c r="I561" i="12"/>
  <c r="J561" i="12" s="1"/>
  <c r="O529" i="12"/>
  <c r="P529" i="12" s="1"/>
  <c r="G597" i="12"/>
  <c r="H597" i="12" s="1"/>
  <c r="Q557" i="12"/>
  <c r="R557" i="12" s="1"/>
  <c r="Q533" i="12"/>
  <c r="R533" i="12" s="1"/>
  <c r="O570" i="12"/>
  <c r="P570" i="12" s="1"/>
  <c r="M557" i="12"/>
  <c r="N557" i="12" s="1"/>
  <c r="M533" i="12"/>
  <c r="N533" i="12" s="1"/>
  <c r="M976" i="12"/>
  <c r="N976" i="12" s="1"/>
  <c r="Q971" i="12"/>
  <c r="R971" i="12" s="1"/>
  <c r="O977" i="12"/>
  <c r="P977" i="12" s="1"/>
  <c r="G974" i="12"/>
  <c r="H974" i="12" s="1"/>
  <c r="M967" i="12"/>
  <c r="N967" i="12" s="1"/>
  <c r="I958" i="12"/>
  <c r="J958" i="12" s="1"/>
  <c r="G971" i="12"/>
  <c r="H971" i="12" s="1"/>
  <c r="G958" i="12"/>
  <c r="H958" i="12" s="1"/>
  <c r="Q955" i="12"/>
  <c r="R955" i="12" s="1"/>
  <c r="M960" i="12"/>
  <c r="N960" i="12" s="1"/>
  <c r="M966" i="12"/>
  <c r="N966" i="12" s="1"/>
  <c r="K939" i="12"/>
  <c r="K927" i="12"/>
  <c r="K955" i="12"/>
  <c r="K958" i="12"/>
  <c r="G921" i="12"/>
  <c r="H921" i="12" s="1"/>
  <c r="I925" i="12"/>
  <c r="J925" i="12" s="1"/>
  <c r="G915" i="12"/>
  <c r="H915" i="12" s="1"/>
  <c r="G953" i="12"/>
  <c r="H953" i="12" s="1"/>
  <c r="K924" i="12"/>
  <c r="O927" i="12"/>
  <c r="P927" i="12" s="1"/>
  <c r="O909" i="12"/>
  <c r="P909" i="12" s="1"/>
  <c r="O879" i="12"/>
  <c r="P879" i="12" s="1"/>
  <c r="O907" i="12"/>
  <c r="P907" i="12" s="1"/>
  <c r="G912" i="12"/>
  <c r="H912" i="12" s="1"/>
  <c r="O902" i="12"/>
  <c r="P902" i="12" s="1"/>
  <c r="I865" i="12"/>
  <c r="J865" i="12" s="1"/>
  <c r="Q857" i="12"/>
  <c r="R857" i="12" s="1"/>
  <c r="Q845" i="12"/>
  <c r="R845" i="12" s="1"/>
  <c r="K941" i="12"/>
  <c r="K858" i="12"/>
  <c r="K846" i="12"/>
  <c r="K834" i="12"/>
  <c r="M838" i="12"/>
  <c r="N838" i="12" s="1"/>
  <c r="Q878" i="12"/>
  <c r="R878" i="12" s="1"/>
  <c r="Q864" i="12"/>
  <c r="R864" i="12" s="1"/>
  <c r="I819" i="12"/>
  <c r="J819" i="12" s="1"/>
  <c r="G838" i="12"/>
  <c r="H838" i="12" s="1"/>
  <c r="O821" i="12"/>
  <c r="P821" i="12" s="1"/>
  <c r="O809" i="12"/>
  <c r="P809" i="12" s="1"/>
  <c r="O797" i="12"/>
  <c r="P797" i="12" s="1"/>
  <c r="I839" i="12"/>
  <c r="J839" i="12" s="1"/>
  <c r="Q819" i="12"/>
  <c r="R819" i="12" s="1"/>
  <c r="G828" i="12"/>
  <c r="H828" i="12" s="1"/>
  <c r="O842" i="12"/>
  <c r="P842" i="12" s="1"/>
  <c r="O813" i="12"/>
  <c r="P813" i="12" s="1"/>
  <c r="Q803" i="12"/>
  <c r="R803" i="12" s="1"/>
  <c r="M843" i="12"/>
  <c r="N843" i="12" s="1"/>
  <c r="I813" i="12"/>
  <c r="J813" i="12" s="1"/>
  <c r="K794" i="12"/>
  <c r="Q768" i="12"/>
  <c r="R768" i="12" s="1"/>
  <c r="Q744" i="12"/>
  <c r="R744" i="12" s="1"/>
  <c r="I789" i="12"/>
  <c r="J789" i="12" s="1"/>
  <c r="I765" i="12"/>
  <c r="J765" i="12" s="1"/>
  <c r="G792" i="12"/>
  <c r="H792" i="12" s="1"/>
  <c r="M807" i="12"/>
  <c r="N807" i="12" s="1"/>
  <c r="O790" i="12"/>
  <c r="P790" i="12" s="1"/>
  <c r="K803" i="12"/>
  <c r="I761" i="12"/>
  <c r="J761" i="12" s="1"/>
  <c r="I749" i="12"/>
  <c r="J749" i="12" s="1"/>
  <c r="G754" i="12"/>
  <c r="H754" i="12" s="1"/>
  <c r="M790" i="12"/>
  <c r="N790" i="12" s="1"/>
  <c r="O750" i="12"/>
  <c r="P750" i="12" s="1"/>
  <c r="O765" i="12"/>
  <c r="P765" i="12" s="1"/>
  <c r="I782" i="12"/>
  <c r="J782" i="12" s="1"/>
  <c r="I763" i="12"/>
  <c r="J763" i="12" s="1"/>
  <c r="O696" i="12"/>
  <c r="P696" i="12" s="1"/>
  <c r="G741" i="12"/>
  <c r="H741" i="12" s="1"/>
  <c r="G705" i="12"/>
  <c r="H705" i="12" s="1"/>
  <c r="Q735" i="12"/>
  <c r="R735" i="12" s="1"/>
  <c r="Q711" i="12"/>
  <c r="R711" i="12" s="1"/>
  <c r="Q699" i="12"/>
  <c r="R699" i="12" s="1"/>
  <c r="O749" i="12"/>
  <c r="P749" i="12" s="1"/>
  <c r="Q734" i="12"/>
  <c r="R734" i="12" s="1"/>
  <c r="Q698" i="12"/>
  <c r="R698" i="12" s="1"/>
  <c r="I700" i="12"/>
  <c r="J700" i="12" s="1"/>
  <c r="O704" i="12"/>
  <c r="P704" i="12" s="1"/>
  <c r="I671" i="12"/>
  <c r="J671" i="12" s="1"/>
  <c r="M668" i="12"/>
  <c r="N668" i="12" s="1"/>
  <c r="M657" i="12"/>
  <c r="N657" i="12" s="1"/>
  <c r="M645" i="12"/>
  <c r="N645" i="12" s="1"/>
  <c r="O678" i="12"/>
  <c r="P678" i="12" s="1"/>
  <c r="O642" i="12"/>
  <c r="P642" i="12" s="1"/>
  <c r="Q658" i="12"/>
  <c r="R658" i="12" s="1"/>
  <c r="Q646" i="12"/>
  <c r="R646" i="12" s="1"/>
  <c r="Q634" i="12"/>
  <c r="R634" i="12" s="1"/>
  <c r="G629" i="12"/>
  <c r="H629" i="12" s="1"/>
  <c r="G617" i="12"/>
  <c r="H617" i="12" s="1"/>
  <c r="G605" i="12"/>
  <c r="H605" i="12" s="1"/>
  <c r="I643" i="12"/>
  <c r="J643" i="12" s="1"/>
  <c r="I609" i="12"/>
  <c r="J609" i="12" s="1"/>
  <c r="I597" i="12"/>
  <c r="J597" i="12" s="1"/>
  <c r="G615" i="12"/>
  <c r="H615" i="12" s="1"/>
  <c r="G681" i="12"/>
  <c r="H681" i="12" s="1"/>
  <c r="Q657" i="12"/>
  <c r="R657" i="12" s="1"/>
  <c r="M653" i="12"/>
  <c r="N653" i="12" s="1"/>
  <c r="G613" i="12"/>
  <c r="H613" i="12" s="1"/>
  <c r="G601" i="12"/>
  <c r="H601" i="12" s="1"/>
  <c r="M615" i="12"/>
  <c r="N615" i="12" s="1"/>
  <c r="I598" i="12"/>
  <c r="J598" i="12" s="1"/>
  <c r="I599" i="12"/>
  <c r="J599" i="12" s="1"/>
  <c r="G593" i="12"/>
  <c r="H593" i="12" s="1"/>
  <c r="G581" i="12"/>
  <c r="H581" i="12" s="1"/>
  <c r="G569" i="12"/>
  <c r="H569" i="12" s="1"/>
  <c r="O582" i="12"/>
  <c r="P582" i="12" s="1"/>
  <c r="G620" i="12"/>
  <c r="H620" i="12" s="1"/>
  <c r="M563" i="12"/>
  <c r="N563" i="12" s="1"/>
  <c r="G535" i="12"/>
  <c r="H535" i="12" s="1"/>
  <c r="G614" i="12"/>
  <c r="H614" i="12" s="1"/>
  <c r="M558" i="12"/>
  <c r="N558" i="12" s="1"/>
  <c r="O593" i="12"/>
  <c r="P593" i="12" s="1"/>
  <c r="G556" i="12"/>
  <c r="H556" i="12" s="1"/>
  <c r="G544" i="12"/>
  <c r="H544" i="12" s="1"/>
  <c r="O556" i="12"/>
  <c r="P556" i="12" s="1"/>
  <c r="O544" i="12"/>
  <c r="P544" i="12" s="1"/>
  <c r="Q556" i="12"/>
  <c r="R556" i="12" s="1"/>
  <c r="Q535" i="12"/>
  <c r="R535" i="12" s="1"/>
  <c r="K588" i="12"/>
  <c r="O519" i="12"/>
  <c r="P519" i="12" s="1"/>
  <c r="O507" i="12"/>
  <c r="P507" i="12" s="1"/>
  <c r="O495" i="12"/>
  <c r="P495" i="12" s="1"/>
  <c r="Q511" i="12"/>
  <c r="R511" i="12" s="1"/>
  <c r="Q499" i="12"/>
  <c r="R499" i="12" s="1"/>
  <c r="I432" i="12"/>
  <c r="J432" i="12" s="1"/>
  <c r="G495" i="12"/>
  <c r="H495" i="12" s="1"/>
  <c r="O476" i="12"/>
  <c r="P476" i="12" s="1"/>
  <c r="O464" i="12"/>
  <c r="P464" i="12" s="1"/>
  <c r="I484" i="12"/>
  <c r="J484" i="12" s="1"/>
  <c r="I460" i="12"/>
  <c r="J460" i="12" s="1"/>
  <c r="I448" i="12"/>
  <c r="J448" i="12" s="1"/>
  <c r="I424" i="12"/>
  <c r="J424" i="12" s="1"/>
  <c r="I412" i="12"/>
  <c r="J412" i="12" s="1"/>
  <c r="I496" i="12"/>
  <c r="J496" i="12" s="1"/>
  <c r="I477" i="12"/>
  <c r="J477" i="12" s="1"/>
  <c r="I465" i="12"/>
  <c r="J465" i="12" s="1"/>
  <c r="I453" i="12"/>
  <c r="J453" i="12" s="1"/>
  <c r="I429" i="12"/>
  <c r="J429" i="12" s="1"/>
  <c r="I417" i="12"/>
  <c r="J417" i="12" s="1"/>
  <c r="G519" i="12"/>
  <c r="H519" i="12" s="1"/>
  <c r="K506" i="12"/>
  <c r="Q430" i="12"/>
  <c r="R430" i="12" s="1"/>
  <c r="K445" i="12"/>
  <c r="O340" i="12"/>
  <c r="P340" i="12" s="1"/>
  <c r="I409" i="12"/>
  <c r="J409" i="12" s="1"/>
  <c r="I384" i="12"/>
  <c r="J384" i="12" s="1"/>
  <c r="I360" i="12"/>
  <c r="J360" i="12" s="1"/>
  <c r="I336" i="12"/>
  <c r="J336" i="12" s="1"/>
  <c r="G464" i="12"/>
  <c r="H464" i="12" s="1"/>
  <c r="Q411" i="12"/>
  <c r="R411" i="12" s="1"/>
  <c r="K457" i="12"/>
  <c r="O406" i="12"/>
  <c r="P406" i="12" s="1"/>
  <c r="I403" i="12"/>
  <c r="J403" i="12" s="1"/>
  <c r="I433" i="12"/>
  <c r="J433" i="12" s="1"/>
  <c r="I369" i="12"/>
  <c r="J369" i="12" s="1"/>
  <c r="K340" i="12"/>
  <c r="G390" i="12"/>
  <c r="H390" i="12" s="1"/>
  <c r="I363" i="12"/>
  <c r="J363" i="12" s="1"/>
  <c r="Q378" i="12"/>
  <c r="R378" i="12" s="1"/>
  <c r="G429" i="12"/>
  <c r="H429" i="12" s="1"/>
  <c r="O359" i="12"/>
  <c r="P359" i="12" s="1"/>
  <c r="M378" i="12"/>
  <c r="N378" i="12" s="1"/>
  <c r="O360" i="12"/>
  <c r="P360" i="12" s="1"/>
  <c r="O317" i="12"/>
  <c r="P317" i="12" s="1"/>
  <c r="O305" i="12"/>
  <c r="P305" i="12" s="1"/>
  <c r="O293" i="12"/>
  <c r="P293" i="12" s="1"/>
  <c r="O281" i="12"/>
  <c r="P281" i="12" s="1"/>
  <c r="O269" i="12"/>
  <c r="P269" i="12" s="1"/>
  <c r="O233" i="12"/>
  <c r="P233" i="12" s="1"/>
  <c r="Q336" i="12"/>
  <c r="R336" i="12" s="1"/>
  <c r="O975" i="12"/>
  <c r="P975" i="12" s="1"/>
  <c r="Q976" i="12"/>
  <c r="R976" i="12" s="1"/>
  <c r="M964" i="12"/>
  <c r="N964" i="12" s="1"/>
  <c r="M962" i="12"/>
  <c r="N962" i="12" s="1"/>
  <c r="G955" i="12"/>
  <c r="H955" i="12" s="1"/>
  <c r="G954" i="12"/>
  <c r="H954" i="12" s="1"/>
  <c r="I964" i="12"/>
  <c r="J964" i="12" s="1"/>
  <c r="M955" i="12"/>
  <c r="N955" i="12" s="1"/>
  <c r="M959" i="12"/>
  <c r="N959" i="12" s="1"/>
  <c r="O955" i="12"/>
  <c r="P955" i="12" s="1"/>
  <c r="M938" i="12"/>
  <c r="N938" i="12" s="1"/>
  <c r="I920" i="12"/>
  <c r="J920" i="12" s="1"/>
  <c r="M957" i="12"/>
  <c r="N957" i="12" s="1"/>
  <c r="I929" i="12"/>
  <c r="J929" i="12" s="1"/>
  <c r="I907" i="12"/>
  <c r="J907" i="12" s="1"/>
  <c r="I924" i="12"/>
  <c r="J924" i="12" s="1"/>
  <c r="Q938" i="12"/>
  <c r="R938" i="12" s="1"/>
  <c r="Q894" i="12"/>
  <c r="R894" i="12" s="1"/>
  <c r="K918" i="12"/>
  <c r="I919" i="12"/>
  <c r="J919" i="12" s="1"/>
  <c r="K878" i="12"/>
  <c r="G902" i="12"/>
  <c r="H902" i="12" s="1"/>
  <c r="M954" i="12"/>
  <c r="N954" i="12" s="1"/>
  <c r="M927" i="12"/>
  <c r="N927" i="12" s="1"/>
  <c r="O865" i="12"/>
  <c r="P865" i="12" s="1"/>
  <c r="O894" i="12"/>
  <c r="P894" i="12" s="1"/>
  <c r="M866" i="12"/>
  <c r="N866" i="12" s="1"/>
  <c r="M857" i="12"/>
  <c r="N857" i="12" s="1"/>
  <c r="M845" i="12"/>
  <c r="N845" i="12" s="1"/>
  <c r="O849" i="12"/>
  <c r="P849" i="12" s="1"/>
  <c r="O837" i="12"/>
  <c r="P837" i="12" s="1"/>
  <c r="G863" i="12"/>
  <c r="H863" i="12" s="1"/>
  <c r="I857" i="12"/>
  <c r="J857" i="12" s="1"/>
  <c r="K830" i="12"/>
  <c r="K818" i="12"/>
  <c r="Q808" i="12"/>
  <c r="R808" i="12" s="1"/>
  <c r="Q796" i="12"/>
  <c r="R796" i="12" s="1"/>
  <c r="O834" i="12"/>
  <c r="P834" i="12" s="1"/>
  <c r="M818" i="12"/>
  <c r="N818" i="12" s="1"/>
  <c r="I827" i="12"/>
  <c r="J827" i="12" s="1"/>
  <c r="I808" i="12"/>
  <c r="J808" i="12" s="1"/>
  <c r="K813" i="12"/>
  <c r="G839" i="12"/>
  <c r="H839" i="12" s="1"/>
  <c r="G812" i="12"/>
  <c r="H812" i="12" s="1"/>
  <c r="G767" i="12"/>
  <c r="H767" i="12" s="1"/>
  <c r="K788" i="12"/>
  <c r="K776" i="12"/>
  <c r="Q789" i="12"/>
  <c r="R789" i="12" s="1"/>
  <c r="G800" i="12"/>
  <c r="H800" i="12" s="1"/>
  <c r="K784" i="12"/>
  <c r="K760" i="12"/>
  <c r="K748" i="12"/>
  <c r="G747" i="12"/>
  <c r="H747" i="12" s="1"/>
  <c r="M786" i="12"/>
  <c r="N786" i="12" s="1"/>
  <c r="K749" i="12"/>
  <c r="I786" i="12"/>
  <c r="J786" i="12" s="1"/>
  <c r="G771" i="12"/>
  <c r="H771" i="12" s="1"/>
  <c r="M754" i="12"/>
  <c r="N754" i="12" s="1"/>
  <c r="Q695" i="12"/>
  <c r="R695" i="12" s="1"/>
  <c r="I704" i="12"/>
  <c r="J704" i="12" s="1"/>
  <c r="G752" i="12"/>
  <c r="H752" i="12" s="1"/>
  <c r="G734" i="12"/>
  <c r="H734" i="12" s="1"/>
  <c r="G698" i="12"/>
  <c r="H698" i="12" s="1"/>
  <c r="O748" i="12"/>
  <c r="P748" i="12" s="1"/>
  <c r="G697" i="12"/>
  <c r="H697" i="12" s="1"/>
  <c r="M744" i="12"/>
  <c r="N744" i="12" s="1"/>
  <c r="K735" i="12"/>
  <c r="K711" i="12"/>
  <c r="K699" i="12"/>
  <c r="G686" i="12"/>
  <c r="H686" i="12" s="1"/>
  <c r="M676" i="12"/>
  <c r="N676" i="12" s="1"/>
  <c r="M699" i="12"/>
  <c r="N699" i="12" s="1"/>
  <c r="K682" i="12"/>
  <c r="O691" i="12"/>
  <c r="P691" i="12" s="1"/>
  <c r="O679" i="12"/>
  <c r="P679" i="12" s="1"/>
  <c r="O667" i="12"/>
  <c r="P667" i="12" s="1"/>
  <c r="O644" i="12"/>
  <c r="P644" i="12" s="1"/>
  <c r="I668" i="12"/>
  <c r="J668" i="12" s="1"/>
  <c r="Q653" i="12"/>
  <c r="R653" i="12" s="1"/>
  <c r="G657" i="12"/>
  <c r="H657" i="12" s="1"/>
  <c r="G645" i="12"/>
  <c r="H645" i="12" s="1"/>
  <c r="G696" i="12"/>
  <c r="H696" i="12" s="1"/>
  <c r="O671" i="12"/>
  <c r="P671" i="12" s="1"/>
  <c r="I628" i="12"/>
  <c r="J628" i="12" s="1"/>
  <c r="I616" i="12"/>
  <c r="J616" i="12" s="1"/>
  <c r="I604" i="12"/>
  <c r="J604" i="12" s="1"/>
  <c r="Q642" i="12"/>
  <c r="R642" i="12" s="1"/>
  <c r="I634" i="12"/>
  <c r="J634" i="12" s="1"/>
  <c r="K620" i="12"/>
  <c r="K608" i="12"/>
  <c r="K596" i="12"/>
  <c r="I626" i="12"/>
  <c r="J626" i="12" s="1"/>
  <c r="I614" i="12"/>
  <c r="J614" i="12" s="1"/>
  <c r="G667" i="12"/>
  <c r="H667" i="12" s="1"/>
  <c r="M652" i="12"/>
  <c r="N652" i="12" s="1"/>
  <c r="I612" i="12"/>
  <c r="J612" i="12" s="1"/>
  <c r="I600" i="12"/>
  <c r="J600" i="12" s="1"/>
  <c r="K657" i="12"/>
  <c r="I652" i="12"/>
  <c r="J652" i="12" s="1"/>
  <c r="O626" i="12"/>
  <c r="P626" i="12" s="1"/>
  <c r="O614" i="12"/>
  <c r="P614" i="12" s="1"/>
  <c r="Q578" i="12"/>
  <c r="R578" i="12" s="1"/>
  <c r="Q566" i="12"/>
  <c r="R566" i="12" s="1"/>
  <c r="G582" i="12"/>
  <c r="H582" i="12" s="1"/>
  <c r="G570" i="12"/>
  <c r="H570" i="12" s="1"/>
  <c r="G558" i="12"/>
  <c r="H558" i="12" s="1"/>
  <c r="I592" i="12"/>
  <c r="J592" i="12" s="1"/>
  <c r="M634" i="12"/>
  <c r="N634" i="12" s="1"/>
  <c r="Q593" i="12"/>
  <c r="R593" i="12" s="1"/>
  <c r="Q581" i="12"/>
  <c r="R581" i="12" s="1"/>
  <c r="K613" i="12"/>
  <c r="I546" i="12"/>
  <c r="J546" i="12" s="1"/>
  <c r="I534" i="12"/>
  <c r="J534" i="12" s="1"/>
  <c r="G566" i="12"/>
  <c r="H566" i="12" s="1"/>
  <c r="Q592" i="12"/>
  <c r="R592" i="12" s="1"/>
  <c r="G551" i="12"/>
  <c r="H551" i="12" s="1"/>
  <c r="O592" i="12"/>
  <c r="P592" i="12" s="1"/>
  <c r="I555" i="12"/>
  <c r="J555" i="12" s="1"/>
  <c r="I543" i="12"/>
  <c r="J543" i="12" s="1"/>
  <c r="K601" i="12"/>
  <c r="Q555" i="12"/>
  <c r="R555" i="12" s="1"/>
  <c r="Q543" i="12"/>
  <c r="R543" i="12" s="1"/>
  <c r="I551" i="12"/>
  <c r="J551" i="12" s="1"/>
  <c r="O554" i="12"/>
  <c r="P554" i="12" s="1"/>
  <c r="K526" i="12"/>
  <c r="O502" i="12"/>
  <c r="P502" i="12" s="1"/>
  <c r="Q506" i="12"/>
  <c r="R506" i="12" s="1"/>
  <c r="Q494" i="12"/>
  <c r="R494" i="12" s="1"/>
  <c r="G522" i="12"/>
  <c r="H522" i="12" s="1"/>
  <c r="G510" i="12"/>
  <c r="H510" i="12" s="1"/>
  <c r="K479" i="12"/>
  <c r="K467" i="12"/>
  <c r="K455" i="12"/>
  <c r="K443" i="12"/>
  <c r="K419" i="12"/>
  <c r="K407" i="12"/>
  <c r="Q451" i="12"/>
  <c r="R451" i="12" s="1"/>
  <c r="Q439" i="12"/>
  <c r="R439" i="12" s="1"/>
  <c r="Q427" i="12"/>
  <c r="R427" i="12" s="1"/>
  <c r="Q415" i="12"/>
  <c r="R415" i="12" s="1"/>
  <c r="Q403" i="12"/>
  <c r="R403" i="12" s="1"/>
  <c r="K483" i="12"/>
  <c r="K471" i="12"/>
  <c r="K447" i="12"/>
  <c r="K435" i="12"/>
  <c r="K411" i="12"/>
  <c r="K399" i="12"/>
  <c r="M493" i="12"/>
  <c r="N493" i="12" s="1"/>
  <c r="K476" i="12"/>
  <c r="K464" i="12"/>
  <c r="Q387" i="12"/>
  <c r="R387" i="12" s="1"/>
  <c r="Q363" i="12"/>
  <c r="R363" i="12" s="1"/>
  <c r="Q339" i="12"/>
  <c r="R339" i="12" s="1"/>
  <c r="I464" i="12"/>
  <c r="J464" i="12" s="1"/>
  <c r="O407" i="12"/>
  <c r="P407" i="12" s="1"/>
  <c r="K383" i="12"/>
  <c r="K371" i="12"/>
  <c r="K359" i="12"/>
  <c r="K335" i="12"/>
  <c r="M407" i="12"/>
  <c r="N407" i="12" s="1"/>
  <c r="Q526" i="12"/>
  <c r="R526" i="12" s="1"/>
  <c r="K432" i="12"/>
  <c r="I383" i="12"/>
  <c r="J383" i="12" s="1"/>
  <c r="O386" i="12"/>
  <c r="P386" i="12" s="1"/>
  <c r="M367" i="12"/>
  <c r="N367" i="12" s="1"/>
  <c r="G339" i="12"/>
  <c r="H339" i="12" s="1"/>
  <c r="M386" i="12"/>
  <c r="N386" i="12" s="1"/>
  <c r="M387" i="12"/>
  <c r="N387" i="12" s="1"/>
  <c r="M361" i="12"/>
  <c r="N361" i="12" s="1"/>
  <c r="K402" i="12"/>
  <c r="Q383" i="12"/>
  <c r="R383" i="12" s="1"/>
  <c r="G411" i="12"/>
  <c r="H411" i="12" s="1"/>
  <c r="Q353" i="12"/>
  <c r="R353" i="12" s="1"/>
  <c r="Q316" i="12"/>
  <c r="R316" i="12" s="1"/>
  <c r="Q292" i="12"/>
  <c r="R292" i="12" s="1"/>
  <c r="Q280" i="12"/>
  <c r="R280" i="12" s="1"/>
  <c r="Q268" i="12"/>
  <c r="R268" i="12" s="1"/>
  <c r="Q232" i="12"/>
  <c r="R232" i="12" s="1"/>
  <c r="G335" i="12"/>
  <c r="H335" i="12" s="1"/>
  <c r="M323" i="12"/>
  <c r="N323" i="12" s="1"/>
  <c r="Q974" i="12"/>
  <c r="R974" i="12" s="1"/>
  <c r="G975" i="12"/>
  <c r="H975" i="12" s="1"/>
  <c r="O963" i="12"/>
  <c r="P963" i="12" s="1"/>
  <c r="K960" i="12"/>
  <c r="I955" i="12"/>
  <c r="J955" i="12" s="1"/>
  <c r="K962" i="12"/>
  <c r="I954" i="12"/>
  <c r="J954" i="12" s="1"/>
  <c r="I953" i="12"/>
  <c r="J953" i="12" s="1"/>
  <c r="G962" i="12"/>
  <c r="H962" i="12" s="1"/>
  <c r="O954" i="12"/>
  <c r="P954" i="12" s="1"/>
  <c r="K957" i="12"/>
  <c r="I935" i="12"/>
  <c r="J935" i="12" s="1"/>
  <c r="O925" i="12"/>
  <c r="P925" i="12" s="1"/>
  <c r="O948" i="12"/>
  <c r="P948" i="12" s="1"/>
  <c r="K931" i="12"/>
  <c r="K919" i="12"/>
  <c r="M935" i="12"/>
  <c r="N935" i="12" s="1"/>
  <c r="O924" i="12"/>
  <c r="P924" i="12" s="1"/>
  <c r="K913" i="12"/>
  <c r="G920" i="12"/>
  <c r="H920" i="12" s="1"/>
  <c r="G907" i="12"/>
  <c r="H907" i="12" s="1"/>
  <c r="O946" i="12"/>
  <c r="P946" i="12" s="1"/>
  <c r="Q920" i="12"/>
  <c r="R920" i="12" s="1"/>
  <c r="Q893" i="12"/>
  <c r="R893" i="12" s="1"/>
  <c r="M915" i="12"/>
  <c r="N915" i="12" s="1"/>
  <c r="Q905" i="12"/>
  <c r="R905" i="12" s="1"/>
  <c r="G918" i="12"/>
  <c r="H918" i="12" s="1"/>
  <c r="M909" i="12"/>
  <c r="N909" i="12" s="1"/>
  <c r="G894" i="12"/>
  <c r="H894" i="12" s="1"/>
  <c r="Q913" i="12"/>
  <c r="R913" i="12" s="1"/>
  <c r="M913" i="12"/>
  <c r="N913" i="12" s="1"/>
  <c r="K894" i="12"/>
  <c r="M864" i="12"/>
  <c r="N864" i="12" s="1"/>
  <c r="O892" i="12"/>
  <c r="P892" i="12" s="1"/>
  <c r="Q907" i="12"/>
  <c r="R907" i="12" s="1"/>
  <c r="Q860" i="12"/>
  <c r="R860" i="12" s="1"/>
  <c r="O872" i="12"/>
  <c r="P872" i="12" s="1"/>
  <c r="G871" i="12"/>
  <c r="H871" i="12" s="1"/>
  <c r="G819" i="12"/>
  <c r="H819" i="12" s="1"/>
  <c r="G807" i="12"/>
  <c r="H807" i="12" s="1"/>
  <c r="I826" i="12"/>
  <c r="J826" i="12" s="1"/>
  <c r="Q834" i="12"/>
  <c r="R834" i="12" s="1"/>
  <c r="O841" i="12"/>
  <c r="P841" i="12" s="1"/>
  <c r="M800" i="12"/>
  <c r="N800" i="12" s="1"/>
  <c r="I811" i="12"/>
  <c r="J811" i="12" s="1"/>
  <c r="M837" i="12"/>
  <c r="N837" i="12" s="1"/>
  <c r="G811" i="12"/>
  <c r="H811" i="12" s="1"/>
  <c r="I790" i="12"/>
  <c r="J790" i="12" s="1"/>
  <c r="I754" i="12"/>
  <c r="J754" i="12" s="1"/>
  <c r="M787" i="12"/>
  <c r="N787" i="12" s="1"/>
  <c r="M763" i="12"/>
  <c r="N763" i="12" s="1"/>
  <c r="O807" i="12"/>
  <c r="P807" i="12" s="1"/>
  <c r="G788" i="12"/>
  <c r="H788" i="12" s="1"/>
  <c r="G776" i="12"/>
  <c r="H776" i="12" s="1"/>
  <c r="K828" i="12"/>
  <c r="M783" i="12"/>
  <c r="N783" i="12" s="1"/>
  <c r="M771" i="12"/>
  <c r="N771" i="12" s="1"/>
  <c r="M759" i="12"/>
  <c r="N759" i="12" s="1"/>
  <c r="M747" i="12"/>
  <c r="N747" i="12" s="1"/>
  <c r="I770" i="12"/>
  <c r="J770" i="12" s="1"/>
  <c r="G783" i="12"/>
  <c r="H783" i="12" s="1"/>
  <c r="G787" i="12"/>
  <c r="H787" i="12" s="1"/>
  <c r="O767" i="12"/>
  <c r="P767" i="12" s="1"/>
  <c r="K761" i="12"/>
  <c r="K767" i="12"/>
  <c r="G694" i="12"/>
  <c r="H694" i="12" s="1"/>
  <c r="K739" i="12"/>
  <c r="Q749" i="12"/>
  <c r="R749" i="12" s="1"/>
  <c r="I697" i="12"/>
  <c r="J697" i="12" s="1"/>
  <c r="Q747" i="12"/>
  <c r="R747" i="12" s="1"/>
  <c r="I696" i="12"/>
  <c r="J696" i="12" s="1"/>
  <c r="M734" i="12"/>
  <c r="N734" i="12" s="1"/>
  <c r="M698" i="12"/>
  <c r="N698" i="12" s="1"/>
  <c r="O695" i="12"/>
  <c r="P695" i="12" s="1"/>
  <c r="M681" i="12"/>
  <c r="N681" i="12" s="1"/>
  <c r="M669" i="12"/>
  <c r="N669" i="12" s="1"/>
  <c r="Q678" i="12"/>
  <c r="R678" i="12" s="1"/>
  <c r="G676" i="12"/>
  <c r="H676" i="12" s="1"/>
  <c r="K671" i="12"/>
  <c r="Q643" i="12"/>
  <c r="R643" i="12" s="1"/>
  <c r="G652" i="12"/>
  <c r="H652" i="12" s="1"/>
  <c r="Q682" i="12"/>
  <c r="R682" i="12" s="1"/>
  <c r="I644" i="12"/>
  <c r="J644" i="12" s="1"/>
  <c r="Q668" i="12"/>
  <c r="R668" i="12" s="1"/>
  <c r="K615" i="12"/>
  <c r="K686" i="12"/>
  <c r="G647" i="12"/>
  <c r="H647" i="12" s="1"/>
  <c r="K667" i="12"/>
  <c r="O652" i="12"/>
  <c r="P652" i="12" s="1"/>
  <c r="K623" i="12"/>
  <c r="K599" i="12"/>
  <c r="K653" i="12"/>
  <c r="Q613" i="12"/>
  <c r="R613" i="12" s="1"/>
  <c r="G577" i="12"/>
  <c r="H577" i="12" s="1"/>
  <c r="I593" i="12"/>
  <c r="J593" i="12" s="1"/>
  <c r="I581" i="12"/>
  <c r="J581" i="12" s="1"/>
  <c r="I569" i="12"/>
  <c r="J569" i="12" s="1"/>
  <c r="O628" i="12"/>
  <c r="P628" i="12" s="1"/>
  <c r="G592" i="12"/>
  <c r="H592" i="12" s="1"/>
  <c r="M612" i="12"/>
  <c r="N612" i="12" s="1"/>
  <c r="G578" i="12"/>
  <c r="H578" i="12" s="1"/>
  <c r="K557" i="12"/>
  <c r="K533" i="12"/>
  <c r="I550" i="12"/>
  <c r="J550" i="12" s="1"/>
  <c r="M597" i="12"/>
  <c r="N597" i="12" s="1"/>
  <c r="K554" i="12"/>
  <c r="K542" i="12"/>
  <c r="G554" i="12"/>
  <c r="H554" i="12" s="1"/>
  <c r="G542" i="12"/>
  <c r="H542" i="12" s="1"/>
  <c r="G493" i="12"/>
  <c r="H493" i="12" s="1"/>
  <c r="I497" i="12"/>
  <c r="J497" i="12" s="1"/>
  <c r="M543" i="12"/>
  <c r="N543" i="12" s="1"/>
  <c r="M512" i="12"/>
  <c r="N512" i="12" s="1"/>
  <c r="M478" i="12"/>
  <c r="N478" i="12" s="1"/>
  <c r="M466" i="12"/>
  <c r="N466" i="12" s="1"/>
  <c r="M442" i="12"/>
  <c r="N442" i="12" s="1"/>
  <c r="M430" i="12"/>
  <c r="N430" i="12" s="1"/>
  <c r="M406" i="12"/>
  <c r="N406" i="12" s="1"/>
  <c r="G497" i="12"/>
  <c r="H497" i="12" s="1"/>
  <c r="G414" i="12"/>
  <c r="H414" i="12" s="1"/>
  <c r="K512" i="12"/>
  <c r="M482" i="12"/>
  <c r="N482" i="12" s="1"/>
  <c r="I494" i="12"/>
  <c r="J494" i="12" s="1"/>
  <c r="M451" i="12"/>
  <c r="N451" i="12" s="1"/>
  <c r="M439" i="12"/>
  <c r="N439" i="12" s="1"/>
  <c r="M427" i="12"/>
  <c r="N427" i="12" s="1"/>
  <c r="M415" i="12"/>
  <c r="N415" i="12" s="1"/>
  <c r="M403" i="12"/>
  <c r="N403" i="12" s="1"/>
  <c r="O497" i="12"/>
  <c r="P497" i="12" s="1"/>
  <c r="O479" i="12"/>
  <c r="P479" i="12" s="1"/>
  <c r="M485" i="12"/>
  <c r="N485" i="12" s="1"/>
  <c r="Q417" i="12"/>
  <c r="R417" i="12" s="1"/>
  <c r="K427" i="12"/>
  <c r="G386" i="12"/>
  <c r="H386" i="12" s="1"/>
  <c r="M461" i="12"/>
  <c r="N461" i="12" s="1"/>
  <c r="M358" i="12"/>
  <c r="N358" i="12" s="1"/>
  <c r="M346" i="12"/>
  <c r="N346" i="12" s="1"/>
  <c r="Q406" i="12"/>
  <c r="R406" i="12" s="1"/>
  <c r="K439" i="12"/>
  <c r="O455" i="12"/>
  <c r="P455" i="12" s="1"/>
  <c r="I415" i="12"/>
  <c r="J415" i="12" s="1"/>
  <c r="K380" i="12"/>
  <c r="G383" i="12"/>
  <c r="H383" i="12" s="1"/>
  <c r="K386" i="12"/>
  <c r="Q358" i="12"/>
  <c r="R358" i="12" s="1"/>
  <c r="Q471" i="12"/>
  <c r="R471" i="12" s="1"/>
  <c r="I401" i="12"/>
  <c r="J401" i="12" s="1"/>
  <c r="K368" i="12"/>
  <c r="M432" i="12"/>
  <c r="N432" i="12" s="1"/>
  <c r="G327" i="12"/>
  <c r="H327" i="12" s="1"/>
  <c r="G315" i="12"/>
  <c r="H315" i="12" s="1"/>
  <c r="G303" i="12"/>
  <c r="H303" i="12" s="1"/>
  <c r="G291" i="12"/>
  <c r="H291" i="12" s="1"/>
  <c r="G279" i="12"/>
  <c r="H279" i="12" s="1"/>
  <c r="G267" i="12"/>
  <c r="H267" i="12" s="1"/>
  <c r="G255" i="12"/>
  <c r="H255" i="12" s="1"/>
  <c r="G231" i="12"/>
  <c r="H231" i="12" s="1"/>
  <c r="O322" i="12"/>
  <c r="P322" i="12" s="1"/>
  <c r="G973" i="12"/>
  <c r="H973" i="12" s="1"/>
  <c r="G978" i="12"/>
  <c r="H978" i="12" s="1"/>
  <c r="I974" i="12"/>
  <c r="J974" i="12" s="1"/>
  <c r="O976" i="12"/>
  <c r="P976" i="12" s="1"/>
  <c r="Q962" i="12"/>
  <c r="R962" i="12" s="1"/>
  <c r="I957" i="12"/>
  <c r="J957" i="12" s="1"/>
  <c r="K954" i="12"/>
  <c r="G957" i="12"/>
  <c r="H957" i="12" s="1"/>
  <c r="K953" i="12"/>
  <c r="K964" i="12"/>
  <c r="Q960" i="12"/>
  <c r="R960" i="12" s="1"/>
  <c r="Q953" i="12"/>
  <c r="R953" i="12" s="1"/>
  <c r="K934" i="12"/>
  <c r="G945" i="12"/>
  <c r="H945" i="12" s="1"/>
  <c r="Q924" i="12"/>
  <c r="R924" i="12" s="1"/>
  <c r="M930" i="12"/>
  <c r="N930" i="12" s="1"/>
  <c r="O934" i="12"/>
  <c r="P934" i="12" s="1"/>
  <c r="Q954" i="12"/>
  <c r="R954" i="12" s="1"/>
  <c r="O921" i="12"/>
  <c r="P921" i="12" s="1"/>
  <c r="M912" i="12"/>
  <c r="N912" i="12" s="1"/>
  <c r="M921" i="12"/>
  <c r="N921" i="12" s="1"/>
  <c r="O918" i="12"/>
  <c r="P918" i="12" s="1"/>
  <c r="M905" i="12"/>
  <c r="N905" i="12" s="1"/>
  <c r="I921" i="12"/>
  <c r="J921" i="12" s="1"/>
  <c r="I894" i="12"/>
  <c r="J894" i="12" s="1"/>
  <c r="I909" i="12"/>
  <c r="J909" i="12" s="1"/>
  <c r="O960" i="12"/>
  <c r="P960" i="12" s="1"/>
  <c r="Q892" i="12"/>
  <c r="R892" i="12" s="1"/>
  <c r="K904" i="12"/>
  <c r="I915" i="12"/>
  <c r="J915" i="12" s="1"/>
  <c r="G892" i="12"/>
  <c r="H892" i="12" s="1"/>
  <c r="O893" i="12"/>
  <c r="P893" i="12" s="1"/>
  <c r="O873" i="12"/>
  <c r="P873" i="12" s="1"/>
  <c r="O863" i="12"/>
  <c r="P863" i="12" s="1"/>
  <c r="Q843" i="12"/>
  <c r="R843" i="12" s="1"/>
  <c r="G859" i="12"/>
  <c r="H859" i="12" s="1"/>
  <c r="G847" i="12"/>
  <c r="H847" i="12" s="1"/>
  <c r="G835" i="12"/>
  <c r="H835" i="12" s="1"/>
  <c r="K849" i="12"/>
  <c r="G858" i="12"/>
  <c r="H858" i="12" s="1"/>
  <c r="G864" i="12"/>
  <c r="H864" i="12" s="1"/>
  <c r="O828" i="12"/>
  <c r="P828" i="12" s="1"/>
  <c r="I830" i="12"/>
  <c r="J830" i="12" s="1"/>
  <c r="I818" i="12"/>
  <c r="J818" i="12" s="1"/>
  <c r="I794" i="12"/>
  <c r="J794" i="12" s="1"/>
  <c r="Q809" i="12"/>
  <c r="R809" i="12" s="1"/>
  <c r="I817" i="12"/>
  <c r="J817" i="12" s="1"/>
  <c r="Q800" i="12"/>
  <c r="R800" i="12" s="1"/>
  <c r="K838" i="12"/>
  <c r="G846" i="12"/>
  <c r="H846" i="12" s="1"/>
  <c r="Q835" i="12"/>
  <c r="R835" i="12" s="1"/>
  <c r="K789" i="12"/>
  <c r="K765" i="12"/>
  <c r="O786" i="12"/>
  <c r="P786" i="12" s="1"/>
  <c r="I787" i="12"/>
  <c r="J787" i="12" s="1"/>
  <c r="Q822" i="12"/>
  <c r="R822" i="12" s="1"/>
  <c r="O796" i="12"/>
  <c r="P796" i="12" s="1"/>
  <c r="O782" i="12"/>
  <c r="P782" i="12" s="1"/>
  <c r="O770" i="12"/>
  <c r="P770" i="12" s="1"/>
  <c r="O746" i="12"/>
  <c r="P746" i="12" s="1"/>
  <c r="K816" i="12"/>
  <c r="K787" i="12"/>
  <c r="Q760" i="12"/>
  <c r="R760" i="12" s="1"/>
  <c r="I741" i="12"/>
  <c r="J741" i="12" s="1"/>
  <c r="I705" i="12"/>
  <c r="J705" i="12" s="1"/>
  <c r="M738" i="12"/>
  <c r="N738" i="12" s="1"/>
  <c r="Q748" i="12"/>
  <c r="R748" i="12" s="1"/>
  <c r="K696" i="12"/>
  <c r="I745" i="12"/>
  <c r="J745" i="12" s="1"/>
  <c r="K695" i="12"/>
  <c r="Q784" i="12"/>
  <c r="R784" i="12" s="1"/>
  <c r="O697" i="12"/>
  <c r="P697" i="12" s="1"/>
  <c r="Q686" i="12"/>
  <c r="R686" i="12" s="1"/>
  <c r="Q674" i="12"/>
  <c r="R674" i="12" s="1"/>
  <c r="O668" i="12"/>
  <c r="P668" i="12" s="1"/>
  <c r="Q694" i="12"/>
  <c r="R694" i="12" s="1"/>
  <c r="I667" i="12"/>
  <c r="J667" i="12" s="1"/>
  <c r="G642" i="12"/>
  <c r="H642" i="12" s="1"/>
  <c r="G682" i="12"/>
  <c r="H682" i="12" s="1"/>
  <c r="K679" i="12"/>
  <c r="M664" i="12"/>
  <c r="N664" i="12" s="1"/>
  <c r="I681" i="12"/>
  <c r="J681" i="12" s="1"/>
  <c r="K643" i="12"/>
  <c r="I686" i="12"/>
  <c r="J686" i="12" s="1"/>
  <c r="O663" i="12"/>
  <c r="P663" i="12" s="1"/>
  <c r="M626" i="12"/>
  <c r="N626" i="12" s="1"/>
  <c r="M614" i="12"/>
  <c r="N614" i="12" s="1"/>
  <c r="O630" i="12"/>
  <c r="P630" i="12" s="1"/>
  <c r="I679" i="12"/>
  <c r="J679" i="12" s="1"/>
  <c r="M644" i="12"/>
  <c r="N644" i="12" s="1"/>
  <c r="M659" i="12"/>
  <c r="N659" i="12" s="1"/>
  <c r="K659" i="12"/>
  <c r="I646" i="12"/>
  <c r="J646" i="12" s="1"/>
  <c r="M622" i="12"/>
  <c r="N622" i="12" s="1"/>
  <c r="M610" i="12"/>
  <c r="N610" i="12" s="1"/>
  <c r="M598" i="12"/>
  <c r="N598" i="12" s="1"/>
  <c r="G612" i="12"/>
  <c r="H612" i="12" s="1"/>
  <c r="O610" i="12"/>
  <c r="P610" i="12" s="1"/>
  <c r="I588" i="12"/>
  <c r="J588" i="12" s="1"/>
  <c r="I576" i="12"/>
  <c r="J576" i="12" s="1"/>
  <c r="K630" i="12"/>
  <c r="K592" i="12"/>
  <c r="M578" i="12"/>
  <c r="N578" i="12" s="1"/>
  <c r="M566" i="12"/>
  <c r="N566" i="12" s="1"/>
  <c r="M617" i="12"/>
  <c r="N617" i="12" s="1"/>
  <c r="G600" i="12"/>
  <c r="H600" i="12" s="1"/>
  <c r="O575" i="12"/>
  <c r="P575" i="12" s="1"/>
  <c r="M556" i="12"/>
  <c r="N556" i="12" s="1"/>
  <c r="M544" i="12"/>
  <c r="N544" i="12" s="1"/>
  <c r="I557" i="12"/>
  <c r="J557" i="12" s="1"/>
  <c r="K537" i="12"/>
  <c r="O587" i="12"/>
  <c r="P587" i="12" s="1"/>
  <c r="M588" i="12"/>
  <c r="N588" i="12" s="1"/>
  <c r="M529" i="12"/>
  <c r="N529" i="12" s="1"/>
  <c r="M546" i="12"/>
  <c r="N546" i="12" s="1"/>
  <c r="G512" i="12"/>
  <c r="H512" i="12" s="1"/>
  <c r="I516" i="12"/>
  <c r="J516" i="12" s="1"/>
  <c r="I504" i="12"/>
  <c r="J504" i="12" s="1"/>
  <c r="K496" i="12"/>
  <c r="O511" i="12"/>
  <c r="P511" i="12" s="1"/>
  <c r="O526" i="12"/>
  <c r="P526" i="12" s="1"/>
  <c r="I495" i="12"/>
  <c r="J495" i="12" s="1"/>
  <c r="O477" i="12"/>
  <c r="P477" i="12" s="1"/>
  <c r="O465" i="12"/>
  <c r="P465" i="12" s="1"/>
  <c r="O453" i="12"/>
  <c r="P453" i="12" s="1"/>
  <c r="O429" i="12"/>
  <c r="P429" i="12" s="1"/>
  <c r="O417" i="12"/>
  <c r="P417" i="12" s="1"/>
  <c r="Q496" i="12"/>
  <c r="R496" i="12" s="1"/>
  <c r="I485" i="12"/>
  <c r="J485" i="12" s="1"/>
  <c r="I473" i="12"/>
  <c r="J473" i="12" s="1"/>
  <c r="I461" i="12"/>
  <c r="J461" i="12" s="1"/>
  <c r="I437" i="12"/>
  <c r="J437" i="12" s="1"/>
  <c r="I425" i="12"/>
  <c r="J425" i="12" s="1"/>
  <c r="M511" i="12"/>
  <c r="N511" i="12" s="1"/>
  <c r="O457" i="12"/>
  <c r="P457" i="12" s="1"/>
  <c r="O445" i="12"/>
  <c r="P445" i="12" s="1"/>
  <c r="O433" i="12"/>
  <c r="P433" i="12" s="1"/>
  <c r="O421" i="12"/>
  <c r="P421" i="12" s="1"/>
  <c r="O409" i="12"/>
  <c r="P409" i="12" s="1"/>
  <c r="O397" i="12"/>
  <c r="P397" i="12" s="1"/>
  <c r="O414" i="12"/>
  <c r="P414" i="12" s="1"/>
  <c r="O402" i="12"/>
  <c r="P402" i="12" s="1"/>
  <c r="G496" i="12"/>
  <c r="H496" i="12" s="1"/>
  <c r="Q478" i="12"/>
  <c r="R478" i="12" s="1"/>
  <c r="M473" i="12"/>
  <c r="N473" i="12" s="1"/>
  <c r="I361" i="12"/>
  <c r="J361" i="12" s="1"/>
  <c r="O448" i="12"/>
  <c r="P448" i="12" s="1"/>
  <c r="O369" i="12"/>
  <c r="P369" i="12" s="1"/>
  <c r="O333" i="12"/>
  <c r="P333" i="12" s="1"/>
  <c r="G453" i="12"/>
  <c r="H453" i="12" s="1"/>
  <c r="G399" i="12"/>
  <c r="H399" i="12" s="1"/>
  <c r="M455" i="12"/>
  <c r="N455" i="12" s="1"/>
  <c r="M402" i="12"/>
  <c r="N402" i="12" s="1"/>
  <c r="K414" i="12"/>
  <c r="Q379" i="12"/>
  <c r="R379" i="12" s="1"/>
  <c r="G378" i="12"/>
  <c r="H378" i="12" s="1"/>
  <c r="Q384" i="12"/>
  <c r="R384" i="12" s="1"/>
  <c r="K363" i="12"/>
  <c r="O384" i="12"/>
  <c r="P384" i="12" s="1"/>
  <c r="K387" i="12"/>
  <c r="M414" i="12"/>
  <c r="N414" i="12" s="1"/>
  <c r="I377" i="12"/>
  <c r="J377" i="12" s="1"/>
  <c r="G341" i="12"/>
  <c r="H341" i="12" s="1"/>
  <c r="I290" i="12"/>
  <c r="J290" i="12" s="1"/>
  <c r="I254" i="12"/>
  <c r="J254" i="12" s="1"/>
  <c r="I242" i="12"/>
  <c r="J242" i="12" s="1"/>
  <c r="Q328" i="12"/>
  <c r="R328" i="12" s="1"/>
  <c r="Q321" i="12"/>
  <c r="R321" i="12" s="1"/>
  <c r="I977" i="12"/>
  <c r="J977" i="12" s="1"/>
  <c r="K973" i="12"/>
  <c r="I973" i="12"/>
  <c r="J973" i="12" s="1"/>
  <c r="M953" i="12"/>
  <c r="N953" i="12" s="1"/>
  <c r="I962" i="12"/>
  <c r="J962" i="12" s="1"/>
  <c r="Q959" i="12"/>
  <c r="R959" i="12" s="1"/>
  <c r="G935" i="12"/>
  <c r="H935" i="12" s="1"/>
  <c r="O941" i="12"/>
  <c r="P941" i="12" s="1"/>
  <c r="O929" i="12"/>
  <c r="P929" i="12" s="1"/>
  <c r="O953" i="12"/>
  <c r="P953" i="12" s="1"/>
  <c r="K920" i="12"/>
  <c r="K945" i="12"/>
  <c r="O916" i="12"/>
  <c r="P916" i="12" s="1"/>
  <c r="Q935" i="12"/>
  <c r="R935" i="12" s="1"/>
  <c r="M918" i="12"/>
  <c r="N918" i="12" s="1"/>
  <c r="K905" i="12"/>
  <c r="K893" i="12"/>
  <c r="M919" i="12"/>
  <c r="N919" i="12" s="1"/>
  <c r="I903" i="12"/>
  <c r="J903" i="12" s="1"/>
  <c r="I893" i="12"/>
  <c r="J893" i="12" s="1"/>
  <c r="K909" i="12"/>
  <c r="Q873" i="12"/>
  <c r="R873" i="12" s="1"/>
  <c r="O866" i="12"/>
  <c r="P866" i="12" s="1"/>
  <c r="G842" i="12"/>
  <c r="H842" i="12" s="1"/>
  <c r="I858" i="12"/>
  <c r="J858" i="12" s="1"/>
  <c r="I846" i="12"/>
  <c r="J846" i="12" s="1"/>
  <c r="I834" i="12"/>
  <c r="J834" i="12" s="1"/>
  <c r="M860" i="12"/>
  <c r="N860" i="12" s="1"/>
  <c r="Q840" i="12"/>
  <c r="R840" i="12" s="1"/>
  <c r="Q827" i="12"/>
  <c r="R827" i="12" s="1"/>
  <c r="O840" i="12"/>
  <c r="P840" i="12" s="1"/>
  <c r="K817" i="12"/>
  <c r="K793" i="12"/>
  <c r="O808" i="12"/>
  <c r="P808" i="12" s="1"/>
  <c r="I816" i="12"/>
  <c r="J816" i="12" s="1"/>
  <c r="K822" i="12"/>
  <c r="Q799" i="12"/>
  <c r="R799" i="12" s="1"/>
  <c r="M841" i="12"/>
  <c r="N841" i="12" s="1"/>
  <c r="I845" i="12"/>
  <c r="J845" i="12" s="1"/>
  <c r="M788" i="12"/>
  <c r="N788" i="12" s="1"/>
  <c r="M776" i="12"/>
  <c r="N776" i="12" s="1"/>
  <c r="M752" i="12"/>
  <c r="N752" i="12" s="1"/>
  <c r="I793" i="12"/>
  <c r="J793" i="12" s="1"/>
  <c r="Q761" i="12"/>
  <c r="R761" i="12" s="1"/>
  <c r="K786" i="12"/>
  <c r="M794" i="12"/>
  <c r="N794" i="12" s="1"/>
  <c r="Q781" i="12"/>
  <c r="R781" i="12" s="1"/>
  <c r="Q745" i="12"/>
  <c r="R745" i="12" s="1"/>
  <c r="G765" i="12"/>
  <c r="H765" i="12" s="1"/>
  <c r="O783" i="12"/>
  <c r="P783" i="12" s="1"/>
  <c r="K781" i="12"/>
  <c r="G797" i="12"/>
  <c r="H797" i="12" s="1"/>
  <c r="K704" i="12"/>
  <c r="M760" i="12"/>
  <c r="N760" i="12" s="1"/>
  <c r="K745" i="12"/>
  <c r="M695" i="12"/>
  <c r="N695" i="12" s="1"/>
  <c r="M694" i="12"/>
  <c r="N694" i="12" s="1"/>
  <c r="O754" i="12"/>
  <c r="P754" i="12" s="1"/>
  <c r="Q696" i="12"/>
  <c r="R696" i="12" s="1"/>
  <c r="K694" i="12"/>
  <c r="K750" i="12"/>
  <c r="Q691" i="12"/>
  <c r="R691" i="12" s="1"/>
  <c r="Q679" i="12"/>
  <c r="R679" i="12" s="1"/>
  <c r="Q667" i="12"/>
  <c r="R667" i="12" s="1"/>
  <c r="I676" i="12"/>
  <c r="J676" i="12" s="1"/>
  <c r="I664" i="12"/>
  <c r="J664" i="12" s="1"/>
  <c r="M691" i="12"/>
  <c r="N691" i="12" s="1"/>
  <c r="I653" i="12"/>
  <c r="J653" i="12" s="1"/>
  <c r="Q681" i="12"/>
  <c r="R681" i="12" s="1"/>
  <c r="Q676" i="12"/>
  <c r="R676" i="12" s="1"/>
  <c r="M663" i="12"/>
  <c r="N663" i="12" s="1"/>
  <c r="K650" i="12"/>
  <c r="M678" i="12"/>
  <c r="N678" i="12" s="1"/>
  <c r="M642" i="12"/>
  <c r="N642" i="12" s="1"/>
  <c r="O613" i="12"/>
  <c r="P613" i="12" s="1"/>
  <c r="Q629" i="12"/>
  <c r="R629" i="12" s="1"/>
  <c r="Q617" i="12"/>
  <c r="R617" i="12" s="1"/>
  <c r="Q605" i="12"/>
  <c r="R605" i="12" s="1"/>
  <c r="O623" i="12"/>
  <c r="P623" i="12" s="1"/>
  <c r="Q645" i="12"/>
  <c r="R645" i="12" s="1"/>
  <c r="G644" i="12"/>
  <c r="H644" i="12" s="1"/>
  <c r="O609" i="12"/>
  <c r="P609" i="12" s="1"/>
  <c r="O597" i="12"/>
  <c r="P597" i="12" s="1"/>
  <c r="M650" i="12"/>
  <c r="N650" i="12" s="1"/>
  <c r="I623" i="12"/>
  <c r="J623" i="12" s="1"/>
  <c r="Q610" i="12"/>
  <c r="R610" i="12" s="1"/>
  <c r="G608" i="12"/>
  <c r="H608" i="12" s="1"/>
  <c r="K587" i="12"/>
  <c r="K575" i="12"/>
  <c r="K563" i="12"/>
  <c r="M629" i="12"/>
  <c r="N629" i="12" s="1"/>
  <c r="O616" i="12"/>
  <c r="P616" i="12" s="1"/>
  <c r="O577" i="12"/>
  <c r="P577" i="12" s="1"/>
  <c r="K578" i="12"/>
  <c r="O555" i="12"/>
  <c r="P555" i="12" s="1"/>
  <c r="O543" i="12"/>
  <c r="P543" i="12" s="1"/>
  <c r="M575" i="12"/>
  <c r="N575" i="12" s="1"/>
  <c r="K556" i="12"/>
  <c r="Q586" i="12"/>
  <c r="R586" i="12" s="1"/>
  <c r="O586" i="12"/>
  <c r="P586" i="12" s="1"/>
  <c r="K577" i="12"/>
  <c r="G543" i="12"/>
  <c r="H543" i="12" s="1"/>
  <c r="I542" i="12"/>
  <c r="J542" i="12" s="1"/>
  <c r="I511" i="12"/>
  <c r="J511" i="12" s="1"/>
  <c r="I499" i="12"/>
  <c r="J499" i="12" s="1"/>
  <c r="I596" i="12"/>
  <c r="J596" i="12" s="1"/>
  <c r="Q529" i="12"/>
  <c r="R529" i="12" s="1"/>
  <c r="M519" i="12"/>
  <c r="N519" i="12" s="1"/>
  <c r="M507" i="12"/>
  <c r="N507" i="12" s="1"/>
  <c r="M495" i="12"/>
  <c r="N495" i="12" s="1"/>
  <c r="M534" i="12"/>
  <c r="N534" i="12" s="1"/>
  <c r="Q522" i="12"/>
  <c r="R522" i="12" s="1"/>
  <c r="Q510" i="12"/>
  <c r="R510" i="12" s="1"/>
  <c r="I529" i="12"/>
  <c r="J529" i="12" s="1"/>
  <c r="Q476" i="12"/>
  <c r="R476" i="12" s="1"/>
  <c r="Q464" i="12"/>
  <c r="R464" i="12" s="1"/>
  <c r="M494" i="12"/>
  <c r="N494" i="12" s="1"/>
  <c r="K484" i="12"/>
  <c r="K460" i="12"/>
  <c r="K448" i="12"/>
  <c r="K424" i="12"/>
  <c r="K412" i="12"/>
  <c r="O504" i="12"/>
  <c r="P504" i="12" s="1"/>
  <c r="Q432" i="12"/>
  <c r="R432" i="12" s="1"/>
  <c r="Q485" i="12"/>
  <c r="R485" i="12" s="1"/>
  <c r="Q473" i="12"/>
  <c r="R473" i="12" s="1"/>
  <c r="Q461" i="12"/>
  <c r="R461" i="12" s="1"/>
  <c r="Q437" i="12"/>
  <c r="R437" i="12" s="1"/>
  <c r="Q425" i="12"/>
  <c r="R425" i="12" s="1"/>
  <c r="Q401" i="12"/>
  <c r="R401" i="12" s="1"/>
  <c r="M510" i="12"/>
  <c r="N510" i="12" s="1"/>
  <c r="K493" i="12"/>
  <c r="G477" i="12"/>
  <c r="H477" i="12" s="1"/>
  <c r="O461" i="12"/>
  <c r="P461" i="12" s="1"/>
  <c r="Q412" i="12"/>
  <c r="R412" i="12" s="1"/>
  <c r="K409" i="12"/>
  <c r="K384" i="12"/>
  <c r="K360" i="12"/>
  <c r="K336" i="12"/>
  <c r="Q483" i="12"/>
  <c r="R483" i="12" s="1"/>
  <c r="Q380" i="12"/>
  <c r="R380" i="12" s="1"/>
  <c r="Q368" i="12"/>
  <c r="R368" i="12" s="1"/>
  <c r="Q356" i="12"/>
  <c r="R356" i="12" s="1"/>
  <c r="Q332" i="12"/>
  <c r="R332" i="12" s="1"/>
  <c r="Q447" i="12"/>
  <c r="R447" i="12" s="1"/>
  <c r="K421" i="12"/>
  <c r="O442" i="12"/>
  <c r="P442" i="12" s="1"/>
  <c r="I397" i="12"/>
  <c r="J397" i="12" s="1"/>
  <c r="O361" i="12"/>
  <c r="P361" i="12" s="1"/>
  <c r="I333" i="12"/>
  <c r="J333" i="12" s="1"/>
  <c r="Q371" i="12"/>
  <c r="R371" i="12" s="1"/>
  <c r="M379" i="12"/>
  <c r="N379" i="12" s="1"/>
  <c r="M368" i="12"/>
  <c r="N368" i="12" s="1"/>
  <c r="Q343" i="12"/>
  <c r="R343" i="12" s="1"/>
  <c r="M336" i="12"/>
  <c r="N336" i="12" s="1"/>
  <c r="M369" i="12"/>
  <c r="N369" i="12" s="1"/>
  <c r="M343" i="12"/>
  <c r="N343" i="12" s="1"/>
  <c r="K289" i="12"/>
  <c r="K277" i="12"/>
  <c r="K241" i="12"/>
  <c r="K229" i="12"/>
  <c r="M363" i="12"/>
  <c r="N363" i="12" s="1"/>
  <c r="K976" i="12"/>
  <c r="O978" i="12"/>
  <c r="P978" i="12" s="1"/>
  <c r="K978" i="12"/>
  <c r="Q975" i="12"/>
  <c r="R975" i="12" s="1"/>
  <c r="I960" i="12"/>
  <c r="J960" i="12" s="1"/>
  <c r="O968" i="12"/>
  <c r="P968" i="12" s="1"/>
  <c r="Q958" i="12"/>
  <c r="R958" i="12" s="1"/>
  <c r="Q964" i="12"/>
  <c r="R964" i="12" s="1"/>
  <c r="G964" i="12"/>
  <c r="H964" i="12" s="1"/>
  <c r="I934" i="12"/>
  <c r="J934" i="12" s="1"/>
  <c r="G919" i="12"/>
  <c r="H919" i="12" s="1"/>
  <c r="Q910" i="12"/>
  <c r="R910" i="12" s="1"/>
  <c r="Q915" i="12"/>
  <c r="R915" i="12" s="1"/>
  <c r="Q919" i="12"/>
  <c r="R919" i="12" s="1"/>
  <c r="M916" i="12"/>
  <c r="N916" i="12" s="1"/>
  <c r="M904" i="12"/>
  <c r="N904" i="12" s="1"/>
  <c r="M892" i="12"/>
  <c r="N892" i="12" s="1"/>
  <c r="G905" i="12"/>
  <c r="H905" i="12" s="1"/>
  <c r="Q912" i="12"/>
  <c r="R912" i="12" s="1"/>
  <c r="O920" i="12"/>
  <c r="P920" i="12" s="1"/>
  <c r="I917" i="12"/>
  <c r="J917" i="12" s="1"/>
  <c r="I910" i="12"/>
  <c r="J910" i="12" s="1"/>
  <c r="K935" i="12"/>
  <c r="Q903" i="12"/>
  <c r="R903" i="12" s="1"/>
  <c r="G872" i="12"/>
  <c r="H872" i="12" s="1"/>
  <c r="I905" i="12"/>
  <c r="J905" i="12" s="1"/>
  <c r="O864" i="12"/>
  <c r="P864" i="12" s="1"/>
  <c r="Q871" i="12"/>
  <c r="R871" i="12" s="1"/>
  <c r="G849" i="12"/>
  <c r="H849" i="12" s="1"/>
  <c r="K866" i="12"/>
  <c r="I841" i="12"/>
  <c r="J841" i="12" s="1"/>
  <c r="G873" i="12"/>
  <c r="H873" i="12" s="1"/>
  <c r="K857" i="12"/>
  <c r="K845" i="12"/>
  <c r="G904" i="12"/>
  <c r="H904" i="12" s="1"/>
  <c r="O859" i="12"/>
  <c r="P859" i="12" s="1"/>
  <c r="O847" i="12"/>
  <c r="P847" i="12" s="1"/>
  <c r="M872" i="12"/>
  <c r="N872" i="12" s="1"/>
  <c r="O839" i="12"/>
  <c r="P839" i="12" s="1"/>
  <c r="G826" i="12"/>
  <c r="H826" i="12" s="1"/>
  <c r="Q883" i="12"/>
  <c r="R883" i="12" s="1"/>
  <c r="M828" i="12"/>
  <c r="N828" i="12" s="1"/>
  <c r="M816" i="12"/>
  <c r="N816" i="12" s="1"/>
  <c r="M792" i="12"/>
  <c r="N792" i="12" s="1"/>
  <c r="M849" i="12"/>
  <c r="N849" i="12" s="1"/>
  <c r="G814" i="12"/>
  <c r="H814" i="12" s="1"/>
  <c r="O819" i="12"/>
  <c r="P819" i="12" s="1"/>
  <c r="G817" i="12"/>
  <c r="H817" i="12" s="1"/>
  <c r="M842" i="12"/>
  <c r="N842" i="12" s="1"/>
  <c r="Q830" i="12"/>
  <c r="R830" i="12" s="1"/>
  <c r="O787" i="12"/>
  <c r="P787" i="12" s="1"/>
  <c r="O763" i="12"/>
  <c r="P763" i="12" s="1"/>
  <c r="I792" i="12"/>
  <c r="J792" i="12" s="1"/>
  <c r="G784" i="12"/>
  <c r="H784" i="12" s="1"/>
  <c r="G760" i="12"/>
  <c r="H760" i="12" s="1"/>
  <c r="O800" i="12"/>
  <c r="P800" i="12" s="1"/>
  <c r="M793" i="12"/>
  <c r="N793" i="12" s="1"/>
  <c r="G768" i="12"/>
  <c r="H768" i="12" s="1"/>
  <c r="G744" i="12"/>
  <c r="H744" i="12" s="1"/>
  <c r="I776" i="12"/>
  <c r="J776" i="12" s="1"/>
  <c r="I752" i="12"/>
  <c r="J752" i="12" s="1"/>
  <c r="O793" i="12"/>
  <c r="P793" i="12" s="1"/>
  <c r="M739" i="12"/>
  <c r="N739" i="12" s="1"/>
  <c r="Q700" i="12"/>
  <c r="R700" i="12" s="1"/>
  <c r="O694" i="12"/>
  <c r="P694" i="12" s="1"/>
  <c r="O741" i="12"/>
  <c r="P741" i="12" s="1"/>
  <c r="O705" i="12"/>
  <c r="P705" i="12" s="1"/>
  <c r="I750" i="12"/>
  <c r="J750" i="12" s="1"/>
  <c r="G695" i="12"/>
  <c r="H695" i="12" s="1"/>
  <c r="Q746" i="12"/>
  <c r="R746" i="12" s="1"/>
  <c r="I684" i="12"/>
  <c r="J684" i="12" s="1"/>
  <c r="G678" i="12"/>
  <c r="H678" i="12" s="1"/>
  <c r="M741" i="12"/>
  <c r="N741" i="12" s="1"/>
  <c r="K663" i="12"/>
  <c r="M684" i="12"/>
  <c r="N684" i="12" s="1"/>
  <c r="K684" i="12"/>
  <c r="Q664" i="12"/>
  <c r="R664" i="12" s="1"/>
  <c r="K652" i="12"/>
  <c r="M679" i="12"/>
  <c r="N679" i="12" s="1"/>
  <c r="Q671" i="12"/>
  <c r="R671" i="12" s="1"/>
  <c r="O653" i="12"/>
  <c r="P653" i="12" s="1"/>
  <c r="O684" i="12"/>
  <c r="P684" i="12" s="1"/>
  <c r="Q612" i="12"/>
  <c r="R612" i="12" s="1"/>
  <c r="M671" i="12"/>
  <c r="N671" i="12" s="1"/>
  <c r="O734" i="12"/>
  <c r="P734" i="12" s="1"/>
  <c r="G628" i="12"/>
  <c r="H628" i="12" s="1"/>
  <c r="G616" i="12"/>
  <c r="H616" i="12" s="1"/>
  <c r="G604" i="12"/>
  <c r="H604" i="12" s="1"/>
  <c r="O662" i="12"/>
  <c r="P662" i="12" s="1"/>
  <c r="Q622" i="12"/>
  <c r="R622" i="12" s="1"/>
  <c r="M646" i="12"/>
  <c r="N646" i="12" s="1"/>
  <c r="Q650" i="12"/>
  <c r="R650" i="12" s="1"/>
  <c r="I642" i="12"/>
  <c r="J642" i="12" s="1"/>
  <c r="Q620" i="12"/>
  <c r="R620" i="12" s="1"/>
  <c r="Q608" i="12"/>
  <c r="R608" i="12" s="1"/>
  <c r="Q596" i="12"/>
  <c r="R596" i="12" s="1"/>
  <c r="O645" i="12"/>
  <c r="P645" i="12" s="1"/>
  <c r="K622" i="12"/>
  <c r="K610" i="12"/>
  <c r="I608" i="12"/>
  <c r="J608" i="12" s="1"/>
  <c r="O605" i="12"/>
  <c r="P605" i="12" s="1"/>
  <c r="M586" i="12"/>
  <c r="N586" i="12" s="1"/>
  <c r="M975" i="12"/>
  <c r="N975" i="12" s="1"/>
  <c r="Q977" i="12"/>
  <c r="R977" i="12" s="1"/>
  <c r="O971" i="12"/>
  <c r="P971" i="12" s="1"/>
  <c r="M977" i="12"/>
  <c r="N977" i="12" s="1"/>
  <c r="M971" i="12"/>
  <c r="N971" i="12" s="1"/>
  <c r="K959" i="12"/>
  <c r="K967" i="12"/>
  <c r="I967" i="12"/>
  <c r="J967" i="12" s="1"/>
  <c r="M968" i="12"/>
  <c r="N968" i="12" s="1"/>
  <c r="Q931" i="12"/>
  <c r="R931" i="12" s="1"/>
  <c r="O959" i="12"/>
  <c r="P959" i="12" s="1"/>
  <c r="K921" i="12"/>
  <c r="G963" i="12"/>
  <c r="H963" i="12" s="1"/>
  <c r="G939" i="12"/>
  <c r="H939" i="12" s="1"/>
  <c r="G927" i="12"/>
  <c r="H927" i="12" s="1"/>
  <c r="M948" i="12"/>
  <c r="N948" i="12" s="1"/>
  <c r="I931" i="12"/>
  <c r="J931" i="12" s="1"/>
  <c r="K938" i="12"/>
  <c r="Q917" i="12"/>
  <c r="R917" i="12" s="1"/>
  <c r="G909" i="12"/>
  <c r="H909" i="12" s="1"/>
  <c r="Q941" i="12"/>
  <c r="R941" i="12" s="1"/>
  <c r="M917" i="12"/>
  <c r="N917" i="12" s="1"/>
  <c r="O915" i="12"/>
  <c r="P915" i="12" s="1"/>
  <c r="O903" i="12"/>
  <c r="P903" i="12" s="1"/>
  <c r="M902" i="12"/>
  <c r="N902" i="12" s="1"/>
  <c r="O917" i="12"/>
  <c r="P917" i="12" s="1"/>
  <c r="I916" i="12"/>
  <c r="J916" i="12" s="1"/>
  <c r="M907" i="12"/>
  <c r="N907" i="12" s="1"/>
  <c r="I873" i="12"/>
  <c r="J873" i="12" s="1"/>
  <c r="I871" i="12"/>
  <c r="J871" i="12" s="1"/>
  <c r="K903" i="12"/>
  <c r="Q863" i="12"/>
  <c r="R863" i="12" s="1"/>
  <c r="I860" i="12"/>
  <c r="J860" i="12" s="1"/>
  <c r="K873" i="12"/>
  <c r="K864" i="12"/>
  <c r="K840" i="12"/>
  <c r="K871" i="12"/>
  <c r="O883" i="12"/>
  <c r="P883" i="12" s="1"/>
  <c r="Q858" i="12"/>
  <c r="R858" i="12" s="1"/>
  <c r="Q846" i="12"/>
  <c r="R846" i="12" s="1"/>
  <c r="I863" i="12"/>
  <c r="J863" i="12" s="1"/>
  <c r="O827" i="12"/>
  <c r="P827" i="12" s="1"/>
  <c r="O803" i="12"/>
  <c r="P803" i="12" s="1"/>
  <c r="K837" i="12"/>
  <c r="I837" i="12"/>
  <c r="J837" i="12" s="1"/>
  <c r="Q812" i="12"/>
  <c r="R812" i="12" s="1"/>
  <c r="G816" i="12"/>
  <c r="H816" i="12" s="1"/>
  <c r="Q838" i="12"/>
  <c r="R838" i="12" s="1"/>
  <c r="O814" i="12"/>
  <c r="P814" i="12" s="1"/>
  <c r="G822" i="12"/>
  <c r="H822" i="12" s="1"/>
  <c r="M834" i="12"/>
  <c r="N834" i="12" s="1"/>
  <c r="K841" i="12"/>
  <c r="Q786" i="12"/>
  <c r="R786" i="12" s="1"/>
  <c r="Q750" i="12"/>
  <c r="R750" i="12" s="1"/>
  <c r="I783" i="12"/>
  <c r="J783" i="12" s="1"/>
  <c r="I771" i="12"/>
  <c r="J771" i="12" s="1"/>
  <c r="I759" i="12"/>
  <c r="J759" i="12" s="1"/>
  <c r="G799" i="12"/>
  <c r="H799" i="12" s="1"/>
  <c r="O784" i="12"/>
  <c r="P784" i="12" s="1"/>
  <c r="I767" i="12"/>
  <c r="J767" i="12" s="1"/>
  <c r="O830" i="12"/>
  <c r="P830" i="12" s="1"/>
  <c r="O771" i="12"/>
  <c r="P771" i="12" s="1"/>
  <c r="M750" i="12"/>
  <c r="N750" i="12" s="1"/>
  <c r="Q782" i="12"/>
  <c r="R782" i="12" s="1"/>
  <c r="O738" i="12"/>
  <c r="P738" i="12" s="1"/>
  <c r="I746" i="12"/>
  <c r="J746" i="12" s="1"/>
  <c r="G735" i="12"/>
  <c r="H735" i="12" s="1"/>
  <c r="G711" i="12"/>
  <c r="H711" i="12" s="1"/>
  <c r="G699" i="12"/>
  <c r="H699" i="12" s="1"/>
  <c r="Q741" i="12"/>
  <c r="R741" i="12" s="1"/>
  <c r="Q705" i="12"/>
  <c r="R705" i="12" s="1"/>
  <c r="Q704" i="12"/>
  <c r="R704" i="12" s="1"/>
  <c r="I694" i="12"/>
  <c r="J694" i="12" s="1"/>
  <c r="M748" i="12"/>
  <c r="N748" i="12" s="1"/>
  <c r="M686" i="12"/>
  <c r="N686" i="12" s="1"/>
  <c r="M674" i="12"/>
  <c r="N674" i="12" s="1"/>
  <c r="M662" i="12"/>
  <c r="N662" i="12" s="1"/>
  <c r="I674" i="12"/>
  <c r="J674" i="12" s="1"/>
  <c r="Q663" i="12"/>
  <c r="R663" i="12" s="1"/>
  <c r="G668" i="12"/>
  <c r="H668" i="12" s="1"/>
  <c r="Q652" i="12"/>
  <c r="R652" i="12" s="1"/>
  <c r="K674" i="12"/>
  <c r="K645" i="12"/>
  <c r="G623" i="12"/>
  <c r="H623" i="12" s="1"/>
  <c r="K668" i="12"/>
  <c r="I615" i="12"/>
  <c r="J615" i="12" s="1"/>
  <c r="I658" i="12"/>
  <c r="J658" i="12" s="1"/>
  <c r="K642" i="12"/>
  <c r="K635" i="12"/>
  <c r="O643" i="12"/>
  <c r="P643" i="12" s="1"/>
  <c r="M609" i="12"/>
  <c r="N609" i="12" s="1"/>
  <c r="M623" i="12"/>
  <c r="N623" i="12" s="1"/>
  <c r="O561" i="12"/>
  <c r="P561" i="12" s="1"/>
  <c r="O622" i="12"/>
  <c r="P622" i="12" s="1"/>
  <c r="Q577" i="12"/>
  <c r="R577" i="12" s="1"/>
  <c r="G587" i="12"/>
  <c r="H587" i="12" s="1"/>
  <c r="G575" i="12"/>
  <c r="H575" i="12" s="1"/>
  <c r="G563" i="12"/>
  <c r="H563" i="12" s="1"/>
  <c r="K597" i="12"/>
  <c r="O588" i="12"/>
  <c r="P588" i="12" s="1"/>
  <c r="O576" i="12"/>
  <c r="P576" i="12" s="1"/>
  <c r="I613" i="12"/>
  <c r="J613" i="12" s="1"/>
  <c r="Q569" i="12"/>
  <c r="R569" i="12" s="1"/>
  <c r="G529" i="12"/>
  <c r="H529" i="12" s="1"/>
  <c r="Q546" i="12"/>
  <c r="R546" i="12" s="1"/>
  <c r="Q534" i="12"/>
  <c r="R534" i="12" s="1"/>
  <c r="M582" i="12"/>
  <c r="N582" i="12" s="1"/>
  <c r="G550" i="12"/>
  <c r="H550" i="12" s="1"/>
  <c r="G526" i="12"/>
  <c r="H526" i="12" s="1"/>
  <c r="K566" i="12"/>
  <c r="O550" i="12"/>
  <c r="P550" i="12" s="1"/>
  <c r="G534" i="12"/>
  <c r="H534" i="12" s="1"/>
  <c r="I533" i="12"/>
  <c r="J533" i="12" s="1"/>
  <c r="M497" i="12"/>
  <c r="N497" i="12" s="1"/>
  <c r="I554" i="12"/>
  <c r="J554" i="12" s="1"/>
  <c r="I526" i="12"/>
  <c r="J526" i="12" s="1"/>
  <c r="Q493" i="12"/>
  <c r="R493" i="12" s="1"/>
  <c r="I414" i="12"/>
  <c r="J414" i="12" s="1"/>
  <c r="I402" i="12"/>
  <c r="J402" i="12" s="1"/>
  <c r="O482" i="12"/>
  <c r="P482" i="12" s="1"/>
  <c r="Q502" i="12"/>
  <c r="R502" i="12" s="1"/>
  <c r="I478" i="12"/>
  <c r="J478" i="12" s="1"/>
  <c r="I466" i="12"/>
  <c r="J466" i="12" s="1"/>
  <c r="I442" i="12"/>
  <c r="J442" i="12" s="1"/>
  <c r="I430" i="12"/>
  <c r="J430" i="12" s="1"/>
  <c r="I406" i="12"/>
  <c r="J406" i="12" s="1"/>
  <c r="I483" i="12"/>
  <c r="J483" i="12" s="1"/>
  <c r="I471" i="12"/>
  <c r="J471" i="12" s="1"/>
  <c r="I447" i="12"/>
  <c r="J447" i="12" s="1"/>
  <c r="I435" i="12"/>
  <c r="J435" i="12" s="1"/>
  <c r="I411" i="12"/>
  <c r="J411" i="12" s="1"/>
  <c r="I399" i="12"/>
  <c r="J399" i="12" s="1"/>
  <c r="I507" i="12"/>
  <c r="J507" i="12" s="1"/>
  <c r="Q453" i="12"/>
  <c r="R453" i="12" s="1"/>
  <c r="O401" i="12"/>
  <c r="P401" i="12" s="1"/>
  <c r="G402" i="12"/>
  <c r="H402" i="12" s="1"/>
  <c r="O358" i="12"/>
  <c r="P358" i="12" s="1"/>
  <c r="O346" i="12"/>
  <c r="P346" i="12" s="1"/>
  <c r="M479" i="12"/>
  <c r="N479" i="12" s="1"/>
  <c r="I390" i="12"/>
  <c r="J390" i="12" s="1"/>
  <c r="I378" i="12"/>
  <c r="J378" i="12" s="1"/>
  <c r="I354" i="12"/>
  <c r="J354" i="12" s="1"/>
  <c r="O542" i="12"/>
  <c r="P542" i="12" s="1"/>
  <c r="Q442" i="12"/>
  <c r="R442" i="12" s="1"/>
  <c r="K403" i="12"/>
  <c r="O437" i="12"/>
  <c r="P437" i="12" s="1"/>
  <c r="I457" i="12"/>
  <c r="J457" i="12" s="1"/>
  <c r="O516" i="12"/>
  <c r="P516" i="12" s="1"/>
  <c r="M360" i="12"/>
  <c r="N360" i="12" s="1"/>
  <c r="O379" i="12"/>
  <c r="P379" i="12" s="1"/>
  <c r="I356" i="12"/>
  <c r="J356" i="12" s="1"/>
  <c r="G359" i="12"/>
  <c r="H359" i="12" s="1"/>
  <c r="O974" i="12"/>
  <c r="P974" i="12" s="1"/>
  <c r="G976" i="12"/>
  <c r="H976" i="12" s="1"/>
  <c r="M958" i="12"/>
  <c r="N958" i="12" s="1"/>
  <c r="G966" i="12"/>
  <c r="H966" i="12" s="1"/>
  <c r="Q966" i="12"/>
  <c r="R966" i="12" s="1"/>
  <c r="G948" i="12"/>
  <c r="H948" i="12" s="1"/>
  <c r="I968" i="12"/>
  <c r="J968" i="12" s="1"/>
  <c r="O967" i="12"/>
  <c r="P967" i="12" s="1"/>
  <c r="G930" i="12"/>
  <c r="H930" i="12" s="1"/>
  <c r="M920" i="12"/>
  <c r="N920" i="12" s="1"/>
  <c r="I938" i="12"/>
  <c r="J938" i="12" s="1"/>
  <c r="Q946" i="12"/>
  <c r="R946" i="12" s="1"/>
  <c r="K930" i="12"/>
  <c r="G934" i="12"/>
  <c r="H934" i="12" s="1"/>
  <c r="O939" i="12"/>
  <c r="P939" i="12" s="1"/>
  <c r="I913" i="12"/>
  <c r="J913" i="12" s="1"/>
  <c r="Q902" i="12"/>
  <c r="R902" i="12" s="1"/>
  <c r="Q929" i="12"/>
  <c r="R929" i="12" s="1"/>
  <c r="K929" i="12"/>
  <c r="K916" i="12"/>
  <c r="I902" i="12"/>
  <c r="J902" i="12" s="1"/>
  <c r="M894" i="12"/>
  <c r="N894" i="12" s="1"/>
  <c r="I904" i="12"/>
  <c r="J904" i="12" s="1"/>
  <c r="K872" i="12"/>
  <c r="G893" i="12"/>
  <c r="H893" i="12" s="1"/>
  <c r="I883" i="12"/>
  <c r="J883" i="12" s="1"/>
  <c r="K879" i="12"/>
  <c r="K859" i="12"/>
  <c r="K847" i="12"/>
  <c r="O871" i="12"/>
  <c r="P871" i="12" s="1"/>
  <c r="M863" i="12"/>
  <c r="N863" i="12" s="1"/>
  <c r="M839" i="12"/>
  <c r="N839" i="12" s="1"/>
  <c r="O843" i="12"/>
  <c r="P843" i="12" s="1"/>
  <c r="M878" i="12"/>
  <c r="N878" i="12" s="1"/>
  <c r="G857" i="12"/>
  <c r="H857" i="12" s="1"/>
  <c r="O878" i="12"/>
  <c r="P878" i="12" s="1"/>
  <c r="Q865" i="12"/>
  <c r="R865" i="12" s="1"/>
  <c r="O860" i="12"/>
  <c r="P860" i="12" s="1"/>
  <c r="Q826" i="12"/>
  <c r="R826" i="12" s="1"/>
  <c r="Q814" i="12"/>
  <c r="R814" i="12" s="1"/>
  <c r="M934" i="12"/>
  <c r="N934" i="12" s="1"/>
  <c r="O835" i="12"/>
  <c r="P835" i="12" s="1"/>
  <c r="M835" i="12"/>
  <c r="N835" i="12" s="1"/>
  <c r="Q811" i="12"/>
  <c r="R811" i="12" s="1"/>
  <c r="Q813" i="12"/>
  <c r="R813" i="12" s="1"/>
  <c r="O812" i="12"/>
  <c r="P812" i="12" s="1"/>
  <c r="G827" i="12"/>
  <c r="H827" i="12" s="1"/>
  <c r="M812" i="12"/>
  <c r="N812" i="12" s="1"/>
  <c r="M821" i="12"/>
  <c r="N821" i="12" s="1"/>
  <c r="Q828" i="12"/>
  <c r="R828" i="12" s="1"/>
  <c r="O826" i="12"/>
  <c r="P826" i="12" s="1"/>
  <c r="M803" i="12"/>
  <c r="N803" i="12" s="1"/>
  <c r="G761" i="12"/>
  <c r="H761" i="12" s="1"/>
  <c r="G749" i="12"/>
  <c r="H749" i="12" s="1"/>
  <c r="I799" i="12"/>
  <c r="J799" i="12" s="1"/>
  <c r="K782" i="12"/>
  <c r="K770" i="12"/>
  <c r="I814" i="12"/>
  <c r="J814" i="12" s="1"/>
  <c r="K797" i="12"/>
  <c r="I797" i="12"/>
  <c r="J797" i="12" s="1"/>
  <c r="Q783" i="12"/>
  <c r="R783" i="12" s="1"/>
  <c r="Q771" i="12"/>
  <c r="R771" i="12" s="1"/>
  <c r="O799" i="12"/>
  <c r="P799" i="12" s="1"/>
  <c r="K790" i="12"/>
  <c r="K754" i="12"/>
  <c r="K808" i="12"/>
  <c r="O759" i="12"/>
  <c r="P759" i="12" s="1"/>
  <c r="K768" i="12"/>
  <c r="K763" i="12"/>
  <c r="M784" i="12"/>
  <c r="N784" i="12" s="1"/>
  <c r="I744" i="12"/>
  <c r="J744" i="12" s="1"/>
  <c r="I734" i="12"/>
  <c r="J734" i="12" s="1"/>
  <c r="I698" i="12"/>
  <c r="J698" i="12" s="1"/>
  <c r="G704" i="12"/>
  <c r="H704" i="12" s="1"/>
  <c r="G739" i="12"/>
  <c r="H739" i="12" s="1"/>
  <c r="M749" i="12"/>
  <c r="N749" i="12" s="1"/>
  <c r="K741" i="12"/>
  <c r="K705" i="12"/>
  <c r="M735" i="12"/>
  <c r="N735" i="12" s="1"/>
  <c r="Q697" i="12"/>
  <c r="R697" i="12" s="1"/>
  <c r="M682" i="12"/>
  <c r="N682" i="12" s="1"/>
  <c r="G745" i="12"/>
  <c r="H745" i="12" s="1"/>
  <c r="K676" i="12"/>
  <c r="G669" i="12"/>
  <c r="H669" i="12" s="1"/>
  <c r="G674" i="12"/>
  <c r="H674" i="12" s="1"/>
  <c r="Q662" i="12"/>
  <c r="R662" i="12" s="1"/>
  <c r="O650" i="12"/>
  <c r="P650" i="12" s="1"/>
  <c r="Q669" i="12"/>
  <c r="R669" i="12" s="1"/>
  <c r="Q659" i="12"/>
  <c r="R659" i="12" s="1"/>
  <c r="Q647" i="12"/>
  <c r="R647" i="12" s="1"/>
  <c r="Q635" i="12"/>
  <c r="R635" i="12" s="1"/>
  <c r="I622" i="12"/>
  <c r="J622" i="12" s="1"/>
  <c r="I610" i="12"/>
  <c r="J610" i="12" s="1"/>
  <c r="O658" i="12"/>
  <c r="P658" i="12" s="1"/>
  <c r="K678" i="12"/>
  <c r="K626" i="12"/>
  <c r="K614" i="12"/>
  <c r="I620" i="12"/>
  <c r="J620" i="12" s="1"/>
  <c r="I630" i="12"/>
  <c r="J630" i="12" s="1"/>
  <c r="G635" i="12"/>
  <c r="H635" i="12" s="1"/>
  <c r="O620" i="12"/>
  <c r="P620" i="12" s="1"/>
  <c r="O608" i="12"/>
  <c r="P608" i="12" s="1"/>
  <c r="Q597" i="12"/>
  <c r="R597" i="12" s="1"/>
  <c r="Q560" i="12"/>
  <c r="R560" i="12" s="1"/>
  <c r="Q615" i="12"/>
  <c r="R615" i="12" s="1"/>
  <c r="G588" i="12"/>
  <c r="H588" i="12" s="1"/>
  <c r="G576" i="12"/>
  <c r="H576" i="12" s="1"/>
  <c r="O604" i="12"/>
  <c r="P604" i="12" s="1"/>
  <c r="I586" i="12"/>
  <c r="J586" i="12" s="1"/>
  <c r="I562" i="12"/>
  <c r="J562" i="12" s="1"/>
  <c r="G596" i="12"/>
  <c r="H596" i="12" s="1"/>
  <c r="Q587" i="12"/>
  <c r="R587" i="12" s="1"/>
  <c r="Q575" i="12"/>
  <c r="R575" i="12" s="1"/>
  <c r="K612" i="12"/>
  <c r="O569" i="12"/>
  <c r="P569" i="12" s="1"/>
  <c r="G557" i="12"/>
  <c r="H557" i="12" s="1"/>
  <c r="G533" i="12"/>
  <c r="H533" i="12" s="1"/>
  <c r="O562" i="12"/>
  <c r="P562" i="12" s="1"/>
  <c r="I537" i="12"/>
  <c r="J537" i="12" s="1"/>
  <c r="O596" i="12"/>
  <c r="P596" i="12" s="1"/>
  <c r="O563" i="12"/>
  <c r="P563" i="12" s="1"/>
  <c r="Q537" i="12"/>
  <c r="R537" i="12" s="1"/>
  <c r="G609" i="12"/>
  <c r="H609" i="12" s="1"/>
  <c r="O496" i="12"/>
  <c r="P496" i="12" s="1"/>
  <c r="G546" i="12"/>
  <c r="H546" i="12" s="1"/>
  <c r="Q512" i="12"/>
  <c r="R512" i="12" s="1"/>
  <c r="M593" i="12"/>
  <c r="N593" i="12" s="1"/>
  <c r="K544" i="12"/>
  <c r="G516" i="12"/>
  <c r="H516" i="12" s="1"/>
  <c r="G504" i="12"/>
  <c r="H504" i="12" s="1"/>
  <c r="I578" i="12"/>
  <c r="J578" i="12" s="1"/>
  <c r="K519" i="12"/>
  <c r="K507" i="12"/>
  <c r="K485" i="12"/>
  <c r="K473" i="12"/>
  <c r="K461" i="12"/>
  <c r="K437" i="12"/>
  <c r="K425" i="12"/>
  <c r="K401" i="12"/>
  <c r="Q457" i="12"/>
  <c r="R457" i="12" s="1"/>
  <c r="Q445" i="12"/>
  <c r="R445" i="12" s="1"/>
  <c r="Q433" i="12"/>
  <c r="R433" i="12" s="1"/>
  <c r="Q421" i="12"/>
  <c r="R421" i="12" s="1"/>
  <c r="Q409" i="12"/>
  <c r="R409" i="12" s="1"/>
  <c r="K494" i="12"/>
  <c r="K477" i="12"/>
  <c r="K465" i="12"/>
  <c r="K453" i="12"/>
  <c r="K429" i="12"/>
  <c r="K417" i="12"/>
  <c r="I512" i="12"/>
  <c r="J512" i="12" s="1"/>
  <c r="K482" i="12"/>
  <c r="M506" i="12"/>
  <c r="N506" i="12" s="1"/>
  <c r="O399" i="12"/>
  <c r="P399" i="12" s="1"/>
  <c r="G397" i="12"/>
  <c r="H397" i="12" s="1"/>
  <c r="Q369" i="12"/>
  <c r="R369" i="12" s="1"/>
  <c r="G98" i="12"/>
  <c r="H98" i="12" s="1"/>
  <c r="K5" i="12"/>
  <c r="I32" i="12"/>
  <c r="J32" i="12" s="1"/>
  <c r="K18" i="12"/>
  <c r="K19" i="12"/>
  <c r="K84" i="12"/>
  <c r="M8" i="12"/>
  <c r="N8" i="12" s="1"/>
  <c r="M20" i="12"/>
  <c r="N20" i="12" s="1"/>
  <c r="K32" i="12"/>
  <c r="M61" i="12"/>
  <c r="N61" i="12" s="1"/>
  <c r="G99" i="12"/>
  <c r="H99" i="12" s="1"/>
  <c r="M48" i="12"/>
  <c r="N48" i="12" s="1"/>
  <c r="I98" i="12"/>
  <c r="J98" i="12" s="1"/>
  <c r="O2" i="12"/>
  <c r="P2" i="12" s="1"/>
  <c r="O14" i="12"/>
  <c r="P14" i="12" s="1"/>
  <c r="M26" i="12"/>
  <c r="N26" i="12" s="1"/>
  <c r="O71" i="12"/>
  <c r="P71" i="12" s="1"/>
  <c r="O48" i="12"/>
  <c r="P48" i="12" s="1"/>
  <c r="O113" i="12"/>
  <c r="P113" i="12" s="1"/>
  <c r="Q9" i="12"/>
  <c r="R9" i="12" s="1"/>
  <c r="Q21" i="12"/>
  <c r="R21" i="12" s="1"/>
  <c r="O33" i="12"/>
  <c r="P33" i="12" s="1"/>
  <c r="K49" i="12"/>
  <c r="Q99" i="12"/>
  <c r="R99" i="12" s="1"/>
  <c r="G9" i="12"/>
  <c r="H9" i="12" s="1"/>
  <c r="G21" i="12"/>
  <c r="H21" i="12" s="1"/>
  <c r="Q33" i="12"/>
  <c r="R33" i="12" s="1"/>
  <c r="G52" i="12"/>
  <c r="H52" i="12" s="1"/>
  <c r="O144" i="12"/>
  <c r="P144" i="12" s="1"/>
  <c r="Q100" i="12"/>
  <c r="R100" i="12" s="1"/>
  <c r="I7" i="12"/>
  <c r="J7" i="12" s="1"/>
  <c r="I19" i="12"/>
  <c r="J19" i="12" s="1"/>
  <c r="G31" i="12"/>
  <c r="H31" i="12" s="1"/>
  <c r="Q53" i="12"/>
  <c r="R53" i="12" s="1"/>
  <c r="G105" i="12"/>
  <c r="H105" i="12" s="1"/>
  <c r="G146" i="12"/>
  <c r="H146" i="12" s="1"/>
  <c r="O134" i="12"/>
  <c r="P134" i="12" s="1"/>
  <c r="I132" i="12"/>
  <c r="J132" i="12" s="1"/>
  <c r="O221" i="12"/>
  <c r="P221" i="12" s="1"/>
  <c r="K80" i="12"/>
  <c r="K92" i="12"/>
  <c r="K104" i="12"/>
  <c r="K116" i="12"/>
  <c r="M154" i="12"/>
  <c r="N154" i="12" s="1"/>
  <c r="M136" i="12"/>
  <c r="N136" i="12" s="1"/>
  <c r="O49" i="12"/>
  <c r="P49" i="12" s="1"/>
  <c r="O61" i="12"/>
  <c r="P61" i="12" s="1"/>
  <c r="O73" i="12"/>
  <c r="P73" i="12" s="1"/>
  <c r="O85" i="12"/>
  <c r="P85" i="12" s="1"/>
  <c r="O97" i="12"/>
  <c r="P97" i="12" s="1"/>
  <c r="O109" i="12"/>
  <c r="P109" i="12" s="1"/>
  <c r="O121" i="12"/>
  <c r="P121" i="12" s="1"/>
  <c r="I131" i="12"/>
  <c r="J131" i="12" s="1"/>
  <c r="G156" i="12"/>
  <c r="H156" i="12" s="1"/>
  <c r="O50" i="12"/>
  <c r="P50" i="12" s="1"/>
  <c r="O62" i="12"/>
  <c r="P62" i="12" s="1"/>
  <c r="O74" i="12"/>
  <c r="P74" i="12" s="1"/>
  <c r="O86" i="12"/>
  <c r="P86" i="12" s="1"/>
  <c r="O98" i="12"/>
  <c r="P98" i="12" s="1"/>
  <c r="O110" i="12"/>
  <c r="P110" i="12" s="1"/>
  <c r="G124" i="12"/>
  <c r="H124" i="12" s="1"/>
  <c r="M125" i="12"/>
  <c r="N125" i="12" s="1"/>
  <c r="O167" i="12"/>
  <c r="P167" i="12" s="1"/>
  <c r="M58" i="12"/>
  <c r="N58" i="12" s="1"/>
  <c r="M82" i="12"/>
  <c r="N82" i="12" s="1"/>
  <c r="M94" i="12"/>
  <c r="N94" i="12" s="1"/>
  <c r="M106" i="12"/>
  <c r="N106" i="12" s="1"/>
  <c r="M118" i="12"/>
  <c r="N118" i="12" s="1"/>
  <c r="O138" i="12"/>
  <c r="P138" i="12" s="1"/>
  <c r="I180" i="12"/>
  <c r="J180" i="12" s="1"/>
  <c r="Q214" i="12"/>
  <c r="R214" i="12" s="1"/>
  <c r="Q206" i="12"/>
  <c r="R206" i="12" s="1"/>
  <c r="O240" i="12"/>
  <c r="P240" i="12" s="1"/>
  <c r="K237" i="12"/>
  <c r="Q184" i="12"/>
  <c r="R184" i="12" s="1"/>
  <c r="M126" i="12"/>
  <c r="N126" i="12" s="1"/>
  <c r="M138" i="12"/>
  <c r="N138" i="12" s="1"/>
  <c r="M150" i="12"/>
  <c r="N150" i="12" s="1"/>
  <c r="M168" i="12"/>
  <c r="N168" i="12" s="1"/>
  <c r="K242" i="12"/>
  <c r="Q190" i="12"/>
  <c r="R190" i="12" s="1"/>
  <c r="K224" i="12"/>
  <c r="G125" i="12"/>
  <c r="H125" i="12" s="1"/>
  <c r="G137" i="12"/>
  <c r="H137" i="12" s="1"/>
  <c r="G149" i="12"/>
  <c r="H149" i="12" s="1"/>
  <c r="G171" i="12"/>
  <c r="H171" i="12" s="1"/>
  <c r="K272" i="12"/>
  <c r="K296" i="12"/>
  <c r="K170" i="12"/>
  <c r="K182" i="12"/>
  <c r="K194" i="12"/>
  <c r="K206" i="12"/>
  <c r="K218" i="12"/>
  <c r="Q258" i="12"/>
  <c r="R258" i="12" s="1"/>
  <c r="I261" i="12"/>
  <c r="J261" i="12" s="1"/>
  <c r="I166" i="12"/>
  <c r="J166" i="12" s="1"/>
  <c r="I178" i="12"/>
  <c r="J178" i="12" s="1"/>
  <c r="I190" i="12"/>
  <c r="J190" i="12" s="1"/>
  <c r="I214" i="12"/>
  <c r="J214" i="12" s="1"/>
  <c r="O241" i="12"/>
  <c r="P241" i="12" s="1"/>
  <c r="I321" i="12"/>
  <c r="J321" i="12" s="1"/>
  <c r="I332" i="12"/>
  <c r="J332" i="12" s="1"/>
  <c r="K172" i="12"/>
  <c r="K184" i="12"/>
  <c r="K196" i="12"/>
  <c r="K208" i="12"/>
  <c r="K220" i="12"/>
  <c r="Q264" i="12"/>
  <c r="R264" i="12" s="1"/>
  <c r="I249" i="12"/>
  <c r="J249" i="12" s="1"/>
  <c r="G250" i="12"/>
  <c r="H250" i="12" s="1"/>
  <c r="K249" i="12"/>
  <c r="K168" i="12"/>
  <c r="K180" i="12"/>
  <c r="K192" i="12"/>
  <c r="K204" i="12"/>
  <c r="K216" i="12"/>
  <c r="I250" i="12"/>
  <c r="J250" i="12" s="1"/>
  <c r="K331" i="12"/>
  <c r="O283" i="12"/>
  <c r="P283" i="12" s="1"/>
  <c r="O295" i="12"/>
  <c r="P295" i="12" s="1"/>
  <c r="O307" i="12"/>
  <c r="P307" i="12" s="1"/>
  <c r="O319" i="12"/>
  <c r="P319" i="12" s="1"/>
  <c r="O335" i="12"/>
  <c r="P335" i="12" s="1"/>
  <c r="G347" i="12"/>
  <c r="H347" i="12" s="1"/>
  <c r="I233" i="12"/>
  <c r="J233" i="12" s="1"/>
  <c r="I245" i="12"/>
  <c r="J245" i="12" s="1"/>
  <c r="I257" i="12"/>
  <c r="J257" i="12" s="1"/>
  <c r="I269" i="12"/>
  <c r="J269" i="12" s="1"/>
  <c r="I281" i="12"/>
  <c r="J281" i="12" s="1"/>
  <c r="I293" i="12"/>
  <c r="J293" i="12" s="1"/>
  <c r="I305" i="12"/>
  <c r="J305" i="12" s="1"/>
  <c r="I317" i="12"/>
  <c r="J317" i="12" s="1"/>
  <c r="M330" i="12"/>
  <c r="N330" i="12" s="1"/>
  <c r="I234" i="12"/>
  <c r="J234" i="12" s="1"/>
  <c r="I246" i="12"/>
  <c r="J246" i="12" s="1"/>
  <c r="I258" i="12"/>
  <c r="J258" i="12" s="1"/>
  <c r="I270" i="12"/>
  <c r="J270" i="12" s="1"/>
  <c r="I282" i="12"/>
  <c r="J282" i="12" s="1"/>
  <c r="I294" i="12"/>
  <c r="J294" i="12" s="1"/>
  <c r="I306" i="12"/>
  <c r="J306" i="12" s="1"/>
  <c r="I318" i="12"/>
  <c r="J318" i="12" s="1"/>
  <c r="O330" i="12"/>
  <c r="P330" i="12" s="1"/>
  <c r="M233" i="12"/>
  <c r="N233" i="12" s="1"/>
  <c r="M257" i="12"/>
  <c r="N257" i="12" s="1"/>
  <c r="M269" i="12"/>
  <c r="N269" i="12" s="1"/>
  <c r="M281" i="12"/>
  <c r="N281" i="12" s="1"/>
  <c r="M293" i="12"/>
  <c r="N293" i="12" s="1"/>
  <c r="M305" i="12"/>
  <c r="N305" i="12" s="1"/>
  <c r="I325" i="12"/>
  <c r="J325" i="12" s="1"/>
  <c r="M234" i="12"/>
  <c r="N234" i="12" s="1"/>
  <c r="M258" i="12"/>
  <c r="N258" i="12" s="1"/>
  <c r="M282" i="12"/>
  <c r="N282" i="12" s="1"/>
  <c r="M306" i="12"/>
  <c r="N306" i="12" s="1"/>
  <c r="I365" i="12"/>
  <c r="J365" i="12" s="1"/>
  <c r="M380" i="12"/>
  <c r="N380" i="12" s="1"/>
  <c r="Q346" i="12"/>
  <c r="R346" i="12" s="1"/>
  <c r="G353" i="12"/>
  <c r="H353" i="12" s="1"/>
  <c r="K367" i="12"/>
  <c r="I380" i="12"/>
  <c r="J380" i="12" s="1"/>
  <c r="G447" i="12"/>
  <c r="H447" i="12" s="1"/>
  <c r="M437" i="12"/>
  <c r="N437" i="12" s="1"/>
  <c r="O472" i="12"/>
  <c r="P472" i="12" s="1"/>
  <c r="Q429" i="12"/>
  <c r="R429" i="12" s="1"/>
  <c r="G343" i="12"/>
  <c r="H343" i="12" s="1"/>
  <c r="O375" i="12"/>
  <c r="P375" i="12" s="1"/>
  <c r="Q466" i="12"/>
  <c r="R466" i="12" s="1"/>
  <c r="M341" i="12"/>
  <c r="N341" i="12" s="1"/>
  <c r="G368" i="12"/>
  <c r="H368" i="12" s="1"/>
  <c r="O485" i="12"/>
  <c r="P485" i="12" s="1"/>
  <c r="M409" i="12"/>
  <c r="N409" i="12" s="1"/>
  <c r="M445" i="12"/>
  <c r="N445" i="12" s="1"/>
  <c r="M481" i="12"/>
  <c r="N481" i="12" s="1"/>
  <c r="M404" i="12"/>
  <c r="N404" i="12" s="1"/>
  <c r="M440" i="12"/>
  <c r="N440" i="12" s="1"/>
  <c r="M476" i="12"/>
  <c r="N476" i="12" s="1"/>
  <c r="G408" i="12"/>
  <c r="H408" i="12" s="1"/>
  <c r="G480" i="12"/>
  <c r="H480" i="12" s="1"/>
  <c r="M412" i="12"/>
  <c r="N412" i="12" s="1"/>
  <c r="M448" i="12"/>
  <c r="N448" i="12" s="1"/>
  <c r="M484" i="12"/>
  <c r="N484" i="12" s="1"/>
  <c r="K582" i="12"/>
  <c r="I491" i="12"/>
  <c r="J491" i="12" s="1"/>
  <c r="Q538" i="12"/>
  <c r="R538" i="12" s="1"/>
  <c r="G511" i="12"/>
  <c r="H511" i="12" s="1"/>
  <c r="Q495" i="12"/>
  <c r="R495" i="12" s="1"/>
  <c r="Q561" i="12"/>
  <c r="R561" i="12" s="1"/>
  <c r="I567" i="12"/>
  <c r="J567" i="12" s="1"/>
  <c r="K624" i="12"/>
  <c r="Q588" i="12"/>
  <c r="R588" i="12" s="1"/>
  <c r="M562" i="12"/>
  <c r="N562" i="12" s="1"/>
  <c r="K629" i="12"/>
  <c r="K609" i="12"/>
  <c r="Q637" i="12"/>
  <c r="R637" i="12" s="1"/>
  <c r="O681" i="12"/>
  <c r="P681" i="12" s="1"/>
  <c r="I726" i="12"/>
  <c r="J726" i="12" s="1"/>
  <c r="G700" i="12"/>
  <c r="H700" i="12" s="1"/>
  <c r="M799" i="12"/>
  <c r="N799" i="12" s="1"/>
  <c r="M781" i="12"/>
  <c r="N781" i="12" s="1"/>
  <c r="M811" i="12"/>
  <c r="N811" i="12" s="1"/>
  <c r="M823" i="12"/>
  <c r="N823" i="12" s="1"/>
  <c r="O850" i="12"/>
  <c r="P850" i="12" s="1"/>
  <c r="M869" i="12"/>
  <c r="N869" i="12" s="1"/>
  <c r="M941" i="12"/>
  <c r="N941" i="12" s="1"/>
  <c r="I975" i="12"/>
  <c r="J975" i="12" s="1"/>
  <c r="Q990" i="12"/>
  <c r="R990" i="12" s="1"/>
  <c r="I990" i="12"/>
  <c r="J990" i="12" s="1"/>
  <c r="M990" i="12"/>
  <c r="N990" i="12" s="1"/>
  <c r="G990" i="12"/>
  <c r="H990" i="12" s="1"/>
  <c r="O990" i="12"/>
  <c r="P990" i="12" s="1"/>
  <c r="K990" i="12"/>
  <c r="G989" i="12"/>
  <c r="H989" i="12" s="1"/>
  <c r="K989" i="12"/>
  <c r="O989" i="12"/>
  <c r="P989" i="12" s="1"/>
  <c r="I989" i="12"/>
  <c r="J989" i="12" s="1"/>
  <c r="Q989" i="12"/>
  <c r="R989" i="12" s="1"/>
  <c r="M989" i="12"/>
  <c r="N989" i="12" s="1"/>
  <c r="I980" i="12"/>
  <c r="J980" i="12" s="1"/>
  <c r="O980" i="12"/>
  <c r="P980" i="12" s="1"/>
  <c r="M980" i="12"/>
  <c r="N980" i="12" s="1"/>
  <c r="K980" i="12"/>
  <c r="G980" i="12"/>
  <c r="H980" i="12" s="1"/>
  <c r="K987" i="12"/>
  <c r="O987" i="12"/>
  <c r="P987" i="12" s="1"/>
  <c r="G987" i="12"/>
  <c r="H987" i="12" s="1"/>
  <c r="M987" i="12"/>
  <c r="N987" i="12" s="1"/>
  <c r="G965" i="12"/>
  <c r="H965" i="12" s="1"/>
  <c r="K965" i="12"/>
  <c r="Q965" i="12"/>
  <c r="R965" i="12" s="1"/>
  <c r="I965" i="12"/>
  <c r="J965" i="12" s="1"/>
  <c r="O965" i="12"/>
  <c r="P965" i="12" s="1"/>
  <c r="M936" i="12"/>
  <c r="N936" i="12" s="1"/>
  <c r="G936" i="12"/>
  <c r="H936" i="12" s="1"/>
  <c r="K936" i="12"/>
  <c r="Q936" i="12"/>
  <c r="R936" i="12" s="1"/>
  <c r="I936" i="12"/>
  <c r="J936" i="12" s="1"/>
  <c r="O936" i="12"/>
  <c r="P936" i="12" s="1"/>
  <c r="M911" i="12"/>
  <c r="N911" i="12" s="1"/>
  <c r="K911" i="12"/>
  <c r="Q911" i="12"/>
  <c r="R911" i="12" s="1"/>
  <c r="G911" i="12"/>
  <c r="H911" i="12" s="1"/>
  <c r="O911" i="12"/>
  <c r="P911" i="12" s="1"/>
  <c r="I911" i="12"/>
  <c r="J911" i="12" s="1"/>
  <c r="M898" i="12"/>
  <c r="N898" i="12" s="1"/>
  <c r="I898" i="12"/>
  <c r="J898" i="12" s="1"/>
  <c r="G898" i="12"/>
  <c r="H898" i="12" s="1"/>
  <c r="O898" i="12"/>
  <c r="P898" i="12" s="1"/>
  <c r="K898" i="12"/>
  <c r="Q898" i="12"/>
  <c r="R898" i="12" s="1"/>
  <c r="K901" i="12"/>
  <c r="Q901" i="12"/>
  <c r="R901" i="12" s="1"/>
  <c r="M901" i="12"/>
  <c r="N901" i="12" s="1"/>
  <c r="I901" i="12"/>
  <c r="J901" i="12" s="1"/>
  <c r="O901" i="12"/>
  <c r="P901" i="12" s="1"/>
  <c r="O870" i="12"/>
  <c r="P870" i="12" s="1"/>
  <c r="Q870" i="12"/>
  <c r="R870" i="12" s="1"/>
  <c r="I870" i="12"/>
  <c r="J870" i="12" s="1"/>
  <c r="M870" i="12"/>
  <c r="N870" i="12" s="1"/>
  <c r="K870" i="12"/>
  <c r="G870" i="12"/>
  <c r="H870" i="12" s="1"/>
  <c r="O868" i="12"/>
  <c r="P868" i="12" s="1"/>
  <c r="M868" i="12"/>
  <c r="N868" i="12" s="1"/>
  <c r="G868" i="12"/>
  <c r="H868" i="12" s="1"/>
  <c r="Q868" i="12"/>
  <c r="R868" i="12" s="1"/>
  <c r="I868" i="12"/>
  <c r="J868" i="12" s="1"/>
  <c r="K868" i="12"/>
  <c r="G853" i="12"/>
  <c r="H853" i="12" s="1"/>
  <c r="Q853" i="12"/>
  <c r="R853" i="12" s="1"/>
  <c r="O853" i="12"/>
  <c r="P853" i="12" s="1"/>
  <c r="K853" i="12"/>
  <c r="M853" i="12"/>
  <c r="N853" i="12" s="1"/>
  <c r="I853" i="12"/>
  <c r="J853" i="12" s="1"/>
  <c r="G880" i="12"/>
  <c r="H880" i="12" s="1"/>
  <c r="Q880" i="12"/>
  <c r="R880" i="12" s="1"/>
  <c r="M880" i="12"/>
  <c r="N880" i="12" s="1"/>
  <c r="K880" i="12"/>
  <c r="I880" i="12"/>
  <c r="J880" i="12" s="1"/>
  <c r="O880" i="12"/>
  <c r="P880" i="12" s="1"/>
  <c r="I833" i="12"/>
  <c r="J833" i="12" s="1"/>
  <c r="G833" i="12"/>
  <c r="H833" i="12" s="1"/>
  <c r="M833" i="12"/>
  <c r="N833" i="12" s="1"/>
  <c r="K833" i="12"/>
  <c r="Q833" i="12"/>
  <c r="R833" i="12" s="1"/>
  <c r="Q778" i="12"/>
  <c r="R778" i="12" s="1"/>
  <c r="G778" i="12"/>
  <c r="H778" i="12" s="1"/>
  <c r="O778" i="12"/>
  <c r="P778" i="12" s="1"/>
  <c r="I778" i="12"/>
  <c r="J778" i="12" s="1"/>
  <c r="M778" i="12"/>
  <c r="N778" i="12" s="1"/>
  <c r="K778" i="12"/>
  <c r="K714" i="12"/>
  <c r="Q714" i="12"/>
  <c r="R714" i="12" s="1"/>
  <c r="G714" i="12"/>
  <c r="H714" i="12" s="1"/>
  <c r="M714" i="12"/>
  <c r="N714" i="12" s="1"/>
  <c r="O714" i="12"/>
  <c r="P714" i="12" s="1"/>
  <c r="M724" i="12"/>
  <c r="N724" i="12" s="1"/>
  <c r="O724" i="12"/>
  <c r="P724" i="12" s="1"/>
  <c r="I724" i="12"/>
  <c r="J724" i="12" s="1"/>
  <c r="Q724" i="12"/>
  <c r="R724" i="12" s="1"/>
  <c r="M640" i="12"/>
  <c r="N640" i="12" s="1"/>
  <c r="G640" i="12"/>
  <c r="H640" i="12" s="1"/>
  <c r="K640" i="12"/>
  <c r="Q640" i="12"/>
  <c r="R640" i="12" s="1"/>
  <c r="O640" i="12"/>
  <c r="P640" i="12" s="1"/>
  <c r="I640" i="12"/>
  <c r="J640" i="12" s="1"/>
  <c r="G675" i="12"/>
  <c r="H675" i="12" s="1"/>
  <c r="O675" i="12"/>
  <c r="P675" i="12" s="1"/>
  <c r="K675" i="12"/>
  <c r="I675" i="12"/>
  <c r="J675" i="12" s="1"/>
  <c r="M618" i="12"/>
  <c r="N618" i="12" s="1"/>
  <c r="G618" i="12"/>
  <c r="H618" i="12" s="1"/>
  <c r="Q618" i="12"/>
  <c r="R618" i="12" s="1"/>
  <c r="K618" i="12"/>
  <c r="O618" i="12"/>
  <c r="P618" i="12" s="1"/>
  <c r="I618" i="12"/>
  <c r="J618" i="12" s="1"/>
  <c r="K595" i="12"/>
  <c r="I595" i="12"/>
  <c r="J595" i="12" s="1"/>
  <c r="O595" i="12"/>
  <c r="P595" i="12" s="1"/>
  <c r="G595" i="12"/>
  <c r="H595" i="12" s="1"/>
  <c r="M595" i="12"/>
  <c r="N595" i="12" s="1"/>
  <c r="Q590" i="12"/>
  <c r="R590" i="12" s="1"/>
  <c r="G590" i="12"/>
  <c r="H590" i="12" s="1"/>
  <c r="M590" i="12"/>
  <c r="N590" i="12" s="1"/>
  <c r="I590" i="12"/>
  <c r="J590" i="12" s="1"/>
  <c r="K590" i="12"/>
  <c r="Q487" i="12"/>
  <c r="R487" i="12" s="1"/>
  <c r="M487" i="12"/>
  <c r="N487" i="12" s="1"/>
  <c r="K487" i="12"/>
  <c r="I514" i="12"/>
  <c r="J514" i="12" s="1"/>
  <c r="O514" i="12"/>
  <c r="P514" i="12" s="1"/>
  <c r="Q514" i="12"/>
  <c r="R514" i="12" s="1"/>
  <c r="G514" i="12"/>
  <c r="H514" i="12" s="1"/>
  <c r="Q470" i="12"/>
  <c r="R470" i="12" s="1"/>
  <c r="M470" i="12"/>
  <c r="N470" i="12" s="1"/>
  <c r="O470" i="12"/>
  <c r="P470" i="12" s="1"/>
  <c r="K470" i="12"/>
  <c r="K418" i="12"/>
  <c r="O418" i="12"/>
  <c r="P418" i="12" s="1"/>
  <c r="Q418" i="12"/>
  <c r="R418" i="12" s="1"/>
  <c r="M418" i="12"/>
  <c r="N418" i="12" s="1"/>
  <c r="I418" i="12"/>
  <c r="J418" i="12" s="1"/>
  <c r="Q392" i="12"/>
  <c r="R392" i="12" s="1"/>
  <c r="K392" i="12"/>
  <c r="G392" i="12"/>
  <c r="H392" i="12" s="1"/>
  <c r="Q426" i="12"/>
  <c r="R426" i="12" s="1"/>
  <c r="G426" i="12"/>
  <c r="H426" i="12" s="1"/>
  <c r="O426" i="12"/>
  <c r="P426" i="12" s="1"/>
  <c r="M426" i="12"/>
  <c r="N426" i="12" s="1"/>
  <c r="I426" i="12"/>
  <c r="J426" i="12" s="1"/>
  <c r="Q431" i="12"/>
  <c r="R431" i="12" s="1"/>
  <c r="K431" i="12"/>
  <c r="G308" i="12"/>
  <c r="H308" i="12" s="1"/>
  <c r="K235" i="12"/>
  <c r="K253" i="12"/>
  <c r="K102" i="12"/>
  <c r="K9" i="12"/>
  <c r="G41" i="12"/>
  <c r="H41" i="12" s="1"/>
  <c r="K4" i="12"/>
  <c r="M54" i="12"/>
  <c r="N54" i="12" s="1"/>
  <c r="K23" i="12"/>
  <c r="I85" i="12"/>
  <c r="J85" i="12" s="1"/>
  <c r="M9" i="12"/>
  <c r="N9" i="12" s="1"/>
  <c r="M21" i="12"/>
  <c r="N21" i="12" s="1"/>
  <c r="K33" i="12"/>
  <c r="Q63" i="12"/>
  <c r="R63" i="12" s="1"/>
  <c r="M102" i="12"/>
  <c r="N102" i="12" s="1"/>
  <c r="I51" i="12"/>
  <c r="J51" i="12" s="1"/>
  <c r="I104" i="12"/>
  <c r="J104" i="12" s="1"/>
  <c r="O3" i="12"/>
  <c r="P3" i="12" s="1"/>
  <c r="O15" i="12"/>
  <c r="P15" i="12" s="1"/>
  <c r="M27" i="12"/>
  <c r="N27" i="12" s="1"/>
  <c r="G74" i="12"/>
  <c r="H74" i="12" s="1"/>
  <c r="O119" i="12"/>
  <c r="P119" i="12" s="1"/>
  <c r="Q10" i="12"/>
  <c r="R10" i="12" s="1"/>
  <c r="Q22" i="12"/>
  <c r="R22" i="12" s="1"/>
  <c r="O34" i="12"/>
  <c r="P34" i="12" s="1"/>
  <c r="M53" i="12"/>
  <c r="N53" i="12" s="1"/>
  <c r="K154" i="12"/>
  <c r="O100" i="12"/>
  <c r="P100" i="12" s="1"/>
  <c r="G10" i="12"/>
  <c r="H10" i="12" s="1"/>
  <c r="G22" i="12"/>
  <c r="H22" i="12" s="1"/>
  <c r="Q34" i="12"/>
  <c r="R34" i="12" s="1"/>
  <c r="O53" i="12"/>
  <c r="P53" i="12" s="1"/>
  <c r="G145" i="12"/>
  <c r="H145" i="12" s="1"/>
  <c r="K103" i="12"/>
  <c r="I8" i="12"/>
  <c r="J8" i="12" s="1"/>
  <c r="I20" i="12"/>
  <c r="J20" i="12" s="1"/>
  <c r="G32" i="12"/>
  <c r="H32" i="12" s="1"/>
  <c r="K54" i="12"/>
  <c r="Q106" i="12"/>
  <c r="R106" i="12" s="1"/>
  <c r="O148" i="12"/>
  <c r="P148" i="12" s="1"/>
  <c r="M137" i="12"/>
  <c r="N137" i="12" s="1"/>
  <c r="M133" i="12"/>
  <c r="N133" i="12" s="1"/>
  <c r="I69" i="12"/>
  <c r="J69" i="12" s="1"/>
  <c r="I81" i="12"/>
  <c r="J81" i="12" s="1"/>
  <c r="I105" i="12"/>
  <c r="J105" i="12" s="1"/>
  <c r="I117" i="12"/>
  <c r="J117" i="12" s="1"/>
  <c r="I138" i="12"/>
  <c r="J138" i="12" s="1"/>
  <c r="O173" i="12"/>
  <c r="P173" i="12" s="1"/>
  <c r="M50" i="12"/>
  <c r="N50" i="12" s="1"/>
  <c r="M62" i="12"/>
  <c r="N62" i="12" s="1"/>
  <c r="M74" i="12"/>
  <c r="N74" i="12" s="1"/>
  <c r="M86" i="12"/>
  <c r="N86" i="12" s="1"/>
  <c r="M98" i="12"/>
  <c r="N98" i="12" s="1"/>
  <c r="M110" i="12"/>
  <c r="N110" i="12" s="1"/>
  <c r="O126" i="12"/>
  <c r="P126" i="12" s="1"/>
  <c r="G134" i="12"/>
  <c r="H134" i="12" s="1"/>
  <c r="Q176" i="12"/>
  <c r="R176" i="12" s="1"/>
  <c r="M51" i="12"/>
  <c r="N51" i="12" s="1"/>
  <c r="M63" i="12"/>
  <c r="N63" i="12" s="1"/>
  <c r="M75" i="12"/>
  <c r="N75" i="12" s="1"/>
  <c r="M87" i="12"/>
  <c r="N87" i="12" s="1"/>
  <c r="M99" i="12"/>
  <c r="N99" i="12" s="1"/>
  <c r="M111" i="12"/>
  <c r="N111" i="12" s="1"/>
  <c r="G127" i="12"/>
  <c r="H127" i="12" s="1"/>
  <c r="K131" i="12"/>
  <c r="K47" i="12"/>
  <c r="K59" i="12"/>
  <c r="K71" i="12"/>
  <c r="K83" i="12"/>
  <c r="K95" i="12"/>
  <c r="K107" i="12"/>
  <c r="M141" i="12"/>
  <c r="N141" i="12" s="1"/>
  <c r="O183" i="12"/>
  <c r="P183" i="12" s="1"/>
  <c r="G217" i="12"/>
  <c r="H217" i="12" s="1"/>
  <c r="O215" i="12"/>
  <c r="P215" i="12" s="1"/>
  <c r="K163" i="12"/>
  <c r="G274" i="12"/>
  <c r="H274" i="12" s="1"/>
  <c r="G187" i="12"/>
  <c r="H187" i="12" s="1"/>
  <c r="K127" i="12"/>
  <c r="K139" i="12"/>
  <c r="K151" i="12"/>
  <c r="K173" i="12"/>
  <c r="I210" i="12"/>
  <c r="J210" i="12" s="1"/>
  <c r="G193" i="12"/>
  <c r="H193" i="12" s="1"/>
  <c r="G233" i="12"/>
  <c r="H233" i="12" s="1"/>
  <c r="Q126" i="12"/>
  <c r="R126" i="12" s="1"/>
  <c r="Q138" i="12"/>
  <c r="R138" i="12" s="1"/>
  <c r="M174" i="12"/>
  <c r="N174" i="12" s="1"/>
  <c r="I273" i="12"/>
  <c r="J273" i="12" s="1"/>
  <c r="G304" i="12"/>
  <c r="H304" i="12" s="1"/>
  <c r="I171" i="12"/>
  <c r="J171" i="12" s="1"/>
  <c r="I183" i="12"/>
  <c r="J183" i="12" s="1"/>
  <c r="I207" i="12"/>
  <c r="J207" i="12" s="1"/>
  <c r="I219" i="12"/>
  <c r="J219" i="12" s="1"/>
  <c r="M259" i="12"/>
  <c r="N259" i="12" s="1"/>
  <c r="K278" i="12"/>
  <c r="G167" i="12"/>
  <c r="H167" i="12" s="1"/>
  <c r="G179" i="12"/>
  <c r="H179" i="12" s="1"/>
  <c r="G203" i="12"/>
  <c r="H203" i="12" s="1"/>
  <c r="G215" i="12"/>
  <c r="H215" i="12" s="1"/>
  <c r="G322" i="12"/>
  <c r="H322" i="12" s="1"/>
  <c r="I161" i="12"/>
  <c r="J161" i="12" s="1"/>
  <c r="I185" i="12"/>
  <c r="J185" i="12" s="1"/>
  <c r="I209" i="12"/>
  <c r="J209" i="12" s="1"/>
  <c r="I221" i="12"/>
  <c r="J221" i="12" s="1"/>
  <c r="K266" i="12"/>
  <c r="O252" i="12"/>
  <c r="P252" i="12" s="1"/>
  <c r="M266" i="12"/>
  <c r="N266" i="12" s="1"/>
  <c r="I181" i="12"/>
  <c r="J181" i="12" s="1"/>
  <c r="I193" i="12"/>
  <c r="J193" i="12" s="1"/>
  <c r="I205" i="12"/>
  <c r="J205" i="12" s="1"/>
  <c r="I217" i="12"/>
  <c r="J217" i="12" s="1"/>
  <c r="Q252" i="12"/>
  <c r="R252" i="12" s="1"/>
  <c r="K338" i="12"/>
  <c r="M284" i="12"/>
  <c r="N284" i="12" s="1"/>
  <c r="M296" i="12"/>
  <c r="N296" i="12" s="1"/>
  <c r="M308" i="12"/>
  <c r="N308" i="12" s="1"/>
  <c r="M320" i="12"/>
  <c r="N320" i="12" s="1"/>
  <c r="G336" i="12"/>
  <c r="H336" i="12" s="1"/>
  <c r="G234" i="12"/>
  <c r="H234" i="12" s="1"/>
  <c r="G246" i="12"/>
  <c r="H246" i="12" s="1"/>
  <c r="G258" i="12"/>
  <c r="H258" i="12" s="1"/>
  <c r="G270" i="12"/>
  <c r="H270" i="12" s="1"/>
  <c r="G282" i="12"/>
  <c r="H282" i="12" s="1"/>
  <c r="G294" i="12"/>
  <c r="H294" i="12" s="1"/>
  <c r="G306" i="12"/>
  <c r="H306" i="12" s="1"/>
  <c r="G318" i="12"/>
  <c r="H318" i="12" s="1"/>
  <c r="Q331" i="12"/>
  <c r="R331" i="12" s="1"/>
  <c r="K356" i="12"/>
  <c r="G235" i="12"/>
  <c r="H235" i="12" s="1"/>
  <c r="G247" i="12"/>
  <c r="H247" i="12" s="1"/>
  <c r="G259" i="12"/>
  <c r="H259" i="12" s="1"/>
  <c r="G271" i="12"/>
  <c r="H271" i="12" s="1"/>
  <c r="G283" i="12"/>
  <c r="H283" i="12" s="1"/>
  <c r="G295" i="12"/>
  <c r="H295" i="12" s="1"/>
  <c r="G307" i="12"/>
  <c r="H307" i="12" s="1"/>
  <c r="G319" i="12"/>
  <c r="H319" i="12" s="1"/>
  <c r="O341" i="12"/>
  <c r="P341" i="12" s="1"/>
  <c r="K369" i="12"/>
  <c r="K234" i="12"/>
  <c r="K246" i="12"/>
  <c r="K258" i="12"/>
  <c r="K270" i="12"/>
  <c r="K282" i="12"/>
  <c r="K294" i="12"/>
  <c r="K306" i="12"/>
  <c r="Q327" i="12"/>
  <c r="R327" i="12" s="1"/>
  <c r="I236" i="12"/>
  <c r="J236" i="12" s="1"/>
  <c r="I260" i="12"/>
  <c r="J260" i="12" s="1"/>
  <c r="I284" i="12"/>
  <c r="J284" i="12" s="1"/>
  <c r="I308" i="12"/>
  <c r="J308" i="12" s="1"/>
  <c r="G371" i="12"/>
  <c r="H371" i="12" s="1"/>
  <c r="I351" i="12"/>
  <c r="J351" i="12" s="1"/>
  <c r="Q515" i="12"/>
  <c r="R515" i="12" s="1"/>
  <c r="G369" i="12"/>
  <c r="H369" i="12" s="1"/>
  <c r="G470" i="12"/>
  <c r="H470" i="12" s="1"/>
  <c r="M399" i="12"/>
  <c r="N399" i="12" s="1"/>
  <c r="O449" i="12"/>
  <c r="P449" i="12" s="1"/>
  <c r="O492" i="12"/>
  <c r="P492" i="12" s="1"/>
  <c r="I440" i="12"/>
  <c r="J440" i="12" s="1"/>
  <c r="G349" i="12"/>
  <c r="H349" i="12" s="1"/>
  <c r="K480" i="12"/>
  <c r="I343" i="12"/>
  <c r="J343" i="12" s="1"/>
  <c r="M371" i="12"/>
  <c r="N371" i="12" s="1"/>
  <c r="I410" i="12"/>
  <c r="J410" i="12" s="1"/>
  <c r="G412" i="12"/>
  <c r="H412" i="12" s="1"/>
  <c r="G448" i="12"/>
  <c r="H448" i="12" s="1"/>
  <c r="G484" i="12"/>
  <c r="H484" i="12" s="1"/>
  <c r="G407" i="12"/>
  <c r="H407" i="12" s="1"/>
  <c r="G443" i="12"/>
  <c r="H443" i="12" s="1"/>
  <c r="G479" i="12"/>
  <c r="H479" i="12" s="1"/>
  <c r="M411" i="12"/>
  <c r="N411" i="12" s="1"/>
  <c r="M447" i="12"/>
  <c r="N447" i="12" s="1"/>
  <c r="M483" i="12"/>
  <c r="N483" i="12" s="1"/>
  <c r="G415" i="12"/>
  <c r="H415" i="12" s="1"/>
  <c r="G451" i="12"/>
  <c r="H451" i="12" s="1"/>
  <c r="G487" i="12"/>
  <c r="H487" i="12" s="1"/>
  <c r="O494" i="12"/>
  <c r="P494" i="12" s="1"/>
  <c r="O548" i="12"/>
  <c r="P548" i="12" s="1"/>
  <c r="M514" i="12"/>
  <c r="N514" i="12" s="1"/>
  <c r="G562" i="12"/>
  <c r="H562" i="12" s="1"/>
  <c r="Q568" i="12"/>
  <c r="R568" i="12" s="1"/>
  <c r="K600" i="12"/>
  <c r="K692" i="12"/>
  <c r="K621" i="12"/>
  <c r="G693" i="12"/>
  <c r="H693" i="12" s="1"/>
  <c r="I738" i="12"/>
  <c r="J738" i="12" s="1"/>
  <c r="M753" i="12"/>
  <c r="N753" i="12" s="1"/>
  <c r="M797" i="12"/>
  <c r="N797" i="12" s="1"/>
  <c r="K825" i="12"/>
  <c r="G845" i="12"/>
  <c r="H845" i="12" s="1"/>
  <c r="O862" i="12"/>
  <c r="P862" i="12" s="1"/>
  <c r="G882" i="12"/>
  <c r="H882" i="12" s="1"/>
  <c r="I927" i="12"/>
  <c r="J927" i="12" s="1"/>
  <c r="K925" i="12"/>
  <c r="I948" i="12"/>
  <c r="J948" i="12" s="1"/>
  <c r="I987" i="12"/>
  <c r="J987" i="12" s="1"/>
  <c r="K982" i="12"/>
  <c r="G982" i="12"/>
  <c r="H982" i="12" s="1"/>
  <c r="O982" i="12"/>
  <c r="P982" i="12" s="1"/>
  <c r="I982" i="12"/>
  <c r="J982" i="12" s="1"/>
  <c r="M982" i="12"/>
  <c r="N982" i="12" s="1"/>
  <c r="Q982" i="12"/>
  <c r="R982" i="12" s="1"/>
  <c r="G979" i="12"/>
  <c r="H979" i="12" s="1"/>
  <c r="K979" i="12"/>
  <c r="O979" i="12"/>
  <c r="P979" i="12" s="1"/>
  <c r="Q979" i="12"/>
  <c r="R979" i="12" s="1"/>
  <c r="M979" i="12"/>
  <c r="N979" i="12" s="1"/>
  <c r="I979" i="12"/>
  <c r="J979" i="12" s="1"/>
  <c r="Q895" i="12"/>
  <c r="R895" i="12" s="1"/>
  <c r="I895" i="12"/>
  <c r="J895" i="12" s="1"/>
  <c r="M895" i="12"/>
  <c r="N895" i="12" s="1"/>
  <c r="G895" i="12"/>
  <c r="H895" i="12" s="1"/>
  <c r="O895" i="12"/>
  <c r="P895" i="12" s="1"/>
  <c r="G881" i="12"/>
  <c r="H881" i="12" s="1"/>
  <c r="Q881" i="12"/>
  <c r="R881" i="12" s="1"/>
  <c r="K881" i="12"/>
  <c r="I881" i="12"/>
  <c r="J881" i="12" s="1"/>
  <c r="O881" i="12"/>
  <c r="P881" i="12" s="1"/>
  <c r="M881" i="12"/>
  <c r="N881" i="12" s="1"/>
  <c r="K923" i="12"/>
  <c r="O923" i="12"/>
  <c r="P923" i="12" s="1"/>
  <c r="I923" i="12"/>
  <c r="J923" i="12" s="1"/>
  <c r="Q923" i="12"/>
  <c r="R923" i="12" s="1"/>
  <c r="M923" i="12"/>
  <c r="N923" i="12" s="1"/>
  <c r="G923" i="12"/>
  <c r="H923" i="12" s="1"/>
  <c r="G836" i="12"/>
  <c r="H836" i="12" s="1"/>
  <c r="M836" i="12"/>
  <c r="N836" i="12" s="1"/>
  <c r="K836" i="12"/>
  <c r="O836" i="12"/>
  <c r="P836" i="12" s="1"/>
  <c r="Q836" i="12"/>
  <c r="R836" i="12" s="1"/>
  <c r="I836" i="12"/>
  <c r="J836" i="12" s="1"/>
  <c r="K831" i="12"/>
  <c r="Q831" i="12"/>
  <c r="R831" i="12" s="1"/>
  <c r="I831" i="12"/>
  <c r="J831" i="12" s="1"/>
  <c r="M831" i="12"/>
  <c r="N831" i="12" s="1"/>
  <c r="O831" i="12"/>
  <c r="P831" i="12" s="1"/>
  <c r="M756" i="12"/>
  <c r="N756" i="12" s="1"/>
  <c r="Q756" i="12"/>
  <c r="R756" i="12" s="1"/>
  <c r="O756" i="12"/>
  <c r="P756" i="12" s="1"/>
  <c r="K756" i="12"/>
  <c r="G756" i="12"/>
  <c r="H756" i="12" s="1"/>
  <c r="I756" i="12"/>
  <c r="J756" i="12" s="1"/>
  <c r="O780" i="12"/>
  <c r="P780" i="12" s="1"/>
  <c r="K780" i="12"/>
  <c r="Q780" i="12"/>
  <c r="R780" i="12" s="1"/>
  <c r="I780" i="12"/>
  <c r="J780" i="12" s="1"/>
  <c r="G780" i="12"/>
  <c r="H780" i="12" s="1"/>
  <c r="G791" i="12"/>
  <c r="H791" i="12" s="1"/>
  <c r="I791" i="12"/>
  <c r="J791" i="12" s="1"/>
  <c r="Q791" i="12"/>
  <c r="R791" i="12" s="1"/>
  <c r="O791" i="12"/>
  <c r="P791" i="12" s="1"/>
  <c r="K791" i="12"/>
  <c r="M791" i="12"/>
  <c r="N791" i="12" s="1"/>
  <c r="O710" i="12"/>
  <c r="P710" i="12" s="1"/>
  <c r="K710" i="12"/>
  <c r="Q710" i="12"/>
  <c r="R710" i="12" s="1"/>
  <c r="G710" i="12"/>
  <c r="H710" i="12" s="1"/>
  <c r="M710" i="12"/>
  <c r="N710" i="12" s="1"/>
  <c r="I710" i="12"/>
  <c r="J710" i="12" s="1"/>
  <c r="K713" i="12"/>
  <c r="I713" i="12"/>
  <c r="J713" i="12" s="1"/>
  <c r="M713" i="12"/>
  <c r="N713" i="12" s="1"/>
  <c r="G713" i="12"/>
  <c r="H713" i="12" s="1"/>
  <c r="O713" i="12"/>
  <c r="P713" i="12" s="1"/>
  <c r="Q713" i="12"/>
  <c r="R713" i="12" s="1"/>
  <c r="G672" i="12"/>
  <c r="H672" i="12" s="1"/>
  <c r="I672" i="12"/>
  <c r="J672" i="12" s="1"/>
  <c r="O672" i="12"/>
  <c r="P672" i="12" s="1"/>
  <c r="M672" i="12"/>
  <c r="N672" i="12" s="1"/>
  <c r="G648" i="12"/>
  <c r="H648" i="12" s="1"/>
  <c r="M648" i="12"/>
  <c r="N648" i="12" s="1"/>
  <c r="Q648" i="12"/>
  <c r="R648" i="12" s="1"/>
  <c r="K648" i="12"/>
  <c r="I648" i="12"/>
  <c r="J648" i="12" s="1"/>
  <c r="O648" i="12"/>
  <c r="P648" i="12" s="1"/>
  <c r="Q611" i="12"/>
  <c r="R611" i="12" s="1"/>
  <c r="K611" i="12"/>
  <c r="M611" i="12"/>
  <c r="N611" i="12" s="1"/>
  <c r="I611" i="12"/>
  <c r="J611" i="12" s="1"/>
  <c r="G611" i="12"/>
  <c r="H611" i="12" s="1"/>
  <c r="K632" i="12"/>
  <c r="G632" i="12"/>
  <c r="H632" i="12" s="1"/>
  <c r="O632" i="12"/>
  <c r="P632" i="12" s="1"/>
  <c r="Q632" i="12"/>
  <c r="R632" i="12" s="1"/>
  <c r="M632" i="12"/>
  <c r="N632" i="12" s="1"/>
  <c r="I632" i="12"/>
  <c r="J632" i="12" s="1"/>
  <c r="K565" i="12"/>
  <c r="M565" i="12"/>
  <c r="N565" i="12" s="1"/>
  <c r="G565" i="12"/>
  <c r="H565" i="12" s="1"/>
  <c r="O565" i="12"/>
  <c r="P565" i="12" s="1"/>
  <c r="Q565" i="12"/>
  <c r="R565" i="12" s="1"/>
  <c r="I565" i="12"/>
  <c r="J565" i="12" s="1"/>
  <c r="K574" i="12"/>
  <c r="M574" i="12"/>
  <c r="N574" i="12" s="1"/>
  <c r="O574" i="12"/>
  <c r="P574" i="12" s="1"/>
  <c r="I574" i="12"/>
  <c r="J574" i="12" s="1"/>
  <c r="Q540" i="12"/>
  <c r="R540" i="12" s="1"/>
  <c r="G540" i="12"/>
  <c r="H540" i="12" s="1"/>
  <c r="O540" i="12"/>
  <c r="P540" i="12" s="1"/>
  <c r="K540" i="12"/>
  <c r="I540" i="12"/>
  <c r="J540" i="12" s="1"/>
  <c r="K531" i="12"/>
  <c r="I531" i="12"/>
  <c r="J531" i="12" s="1"/>
  <c r="G531" i="12"/>
  <c r="H531" i="12" s="1"/>
  <c r="Q531" i="12"/>
  <c r="R531" i="12" s="1"/>
  <c r="O531" i="12"/>
  <c r="P531" i="12" s="1"/>
  <c r="O541" i="12"/>
  <c r="P541" i="12" s="1"/>
  <c r="Q541" i="12"/>
  <c r="R541" i="12" s="1"/>
  <c r="M541" i="12"/>
  <c r="N541" i="12" s="1"/>
  <c r="I541" i="12"/>
  <c r="J541" i="12" s="1"/>
  <c r="G541" i="12"/>
  <c r="H541" i="12" s="1"/>
  <c r="Q446" i="12"/>
  <c r="R446" i="12" s="1"/>
  <c r="M446" i="12"/>
  <c r="N446" i="12" s="1"/>
  <c r="G446" i="12"/>
  <c r="H446" i="12" s="1"/>
  <c r="O446" i="12"/>
  <c r="P446" i="12" s="1"/>
  <c r="K446" i="12"/>
  <c r="I436" i="12"/>
  <c r="J436" i="12" s="1"/>
  <c r="O436" i="12"/>
  <c r="P436" i="12" s="1"/>
  <c r="K436" i="12"/>
  <c r="Q462" i="12"/>
  <c r="R462" i="12" s="1"/>
  <c r="K462" i="12"/>
  <c r="M462" i="12"/>
  <c r="N462" i="12" s="1"/>
  <c r="G462" i="12"/>
  <c r="H462" i="12" s="1"/>
  <c r="O462" i="12"/>
  <c r="P462" i="12" s="1"/>
  <c r="I462" i="12"/>
  <c r="J462" i="12" s="1"/>
  <c r="O452" i="12"/>
  <c r="P452" i="12" s="1"/>
  <c r="K452" i="12"/>
  <c r="G452" i="12"/>
  <c r="H452" i="12" s="1"/>
  <c r="Q452" i="12"/>
  <c r="R452" i="12" s="1"/>
  <c r="I400" i="12"/>
  <c r="J400" i="12" s="1"/>
  <c r="O400" i="12"/>
  <c r="P400" i="12" s="1"/>
  <c r="Q400" i="12"/>
  <c r="R400" i="12" s="1"/>
  <c r="K342" i="12"/>
  <c r="I342" i="12"/>
  <c r="J342" i="12" s="1"/>
  <c r="Q385" i="12"/>
  <c r="R385" i="12" s="1"/>
  <c r="O385" i="12"/>
  <c r="P385" i="12" s="1"/>
  <c r="M385" i="12"/>
  <c r="N385" i="12" s="1"/>
  <c r="I385" i="12"/>
  <c r="J385" i="12" s="1"/>
  <c r="K385" i="12"/>
  <c r="I344" i="12"/>
  <c r="J344" i="12" s="1"/>
  <c r="Q344" i="12"/>
  <c r="R344" i="12" s="1"/>
  <c r="G314" i="12"/>
  <c r="H314" i="12" s="1"/>
  <c r="I314" i="12"/>
  <c r="J314" i="12" s="1"/>
  <c r="G243" i="12"/>
  <c r="H243" i="12" s="1"/>
  <c r="I230" i="12"/>
  <c r="J230" i="12" s="1"/>
  <c r="I115" i="12"/>
  <c r="J115" i="12" s="1"/>
  <c r="K13" i="12"/>
  <c r="G42" i="12"/>
  <c r="H42" i="12" s="1"/>
  <c r="K8" i="12"/>
  <c r="Q105" i="12"/>
  <c r="R105" i="12" s="1"/>
  <c r="I33" i="12"/>
  <c r="J33" i="12" s="1"/>
  <c r="I139" i="12"/>
  <c r="J139" i="12" s="1"/>
  <c r="M10" i="12"/>
  <c r="N10" i="12" s="1"/>
  <c r="M22" i="12"/>
  <c r="N22" i="12" s="1"/>
  <c r="K34" i="12"/>
  <c r="G64" i="12"/>
  <c r="H64" i="12" s="1"/>
  <c r="M107" i="12"/>
  <c r="N107" i="12" s="1"/>
  <c r="Q52" i="12"/>
  <c r="R52" i="12" s="1"/>
  <c r="O107" i="12"/>
  <c r="P107" i="12" s="1"/>
  <c r="O4" i="12"/>
  <c r="P4" i="12" s="1"/>
  <c r="O16" i="12"/>
  <c r="P16" i="12" s="1"/>
  <c r="M28" i="12"/>
  <c r="N28" i="12" s="1"/>
  <c r="O76" i="12"/>
  <c r="P76" i="12" s="1"/>
  <c r="Q57" i="12"/>
  <c r="R57" i="12" s="1"/>
  <c r="I133" i="12"/>
  <c r="J133" i="12" s="1"/>
  <c r="Q11" i="12"/>
  <c r="R11" i="12" s="1"/>
  <c r="Q23" i="12"/>
  <c r="R23" i="12" s="1"/>
  <c r="O35" i="12"/>
  <c r="P35" i="12" s="1"/>
  <c r="I56" i="12"/>
  <c r="J56" i="12" s="1"/>
  <c r="I43" i="12"/>
  <c r="J43" i="12" s="1"/>
  <c r="I103" i="12"/>
  <c r="J103" i="12" s="1"/>
  <c r="G11" i="12"/>
  <c r="H11" i="12" s="1"/>
  <c r="G23" i="12"/>
  <c r="H23" i="12" s="1"/>
  <c r="Q35" i="12"/>
  <c r="R35" i="12" s="1"/>
  <c r="K56" i="12"/>
  <c r="K43" i="12"/>
  <c r="G111" i="12"/>
  <c r="H111" i="12" s="1"/>
  <c r="I9" i="12"/>
  <c r="J9" i="12" s="1"/>
  <c r="I21" i="12"/>
  <c r="J21" i="12" s="1"/>
  <c r="G33" i="12"/>
  <c r="H33" i="12" s="1"/>
  <c r="G57" i="12"/>
  <c r="H57" i="12" s="1"/>
  <c r="Q111" i="12"/>
  <c r="R111" i="12" s="1"/>
  <c r="K150" i="12"/>
  <c r="Q134" i="12"/>
  <c r="R134" i="12" s="1"/>
  <c r="G70" i="12"/>
  <c r="H70" i="12" s="1"/>
  <c r="G82" i="12"/>
  <c r="H82" i="12" s="1"/>
  <c r="G94" i="12"/>
  <c r="H94" i="12" s="1"/>
  <c r="G106" i="12"/>
  <c r="H106" i="12" s="1"/>
  <c r="G118" i="12"/>
  <c r="H118" i="12" s="1"/>
  <c r="M159" i="12"/>
  <c r="N159" i="12" s="1"/>
  <c r="M139" i="12"/>
  <c r="N139" i="12" s="1"/>
  <c r="I176" i="12"/>
  <c r="J176" i="12" s="1"/>
  <c r="K51" i="12"/>
  <c r="K75" i="12"/>
  <c r="K87" i="12"/>
  <c r="K99" i="12"/>
  <c r="K111" i="12"/>
  <c r="M129" i="12"/>
  <c r="N129" i="12" s="1"/>
  <c r="O136" i="12"/>
  <c r="P136" i="12" s="1"/>
  <c r="G177" i="12"/>
  <c r="H177" i="12" s="1"/>
  <c r="K52" i="12"/>
  <c r="K64" i="12"/>
  <c r="K76" i="12"/>
  <c r="K100" i="12"/>
  <c r="K112" i="12"/>
  <c r="K128" i="12"/>
  <c r="I137" i="12"/>
  <c r="J137" i="12" s="1"/>
  <c r="I174" i="12"/>
  <c r="J174" i="12" s="1"/>
  <c r="I72" i="12"/>
  <c r="J72" i="12" s="1"/>
  <c r="I84" i="12"/>
  <c r="J84" i="12" s="1"/>
  <c r="I108" i="12"/>
  <c r="J108" i="12" s="1"/>
  <c r="I120" i="12"/>
  <c r="J120" i="12" s="1"/>
  <c r="Q145" i="12"/>
  <c r="R145" i="12" s="1"/>
  <c r="K193" i="12"/>
  <c r="I225" i="12"/>
  <c r="J225" i="12" s="1"/>
  <c r="M220" i="12"/>
  <c r="N220" i="12" s="1"/>
  <c r="I168" i="12"/>
  <c r="J168" i="12" s="1"/>
  <c r="M155" i="12"/>
  <c r="N155" i="12" s="1"/>
  <c r="I200" i="12"/>
  <c r="J200" i="12" s="1"/>
  <c r="I140" i="12"/>
  <c r="J140" i="12" s="1"/>
  <c r="I152" i="12"/>
  <c r="J152" i="12" s="1"/>
  <c r="G183" i="12"/>
  <c r="H183" i="12" s="1"/>
  <c r="O213" i="12"/>
  <c r="P213" i="12" s="1"/>
  <c r="I206" i="12"/>
  <c r="J206" i="12" s="1"/>
  <c r="K236" i="12"/>
  <c r="O151" i="12"/>
  <c r="P151" i="12" s="1"/>
  <c r="K179" i="12"/>
  <c r="G292" i="12"/>
  <c r="H292" i="12" s="1"/>
  <c r="Q305" i="12"/>
  <c r="R305" i="12" s="1"/>
  <c r="G172" i="12"/>
  <c r="H172" i="12" s="1"/>
  <c r="G184" i="12"/>
  <c r="H184" i="12" s="1"/>
  <c r="G196" i="12"/>
  <c r="H196" i="12" s="1"/>
  <c r="G208" i="12"/>
  <c r="H208" i="12" s="1"/>
  <c r="Q263" i="12"/>
  <c r="R263" i="12" s="1"/>
  <c r="K284" i="12"/>
  <c r="Q168" i="12"/>
  <c r="R168" i="12" s="1"/>
  <c r="Q180" i="12"/>
  <c r="R180" i="12" s="1"/>
  <c r="Q192" i="12"/>
  <c r="R192" i="12" s="1"/>
  <c r="Q216" i="12"/>
  <c r="R216" i="12" s="1"/>
  <c r="O246" i="12"/>
  <c r="P246" i="12" s="1"/>
  <c r="O353" i="12"/>
  <c r="P353" i="12" s="1"/>
  <c r="G174" i="12"/>
  <c r="H174" i="12" s="1"/>
  <c r="G186" i="12"/>
  <c r="H186" i="12" s="1"/>
  <c r="G198" i="12"/>
  <c r="H198" i="12" s="1"/>
  <c r="G210" i="12"/>
  <c r="H210" i="12" s="1"/>
  <c r="Q269" i="12"/>
  <c r="R269" i="12" s="1"/>
  <c r="I267" i="12"/>
  <c r="J267" i="12" s="1"/>
  <c r="G263" i="12"/>
  <c r="H263" i="12" s="1"/>
  <c r="K267" i="12"/>
  <c r="G170" i="12"/>
  <c r="H170" i="12" s="1"/>
  <c r="G182" i="12"/>
  <c r="H182" i="12" s="1"/>
  <c r="G194" i="12"/>
  <c r="H194" i="12" s="1"/>
  <c r="G218" i="12"/>
  <c r="H218" i="12" s="1"/>
  <c r="M253" i="12"/>
  <c r="N253" i="12" s="1"/>
  <c r="I329" i="12"/>
  <c r="J329" i="12" s="1"/>
  <c r="K285" i="12"/>
  <c r="K297" i="12"/>
  <c r="K309" i="12"/>
  <c r="K321" i="12"/>
  <c r="I340" i="12"/>
  <c r="J340" i="12" s="1"/>
  <c r="Q223" i="12"/>
  <c r="R223" i="12" s="1"/>
  <c r="Q235" i="12"/>
  <c r="R235" i="12" s="1"/>
  <c r="Q247" i="12"/>
  <c r="R247" i="12" s="1"/>
  <c r="Q259" i="12"/>
  <c r="R259" i="12" s="1"/>
  <c r="Q271" i="12"/>
  <c r="R271" i="12" s="1"/>
  <c r="Q283" i="12"/>
  <c r="R283" i="12" s="1"/>
  <c r="Q295" i="12"/>
  <c r="R295" i="12" s="1"/>
  <c r="Q307" i="12"/>
  <c r="R307" i="12" s="1"/>
  <c r="Q335" i="12"/>
  <c r="R335" i="12" s="1"/>
  <c r="Q224" i="12"/>
  <c r="R224" i="12" s="1"/>
  <c r="Q236" i="12"/>
  <c r="R236" i="12" s="1"/>
  <c r="Q260" i="12"/>
  <c r="R260" i="12" s="1"/>
  <c r="Q272" i="12"/>
  <c r="R272" i="12" s="1"/>
  <c r="Q284" i="12"/>
  <c r="R284" i="12" s="1"/>
  <c r="Q296" i="12"/>
  <c r="R296" i="12" s="1"/>
  <c r="Q308" i="12"/>
  <c r="R308" i="12" s="1"/>
  <c r="Q320" i="12"/>
  <c r="R320" i="12" s="1"/>
  <c r="O342" i="12"/>
  <c r="P342" i="12" s="1"/>
  <c r="I223" i="12"/>
  <c r="J223" i="12" s="1"/>
  <c r="I235" i="12"/>
  <c r="J235" i="12" s="1"/>
  <c r="I247" i="12"/>
  <c r="J247" i="12" s="1"/>
  <c r="I259" i="12"/>
  <c r="J259" i="12" s="1"/>
  <c r="I271" i="12"/>
  <c r="J271" i="12" s="1"/>
  <c r="I283" i="12"/>
  <c r="J283" i="12" s="1"/>
  <c r="I295" i="12"/>
  <c r="J295" i="12" s="1"/>
  <c r="O328" i="12"/>
  <c r="P328" i="12" s="1"/>
  <c r="G237" i="12"/>
  <c r="H237" i="12" s="1"/>
  <c r="G261" i="12"/>
  <c r="H261" i="12" s="1"/>
  <c r="G285" i="12"/>
  <c r="H285" i="12" s="1"/>
  <c r="G309" i="12"/>
  <c r="H309" i="12" s="1"/>
  <c r="G381" i="12"/>
  <c r="H381" i="12" s="1"/>
  <c r="O395" i="12"/>
  <c r="P395" i="12" s="1"/>
  <c r="K355" i="12"/>
  <c r="G354" i="12"/>
  <c r="H354" i="12" s="1"/>
  <c r="K361" i="12"/>
  <c r="O371" i="12"/>
  <c r="P371" i="12" s="1"/>
  <c r="K370" i="12"/>
  <c r="M331" i="12"/>
  <c r="N331" i="12" s="1"/>
  <c r="M450" i="12"/>
  <c r="N450" i="12" s="1"/>
  <c r="O454" i="12"/>
  <c r="P454" i="12" s="1"/>
  <c r="K420" i="12"/>
  <c r="K495" i="12"/>
  <c r="M443" i="12"/>
  <c r="N443" i="12" s="1"/>
  <c r="K377" i="12"/>
  <c r="O412" i="12"/>
  <c r="P412" i="12" s="1"/>
  <c r="G344" i="12"/>
  <c r="H344" i="12" s="1"/>
  <c r="M377" i="12"/>
  <c r="N377" i="12" s="1"/>
  <c r="M431" i="12"/>
  <c r="N431" i="12" s="1"/>
  <c r="K553" i="12"/>
  <c r="G418" i="12"/>
  <c r="H418" i="12" s="1"/>
  <c r="Q497" i="12"/>
  <c r="R497" i="12" s="1"/>
  <c r="G413" i="12"/>
  <c r="H413" i="12" s="1"/>
  <c r="G485" i="12"/>
  <c r="H485" i="12" s="1"/>
  <c r="M417" i="12"/>
  <c r="N417" i="12" s="1"/>
  <c r="M453" i="12"/>
  <c r="N453" i="12" s="1"/>
  <c r="Q504" i="12"/>
  <c r="R504" i="12" s="1"/>
  <c r="G421" i="12"/>
  <c r="H421" i="12" s="1"/>
  <c r="G457" i="12"/>
  <c r="H457" i="12" s="1"/>
  <c r="K499" i="12"/>
  <c r="G515" i="12"/>
  <c r="H515" i="12" s="1"/>
  <c r="O539" i="12"/>
  <c r="P539" i="12" s="1"/>
  <c r="K504" i="12"/>
  <c r="K560" i="12"/>
  <c r="M576" i="12"/>
  <c r="N576" i="12" s="1"/>
  <c r="Q585" i="12"/>
  <c r="R585" i="12" s="1"/>
  <c r="Q574" i="12"/>
  <c r="R574" i="12" s="1"/>
  <c r="M577" i="12"/>
  <c r="N577" i="12" s="1"/>
  <c r="K672" i="12"/>
  <c r="G583" i="12"/>
  <c r="H583" i="12" s="1"/>
  <c r="Q675" i="12"/>
  <c r="R675" i="12" s="1"/>
  <c r="G637" i="12"/>
  <c r="H637" i="12" s="1"/>
  <c r="Q661" i="12"/>
  <c r="R661" i="12" s="1"/>
  <c r="I691" i="12"/>
  <c r="J691" i="12" s="1"/>
  <c r="G781" i="12"/>
  <c r="H781" i="12" s="1"/>
  <c r="G724" i="12"/>
  <c r="H724" i="12" s="1"/>
  <c r="M765" i="12"/>
  <c r="N765" i="12" s="1"/>
  <c r="I748" i="12"/>
  <c r="J748" i="12" s="1"/>
  <c r="O811" i="12"/>
  <c r="P811" i="12" s="1"/>
  <c r="G869" i="12"/>
  <c r="H869" i="12" s="1"/>
  <c r="G928" i="12"/>
  <c r="H928" i="12" s="1"/>
  <c r="K937" i="12"/>
  <c r="K963" i="12"/>
  <c r="I999" i="12"/>
  <c r="J999" i="12" s="1"/>
  <c r="G996" i="12"/>
  <c r="H996" i="12" s="1"/>
  <c r="O996" i="12"/>
  <c r="P996" i="12" s="1"/>
  <c r="K996" i="12"/>
  <c r="Q996" i="12"/>
  <c r="R996" i="12" s="1"/>
  <c r="I996" i="12"/>
  <c r="J996" i="12" s="1"/>
  <c r="M996" i="12"/>
  <c r="N996" i="12" s="1"/>
  <c r="M997" i="12"/>
  <c r="N997" i="12" s="1"/>
  <c r="I997" i="12"/>
  <c r="J997" i="12" s="1"/>
  <c r="O997" i="12"/>
  <c r="P997" i="12" s="1"/>
  <c r="G997" i="12"/>
  <c r="H997" i="12" s="1"/>
  <c r="K997" i="12"/>
  <c r="M985" i="12"/>
  <c r="N985" i="12" s="1"/>
  <c r="I985" i="12"/>
  <c r="J985" i="12" s="1"/>
  <c r="O985" i="12"/>
  <c r="P985" i="12" s="1"/>
  <c r="G985" i="12"/>
  <c r="H985" i="12" s="1"/>
  <c r="K985" i="12"/>
  <c r="Q949" i="12"/>
  <c r="R949" i="12" s="1"/>
  <c r="O949" i="12"/>
  <c r="P949" i="12" s="1"/>
  <c r="G949" i="12"/>
  <c r="H949" i="12" s="1"/>
  <c r="K949" i="12"/>
  <c r="K899" i="12"/>
  <c r="I899" i="12"/>
  <c r="J899" i="12" s="1"/>
  <c r="G899" i="12"/>
  <c r="H899" i="12" s="1"/>
  <c r="Q899" i="12"/>
  <c r="R899" i="12" s="1"/>
  <c r="O899" i="12"/>
  <c r="P899" i="12" s="1"/>
  <c r="M899" i="12"/>
  <c r="N899" i="12" s="1"/>
  <c r="M867" i="12"/>
  <c r="N867" i="12" s="1"/>
  <c r="Q867" i="12"/>
  <c r="R867" i="12" s="1"/>
  <c r="K867" i="12"/>
  <c r="G867" i="12"/>
  <c r="H867" i="12" s="1"/>
  <c r="I867" i="12"/>
  <c r="J867" i="12" s="1"/>
  <c r="G897" i="12"/>
  <c r="H897" i="12" s="1"/>
  <c r="O897" i="12"/>
  <c r="P897" i="12" s="1"/>
  <c r="K897" i="12"/>
  <c r="Q897" i="12"/>
  <c r="R897" i="12" s="1"/>
  <c r="M897" i="12"/>
  <c r="N897" i="12" s="1"/>
  <c r="K848" i="12"/>
  <c r="G848" i="12"/>
  <c r="H848" i="12" s="1"/>
  <c r="O848" i="12"/>
  <c r="P848" i="12" s="1"/>
  <c r="Q848" i="12"/>
  <c r="R848" i="12" s="1"/>
  <c r="M848" i="12"/>
  <c r="N848" i="12" s="1"/>
  <c r="I848" i="12"/>
  <c r="J848" i="12" s="1"/>
  <c r="I852" i="12"/>
  <c r="J852" i="12" s="1"/>
  <c r="Q852" i="12"/>
  <c r="R852" i="12" s="1"/>
  <c r="M852" i="12"/>
  <c r="N852" i="12" s="1"/>
  <c r="O852" i="12"/>
  <c r="P852" i="12" s="1"/>
  <c r="K852" i="12"/>
  <c r="I832" i="12"/>
  <c r="J832" i="12" s="1"/>
  <c r="Q832" i="12"/>
  <c r="R832" i="12" s="1"/>
  <c r="G832" i="12"/>
  <c r="H832" i="12" s="1"/>
  <c r="K832" i="12"/>
  <c r="M832" i="12"/>
  <c r="N832" i="12" s="1"/>
  <c r="O832" i="12"/>
  <c r="P832" i="12" s="1"/>
  <c r="K844" i="12"/>
  <c r="Q844" i="12"/>
  <c r="R844" i="12" s="1"/>
  <c r="O844" i="12"/>
  <c r="P844" i="12" s="1"/>
  <c r="I844" i="12"/>
  <c r="J844" i="12" s="1"/>
  <c r="G844" i="12"/>
  <c r="H844" i="12" s="1"/>
  <c r="M844" i="12"/>
  <c r="N844" i="12" s="1"/>
  <c r="I805" i="12"/>
  <c r="J805" i="12" s="1"/>
  <c r="G805" i="12"/>
  <c r="H805" i="12" s="1"/>
  <c r="Q805" i="12"/>
  <c r="R805" i="12" s="1"/>
  <c r="M805" i="12"/>
  <c r="N805" i="12" s="1"/>
  <c r="K805" i="12"/>
  <c r="O805" i="12"/>
  <c r="P805" i="12" s="1"/>
  <c r="G766" i="12"/>
  <c r="H766" i="12" s="1"/>
  <c r="I766" i="12"/>
  <c r="J766" i="12" s="1"/>
  <c r="O766" i="12"/>
  <c r="P766" i="12" s="1"/>
  <c r="Q766" i="12"/>
  <c r="R766" i="12" s="1"/>
  <c r="K766" i="12"/>
  <c r="K743" i="12"/>
  <c r="O743" i="12"/>
  <c r="P743" i="12" s="1"/>
  <c r="G743" i="12"/>
  <c r="H743" i="12" s="1"/>
  <c r="I743" i="12"/>
  <c r="J743" i="12" s="1"/>
  <c r="M743" i="12"/>
  <c r="N743" i="12" s="1"/>
  <c r="M712" i="12"/>
  <c r="N712" i="12" s="1"/>
  <c r="O712" i="12"/>
  <c r="P712" i="12" s="1"/>
  <c r="K712" i="12"/>
  <c r="I712" i="12"/>
  <c r="J712" i="12" s="1"/>
  <c r="Q712" i="12"/>
  <c r="R712" i="12" s="1"/>
  <c r="O727" i="12"/>
  <c r="P727" i="12" s="1"/>
  <c r="K727" i="12"/>
  <c r="Q727" i="12"/>
  <c r="R727" i="12" s="1"/>
  <c r="M727" i="12"/>
  <c r="N727" i="12" s="1"/>
  <c r="G727" i="12"/>
  <c r="H727" i="12" s="1"/>
  <c r="M733" i="12"/>
  <c r="N733" i="12" s="1"/>
  <c r="Q733" i="12"/>
  <c r="R733" i="12" s="1"/>
  <c r="G733" i="12"/>
  <c r="H733" i="12" s="1"/>
  <c r="I733" i="12"/>
  <c r="J733" i="12" s="1"/>
  <c r="O733" i="12"/>
  <c r="P733" i="12" s="1"/>
  <c r="Q673" i="12"/>
  <c r="R673" i="12" s="1"/>
  <c r="M673" i="12"/>
  <c r="N673" i="12" s="1"/>
  <c r="I673" i="12"/>
  <c r="J673" i="12" s="1"/>
  <c r="K673" i="12"/>
  <c r="G673" i="12"/>
  <c r="H673" i="12" s="1"/>
  <c r="O673" i="12"/>
  <c r="P673" i="12" s="1"/>
  <c r="K649" i="12"/>
  <c r="I649" i="12"/>
  <c r="J649" i="12" s="1"/>
  <c r="M649" i="12"/>
  <c r="N649" i="12" s="1"/>
  <c r="O649" i="12"/>
  <c r="P649" i="12" s="1"/>
  <c r="G649" i="12"/>
  <c r="H649" i="12" s="1"/>
  <c r="I594" i="12"/>
  <c r="J594" i="12" s="1"/>
  <c r="Q594" i="12"/>
  <c r="R594" i="12" s="1"/>
  <c r="O594" i="12"/>
  <c r="P594" i="12" s="1"/>
  <c r="G594" i="12"/>
  <c r="H594" i="12" s="1"/>
  <c r="M594" i="12"/>
  <c r="N594" i="12" s="1"/>
  <c r="M568" i="12"/>
  <c r="N568" i="12" s="1"/>
  <c r="I568" i="12"/>
  <c r="J568" i="12" s="1"/>
  <c r="K568" i="12"/>
  <c r="O568" i="12"/>
  <c r="P568" i="12" s="1"/>
  <c r="M468" i="12"/>
  <c r="N468" i="12" s="1"/>
  <c r="I468" i="12"/>
  <c r="J468" i="12" s="1"/>
  <c r="Q468" i="12"/>
  <c r="R468" i="12" s="1"/>
  <c r="K454" i="12"/>
  <c r="M454" i="12"/>
  <c r="N454" i="12" s="1"/>
  <c r="Q454" i="12"/>
  <c r="R454" i="12" s="1"/>
  <c r="I454" i="12"/>
  <c r="J454" i="12" s="1"/>
  <c r="I492" i="12"/>
  <c r="J492" i="12" s="1"/>
  <c r="M492" i="12"/>
  <c r="N492" i="12" s="1"/>
  <c r="G492" i="12"/>
  <c r="H492" i="12" s="1"/>
  <c r="K351" i="12"/>
  <c r="G351" i="12"/>
  <c r="H351" i="12" s="1"/>
  <c r="Q351" i="12"/>
  <c r="R351" i="12" s="1"/>
  <c r="K391" i="12"/>
  <c r="M391" i="12"/>
  <c r="N391" i="12" s="1"/>
  <c r="K307" i="12"/>
  <c r="K6" i="12"/>
  <c r="I123" i="12"/>
  <c r="J123" i="12" s="1"/>
  <c r="K17" i="12"/>
  <c r="Q47" i="12"/>
  <c r="R47" i="12" s="1"/>
  <c r="K12" i="12"/>
  <c r="G152" i="12"/>
  <c r="H152" i="12" s="1"/>
  <c r="G104" i="12"/>
  <c r="H104" i="12" s="1"/>
  <c r="O141" i="12"/>
  <c r="P141" i="12" s="1"/>
  <c r="M11" i="12"/>
  <c r="N11" i="12" s="1"/>
  <c r="M23" i="12"/>
  <c r="N23" i="12" s="1"/>
  <c r="K35" i="12"/>
  <c r="O65" i="12"/>
  <c r="P65" i="12" s="1"/>
  <c r="K108" i="12"/>
  <c r="K55" i="12"/>
  <c r="M108" i="12"/>
  <c r="N108" i="12" s="1"/>
  <c r="O5" i="12"/>
  <c r="P5" i="12" s="1"/>
  <c r="O17" i="12"/>
  <c r="P17" i="12" s="1"/>
  <c r="K41" i="12"/>
  <c r="G87" i="12"/>
  <c r="H87" i="12" s="1"/>
  <c r="G58" i="12"/>
  <c r="H58" i="12" s="1"/>
  <c r="Q135" i="12"/>
  <c r="R135" i="12" s="1"/>
  <c r="Q12" i="12"/>
  <c r="R12" i="12" s="1"/>
  <c r="Q24" i="12"/>
  <c r="R24" i="12" s="1"/>
  <c r="O36" i="12"/>
  <c r="P36" i="12" s="1"/>
  <c r="M66" i="12"/>
  <c r="N66" i="12" s="1"/>
  <c r="G50" i="12"/>
  <c r="H50" i="12" s="1"/>
  <c r="Q117" i="12"/>
  <c r="R117" i="12" s="1"/>
  <c r="G12" i="12"/>
  <c r="H12" i="12" s="1"/>
  <c r="G24" i="12"/>
  <c r="H24" i="12" s="1"/>
  <c r="Q36" i="12"/>
  <c r="R36" i="12" s="1"/>
  <c r="O66" i="12"/>
  <c r="P66" i="12" s="1"/>
  <c r="M47" i="12"/>
  <c r="N47" i="12" s="1"/>
  <c r="I10" i="12"/>
  <c r="J10" i="12" s="1"/>
  <c r="I22" i="12"/>
  <c r="J22" i="12" s="1"/>
  <c r="G34" i="12"/>
  <c r="H34" i="12" s="1"/>
  <c r="Q125" i="12"/>
  <c r="R125" i="12" s="1"/>
  <c r="G157" i="12"/>
  <c r="H157" i="12" s="1"/>
  <c r="I149" i="12"/>
  <c r="J149" i="12" s="1"/>
  <c r="K136" i="12"/>
  <c r="Q71" i="12"/>
  <c r="R71" i="12" s="1"/>
  <c r="Q83" i="12"/>
  <c r="R83" i="12" s="1"/>
  <c r="Q95" i="12"/>
  <c r="R95" i="12" s="1"/>
  <c r="Q119" i="12"/>
  <c r="R119" i="12" s="1"/>
  <c r="M160" i="12"/>
  <c r="N160" i="12" s="1"/>
  <c r="Q140" i="12"/>
  <c r="R140" i="12" s="1"/>
  <c r="O203" i="12"/>
  <c r="P203" i="12" s="1"/>
  <c r="I52" i="12"/>
  <c r="J52" i="12" s="1"/>
  <c r="I64" i="12"/>
  <c r="J64" i="12" s="1"/>
  <c r="I76" i="12"/>
  <c r="J76" i="12" s="1"/>
  <c r="I88" i="12"/>
  <c r="J88" i="12" s="1"/>
  <c r="I100" i="12"/>
  <c r="J100" i="12" s="1"/>
  <c r="I112" i="12"/>
  <c r="J112" i="12" s="1"/>
  <c r="Q133" i="12"/>
  <c r="R133" i="12" s="1"/>
  <c r="K138" i="12"/>
  <c r="I194" i="12"/>
  <c r="J194" i="12" s="1"/>
  <c r="I53" i="12"/>
  <c r="J53" i="12" s="1"/>
  <c r="I65" i="12"/>
  <c r="J65" i="12" s="1"/>
  <c r="I77" i="12"/>
  <c r="J77" i="12" s="1"/>
  <c r="I89" i="12"/>
  <c r="J89" i="12" s="1"/>
  <c r="I101" i="12"/>
  <c r="J101" i="12" s="1"/>
  <c r="I113" i="12"/>
  <c r="J113" i="12" s="1"/>
  <c r="O129" i="12"/>
  <c r="P129" i="12" s="1"/>
  <c r="G140" i="12"/>
  <c r="H140" i="12" s="1"/>
  <c r="O177" i="12"/>
  <c r="P177" i="12" s="1"/>
  <c r="G49" i="12"/>
  <c r="H49" i="12" s="1"/>
  <c r="G61" i="12"/>
  <c r="H61" i="12" s="1"/>
  <c r="G73" i="12"/>
  <c r="H73" i="12" s="1"/>
  <c r="G85" i="12"/>
  <c r="H85" i="12" s="1"/>
  <c r="G97" i="12"/>
  <c r="H97" i="12" s="1"/>
  <c r="G109" i="12"/>
  <c r="H109" i="12" s="1"/>
  <c r="G121" i="12"/>
  <c r="H121" i="12" s="1"/>
  <c r="M153" i="12"/>
  <c r="N153" i="12" s="1"/>
  <c r="I198" i="12"/>
  <c r="J198" i="12" s="1"/>
  <c r="O276" i="12"/>
  <c r="P276" i="12" s="1"/>
  <c r="G223" i="12"/>
  <c r="H223" i="12" s="1"/>
  <c r="O171" i="12"/>
  <c r="P171" i="12" s="1"/>
  <c r="K156" i="12"/>
  <c r="Q202" i="12"/>
  <c r="R202" i="12" s="1"/>
  <c r="G129" i="12"/>
  <c r="H129" i="12" s="1"/>
  <c r="G141" i="12"/>
  <c r="H141" i="12" s="1"/>
  <c r="G153" i="12"/>
  <c r="H153" i="12" s="1"/>
  <c r="M186" i="12"/>
  <c r="N186" i="12" s="1"/>
  <c r="K231" i="12"/>
  <c r="Q208" i="12"/>
  <c r="R208" i="12" s="1"/>
  <c r="K255" i="12"/>
  <c r="M128" i="12"/>
  <c r="N128" i="12" s="1"/>
  <c r="M140" i="12"/>
  <c r="N140" i="12" s="1"/>
  <c r="M152" i="12"/>
  <c r="N152" i="12" s="1"/>
  <c r="G189" i="12"/>
  <c r="H189" i="12" s="1"/>
  <c r="I297" i="12"/>
  <c r="J297" i="12" s="1"/>
  <c r="Q161" i="12"/>
  <c r="R161" i="12" s="1"/>
  <c r="Q173" i="12"/>
  <c r="R173" i="12" s="1"/>
  <c r="Q185" i="12"/>
  <c r="R185" i="12" s="1"/>
  <c r="Q209" i="12"/>
  <c r="R209" i="12" s="1"/>
  <c r="Q221" i="12"/>
  <c r="R221" i="12" s="1"/>
  <c r="I274" i="12"/>
  <c r="J274" i="12" s="1"/>
  <c r="M295" i="12"/>
  <c r="N295" i="12" s="1"/>
  <c r="O181" i="12"/>
  <c r="P181" i="12" s="1"/>
  <c r="O193" i="12"/>
  <c r="P193" i="12" s="1"/>
  <c r="O205" i="12"/>
  <c r="P205" i="12" s="1"/>
  <c r="O217" i="12"/>
  <c r="P217" i="12" s="1"/>
  <c r="G257" i="12"/>
  <c r="H257" i="12" s="1"/>
  <c r="M242" i="12"/>
  <c r="N242" i="12" s="1"/>
  <c r="Q163" i="12"/>
  <c r="R163" i="12" s="1"/>
  <c r="Q175" i="12"/>
  <c r="R175" i="12" s="1"/>
  <c r="Q187" i="12"/>
  <c r="R187" i="12" s="1"/>
  <c r="Q199" i="12"/>
  <c r="R199" i="12" s="1"/>
  <c r="Q211" i="12"/>
  <c r="R211" i="12" s="1"/>
  <c r="I226" i="12"/>
  <c r="J226" i="12" s="1"/>
  <c r="O282" i="12"/>
  <c r="P282" i="12" s="1"/>
  <c r="Q281" i="12"/>
  <c r="R281" i="12" s="1"/>
  <c r="Q171" i="12"/>
  <c r="R171" i="12" s="1"/>
  <c r="Q183" i="12"/>
  <c r="R183" i="12" s="1"/>
  <c r="Q207" i="12"/>
  <c r="R207" i="12" s="1"/>
  <c r="Q219" i="12"/>
  <c r="R219" i="12" s="1"/>
  <c r="Q257" i="12"/>
  <c r="R257" i="12" s="1"/>
  <c r="I330" i="12"/>
  <c r="J330" i="12" s="1"/>
  <c r="I286" i="12"/>
  <c r="J286" i="12" s="1"/>
  <c r="I310" i="12"/>
  <c r="J310" i="12" s="1"/>
  <c r="I322" i="12"/>
  <c r="J322" i="12" s="1"/>
  <c r="O344" i="12"/>
  <c r="P344" i="12" s="1"/>
  <c r="O224" i="12"/>
  <c r="P224" i="12" s="1"/>
  <c r="O236" i="12"/>
  <c r="P236" i="12" s="1"/>
  <c r="O260" i="12"/>
  <c r="P260" i="12" s="1"/>
  <c r="O272" i="12"/>
  <c r="P272" i="12" s="1"/>
  <c r="O284" i="12"/>
  <c r="P284" i="12" s="1"/>
  <c r="O296" i="12"/>
  <c r="P296" i="12" s="1"/>
  <c r="O308" i="12"/>
  <c r="P308" i="12" s="1"/>
  <c r="O320" i="12"/>
  <c r="P320" i="12" s="1"/>
  <c r="M339" i="12"/>
  <c r="N339" i="12" s="1"/>
  <c r="O225" i="12"/>
  <c r="P225" i="12" s="1"/>
  <c r="O237" i="12"/>
  <c r="P237" i="12" s="1"/>
  <c r="O249" i="12"/>
  <c r="P249" i="12" s="1"/>
  <c r="O261" i="12"/>
  <c r="P261" i="12" s="1"/>
  <c r="O273" i="12"/>
  <c r="P273" i="12" s="1"/>
  <c r="O285" i="12"/>
  <c r="P285" i="12" s="1"/>
  <c r="O297" i="12"/>
  <c r="P297" i="12" s="1"/>
  <c r="O309" i="12"/>
  <c r="P309" i="12" s="1"/>
  <c r="O321" i="12"/>
  <c r="P321" i="12" s="1"/>
  <c r="K345" i="12"/>
  <c r="G224" i="12"/>
  <c r="H224" i="12" s="1"/>
  <c r="G236" i="12"/>
  <c r="H236" i="12" s="1"/>
  <c r="G260" i="12"/>
  <c r="H260" i="12" s="1"/>
  <c r="G272" i="12"/>
  <c r="H272" i="12" s="1"/>
  <c r="G284" i="12"/>
  <c r="H284" i="12" s="1"/>
  <c r="G296" i="12"/>
  <c r="H296" i="12" s="1"/>
  <c r="Q309" i="12"/>
  <c r="R309" i="12" s="1"/>
  <c r="Q238" i="12"/>
  <c r="R238" i="12" s="1"/>
  <c r="Q262" i="12"/>
  <c r="R262" i="12" s="1"/>
  <c r="Q286" i="12"/>
  <c r="R286" i="12" s="1"/>
  <c r="Q310" i="12"/>
  <c r="R310" i="12" s="1"/>
  <c r="K433" i="12"/>
  <c r="O356" i="12"/>
  <c r="P356" i="12" s="1"/>
  <c r="Q359" i="12"/>
  <c r="R359" i="12" s="1"/>
  <c r="Q372" i="12"/>
  <c r="R372" i="12" s="1"/>
  <c r="M374" i="12"/>
  <c r="N374" i="12" s="1"/>
  <c r="M344" i="12"/>
  <c r="N344" i="12" s="1"/>
  <c r="O354" i="12"/>
  <c r="P354" i="12" s="1"/>
  <c r="I487" i="12"/>
  <c r="J487" i="12" s="1"/>
  <c r="K438" i="12"/>
  <c r="M499" i="12"/>
  <c r="N499" i="12" s="1"/>
  <c r="I469" i="12"/>
  <c r="J469" i="12" s="1"/>
  <c r="G379" i="12"/>
  <c r="H379" i="12" s="1"/>
  <c r="O425" i="12"/>
  <c r="P425" i="12" s="1"/>
  <c r="Q345" i="12"/>
  <c r="R345" i="12" s="1"/>
  <c r="I379" i="12"/>
  <c r="J379" i="12" s="1"/>
  <c r="I446" i="12"/>
  <c r="J446" i="12" s="1"/>
  <c r="M489" i="12"/>
  <c r="N489" i="12" s="1"/>
  <c r="M504" i="12"/>
  <c r="N504" i="12" s="1"/>
  <c r="O415" i="12"/>
  <c r="P415" i="12" s="1"/>
  <c r="O451" i="12"/>
  <c r="P451" i="12" s="1"/>
  <c r="O487" i="12"/>
  <c r="P487" i="12" s="1"/>
  <c r="I419" i="12"/>
  <c r="J419" i="12" s="1"/>
  <c r="I455" i="12"/>
  <c r="J455" i="12" s="1"/>
  <c r="O423" i="12"/>
  <c r="P423" i="12" s="1"/>
  <c r="O459" i="12"/>
  <c r="P459" i="12" s="1"/>
  <c r="O503" i="12"/>
  <c r="P503" i="12" s="1"/>
  <c r="K502" i="12"/>
  <c r="Q550" i="12"/>
  <c r="R550" i="12" s="1"/>
  <c r="I522" i="12"/>
  <c r="J522" i="12" s="1"/>
  <c r="G506" i="12"/>
  <c r="H506" i="12" s="1"/>
  <c r="M581" i="12"/>
  <c r="N581" i="12" s="1"/>
  <c r="O581" i="12"/>
  <c r="P581" i="12" s="1"/>
  <c r="G561" i="12"/>
  <c r="H561" i="12" s="1"/>
  <c r="G586" i="12"/>
  <c r="H586" i="12" s="1"/>
  <c r="I563" i="12"/>
  <c r="J563" i="12" s="1"/>
  <c r="M596" i="12"/>
  <c r="N596" i="12" s="1"/>
  <c r="G638" i="12"/>
  <c r="H638" i="12" s="1"/>
  <c r="I669" i="12"/>
  <c r="J669" i="12" s="1"/>
  <c r="K724" i="12"/>
  <c r="I703" i="12"/>
  <c r="J703" i="12" s="1"/>
  <c r="G736" i="12"/>
  <c r="H736" i="12" s="1"/>
  <c r="M777" i="12"/>
  <c r="N777" i="12" s="1"/>
  <c r="I760" i="12"/>
  <c r="J760" i="12" s="1"/>
  <c r="M808" i="12"/>
  <c r="N808" i="12" s="1"/>
  <c r="G876" i="12"/>
  <c r="H876" i="12" s="1"/>
  <c r="M846" i="12"/>
  <c r="N846" i="12" s="1"/>
  <c r="K882" i="12"/>
  <c r="G901" i="12"/>
  <c r="H901" i="12" s="1"/>
  <c r="Q948" i="12"/>
  <c r="R948" i="12" s="1"/>
  <c r="I949" i="12"/>
  <c r="J949" i="12" s="1"/>
  <c r="O991" i="12"/>
  <c r="P991" i="12" s="1"/>
  <c r="I988" i="12"/>
  <c r="J988" i="12" s="1"/>
  <c r="M988" i="12"/>
  <c r="N988" i="12" s="1"/>
  <c r="Q988" i="12"/>
  <c r="R988" i="12" s="1"/>
  <c r="K988" i="12"/>
  <c r="G988" i="12"/>
  <c r="H988" i="12" s="1"/>
  <c r="O988" i="12"/>
  <c r="P988" i="12" s="1"/>
  <c r="G922" i="12"/>
  <c r="H922" i="12" s="1"/>
  <c r="Q922" i="12"/>
  <c r="R922" i="12" s="1"/>
  <c r="O922" i="12"/>
  <c r="P922" i="12" s="1"/>
  <c r="M922" i="12"/>
  <c r="N922" i="12" s="1"/>
  <c r="K922" i="12"/>
  <c r="I922" i="12"/>
  <c r="J922" i="12" s="1"/>
  <c r="K940" i="12"/>
  <c r="O940" i="12"/>
  <c r="P940" i="12" s="1"/>
  <c r="G940" i="12"/>
  <c r="H940" i="12" s="1"/>
  <c r="I940" i="12"/>
  <c r="J940" i="12" s="1"/>
  <c r="Q940" i="12"/>
  <c r="R940" i="12" s="1"/>
  <c r="M940" i="12"/>
  <c r="N940" i="12" s="1"/>
  <c r="Q891" i="12"/>
  <c r="R891" i="12" s="1"/>
  <c r="O891" i="12"/>
  <c r="P891" i="12" s="1"/>
  <c r="G891" i="12"/>
  <c r="H891" i="12" s="1"/>
  <c r="I891" i="12"/>
  <c r="J891" i="12" s="1"/>
  <c r="M891" i="12"/>
  <c r="N891" i="12" s="1"/>
  <c r="G896" i="12"/>
  <c r="H896" i="12" s="1"/>
  <c r="Q896" i="12"/>
  <c r="R896" i="12" s="1"/>
  <c r="M896" i="12"/>
  <c r="N896" i="12" s="1"/>
  <c r="K896" i="12"/>
  <c r="O896" i="12"/>
  <c r="P896" i="12" s="1"/>
  <c r="I896" i="12"/>
  <c r="J896" i="12" s="1"/>
  <c r="I877" i="12"/>
  <c r="J877" i="12" s="1"/>
  <c r="O877" i="12"/>
  <c r="P877" i="12" s="1"/>
  <c r="M877" i="12"/>
  <c r="N877" i="12" s="1"/>
  <c r="Q877" i="12"/>
  <c r="R877" i="12" s="1"/>
  <c r="K877" i="12"/>
  <c r="G885" i="12"/>
  <c r="H885" i="12" s="1"/>
  <c r="I885" i="12"/>
  <c r="J885" i="12" s="1"/>
  <c r="Q885" i="12"/>
  <c r="R885" i="12" s="1"/>
  <c r="M885" i="12"/>
  <c r="N885" i="12" s="1"/>
  <c r="O885" i="12"/>
  <c r="P885" i="12" s="1"/>
  <c r="K885" i="12"/>
  <c r="K851" i="12"/>
  <c r="G851" i="12"/>
  <c r="H851" i="12" s="1"/>
  <c r="O851" i="12"/>
  <c r="P851" i="12" s="1"/>
  <c r="I851" i="12"/>
  <c r="J851" i="12" s="1"/>
  <c r="Q851" i="12"/>
  <c r="R851" i="12" s="1"/>
  <c r="M851" i="12"/>
  <c r="N851" i="12" s="1"/>
  <c r="K855" i="12"/>
  <c r="M855" i="12"/>
  <c r="N855" i="12" s="1"/>
  <c r="G855" i="12"/>
  <c r="H855" i="12" s="1"/>
  <c r="I855" i="12"/>
  <c r="J855" i="12" s="1"/>
  <c r="Q855" i="12"/>
  <c r="R855" i="12" s="1"/>
  <c r="O855" i="12"/>
  <c r="P855" i="12" s="1"/>
  <c r="I824" i="12"/>
  <c r="J824" i="12" s="1"/>
  <c r="Q824" i="12"/>
  <c r="R824" i="12" s="1"/>
  <c r="O824" i="12"/>
  <c r="P824" i="12" s="1"/>
  <c r="M824" i="12"/>
  <c r="N824" i="12" s="1"/>
  <c r="G824" i="12"/>
  <c r="H824" i="12" s="1"/>
  <c r="K824" i="12"/>
  <c r="G798" i="12"/>
  <c r="H798" i="12" s="1"/>
  <c r="M798" i="12"/>
  <c r="N798" i="12" s="1"/>
  <c r="O798" i="12"/>
  <c r="P798" i="12" s="1"/>
  <c r="I798" i="12"/>
  <c r="J798" i="12" s="1"/>
  <c r="K798" i="12"/>
  <c r="Q742" i="12"/>
  <c r="R742" i="12" s="1"/>
  <c r="G742" i="12"/>
  <c r="H742" i="12" s="1"/>
  <c r="M742" i="12"/>
  <c r="N742" i="12" s="1"/>
  <c r="O742" i="12"/>
  <c r="P742" i="12" s="1"/>
  <c r="I742" i="12"/>
  <c r="J742" i="12" s="1"/>
  <c r="K742" i="12"/>
  <c r="G774" i="12"/>
  <c r="H774" i="12" s="1"/>
  <c r="M774" i="12"/>
  <c r="N774" i="12" s="1"/>
  <c r="O774" i="12"/>
  <c r="P774" i="12" s="1"/>
  <c r="K774" i="12"/>
  <c r="Q774" i="12"/>
  <c r="R774" i="12" s="1"/>
  <c r="I774" i="12"/>
  <c r="J774" i="12" s="1"/>
  <c r="I723" i="12"/>
  <c r="J723" i="12" s="1"/>
  <c r="M723" i="12"/>
  <c r="N723" i="12" s="1"/>
  <c r="O723" i="12"/>
  <c r="P723" i="12" s="1"/>
  <c r="Q723" i="12"/>
  <c r="R723" i="12" s="1"/>
  <c r="K723" i="12"/>
  <c r="G723" i="12"/>
  <c r="H723" i="12" s="1"/>
  <c r="M721" i="12"/>
  <c r="N721" i="12" s="1"/>
  <c r="G721" i="12"/>
  <c r="H721" i="12" s="1"/>
  <c r="I721" i="12"/>
  <c r="J721" i="12" s="1"/>
  <c r="O721" i="12"/>
  <c r="P721" i="12" s="1"/>
  <c r="K677" i="12"/>
  <c r="M677" i="12"/>
  <c r="N677" i="12" s="1"/>
  <c r="O677" i="12"/>
  <c r="P677" i="12" s="1"/>
  <c r="G677" i="12"/>
  <c r="H677" i="12" s="1"/>
  <c r="I677" i="12"/>
  <c r="J677" i="12" s="1"/>
  <c r="Q677" i="12"/>
  <c r="R677" i="12" s="1"/>
  <c r="G636" i="12"/>
  <c r="H636" i="12" s="1"/>
  <c r="M636" i="12"/>
  <c r="N636" i="12" s="1"/>
  <c r="K636" i="12"/>
  <c r="I636" i="12"/>
  <c r="J636" i="12" s="1"/>
  <c r="O636" i="12"/>
  <c r="P636" i="12" s="1"/>
  <c r="Q636" i="12"/>
  <c r="R636" i="12" s="1"/>
  <c r="O728" i="12"/>
  <c r="P728" i="12" s="1"/>
  <c r="I728" i="12"/>
  <c r="J728" i="12" s="1"/>
  <c r="K728" i="12"/>
  <c r="Q728" i="12"/>
  <c r="R728" i="12" s="1"/>
  <c r="G728" i="12"/>
  <c r="H728" i="12" s="1"/>
  <c r="I625" i="12"/>
  <c r="J625" i="12" s="1"/>
  <c r="G625" i="12"/>
  <c r="H625" i="12" s="1"/>
  <c r="K625" i="12"/>
  <c r="Q625" i="12"/>
  <c r="R625" i="12" s="1"/>
  <c r="O625" i="12"/>
  <c r="P625" i="12" s="1"/>
  <c r="I633" i="12"/>
  <c r="J633" i="12" s="1"/>
  <c r="G633" i="12"/>
  <c r="H633" i="12" s="1"/>
  <c r="K633" i="12"/>
  <c r="M633" i="12"/>
  <c r="N633" i="12" s="1"/>
  <c r="O633" i="12"/>
  <c r="P633" i="12" s="1"/>
  <c r="Q633" i="12"/>
  <c r="R633" i="12" s="1"/>
  <c r="O571" i="12"/>
  <c r="P571" i="12" s="1"/>
  <c r="I571" i="12"/>
  <c r="J571" i="12" s="1"/>
  <c r="Q571" i="12"/>
  <c r="R571" i="12" s="1"/>
  <c r="K571" i="12"/>
  <c r="O549" i="12"/>
  <c r="P549" i="12" s="1"/>
  <c r="M549" i="12"/>
  <c r="N549" i="12" s="1"/>
  <c r="G549" i="12"/>
  <c r="H549" i="12" s="1"/>
  <c r="K549" i="12"/>
  <c r="I549" i="12"/>
  <c r="J549" i="12" s="1"/>
  <c r="Q549" i="12"/>
  <c r="R549" i="12" s="1"/>
  <c r="I527" i="12"/>
  <c r="J527" i="12" s="1"/>
  <c r="G527" i="12"/>
  <c r="H527" i="12" s="1"/>
  <c r="M527" i="12"/>
  <c r="N527" i="12" s="1"/>
  <c r="Q528" i="12"/>
  <c r="R528" i="12" s="1"/>
  <c r="O528" i="12"/>
  <c r="P528" i="12" s="1"/>
  <c r="I528" i="12"/>
  <c r="J528" i="12" s="1"/>
  <c r="K528" i="12"/>
  <c r="K509" i="12"/>
  <c r="O509" i="12"/>
  <c r="P509" i="12" s="1"/>
  <c r="I509" i="12"/>
  <c r="J509" i="12" s="1"/>
  <c r="M509" i="12"/>
  <c r="N509" i="12" s="1"/>
  <c r="M530" i="12"/>
  <c r="N530" i="12" s="1"/>
  <c r="G530" i="12"/>
  <c r="H530" i="12" s="1"/>
  <c r="K530" i="12"/>
  <c r="O530" i="12"/>
  <c r="P530" i="12" s="1"/>
  <c r="I530" i="12"/>
  <c r="J530" i="12" s="1"/>
  <c r="K521" i="12"/>
  <c r="I521" i="12"/>
  <c r="J521" i="12" s="1"/>
  <c r="M521" i="12"/>
  <c r="N521" i="12" s="1"/>
  <c r="O521" i="12"/>
  <c r="P521" i="12" s="1"/>
  <c r="I524" i="12"/>
  <c r="J524" i="12" s="1"/>
  <c r="M524" i="12"/>
  <c r="N524" i="12" s="1"/>
  <c r="G524" i="12"/>
  <c r="H524" i="12" s="1"/>
  <c r="K524" i="12"/>
  <c r="Q524" i="12"/>
  <c r="R524" i="12" s="1"/>
  <c r="I456" i="12"/>
  <c r="J456" i="12" s="1"/>
  <c r="M456" i="12"/>
  <c r="N456" i="12" s="1"/>
  <c r="Q456" i="12"/>
  <c r="R456" i="12" s="1"/>
  <c r="I420" i="12"/>
  <c r="J420" i="12" s="1"/>
  <c r="Q420" i="12"/>
  <c r="R420" i="12" s="1"/>
  <c r="I449" i="12"/>
  <c r="J449" i="12" s="1"/>
  <c r="Q449" i="12"/>
  <c r="R449" i="12" s="1"/>
  <c r="K449" i="12"/>
  <c r="M449" i="12"/>
  <c r="N449" i="12" s="1"/>
  <c r="O376" i="12"/>
  <c r="P376" i="12" s="1"/>
  <c r="G376" i="12"/>
  <c r="H376" i="12" s="1"/>
  <c r="Q376" i="12"/>
  <c r="R376" i="12" s="1"/>
  <c r="I376" i="12"/>
  <c r="J376" i="12" s="1"/>
  <c r="O357" i="12"/>
  <c r="P357" i="12" s="1"/>
  <c r="K357" i="12"/>
  <c r="Q362" i="12"/>
  <c r="R362" i="12" s="1"/>
  <c r="G362" i="12"/>
  <c r="H362" i="12" s="1"/>
  <c r="M362" i="12"/>
  <c r="N362" i="12" s="1"/>
  <c r="I444" i="12"/>
  <c r="J444" i="12" s="1"/>
  <c r="M444" i="12"/>
  <c r="N444" i="12" s="1"/>
  <c r="Q444" i="12"/>
  <c r="R444" i="12" s="1"/>
  <c r="Q350" i="12"/>
  <c r="R350" i="12" s="1"/>
  <c r="O350" i="12"/>
  <c r="P350" i="12" s="1"/>
  <c r="G350" i="12"/>
  <c r="H350" i="12" s="1"/>
  <c r="K319" i="12"/>
  <c r="I26" i="12"/>
  <c r="J26" i="12" s="1"/>
  <c r="G51" i="12"/>
  <c r="H51" i="12" s="1"/>
  <c r="K21" i="12"/>
  <c r="M84" i="12"/>
  <c r="N84" i="12" s="1"/>
  <c r="K16" i="12"/>
  <c r="I28" i="12"/>
  <c r="J28" i="12" s="1"/>
  <c r="K120" i="12"/>
  <c r="I159" i="12"/>
  <c r="J159" i="12" s="1"/>
  <c r="M12" i="12"/>
  <c r="N12" i="12" s="1"/>
  <c r="M24" i="12"/>
  <c r="N24" i="12" s="1"/>
  <c r="K36" i="12"/>
  <c r="K68" i="12"/>
  <c r="I109" i="12"/>
  <c r="J109" i="12" s="1"/>
  <c r="M59" i="12"/>
  <c r="N59" i="12" s="1"/>
  <c r="K109" i="12"/>
  <c r="O6" i="12"/>
  <c r="P6" i="12" s="1"/>
  <c r="O18" i="12"/>
  <c r="P18" i="12" s="1"/>
  <c r="M30" i="12"/>
  <c r="N30" i="12" s="1"/>
  <c r="K42" i="12"/>
  <c r="O89" i="12"/>
  <c r="P89" i="12" s="1"/>
  <c r="O59" i="12"/>
  <c r="P59" i="12" s="1"/>
  <c r="G154" i="12"/>
  <c r="H154" i="12" s="1"/>
  <c r="Q13" i="12"/>
  <c r="R13" i="12" s="1"/>
  <c r="Q25" i="12"/>
  <c r="R25" i="12" s="1"/>
  <c r="O37" i="12"/>
  <c r="P37" i="12" s="1"/>
  <c r="I74" i="12"/>
  <c r="J74" i="12" s="1"/>
  <c r="Q59" i="12"/>
  <c r="R59" i="12" s="1"/>
  <c r="O147" i="12"/>
  <c r="P147" i="12" s="1"/>
  <c r="G13" i="12"/>
  <c r="H13" i="12" s="1"/>
  <c r="G25" i="12"/>
  <c r="H25" i="12" s="1"/>
  <c r="Q37" i="12"/>
  <c r="R37" i="12" s="1"/>
  <c r="G75" i="12"/>
  <c r="H75" i="12" s="1"/>
  <c r="I50" i="12"/>
  <c r="J50" i="12" s="1"/>
  <c r="K140" i="12"/>
  <c r="I11" i="12"/>
  <c r="J11" i="12" s="1"/>
  <c r="I23" i="12"/>
  <c r="J23" i="12" s="1"/>
  <c r="I61" i="12"/>
  <c r="J61" i="12" s="1"/>
  <c r="G139" i="12"/>
  <c r="H139" i="12" s="1"/>
  <c r="M180" i="12"/>
  <c r="N180" i="12" s="1"/>
  <c r="O156" i="12"/>
  <c r="P156" i="12" s="1"/>
  <c r="O72" i="12"/>
  <c r="P72" i="12" s="1"/>
  <c r="O84" i="12"/>
  <c r="P84" i="12" s="1"/>
  <c r="O108" i="12"/>
  <c r="P108" i="12" s="1"/>
  <c r="O120" i="12"/>
  <c r="P120" i="12" s="1"/>
  <c r="G163" i="12"/>
  <c r="H163" i="12" s="1"/>
  <c r="K142" i="12"/>
  <c r="M208" i="12"/>
  <c r="N208" i="12" s="1"/>
  <c r="G53" i="12"/>
  <c r="H53" i="12" s="1"/>
  <c r="G65" i="12"/>
  <c r="H65" i="12" s="1"/>
  <c r="G77" i="12"/>
  <c r="H77" i="12" s="1"/>
  <c r="G89" i="12"/>
  <c r="H89" i="12" s="1"/>
  <c r="G101" i="12"/>
  <c r="H101" i="12" s="1"/>
  <c r="G113" i="12"/>
  <c r="H113" i="12" s="1"/>
  <c r="I141" i="12"/>
  <c r="J141" i="12" s="1"/>
  <c r="M230" i="12"/>
  <c r="N230" i="12" s="1"/>
  <c r="G54" i="12"/>
  <c r="H54" i="12" s="1"/>
  <c r="G66" i="12"/>
  <c r="H66" i="12" s="1"/>
  <c r="G78" i="12"/>
  <c r="H78" i="12" s="1"/>
  <c r="G90" i="12"/>
  <c r="H90" i="12" s="1"/>
  <c r="G102" i="12"/>
  <c r="H102" i="12" s="1"/>
  <c r="G114" i="12"/>
  <c r="H114" i="12" s="1"/>
  <c r="O132" i="12"/>
  <c r="P132" i="12" s="1"/>
  <c r="O142" i="12"/>
  <c r="P142" i="12" s="1"/>
  <c r="M178" i="12"/>
  <c r="N178" i="12" s="1"/>
  <c r="Q50" i="12"/>
  <c r="R50" i="12" s="1"/>
  <c r="Q62" i="12"/>
  <c r="R62" i="12" s="1"/>
  <c r="Q74" i="12"/>
  <c r="R74" i="12" s="1"/>
  <c r="Q86" i="12"/>
  <c r="R86" i="12" s="1"/>
  <c r="Q110" i="12"/>
  <c r="R110" i="12" s="1"/>
  <c r="G122" i="12"/>
  <c r="H122" i="12" s="1"/>
  <c r="G161" i="12"/>
  <c r="H161" i="12" s="1"/>
  <c r="O201" i="12"/>
  <c r="P201" i="12" s="1"/>
  <c r="Q317" i="12"/>
  <c r="R317" i="12" s="1"/>
  <c r="K225" i="12"/>
  <c r="K181" i="12"/>
  <c r="I157" i="12"/>
  <c r="J157" i="12" s="1"/>
  <c r="G205" i="12"/>
  <c r="H205" i="12" s="1"/>
  <c r="Q130" i="12"/>
  <c r="R130" i="12" s="1"/>
  <c r="Q142" i="12"/>
  <c r="R142" i="12" s="1"/>
  <c r="Q154" i="12"/>
  <c r="R154" i="12" s="1"/>
  <c r="I243" i="12"/>
  <c r="J243" i="12" s="1"/>
  <c r="G211" i="12"/>
  <c r="H211" i="12" s="1"/>
  <c r="K129" i="12"/>
  <c r="K141" i="12"/>
  <c r="K153" i="12"/>
  <c r="M192" i="12"/>
  <c r="N192" i="12" s="1"/>
  <c r="M301" i="12"/>
  <c r="N301" i="12" s="1"/>
  <c r="O174" i="12"/>
  <c r="P174" i="12" s="1"/>
  <c r="O186" i="12"/>
  <c r="P186" i="12" s="1"/>
  <c r="O198" i="12"/>
  <c r="P198" i="12" s="1"/>
  <c r="O210" i="12"/>
  <c r="P210" i="12" s="1"/>
  <c r="Q276" i="12"/>
  <c r="R276" i="12" s="1"/>
  <c r="O300" i="12"/>
  <c r="P300" i="12" s="1"/>
  <c r="M170" i="12"/>
  <c r="N170" i="12" s="1"/>
  <c r="M182" i="12"/>
  <c r="N182" i="12" s="1"/>
  <c r="M194" i="12"/>
  <c r="N194" i="12" s="1"/>
  <c r="M206" i="12"/>
  <c r="N206" i="12" s="1"/>
  <c r="M218" i="12"/>
  <c r="N218" i="12" s="1"/>
  <c r="O259" i="12"/>
  <c r="P259" i="12" s="1"/>
  <c r="K243" i="12"/>
  <c r="O164" i="12"/>
  <c r="P164" i="12" s="1"/>
  <c r="O176" i="12"/>
  <c r="P176" i="12" s="1"/>
  <c r="O188" i="12"/>
  <c r="P188" i="12" s="1"/>
  <c r="O200" i="12"/>
  <c r="P200" i="12" s="1"/>
  <c r="O212" i="12"/>
  <c r="P212" i="12" s="1"/>
  <c r="Q228" i="12"/>
  <c r="R228" i="12" s="1"/>
  <c r="Q287" i="12"/>
  <c r="R287" i="12" s="1"/>
  <c r="O306" i="12"/>
  <c r="P306" i="12" s="1"/>
  <c r="G268" i="12"/>
  <c r="H268" i="12" s="1"/>
  <c r="I327" i="12"/>
  <c r="J327" i="12" s="1"/>
  <c r="O172" i="12"/>
  <c r="P172" i="12" s="1"/>
  <c r="O184" i="12"/>
  <c r="P184" i="12" s="1"/>
  <c r="O196" i="12"/>
  <c r="P196" i="12" s="1"/>
  <c r="O208" i="12"/>
  <c r="P208" i="12" s="1"/>
  <c r="O220" i="12"/>
  <c r="P220" i="12" s="1"/>
  <c r="I268" i="12"/>
  <c r="J268" i="12" s="1"/>
  <c r="K332" i="12"/>
  <c r="G287" i="12"/>
  <c r="H287" i="12" s="1"/>
  <c r="G299" i="12"/>
  <c r="H299" i="12" s="1"/>
  <c r="G311" i="12"/>
  <c r="H311" i="12" s="1"/>
  <c r="G323" i="12"/>
  <c r="H323" i="12" s="1"/>
  <c r="I362" i="12"/>
  <c r="J362" i="12" s="1"/>
  <c r="M225" i="12"/>
  <c r="N225" i="12" s="1"/>
  <c r="M237" i="12"/>
  <c r="N237" i="12" s="1"/>
  <c r="M249" i="12"/>
  <c r="N249" i="12" s="1"/>
  <c r="M261" i="12"/>
  <c r="N261" i="12" s="1"/>
  <c r="M273" i="12"/>
  <c r="N273" i="12" s="1"/>
  <c r="M285" i="12"/>
  <c r="N285" i="12" s="1"/>
  <c r="M297" i="12"/>
  <c r="N297" i="12" s="1"/>
  <c r="M309" i="12"/>
  <c r="N309" i="12" s="1"/>
  <c r="M321" i="12"/>
  <c r="N321" i="12" s="1"/>
  <c r="G345" i="12"/>
  <c r="H345" i="12" s="1"/>
  <c r="M226" i="12"/>
  <c r="N226" i="12" s="1"/>
  <c r="M238" i="12"/>
  <c r="N238" i="12" s="1"/>
  <c r="M250" i="12"/>
  <c r="N250" i="12" s="1"/>
  <c r="M262" i="12"/>
  <c r="N262" i="12" s="1"/>
  <c r="M274" i="12"/>
  <c r="N274" i="12" s="1"/>
  <c r="M286" i="12"/>
  <c r="N286" i="12" s="1"/>
  <c r="M298" i="12"/>
  <c r="N298" i="12" s="1"/>
  <c r="M310" i="12"/>
  <c r="N310" i="12" s="1"/>
  <c r="M322" i="12"/>
  <c r="N322" i="12" s="1"/>
  <c r="Q347" i="12"/>
  <c r="R347" i="12" s="1"/>
  <c r="Q225" i="12"/>
  <c r="R225" i="12" s="1"/>
  <c r="Q237" i="12"/>
  <c r="R237" i="12" s="1"/>
  <c r="Q249" i="12"/>
  <c r="R249" i="12" s="1"/>
  <c r="Q261" i="12"/>
  <c r="R261" i="12" s="1"/>
  <c r="Q273" i="12"/>
  <c r="R273" i="12" s="1"/>
  <c r="Q285" i="12"/>
  <c r="R285" i="12" s="1"/>
  <c r="O310" i="12"/>
  <c r="P310" i="12" s="1"/>
  <c r="Q330" i="12"/>
  <c r="R330" i="12" s="1"/>
  <c r="O239" i="12"/>
  <c r="P239" i="12" s="1"/>
  <c r="O263" i="12"/>
  <c r="P263" i="12" s="1"/>
  <c r="O287" i="12"/>
  <c r="P287" i="12" s="1"/>
  <c r="O311" i="12"/>
  <c r="P311" i="12" s="1"/>
  <c r="O390" i="12"/>
  <c r="P390" i="12" s="1"/>
  <c r="G357" i="12"/>
  <c r="H357" i="12" s="1"/>
  <c r="O365" i="12"/>
  <c r="P365" i="12" s="1"/>
  <c r="G363" i="12"/>
  <c r="H363" i="12" s="1"/>
  <c r="M381" i="12"/>
  <c r="N381" i="12" s="1"/>
  <c r="O377" i="12"/>
  <c r="P377" i="12" s="1"/>
  <c r="K350" i="12"/>
  <c r="I359" i="12"/>
  <c r="J359" i="12" s="1"/>
  <c r="K450" i="12"/>
  <c r="I439" i="12"/>
  <c r="J439" i="12" s="1"/>
  <c r="M420" i="12"/>
  <c r="N420" i="12" s="1"/>
  <c r="K353" i="12"/>
  <c r="G385" i="12"/>
  <c r="H385" i="12" s="1"/>
  <c r="G428" i="12"/>
  <c r="H428" i="12" s="1"/>
  <c r="G380" i="12"/>
  <c r="H380" i="12" s="1"/>
  <c r="Q448" i="12"/>
  <c r="R448" i="12" s="1"/>
  <c r="O499" i="12"/>
  <c r="P499" i="12" s="1"/>
  <c r="M421" i="12"/>
  <c r="N421" i="12" s="1"/>
  <c r="M457" i="12"/>
  <c r="N457" i="12" s="1"/>
  <c r="K511" i="12"/>
  <c r="M416" i="12"/>
  <c r="N416" i="12" s="1"/>
  <c r="M452" i="12"/>
  <c r="N452" i="12" s="1"/>
  <c r="O493" i="12"/>
  <c r="P493" i="12" s="1"/>
  <c r="G420" i="12"/>
  <c r="H420" i="12" s="1"/>
  <c r="G456" i="12"/>
  <c r="H456" i="12" s="1"/>
  <c r="M528" i="12"/>
  <c r="N528" i="12" s="1"/>
  <c r="M424" i="12"/>
  <c r="N424" i="12" s="1"/>
  <c r="M460" i="12"/>
  <c r="N460" i="12" s="1"/>
  <c r="I506" i="12"/>
  <c r="J506" i="12" s="1"/>
  <c r="M518" i="12"/>
  <c r="N518" i="12" s="1"/>
  <c r="O557" i="12"/>
  <c r="P557" i="12" s="1"/>
  <c r="G523" i="12"/>
  <c r="H523" i="12" s="1"/>
  <c r="Q507" i="12"/>
  <c r="R507" i="12" s="1"/>
  <c r="Q601" i="12"/>
  <c r="R601" i="12" s="1"/>
  <c r="M587" i="12"/>
  <c r="N587" i="12" s="1"/>
  <c r="G572" i="12"/>
  <c r="H572" i="12" s="1"/>
  <c r="Q530" i="12"/>
  <c r="R530" i="12" s="1"/>
  <c r="O566" i="12"/>
  <c r="P566" i="12" s="1"/>
  <c r="K619" i="12"/>
  <c r="I638" i="12"/>
  <c r="J638" i="12" s="1"/>
  <c r="I665" i="12"/>
  <c r="J665" i="12" s="1"/>
  <c r="M751" i="12"/>
  <c r="N751" i="12" s="1"/>
  <c r="I715" i="12"/>
  <c r="J715" i="12" s="1"/>
  <c r="M780" i="12"/>
  <c r="N780" i="12" s="1"/>
  <c r="M789" i="12"/>
  <c r="N789" i="12" s="1"/>
  <c r="G837" i="12"/>
  <c r="H837" i="12" s="1"/>
  <c r="I856" i="12"/>
  <c r="J856" i="12" s="1"/>
  <c r="M858" i="12"/>
  <c r="N858" i="12" s="1"/>
  <c r="M871" i="12"/>
  <c r="N871" i="12" s="1"/>
  <c r="G913" i="12"/>
  <c r="H913" i="12" s="1"/>
  <c r="O919" i="12"/>
  <c r="P919" i="12" s="1"/>
  <c r="O964" i="12"/>
  <c r="P964" i="12" s="1"/>
  <c r="Q973" i="12"/>
  <c r="R973" i="12" s="1"/>
  <c r="K998" i="12"/>
  <c r="G998" i="12"/>
  <c r="H998" i="12" s="1"/>
  <c r="M998" i="12"/>
  <c r="N998" i="12" s="1"/>
  <c r="Q998" i="12"/>
  <c r="R998" i="12" s="1"/>
  <c r="I998" i="12"/>
  <c r="J998" i="12" s="1"/>
  <c r="O998" i="12"/>
  <c r="P998" i="12" s="1"/>
  <c r="I969" i="12"/>
  <c r="J969" i="12" s="1"/>
  <c r="M969" i="12"/>
  <c r="N969" i="12" s="1"/>
  <c r="Q969" i="12"/>
  <c r="R969" i="12" s="1"/>
  <c r="G969" i="12"/>
  <c r="H969" i="12" s="1"/>
  <c r="K969" i="12"/>
  <c r="G890" i="12"/>
  <c r="H890" i="12" s="1"/>
  <c r="O890" i="12"/>
  <c r="P890" i="12" s="1"/>
  <c r="Q890" i="12"/>
  <c r="R890" i="12" s="1"/>
  <c r="I890" i="12"/>
  <c r="J890" i="12" s="1"/>
  <c r="K890" i="12"/>
  <c r="G908" i="12"/>
  <c r="H908" i="12" s="1"/>
  <c r="O908" i="12"/>
  <c r="P908" i="12" s="1"/>
  <c r="Q908" i="12"/>
  <c r="R908" i="12" s="1"/>
  <c r="K908" i="12"/>
  <c r="I908" i="12"/>
  <c r="J908" i="12" s="1"/>
  <c r="M908" i="12"/>
  <c r="N908" i="12" s="1"/>
  <c r="K802" i="12"/>
  <c r="O802" i="12"/>
  <c r="P802" i="12" s="1"/>
  <c r="G802" i="12"/>
  <c r="H802" i="12" s="1"/>
  <c r="M802" i="12"/>
  <c r="N802" i="12" s="1"/>
  <c r="I802" i="12"/>
  <c r="J802" i="12" s="1"/>
  <c r="Q802" i="12"/>
  <c r="R802" i="12" s="1"/>
  <c r="K762" i="12"/>
  <c r="G762" i="12"/>
  <c r="H762" i="12" s="1"/>
  <c r="O762" i="12"/>
  <c r="P762" i="12" s="1"/>
  <c r="Q762" i="12"/>
  <c r="R762" i="12" s="1"/>
  <c r="M762" i="12"/>
  <c r="N762" i="12" s="1"/>
  <c r="I762" i="12"/>
  <c r="J762" i="12" s="1"/>
  <c r="Q706" i="12"/>
  <c r="R706" i="12" s="1"/>
  <c r="G706" i="12"/>
  <c r="H706" i="12" s="1"/>
  <c r="M706" i="12"/>
  <c r="N706" i="12" s="1"/>
  <c r="K706" i="12"/>
  <c r="O706" i="12"/>
  <c r="P706" i="12" s="1"/>
  <c r="I706" i="12"/>
  <c r="J706" i="12" s="1"/>
  <c r="K722" i="12"/>
  <c r="Q722" i="12"/>
  <c r="R722" i="12" s="1"/>
  <c r="G722" i="12"/>
  <c r="H722" i="12" s="1"/>
  <c r="O722" i="12"/>
  <c r="P722" i="12" s="1"/>
  <c r="M722" i="12"/>
  <c r="N722" i="12" s="1"/>
  <c r="I722" i="12"/>
  <c r="J722" i="12" s="1"/>
  <c r="I769" i="12"/>
  <c r="J769" i="12" s="1"/>
  <c r="K769" i="12"/>
  <c r="O769" i="12"/>
  <c r="P769" i="12" s="1"/>
  <c r="Q769" i="12"/>
  <c r="R769" i="12" s="1"/>
  <c r="G769" i="12"/>
  <c r="H769" i="12" s="1"/>
  <c r="G660" i="12"/>
  <c r="H660" i="12" s="1"/>
  <c r="M660" i="12"/>
  <c r="N660" i="12" s="1"/>
  <c r="Q660" i="12"/>
  <c r="R660" i="12" s="1"/>
  <c r="K660" i="12"/>
  <c r="I660" i="12"/>
  <c r="J660" i="12" s="1"/>
  <c r="O660" i="12"/>
  <c r="P660" i="12" s="1"/>
  <c r="I651" i="12"/>
  <c r="J651" i="12" s="1"/>
  <c r="O651" i="12"/>
  <c r="P651" i="12" s="1"/>
  <c r="K651" i="12"/>
  <c r="Q651" i="12"/>
  <c r="R651" i="12" s="1"/>
  <c r="M651" i="12"/>
  <c r="N651" i="12" s="1"/>
  <c r="G651" i="12"/>
  <c r="H651" i="12" s="1"/>
  <c r="O603" i="12"/>
  <c r="P603" i="12" s="1"/>
  <c r="Q603" i="12"/>
  <c r="R603" i="12" s="1"/>
  <c r="M603" i="12"/>
  <c r="N603" i="12" s="1"/>
  <c r="K603" i="12"/>
  <c r="I603" i="12"/>
  <c r="J603" i="12" s="1"/>
  <c r="G603" i="12"/>
  <c r="H603" i="12" s="1"/>
  <c r="Q641" i="12"/>
  <c r="R641" i="12" s="1"/>
  <c r="G641" i="12"/>
  <c r="H641" i="12" s="1"/>
  <c r="K641" i="12"/>
  <c r="I641" i="12"/>
  <c r="J641" i="12" s="1"/>
  <c r="O641" i="12"/>
  <c r="P641" i="12" s="1"/>
  <c r="M641" i="12"/>
  <c r="N641" i="12" s="1"/>
  <c r="G606" i="12"/>
  <c r="H606" i="12" s="1"/>
  <c r="Q606" i="12"/>
  <c r="R606" i="12" s="1"/>
  <c r="K606" i="12"/>
  <c r="O606" i="12"/>
  <c r="P606" i="12" s="1"/>
  <c r="I606" i="12"/>
  <c r="J606" i="12" s="1"/>
  <c r="G547" i="12"/>
  <c r="H547" i="12" s="1"/>
  <c r="K547" i="12"/>
  <c r="Q547" i="12"/>
  <c r="R547" i="12" s="1"/>
  <c r="O525" i="12"/>
  <c r="P525" i="12" s="1"/>
  <c r="M525" i="12"/>
  <c r="N525" i="12" s="1"/>
  <c r="G525" i="12"/>
  <c r="H525" i="12" s="1"/>
  <c r="Q525" i="12"/>
  <c r="R525" i="12" s="1"/>
  <c r="G520" i="12"/>
  <c r="H520" i="12" s="1"/>
  <c r="K520" i="12"/>
  <c r="I520" i="12"/>
  <c r="J520" i="12" s="1"/>
  <c r="Q520" i="12"/>
  <c r="R520" i="12" s="1"/>
  <c r="O520" i="12"/>
  <c r="P520" i="12" s="1"/>
  <c r="Q498" i="12"/>
  <c r="R498" i="12" s="1"/>
  <c r="G498" i="12"/>
  <c r="H498" i="12" s="1"/>
  <c r="O498" i="12"/>
  <c r="P498" i="12" s="1"/>
  <c r="M498" i="12"/>
  <c r="N498" i="12" s="1"/>
  <c r="K481" i="12"/>
  <c r="O481" i="12"/>
  <c r="P481" i="12" s="1"/>
  <c r="Q481" i="12"/>
  <c r="R481" i="12" s="1"/>
  <c r="O393" i="12"/>
  <c r="P393" i="12" s="1"/>
  <c r="I393" i="12"/>
  <c r="J393" i="12" s="1"/>
  <c r="K393" i="12"/>
  <c r="M503" i="12"/>
  <c r="N503" i="12" s="1"/>
  <c r="K503" i="12"/>
  <c r="Q422" i="12"/>
  <c r="R422" i="12" s="1"/>
  <c r="M422" i="12"/>
  <c r="N422" i="12" s="1"/>
  <c r="O422" i="12"/>
  <c r="P422" i="12" s="1"/>
  <c r="K422" i="12"/>
  <c r="G382" i="12"/>
  <c r="H382" i="12" s="1"/>
  <c r="M382" i="12"/>
  <c r="N382" i="12" s="1"/>
  <c r="I382" i="12"/>
  <c r="J382" i="12" s="1"/>
  <c r="K382" i="12"/>
  <c r="O382" i="12"/>
  <c r="P382" i="12" s="1"/>
  <c r="Q373" i="12"/>
  <c r="R373" i="12" s="1"/>
  <c r="I373" i="12"/>
  <c r="J373" i="12" s="1"/>
  <c r="O373" i="12"/>
  <c r="P373" i="12" s="1"/>
  <c r="K347" i="12"/>
  <c r="I347" i="12"/>
  <c r="J347" i="12" s="1"/>
  <c r="O245" i="12"/>
  <c r="P245" i="12" s="1"/>
  <c r="I57" i="12"/>
  <c r="J57" i="12" s="1"/>
  <c r="G62" i="12"/>
  <c r="H62" i="12" s="1"/>
  <c r="K25" i="12"/>
  <c r="M172" i="12"/>
  <c r="N172" i="12" s="1"/>
  <c r="K20" i="12"/>
  <c r="Q58" i="12"/>
  <c r="R58" i="12" s="1"/>
  <c r="M43" i="12"/>
  <c r="N43" i="12" s="1"/>
  <c r="K161" i="12"/>
  <c r="M13" i="12"/>
  <c r="N13" i="12" s="1"/>
  <c r="M25" i="12"/>
  <c r="N25" i="12" s="1"/>
  <c r="K37" i="12"/>
  <c r="Q70" i="12"/>
  <c r="R70" i="12" s="1"/>
  <c r="O112" i="12"/>
  <c r="P112" i="12" s="1"/>
  <c r="I62" i="12"/>
  <c r="J62" i="12" s="1"/>
  <c r="Q112" i="12"/>
  <c r="R112" i="12" s="1"/>
  <c r="O7" i="12"/>
  <c r="P7" i="12" s="1"/>
  <c r="O19" i="12"/>
  <c r="P19" i="12" s="1"/>
  <c r="M31" i="12"/>
  <c r="N31" i="12" s="1"/>
  <c r="G45" i="12"/>
  <c r="H45" i="12" s="1"/>
  <c r="I92" i="12"/>
  <c r="J92" i="12" s="1"/>
  <c r="K62" i="12"/>
  <c r="Q2" i="12"/>
  <c r="R2" i="12" s="1"/>
  <c r="Q14" i="12"/>
  <c r="R14" i="12" s="1"/>
  <c r="O26" i="12"/>
  <c r="P26" i="12" s="1"/>
  <c r="O38" i="12"/>
  <c r="P38" i="12" s="1"/>
  <c r="Q76" i="12"/>
  <c r="R76" i="12" s="1"/>
  <c r="K60" i="12"/>
  <c r="G2" i="12"/>
  <c r="H2" i="12" s="1"/>
  <c r="G14" i="12"/>
  <c r="H14" i="12" s="1"/>
  <c r="Q26" i="12"/>
  <c r="R26" i="12" s="1"/>
  <c r="Q38" i="12"/>
  <c r="R38" i="12" s="1"/>
  <c r="O77" i="12"/>
  <c r="P77" i="12" s="1"/>
  <c r="M60" i="12"/>
  <c r="N60" i="12" s="1"/>
  <c r="K146" i="12"/>
  <c r="I12" i="12"/>
  <c r="J12" i="12" s="1"/>
  <c r="I24" i="12"/>
  <c r="J24" i="12" s="1"/>
  <c r="G36" i="12"/>
  <c r="H36" i="12" s="1"/>
  <c r="G68" i="12"/>
  <c r="H68" i="12" s="1"/>
  <c r="K158" i="12"/>
  <c r="O185" i="12"/>
  <c r="P185" i="12" s="1"/>
  <c r="G160" i="12"/>
  <c r="H160" i="12" s="1"/>
  <c r="O140" i="12"/>
  <c r="P140" i="12" s="1"/>
  <c r="M73" i="12"/>
  <c r="N73" i="12" s="1"/>
  <c r="M85" i="12"/>
  <c r="N85" i="12" s="1"/>
  <c r="M97" i="12"/>
  <c r="N97" i="12" s="1"/>
  <c r="M109" i="12"/>
  <c r="N109" i="12" s="1"/>
  <c r="M121" i="12"/>
  <c r="N121" i="12" s="1"/>
  <c r="O122" i="12"/>
  <c r="P122" i="12" s="1"/>
  <c r="G144" i="12"/>
  <c r="H144" i="12" s="1"/>
  <c r="Q42" i="12"/>
  <c r="R42" i="12" s="1"/>
  <c r="Q54" i="12"/>
  <c r="R54" i="12" s="1"/>
  <c r="Q66" i="12"/>
  <c r="R66" i="12" s="1"/>
  <c r="Q78" i="12"/>
  <c r="R78" i="12" s="1"/>
  <c r="Q90" i="12"/>
  <c r="R90" i="12" s="1"/>
  <c r="Q102" i="12"/>
  <c r="R102" i="12" s="1"/>
  <c r="Q114" i="12"/>
  <c r="R114" i="12" s="1"/>
  <c r="I151" i="12"/>
  <c r="J151" i="12" s="1"/>
  <c r="M142" i="12"/>
  <c r="N142" i="12" s="1"/>
  <c r="Q43" i="12"/>
  <c r="R43" i="12" s="1"/>
  <c r="Q55" i="12"/>
  <c r="R55" i="12" s="1"/>
  <c r="Q67" i="12"/>
  <c r="R67" i="12" s="1"/>
  <c r="Q79" i="12"/>
  <c r="R79" i="12" s="1"/>
  <c r="Q91" i="12"/>
  <c r="R91" i="12" s="1"/>
  <c r="Q103" i="12"/>
  <c r="R103" i="12" s="1"/>
  <c r="Q115" i="12"/>
  <c r="R115" i="12" s="1"/>
  <c r="M135" i="12"/>
  <c r="N135" i="12" s="1"/>
  <c r="K144" i="12"/>
  <c r="K187" i="12"/>
  <c r="O51" i="12"/>
  <c r="P51" i="12" s="1"/>
  <c r="O63" i="12"/>
  <c r="P63" i="12" s="1"/>
  <c r="O75" i="12"/>
  <c r="P75" i="12" s="1"/>
  <c r="O87" i="12"/>
  <c r="P87" i="12" s="1"/>
  <c r="O99" i="12"/>
  <c r="P99" i="12" s="1"/>
  <c r="O111" i="12"/>
  <c r="P111" i="12" s="1"/>
  <c r="G123" i="12"/>
  <c r="H123" i="12" s="1"/>
  <c r="Q178" i="12"/>
  <c r="R178" i="12" s="1"/>
  <c r="K211" i="12"/>
  <c r="M166" i="12"/>
  <c r="N166" i="12" s="1"/>
  <c r="I237" i="12"/>
  <c r="J237" i="12" s="1"/>
  <c r="I186" i="12"/>
  <c r="J186" i="12" s="1"/>
  <c r="G158" i="12"/>
  <c r="H158" i="12" s="1"/>
  <c r="I218" i="12"/>
  <c r="J218" i="12" s="1"/>
  <c r="O131" i="12"/>
  <c r="P131" i="12" s="1"/>
  <c r="O155" i="12"/>
  <c r="P155" i="12" s="1"/>
  <c r="G201" i="12"/>
  <c r="H201" i="12" s="1"/>
  <c r="G251" i="12"/>
  <c r="H251" i="12" s="1"/>
  <c r="Q182" i="12"/>
  <c r="R182" i="12" s="1"/>
  <c r="O258" i="12"/>
  <c r="P258" i="12" s="1"/>
  <c r="I130" i="12"/>
  <c r="J130" i="12" s="1"/>
  <c r="I142" i="12"/>
  <c r="J142" i="12" s="1"/>
  <c r="I154" i="12"/>
  <c r="J154" i="12" s="1"/>
  <c r="M307" i="12"/>
  <c r="N307" i="12" s="1"/>
  <c r="M163" i="12"/>
  <c r="N163" i="12" s="1"/>
  <c r="M175" i="12"/>
  <c r="N175" i="12" s="1"/>
  <c r="M187" i="12"/>
  <c r="N187" i="12" s="1"/>
  <c r="M199" i="12"/>
  <c r="N199" i="12" s="1"/>
  <c r="M211" i="12"/>
  <c r="N211" i="12" s="1"/>
  <c r="O223" i="12"/>
  <c r="P223" i="12" s="1"/>
  <c r="M277" i="12"/>
  <c r="N277" i="12" s="1"/>
  <c r="K302" i="12"/>
  <c r="K171" i="12"/>
  <c r="K183" i="12"/>
  <c r="K207" i="12"/>
  <c r="K219" i="12"/>
  <c r="G262" i="12"/>
  <c r="H262" i="12" s="1"/>
  <c r="M260" i="12"/>
  <c r="N260" i="12" s="1"/>
  <c r="M165" i="12"/>
  <c r="N165" i="12" s="1"/>
  <c r="M177" i="12"/>
  <c r="N177" i="12" s="1"/>
  <c r="M189" i="12"/>
  <c r="N189" i="12" s="1"/>
  <c r="M201" i="12"/>
  <c r="N201" i="12" s="1"/>
  <c r="M213" i="12"/>
  <c r="N213" i="12" s="1"/>
  <c r="M229" i="12"/>
  <c r="N229" i="12" s="1"/>
  <c r="G310" i="12"/>
  <c r="H310" i="12" s="1"/>
  <c r="I315" i="12"/>
  <c r="J315" i="12" s="1"/>
  <c r="O270" i="12"/>
  <c r="P270" i="12" s="1"/>
  <c r="M161" i="12"/>
  <c r="N161" i="12" s="1"/>
  <c r="M173" i="12"/>
  <c r="N173" i="12" s="1"/>
  <c r="M185" i="12"/>
  <c r="N185" i="12" s="1"/>
  <c r="M209" i="12"/>
  <c r="N209" i="12" s="1"/>
  <c r="M221" i="12"/>
  <c r="N221" i="12" s="1"/>
  <c r="Q270" i="12"/>
  <c r="R270" i="12" s="1"/>
  <c r="Q337" i="12"/>
  <c r="R337" i="12" s="1"/>
  <c r="Q288" i="12"/>
  <c r="R288" i="12" s="1"/>
  <c r="Q300" i="12"/>
  <c r="R300" i="12" s="1"/>
  <c r="Q312" i="12"/>
  <c r="R312" i="12" s="1"/>
  <c r="Q324" i="12"/>
  <c r="R324" i="12" s="1"/>
  <c r="K329" i="12"/>
  <c r="K226" i="12"/>
  <c r="K238" i="12"/>
  <c r="K250" i="12"/>
  <c r="K262" i="12"/>
  <c r="K274" i="12"/>
  <c r="K286" i="12"/>
  <c r="K298" i="12"/>
  <c r="K310" i="12"/>
  <c r="K322" i="12"/>
  <c r="O347" i="12"/>
  <c r="P347" i="12" s="1"/>
  <c r="K227" i="12"/>
  <c r="K239" i="12"/>
  <c r="K251" i="12"/>
  <c r="K263" i="12"/>
  <c r="K275" i="12"/>
  <c r="K287" i="12"/>
  <c r="K299" i="12"/>
  <c r="K311" i="12"/>
  <c r="K323" i="12"/>
  <c r="G358" i="12"/>
  <c r="H358" i="12" s="1"/>
  <c r="O226" i="12"/>
  <c r="P226" i="12" s="1"/>
  <c r="O238" i="12"/>
  <c r="P238" i="12" s="1"/>
  <c r="O250" i="12"/>
  <c r="P250" i="12" s="1"/>
  <c r="O262" i="12"/>
  <c r="P262" i="12" s="1"/>
  <c r="O274" i="12"/>
  <c r="P274" i="12" s="1"/>
  <c r="O286" i="12"/>
  <c r="P286" i="12" s="1"/>
  <c r="O298" i="12"/>
  <c r="P298" i="12" s="1"/>
  <c r="M311" i="12"/>
  <c r="N311" i="12" s="1"/>
  <c r="Q342" i="12"/>
  <c r="R342" i="12" s="1"/>
  <c r="M240" i="12"/>
  <c r="N240" i="12" s="1"/>
  <c r="M264" i="12"/>
  <c r="N264" i="12" s="1"/>
  <c r="M288" i="12"/>
  <c r="N288" i="12" s="1"/>
  <c r="M312" i="12"/>
  <c r="N312" i="12" s="1"/>
  <c r="K400" i="12"/>
  <c r="I335" i="12"/>
  <c r="J335" i="12" s="1"/>
  <c r="K358" i="12"/>
  <c r="Q366" i="12"/>
  <c r="R366" i="12" s="1"/>
  <c r="K364" i="12"/>
  <c r="M384" i="12"/>
  <c r="N384" i="12" s="1"/>
  <c r="M393" i="12"/>
  <c r="N393" i="12" s="1"/>
  <c r="G365" i="12"/>
  <c r="H365" i="12" s="1"/>
  <c r="Q459" i="12"/>
  <c r="R459" i="12" s="1"/>
  <c r="K456" i="12"/>
  <c r="G465" i="12"/>
  <c r="H465" i="12" s="1"/>
  <c r="I502" i="12"/>
  <c r="J502" i="12" s="1"/>
  <c r="G355" i="12"/>
  <c r="H355" i="12" s="1"/>
  <c r="O387" i="12"/>
  <c r="P387" i="12" s="1"/>
  <c r="O430" i="12"/>
  <c r="P430" i="12" s="1"/>
  <c r="M353" i="12"/>
  <c r="N353" i="12" s="1"/>
  <c r="M383" i="12"/>
  <c r="N383" i="12" s="1"/>
  <c r="O460" i="12"/>
  <c r="P460" i="12" s="1"/>
  <c r="Q509" i="12"/>
  <c r="R509" i="12" s="1"/>
  <c r="G424" i="12"/>
  <c r="H424" i="12" s="1"/>
  <c r="G460" i="12"/>
  <c r="H460" i="12" s="1"/>
  <c r="M488" i="12"/>
  <c r="N488" i="12" s="1"/>
  <c r="G419" i="12"/>
  <c r="H419" i="12" s="1"/>
  <c r="G455" i="12"/>
  <c r="H455" i="12" s="1"/>
  <c r="G503" i="12"/>
  <c r="H503" i="12" s="1"/>
  <c r="M423" i="12"/>
  <c r="N423" i="12" s="1"/>
  <c r="M459" i="12"/>
  <c r="N459" i="12" s="1"/>
  <c r="G489" i="12"/>
  <c r="H489" i="12" s="1"/>
  <c r="G427" i="12"/>
  <c r="H427" i="12" s="1"/>
  <c r="G463" i="12"/>
  <c r="H463" i="12" s="1"/>
  <c r="M516" i="12"/>
  <c r="N516" i="12" s="1"/>
  <c r="G521" i="12"/>
  <c r="H521" i="12" s="1"/>
  <c r="O506" i="12"/>
  <c r="P506" i="12" s="1"/>
  <c r="G528" i="12"/>
  <c r="H528" i="12" s="1"/>
  <c r="K510" i="12"/>
  <c r="M537" i="12"/>
  <c r="N537" i="12" s="1"/>
  <c r="Q527" i="12"/>
  <c r="R527" i="12" s="1"/>
  <c r="I532" i="12"/>
  <c r="J532" i="12" s="1"/>
  <c r="K539" i="12"/>
  <c r="Q595" i="12"/>
  <c r="R595" i="12" s="1"/>
  <c r="I575" i="12"/>
  <c r="J575" i="12" s="1"/>
  <c r="K631" i="12"/>
  <c r="I650" i="12"/>
  <c r="J650" i="12" s="1"/>
  <c r="K736" i="12"/>
  <c r="M704" i="12"/>
  <c r="N704" i="12" s="1"/>
  <c r="I727" i="12"/>
  <c r="J727" i="12" s="1"/>
  <c r="O760" i="12"/>
  <c r="P760" i="12" s="1"/>
  <c r="O795" i="12"/>
  <c r="P795" i="12" s="1"/>
  <c r="I784" i="12"/>
  <c r="J784" i="12" s="1"/>
  <c r="I829" i="12"/>
  <c r="J829" i="12" s="1"/>
  <c r="G877" i="12"/>
  <c r="H877" i="12" s="1"/>
  <c r="O867" i="12"/>
  <c r="P867" i="12" s="1"/>
  <c r="K895" i="12"/>
  <c r="I945" i="12"/>
  <c r="J945" i="12" s="1"/>
  <c r="O931" i="12"/>
  <c r="P931" i="12" s="1"/>
  <c r="O957" i="12"/>
  <c r="P957" i="12" s="1"/>
  <c r="Q985" i="12"/>
  <c r="R985" i="12" s="1"/>
  <c r="Y143" i="12" a="1"/>
  <c r="Y607" i="12" a="1"/>
  <c r="Y195" i="12" a="1"/>
  <c r="Y348" i="12" a="1"/>
  <c r="Y680" i="12" a="1"/>
  <c r="Y886" i="12" a="1"/>
  <c r="Y703" i="12" a="1"/>
  <c r="Y349" i="12" a="1"/>
  <c r="Y170" i="12" a="1"/>
  <c r="Y952" i="12" a="1"/>
  <c r="Y661" i="12" a="1"/>
  <c r="Y266" i="12" a="1"/>
  <c r="Y559" i="12" a="1"/>
  <c r="Y475" i="12" a="1"/>
  <c r="Y655" i="12" a="1"/>
  <c r="Y221" i="12" a="1"/>
  <c r="Y740" i="12" a="1"/>
  <c r="Y654" i="12" a="1"/>
  <c r="Y404" i="12" a="1"/>
  <c r="Y381" i="12" a="1"/>
  <c r="Y882" i="12" a="1"/>
  <c r="Y239" i="12" a="1"/>
  <c r="Y901" i="12" a="1"/>
  <c r="Y228" i="12" a="1"/>
  <c r="Y672" i="12" a="1"/>
  <c r="Y611" i="12" a="1"/>
  <c r="Y452" i="12" a="1"/>
  <c r="Y385" i="12" a="1"/>
  <c r="Y299" i="12" a="1"/>
  <c r="Y4" i="12" a="1"/>
  <c r="Y391" i="12" a="1"/>
  <c r="Y940" i="12" a="1"/>
  <c r="Y742" i="12" a="1"/>
  <c r="Y524" i="12" a="1"/>
  <c r="Y21" i="12" a="1"/>
  <c r="Y802" i="12" a="1"/>
  <c r="Y603" i="12" a="1"/>
  <c r="Y525" i="12" a="1"/>
  <c r="Y503" i="12" a="1"/>
  <c r="Y107" i="12" a="1"/>
  <c r="Y706" i="12" a="1"/>
  <c r="Y373" i="12" a="1"/>
  <c r="Y422" i="12" a="1"/>
  <c r="Y68" i="12" a="1"/>
  <c r="Y594" i="12" a="1"/>
  <c r="Y509" i="12" a="1"/>
  <c r="Y245" i="12" a="1"/>
  <c r="Y709" i="12" a="1"/>
  <c r="Y731" i="12" a="1"/>
  <c r="Y567" i="12" a="1"/>
  <c r="Y553" i="12" a="1"/>
  <c r="Y463" i="12" a="1"/>
  <c r="Y113" i="12" a="1"/>
  <c r="Y950" i="12" a="1"/>
  <c r="Y489" i="12" a="1"/>
  <c r="Y198" i="12" a="1"/>
  <c r="Y806" i="12" a="1"/>
  <c r="Y441" i="12" a="1"/>
  <c r="Y325" i="12" a="1"/>
  <c r="Y716" i="12" a="1"/>
  <c r="Y573" i="12" a="1"/>
  <c r="Y472" i="12" a="1"/>
  <c r="Y372" i="12" a="1"/>
  <c r="Y120" i="12" a="1"/>
  <c r="Y868" i="12" a="1"/>
  <c r="Y392" i="12" a="1"/>
  <c r="Y836" i="12" a="1"/>
  <c r="Y565" i="12" a="1"/>
  <c r="Y540" i="12" a="1"/>
  <c r="Y541" i="12" a="1"/>
  <c r="Y436" i="12" a="1"/>
  <c r="Y243" i="12" a="1"/>
  <c r="Y150" i="12" a="1"/>
  <c r="Y766" i="12" a="1"/>
  <c r="Y712" i="12" a="1"/>
  <c r="Y733" i="12" a="1"/>
  <c r="Y896" i="12" a="1"/>
  <c r="Y530" i="12" a="1"/>
  <c r="Y449" i="12" a="1"/>
  <c r="Y5" i="12" a="1"/>
  <c r="Y127" i="12" a="1"/>
  <c r="Y44" i="12" a="1"/>
  <c r="Y29" i="12" a="1"/>
  <c r="Y775" i="12" a="1"/>
  <c r="Y271" i="12" a="1"/>
  <c r="Y500" i="12" a="1"/>
  <c r="Y490" i="12" a="1"/>
  <c r="Y854" i="12" a="1"/>
  <c r="Y197" i="12" a="1"/>
  <c r="Y162" i="12" a="1"/>
  <c r="Y720" i="12" a="1"/>
  <c r="Y874" i="12" a="1"/>
  <c r="Y688" i="12" a="1"/>
  <c r="Y621" i="12" a="1"/>
  <c r="Y102" i="12" a="1"/>
  <c r="Y862" i="12" a="1"/>
  <c r="Y751" i="12" a="1"/>
  <c r="Y337" i="12" a="1"/>
  <c r="Y126" i="12" a="1"/>
  <c r="Y375" i="12" a="1"/>
  <c r="Y579" i="12" a="1"/>
  <c r="Y187" i="12" a="1"/>
  <c r="Y584" i="12" a="1"/>
  <c r="Y388" i="12" a="1"/>
  <c r="Y693" i="12" a="1"/>
  <c r="Y440" i="12" a="1"/>
  <c r="Y19" i="12" a="1"/>
  <c r="Y470" i="12" a="1"/>
  <c r="Y308" i="12" a="1"/>
  <c r="Y756" i="12" a="1"/>
  <c r="Y649" i="12" a="1"/>
  <c r="Y568" i="12" a="1"/>
  <c r="Y885" i="12" a="1"/>
  <c r="Y723" i="12" a="1"/>
  <c r="Y677" i="12" a="1"/>
  <c r="Y362" i="12" a="1"/>
  <c r="Y27" i="12" a="1"/>
  <c r="Y606" i="12" a="1"/>
  <c r="Y887" i="12" a="1"/>
  <c r="Y853" i="12" a="1"/>
  <c r="Y831" i="12" a="1"/>
  <c r="Y899" i="12" a="1"/>
  <c r="Y547" i="12" a="1"/>
  <c r="Y352" i="12" a="1"/>
  <c r="Y772" i="12" a="1"/>
  <c r="Y981" i="12" a="1"/>
  <c r="Y992" i="12" a="1"/>
  <c r="Y942" i="12" a="1"/>
  <c r="Y875" i="12" a="1"/>
  <c r="Y31" i="12" a="1"/>
  <c r="Y758" i="12" a="1"/>
  <c r="Y110" i="12" a="1"/>
  <c r="Y501" i="12" a="1"/>
  <c r="Y937" i="12" a="1"/>
  <c r="Y755" i="12" a="1"/>
  <c r="Y413" i="12" a="1"/>
  <c r="Y122" i="12" a="1"/>
  <c r="Y753" i="12" a="1"/>
  <c r="Y302" i="12" a="1"/>
  <c r="Y995" i="12" a="1"/>
  <c r="Y619" i="12" a="1"/>
  <c r="Y989" i="12" a="1"/>
  <c r="Y936" i="12" a="1"/>
  <c r="Y880" i="12" a="1"/>
  <c r="Y982" i="12" a="1"/>
  <c r="Y791" i="12" a="1"/>
  <c r="Y230" i="12" a="1"/>
  <c r="Y997" i="12" a="1"/>
  <c r="Y949" i="12" a="1"/>
  <c r="Y867" i="12" a="1"/>
  <c r="Y848" i="12" a="1"/>
  <c r="Y307" i="12" a="1"/>
  <c r="Y298" i="12" a="1"/>
  <c r="Y35" i="12" a="1"/>
  <c r="Y283" i="12" a="1"/>
  <c r="Y961" i="12" a="1"/>
  <c r="Y488" i="12" a="1"/>
  <c r="Y877" i="12" a="1"/>
  <c r="Y660" i="12" a="1"/>
  <c r="Y256" i="12" a="1"/>
  <c r="Y665" i="12" a="1"/>
  <c r="Y518" i="12" a="1"/>
  <c r="Y304" i="12" a="1"/>
  <c r="Y78" i="12" a="1"/>
  <c r="Y1000" i="12" a="1"/>
  <c r="Y718" i="12" a="1"/>
  <c r="Y538" i="12" a="1"/>
  <c r="Y508" i="12" a="1"/>
  <c r="Y3" i="12" a="1"/>
  <c r="Y888" i="12" a="1"/>
  <c r="Y707" i="12" a="1"/>
  <c r="Y737" i="12" a="1"/>
  <c r="Y656" i="12" a="1"/>
  <c r="Y539" i="12" a="1"/>
  <c r="Y398" i="12" a="1"/>
  <c r="Y133" i="12" a="1"/>
  <c r="Y944" i="12" a="1"/>
  <c r="Y757" i="12" a="1"/>
  <c r="Y366" i="12" a="1"/>
  <c r="Y876" i="12" a="1"/>
  <c r="Y410" i="12" a="1"/>
  <c r="Y987" i="12" a="1"/>
  <c r="Y778" i="12" a="1"/>
  <c r="Y235" i="12" a="1"/>
  <c r="Y832" i="12" a="1"/>
  <c r="Y492" i="12" a="1"/>
  <c r="Y855" i="12" a="1"/>
  <c r="Y728" i="12" a="1"/>
  <c r="Y633" i="12" a="1"/>
  <c r="Y549" i="12" a="1"/>
  <c r="Y319" i="12" a="1"/>
  <c r="Y11" i="12" a="1"/>
  <c r="Y769" i="12" a="1"/>
  <c r="Y481" i="12" a="1"/>
  <c r="Y33" i="12" a="1"/>
  <c r="Y639" i="12" a="1"/>
  <c r="Y631" i="12" a="1"/>
  <c r="Y428" i="12" a="1"/>
  <c r="Y990" i="12" a="1"/>
  <c r="Y351" i="12" a="1"/>
  <c r="Y393" i="12" a="1"/>
  <c r="Y248" i="12" a="1"/>
  <c r="Y666" i="12" a="1"/>
  <c r="Y505" i="12" a="1"/>
  <c r="Y169" i="12" a="1"/>
  <c r="Y389" i="12" a="1"/>
  <c r="Y932" i="12" a="1"/>
  <c r="Y820" i="12" a="1"/>
  <c r="Y480" i="12" a="1"/>
  <c r="Y408" i="12" a="1"/>
  <c r="Y81" i="12" a="1"/>
  <c r="Y972" i="12" a="1"/>
  <c r="Y515" i="12" a="1"/>
  <c r="Y918" i="12" a="1"/>
  <c r="Y889" i="12" a="1"/>
  <c r="Y829" i="12" a="1"/>
  <c r="Y825" i="12" a="1"/>
  <c r="Y491" i="12" a="1"/>
  <c r="Y689" i="12" a="1"/>
  <c r="Y189" i="12" a="1"/>
  <c r="Y486" i="12" a="1"/>
  <c r="Y313" i="12" a="1"/>
  <c r="Y926" i="12" a="1"/>
  <c r="Y906" i="12" a="1"/>
  <c r="Y795" i="12" a="1"/>
  <c r="Y898" i="12" a="1"/>
  <c r="Y724" i="12" a="1"/>
  <c r="Y675" i="12" a="1"/>
  <c r="Y595" i="12" a="1"/>
  <c r="Y487" i="12" a="1"/>
  <c r="Y426" i="12" a="1"/>
  <c r="Y895" i="12" a="1"/>
  <c r="Y713" i="12" a="1"/>
  <c r="Y648" i="12" a="1"/>
  <c r="Y462" i="12" a="1"/>
  <c r="Y400" i="12" a="1"/>
  <c r="Y119" i="12" a="1"/>
  <c r="Y147" i="12" a="1"/>
  <c r="Y922" i="12" a="1"/>
  <c r="Y17" i="12" a="1"/>
  <c r="Y969" i="12" a="1"/>
  <c r="Y908" i="12" a="1"/>
  <c r="Y651" i="12" a="1"/>
  <c r="Y520" i="12" a="1"/>
  <c r="Y692" i="12" a="1"/>
  <c r="Y823" i="12" a="1"/>
  <c r="Y986" i="12" a="1"/>
  <c r="Y627" i="12" a="1"/>
  <c r="Y58" i="12" a="1"/>
  <c r="Y670" i="12" a="1"/>
  <c r="Y96" i="12" a="1"/>
  <c r="Y244" i="12" a="1"/>
  <c r="Y777" i="12" a="1"/>
  <c r="Y719" i="12" a="1"/>
  <c r="Y301" i="12" a="1"/>
  <c r="Y948" i="12" a="1"/>
  <c r="Y687" i="12" a="1"/>
  <c r="Y638" i="12" a="1"/>
  <c r="Y324" i="12" a="1"/>
  <c r="Y116" i="12" a="1"/>
  <c r="Y869" i="12" a="1"/>
  <c r="Y624" i="12" a="1"/>
  <c r="Y572" i="12" a="1"/>
  <c r="Y423" i="12" a="1"/>
  <c r="Y394" i="12" a="1"/>
  <c r="Y66" i="12" a="1"/>
  <c r="Y914" i="12" a="1"/>
  <c r="Y715" i="12" a="1"/>
  <c r="Y726" i="12" a="1"/>
  <c r="Y370" i="12" a="1"/>
  <c r="Y764" i="12" a="1"/>
  <c r="Y355" i="12" a="1"/>
  <c r="Y338" i="12" a="1"/>
  <c r="Y118" i="12" a="1"/>
  <c r="Y870" i="12" a="1"/>
  <c r="Y253" i="12" a="1"/>
  <c r="Y923" i="12" a="1"/>
  <c r="Y632" i="12" a="1"/>
  <c r="Y344" i="12" a="1"/>
  <c r="Y148" i="12" a="1"/>
  <c r="Y805" i="12" a="1"/>
  <c r="Y48" i="12" a="1"/>
  <c r="Y798" i="12" a="1"/>
  <c r="Y456" i="12" a="1"/>
  <c r="Y376" i="12" a="1"/>
  <c r="Y365" i="12" a="1"/>
  <c r="Y114" i="12" a="1"/>
  <c r="Y54" i="12" a="1"/>
  <c r="Y297" i="12" a="1"/>
  <c r="Y155" i="12" a="1"/>
  <c r="Y591" i="12" a="1"/>
  <c r="Y998" i="12" a="1"/>
  <c r="Y434" i="12" a="1"/>
  <c r="Y517" i="12" a="1"/>
  <c r="Y900" i="12" a="1"/>
  <c r="Y583" i="12" a="1"/>
  <c r="Y548" i="12" a="1"/>
  <c r="Y947" i="12" a="1"/>
  <c r="Y263" i="12" a="1"/>
  <c r="Y602" i="12" a="1"/>
  <c r="Y532" i="12" a="1"/>
  <c r="Y23" i="12" a="1"/>
  <c r="Y690" i="12" a="1"/>
  <c r="Y469" i="12" a="1"/>
  <c r="Y334" i="12" a="1"/>
  <c r="Y278" i="12" a="1"/>
  <c r="Y729" i="12" a="1"/>
  <c r="Y580" i="12" a="1"/>
  <c r="Y76" i="12" a="1"/>
  <c r="Y418" i="12" a="1"/>
  <c r="Y531" i="12" a="1"/>
  <c r="Y446" i="12" a="1"/>
  <c r="Y43" i="12" a="1"/>
  <c r="Y743" i="12" a="1"/>
  <c r="Y727" i="12" a="1"/>
  <c r="Y673" i="12" a="1"/>
  <c r="Y468" i="12" a="1"/>
  <c r="Y93" i="12" a="1"/>
  <c r="Y891" i="12" a="1"/>
  <c r="Y774" i="12" a="1"/>
  <c r="Y521" i="12" a="1"/>
  <c r="Y444" i="12" a="1"/>
  <c r="Y63" i="12" a="1"/>
  <c r="Y762" i="12" a="1"/>
  <c r="Y641" i="12" a="1"/>
  <c r="Y347" i="12" a="1"/>
  <c r="Y994" i="12" a="1"/>
  <c r="Y585" i="12" a="1"/>
  <c r="Y213" i="12" a="1"/>
  <c r="Y574" i="12" a="1"/>
  <c r="Y996" i="12" a="1"/>
  <c r="Y589" i="12" a="1"/>
  <c r="Y993" i="12" a="1"/>
  <c r="Y861" i="12" a="1"/>
  <c r="Y683" i="12" a="1"/>
  <c r="Y637" i="12" a="1"/>
  <c r="Y395" i="12" a="1"/>
  <c r="Y458" i="12" a="1"/>
  <c r="Y708" i="12" a="1"/>
  <c r="Y474" i="12" a="1"/>
  <c r="Y951" i="12" a="1"/>
  <c r="Y405" i="12" a="1"/>
  <c r="Y450" i="12" a="1"/>
  <c r="Y83" i="12" a="1"/>
  <c r="Y933" i="12" a="1"/>
  <c r="Y701" i="12" a="1"/>
  <c r="Y545" i="12" a="1"/>
  <c r="Y318" i="12" a="1"/>
  <c r="Y785" i="12" a="1"/>
  <c r="Y396" i="12" a="1"/>
  <c r="Y95" i="12" a="1"/>
  <c r="Y345" i="12" a="1"/>
  <c r="Y965" i="12" a="1"/>
  <c r="Y514" i="12" a="1"/>
  <c r="Y226" i="12" a="1"/>
  <c r="Y780" i="12" a="1"/>
  <c r="Y342" i="12" a="1"/>
  <c r="Y314" i="12" a="1"/>
  <c r="Y38" i="12" a="1"/>
  <c r="Y985" i="12" a="1"/>
  <c r="Y897" i="12" a="1"/>
  <c r="Y183" i="12" a="1"/>
  <c r="Y851" i="12" a="1"/>
  <c r="Y721" i="12" a="1"/>
  <c r="Y636" i="12" a="1"/>
  <c r="Y131" i="12" a="1"/>
  <c r="Y722" i="12" a="1"/>
  <c r="Y618" i="12" a="1"/>
  <c r="Y979" i="12" a="1"/>
  <c r="Y40" i="12" a="1"/>
  <c r="Y988" i="12" a="1"/>
  <c r="Y625" i="12" a="1"/>
  <c r="Y420" i="12" a="1"/>
  <c r="Y732" i="12" a="1"/>
  <c r="Y265" i="12" a="1"/>
  <c r="Y943" i="12" a="1"/>
  <c r="Y815" i="12" a="1"/>
  <c r="Y523" i="12" a="1"/>
  <c r="Y188" i="12" a="1"/>
  <c r="Y552" i="12" a="1"/>
  <c r="Y364" i="12" a="1"/>
  <c r="Y257" i="12" a="1"/>
  <c r="Y702" i="12" a="1"/>
  <c r="Y725" i="12" a="1"/>
  <c r="Y416" i="12" a="1"/>
  <c r="Y374" i="12" a="1"/>
  <c r="Y247" i="12" a="1"/>
  <c r="Y991" i="12" a="1"/>
  <c r="Y216" i="12" a="1"/>
  <c r="Y984" i="12" a="1"/>
  <c r="Y810" i="12" a="1"/>
  <c r="Y459" i="12" a="1"/>
  <c r="Y312" i="12" a="1"/>
  <c r="Y980" i="12" a="1"/>
  <c r="Y911" i="12" a="1"/>
  <c r="Y833" i="12" a="1"/>
  <c r="Y640" i="12" a="1"/>
  <c r="Y37" i="12" a="1"/>
  <c r="Y710" i="12" a="1"/>
  <c r="Y15" i="12" a="1"/>
  <c r="Y852" i="12" a="1"/>
  <c r="Y46" i="12" a="1"/>
  <c r="Y326" i="12" a="1"/>
  <c r="Y191" i="12" a="1"/>
  <c r="Y39" i="12" a="1"/>
  <c r="Y983" i="12" a="1"/>
  <c r="Y222" i="12" a="1"/>
  <c r="Y536" i="12" a="1"/>
  <c r="Y779" i="12" a="1"/>
  <c r="Y190" i="12" a="1"/>
  <c r="Y999" i="12" a="1"/>
  <c r="Y970" i="12" a="1"/>
  <c r="Y730" i="12" a="1"/>
  <c r="Y564" i="12" a="1"/>
  <c r="Y884" i="12" a="1"/>
  <c r="Y850" i="12" a="1"/>
  <c r="Y856" i="12" a="1"/>
  <c r="Y801" i="12" a="1"/>
  <c r="Y736" i="12" a="1"/>
  <c r="Y685" i="12" a="1"/>
  <c r="Y513" i="12" a="1"/>
  <c r="Y956" i="12" a="1"/>
  <c r="Y717" i="12" a="1"/>
  <c r="Y438" i="12" a="1"/>
  <c r="Y320" i="12" a="1"/>
  <c r="Y100" i="12" a="1"/>
  <c r="Y928" i="12" a="1"/>
  <c r="Y773" i="12" a="1"/>
  <c r="Y714" i="12" a="1"/>
  <c r="Y590" i="12" a="1"/>
  <c r="Y431" i="12" a="1"/>
  <c r="Y56" i="12" a="1"/>
  <c r="Y881" i="12" a="1"/>
  <c r="Y13" i="12" a="1"/>
  <c r="Y844" i="12" a="1"/>
  <c r="Y454" i="12" a="1"/>
  <c r="Y53" i="12" a="1"/>
  <c r="Y824" i="12" a="1"/>
  <c r="Y571" i="12" a="1"/>
  <c r="Y527" i="12" a="1"/>
  <c r="Y357" i="12" a="1"/>
  <c r="Y350" i="12" a="1"/>
  <c r="Y9" i="12" a="1"/>
  <c r="Y890" i="12" a="1"/>
  <c r="Y498" i="12" a="1"/>
  <c r="Y528" i="12" a="1"/>
  <c r="Y106" i="12" a="1"/>
  <c r="Y804" i="12" a="1"/>
  <c r="Y111" i="12" a="1"/>
  <c r="Y135" i="12" a="1"/>
  <c r="Y382" i="12" a="1"/>
  <c r="E7" i="17" l="1"/>
  <c r="A8" i="17"/>
  <c r="AE177" i="12"/>
  <c r="Y382" i="12"/>
  <c r="Y135" i="12"/>
  <c r="Y111" i="12"/>
  <c r="Y804" i="12"/>
  <c r="Y106" i="12"/>
  <c r="Y528" i="12"/>
  <c r="Y498" i="12"/>
  <c r="Y890" i="12"/>
  <c r="Y9" i="12"/>
  <c r="Y350" i="12"/>
  <c r="Y357" i="12"/>
  <c r="Y527" i="12"/>
  <c r="Y571" i="12"/>
  <c r="Y824" i="12"/>
  <c r="Y53" i="12"/>
  <c r="Y454" i="12"/>
  <c r="Y844" i="12"/>
  <c r="Y13" i="12"/>
  <c r="Y881" i="12"/>
  <c r="Y56" i="12"/>
  <c r="Y431" i="12"/>
  <c r="Y590" i="12"/>
  <c r="Y714" i="12"/>
  <c r="Y773" i="12"/>
  <c r="Y928" i="12"/>
  <c r="Y100" i="12"/>
  <c r="Y320" i="12"/>
  <c r="Y438" i="12"/>
  <c r="Y717" i="12"/>
  <c r="Y956" i="12"/>
  <c r="Y513" i="12"/>
  <c r="Y685" i="12"/>
  <c r="Y736" i="12"/>
  <c r="Y801" i="12"/>
  <c r="Y856" i="12"/>
  <c r="Y850" i="12"/>
  <c r="Y884" i="12"/>
  <c r="Y564" i="12"/>
  <c r="Y730" i="12"/>
  <c r="Y970" i="12"/>
  <c r="Y999" i="12"/>
  <c r="Y190" i="12"/>
  <c r="Y779" i="12"/>
  <c r="Y536" i="12"/>
  <c r="Y222" i="12"/>
  <c r="Y983" i="12"/>
  <c r="Y39" i="12"/>
  <c r="Y191" i="12"/>
  <c r="Y326" i="12"/>
  <c r="Y46" i="12"/>
  <c r="Y852" i="12"/>
  <c r="Y15" i="12"/>
  <c r="Y710" i="12"/>
  <c r="Y37" i="12"/>
  <c r="Y640" i="12"/>
  <c r="Y833" i="12"/>
  <c r="Y911" i="12"/>
  <c r="Y980" i="12"/>
  <c r="Y312" i="12"/>
  <c r="Y459" i="12"/>
  <c r="Y810" i="12"/>
  <c r="Y984" i="12"/>
  <c r="Y216" i="12"/>
  <c r="Y991" i="12"/>
  <c r="Y247" i="12"/>
  <c r="Y374" i="12"/>
  <c r="Y416" i="12"/>
  <c r="Y725" i="12"/>
  <c r="Y702" i="12"/>
  <c r="Y257" i="12"/>
  <c r="Y364" i="12"/>
  <c r="Y552" i="12"/>
  <c r="Y188" i="12"/>
  <c r="Y523" i="12"/>
  <c r="Y815" i="12"/>
  <c r="Y943" i="12"/>
  <c r="Y265" i="12"/>
  <c r="Y732" i="12"/>
  <c r="Y420" i="12"/>
  <c r="Y625" i="12"/>
  <c r="Y988" i="12"/>
  <c r="Y40" i="12"/>
  <c r="Y979" i="12"/>
  <c r="Y618" i="12"/>
  <c r="Y722" i="12"/>
  <c r="Y131" i="12"/>
  <c r="Y636" i="12"/>
  <c r="Y721" i="12"/>
  <c r="Y851" i="12"/>
  <c r="Y183" i="12"/>
  <c r="Y897" i="12"/>
  <c r="Y985" i="12"/>
  <c r="Y38" i="12"/>
  <c r="Y314" i="12"/>
  <c r="Y342" i="12"/>
  <c r="Y780" i="12"/>
  <c r="Y226" i="12"/>
  <c r="Y514" i="12"/>
  <c r="Y965" i="12"/>
  <c r="Y345" i="12"/>
  <c r="Y95" i="12"/>
  <c r="Y396" i="12"/>
  <c r="Y785" i="12"/>
  <c r="Y318" i="12"/>
  <c r="Y545" i="12"/>
  <c r="Y701" i="12"/>
  <c r="Y933" i="12"/>
  <c r="Y83" i="12"/>
  <c r="Y450" i="12"/>
  <c r="Y405" i="12"/>
  <c r="Y951" i="12"/>
  <c r="Y474" i="12"/>
  <c r="Y708" i="12"/>
  <c r="Y458" i="12"/>
  <c r="Y395" i="12"/>
  <c r="Y637" i="12"/>
  <c r="Y683" i="12"/>
  <c r="Y861" i="12"/>
  <c r="Y993" i="12"/>
  <c r="Y589" i="12"/>
  <c r="Y996" i="12"/>
  <c r="Y574" i="12"/>
  <c r="Y213" i="12"/>
  <c r="Y585" i="12"/>
  <c r="Y994" i="12"/>
  <c r="Y347" i="12"/>
  <c r="Y641" i="12"/>
  <c r="Y762" i="12"/>
  <c r="Y63" i="12"/>
  <c r="Y444" i="12"/>
  <c r="Y521" i="12"/>
  <c r="Y774" i="12"/>
  <c r="Y891" i="12"/>
  <c r="Y93" i="12"/>
  <c r="Y468" i="12"/>
  <c r="Y673" i="12"/>
  <c r="Y727" i="12"/>
  <c r="Y743" i="12"/>
  <c r="Y43" i="12"/>
  <c r="Y446" i="12"/>
  <c r="Y531" i="12"/>
  <c r="Y418" i="12"/>
  <c r="Y76" i="12"/>
  <c r="Y580" i="12"/>
  <c r="Y729" i="12"/>
  <c r="Y278" i="12"/>
  <c r="Y334" i="12"/>
  <c r="Y469" i="12"/>
  <c r="Y690" i="12"/>
  <c r="Y23" i="12"/>
  <c r="Y532" i="12"/>
  <c r="Y602" i="12"/>
  <c r="Y263" i="12"/>
  <c r="Y947" i="12"/>
  <c r="Y548" i="12"/>
  <c r="Y583" i="12"/>
  <c r="Y900" i="12"/>
  <c r="Y517" i="12"/>
  <c r="Y434" i="12"/>
  <c r="Y998" i="12"/>
  <c r="Y591" i="12"/>
  <c r="Y155" i="12"/>
  <c r="Y297" i="12"/>
  <c r="Y54" i="12"/>
  <c r="Y114" i="12"/>
  <c r="Y365" i="12"/>
  <c r="Y376" i="12"/>
  <c r="Y456" i="12"/>
  <c r="Y798" i="12"/>
  <c r="Y48" i="12"/>
  <c r="Y805" i="12"/>
  <c r="Y148" i="12"/>
  <c r="Y344" i="12"/>
  <c r="Y632" i="12"/>
  <c r="Y923" i="12"/>
  <c r="Y253" i="12"/>
  <c r="Y870" i="12"/>
  <c r="Y118" i="12"/>
  <c r="Y338" i="12"/>
  <c r="Y355" i="12"/>
  <c r="Y764" i="12"/>
  <c r="Y370" i="12"/>
  <c r="Y726" i="12"/>
  <c r="Y715" i="12"/>
  <c r="Y914" i="12"/>
  <c r="Y66" i="12"/>
  <c r="Y394" i="12"/>
  <c r="Y423" i="12"/>
  <c r="Y572" i="12"/>
  <c r="Y624" i="12"/>
  <c r="Y869" i="12"/>
  <c r="Y116" i="12"/>
  <c r="Y324" i="12"/>
  <c r="Y638" i="12"/>
  <c r="Y687" i="12"/>
  <c r="Y948" i="12"/>
  <c r="Y301" i="12"/>
  <c r="Y719" i="12"/>
  <c r="Y777" i="12"/>
  <c r="Y244" i="12"/>
  <c r="Y96" i="12"/>
  <c r="Y670" i="12"/>
  <c r="Y58" i="12"/>
  <c r="Y627" i="12"/>
  <c r="Y986" i="12"/>
  <c r="Y823" i="12"/>
  <c r="Y692" i="12"/>
  <c r="Y520" i="12"/>
  <c r="Y651" i="12"/>
  <c r="Y908" i="12"/>
  <c r="Y969" i="12"/>
  <c r="Y17" i="12"/>
  <c r="Y922" i="12"/>
  <c r="Y147" i="12"/>
  <c r="Y119" i="12"/>
  <c r="Y400" i="12"/>
  <c r="Y462" i="12"/>
  <c r="Y648" i="12"/>
  <c r="Y713" i="12"/>
  <c r="Y895" i="12"/>
  <c r="Y426" i="12"/>
  <c r="Y487" i="12"/>
  <c r="Y595" i="12"/>
  <c r="Y675" i="12"/>
  <c r="Y724" i="12"/>
  <c r="Y898" i="12"/>
  <c r="Y795" i="12"/>
  <c r="Y906" i="12"/>
  <c r="Y926" i="12"/>
  <c r="Y313" i="12"/>
  <c r="Y486" i="12"/>
  <c r="Y189" i="12"/>
  <c r="Y689" i="12"/>
  <c r="Y491" i="12"/>
  <c r="Y825" i="12"/>
  <c r="Y829" i="12"/>
  <c r="Y889" i="12"/>
  <c r="Y918" i="12"/>
  <c r="Y515" i="12"/>
  <c r="Y972" i="12"/>
  <c r="Y81" i="12"/>
  <c r="Y408" i="12"/>
  <c r="Y480" i="12"/>
  <c r="Y820" i="12"/>
  <c r="Y932" i="12"/>
  <c r="Y389" i="12"/>
  <c r="Y169" i="12"/>
  <c r="Y505" i="12"/>
  <c r="Y666" i="12"/>
  <c r="Y248" i="12"/>
  <c r="Y393" i="12"/>
  <c r="Y351" i="12"/>
  <c r="Y990" i="12"/>
  <c r="Y428" i="12"/>
  <c r="Y631" i="12"/>
  <c r="Y639" i="12"/>
  <c r="Y33" i="12"/>
  <c r="Y481" i="12"/>
  <c r="Y769" i="12"/>
  <c r="Y11" i="12"/>
  <c r="Y319" i="12"/>
  <c r="Y549" i="12"/>
  <c r="Y633" i="12"/>
  <c r="Y728" i="12"/>
  <c r="Y855" i="12"/>
  <c r="Y492" i="12"/>
  <c r="Y832" i="12"/>
  <c r="Y235" i="12"/>
  <c r="Y778" i="12"/>
  <c r="Y987" i="12"/>
  <c r="Y410" i="12"/>
  <c r="Y876" i="12"/>
  <c r="Y366" i="12"/>
  <c r="Y757" i="12"/>
  <c r="Y944" i="12"/>
  <c r="Y133" i="12"/>
  <c r="Y398" i="12"/>
  <c r="Y539" i="12"/>
  <c r="Y656" i="12"/>
  <c r="Y737" i="12"/>
  <c r="Y707" i="12"/>
  <c r="Y888" i="12"/>
  <c r="Y3" i="12"/>
  <c r="Y508" i="12"/>
  <c r="Y538" i="12"/>
  <c r="Y718" i="12"/>
  <c r="Y1000" i="12"/>
  <c r="Y78" i="12"/>
  <c r="Y304" i="12"/>
  <c r="Y518" i="12"/>
  <c r="Y665" i="12"/>
  <c r="Y256" i="12"/>
  <c r="Y660" i="12"/>
  <c r="Y877" i="12"/>
  <c r="Y488" i="12"/>
  <c r="Y961" i="12"/>
  <c r="Y283" i="12"/>
  <c r="Y35" i="12"/>
  <c r="Y298" i="12"/>
  <c r="Y307" i="12"/>
  <c r="Y848" i="12"/>
  <c r="Y867" i="12"/>
  <c r="Y949" i="12"/>
  <c r="Y997" i="12"/>
  <c r="Y230" i="12"/>
  <c r="Y791" i="12"/>
  <c r="Y982" i="12"/>
  <c r="Y880" i="12"/>
  <c r="Y936" i="12"/>
  <c r="Y989" i="12"/>
  <c r="Y619" i="12"/>
  <c r="Y995" i="12"/>
  <c r="Y302" i="12"/>
  <c r="Y753" i="12"/>
  <c r="Y122" i="12"/>
  <c r="Y413" i="12"/>
  <c r="Y755" i="12"/>
  <c r="Y937" i="12"/>
  <c r="Y501" i="12"/>
  <c r="Y110" i="12"/>
  <c r="Y758" i="12"/>
  <c r="Y31" i="12"/>
  <c r="Y875" i="12"/>
  <c r="Y942" i="12"/>
  <c r="Y992" i="12"/>
  <c r="Y981" i="12"/>
  <c r="Y772" i="12"/>
  <c r="Y352" i="12"/>
  <c r="Y547" i="12"/>
  <c r="Y899" i="12"/>
  <c r="Y831" i="12"/>
  <c r="Y853" i="12"/>
  <c r="Y887" i="12"/>
  <c r="Y606" i="12"/>
  <c r="Y27" i="12"/>
  <c r="Y362" i="12"/>
  <c r="Y677" i="12"/>
  <c r="Y723" i="12"/>
  <c r="Y885" i="12"/>
  <c r="Y568" i="12"/>
  <c r="Y649" i="12"/>
  <c r="Y756" i="12"/>
  <c r="Y308" i="12"/>
  <c r="Y470" i="12"/>
  <c r="Y19" i="12"/>
  <c r="Y440" i="12"/>
  <c r="Y693" i="12"/>
  <c r="Y388" i="12"/>
  <c r="Y584" i="12"/>
  <c r="Y187" i="12"/>
  <c r="Y579" i="12"/>
  <c r="Y375" i="12"/>
  <c r="Y126" i="12"/>
  <c r="Y337" i="12"/>
  <c r="Y751" i="12"/>
  <c r="Y862" i="12"/>
  <c r="Y102" i="12"/>
  <c r="Y621" i="12"/>
  <c r="Y688" i="12"/>
  <c r="Y874" i="12"/>
  <c r="Y720" i="12"/>
  <c r="Y162" i="12"/>
  <c r="Y197" i="12"/>
  <c r="Y854" i="12"/>
  <c r="Y490" i="12"/>
  <c r="Y500" i="12"/>
  <c r="Y271" i="12"/>
  <c r="Y775" i="12"/>
  <c r="Y29" i="12"/>
  <c r="Y44" i="12"/>
  <c r="Y127" i="12"/>
  <c r="Y5" i="12"/>
  <c r="Y449" i="12"/>
  <c r="Y530" i="12"/>
  <c r="Y896" i="12"/>
  <c r="Y733" i="12"/>
  <c r="Y712" i="12"/>
  <c r="Y766" i="12"/>
  <c r="Y150" i="12"/>
  <c r="Y243" i="12"/>
  <c r="Y436" i="12"/>
  <c r="Y541" i="12"/>
  <c r="Y540" i="12"/>
  <c r="Y565" i="12"/>
  <c r="Y836" i="12"/>
  <c r="Y392" i="12"/>
  <c r="Y868" i="12"/>
  <c r="Y120" i="12"/>
  <c r="Y372" i="12"/>
  <c r="Y472" i="12"/>
  <c r="Y573" i="12"/>
  <c r="Y716" i="12"/>
  <c r="Y325" i="12"/>
  <c r="Y441" i="12"/>
  <c r="Y806" i="12"/>
  <c r="Y198" i="12"/>
  <c r="Y489" i="12"/>
  <c r="Y950" i="12"/>
  <c r="Y113" i="12"/>
  <c r="Y463" i="12"/>
  <c r="Y553" i="12"/>
  <c r="Y567" i="12"/>
  <c r="Y731" i="12"/>
  <c r="Y709" i="12"/>
  <c r="Y245" i="12"/>
  <c r="Y509" i="12"/>
  <c r="Y594" i="12"/>
  <c r="Y68" i="12"/>
  <c r="Y422" i="12"/>
  <c r="Y373" i="12"/>
  <c r="Y706" i="12"/>
  <c r="Y107" i="12"/>
  <c r="Y503" i="12"/>
  <c r="Y525" i="12"/>
  <c r="Y603" i="12"/>
  <c r="Y802" i="12"/>
  <c r="Y21" i="12"/>
  <c r="Y524" i="12"/>
  <c r="Y742" i="12"/>
  <c r="Y940" i="12"/>
  <c r="Y391" i="12"/>
  <c r="Y4" i="12"/>
  <c r="Y299" i="12"/>
  <c r="Y385" i="12"/>
  <c r="Y452" i="12"/>
  <c r="Y611" i="12"/>
  <c r="Y672" i="12"/>
  <c r="Y228" i="12"/>
  <c r="Y901" i="12"/>
  <c r="Y239" i="12"/>
  <c r="Y882" i="12"/>
  <c r="Y381" i="12"/>
  <c r="Y404" i="12"/>
  <c r="Y654" i="12"/>
  <c r="Y740" i="12"/>
  <c r="Y221" i="12"/>
  <c r="Y655" i="12"/>
  <c r="Y475" i="12"/>
  <c r="Y559" i="12"/>
  <c r="Y266" i="12"/>
  <c r="Y661" i="12"/>
  <c r="Y952" i="12"/>
  <c r="Y170" i="12"/>
  <c r="Y349" i="12"/>
  <c r="Y703" i="12"/>
  <c r="Y886" i="12"/>
  <c r="Y680" i="12"/>
  <c r="Y348" i="12"/>
  <c r="Y195" i="12"/>
  <c r="Y607" i="12"/>
  <c r="Y143" i="12"/>
  <c r="S547" i="12"/>
  <c r="T547" i="12" s="1"/>
  <c r="U547" i="12" s="1"/>
  <c r="L547" i="12"/>
  <c r="L675" i="12"/>
  <c r="S675" i="12"/>
  <c r="T675" i="12" s="1"/>
  <c r="U675" i="12" s="1"/>
  <c r="L465" i="12"/>
  <c r="S465" i="12"/>
  <c r="T465" i="12" s="1"/>
  <c r="U465" i="12" s="1"/>
  <c r="S920" i="12"/>
  <c r="T920" i="12" s="1"/>
  <c r="U920" i="12" s="1"/>
  <c r="L920" i="12"/>
  <c r="AE920" i="12" s="1"/>
  <c r="S643" i="12"/>
  <c r="T643" i="12" s="1"/>
  <c r="U643" i="12" s="1"/>
  <c r="L643" i="12"/>
  <c r="L512" i="12"/>
  <c r="S512" i="12"/>
  <c r="T512" i="12" s="1"/>
  <c r="U512" i="12" s="1"/>
  <c r="L539" i="12"/>
  <c r="S539" i="12"/>
  <c r="T539" i="12" s="1"/>
  <c r="U539" i="12" s="1"/>
  <c r="S358" i="12"/>
  <c r="T358" i="12" s="1"/>
  <c r="U358" i="12" s="1"/>
  <c r="L358" i="12"/>
  <c r="L239" i="12"/>
  <c r="S239" i="12"/>
  <c r="T239" i="12" s="1"/>
  <c r="U239" i="12" s="1"/>
  <c r="S329" i="12"/>
  <c r="T329" i="12" s="1"/>
  <c r="U329" i="12" s="1"/>
  <c r="L329" i="12"/>
  <c r="S207" i="12"/>
  <c r="T207" i="12" s="1"/>
  <c r="U207" i="12" s="1"/>
  <c r="L207" i="12"/>
  <c r="L144" i="12"/>
  <c r="S144" i="12"/>
  <c r="T144" i="12" s="1"/>
  <c r="U144" i="12" s="1"/>
  <c r="S393" i="12"/>
  <c r="T393" i="12" s="1"/>
  <c r="U393" i="12" s="1"/>
  <c r="L393" i="12"/>
  <c r="S998" i="12"/>
  <c r="T998" i="12" s="1"/>
  <c r="U998" i="12" s="1"/>
  <c r="L998" i="12"/>
  <c r="L350" i="12"/>
  <c r="S350" i="12"/>
  <c r="T350" i="12" s="1"/>
  <c r="U350" i="12" s="1"/>
  <c r="L16" i="12"/>
  <c r="AE16" i="12" s="1"/>
  <c r="S16" i="12"/>
  <c r="T16" i="12" s="1"/>
  <c r="U16" i="12" s="1"/>
  <c r="AE721" i="12"/>
  <c r="L774" i="12"/>
  <c r="S774" i="12"/>
  <c r="T774" i="12" s="1"/>
  <c r="U774" i="12" s="1"/>
  <c r="S798" i="12"/>
  <c r="T798" i="12" s="1"/>
  <c r="U798" i="12" s="1"/>
  <c r="L798" i="12"/>
  <c r="L673" i="12"/>
  <c r="S673" i="12"/>
  <c r="T673" i="12" s="1"/>
  <c r="U673" i="12" s="1"/>
  <c r="L805" i="12"/>
  <c r="S805" i="12"/>
  <c r="T805" i="12" s="1"/>
  <c r="U805" i="12" s="1"/>
  <c r="S996" i="12"/>
  <c r="T996" i="12" s="1"/>
  <c r="U996" i="12" s="1"/>
  <c r="L996" i="12"/>
  <c r="AE996" i="12" s="1"/>
  <c r="S560" i="12"/>
  <c r="T560" i="12" s="1"/>
  <c r="U560" i="12" s="1"/>
  <c r="L560" i="12"/>
  <c r="L179" i="12"/>
  <c r="S179" i="12"/>
  <c r="T179" i="12" s="1"/>
  <c r="U179" i="12" s="1"/>
  <c r="S76" i="12"/>
  <c r="T76" i="12" s="1"/>
  <c r="U76" i="12" s="1"/>
  <c r="L76" i="12"/>
  <c r="L34" i="12"/>
  <c r="AE34" i="12" s="1"/>
  <c r="S34" i="12"/>
  <c r="T34" i="12" s="1"/>
  <c r="U34" i="12" s="1"/>
  <c r="L780" i="12"/>
  <c r="S780" i="12"/>
  <c r="T780" i="12" s="1"/>
  <c r="U780" i="12" s="1"/>
  <c r="S306" i="12"/>
  <c r="T306" i="12" s="1"/>
  <c r="U306" i="12" s="1"/>
  <c r="L306" i="12"/>
  <c r="AE306" i="12" s="1"/>
  <c r="AE179" i="12"/>
  <c r="L54" i="12"/>
  <c r="S54" i="12"/>
  <c r="T54" i="12" s="1"/>
  <c r="U54" i="12" s="1"/>
  <c r="L870" i="12"/>
  <c r="S870" i="12"/>
  <c r="T870" i="12" s="1"/>
  <c r="U870" i="12" s="1"/>
  <c r="L965" i="12"/>
  <c r="S965" i="12"/>
  <c r="T965" i="12" s="1"/>
  <c r="U965" i="12" s="1"/>
  <c r="L180" i="12"/>
  <c r="S180" i="12"/>
  <c r="T180" i="12" s="1"/>
  <c r="U180" i="12" s="1"/>
  <c r="L170" i="12"/>
  <c r="S170" i="12"/>
  <c r="T170" i="12" s="1"/>
  <c r="U170" i="12" s="1"/>
  <c r="S92" i="12"/>
  <c r="T92" i="12" s="1"/>
  <c r="U92" i="12" s="1"/>
  <c r="L92" i="12"/>
  <c r="L19" i="12"/>
  <c r="S19" i="12"/>
  <c r="T19" i="12" s="1"/>
  <c r="U19" i="12" s="1"/>
  <c r="L417" i="12"/>
  <c r="S417" i="12"/>
  <c r="T417" i="12" s="1"/>
  <c r="U417" i="12" s="1"/>
  <c r="L425" i="12"/>
  <c r="S425" i="12"/>
  <c r="T425" i="12" s="1"/>
  <c r="U425" i="12" s="1"/>
  <c r="L612" i="12"/>
  <c r="S612" i="12"/>
  <c r="T612" i="12" s="1"/>
  <c r="U612" i="12" s="1"/>
  <c r="L705" i="12"/>
  <c r="S705" i="12"/>
  <c r="T705" i="12" s="1"/>
  <c r="U705" i="12" s="1"/>
  <c r="L808" i="12"/>
  <c r="S808" i="12"/>
  <c r="T808" i="12" s="1"/>
  <c r="U808" i="12" s="1"/>
  <c r="S566" i="12"/>
  <c r="T566" i="12" s="1"/>
  <c r="U566" i="12" s="1"/>
  <c r="L566" i="12"/>
  <c r="L289" i="12"/>
  <c r="S289" i="12"/>
  <c r="T289" i="12" s="1"/>
  <c r="U289" i="12" s="1"/>
  <c r="S421" i="12"/>
  <c r="T421" i="12" s="1"/>
  <c r="U421" i="12" s="1"/>
  <c r="L421" i="12"/>
  <c r="L412" i="12"/>
  <c r="S412" i="12"/>
  <c r="T412" i="12" s="1"/>
  <c r="U412" i="12" s="1"/>
  <c r="L556" i="12"/>
  <c r="S556" i="12"/>
  <c r="T556" i="12" s="1"/>
  <c r="U556" i="12" s="1"/>
  <c r="L973" i="12"/>
  <c r="S973" i="12"/>
  <c r="T973" i="12" s="1"/>
  <c r="U973" i="12" s="1"/>
  <c r="L363" i="12"/>
  <c r="S363" i="12"/>
  <c r="T363" i="12" s="1"/>
  <c r="U363" i="12" s="1"/>
  <c r="L787" i="12"/>
  <c r="S787" i="12"/>
  <c r="T787" i="12" s="1"/>
  <c r="U787" i="12" s="1"/>
  <c r="L368" i="12"/>
  <c r="S368" i="12"/>
  <c r="T368" i="12" s="1"/>
  <c r="U368" i="12" s="1"/>
  <c r="L667" i="12"/>
  <c r="S667" i="12"/>
  <c r="T667" i="12" s="1"/>
  <c r="U667" i="12" s="1"/>
  <c r="L761" i="12"/>
  <c r="S761" i="12"/>
  <c r="T761" i="12" s="1"/>
  <c r="U761" i="12" s="1"/>
  <c r="L919" i="12"/>
  <c r="AE919" i="12" s="1"/>
  <c r="S919" i="12"/>
  <c r="T919" i="12" s="1"/>
  <c r="U919" i="12" s="1"/>
  <c r="L960" i="12"/>
  <c r="S960" i="12"/>
  <c r="T960" i="12" s="1"/>
  <c r="U960" i="12" s="1"/>
  <c r="L407" i="12"/>
  <c r="S407" i="12"/>
  <c r="T407" i="12" s="1"/>
  <c r="U407" i="12" s="1"/>
  <c r="L748" i="12"/>
  <c r="S748" i="12"/>
  <c r="T748" i="12" s="1"/>
  <c r="U748" i="12" s="1"/>
  <c r="L616" i="12"/>
  <c r="AE616" i="12" s="1"/>
  <c r="S616" i="12"/>
  <c r="T616" i="12" s="1"/>
  <c r="U616" i="12" s="1"/>
  <c r="S669" i="12"/>
  <c r="T669" i="12" s="1"/>
  <c r="U669" i="12" s="1"/>
  <c r="L669" i="12"/>
  <c r="AE669" i="12" s="1"/>
  <c r="L826" i="12"/>
  <c r="S826" i="12"/>
  <c r="T826" i="12" s="1"/>
  <c r="U826" i="12" s="1"/>
  <c r="L406" i="12"/>
  <c r="S406" i="12"/>
  <c r="T406" i="12" s="1"/>
  <c r="U406" i="12" s="1"/>
  <c r="S497" i="12"/>
  <c r="T497" i="12" s="1"/>
  <c r="U497" i="12" s="1"/>
  <c r="L497" i="12"/>
  <c r="L812" i="12"/>
  <c r="AE812" i="12" s="1"/>
  <c r="S812" i="12"/>
  <c r="T812" i="12" s="1"/>
  <c r="U812" i="12" s="1"/>
  <c r="L555" i="12"/>
  <c r="S555" i="12"/>
  <c r="T555" i="12" s="1"/>
  <c r="U555" i="12" s="1"/>
  <c r="L738" i="12"/>
  <c r="AE738" i="12" s="1"/>
  <c r="S738" i="12"/>
  <c r="T738" i="12" s="1"/>
  <c r="U738" i="12" s="1"/>
  <c r="L892" i="12"/>
  <c r="S892" i="12"/>
  <c r="T892" i="12" s="1"/>
  <c r="U892" i="12" s="1"/>
  <c r="L312" i="12"/>
  <c r="S312" i="12"/>
  <c r="T312" i="12" s="1"/>
  <c r="U312" i="12" s="1"/>
  <c r="L459" i="12"/>
  <c r="S459" i="12"/>
  <c r="T459" i="12" s="1"/>
  <c r="U459" i="12" s="1"/>
  <c r="AE585" i="12"/>
  <c r="S535" i="12"/>
  <c r="T535" i="12" s="1"/>
  <c r="U535" i="12" s="1"/>
  <c r="L535" i="12"/>
  <c r="S233" i="12"/>
  <c r="T233" i="12" s="1"/>
  <c r="U233" i="12" s="1"/>
  <c r="L233" i="12"/>
  <c r="L320" i="12"/>
  <c r="S320" i="12"/>
  <c r="T320" i="12" s="1"/>
  <c r="U320" i="12" s="1"/>
  <c r="L221" i="12"/>
  <c r="S221" i="12"/>
  <c r="T221" i="12" s="1"/>
  <c r="U221" i="12" s="1"/>
  <c r="S804" i="12"/>
  <c r="T804" i="12" s="1"/>
  <c r="U804" i="12" s="1"/>
  <c r="L804" i="12"/>
  <c r="L444" i="12"/>
  <c r="S444" i="12"/>
  <c r="T444" i="12" s="1"/>
  <c r="U444" i="12" s="1"/>
  <c r="S167" i="12"/>
  <c r="T167" i="12" s="1"/>
  <c r="U167" i="12" s="1"/>
  <c r="L167" i="12"/>
  <c r="AE167" i="12" s="1"/>
  <c r="L130" i="12"/>
  <c r="S130" i="12"/>
  <c r="T130" i="12" s="1"/>
  <c r="U130" i="12" s="1"/>
  <c r="L247" i="12"/>
  <c r="AE247" i="12" s="1"/>
  <c r="S247" i="12"/>
  <c r="T247" i="12" s="1"/>
  <c r="U247" i="12" s="1"/>
  <c r="L725" i="12"/>
  <c r="S725" i="12"/>
  <c r="T725" i="12" s="1"/>
  <c r="U725" i="12" s="1"/>
  <c r="L78" i="12"/>
  <c r="S78" i="12"/>
  <c r="T78" i="12" s="1"/>
  <c r="U78" i="12" s="1"/>
  <c r="L114" i="12"/>
  <c r="S114" i="12"/>
  <c r="T114" i="12" s="1"/>
  <c r="U114" i="12" s="1"/>
  <c r="S702" i="12"/>
  <c r="T702" i="12" s="1"/>
  <c r="U702" i="12" s="1"/>
  <c r="L702" i="12"/>
  <c r="L117" i="12"/>
  <c r="AE117" i="12" s="1"/>
  <c r="S117" i="12"/>
  <c r="T117" i="12" s="1"/>
  <c r="U117" i="12" s="1"/>
  <c r="L3" i="12"/>
  <c r="S3" i="12"/>
  <c r="T3" i="12" s="1"/>
  <c r="U3" i="12" s="1"/>
  <c r="S687" i="12"/>
  <c r="T687" i="12" s="1"/>
  <c r="U687" i="12" s="1"/>
  <c r="L687" i="12"/>
  <c r="L228" i="12"/>
  <c r="AE228" i="12" s="1"/>
  <c r="S228" i="12"/>
  <c r="T228" i="12" s="1"/>
  <c r="U228" i="12" s="1"/>
  <c r="L133" i="12"/>
  <c r="S133" i="12"/>
  <c r="T133" i="12" s="1"/>
  <c r="U133" i="12" s="1"/>
  <c r="L65" i="12"/>
  <c r="S65" i="12"/>
  <c r="T65" i="12" s="1"/>
  <c r="U65" i="12" s="1"/>
  <c r="L583" i="12"/>
  <c r="S583" i="12"/>
  <c r="T583" i="12" s="1"/>
  <c r="U583" i="12" s="1"/>
  <c r="L815" i="12"/>
  <c r="S815" i="12"/>
  <c r="T815" i="12" s="1"/>
  <c r="U815" i="12" s="1"/>
  <c r="L265" i="12"/>
  <c r="S265" i="12"/>
  <c r="T265" i="12" s="1"/>
  <c r="U265" i="12" s="1"/>
  <c r="S434" i="12"/>
  <c r="T434" i="12" s="1"/>
  <c r="U434" i="12" s="1"/>
  <c r="L434" i="12"/>
  <c r="L178" i="12"/>
  <c r="AE178" i="12" s="1"/>
  <c r="S178" i="12"/>
  <c r="T178" i="12" s="1"/>
  <c r="U178" i="12" s="1"/>
  <c r="S188" i="12"/>
  <c r="T188" i="12" s="1"/>
  <c r="U188" i="12" s="1"/>
  <c r="L188" i="12"/>
  <c r="S176" i="12"/>
  <c r="T176" i="12" s="1"/>
  <c r="U176" i="12" s="1"/>
  <c r="L176" i="12"/>
  <c r="L164" i="12"/>
  <c r="S164" i="12"/>
  <c r="T164" i="12" s="1"/>
  <c r="U164" i="12" s="1"/>
  <c r="S98" i="12"/>
  <c r="T98" i="12" s="1"/>
  <c r="U98" i="12" s="1"/>
  <c r="L98" i="12"/>
  <c r="L174" i="12"/>
  <c r="S174" i="12"/>
  <c r="T174" i="12" s="1"/>
  <c r="U174" i="12" s="1"/>
  <c r="L51" i="1"/>
  <c r="K51" i="1" s="1"/>
  <c r="L61" i="1"/>
  <c r="K61" i="1" s="1"/>
  <c r="U65" i="1"/>
  <c r="L969" i="12"/>
  <c r="AE969" i="12" s="1"/>
  <c r="S969" i="12"/>
  <c r="T969" i="12" s="1"/>
  <c r="U969" i="12" s="1"/>
  <c r="L922" i="12"/>
  <c r="S922" i="12"/>
  <c r="T922" i="12" s="1"/>
  <c r="U922" i="12" s="1"/>
  <c r="S231" i="12"/>
  <c r="T231" i="12" s="1"/>
  <c r="U231" i="12" s="1"/>
  <c r="L231" i="12"/>
  <c r="L35" i="12"/>
  <c r="S35" i="12"/>
  <c r="T35" i="12" s="1"/>
  <c r="U35" i="12" s="1"/>
  <c r="L504" i="12"/>
  <c r="S504" i="12"/>
  <c r="T504" i="12" s="1"/>
  <c r="U504" i="12" s="1"/>
  <c r="AE170" i="12"/>
  <c r="L64" i="12"/>
  <c r="S64" i="12"/>
  <c r="T64" i="12" s="1"/>
  <c r="U64" i="12" s="1"/>
  <c r="S342" i="12"/>
  <c r="T342" i="12" s="1"/>
  <c r="U342" i="12" s="1"/>
  <c r="L342" i="12"/>
  <c r="AE407" i="12"/>
  <c r="S294" i="12"/>
  <c r="T294" i="12" s="1"/>
  <c r="U294" i="12" s="1"/>
  <c r="L294" i="12"/>
  <c r="AE294" i="12" s="1"/>
  <c r="L18" i="12"/>
  <c r="S18" i="12"/>
  <c r="T18" i="12" s="1"/>
  <c r="U18" i="12" s="1"/>
  <c r="S429" i="12"/>
  <c r="T429" i="12" s="1"/>
  <c r="U429" i="12" s="1"/>
  <c r="L429" i="12"/>
  <c r="L741" i="12"/>
  <c r="S741" i="12"/>
  <c r="T741" i="12" s="1"/>
  <c r="U741" i="12" s="1"/>
  <c r="L754" i="12"/>
  <c r="S754" i="12"/>
  <c r="T754" i="12" s="1"/>
  <c r="U754" i="12" s="1"/>
  <c r="S403" i="12"/>
  <c r="T403" i="12" s="1"/>
  <c r="U403" i="12" s="1"/>
  <c r="L403" i="12"/>
  <c r="S871" i="12"/>
  <c r="T871" i="12" s="1"/>
  <c r="U871" i="12" s="1"/>
  <c r="L871" i="12"/>
  <c r="L424" i="12"/>
  <c r="S424" i="12"/>
  <c r="T424" i="12" s="1"/>
  <c r="U424" i="12" s="1"/>
  <c r="L838" i="12"/>
  <c r="AE838" i="12" s="1"/>
  <c r="S838" i="12"/>
  <c r="T838" i="12" s="1"/>
  <c r="U838" i="12" s="1"/>
  <c r="AE973" i="12"/>
  <c r="L931" i="12"/>
  <c r="AE931" i="12" s="1"/>
  <c r="S931" i="12"/>
  <c r="T931" i="12" s="1"/>
  <c r="U931" i="12" s="1"/>
  <c r="S335" i="12"/>
  <c r="T335" i="12" s="1"/>
  <c r="U335" i="12" s="1"/>
  <c r="L335" i="12"/>
  <c r="L399" i="12"/>
  <c r="S399" i="12"/>
  <c r="T399" i="12" s="1"/>
  <c r="U399" i="12" s="1"/>
  <c r="L419" i="12"/>
  <c r="S419" i="12"/>
  <c r="T419" i="12" s="1"/>
  <c r="U419" i="12" s="1"/>
  <c r="L613" i="12"/>
  <c r="S613" i="12"/>
  <c r="T613" i="12" s="1"/>
  <c r="U613" i="12" s="1"/>
  <c r="L760" i="12"/>
  <c r="AE760" i="12" s="1"/>
  <c r="S760" i="12"/>
  <c r="T760" i="12" s="1"/>
  <c r="U760" i="12" s="1"/>
  <c r="AE556" i="12"/>
  <c r="S628" i="12"/>
  <c r="T628" i="12" s="1"/>
  <c r="U628" i="12" s="1"/>
  <c r="L628" i="12"/>
  <c r="S681" i="12"/>
  <c r="T681" i="12" s="1"/>
  <c r="U681" i="12" s="1"/>
  <c r="L681" i="12"/>
  <c r="L430" i="12"/>
  <c r="S430" i="12"/>
  <c r="T430" i="12" s="1"/>
  <c r="U430" i="12" s="1"/>
  <c r="L795" i="12"/>
  <c r="S795" i="12"/>
  <c r="T795" i="12" s="1"/>
  <c r="U795" i="12" s="1"/>
  <c r="L394" i="12"/>
  <c r="S394" i="12"/>
  <c r="T394" i="12" s="1"/>
  <c r="U394" i="12" s="1"/>
  <c r="AE239" i="12"/>
  <c r="AE92" i="12"/>
  <c r="L488" i="12"/>
  <c r="AE488" i="12" s="1"/>
  <c r="S488" i="12"/>
  <c r="T488" i="12" s="1"/>
  <c r="U488" i="12" s="1"/>
  <c r="L785" i="12"/>
  <c r="S785" i="12"/>
  <c r="T785" i="12" s="1"/>
  <c r="U785" i="12" s="1"/>
  <c r="AE804" i="12"/>
  <c r="L914" i="12"/>
  <c r="AE914" i="12" s="1"/>
  <c r="S914" i="12"/>
  <c r="T914" i="12" s="1"/>
  <c r="U914" i="12" s="1"/>
  <c r="L570" i="12"/>
  <c r="AE570" i="12" s="1"/>
  <c r="S570" i="12"/>
  <c r="T570" i="12" s="1"/>
  <c r="U570" i="12" s="1"/>
  <c r="S217" i="12"/>
  <c r="T217" i="12" s="1"/>
  <c r="U217" i="12" s="1"/>
  <c r="L217" i="12"/>
  <c r="AE217" i="12" s="1"/>
  <c r="L137" i="12"/>
  <c r="S137" i="12"/>
  <c r="T137" i="12" s="1"/>
  <c r="U137" i="12" s="1"/>
  <c r="L10" i="12"/>
  <c r="S10" i="12"/>
  <c r="T10" i="12" s="1"/>
  <c r="U10" i="12" s="1"/>
  <c r="L701" i="12"/>
  <c r="S701" i="12"/>
  <c r="T701" i="12" s="1"/>
  <c r="U701" i="12" s="1"/>
  <c r="L961" i="12"/>
  <c r="S961" i="12"/>
  <c r="T961" i="12" s="1"/>
  <c r="U961" i="12" s="1"/>
  <c r="L155" i="12"/>
  <c r="AE155" i="12" s="1"/>
  <c r="S155" i="12"/>
  <c r="T155" i="12" s="1"/>
  <c r="U155" i="12" s="1"/>
  <c r="L61" i="12"/>
  <c r="S61" i="12"/>
  <c r="T61" i="12" s="1"/>
  <c r="U61" i="12" s="1"/>
  <c r="L889" i="12"/>
  <c r="S889" i="12"/>
  <c r="T889" i="12" s="1"/>
  <c r="U889" i="12" s="1"/>
  <c r="S951" i="12"/>
  <c r="T951" i="12" s="1"/>
  <c r="U951" i="12" s="1"/>
  <c r="L951" i="12"/>
  <c r="AE951" i="12" s="1"/>
  <c r="AE180" i="12"/>
  <c r="L105" i="12"/>
  <c r="S105" i="12"/>
  <c r="T105" i="12" s="1"/>
  <c r="U105" i="12" s="1"/>
  <c r="AE76" i="12"/>
  <c r="L972" i="12"/>
  <c r="AE972" i="12" s="1"/>
  <c r="S972" i="12"/>
  <c r="T972" i="12" s="1"/>
  <c r="U972" i="12" s="1"/>
  <c r="AE555" i="12"/>
  <c r="S223" i="12"/>
  <c r="T223" i="12" s="1"/>
  <c r="U223" i="12" s="1"/>
  <c r="L223" i="12"/>
  <c r="L53" i="12"/>
  <c r="AE53" i="12" s="1"/>
  <c r="S53" i="12"/>
  <c r="T53" i="12" s="1"/>
  <c r="U53" i="12" s="1"/>
  <c r="L149" i="12"/>
  <c r="S149" i="12"/>
  <c r="T149" i="12" s="1"/>
  <c r="U149" i="12" s="1"/>
  <c r="S428" i="12"/>
  <c r="T428" i="12" s="1"/>
  <c r="U428" i="12" s="1"/>
  <c r="L428" i="12"/>
  <c r="S637" i="12"/>
  <c r="T637" i="12" s="1"/>
  <c r="U637" i="12" s="1"/>
  <c r="L637" i="12"/>
  <c r="L719" i="12"/>
  <c r="S719" i="12"/>
  <c r="T719" i="12" s="1"/>
  <c r="U719" i="12" s="1"/>
  <c r="L777" i="12"/>
  <c r="AE777" i="12" s="1"/>
  <c r="S777" i="12"/>
  <c r="T777" i="12" s="1"/>
  <c r="U777" i="12" s="1"/>
  <c r="L589" i="12"/>
  <c r="AE589" i="12" s="1"/>
  <c r="S589" i="12"/>
  <c r="T589" i="12" s="1"/>
  <c r="U589" i="12" s="1"/>
  <c r="L244" i="12"/>
  <c r="S244" i="12"/>
  <c r="T244" i="12" s="1"/>
  <c r="U244" i="12" s="1"/>
  <c r="S200" i="12"/>
  <c r="T200" i="12" s="1"/>
  <c r="U200" i="12" s="1"/>
  <c r="L200" i="12"/>
  <c r="AE221" i="12"/>
  <c r="S591" i="12"/>
  <c r="T591" i="12" s="1"/>
  <c r="U591" i="12" s="1"/>
  <c r="L591" i="12"/>
  <c r="L891" i="12"/>
  <c r="AE891" i="12" s="1"/>
  <c r="S891" i="12"/>
  <c r="T891" i="12" s="1"/>
  <c r="U891" i="12" s="1"/>
  <c r="L60" i="1"/>
  <c r="K60" i="1" s="1"/>
  <c r="L32" i="1"/>
  <c r="K32" i="1" s="1"/>
  <c r="L64" i="1"/>
  <c r="K64" i="1" s="1"/>
  <c r="L35" i="1"/>
  <c r="K35" i="1" s="1"/>
  <c r="L46" i="1"/>
  <c r="K46" i="1" s="1"/>
  <c r="L248" i="12"/>
  <c r="S248" i="12"/>
  <c r="T248" i="12" s="1"/>
  <c r="U248" i="12" s="1"/>
  <c r="S243" i="12"/>
  <c r="T243" i="12" s="1"/>
  <c r="U243" i="12" s="1"/>
  <c r="L243" i="12"/>
  <c r="S851" i="12"/>
  <c r="T851" i="12" s="1"/>
  <c r="U851" i="12" s="1"/>
  <c r="L851" i="12"/>
  <c r="AE851" i="12" s="1"/>
  <c r="S193" i="12"/>
  <c r="T193" i="12" s="1"/>
  <c r="U193" i="12" s="1"/>
  <c r="L193" i="12"/>
  <c r="AE193" i="12" s="1"/>
  <c r="AE233" i="12"/>
  <c r="L33" i="12"/>
  <c r="S33" i="12"/>
  <c r="T33" i="12" s="1"/>
  <c r="U33" i="12" s="1"/>
  <c r="L778" i="12"/>
  <c r="AE778" i="12" s="1"/>
  <c r="S778" i="12"/>
  <c r="T778" i="12" s="1"/>
  <c r="U778" i="12" s="1"/>
  <c r="L898" i="12"/>
  <c r="AE898" i="12" s="1"/>
  <c r="S898" i="12"/>
  <c r="T898" i="12" s="1"/>
  <c r="U898" i="12" s="1"/>
  <c r="AE965" i="12"/>
  <c r="L168" i="12"/>
  <c r="S168" i="12"/>
  <c r="T168" i="12" s="1"/>
  <c r="U168" i="12" s="1"/>
  <c r="L296" i="12"/>
  <c r="S296" i="12"/>
  <c r="T296" i="12" s="1"/>
  <c r="U296" i="12" s="1"/>
  <c r="S80" i="12"/>
  <c r="T80" i="12" s="1"/>
  <c r="U80" i="12" s="1"/>
  <c r="L80" i="12"/>
  <c r="AE80" i="12" s="1"/>
  <c r="L437" i="12"/>
  <c r="S437" i="12"/>
  <c r="T437" i="12" s="1"/>
  <c r="U437" i="12" s="1"/>
  <c r="AE761" i="12"/>
  <c r="L847" i="12"/>
  <c r="AE847" i="12" s="1"/>
  <c r="S847" i="12"/>
  <c r="T847" i="12" s="1"/>
  <c r="U847" i="12" s="1"/>
  <c r="L668" i="12"/>
  <c r="S668" i="12"/>
  <c r="T668" i="12" s="1"/>
  <c r="U668" i="12" s="1"/>
  <c r="L750" i="12"/>
  <c r="S750" i="12"/>
  <c r="T750" i="12" s="1"/>
  <c r="U750" i="12" s="1"/>
  <c r="AE612" i="12"/>
  <c r="S816" i="12"/>
  <c r="T816" i="12" s="1"/>
  <c r="U816" i="12" s="1"/>
  <c r="L816" i="12"/>
  <c r="AE816" i="12" s="1"/>
  <c r="S934" i="12"/>
  <c r="T934" i="12" s="1"/>
  <c r="U934" i="12" s="1"/>
  <c r="L934" i="12"/>
  <c r="L400" i="12"/>
  <c r="AE400" i="12" s="1"/>
  <c r="S400" i="12"/>
  <c r="T400" i="12" s="1"/>
  <c r="U400" i="12" s="1"/>
  <c r="S171" i="12"/>
  <c r="T171" i="12" s="1"/>
  <c r="U171" i="12" s="1"/>
  <c r="L171" i="12"/>
  <c r="S211" i="12"/>
  <c r="T211" i="12" s="1"/>
  <c r="U211" i="12" s="1"/>
  <c r="L211" i="12"/>
  <c r="L20" i="12"/>
  <c r="S20" i="12"/>
  <c r="T20" i="12" s="1"/>
  <c r="U20" i="12" s="1"/>
  <c r="AE547" i="12"/>
  <c r="L908" i="12"/>
  <c r="S908" i="12"/>
  <c r="T908" i="12" s="1"/>
  <c r="U908" i="12" s="1"/>
  <c r="S181" i="12"/>
  <c r="T181" i="12" s="1"/>
  <c r="U181" i="12" s="1"/>
  <c r="L181" i="12"/>
  <c r="L109" i="12"/>
  <c r="AE109" i="12" s="1"/>
  <c r="S109" i="12"/>
  <c r="T109" i="12" s="1"/>
  <c r="U109" i="12" s="1"/>
  <c r="L21" i="12"/>
  <c r="AE21" i="12" s="1"/>
  <c r="S21" i="12"/>
  <c r="T21" i="12" s="1"/>
  <c r="U21" i="12" s="1"/>
  <c r="S509" i="12"/>
  <c r="T509" i="12" s="1"/>
  <c r="U509" i="12" s="1"/>
  <c r="L509" i="12"/>
  <c r="L724" i="12"/>
  <c r="AE724" i="12" s="1"/>
  <c r="S724" i="12"/>
  <c r="T724" i="12" s="1"/>
  <c r="U724" i="12" s="1"/>
  <c r="S502" i="12"/>
  <c r="T502" i="12" s="1"/>
  <c r="U502" i="12" s="1"/>
  <c r="L502" i="12"/>
  <c r="L351" i="12"/>
  <c r="AE351" i="12" s="1"/>
  <c r="S351" i="12"/>
  <c r="T351" i="12" s="1"/>
  <c r="U351" i="12" s="1"/>
  <c r="S727" i="12"/>
  <c r="T727" i="12" s="1"/>
  <c r="U727" i="12" s="1"/>
  <c r="L727" i="12"/>
  <c r="L899" i="12"/>
  <c r="AE899" i="12" s="1"/>
  <c r="S899" i="12"/>
  <c r="T899" i="12" s="1"/>
  <c r="U899" i="12" s="1"/>
  <c r="S553" i="12"/>
  <c r="T553" i="12" s="1"/>
  <c r="U553" i="12" s="1"/>
  <c r="L553" i="12"/>
  <c r="L370" i="12"/>
  <c r="S370" i="12"/>
  <c r="T370" i="12" s="1"/>
  <c r="U370" i="12" s="1"/>
  <c r="S267" i="12"/>
  <c r="T267" i="12" s="1"/>
  <c r="U267" i="12" s="1"/>
  <c r="L267" i="12"/>
  <c r="L236" i="12"/>
  <c r="AE236" i="12" s="1"/>
  <c r="S236" i="12"/>
  <c r="T236" i="12" s="1"/>
  <c r="U236" i="12" s="1"/>
  <c r="S52" i="12"/>
  <c r="T52" i="12" s="1"/>
  <c r="U52" i="12" s="1"/>
  <c r="L52" i="12"/>
  <c r="AE52" i="12" s="1"/>
  <c r="S574" i="12"/>
  <c r="T574" i="12" s="1"/>
  <c r="U574" i="12" s="1"/>
  <c r="L574" i="12"/>
  <c r="AE574" i="12" s="1"/>
  <c r="L648" i="12"/>
  <c r="S648" i="12"/>
  <c r="T648" i="12" s="1"/>
  <c r="U648" i="12" s="1"/>
  <c r="L831" i="12"/>
  <c r="AE831" i="12" s="1"/>
  <c r="S831" i="12"/>
  <c r="T831" i="12" s="1"/>
  <c r="U831" i="12" s="1"/>
  <c r="S282" i="12"/>
  <c r="T282" i="12" s="1"/>
  <c r="U282" i="12" s="1"/>
  <c r="L282" i="12"/>
  <c r="L278" i="12"/>
  <c r="AE278" i="12" s="1"/>
  <c r="S278" i="12"/>
  <c r="T278" i="12" s="1"/>
  <c r="U278" i="12" s="1"/>
  <c r="S249" i="12"/>
  <c r="T249" i="12" s="1"/>
  <c r="U249" i="12" s="1"/>
  <c r="L249" i="12"/>
  <c r="L272" i="12"/>
  <c r="AE272" i="12" s="1"/>
  <c r="S272" i="12"/>
  <c r="T272" i="12" s="1"/>
  <c r="U272" i="12" s="1"/>
  <c r="L453" i="12"/>
  <c r="S453" i="12"/>
  <c r="T453" i="12" s="1"/>
  <c r="U453" i="12" s="1"/>
  <c r="L461" i="12"/>
  <c r="S461" i="12"/>
  <c r="T461" i="12" s="1"/>
  <c r="U461" i="12" s="1"/>
  <c r="S790" i="12"/>
  <c r="T790" i="12" s="1"/>
  <c r="U790" i="12" s="1"/>
  <c r="L790" i="12"/>
  <c r="AE790" i="12" s="1"/>
  <c r="L859" i="12"/>
  <c r="S859" i="12"/>
  <c r="T859" i="12" s="1"/>
  <c r="U859" i="12" s="1"/>
  <c r="L840" i="12"/>
  <c r="S840" i="12"/>
  <c r="T840" i="12" s="1"/>
  <c r="U840" i="12" s="1"/>
  <c r="L921" i="12"/>
  <c r="AE921" i="12" s="1"/>
  <c r="S921" i="12"/>
  <c r="T921" i="12" s="1"/>
  <c r="U921" i="12" s="1"/>
  <c r="L652" i="12"/>
  <c r="S652" i="12"/>
  <c r="T652" i="12" s="1"/>
  <c r="U652" i="12" s="1"/>
  <c r="L866" i="12"/>
  <c r="S866" i="12"/>
  <c r="T866" i="12" s="1"/>
  <c r="U866" i="12" s="1"/>
  <c r="L493" i="12"/>
  <c r="AE493" i="12" s="1"/>
  <c r="S493" i="12"/>
  <c r="T493" i="12" s="1"/>
  <c r="U493" i="12" s="1"/>
  <c r="S448" i="12"/>
  <c r="T448" i="12" s="1"/>
  <c r="U448" i="12" s="1"/>
  <c r="L448" i="12"/>
  <c r="L650" i="12"/>
  <c r="S650" i="12"/>
  <c r="T650" i="12" s="1"/>
  <c r="U650" i="12" s="1"/>
  <c r="L694" i="12"/>
  <c r="S694" i="12"/>
  <c r="T694" i="12" s="1"/>
  <c r="U694" i="12" s="1"/>
  <c r="L822" i="12"/>
  <c r="AE822" i="12" s="1"/>
  <c r="S822" i="12"/>
  <c r="T822" i="12" s="1"/>
  <c r="U822" i="12" s="1"/>
  <c r="S945" i="12"/>
  <c r="T945" i="12" s="1"/>
  <c r="U945" i="12" s="1"/>
  <c r="L945" i="12"/>
  <c r="AE945" i="12" s="1"/>
  <c r="AE859" i="12"/>
  <c r="S686" i="12"/>
  <c r="T686" i="12" s="1"/>
  <c r="U686" i="12" s="1"/>
  <c r="L686" i="12"/>
  <c r="AE787" i="12"/>
  <c r="AE871" i="12"/>
  <c r="L402" i="12"/>
  <c r="S402" i="12"/>
  <c r="T402" i="12" s="1"/>
  <c r="U402" i="12" s="1"/>
  <c r="S359" i="12"/>
  <c r="T359" i="12" s="1"/>
  <c r="U359" i="12" s="1"/>
  <c r="L359" i="12"/>
  <c r="S411" i="12"/>
  <c r="T411" i="12" s="1"/>
  <c r="U411" i="12" s="1"/>
  <c r="L411" i="12"/>
  <c r="AE411" i="12" s="1"/>
  <c r="L443" i="12"/>
  <c r="AE443" i="12" s="1"/>
  <c r="S443" i="12"/>
  <c r="T443" i="12" s="1"/>
  <c r="U443" i="12" s="1"/>
  <c r="L657" i="12"/>
  <c r="S657" i="12"/>
  <c r="T657" i="12" s="1"/>
  <c r="U657" i="12" s="1"/>
  <c r="L784" i="12"/>
  <c r="AE784" i="12" s="1"/>
  <c r="S784" i="12"/>
  <c r="T784" i="12" s="1"/>
  <c r="U784" i="12" s="1"/>
  <c r="AE429" i="12"/>
  <c r="L958" i="12"/>
  <c r="S958" i="12"/>
  <c r="T958" i="12" s="1"/>
  <c r="U958" i="12" s="1"/>
  <c r="L700" i="12"/>
  <c r="AE700" i="12" s="1"/>
  <c r="S700" i="12"/>
  <c r="T700" i="12" s="1"/>
  <c r="U700" i="12" s="1"/>
  <c r="S977" i="12"/>
  <c r="T977" i="12" s="1"/>
  <c r="U977" i="12" s="1"/>
  <c r="L977" i="12"/>
  <c r="AE977" i="12" s="1"/>
  <c r="L442" i="12"/>
  <c r="AE442" i="12" s="1"/>
  <c r="S442" i="12"/>
  <c r="T442" i="12" s="1"/>
  <c r="U442" i="12" s="1"/>
  <c r="L843" i="12"/>
  <c r="S843" i="12"/>
  <c r="T843" i="12" s="1"/>
  <c r="U843" i="12" s="1"/>
  <c r="L915" i="12"/>
  <c r="S915" i="12"/>
  <c r="T915" i="12" s="1"/>
  <c r="U915" i="12" s="1"/>
  <c r="S410" i="12"/>
  <c r="T410" i="12" s="1"/>
  <c r="U410" i="12" s="1"/>
  <c r="L410" i="12"/>
  <c r="AE410" i="12" s="1"/>
  <c r="L764" i="12"/>
  <c r="AE764" i="12" s="1"/>
  <c r="S764" i="12"/>
  <c r="T764" i="12" s="1"/>
  <c r="U764" i="12" s="1"/>
  <c r="AE795" i="12"/>
  <c r="L906" i="12"/>
  <c r="AE906" i="12" s="1"/>
  <c r="S906" i="12"/>
  <c r="T906" i="12" s="1"/>
  <c r="U906" i="12" s="1"/>
  <c r="L986" i="12"/>
  <c r="AE986" i="12" s="1"/>
  <c r="S986" i="12"/>
  <c r="T986" i="12" s="1"/>
  <c r="U986" i="12" s="1"/>
  <c r="L328" i="12"/>
  <c r="S328" i="12"/>
  <c r="T328" i="12" s="1"/>
  <c r="U328" i="12" s="1"/>
  <c r="L201" i="12"/>
  <c r="S201" i="12"/>
  <c r="T201" i="12" s="1"/>
  <c r="U201" i="12" s="1"/>
  <c r="L334" i="12"/>
  <c r="AE334" i="12" s="1"/>
  <c r="S334" i="12"/>
  <c r="T334" i="12" s="1"/>
  <c r="U334" i="12" s="1"/>
  <c r="L715" i="12"/>
  <c r="AE715" i="12" s="1"/>
  <c r="S715" i="12"/>
  <c r="T715" i="12" s="1"/>
  <c r="U715" i="12" s="1"/>
  <c r="L757" i="12"/>
  <c r="AE757" i="12" s="1"/>
  <c r="S757" i="12"/>
  <c r="T757" i="12" s="1"/>
  <c r="U757" i="12" s="1"/>
  <c r="L944" i="12"/>
  <c r="S944" i="12"/>
  <c r="T944" i="12" s="1"/>
  <c r="U944" i="12" s="1"/>
  <c r="L254" i="12"/>
  <c r="S254" i="12"/>
  <c r="T254" i="12" s="1"/>
  <c r="U254" i="12" s="1"/>
  <c r="L398" i="12"/>
  <c r="AE398" i="12" s="1"/>
  <c r="S398" i="12"/>
  <c r="T398" i="12" s="1"/>
  <c r="U398" i="12" s="1"/>
  <c r="S423" i="12"/>
  <c r="T423" i="12" s="1"/>
  <c r="U423" i="12" s="1"/>
  <c r="L423" i="12"/>
  <c r="AE403" i="12"/>
  <c r="S365" i="12"/>
  <c r="T365" i="12" s="1"/>
  <c r="U365" i="12" s="1"/>
  <c r="L365" i="12"/>
  <c r="AE365" i="12" s="1"/>
  <c r="L572" i="12"/>
  <c r="S572" i="12"/>
  <c r="T572" i="12" s="1"/>
  <c r="U572" i="12" s="1"/>
  <c r="L829" i="12"/>
  <c r="S829" i="12"/>
  <c r="T829" i="12" s="1"/>
  <c r="U829" i="12" s="1"/>
  <c r="AE889" i="12"/>
  <c r="L362" i="12"/>
  <c r="S362" i="12"/>
  <c r="T362" i="12" s="1"/>
  <c r="U362" i="12" s="1"/>
  <c r="AE200" i="12"/>
  <c r="AE168" i="12"/>
  <c r="S93" i="12"/>
  <c r="T93" i="12" s="1"/>
  <c r="U93" i="12" s="1"/>
  <c r="L93" i="12"/>
  <c r="AE93" i="12" s="1"/>
  <c r="S152" i="12"/>
  <c r="T152" i="12" s="1"/>
  <c r="U152" i="12" s="1"/>
  <c r="L152" i="12"/>
  <c r="L85" i="12"/>
  <c r="AE85" i="12" s="1"/>
  <c r="S85" i="12"/>
  <c r="T85" i="12" s="1"/>
  <c r="U85" i="12" s="1"/>
  <c r="L271" i="12"/>
  <c r="AE271" i="12" s="1"/>
  <c r="S271" i="12"/>
  <c r="T271" i="12" s="1"/>
  <c r="U271" i="12" s="1"/>
  <c r="AE687" i="12"/>
  <c r="S823" i="12"/>
  <c r="T823" i="12" s="1"/>
  <c r="U823" i="12" s="1"/>
  <c r="L823" i="12"/>
  <c r="AE823" i="12" s="1"/>
  <c r="L283" i="12"/>
  <c r="AE283" i="12" s="1"/>
  <c r="S283" i="12"/>
  <c r="T283" i="12" s="1"/>
  <c r="U283" i="12" s="1"/>
  <c r="L820" i="12"/>
  <c r="S820" i="12"/>
  <c r="T820" i="12" s="1"/>
  <c r="U820" i="12" s="1"/>
  <c r="L994" i="12"/>
  <c r="AE994" i="12" s="1"/>
  <c r="S994" i="12"/>
  <c r="T994" i="12" s="1"/>
  <c r="U994" i="12" s="1"/>
  <c r="S389" i="12"/>
  <c r="T389" i="12" s="1"/>
  <c r="U389" i="12" s="1"/>
  <c r="L389" i="12"/>
  <c r="AE389" i="12" s="1"/>
  <c r="L666" i="12"/>
  <c r="AE666" i="12" s="1"/>
  <c r="S666" i="12"/>
  <c r="T666" i="12" s="1"/>
  <c r="U666" i="12" s="1"/>
  <c r="S352" i="12"/>
  <c r="T352" i="12" s="1"/>
  <c r="U352" i="12" s="1"/>
  <c r="L352" i="12"/>
  <c r="L63" i="1"/>
  <c r="K63" i="1" s="1"/>
  <c r="L37" i="1"/>
  <c r="K37" i="1" s="1"/>
  <c r="L38" i="1"/>
  <c r="K38" i="1" s="1"/>
  <c r="L50" i="1"/>
  <c r="K50" i="1" s="1"/>
  <c r="S496" i="12"/>
  <c r="T496" i="12" s="1"/>
  <c r="U496" i="12" s="1"/>
  <c r="L496" i="12"/>
  <c r="S615" i="12"/>
  <c r="T615" i="12" s="1"/>
  <c r="U615" i="12" s="1"/>
  <c r="L615" i="12"/>
  <c r="S371" i="12"/>
  <c r="T371" i="12" s="1"/>
  <c r="U371" i="12" s="1"/>
  <c r="L371" i="12"/>
  <c r="S910" i="12"/>
  <c r="T910" i="12" s="1"/>
  <c r="U910" i="12" s="1"/>
  <c r="L910" i="12"/>
  <c r="L902" i="12"/>
  <c r="S902" i="12"/>
  <c r="T902" i="12" s="1"/>
  <c r="U902" i="12" s="1"/>
  <c r="L995" i="12"/>
  <c r="S995" i="12"/>
  <c r="T995" i="12" s="1"/>
  <c r="U995" i="12" s="1"/>
  <c r="L316" i="12"/>
  <c r="S316" i="12"/>
  <c r="T316" i="12" s="1"/>
  <c r="U316" i="12" s="1"/>
  <c r="AE244" i="12"/>
  <c r="L54" i="1"/>
  <c r="K54" i="1" s="1"/>
  <c r="L28" i="1"/>
  <c r="K28" i="1" s="1"/>
  <c r="L510" i="12"/>
  <c r="S510" i="12"/>
  <c r="T510" i="12" s="1"/>
  <c r="U510" i="12" s="1"/>
  <c r="AE419" i="12"/>
  <c r="AE465" i="12"/>
  <c r="AE358" i="12"/>
  <c r="L310" i="12"/>
  <c r="AE310" i="12" s="1"/>
  <c r="S310" i="12"/>
  <c r="T310" i="12" s="1"/>
  <c r="U310" i="12" s="1"/>
  <c r="S158" i="12"/>
  <c r="T158" i="12" s="1"/>
  <c r="U158" i="12" s="1"/>
  <c r="L158" i="12"/>
  <c r="AE158" i="12" s="1"/>
  <c r="L60" i="12"/>
  <c r="S60" i="12"/>
  <c r="T60" i="12" s="1"/>
  <c r="U60" i="12" s="1"/>
  <c r="L25" i="12"/>
  <c r="S25" i="12"/>
  <c r="T25" i="12" s="1"/>
  <c r="U25" i="12" s="1"/>
  <c r="L422" i="12"/>
  <c r="S422" i="12"/>
  <c r="T422" i="12" s="1"/>
  <c r="U422" i="12" s="1"/>
  <c r="S520" i="12"/>
  <c r="T520" i="12" s="1"/>
  <c r="U520" i="12" s="1"/>
  <c r="L520" i="12"/>
  <c r="L619" i="12"/>
  <c r="S619" i="12"/>
  <c r="T619" i="12" s="1"/>
  <c r="U619" i="12" s="1"/>
  <c r="L153" i="12"/>
  <c r="AE153" i="12" s="1"/>
  <c r="S153" i="12"/>
  <c r="T153" i="12" s="1"/>
  <c r="U153" i="12" s="1"/>
  <c r="AE114" i="12"/>
  <c r="AE65" i="12"/>
  <c r="S528" i="12"/>
  <c r="T528" i="12" s="1"/>
  <c r="U528" i="12" s="1"/>
  <c r="L528" i="12"/>
  <c r="S633" i="12"/>
  <c r="T633" i="12" s="1"/>
  <c r="U633" i="12" s="1"/>
  <c r="L633" i="12"/>
  <c r="S728" i="12"/>
  <c r="T728" i="12" s="1"/>
  <c r="U728" i="12" s="1"/>
  <c r="L728" i="12"/>
  <c r="AE728" i="12" s="1"/>
  <c r="L723" i="12"/>
  <c r="S723" i="12"/>
  <c r="T723" i="12" s="1"/>
  <c r="U723" i="12" s="1"/>
  <c r="AE798" i="12"/>
  <c r="S433" i="12"/>
  <c r="T433" i="12" s="1"/>
  <c r="U433" i="12" s="1"/>
  <c r="L433" i="12"/>
  <c r="AE433" i="12" s="1"/>
  <c r="L345" i="12"/>
  <c r="S345" i="12"/>
  <c r="T345" i="12" s="1"/>
  <c r="U345" i="12" s="1"/>
  <c r="L949" i="12"/>
  <c r="S949" i="12"/>
  <c r="T949" i="12" s="1"/>
  <c r="U949" i="12" s="1"/>
  <c r="AE637" i="12"/>
  <c r="L499" i="12"/>
  <c r="S499" i="12"/>
  <c r="T499" i="12" s="1"/>
  <c r="U499" i="12" s="1"/>
  <c r="L361" i="12"/>
  <c r="AE361" i="12" s="1"/>
  <c r="S361" i="12"/>
  <c r="T361" i="12" s="1"/>
  <c r="U361" i="12" s="1"/>
  <c r="L321" i="12"/>
  <c r="S321" i="12"/>
  <c r="T321" i="12" s="1"/>
  <c r="U321" i="12" s="1"/>
  <c r="L284" i="12"/>
  <c r="S284" i="12"/>
  <c r="T284" i="12" s="1"/>
  <c r="U284" i="12" s="1"/>
  <c r="L56" i="12"/>
  <c r="S56" i="12"/>
  <c r="T56" i="12" s="1"/>
  <c r="U56" i="12" s="1"/>
  <c r="L462" i="12"/>
  <c r="AE462" i="12" s="1"/>
  <c r="S462" i="12"/>
  <c r="T462" i="12" s="1"/>
  <c r="U462" i="12" s="1"/>
  <c r="L632" i="12"/>
  <c r="S632" i="12"/>
  <c r="T632" i="12" s="1"/>
  <c r="U632" i="12" s="1"/>
  <c r="L923" i="12"/>
  <c r="S923" i="12"/>
  <c r="T923" i="12" s="1"/>
  <c r="U923" i="12" s="1"/>
  <c r="L825" i="12"/>
  <c r="S825" i="12"/>
  <c r="T825" i="12" s="1"/>
  <c r="U825" i="12" s="1"/>
  <c r="AE412" i="12"/>
  <c r="L258" i="12"/>
  <c r="AE258" i="12" s="1"/>
  <c r="S258" i="12"/>
  <c r="T258" i="12" s="1"/>
  <c r="U258" i="12" s="1"/>
  <c r="L266" i="12"/>
  <c r="S266" i="12"/>
  <c r="T266" i="12" s="1"/>
  <c r="U266" i="12" s="1"/>
  <c r="S173" i="12"/>
  <c r="T173" i="12" s="1"/>
  <c r="U173" i="12" s="1"/>
  <c r="L173" i="12"/>
  <c r="AE173" i="12" s="1"/>
  <c r="L95" i="12"/>
  <c r="S95" i="12"/>
  <c r="T95" i="12" s="1"/>
  <c r="U95" i="12" s="1"/>
  <c r="L103" i="12"/>
  <c r="S103" i="12"/>
  <c r="T103" i="12" s="1"/>
  <c r="U103" i="12" s="1"/>
  <c r="L253" i="12"/>
  <c r="S253" i="12"/>
  <c r="T253" i="12" s="1"/>
  <c r="U253" i="12" s="1"/>
  <c r="S880" i="12"/>
  <c r="T880" i="12" s="1"/>
  <c r="U880" i="12" s="1"/>
  <c r="L880" i="12"/>
  <c r="L868" i="12"/>
  <c r="S868" i="12"/>
  <c r="T868" i="12" s="1"/>
  <c r="U868" i="12" s="1"/>
  <c r="L582" i="12"/>
  <c r="S582" i="12"/>
  <c r="T582" i="12" s="1"/>
  <c r="U582" i="12" s="1"/>
  <c r="AE149" i="12"/>
  <c r="AE98" i="12"/>
  <c r="L477" i="12"/>
  <c r="AE477" i="12" s="1"/>
  <c r="S477" i="12"/>
  <c r="T477" i="12" s="1"/>
  <c r="U477" i="12" s="1"/>
  <c r="L485" i="12"/>
  <c r="S485" i="12"/>
  <c r="T485" i="12" s="1"/>
  <c r="U485" i="12" s="1"/>
  <c r="AE934" i="12"/>
  <c r="S674" i="12"/>
  <c r="T674" i="12" s="1"/>
  <c r="U674" i="12" s="1"/>
  <c r="L674" i="12"/>
  <c r="L873" i="12"/>
  <c r="AE873" i="12" s="1"/>
  <c r="S873" i="12"/>
  <c r="T873" i="12" s="1"/>
  <c r="U873" i="12" s="1"/>
  <c r="L684" i="12"/>
  <c r="S684" i="12"/>
  <c r="T684" i="12" s="1"/>
  <c r="U684" i="12" s="1"/>
  <c r="AE826" i="12"/>
  <c r="L484" i="12"/>
  <c r="AE484" i="12" s="1"/>
  <c r="S484" i="12"/>
  <c r="T484" i="12" s="1"/>
  <c r="U484" i="12" s="1"/>
  <c r="S578" i="12"/>
  <c r="T578" i="12" s="1"/>
  <c r="U578" i="12" s="1"/>
  <c r="L578" i="12"/>
  <c r="L414" i="12"/>
  <c r="AE414" i="12" s="1"/>
  <c r="S414" i="12"/>
  <c r="T414" i="12" s="1"/>
  <c r="U414" i="12" s="1"/>
  <c r="S695" i="12"/>
  <c r="T695" i="12" s="1"/>
  <c r="U695" i="12" s="1"/>
  <c r="L695" i="12"/>
  <c r="L964" i="12"/>
  <c r="S964" i="12"/>
  <c r="T964" i="12" s="1"/>
  <c r="U964" i="12" s="1"/>
  <c r="L386" i="12"/>
  <c r="AE386" i="12" s="1"/>
  <c r="S386" i="12"/>
  <c r="T386" i="12" s="1"/>
  <c r="U386" i="12" s="1"/>
  <c r="S383" i="12"/>
  <c r="T383" i="12" s="1"/>
  <c r="U383" i="12" s="1"/>
  <c r="L383" i="12"/>
  <c r="S447" i="12"/>
  <c r="T447" i="12" s="1"/>
  <c r="U447" i="12" s="1"/>
  <c r="L447" i="12"/>
  <c r="AE447" i="12" s="1"/>
  <c r="L467" i="12"/>
  <c r="S467" i="12"/>
  <c r="T467" i="12" s="1"/>
  <c r="U467" i="12" s="1"/>
  <c r="L601" i="12"/>
  <c r="AE601" i="12" s="1"/>
  <c r="S601" i="12"/>
  <c r="T601" i="12" s="1"/>
  <c r="U601" i="12" s="1"/>
  <c r="AE613" i="12"/>
  <c r="AE754" i="12"/>
  <c r="L927" i="12"/>
  <c r="S927" i="12"/>
  <c r="T927" i="12" s="1"/>
  <c r="U927" i="12" s="1"/>
  <c r="AE748" i="12"/>
  <c r="L259" i="12"/>
  <c r="AE259" i="12" s="1"/>
  <c r="S259" i="12"/>
  <c r="T259" i="12" s="1"/>
  <c r="U259" i="12" s="1"/>
  <c r="L478" i="12"/>
  <c r="AE478" i="12" s="1"/>
  <c r="S478" i="12"/>
  <c r="T478" i="12" s="1"/>
  <c r="U478" i="12" s="1"/>
  <c r="L546" i="12"/>
  <c r="AE546" i="12" s="1"/>
  <c r="S546" i="12"/>
  <c r="T546" i="12" s="1"/>
  <c r="U546" i="12" s="1"/>
  <c r="L691" i="12"/>
  <c r="S691" i="12"/>
  <c r="T691" i="12" s="1"/>
  <c r="U691" i="12" s="1"/>
  <c r="S734" i="12"/>
  <c r="T734" i="12" s="1"/>
  <c r="U734" i="12" s="1"/>
  <c r="L734" i="12"/>
  <c r="AE734" i="12" s="1"/>
  <c r="S598" i="12"/>
  <c r="T598" i="12" s="1"/>
  <c r="U598" i="12" s="1"/>
  <c r="L598" i="12"/>
  <c r="L796" i="12"/>
  <c r="S796" i="12"/>
  <c r="T796" i="12" s="1"/>
  <c r="U796" i="12" s="1"/>
  <c r="AE619" i="12"/>
  <c r="L693" i="12"/>
  <c r="S693" i="12"/>
  <c r="T693" i="12" s="1"/>
  <c r="U693" i="12" s="1"/>
  <c r="AE995" i="12"/>
  <c r="S304" i="12"/>
  <c r="T304" i="12" s="1"/>
  <c r="U304" i="12" s="1"/>
  <c r="L304" i="12"/>
  <c r="S165" i="12"/>
  <c r="T165" i="12" s="1"/>
  <c r="U165" i="12" s="1"/>
  <c r="L165" i="12"/>
  <c r="AE370" i="12"/>
  <c r="L486" i="12"/>
  <c r="AE486" i="12" s="1"/>
  <c r="S486" i="12"/>
  <c r="T486" i="12" s="1"/>
  <c r="U486" i="12" s="1"/>
  <c r="L726" i="12"/>
  <c r="AE726" i="12" s="1"/>
  <c r="S726" i="12"/>
  <c r="T726" i="12" s="1"/>
  <c r="U726" i="12" s="1"/>
  <c r="S753" i="12"/>
  <c r="T753" i="12" s="1"/>
  <c r="U753" i="12" s="1"/>
  <c r="L753" i="12"/>
  <c r="L147" i="12"/>
  <c r="AE147" i="12" s="1"/>
  <c r="S147" i="12"/>
  <c r="T147" i="12" s="1"/>
  <c r="U147" i="12" s="1"/>
  <c r="S44" i="12"/>
  <c r="T44" i="12" s="1"/>
  <c r="U44" i="12" s="1"/>
  <c r="L44" i="12"/>
  <c r="AE44" i="12" s="1"/>
  <c r="AE423" i="12"/>
  <c r="L689" i="12"/>
  <c r="AE689" i="12" s="1"/>
  <c r="S689" i="12"/>
  <c r="T689" i="12" s="1"/>
  <c r="U689" i="12" s="1"/>
  <c r="AE176" i="12"/>
  <c r="L203" i="12"/>
  <c r="S203" i="12"/>
  <c r="T203" i="12" s="1"/>
  <c r="U203" i="12" s="1"/>
  <c r="L106" i="12"/>
  <c r="S106" i="12"/>
  <c r="T106" i="12" s="1"/>
  <c r="U106" i="12" s="1"/>
  <c r="L69" i="12"/>
  <c r="S69" i="12"/>
  <c r="T69" i="12" s="1"/>
  <c r="U69" i="12" s="1"/>
  <c r="L90" i="12"/>
  <c r="S90" i="12"/>
  <c r="T90" i="12" s="1"/>
  <c r="U90" i="12" s="1"/>
  <c r="L324" i="12"/>
  <c r="S324" i="12"/>
  <c r="T324" i="12" s="1"/>
  <c r="U324" i="12" s="1"/>
  <c r="S515" i="12"/>
  <c r="T515" i="12" s="1"/>
  <c r="U515" i="12" s="1"/>
  <c r="L515" i="12"/>
  <c r="L538" i="12"/>
  <c r="S538" i="12"/>
  <c r="T538" i="12" s="1"/>
  <c r="U538" i="12" s="1"/>
  <c r="L751" i="12"/>
  <c r="S751" i="12"/>
  <c r="T751" i="12" s="1"/>
  <c r="U751" i="12" s="1"/>
  <c r="L561" i="12"/>
  <c r="S561" i="12"/>
  <c r="T561" i="12" s="1"/>
  <c r="U561" i="12" s="1"/>
  <c r="AE417" i="12"/>
  <c r="L301" i="12"/>
  <c r="AE301" i="12" s="1"/>
  <c r="S301" i="12"/>
  <c r="T301" i="12" s="1"/>
  <c r="U301" i="12" s="1"/>
  <c r="L408" i="12"/>
  <c r="AE408" i="12" s="1"/>
  <c r="S408" i="12"/>
  <c r="T408" i="12" s="1"/>
  <c r="U408" i="12" s="1"/>
  <c r="L688" i="12"/>
  <c r="S688" i="12"/>
  <c r="T688" i="12" s="1"/>
  <c r="U688" i="12" s="1"/>
  <c r="S875" i="12"/>
  <c r="T875" i="12" s="1"/>
  <c r="U875" i="12" s="1"/>
  <c r="L875" i="12"/>
  <c r="S932" i="12"/>
  <c r="T932" i="12" s="1"/>
  <c r="U932" i="12" s="1"/>
  <c r="L932" i="12"/>
  <c r="AE932" i="12" s="1"/>
  <c r="L202" i="12"/>
  <c r="S202" i="12"/>
  <c r="T202" i="12" s="1"/>
  <c r="U202" i="12" s="1"/>
  <c r="S212" i="12"/>
  <c r="T212" i="12" s="1"/>
  <c r="U212" i="12" s="1"/>
  <c r="L212" i="12"/>
  <c r="AE212" i="12" s="1"/>
  <c r="L981" i="12"/>
  <c r="AE981" i="12" s="1"/>
  <c r="S981" i="12"/>
  <c r="T981" i="12" s="1"/>
  <c r="U981" i="12" s="1"/>
  <c r="L505" i="12"/>
  <c r="AE505" i="12" s="1"/>
  <c r="S505" i="12"/>
  <c r="T505" i="12" s="1"/>
  <c r="U505" i="12" s="1"/>
  <c r="L709" i="12"/>
  <c r="S709" i="12"/>
  <c r="T709" i="12" s="1"/>
  <c r="U709" i="12" s="1"/>
  <c r="AE444" i="12"/>
  <c r="L110" i="12"/>
  <c r="S110" i="12"/>
  <c r="T110" i="12" s="1"/>
  <c r="U110" i="12" s="1"/>
  <c r="AE35" i="12"/>
  <c r="AE394" i="12"/>
  <c r="L529" i="12"/>
  <c r="S529" i="12"/>
  <c r="T529" i="12" s="1"/>
  <c r="U529" i="12" s="1"/>
  <c r="L912" i="12"/>
  <c r="AE912" i="12" s="1"/>
  <c r="S912" i="12"/>
  <c r="T912" i="12" s="1"/>
  <c r="U912" i="12" s="1"/>
  <c r="L490" i="12"/>
  <c r="AE490" i="12" s="1"/>
  <c r="S490" i="12"/>
  <c r="T490" i="12" s="1"/>
  <c r="U490" i="12" s="1"/>
  <c r="L45" i="1"/>
  <c r="K45" i="1" s="1"/>
  <c r="L40" i="1"/>
  <c r="K40" i="1" s="1"/>
  <c r="L53" i="1"/>
  <c r="K53" i="1" s="1"/>
  <c r="L29" i="1"/>
  <c r="K29" i="1" s="1"/>
  <c r="L322" i="12"/>
  <c r="S322" i="12"/>
  <c r="T322" i="12" s="1"/>
  <c r="U322" i="12" s="1"/>
  <c r="L743" i="12"/>
  <c r="AE743" i="12" s="1"/>
  <c r="S743" i="12"/>
  <c r="T743" i="12" s="1"/>
  <c r="U743" i="12" s="1"/>
  <c r="AE448" i="12"/>
  <c r="L107" i="12"/>
  <c r="S107" i="12"/>
  <c r="T107" i="12" s="1"/>
  <c r="U107" i="12" s="1"/>
  <c r="L418" i="12"/>
  <c r="AE418" i="12" s="1"/>
  <c r="S418" i="12"/>
  <c r="T418" i="12" s="1"/>
  <c r="U418" i="12" s="1"/>
  <c r="L473" i="12"/>
  <c r="AE473" i="12" s="1"/>
  <c r="S473" i="12"/>
  <c r="T473" i="12" s="1"/>
  <c r="U473" i="12" s="1"/>
  <c r="S926" i="12"/>
  <c r="T926" i="12" s="1"/>
  <c r="U926" i="12" s="1"/>
  <c r="L926" i="12"/>
  <c r="AE926" i="12" s="1"/>
  <c r="L690" i="12"/>
  <c r="S690" i="12"/>
  <c r="T690" i="12" s="1"/>
  <c r="U690" i="12" s="1"/>
  <c r="AE437" i="12"/>
  <c r="S491" i="12"/>
  <c r="T491" i="12" s="1"/>
  <c r="U491" i="12" s="1"/>
  <c r="L491" i="12"/>
  <c r="AE491" i="12" s="1"/>
  <c r="S869" i="12"/>
  <c r="T869" i="12" s="1"/>
  <c r="U869" i="12" s="1"/>
  <c r="L869" i="12"/>
  <c r="AE188" i="12"/>
  <c r="S122" i="12"/>
  <c r="T122" i="12" s="1"/>
  <c r="U122" i="12" s="1"/>
  <c r="L122" i="12"/>
  <c r="L1000" i="12"/>
  <c r="AE1000" i="12" s="1"/>
  <c r="S1000" i="12"/>
  <c r="T1000" i="12" s="1"/>
  <c r="U1000" i="12" s="1"/>
  <c r="S121" i="12"/>
  <c r="T121" i="12" s="1"/>
  <c r="U121" i="12" s="1"/>
  <c r="L121" i="12"/>
  <c r="AE121" i="12" s="1"/>
  <c r="L190" i="12"/>
  <c r="S190" i="12"/>
  <c r="T190" i="12" s="1"/>
  <c r="U190" i="12" s="1"/>
  <c r="L169" i="12"/>
  <c r="AE169" i="12" s="1"/>
  <c r="S169" i="12"/>
  <c r="T169" i="12" s="1"/>
  <c r="U169" i="12" s="1"/>
  <c r="S256" i="12"/>
  <c r="T256" i="12" s="1"/>
  <c r="U256" i="12" s="1"/>
  <c r="L256" i="12"/>
  <c r="AE256" i="12" s="1"/>
  <c r="AE130" i="12"/>
  <c r="L456" i="12"/>
  <c r="S456" i="12"/>
  <c r="T456" i="12" s="1"/>
  <c r="U456" i="12" s="1"/>
  <c r="L323" i="12"/>
  <c r="AE323" i="12" s="1"/>
  <c r="S323" i="12"/>
  <c r="T323" i="12" s="1"/>
  <c r="U323" i="12" s="1"/>
  <c r="S298" i="12"/>
  <c r="T298" i="12" s="1"/>
  <c r="U298" i="12" s="1"/>
  <c r="L298" i="12"/>
  <c r="AE520" i="12"/>
  <c r="L769" i="12"/>
  <c r="AE769" i="12" s="1"/>
  <c r="S769" i="12"/>
  <c r="T769" i="12" s="1"/>
  <c r="U769" i="12" s="1"/>
  <c r="L706" i="12"/>
  <c r="S706" i="12"/>
  <c r="T706" i="12" s="1"/>
  <c r="U706" i="12" s="1"/>
  <c r="AE908" i="12"/>
  <c r="AE428" i="12"/>
  <c r="AE345" i="12"/>
  <c r="L141" i="12"/>
  <c r="AE141" i="12" s="1"/>
  <c r="S141" i="12"/>
  <c r="T141" i="12" s="1"/>
  <c r="U141" i="12" s="1"/>
  <c r="S68" i="12"/>
  <c r="T68" i="12" s="1"/>
  <c r="U68" i="12" s="1"/>
  <c r="L68" i="12"/>
  <c r="AE68" i="12" s="1"/>
  <c r="AE633" i="12"/>
  <c r="L742" i="12"/>
  <c r="S742" i="12"/>
  <c r="T742" i="12" s="1"/>
  <c r="U742" i="12" s="1"/>
  <c r="AE922" i="12"/>
  <c r="L766" i="12"/>
  <c r="AE766" i="12" s="1"/>
  <c r="S766" i="12"/>
  <c r="T766" i="12" s="1"/>
  <c r="U766" i="12" s="1"/>
  <c r="L867" i="12"/>
  <c r="AE867" i="12" s="1"/>
  <c r="S867" i="12"/>
  <c r="T867" i="12" s="1"/>
  <c r="U867" i="12" s="1"/>
  <c r="AE949" i="12"/>
  <c r="L963" i="12"/>
  <c r="AE963" i="12" s="1"/>
  <c r="S963" i="12"/>
  <c r="T963" i="12" s="1"/>
  <c r="U963" i="12" s="1"/>
  <c r="AE344" i="12"/>
  <c r="L309" i="12"/>
  <c r="S309" i="12"/>
  <c r="T309" i="12" s="1"/>
  <c r="U309" i="12" s="1"/>
  <c r="AE541" i="12"/>
  <c r="AE648" i="12"/>
  <c r="L713" i="12"/>
  <c r="AE713" i="12" s="1"/>
  <c r="S713" i="12"/>
  <c r="T713" i="12" s="1"/>
  <c r="U713" i="12" s="1"/>
  <c r="L756" i="12"/>
  <c r="AE756" i="12" s="1"/>
  <c r="S756" i="12"/>
  <c r="T756" i="12" s="1"/>
  <c r="U756" i="12" s="1"/>
  <c r="L246" i="12"/>
  <c r="AE246" i="12" s="1"/>
  <c r="S246" i="12"/>
  <c r="T246" i="12" s="1"/>
  <c r="U246" i="12" s="1"/>
  <c r="L356" i="12"/>
  <c r="S356" i="12"/>
  <c r="T356" i="12" s="1"/>
  <c r="U356" i="12" s="1"/>
  <c r="L151" i="12"/>
  <c r="AE151" i="12" s="1"/>
  <c r="S151" i="12"/>
  <c r="T151" i="12" s="1"/>
  <c r="U151" i="12" s="1"/>
  <c r="L83" i="12"/>
  <c r="AE83" i="12" s="1"/>
  <c r="S83" i="12"/>
  <c r="T83" i="12" s="1"/>
  <c r="U83" i="12" s="1"/>
  <c r="L23" i="12"/>
  <c r="S23" i="12"/>
  <c r="T23" i="12" s="1"/>
  <c r="U23" i="12" s="1"/>
  <c r="S470" i="12"/>
  <c r="T470" i="12" s="1"/>
  <c r="U470" i="12" s="1"/>
  <c r="L470" i="12"/>
  <c r="AE470" i="12" s="1"/>
  <c r="L595" i="12"/>
  <c r="AE595" i="12" s="1"/>
  <c r="S595" i="12"/>
  <c r="T595" i="12" s="1"/>
  <c r="U595" i="12" s="1"/>
  <c r="AE675" i="12"/>
  <c r="S936" i="12"/>
  <c r="T936" i="12" s="1"/>
  <c r="U936" i="12" s="1"/>
  <c r="L936" i="12"/>
  <c r="S609" i="12"/>
  <c r="T609" i="12" s="1"/>
  <c r="U609" i="12" s="1"/>
  <c r="L609" i="12"/>
  <c r="AE368" i="12"/>
  <c r="AE137" i="12"/>
  <c r="L494" i="12"/>
  <c r="S494" i="12"/>
  <c r="T494" i="12" s="1"/>
  <c r="U494" i="12" s="1"/>
  <c r="S507" i="12"/>
  <c r="T507" i="12" s="1"/>
  <c r="U507" i="12" s="1"/>
  <c r="L507" i="12"/>
  <c r="AE507" i="12" s="1"/>
  <c r="S614" i="12"/>
  <c r="T614" i="12" s="1"/>
  <c r="U614" i="12" s="1"/>
  <c r="L614" i="12"/>
  <c r="AE614" i="12" s="1"/>
  <c r="AE674" i="12"/>
  <c r="S930" i="12"/>
  <c r="T930" i="12" s="1"/>
  <c r="U930" i="12" s="1"/>
  <c r="L930" i="12"/>
  <c r="L610" i="12"/>
  <c r="S610" i="12"/>
  <c r="T610" i="12" s="1"/>
  <c r="U610" i="12" s="1"/>
  <c r="L978" i="12"/>
  <c r="AE978" i="12" s="1"/>
  <c r="S978" i="12"/>
  <c r="T978" i="12" s="1"/>
  <c r="U978" i="12" s="1"/>
  <c r="L786" i="12"/>
  <c r="S786" i="12"/>
  <c r="T786" i="12" s="1"/>
  <c r="U786" i="12" s="1"/>
  <c r="S793" i="12"/>
  <c r="T793" i="12" s="1"/>
  <c r="U793" i="12" s="1"/>
  <c r="L793" i="12"/>
  <c r="L909" i="12"/>
  <c r="S909" i="12"/>
  <c r="T909" i="12" s="1"/>
  <c r="U909" i="12" s="1"/>
  <c r="L953" i="12"/>
  <c r="S953" i="12"/>
  <c r="T953" i="12" s="1"/>
  <c r="U953" i="12" s="1"/>
  <c r="AE267" i="12"/>
  <c r="AE383" i="12"/>
  <c r="AE497" i="12"/>
  <c r="S542" i="12"/>
  <c r="T542" i="12" s="1"/>
  <c r="U542" i="12" s="1"/>
  <c r="L542" i="12"/>
  <c r="L957" i="12"/>
  <c r="AE957" i="12" s="1"/>
  <c r="S957" i="12"/>
  <c r="T957" i="12" s="1"/>
  <c r="U957" i="12" s="1"/>
  <c r="AE335" i="12"/>
  <c r="L471" i="12"/>
  <c r="AE471" i="12" s="1"/>
  <c r="S471" i="12"/>
  <c r="T471" i="12" s="1"/>
  <c r="U471" i="12" s="1"/>
  <c r="L479" i="12"/>
  <c r="S479" i="12"/>
  <c r="T479" i="12" s="1"/>
  <c r="U479" i="12" s="1"/>
  <c r="L776" i="12"/>
  <c r="AE776" i="12" s="1"/>
  <c r="S776" i="12"/>
  <c r="T776" i="12" s="1"/>
  <c r="U776" i="12" s="1"/>
  <c r="L818" i="12"/>
  <c r="S818" i="12"/>
  <c r="T818" i="12" s="1"/>
  <c r="U818" i="12" s="1"/>
  <c r="AE535" i="12"/>
  <c r="L939" i="12"/>
  <c r="AE939" i="12" s="1"/>
  <c r="S939" i="12"/>
  <c r="T939" i="12" s="1"/>
  <c r="U939" i="12" s="1"/>
  <c r="L744" i="12"/>
  <c r="S744" i="12"/>
  <c r="T744" i="12" s="1"/>
  <c r="U744" i="12" s="1"/>
  <c r="L917" i="12"/>
  <c r="S917" i="12"/>
  <c r="T917" i="12" s="1"/>
  <c r="U917" i="12" s="1"/>
  <c r="L295" i="12"/>
  <c r="S295" i="12"/>
  <c r="T295" i="12" s="1"/>
  <c r="U295" i="12" s="1"/>
  <c r="S747" i="12"/>
  <c r="T747" i="12" s="1"/>
  <c r="U747" i="12" s="1"/>
  <c r="L747" i="12"/>
  <c r="L835" i="12"/>
  <c r="AE835" i="12" s="1"/>
  <c r="S835" i="12"/>
  <c r="T835" i="12" s="1"/>
  <c r="U835" i="12" s="1"/>
  <c r="L948" i="12"/>
  <c r="AE948" i="12" s="1"/>
  <c r="S948" i="12"/>
  <c r="T948" i="12" s="1"/>
  <c r="U948" i="12" s="1"/>
  <c r="S341" i="12"/>
  <c r="T341" i="12" s="1"/>
  <c r="U341" i="12" s="1"/>
  <c r="L341" i="12"/>
  <c r="L317" i="12"/>
  <c r="AE317" i="12" s="1"/>
  <c r="S317" i="12"/>
  <c r="T317" i="12" s="1"/>
  <c r="U317" i="12" s="1"/>
  <c r="S292" i="12"/>
  <c r="T292" i="12" s="1"/>
  <c r="U292" i="12" s="1"/>
  <c r="L292" i="12"/>
  <c r="AE292" i="12" s="1"/>
  <c r="L260" i="12"/>
  <c r="AE260" i="12" s="1"/>
  <c r="S260" i="12"/>
  <c r="T260" i="12" s="1"/>
  <c r="U260" i="12" s="1"/>
  <c r="AE110" i="12"/>
  <c r="L313" i="12"/>
  <c r="S313" i="12"/>
  <c r="T313" i="12" s="1"/>
  <c r="U313" i="12" s="1"/>
  <c r="S388" i="12"/>
  <c r="T388" i="12" s="1"/>
  <c r="U388" i="12" s="1"/>
  <c r="L388" i="12"/>
  <c r="AE388" i="12" s="1"/>
  <c r="S441" i="12"/>
  <c r="T441" i="12" s="1"/>
  <c r="U441" i="12" s="1"/>
  <c r="L441" i="12"/>
  <c r="AE944" i="12"/>
  <c r="AE825" i="12"/>
  <c r="L492" i="12"/>
  <c r="AE492" i="12" s="1"/>
  <c r="S492" i="12"/>
  <c r="T492" i="12" s="1"/>
  <c r="U492" i="12" s="1"/>
  <c r="L376" i="12"/>
  <c r="AE376" i="12" s="1"/>
  <c r="S376" i="12"/>
  <c r="T376" i="12" s="1"/>
  <c r="U376" i="12" s="1"/>
  <c r="L135" i="12"/>
  <c r="AE135" i="12" s="1"/>
  <c r="S135" i="12"/>
  <c r="T135" i="12" s="1"/>
  <c r="U135" i="12" s="1"/>
  <c r="S134" i="12"/>
  <c r="T134" i="12" s="1"/>
  <c r="U134" i="12" s="1"/>
  <c r="L134" i="12"/>
  <c r="AE60" i="12"/>
  <c r="L132" i="12"/>
  <c r="S132" i="12"/>
  <c r="T132" i="12" s="1"/>
  <c r="U132" i="12" s="1"/>
  <c r="L30" i="12"/>
  <c r="AE30" i="12" s="1"/>
  <c r="S30" i="12"/>
  <c r="T30" i="12" s="1"/>
  <c r="U30" i="12" s="1"/>
  <c r="L656" i="12"/>
  <c r="AE656" i="12" s="1"/>
  <c r="S656" i="12"/>
  <c r="T656" i="12" s="1"/>
  <c r="U656" i="12" s="1"/>
  <c r="L755" i="12"/>
  <c r="S755" i="12"/>
  <c r="T755" i="12" s="1"/>
  <c r="U755" i="12" s="1"/>
  <c r="S966" i="12"/>
  <c r="T966" i="12" s="1"/>
  <c r="U966" i="12" s="1"/>
  <c r="L966" i="12"/>
  <c r="AE966" i="12" s="1"/>
  <c r="AE266" i="12"/>
  <c r="L273" i="12"/>
  <c r="AE273" i="12" s="1"/>
  <c r="S273" i="12"/>
  <c r="T273" i="12" s="1"/>
  <c r="U273" i="12" s="1"/>
  <c r="L29" i="12"/>
  <c r="AE29" i="12" s="1"/>
  <c r="S29" i="12"/>
  <c r="T29" i="12" s="1"/>
  <c r="U29" i="12" s="1"/>
  <c r="AE829" i="12"/>
  <c r="S888" i="12"/>
  <c r="T888" i="12" s="1"/>
  <c r="U888" i="12" s="1"/>
  <c r="L888" i="12"/>
  <c r="L907" i="12"/>
  <c r="S907" i="12"/>
  <c r="T907" i="12" s="1"/>
  <c r="U907" i="12" s="1"/>
  <c r="AE422" i="12"/>
  <c r="L339" i="12"/>
  <c r="AE339" i="12" s="1"/>
  <c r="S339" i="12"/>
  <c r="T339" i="12" s="1"/>
  <c r="U339" i="12" s="1"/>
  <c r="AE164" i="12"/>
  <c r="L94" i="12"/>
  <c r="AE94" i="12" s="1"/>
  <c r="S94" i="12"/>
  <c r="T94" i="12" s="1"/>
  <c r="U94" i="12" s="1"/>
  <c r="S57" i="12"/>
  <c r="T57" i="12" s="1"/>
  <c r="U57" i="12" s="1"/>
  <c r="L57" i="12"/>
  <c r="L508" i="12"/>
  <c r="AE508" i="12" s="1"/>
  <c r="S508" i="12"/>
  <c r="T508" i="12" s="1"/>
  <c r="U508" i="12" s="1"/>
  <c r="L718" i="12"/>
  <c r="AE718" i="12" s="1"/>
  <c r="S718" i="12"/>
  <c r="T718" i="12" s="1"/>
  <c r="U718" i="12" s="1"/>
  <c r="L551" i="12"/>
  <c r="S551" i="12"/>
  <c r="T551" i="12" s="1"/>
  <c r="U551" i="12" s="1"/>
  <c r="L468" i="12"/>
  <c r="AE468" i="12" s="1"/>
  <c r="S468" i="12"/>
  <c r="T468" i="12" s="1"/>
  <c r="U468" i="12" s="1"/>
  <c r="AE289" i="12"/>
  <c r="L115" i="12"/>
  <c r="S115" i="12"/>
  <c r="T115" i="12" s="1"/>
  <c r="U115" i="12" s="1"/>
  <c r="AE553" i="12"/>
  <c r="L665" i="12"/>
  <c r="AE665" i="12" s="1"/>
  <c r="S665" i="12"/>
  <c r="T665" i="12" s="1"/>
  <c r="U665" i="12" s="1"/>
  <c r="AE820" i="12"/>
  <c r="L992" i="12"/>
  <c r="AE992" i="12" s="1"/>
  <c r="S992" i="12"/>
  <c r="T992" i="12" s="1"/>
  <c r="U992" i="12" s="1"/>
  <c r="AE509" i="12"/>
  <c r="L720" i="12"/>
  <c r="AE720" i="12" s="1"/>
  <c r="S720" i="12"/>
  <c r="T720" i="12" s="1"/>
  <c r="U720" i="12" s="1"/>
  <c r="AE324" i="12"/>
  <c r="L205" i="12"/>
  <c r="AE205" i="12" s="1"/>
  <c r="S205" i="12"/>
  <c r="T205" i="12" s="1"/>
  <c r="U205" i="12" s="1"/>
  <c r="S86" i="12"/>
  <c r="T86" i="12" s="1"/>
  <c r="U86" i="12" s="1"/>
  <c r="L86" i="12"/>
  <c r="AE86" i="12" s="1"/>
  <c r="AE430" i="12"/>
  <c r="S664" i="12"/>
  <c r="T664" i="12" s="1"/>
  <c r="U664" i="12" s="1"/>
  <c r="L664" i="12"/>
  <c r="AE664" i="12" s="1"/>
  <c r="L56" i="1"/>
  <c r="K56" i="1" s="1"/>
  <c r="L36" i="1"/>
  <c r="K36" i="1" s="1"/>
  <c r="AE248" i="12"/>
  <c r="S549" i="12"/>
  <c r="T549" i="12" s="1"/>
  <c r="U549" i="12" s="1"/>
  <c r="L549" i="12"/>
  <c r="AE549" i="12" s="1"/>
  <c r="L832" i="12"/>
  <c r="AE832" i="12" s="1"/>
  <c r="S832" i="12"/>
  <c r="T832" i="12" s="1"/>
  <c r="U832" i="12" s="1"/>
  <c r="L864" i="12"/>
  <c r="S864" i="12"/>
  <c r="T864" i="12" s="1"/>
  <c r="U864" i="12" s="1"/>
  <c r="AE231" i="12"/>
  <c r="L435" i="12"/>
  <c r="AE435" i="12" s="1"/>
  <c r="S435" i="12"/>
  <c r="T435" i="12" s="1"/>
  <c r="U435" i="12" s="1"/>
  <c r="L682" i="12"/>
  <c r="S682" i="12"/>
  <c r="T682" i="12" s="1"/>
  <c r="U682" i="12" s="1"/>
  <c r="S794" i="12"/>
  <c r="T794" i="12" s="1"/>
  <c r="U794" i="12" s="1"/>
  <c r="L794" i="12"/>
  <c r="AE794" i="12" s="1"/>
  <c r="AE684" i="12"/>
  <c r="AE753" i="12"/>
  <c r="AE342" i="12"/>
  <c r="S532" i="12"/>
  <c r="T532" i="12" s="1"/>
  <c r="U532" i="12" s="1"/>
  <c r="L532" i="12"/>
  <c r="AE532" i="12" s="1"/>
  <c r="AE321" i="12"/>
  <c r="L118" i="12"/>
  <c r="AE118" i="12" s="1"/>
  <c r="S118" i="12"/>
  <c r="T118" i="12" s="1"/>
  <c r="U118" i="12" s="1"/>
  <c r="AE875" i="12"/>
  <c r="L942" i="12"/>
  <c r="AE942" i="12" s="1"/>
  <c r="S942" i="12"/>
  <c r="T942" i="12" s="1"/>
  <c r="U942" i="12" s="1"/>
  <c r="AE528" i="12"/>
  <c r="L311" i="12"/>
  <c r="AE311" i="12" s="1"/>
  <c r="S311" i="12"/>
  <c r="T311" i="12" s="1"/>
  <c r="U311" i="12" s="1"/>
  <c r="S286" i="12"/>
  <c r="T286" i="12" s="1"/>
  <c r="U286" i="12" s="1"/>
  <c r="L286" i="12"/>
  <c r="AE286" i="12" s="1"/>
  <c r="AE201" i="12"/>
  <c r="AE144" i="12"/>
  <c r="L481" i="12"/>
  <c r="S481" i="12"/>
  <c r="T481" i="12" s="1"/>
  <c r="U481" i="12" s="1"/>
  <c r="L606" i="12"/>
  <c r="S606" i="12"/>
  <c r="T606" i="12" s="1"/>
  <c r="U606" i="12" s="1"/>
  <c r="AE456" i="12"/>
  <c r="L129" i="12"/>
  <c r="AE129" i="12" s="1"/>
  <c r="S129" i="12"/>
  <c r="T129" i="12" s="1"/>
  <c r="U129" i="12" s="1"/>
  <c r="AE90" i="12"/>
  <c r="L36" i="12"/>
  <c r="AE36" i="12" s="1"/>
  <c r="S36" i="12"/>
  <c r="T36" i="12" s="1"/>
  <c r="U36" i="12" s="1"/>
  <c r="L319" i="12"/>
  <c r="S319" i="12"/>
  <c r="T319" i="12" s="1"/>
  <c r="U319" i="12" s="1"/>
  <c r="S824" i="12"/>
  <c r="T824" i="12" s="1"/>
  <c r="U824" i="12" s="1"/>
  <c r="L824" i="12"/>
  <c r="L855" i="12"/>
  <c r="AE855" i="12" s="1"/>
  <c r="S855" i="12"/>
  <c r="T855" i="12" s="1"/>
  <c r="U855" i="12" s="1"/>
  <c r="L896" i="12"/>
  <c r="S896" i="12"/>
  <c r="T896" i="12" s="1"/>
  <c r="U896" i="12" s="1"/>
  <c r="L882" i="12"/>
  <c r="AE882" i="12" s="1"/>
  <c r="S882" i="12"/>
  <c r="T882" i="12" s="1"/>
  <c r="U882" i="12" s="1"/>
  <c r="AE61" i="12"/>
  <c r="L138" i="12"/>
  <c r="S138" i="12"/>
  <c r="T138" i="12" s="1"/>
  <c r="U138" i="12" s="1"/>
  <c r="L41" i="12"/>
  <c r="S41" i="12"/>
  <c r="T41" i="12" s="1"/>
  <c r="U41" i="12" s="1"/>
  <c r="AE152" i="12"/>
  <c r="S568" i="12"/>
  <c r="T568" i="12" s="1"/>
  <c r="U568" i="12" s="1"/>
  <c r="L568" i="12"/>
  <c r="AE568" i="12" s="1"/>
  <c r="L937" i="12"/>
  <c r="AE937" i="12" s="1"/>
  <c r="S937" i="12"/>
  <c r="T937" i="12" s="1"/>
  <c r="U937" i="12" s="1"/>
  <c r="AE583" i="12"/>
  <c r="AE421" i="12"/>
  <c r="L355" i="12"/>
  <c r="AE355" i="12" s="1"/>
  <c r="S355" i="12"/>
  <c r="T355" i="12" s="1"/>
  <c r="U355" i="12" s="1"/>
  <c r="L297" i="12"/>
  <c r="AE297" i="12" s="1"/>
  <c r="S297" i="12"/>
  <c r="T297" i="12" s="1"/>
  <c r="U297" i="12" s="1"/>
  <c r="L111" i="12"/>
  <c r="AE111" i="12" s="1"/>
  <c r="S111" i="12"/>
  <c r="T111" i="12" s="1"/>
  <c r="U111" i="12" s="1"/>
  <c r="AE23" i="12"/>
  <c r="L8" i="12"/>
  <c r="S8" i="12"/>
  <c r="T8" i="12" s="1"/>
  <c r="U8" i="12" s="1"/>
  <c r="L385" i="12"/>
  <c r="AE385" i="12" s="1"/>
  <c r="S385" i="12"/>
  <c r="T385" i="12" s="1"/>
  <c r="U385" i="12" s="1"/>
  <c r="L540" i="12"/>
  <c r="S540" i="12"/>
  <c r="T540" i="12" s="1"/>
  <c r="U540" i="12" s="1"/>
  <c r="AE371" i="12"/>
  <c r="L234" i="12"/>
  <c r="AE234" i="12" s="1"/>
  <c r="S234" i="12"/>
  <c r="T234" i="12" s="1"/>
  <c r="U234" i="12" s="1"/>
  <c r="L139" i="12"/>
  <c r="S139" i="12"/>
  <c r="T139" i="12" s="1"/>
  <c r="U139" i="12" s="1"/>
  <c r="L71" i="12"/>
  <c r="AE71" i="12" s="1"/>
  <c r="S71" i="12"/>
  <c r="T71" i="12" s="1"/>
  <c r="U71" i="12" s="1"/>
  <c r="AE134" i="12"/>
  <c r="L235" i="12"/>
  <c r="AE235" i="12" s="1"/>
  <c r="S235" i="12"/>
  <c r="T235" i="12" s="1"/>
  <c r="U235" i="12" s="1"/>
  <c r="AE936" i="12"/>
  <c r="L987" i="12"/>
  <c r="AE987" i="12" s="1"/>
  <c r="S987" i="12"/>
  <c r="T987" i="12" s="1"/>
  <c r="U987" i="12" s="1"/>
  <c r="S989" i="12"/>
  <c r="T989" i="12" s="1"/>
  <c r="U989" i="12" s="1"/>
  <c r="L989" i="12"/>
  <c r="L629" i="12"/>
  <c r="AE629" i="12" s="1"/>
  <c r="S629" i="12"/>
  <c r="T629" i="12" s="1"/>
  <c r="U629" i="12" s="1"/>
  <c r="L220" i="12"/>
  <c r="AE220" i="12" s="1"/>
  <c r="S220" i="12"/>
  <c r="T220" i="12" s="1"/>
  <c r="U220" i="12" s="1"/>
  <c r="AE105" i="12"/>
  <c r="L49" i="12"/>
  <c r="S49" i="12"/>
  <c r="T49" i="12" s="1"/>
  <c r="U49" i="12" s="1"/>
  <c r="S519" i="12"/>
  <c r="T519" i="12" s="1"/>
  <c r="U519" i="12" s="1"/>
  <c r="L519" i="12"/>
  <c r="L626" i="12"/>
  <c r="S626" i="12"/>
  <c r="T626" i="12" s="1"/>
  <c r="U626" i="12" s="1"/>
  <c r="L872" i="12"/>
  <c r="S872" i="12"/>
  <c r="T872" i="12" s="1"/>
  <c r="U872" i="12" s="1"/>
  <c r="AE359" i="12"/>
  <c r="AE529" i="12"/>
  <c r="AE668" i="12"/>
  <c r="L837" i="12"/>
  <c r="AE837" i="12" s="1"/>
  <c r="S837" i="12"/>
  <c r="T837" i="12" s="1"/>
  <c r="U837" i="12" s="1"/>
  <c r="AE909" i="12"/>
  <c r="S622" i="12"/>
  <c r="T622" i="12" s="1"/>
  <c r="U622" i="12" s="1"/>
  <c r="L622" i="12"/>
  <c r="AE628" i="12"/>
  <c r="L663" i="12"/>
  <c r="AE663" i="12" s="1"/>
  <c r="S663" i="12"/>
  <c r="T663" i="12" s="1"/>
  <c r="U663" i="12" s="1"/>
  <c r="S817" i="12"/>
  <c r="T817" i="12" s="1"/>
  <c r="U817" i="12" s="1"/>
  <c r="L817" i="12"/>
  <c r="AE512" i="12"/>
  <c r="L659" i="12"/>
  <c r="AE659" i="12" s="1"/>
  <c r="S659" i="12"/>
  <c r="T659" i="12" s="1"/>
  <c r="U659" i="12" s="1"/>
  <c r="L679" i="12"/>
  <c r="S679" i="12"/>
  <c r="T679" i="12" s="1"/>
  <c r="U679" i="12" s="1"/>
  <c r="S696" i="12"/>
  <c r="T696" i="12" s="1"/>
  <c r="U696" i="12" s="1"/>
  <c r="L696" i="12"/>
  <c r="L380" i="12"/>
  <c r="AE380" i="12" s="1"/>
  <c r="S380" i="12"/>
  <c r="T380" i="12" s="1"/>
  <c r="U380" i="12" s="1"/>
  <c r="L554" i="12"/>
  <c r="AE554" i="12" s="1"/>
  <c r="S554" i="12"/>
  <c r="T554" i="12" s="1"/>
  <c r="U554" i="12" s="1"/>
  <c r="L483" i="12"/>
  <c r="AE483" i="12" s="1"/>
  <c r="S483" i="12"/>
  <c r="T483" i="12" s="1"/>
  <c r="U483" i="12" s="1"/>
  <c r="AE510" i="12"/>
  <c r="AE667" i="12"/>
  <c r="AE696" i="12"/>
  <c r="AE686" i="12"/>
  <c r="L788" i="12"/>
  <c r="S788" i="12"/>
  <c r="T788" i="12" s="1"/>
  <c r="U788" i="12" s="1"/>
  <c r="L830" i="12"/>
  <c r="AE830" i="12" s="1"/>
  <c r="S830" i="12"/>
  <c r="T830" i="12" s="1"/>
  <c r="U830" i="12" s="1"/>
  <c r="AE902" i="12"/>
  <c r="S340" i="12"/>
  <c r="T340" i="12" s="1"/>
  <c r="U340" i="12" s="1"/>
  <c r="L340" i="12"/>
  <c r="AE340" i="12" s="1"/>
  <c r="AE750" i="12"/>
  <c r="AE840" i="12"/>
  <c r="L569" i="12"/>
  <c r="S569" i="12"/>
  <c r="T569" i="12" s="1"/>
  <c r="U569" i="12" s="1"/>
  <c r="L827" i="12"/>
  <c r="S827" i="12"/>
  <c r="T827" i="12" s="1"/>
  <c r="U827" i="12" s="1"/>
  <c r="L865" i="12"/>
  <c r="AE865" i="12" s="1"/>
  <c r="S865" i="12"/>
  <c r="T865" i="12" s="1"/>
  <c r="U865" i="12" s="1"/>
  <c r="AE917" i="12"/>
  <c r="L968" i="12"/>
  <c r="S968" i="12"/>
  <c r="T968" i="12" s="1"/>
  <c r="U968" i="12" s="1"/>
  <c r="S759" i="12"/>
  <c r="T759" i="12" s="1"/>
  <c r="U759" i="12" s="1"/>
  <c r="L759" i="12"/>
  <c r="AE759" i="12" s="1"/>
  <c r="L773" i="12"/>
  <c r="S773" i="12"/>
  <c r="T773" i="12" s="1"/>
  <c r="U773" i="12" s="1"/>
  <c r="L876" i="12"/>
  <c r="S876" i="12"/>
  <c r="T876" i="12" s="1"/>
  <c r="U876" i="12" s="1"/>
  <c r="L305" i="12"/>
  <c r="AE305" i="12" s="1"/>
  <c r="S305" i="12"/>
  <c r="T305" i="12" s="1"/>
  <c r="U305" i="12" s="1"/>
  <c r="S280" i="12"/>
  <c r="T280" i="12" s="1"/>
  <c r="U280" i="12" s="1"/>
  <c r="L280" i="12"/>
  <c r="AE280" i="12" s="1"/>
  <c r="L15" i="12"/>
  <c r="AE15" i="12" s="1"/>
  <c r="S15" i="12"/>
  <c r="T15" i="12" s="1"/>
  <c r="U15" i="12" s="1"/>
  <c r="S366" i="12"/>
  <c r="T366" i="12" s="1"/>
  <c r="U366" i="12" s="1"/>
  <c r="L366" i="12"/>
  <c r="AE366" i="12" s="1"/>
  <c r="L717" i="12"/>
  <c r="S717" i="12"/>
  <c r="T717" i="12" s="1"/>
  <c r="U717" i="12" s="1"/>
  <c r="L123" i="12"/>
  <c r="AE123" i="12" s="1"/>
  <c r="S123" i="12"/>
  <c r="T123" i="12" s="1"/>
  <c r="U123" i="12" s="1"/>
  <c r="L97" i="12"/>
  <c r="AE97" i="12" s="1"/>
  <c r="S97" i="12"/>
  <c r="T97" i="12" s="1"/>
  <c r="U97" i="12" s="1"/>
  <c r="AE539" i="12"/>
  <c r="S579" i="12"/>
  <c r="T579" i="12" s="1"/>
  <c r="U579" i="12" s="1"/>
  <c r="L579" i="12"/>
  <c r="L655" i="12"/>
  <c r="AE655" i="12" s="1"/>
  <c r="S655" i="12"/>
  <c r="T655" i="12" s="1"/>
  <c r="U655" i="12" s="1"/>
  <c r="AE755" i="12"/>
  <c r="AE467" i="12"/>
  <c r="AE254" i="12"/>
  <c r="L91" i="12"/>
  <c r="S91" i="12"/>
  <c r="T91" i="12" s="1"/>
  <c r="U91" i="12" s="1"/>
  <c r="L375" i="12"/>
  <c r="AE375" i="12" s="1"/>
  <c r="S375" i="12"/>
  <c r="T375" i="12" s="1"/>
  <c r="U375" i="12" s="1"/>
  <c r="L501" i="12"/>
  <c r="AE501" i="12" s="1"/>
  <c r="S501" i="12"/>
  <c r="T501" i="12" s="1"/>
  <c r="U501" i="12" s="1"/>
  <c r="L737" i="12"/>
  <c r="AE737" i="12" s="1"/>
  <c r="S737" i="12"/>
  <c r="T737" i="12" s="1"/>
  <c r="U737" i="12" s="1"/>
  <c r="AE888" i="12"/>
  <c r="AE393" i="12"/>
  <c r="AE249" i="12"/>
  <c r="L327" i="12"/>
  <c r="S327" i="12"/>
  <c r="T327" i="12" s="1"/>
  <c r="U327" i="12" s="1"/>
  <c r="AE316" i="12"/>
  <c r="S82" i="12"/>
  <c r="T82" i="12" s="1"/>
  <c r="U82" i="12" s="1"/>
  <c r="L82" i="12"/>
  <c r="AE82" i="12" s="1"/>
  <c r="L45" i="12"/>
  <c r="AE45" i="12" s="1"/>
  <c r="S45" i="12"/>
  <c r="T45" i="12" s="1"/>
  <c r="U45" i="12" s="1"/>
  <c r="L337" i="12"/>
  <c r="AE337" i="12" s="1"/>
  <c r="S337" i="12"/>
  <c r="T337" i="12" s="1"/>
  <c r="U337" i="12" s="1"/>
  <c r="L758" i="12"/>
  <c r="AE758" i="12" s="1"/>
  <c r="S758" i="12"/>
  <c r="T758" i="12" s="1"/>
  <c r="U758" i="12" s="1"/>
  <c r="AE751" i="12"/>
  <c r="S862" i="12"/>
  <c r="T862" i="12" s="1"/>
  <c r="U862" i="12" s="1"/>
  <c r="L862" i="12"/>
  <c r="AE862" i="12" s="1"/>
  <c r="L950" i="12"/>
  <c r="AE950" i="12" s="1"/>
  <c r="S950" i="12"/>
  <c r="T950" i="12" s="1"/>
  <c r="U950" i="12" s="1"/>
  <c r="S300" i="12"/>
  <c r="T300" i="12" s="1"/>
  <c r="U300" i="12" s="1"/>
  <c r="L300" i="12"/>
  <c r="AE300" i="12" s="1"/>
  <c r="L518" i="12"/>
  <c r="S518" i="12"/>
  <c r="T518" i="12" s="1"/>
  <c r="U518" i="12" s="1"/>
  <c r="L222" i="12"/>
  <c r="S222" i="12"/>
  <c r="T222" i="12" s="1"/>
  <c r="U222" i="12" s="1"/>
  <c r="L680" i="12"/>
  <c r="AE680" i="12" s="1"/>
  <c r="S680" i="12"/>
  <c r="T680" i="12" s="1"/>
  <c r="U680" i="12" s="1"/>
  <c r="L854" i="12"/>
  <c r="AE854" i="12" s="1"/>
  <c r="S854" i="12"/>
  <c r="T854" i="12" s="1"/>
  <c r="U854" i="12" s="1"/>
  <c r="AE133" i="12"/>
  <c r="L607" i="12"/>
  <c r="S607" i="12"/>
  <c r="T607" i="12" s="1"/>
  <c r="U607" i="12" s="1"/>
  <c r="S213" i="12"/>
  <c r="T213" i="12" s="1"/>
  <c r="U213" i="12" s="1"/>
  <c r="L213" i="12"/>
  <c r="AE213" i="12" s="1"/>
  <c r="AE352" i="12"/>
  <c r="L62" i="1"/>
  <c r="K62" i="1" s="1"/>
  <c r="L39" i="1"/>
  <c r="K39" i="1" s="1"/>
  <c r="S88" i="12"/>
  <c r="T88" i="12" s="1"/>
  <c r="U88" i="12" s="1"/>
  <c r="L88" i="12"/>
  <c r="AE88" i="12" s="1"/>
  <c r="S641" i="12"/>
  <c r="T641" i="12" s="1"/>
  <c r="U641" i="12" s="1"/>
  <c r="L641" i="12"/>
  <c r="AE641" i="12" s="1"/>
  <c r="AE139" i="12"/>
  <c r="S521" i="12"/>
  <c r="T521" i="12" s="1"/>
  <c r="U521" i="12" s="1"/>
  <c r="L521" i="12"/>
  <c r="AE521" i="12" s="1"/>
  <c r="L5" i="12"/>
  <c r="AE5" i="12" s="1"/>
  <c r="S5" i="12"/>
  <c r="T5" i="12" s="1"/>
  <c r="U5" i="12" s="1"/>
  <c r="L469" i="12"/>
  <c r="AE469" i="12" s="1"/>
  <c r="S469" i="12"/>
  <c r="T469" i="12" s="1"/>
  <c r="U469" i="12" s="1"/>
  <c r="L413" i="12"/>
  <c r="S413" i="12"/>
  <c r="T413" i="12" s="1"/>
  <c r="U413" i="12" s="1"/>
  <c r="L638" i="12"/>
  <c r="AE638" i="12" s="1"/>
  <c r="S638" i="12"/>
  <c r="T638" i="12" s="1"/>
  <c r="U638" i="12" s="1"/>
  <c r="L947" i="12"/>
  <c r="AE947" i="12" s="1"/>
  <c r="S947" i="12"/>
  <c r="T947" i="12" s="1"/>
  <c r="U947" i="12" s="1"/>
  <c r="L670" i="12"/>
  <c r="S670" i="12"/>
  <c r="T670" i="12" s="1"/>
  <c r="U670" i="12" s="1"/>
  <c r="L198" i="12"/>
  <c r="S198" i="12"/>
  <c r="T198" i="12" s="1"/>
  <c r="U198" i="12" s="1"/>
  <c r="L736" i="12"/>
  <c r="AE736" i="12" s="1"/>
  <c r="S736" i="12"/>
  <c r="T736" i="12" s="1"/>
  <c r="U736" i="12" s="1"/>
  <c r="AE424" i="12"/>
  <c r="S299" i="12"/>
  <c r="T299" i="12" s="1"/>
  <c r="U299" i="12" s="1"/>
  <c r="L299" i="12"/>
  <c r="AE299" i="12" s="1"/>
  <c r="S274" i="12"/>
  <c r="T274" i="12" s="1"/>
  <c r="U274" i="12" s="1"/>
  <c r="L274" i="12"/>
  <c r="S603" i="12"/>
  <c r="T603" i="12" s="1"/>
  <c r="U603" i="12" s="1"/>
  <c r="L603" i="12"/>
  <c r="AE603" i="12" s="1"/>
  <c r="AE706" i="12"/>
  <c r="L890" i="12"/>
  <c r="S890" i="12"/>
  <c r="T890" i="12" s="1"/>
  <c r="U890" i="12" s="1"/>
  <c r="AE572" i="12"/>
  <c r="L353" i="12"/>
  <c r="AE353" i="12" s="1"/>
  <c r="S353" i="12"/>
  <c r="T353" i="12" s="1"/>
  <c r="U353" i="12" s="1"/>
  <c r="AE211" i="12"/>
  <c r="AE122" i="12"/>
  <c r="AE78" i="12"/>
  <c r="L142" i="12"/>
  <c r="AE142" i="12" s="1"/>
  <c r="S142" i="12"/>
  <c r="T142" i="12" s="1"/>
  <c r="U142" i="12" s="1"/>
  <c r="S140" i="12"/>
  <c r="T140" i="12" s="1"/>
  <c r="U140" i="12" s="1"/>
  <c r="L140" i="12"/>
  <c r="AE362" i="12"/>
  <c r="L449" i="12"/>
  <c r="S449" i="12"/>
  <c r="T449" i="12" s="1"/>
  <c r="U449" i="12" s="1"/>
  <c r="L524" i="12"/>
  <c r="AE524" i="12" s="1"/>
  <c r="S524" i="12"/>
  <c r="T524" i="12" s="1"/>
  <c r="U524" i="12" s="1"/>
  <c r="L530" i="12"/>
  <c r="S530" i="12"/>
  <c r="T530" i="12" s="1"/>
  <c r="U530" i="12" s="1"/>
  <c r="AE824" i="12"/>
  <c r="S156" i="12"/>
  <c r="T156" i="12" s="1"/>
  <c r="U156" i="12" s="1"/>
  <c r="L156" i="12"/>
  <c r="AE49" i="12"/>
  <c r="L12" i="12"/>
  <c r="S12" i="12"/>
  <c r="T12" i="12" s="1"/>
  <c r="U12" i="12" s="1"/>
  <c r="L307" i="12"/>
  <c r="S307" i="12"/>
  <c r="T307" i="12" s="1"/>
  <c r="U307" i="12" s="1"/>
  <c r="AE733" i="12"/>
  <c r="L712" i="12"/>
  <c r="AE712" i="12" s="1"/>
  <c r="S712" i="12"/>
  <c r="T712" i="12" s="1"/>
  <c r="U712" i="12" s="1"/>
  <c r="L848" i="12"/>
  <c r="AE848" i="12" s="1"/>
  <c r="S848" i="12"/>
  <c r="T848" i="12" s="1"/>
  <c r="U848" i="12" s="1"/>
  <c r="L672" i="12"/>
  <c r="S672" i="12"/>
  <c r="T672" i="12" s="1"/>
  <c r="U672" i="12" s="1"/>
  <c r="S377" i="12"/>
  <c r="T377" i="12" s="1"/>
  <c r="U377" i="12" s="1"/>
  <c r="L377" i="12"/>
  <c r="L285" i="12"/>
  <c r="S285" i="12"/>
  <c r="T285" i="12" s="1"/>
  <c r="U285" i="12" s="1"/>
  <c r="AE198" i="12"/>
  <c r="S99" i="12"/>
  <c r="T99" i="12" s="1"/>
  <c r="U99" i="12" s="1"/>
  <c r="L99" i="12"/>
  <c r="AE99" i="12" s="1"/>
  <c r="L436" i="12"/>
  <c r="S436" i="12"/>
  <c r="T436" i="12" s="1"/>
  <c r="U436" i="12" s="1"/>
  <c r="L836" i="12"/>
  <c r="S836" i="12"/>
  <c r="T836" i="12" s="1"/>
  <c r="U836" i="12" s="1"/>
  <c r="S982" i="12"/>
  <c r="T982" i="12" s="1"/>
  <c r="U982" i="12" s="1"/>
  <c r="L982" i="12"/>
  <c r="AE982" i="12" s="1"/>
  <c r="S369" i="12"/>
  <c r="T369" i="12" s="1"/>
  <c r="U369" i="12" s="1"/>
  <c r="L369" i="12"/>
  <c r="AE369" i="12" s="1"/>
  <c r="S127" i="12"/>
  <c r="T127" i="12" s="1"/>
  <c r="U127" i="12" s="1"/>
  <c r="L127" i="12"/>
  <c r="L59" i="12"/>
  <c r="AE59" i="12" s="1"/>
  <c r="S59" i="12"/>
  <c r="T59" i="12" s="1"/>
  <c r="U59" i="12" s="1"/>
  <c r="L4" i="12"/>
  <c r="AE4" i="12" s="1"/>
  <c r="S4" i="12"/>
  <c r="T4" i="12" s="1"/>
  <c r="U4" i="12" s="1"/>
  <c r="S590" i="12"/>
  <c r="T590" i="12" s="1"/>
  <c r="U590" i="12" s="1"/>
  <c r="L590" i="12"/>
  <c r="AE880" i="12"/>
  <c r="AE868" i="12"/>
  <c r="AE989" i="12"/>
  <c r="L331" i="12"/>
  <c r="AE331" i="12" s="1"/>
  <c r="S331" i="12"/>
  <c r="T331" i="12" s="1"/>
  <c r="U331" i="12" s="1"/>
  <c r="L208" i="12"/>
  <c r="AE208" i="12" s="1"/>
  <c r="S208" i="12"/>
  <c r="T208" i="12" s="1"/>
  <c r="U208" i="12" s="1"/>
  <c r="L224" i="12"/>
  <c r="AE224" i="12" s="1"/>
  <c r="S224" i="12"/>
  <c r="T224" i="12" s="1"/>
  <c r="U224" i="12" s="1"/>
  <c r="L678" i="12"/>
  <c r="AE678" i="12" s="1"/>
  <c r="S678" i="12"/>
  <c r="T678" i="12" s="1"/>
  <c r="U678" i="12" s="1"/>
  <c r="S676" i="12"/>
  <c r="T676" i="12" s="1"/>
  <c r="U676" i="12" s="1"/>
  <c r="L676" i="12"/>
  <c r="AE676" i="12" s="1"/>
  <c r="L797" i="12"/>
  <c r="S797" i="12"/>
  <c r="T797" i="12" s="1"/>
  <c r="U797" i="12" s="1"/>
  <c r="AE827" i="12"/>
  <c r="L903" i="12"/>
  <c r="AE903" i="12" s="1"/>
  <c r="S903" i="12"/>
  <c r="T903" i="12" s="1"/>
  <c r="U903" i="12" s="1"/>
  <c r="L967" i="12"/>
  <c r="AE967" i="12" s="1"/>
  <c r="S967" i="12"/>
  <c r="T967" i="12" s="1"/>
  <c r="U967" i="12" s="1"/>
  <c r="AE872" i="12"/>
  <c r="L976" i="12"/>
  <c r="AE976" i="12" s="1"/>
  <c r="S976" i="12"/>
  <c r="T976" i="12" s="1"/>
  <c r="U976" i="12" s="1"/>
  <c r="L336" i="12"/>
  <c r="S336" i="12"/>
  <c r="T336" i="12" s="1"/>
  <c r="U336" i="12" s="1"/>
  <c r="L745" i="12"/>
  <c r="AE745" i="12" s="1"/>
  <c r="S745" i="12"/>
  <c r="T745" i="12" s="1"/>
  <c r="U745" i="12" s="1"/>
  <c r="AE341" i="12"/>
  <c r="AE399" i="12"/>
  <c r="AE682" i="12"/>
  <c r="AE892" i="12"/>
  <c r="L954" i="12"/>
  <c r="S954" i="12"/>
  <c r="T954" i="12" s="1"/>
  <c r="U954" i="12" s="1"/>
  <c r="AE652" i="12"/>
  <c r="AE907" i="12"/>
  <c r="L699" i="12"/>
  <c r="AE699" i="12" s="1"/>
  <c r="S699" i="12"/>
  <c r="T699" i="12" s="1"/>
  <c r="U699" i="12" s="1"/>
  <c r="L878" i="12"/>
  <c r="S878" i="12"/>
  <c r="T878" i="12" s="1"/>
  <c r="U878" i="12" s="1"/>
  <c r="L445" i="12"/>
  <c r="S445" i="12"/>
  <c r="T445" i="12" s="1"/>
  <c r="U445" i="12" s="1"/>
  <c r="L588" i="12"/>
  <c r="AE588" i="12" s="1"/>
  <c r="S588" i="12"/>
  <c r="T588" i="12" s="1"/>
  <c r="U588" i="12" s="1"/>
  <c r="AE681" i="12"/>
  <c r="S803" i="12"/>
  <c r="T803" i="12" s="1"/>
  <c r="U803" i="12" s="1"/>
  <c r="L803" i="12"/>
  <c r="AE786" i="12"/>
  <c r="AE502" i="12"/>
  <c r="L581" i="12"/>
  <c r="AE581" i="12" s="1"/>
  <c r="S581" i="12"/>
  <c r="T581" i="12" s="1"/>
  <c r="U581" i="12" s="1"/>
  <c r="S562" i="12"/>
  <c r="T562" i="12" s="1"/>
  <c r="U562" i="12" s="1"/>
  <c r="L562" i="12"/>
  <c r="AE562" i="12" s="1"/>
  <c r="S771" i="12"/>
  <c r="T771" i="12" s="1"/>
  <c r="U771" i="12" s="1"/>
  <c r="L771" i="12"/>
  <c r="AE771" i="12" s="1"/>
  <c r="L440" i="12"/>
  <c r="S440" i="12"/>
  <c r="T440" i="12" s="1"/>
  <c r="U440" i="12" s="1"/>
  <c r="AE573" i="12"/>
  <c r="S716" i="12"/>
  <c r="T716" i="12" s="1"/>
  <c r="U716" i="12" s="1"/>
  <c r="L716" i="12"/>
  <c r="AE716" i="12" s="1"/>
  <c r="AE773" i="12"/>
  <c r="S293" i="12"/>
  <c r="T293" i="12" s="1"/>
  <c r="U293" i="12" s="1"/>
  <c r="L293" i="12"/>
  <c r="AE293" i="12" s="1"/>
  <c r="S268" i="12"/>
  <c r="T268" i="12" s="1"/>
  <c r="U268" i="12" s="1"/>
  <c r="L268" i="12"/>
  <c r="AE268" i="12" s="1"/>
  <c r="AE165" i="12"/>
  <c r="AE69" i="12"/>
  <c r="AE441" i="12"/>
  <c r="S584" i="12"/>
  <c r="T584" i="12" s="1"/>
  <c r="U584" i="12" s="1"/>
  <c r="L584" i="12"/>
  <c r="AE584" i="12" s="1"/>
  <c r="AE406" i="12"/>
  <c r="L79" i="12"/>
  <c r="AE79" i="12" s="1"/>
  <c r="S79" i="12"/>
  <c r="T79" i="12" s="1"/>
  <c r="U79" i="12" s="1"/>
  <c r="L522" i="12"/>
  <c r="AE522" i="12" s="1"/>
  <c r="S522" i="12"/>
  <c r="T522" i="12" s="1"/>
  <c r="U522" i="12" s="1"/>
  <c r="AE328" i="12"/>
  <c r="AE115" i="12"/>
  <c r="L559" i="12"/>
  <c r="AE559" i="12" s="1"/>
  <c r="S559" i="12"/>
  <c r="T559" i="12" s="1"/>
  <c r="U559" i="12" s="1"/>
  <c r="L801" i="12"/>
  <c r="AE801" i="12" s="1"/>
  <c r="S801" i="12"/>
  <c r="T801" i="12" s="1"/>
  <c r="U801" i="12" s="1"/>
  <c r="S856" i="12"/>
  <c r="T856" i="12" s="1"/>
  <c r="U856" i="12" s="1"/>
  <c r="L856" i="12"/>
  <c r="L315" i="12"/>
  <c r="S315" i="12"/>
  <c r="T315" i="12" s="1"/>
  <c r="U315" i="12" s="1"/>
  <c r="S70" i="12"/>
  <c r="T70" i="12" s="1"/>
  <c r="U70" i="12" s="1"/>
  <c r="L70" i="12"/>
  <c r="AE70" i="12" s="1"/>
  <c r="L40" i="12"/>
  <c r="AE40" i="12" s="1"/>
  <c r="S40" i="12"/>
  <c r="T40" i="12" s="1"/>
  <c r="U40" i="12" s="1"/>
  <c r="AE518" i="12"/>
  <c r="S288" i="12"/>
  <c r="T288" i="12" s="1"/>
  <c r="U288" i="12" s="1"/>
  <c r="L288" i="12"/>
  <c r="AE288" i="12" s="1"/>
  <c r="AE253" i="12"/>
  <c r="L314" i="12"/>
  <c r="AE314" i="12" s="1"/>
  <c r="S314" i="12"/>
  <c r="T314" i="12" s="1"/>
  <c r="U314" i="12" s="1"/>
  <c r="L185" i="12"/>
  <c r="AE185" i="12" s="1"/>
  <c r="S185" i="12"/>
  <c r="T185" i="12" s="1"/>
  <c r="U185" i="12" s="1"/>
  <c r="L27" i="12"/>
  <c r="AE27" i="12" s="1"/>
  <c r="S27" i="12"/>
  <c r="T27" i="12" s="1"/>
  <c r="U27" i="12" s="1"/>
  <c r="S567" i="12"/>
  <c r="T567" i="12" s="1"/>
  <c r="U567" i="12" s="1"/>
  <c r="L567" i="12"/>
  <c r="AE567" i="12" s="1"/>
  <c r="L731" i="12"/>
  <c r="AE731" i="12" s="1"/>
  <c r="S731" i="12"/>
  <c r="T731" i="12" s="1"/>
  <c r="U731" i="12" s="1"/>
  <c r="AE815" i="12"/>
  <c r="L874" i="12"/>
  <c r="AE874" i="12" s="1"/>
  <c r="S874" i="12"/>
  <c r="T874" i="12" s="1"/>
  <c r="U874" i="12" s="1"/>
  <c r="AE181" i="12"/>
  <c r="AE265" i="12"/>
  <c r="S536" i="12"/>
  <c r="T536" i="12" s="1"/>
  <c r="U536" i="12" s="1"/>
  <c r="L536" i="12"/>
  <c r="AE536" i="12" s="1"/>
  <c r="AE162" i="12"/>
  <c r="L197" i="12"/>
  <c r="AE197" i="12" s="1"/>
  <c r="S197" i="12"/>
  <c r="T197" i="12" s="1"/>
  <c r="U197" i="12" s="1"/>
  <c r="AE709" i="12"/>
  <c r="S983" i="12"/>
  <c r="T983" i="12" s="1"/>
  <c r="U983" i="12" s="1"/>
  <c r="L983" i="12"/>
  <c r="L38" i="12"/>
  <c r="AE38" i="12" s="1"/>
  <c r="S38" i="12"/>
  <c r="T38" i="12" s="1"/>
  <c r="U38" i="12" s="1"/>
  <c r="L348" i="12"/>
  <c r="S348" i="12"/>
  <c r="T348" i="12" s="1"/>
  <c r="U348" i="12" s="1"/>
  <c r="L772" i="12"/>
  <c r="AE772" i="12" s="1"/>
  <c r="S772" i="12"/>
  <c r="T772" i="12" s="1"/>
  <c r="U772" i="12" s="1"/>
  <c r="L26" i="12"/>
  <c r="AE26" i="12" s="1"/>
  <c r="S26" i="12"/>
  <c r="T26" i="12" s="1"/>
  <c r="U26" i="12" s="1"/>
  <c r="AE138" i="12"/>
  <c r="AE607" i="12"/>
  <c r="L186" i="12"/>
  <c r="S186" i="12"/>
  <c r="T186" i="12" s="1"/>
  <c r="U186" i="12" s="1"/>
  <c r="L24" i="12"/>
  <c r="AE24" i="12" s="1"/>
  <c r="S24" i="12"/>
  <c r="T24" i="12" s="1"/>
  <c r="U24" i="12" s="1"/>
  <c r="U27" i="1"/>
  <c r="U28" i="1" s="1"/>
  <c r="U29" i="1" s="1"/>
  <c r="U30" i="1" s="1"/>
  <c r="U31" i="1" s="1"/>
  <c r="U32" i="1" s="1"/>
  <c r="U33" i="1" s="1"/>
  <c r="U34" i="1" s="1"/>
  <c r="U35" i="1" s="1"/>
  <c r="U36" i="1" s="1"/>
  <c r="U37" i="1" s="1"/>
  <c r="U38" i="1" s="1"/>
  <c r="U39" i="1" s="1"/>
  <c r="U40" i="1" s="1"/>
  <c r="U41" i="1" s="1"/>
  <c r="U42" i="1" s="1"/>
  <c r="U43" i="1" s="1"/>
  <c r="U44" i="1" s="1"/>
  <c r="U45" i="1" s="1"/>
  <c r="U46" i="1" s="1"/>
  <c r="U47" i="1" s="1"/>
  <c r="U48" i="1" s="1"/>
  <c r="U49" i="1" s="1"/>
  <c r="U50" i="1" s="1"/>
  <c r="U51" i="1" s="1"/>
  <c r="U52" i="1" s="1"/>
  <c r="U53" i="1" s="1"/>
  <c r="U54" i="1" s="1"/>
  <c r="U55" i="1" s="1"/>
  <c r="U56" i="1" s="1"/>
  <c r="U57" i="1" s="1"/>
  <c r="U58" i="1" s="1"/>
  <c r="U59" i="1" s="1"/>
  <c r="U60" i="1" s="1"/>
  <c r="U61" i="1" s="1"/>
  <c r="U62" i="1" s="1"/>
  <c r="U63" i="1" s="1"/>
  <c r="U64" i="1" s="1"/>
  <c r="L30" i="1"/>
  <c r="K30" i="1" s="1"/>
  <c r="L34" i="1"/>
  <c r="K34" i="1" s="1"/>
  <c r="L42" i="1"/>
  <c r="K42" i="1" s="1"/>
  <c r="S227" i="12"/>
  <c r="T227" i="12" s="1"/>
  <c r="U227" i="12" s="1"/>
  <c r="L227" i="12"/>
  <c r="AE227" i="12" s="1"/>
  <c r="S225" i="12"/>
  <c r="T225" i="12" s="1"/>
  <c r="U225" i="12" s="1"/>
  <c r="L225" i="12"/>
  <c r="AE805" i="12"/>
  <c r="AE106" i="12"/>
  <c r="AE632" i="12"/>
  <c r="AE171" i="12"/>
  <c r="AE609" i="12"/>
  <c r="S879" i="12"/>
  <c r="T879" i="12" s="1"/>
  <c r="U879" i="12" s="1"/>
  <c r="L879" i="12"/>
  <c r="S460" i="12"/>
  <c r="T460" i="12" s="1"/>
  <c r="U460" i="12" s="1"/>
  <c r="L460" i="12"/>
  <c r="AE460" i="12" s="1"/>
  <c r="AE496" i="12"/>
  <c r="AE960" i="12"/>
  <c r="L946" i="12"/>
  <c r="AE946" i="12" s="1"/>
  <c r="S946" i="12"/>
  <c r="T946" i="12" s="1"/>
  <c r="U946" i="12" s="1"/>
  <c r="L159" i="12"/>
  <c r="AE159" i="12" s="1"/>
  <c r="S159" i="12"/>
  <c r="T159" i="12" s="1"/>
  <c r="U159" i="12" s="1"/>
  <c r="L230" i="12"/>
  <c r="AE230" i="12" s="1"/>
  <c r="S230" i="12"/>
  <c r="T230" i="12" s="1"/>
  <c r="U230" i="12" s="1"/>
  <c r="AE313" i="12"/>
  <c r="L41" i="1"/>
  <c r="K41" i="1" s="1"/>
  <c r="L262" i="12"/>
  <c r="S262" i="12"/>
  <c r="T262" i="12" s="1"/>
  <c r="U262" i="12" s="1"/>
  <c r="AE876" i="12"/>
  <c r="L438" i="12"/>
  <c r="S438" i="12"/>
  <c r="T438" i="12" s="1"/>
  <c r="U438" i="12" s="1"/>
  <c r="AE12" i="12"/>
  <c r="L649" i="12"/>
  <c r="AE649" i="12" s="1"/>
  <c r="S649" i="12"/>
  <c r="T649" i="12" s="1"/>
  <c r="U649" i="12" s="1"/>
  <c r="S852" i="12"/>
  <c r="T852" i="12" s="1"/>
  <c r="U852" i="12" s="1"/>
  <c r="L852" i="12"/>
  <c r="AE852" i="12" s="1"/>
  <c r="AE869" i="12"/>
  <c r="AE186" i="12"/>
  <c r="L87" i="12"/>
  <c r="AE87" i="12" s="1"/>
  <c r="S87" i="12"/>
  <c r="T87" i="12" s="1"/>
  <c r="U87" i="12" s="1"/>
  <c r="S150" i="12"/>
  <c r="T150" i="12" s="1"/>
  <c r="U150" i="12" s="1"/>
  <c r="L150" i="12"/>
  <c r="AE150" i="12" s="1"/>
  <c r="L13" i="12"/>
  <c r="AE13" i="12" s="1"/>
  <c r="S13" i="12"/>
  <c r="T13" i="12" s="1"/>
  <c r="U13" i="12" s="1"/>
  <c r="AE540" i="12"/>
  <c r="AE693" i="12"/>
  <c r="L480" i="12"/>
  <c r="AE480" i="12" s="1"/>
  <c r="S480" i="12"/>
  <c r="T480" i="12" s="1"/>
  <c r="U480" i="12" s="1"/>
  <c r="L338" i="12"/>
  <c r="AE338" i="12" s="1"/>
  <c r="S338" i="12"/>
  <c r="T338" i="12" s="1"/>
  <c r="U338" i="12" s="1"/>
  <c r="AE304" i="12"/>
  <c r="L47" i="12"/>
  <c r="AE47" i="12" s="1"/>
  <c r="S47" i="12"/>
  <c r="T47" i="12" s="1"/>
  <c r="U47" i="12" s="1"/>
  <c r="AE41" i="12"/>
  <c r="S392" i="12"/>
  <c r="T392" i="12" s="1"/>
  <c r="U392" i="12" s="1"/>
  <c r="L392" i="12"/>
  <c r="AE392" i="12" s="1"/>
  <c r="L196" i="12"/>
  <c r="AE196" i="12" s="1"/>
  <c r="S196" i="12"/>
  <c r="T196" i="12" s="1"/>
  <c r="U196" i="12" s="1"/>
  <c r="S218" i="12"/>
  <c r="T218" i="12" s="1"/>
  <c r="U218" i="12" s="1"/>
  <c r="L218" i="12"/>
  <c r="L32" i="12"/>
  <c r="AE32" i="12" s="1"/>
  <c r="S32" i="12"/>
  <c r="T32" i="12" s="1"/>
  <c r="U32" i="12" s="1"/>
  <c r="AE504" i="12"/>
  <c r="L938" i="12"/>
  <c r="AE938" i="12" s="1"/>
  <c r="S938" i="12"/>
  <c r="T938" i="12" s="1"/>
  <c r="U938" i="12" s="1"/>
  <c r="L959" i="12"/>
  <c r="AE959" i="12" s="1"/>
  <c r="S959" i="12"/>
  <c r="T959" i="12" s="1"/>
  <c r="U959" i="12" s="1"/>
  <c r="AE817" i="12"/>
  <c r="L360" i="12"/>
  <c r="AE360" i="12" s="1"/>
  <c r="S360" i="12"/>
  <c r="T360" i="12" s="1"/>
  <c r="U360" i="12" s="1"/>
  <c r="L563" i="12"/>
  <c r="AE563" i="12" s="1"/>
  <c r="S563" i="12"/>
  <c r="T563" i="12" s="1"/>
  <c r="U563" i="12" s="1"/>
  <c r="AE453" i="12"/>
  <c r="L592" i="12"/>
  <c r="AE592" i="12" s="1"/>
  <c r="S592" i="12"/>
  <c r="T592" i="12" s="1"/>
  <c r="U592" i="12" s="1"/>
  <c r="L653" i="12"/>
  <c r="AE653" i="12" s="1"/>
  <c r="S653" i="12"/>
  <c r="T653" i="12" s="1"/>
  <c r="U653" i="12" s="1"/>
  <c r="S894" i="12"/>
  <c r="T894" i="12" s="1"/>
  <c r="U894" i="12" s="1"/>
  <c r="L894" i="12"/>
  <c r="AE551" i="12"/>
  <c r="AE582" i="12"/>
  <c r="AE657" i="12"/>
  <c r="L711" i="12"/>
  <c r="AE711" i="12" s="1"/>
  <c r="S711" i="12"/>
  <c r="T711" i="12" s="1"/>
  <c r="U711" i="12" s="1"/>
  <c r="AE615" i="12"/>
  <c r="AE705" i="12"/>
  <c r="L834" i="12"/>
  <c r="AE834" i="12" s="1"/>
  <c r="S834" i="12"/>
  <c r="T834" i="12" s="1"/>
  <c r="U834" i="12" s="1"/>
  <c r="L662" i="12"/>
  <c r="S662" i="12"/>
  <c r="T662" i="12" s="1"/>
  <c r="U662" i="12" s="1"/>
  <c r="L634" i="12"/>
  <c r="AE634" i="12" s="1"/>
  <c r="S634" i="12"/>
  <c r="T634" i="12" s="1"/>
  <c r="U634" i="12" s="1"/>
  <c r="S800" i="12"/>
  <c r="T800" i="12" s="1"/>
  <c r="U800" i="12" s="1"/>
  <c r="L800" i="12"/>
  <c r="AE800" i="12" s="1"/>
  <c r="AE818" i="12"/>
  <c r="AE910" i="12"/>
  <c r="L975" i="12"/>
  <c r="AE975" i="12" s="1"/>
  <c r="S975" i="12"/>
  <c r="T975" i="12" s="1"/>
  <c r="U975" i="12" s="1"/>
  <c r="L593" i="12"/>
  <c r="S593" i="12"/>
  <c r="T593" i="12" s="1"/>
  <c r="U593" i="12" s="1"/>
  <c r="L799" i="12"/>
  <c r="AE799" i="12" s="1"/>
  <c r="S799" i="12"/>
  <c r="T799" i="12" s="1"/>
  <c r="U799" i="12" s="1"/>
  <c r="L586" i="12"/>
  <c r="AE586" i="12" s="1"/>
  <c r="S586" i="12"/>
  <c r="T586" i="12" s="1"/>
  <c r="U586" i="12" s="1"/>
  <c r="AE643" i="12"/>
  <c r="L783" i="12"/>
  <c r="AE783" i="12" s="1"/>
  <c r="S783" i="12"/>
  <c r="T783" i="12" s="1"/>
  <c r="U783" i="12" s="1"/>
  <c r="L860" i="12"/>
  <c r="AE860" i="12" s="1"/>
  <c r="S860" i="12"/>
  <c r="T860" i="12" s="1"/>
  <c r="U860" i="12" s="1"/>
  <c r="S974" i="12"/>
  <c r="T974" i="12" s="1"/>
  <c r="U974" i="12" s="1"/>
  <c r="L974" i="12"/>
  <c r="AE974" i="12" s="1"/>
  <c r="L372" i="12"/>
  <c r="AE372" i="12" s="1"/>
  <c r="S372" i="12"/>
  <c r="T372" i="12" s="1"/>
  <c r="U372" i="12" s="1"/>
  <c r="S472" i="12"/>
  <c r="T472" i="12" s="1"/>
  <c r="U472" i="12" s="1"/>
  <c r="L472" i="12"/>
  <c r="S281" i="12"/>
  <c r="T281" i="12" s="1"/>
  <c r="U281" i="12" s="1"/>
  <c r="L281" i="12"/>
  <c r="AE281" i="12" s="1"/>
  <c r="S232" i="12"/>
  <c r="T232" i="12" s="1"/>
  <c r="U232" i="12" s="1"/>
  <c r="L232" i="12"/>
  <c r="AE232" i="12" s="1"/>
  <c r="L125" i="12"/>
  <c r="AE125" i="12" s="1"/>
  <c r="S125" i="12"/>
  <c r="T125" i="12" s="1"/>
  <c r="U125" i="12" s="1"/>
  <c r="L14" i="12"/>
  <c r="AE14" i="12" s="1"/>
  <c r="S14" i="12"/>
  <c r="T14" i="12" s="1"/>
  <c r="U14" i="12" s="1"/>
  <c r="L654" i="12"/>
  <c r="AE654" i="12" s="1"/>
  <c r="S654" i="12"/>
  <c r="T654" i="12" s="1"/>
  <c r="U654" i="12" s="1"/>
  <c r="AE785" i="12"/>
  <c r="L956" i="12"/>
  <c r="AE956" i="12" s="1"/>
  <c r="S956" i="12"/>
  <c r="T956" i="12" s="1"/>
  <c r="U956" i="12" s="1"/>
  <c r="L66" i="12"/>
  <c r="S66" i="12"/>
  <c r="T66" i="12" s="1"/>
  <c r="U66" i="12" s="1"/>
  <c r="S489" i="12"/>
  <c r="T489" i="12" s="1"/>
  <c r="U489" i="12" s="1"/>
  <c r="L489" i="12"/>
  <c r="AE579" i="12"/>
  <c r="AE560" i="12"/>
  <c r="S415" i="12"/>
  <c r="T415" i="12" s="1"/>
  <c r="U415" i="12" s="1"/>
  <c r="L415" i="12"/>
  <c r="AE415" i="12" s="1"/>
  <c r="AE103" i="12"/>
  <c r="L148" i="12"/>
  <c r="AE148" i="12" s="1"/>
  <c r="S148" i="12"/>
  <c r="T148" i="12" s="1"/>
  <c r="U148" i="12" s="1"/>
  <c r="S50" i="12"/>
  <c r="T50" i="12" s="1"/>
  <c r="U50" i="12" s="1"/>
  <c r="L50" i="12"/>
  <c r="L475" i="12"/>
  <c r="AE475" i="12" s="1"/>
  <c r="S475" i="12"/>
  <c r="T475" i="12" s="1"/>
  <c r="U475" i="12" s="1"/>
  <c r="L685" i="12"/>
  <c r="S685" i="12"/>
  <c r="T685" i="12" s="1"/>
  <c r="U685" i="12" s="1"/>
  <c r="AE499" i="12"/>
  <c r="L373" i="12"/>
  <c r="AE373" i="12" s="1"/>
  <c r="S373" i="12"/>
  <c r="T373" i="12" s="1"/>
  <c r="U373" i="12" s="1"/>
  <c r="L303" i="12"/>
  <c r="AE303" i="12" s="1"/>
  <c r="S303" i="12"/>
  <c r="T303" i="12" s="1"/>
  <c r="U303" i="12" s="1"/>
  <c r="S346" i="12"/>
  <c r="T346" i="12" s="1"/>
  <c r="U346" i="12" s="1"/>
  <c r="L346" i="12"/>
  <c r="L58" i="12"/>
  <c r="AE58" i="12" s="1"/>
  <c r="S58" i="12"/>
  <c r="T58" i="12" s="1"/>
  <c r="U58" i="12" s="1"/>
  <c r="L28" i="12"/>
  <c r="AE28" i="12" s="1"/>
  <c r="S28" i="12"/>
  <c r="T28" i="12" s="1"/>
  <c r="U28" i="12" s="1"/>
  <c r="S552" i="12"/>
  <c r="T552" i="12" s="1"/>
  <c r="U552" i="12" s="1"/>
  <c r="L552" i="12"/>
  <c r="S276" i="12"/>
  <c r="T276" i="12" s="1"/>
  <c r="U276" i="12" s="1"/>
  <c r="L276" i="12"/>
  <c r="AE276" i="12" s="1"/>
  <c r="L290" i="12"/>
  <c r="AE290" i="12" s="1"/>
  <c r="S290" i="12"/>
  <c r="T290" i="12" s="1"/>
  <c r="U290" i="12" s="1"/>
  <c r="L113" i="12"/>
  <c r="AE113" i="12" s="1"/>
  <c r="S113" i="12"/>
  <c r="T113" i="12" s="1"/>
  <c r="U113" i="12" s="1"/>
  <c r="L458" i="12"/>
  <c r="AE458" i="12" s="1"/>
  <c r="S458" i="12"/>
  <c r="T458" i="12" s="1"/>
  <c r="U458" i="12" s="1"/>
  <c r="L349" i="12"/>
  <c r="S349" i="12"/>
  <c r="T349" i="12" s="1"/>
  <c r="U349" i="12" s="1"/>
  <c r="AE688" i="12"/>
  <c r="L703" i="12"/>
  <c r="AE703" i="12" s="1"/>
  <c r="S703" i="12"/>
  <c r="T703" i="12" s="1"/>
  <c r="U703" i="12" s="1"/>
  <c r="L943" i="12"/>
  <c r="S943" i="12"/>
  <c r="T943" i="12" s="1"/>
  <c r="U943" i="12" s="1"/>
  <c r="L514" i="12"/>
  <c r="S514" i="12"/>
  <c r="T514" i="12" s="1"/>
  <c r="U514" i="12" s="1"/>
  <c r="L72" i="12"/>
  <c r="AE72" i="12" s="1"/>
  <c r="S72" i="12"/>
  <c r="T72" i="12" s="1"/>
  <c r="U72" i="12" s="1"/>
  <c r="L2" i="12"/>
  <c r="AE2" i="12" s="1"/>
  <c r="S2" i="12"/>
  <c r="T2" i="12" s="1"/>
  <c r="U2" i="12" s="1"/>
  <c r="S63" i="12"/>
  <c r="T63" i="12" s="1"/>
  <c r="U63" i="12" s="1"/>
  <c r="L63" i="12"/>
  <c r="AE63" i="12" s="1"/>
  <c r="AE983" i="12"/>
  <c r="AE348" i="12"/>
  <c r="L39" i="12"/>
  <c r="S39" i="12"/>
  <c r="T39" i="12" s="1"/>
  <c r="U39" i="12" s="1"/>
  <c r="L308" i="12"/>
  <c r="AE308" i="12" s="1"/>
  <c r="S308" i="12"/>
  <c r="T308" i="12" s="1"/>
  <c r="U308" i="12" s="1"/>
  <c r="AE207" i="12"/>
  <c r="AE425" i="12"/>
  <c r="L516" i="12"/>
  <c r="AE516" i="12" s="1"/>
  <c r="S516" i="12"/>
  <c r="T516" i="12" s="1"/>
  <c r="U516" i="12" s="1"/>
  <c r="L210" i="12"/>
  <c r="AE210" i="12" s="1"/>
  <c r="S210" i="12"/>
  <c r="T210" i="12" s="1"/>
  <c r="U210" i="12" s="1"/>
  <c r="L48" i="1"/>
  <c r="K48" i="1" s="1"/>
  <c r="L47" i="1"/>
  <c r="K47" i="1" s="1"/>
  <c r="L143" i="12"/>
  <c r="AE143" i="12" s="1"/>
  <c r="S143" i="12"/>
  <c r="T143" i="12" s="1"/>
  <c r="U143" i="12" s="1"/>
  <c r="L500" i="12"/>
  <c r="AE500" i="12" s="1"/>
  <c r="S500" i="12"/>
  <c r="T500" i="12" s="1"/>
  <c r="U500" i="12" s="1"/>
  <c r="S722" i="12"/>
  <c r="T722" i="12" s="1"/>
  <c r="U722" i="12" s="1"/>
  <c r="L722" i="12"/>
  <c r="AE774" i="12"/>
  <c r="L43" i="12"/>
  <c r="AE43" i="12" s="1"/>
  <c r="S43" i="12"/>
  <c r="T43" i="12" s="1"/>
  <c r="U43" i="12" s="1"/>
  <c r="L531" i="12"/>
  <c r="AE531" i="12" s="1"/>
  <c r="S531" i="12"/>
  <c r="T531" i="12" s="1"/>
  <c r="U531" i="12" s="1"/>
  <c r="L270" i="12"/>
  <c r="S270" i="12"/>
  <c r="T270" i="12" s="1"/>
  <c r="U270" i="12" s="1"/>
  <c r="L487" i="12"/>
  <c r="AE487" i="12" s="1"/>
  <c r="S487" i="12"/>
  <c r="T487" i="12" s="1"/>
  <c r="U487" i="12" s="1"/>
  <c r="S466" i="12"/>
  <c r="T466" i="12" s="1"/>
  <c r="U466" i="12" s="1"/>
  <c r="L466" i="12"/>
  <c r="AE466" i="12" s="1"/>
  <c r="L698" i="12"/>
  <c r="AE698" i="12" s="1"/>
  <c r="S698" i="12"/>
  <c r="T698" i="12" s="1"/>
  <c r="U698" i="12" s="1"/>
  <c r="L617" i="12"/>
  <c r="AE617" i="12" s="1"/>
  <c r="S617" i="12"/>
  <c r="T617" i="12" s="1"/>
  <c r="U617" i="12" s="1"/>
  <c r="L318" i="12"/>
  <c r="AE318" i="12" s="1"/>
  <c r="S318" i="12"/>
  <c r="T318" i="12" s="1"/>
  <c r="U318" i="12" s="1"/>
  <c r="L707" i="12"/>
  <c r="AE707" i="12" s="1"/>
  <c r="S707" i="12"/>
  <c r="T707" i="12" s="1"/>
  <c r="U707" i="12" s="1"/>
  <c r="L215" i="12"/>
  <c r="S215" i="12"/>
  <c r="T215" i="12" s="1"/>
  <c r="U215" i="12" s="1"/>
  <c r="AE538" i="12"/>
  <c r="S199" i="12"/>
  <c r="T199" i="12" s="1"/>
  <c r="U199" i="12" s="1"/>
  <c r="L199" i="12"/>
  <c r="T66" i="1"/>
  <c r="S287" i="12"/>
  <c r="T287" i="12" s="1"/>
  <c r="U287" i="12" s="1"/>
  <c r="L287" i="12"/>
  <c r="AE287" i="12" s="1"/>
  <c r="L332" i="12"/>
  <c r="AE332" i="12" s="1"/>
  <c r="S332" i="12"/>
  <c r="T332" i="12" s="1"/>
  <c r="U332" i="12" s="1"/>
  <c r="L275" i="12"/>
  <c r="AE275" i="12" s="1"/>
  <c r="S275" i="12"/>
  <c r="T275" i="12" s="1"/>
  <c r="U275" i="12" s="1"/>
  <c r="L503" i="12"/>
  <c r="AE503" i="12" s="1"/>
  <c r="S503" i="12"/>
  <c r="T503" i="12" s="1"/>
  <c r="U503" i="12" s="1"/>
  <c r="AE54" i="12"/>
  <c r="AE350" i="12"/>
  <c r="AE742" i="12"/>
  <c r="AE896" i="12"/>
  <c r="S988" i="12"/>
  <c r="T988" i="12" s="1"/>
  <c r="U988" i="12" s="1"/>
  <c r="L988" i="12"/>
  <c r="AE988" i="12" s="1"/>
  <c r="AE223" i="12"/>
  <c r="AE140" i="12"/>
  <c r="L136" i="12"/>
  <c r="AE136" i="12" s="1"/>
  <c r="S136" i="12"/>
  <c r="T136" i="12" s="1"/>
  <c r="U136" i="12" s="1"/>
  <c r="L17" i="12"/>
  <c r="AE17" i="12" s="1"/>
  <c r="S17" i="12"/>
  <c r="T17" i="12" s="1"/>
  <c r="U17" i="12" s="1"/>
  <c r="L985" i="12"/>
  <c r="S985" i="12"/>
  <c r="T985" i="12" s="1"/>
  <c r="U985" i="12" s="1"/>
  <c r="S495" i="12"/>
  <c r="T495" i="12" s="1"/>
  <c r="U495" i="12" s="1"/>
  <c r="L495" i="12"/>
  <c r="AE495" i="12" s="1"/>
  <c r="AE309" i="12"/>
  <c r="AE174" i="12"/>
  <c r="L128" i="12"/>
  <c r="AE128" i="12" s="1"/>
  <c r="S128" i="12"/>
  <c r="T128" i="12" s="1"/>
  <c r="U128" i="12" s="1"/>
  <c r="S75" i="12"/>
  <c r="T75" i="12" s="1"/>
  <c r="U75" i="12" s="1"/>
  <c r="L75" i="12"/>
  <c r="AE75" i="12" s="1"/>
  <c r="AE243" i="12"/>
  <c r="S452" i="12"/>
  <c r="T452" i="12" s="1"/>
  <c r="U452" i="12" s="1"/>
  <c r="L452" i="12"/>
  <c r="AE452" i="12" s="1"/>
  <c r="L565" i="12"/>
  <c r="AE565" i="12" s="1"/>
  <c r="S565" i="12"/>
  <c r="T565" i="12" s="1"/>
  <c r="U565" i="12" s="1"/>
  <c r="L611" i="12"/>
  <c r="AE611" i="12" s="1"/>
  <c r="S611" i="12"/>
  <c r="T611" i="12" s="1"/>
  <c r="U611" i="12" s="1"/>
  <c r="AE780" i="12"/>
  <c r="AE836" i="12"/>
  <c r="L881" i="12"/>
  <c r="S881" i="12"/>
  <c r="T881" i="12" s="1"/>
  <c r="U881" i="12" s="1"/>
  <c r="S621" i="12"/>
  <c r="T621" i="12" s="1"/>
  <c r="U621" i="12" s="1"/>
  <c r="L621" i="12"/>
  <c r="AE621" i="12" s="1"/>
  <c r="AE349" i="12"/>
  <c r="AE319" i="12"/>
  <c r="AE322" i="12"/>
  <c r="AE274" i="12"/>
  <c r="L131" i="12"/>
  <c r="S131" i="12"/>
  <c r="T131" i="12" s="1"/>
  <c r="U131" i="12" s="1"/>
  <c r="AE10" i="12"/>
  <c r="L9" i="12"/>
  <c r="AE9" i="12" s="1"/>
  <c r="S9" i="12"/>
  <c r="T9" i="12" s="1"/>
  <c r="U9" i="12" s="1"/>
  <c r="L618" i="12"/>
  <c r="S618" i="12"/>
  <c r="T618" i="12" s="1"/>
  <c r="U618" i="12" s="1"/>
  <c r="S833" i="12"/>
  <c r="T833" i="12" s="1"/>
  <c r="U833" i="12" s="1"/>
  <c r="L833" i="12"/>
  <c r="L980" i="12"/>
  <c r="AE980" i="12" s="1"/>
  <c r="S980" i="12"/>
  <c r="T980" i="12" s="1"/>
  <c r="U980" i="12" s="1"/>
  <c r="S990" i="12"/>
  <c r="T990" i="12" s="1"/>
  <c r="U990" i="12" s="1"/>
  <c r="L990" i="12"/>
  <c r="AE990" i="12" s="1"/>
  <c r="L624" i="12"/>
  <c r="AE624" i="12" s="1"/>
  <c r="S624" i="12"/>
  <c r="T624" i="12" s="1"/>
  <c r="U624" i="12" s="1"/>
  <c r="L216" i="12"/>
  <c r="AE216" i="12" s="1"/>
  <c r="S216" i="12"/>
  <c r="T216" i="12" s="1"/>
  <c r="U216" i="12" s="1"/>
  <c r="L184" i="12"/>
  <c r="AE184" i="12" s="1"/>
  <c r="S184" i="12"/>
  <c r="T184" i="12" s="1"/>
  <c r="U184" i="12" s="1"/>
  <c r="S206" i="12"/>
  <c r="T206" i="12" s="1"/>
  <c r="U206" i="12" s="1"/>
  <c r="L206" i="12"/>
  <c r="AE206" i="12" s="1"/>
  <c r="L242" i="12"/>
  <c r="AE242" i="12" s="1"/>
  <c r="S242" i="12"/>
  <c r="T242" i="12" s="1"/>
  <c r="U242" i="12" s="1"/>
  <c r="S763" i="12"/>
  <c r="T763" i="12" s="1"/>
  <c r="U763" i="12" s="1"/>
  <c r="L763" i="12"/>
  <c r="AE763" i="12" s="1"/>
  <c r="S770" i="12"/>
  <c r="T770" i="12" s="1"/>
  <c r="U770" i="12" s="1"/>
  <c r="L770" i="12"/>
  <c r="AE930" i="12"/>
  <c r="L635" i="12"/>
  <c r="AE635" i="12" s="1"/>
  <c r="S635" i="12"/>
  <c r="T635" i="12" s="1"/>
  <c r="U635" i="12" s="1"/>
  <c r="AE744" i="12"/>
  <c r="L935" i="12"/>
  <c r="AE935" i="12" s="1"/>
  <c r="S935" i="12"/>
  <c r="T935" i="12" s="1"/>
  <c r="U935" i="12" s="1"/>
  <c r="L229" i="12"/>
  <c r="S229" i="12"/>
  <c r="T229" i="12" s="1"/>
  <c r="U229" i="12" s="1"/>
  <c r="L384" i="12"/>
  <c r="AE384" i="12" s="1"/>
  <c r="S384" i="12"/>
  <c r="T384" i="12" s="1"/>
  <c r="U384" i="12" s="1"/>
  <c r="L577" i="12"/>
  <c r="AE577" i="12" s="1"/>
  <c r="S577" i="12"/>
  <c r="T577" i="12" s="1"/>
  <c r="U577" i="12" s="1"/>
  <c r="L575" i="12"/>
  <c r="AE575" i="12" s="1"/>
  <c r="S575" i="12"/>
  <c r="T575" i="12" s="1"/>
  <c r="U575" i="12" s="1"/>
  <c r="S704" i="12"/>
  <c r="T704" i="12" s="1"/>
  <c r="U704" i="12" s="1"/>
  <c r="L704" i="12"/>
  <c r="AE704" i="12" s="1"/>
  <c r="L893" i="12"/>
  <c r="AE893" i="12" s="1"/>
  <c r="S893" i="12"/>
  <c r="T893" i="12" s="1"/>
  <c r="U893" i="12" s="1"/>
  <c r="L630" i="12"/>
  <c r="AE630" i="12" s="1"/>
  <c r="S630" i="12"/>
  <c r="T630" i="12" s="1"/>
  <c r="U630" i="12" s="1"/>
  <c r="S765" i="12"/>
  <c r="T765" i="12" s="1"/>
  <c r="U765" i="12" s="1"/>
  <c r="L765" i="12"/>
  <c r="AE765" i="12" s="1"/>
  <c r="AE864" i="12"/>
  <c r="L904" i="12"/>
  <c r="AE904" i="12" s="1"/>
  <c r="S904" i="12"/>
  <c r="T904" i="12" s="1"/>
  <c r="U904" i="12" s="1"/>
  <c r="AE315" i="12"/>
  <c r="S439" i="12"/>
  <c r="T439" i="12" s="1"/>
  <c r="U439" i="12" s="1"/>
  <c r="L439" i="12"/>
  <c r="AE439" i="12" s="1"/>
  <c r="L533" i="12"/>
  <c r="AE533" i="12" s="1"/>
  <c r="S533" i="12"/>
  <c r="T533" i="12" s="1"/>
  <c r="U533" i="12" s="1"/>
  <c r="L599" i="12"/>
  <c r="AE599" i="12" s="1"/>
  <c r="S599" i="12"/>
  <c r="T599" i="12" s="1"/>
  <c r="U599" i="12" s="1"/>
  <c r="L671" i="12"/>
  <c r="AE671" i="12" s="1"/>
  <c r="S671" i="12"/>
  <c r="T671" i="12" s="1"/>
  <c r="U671" i="12" s="1"/>
  <c r="L739" i="12"/>
  <c r="AE739" i="12" s="1"/>
  <c r="S739" i="12"/>
  <c r="T739" i="12" s="1"/>
  <c r="U739" i="12" s="1"/>
  <c r="L828" i="12"/>
  <c r="AE828" i="12" s="1"/>
  <c r="S828" i="12"/>
  <c r="T828" i="12" s="1"/>
  <c r="U828" i="12" s="1"/>
  <c r="L913" i="12"/>
  <c r="AE913" i="12" s="1"/>
  <c r="S913" i="12"/>
  <c r="T913" i="12" s="1"/>
  <c r="U913" i="12" s="1"/>
  <c r="L596" i="12"/>
  <c r="S596" i="12"/>
  <c r="T596" i="12" s="1"/>
  <c r="U596" i="12" s="1"/>
  <c r="L735" i="12"/>
  <c r="AE735" i="12" s="1"/>
  <c r="S735" i="12"/>
  <c r="T735" i="12" s="1"/>
  <c r="U735" i="12" s="1"/>
  <c r="L749" i="12"/>
  <c r="AE749" i="12" s="1"/>
  <c r="S749" i="12"/>
  <c r="T749" i="12" s="1"/>
  <c r="U749" i="12" s="1"/>
  <c r="S918" i="12"/>
  <c r="T918" i="12" s="1"/>
  <c r="U918" i="12" s="1"/>
  <c r="L918" i="12"/>
  <c r="AE918" i="12" s="1"/>
  <c r="L506" i="12"/>
  <c r="S506" i="12"/>
  <c r="T506" i="12" s="1"/>
  <c r="U506" i="12" s="1"/>
  <c r="AE569" i="12"/>
  <c r="AE741" i="12"/>
  <c r="S846" i="12"/>
  <c r="T846" i="12" s="1"/>
  <c r="U846" i="12" s="1"/>
  <c r="L846" i="12"/>
  <c r="AE846" i="12" s="1"/>
  <c r="L924" i="12"/>
  <c r="AE924" i="12" s="1"/>
  <c r="S924" i="12"/>
  <c r="T924" i="12" s="1"/>
  <c r="U924" i="12" s="1"/>
  <c r="AE958" i="12"/>
  <c r="AE598" i="12"/>
  <c r="L646" i="12"/>
  <c r="AE646" i="12" s="1"/>
  <c r="S646" i="12"/>
  <c r="T646" i="12" s="1"/>
  <c r="U646" i="12" s="1"/>
  <c r="L807" i="12"/>
  <c r="AE807" i="12" s="1"/>
  <c r="S807" i="12"/>
  <c r="T807" i="12" s="1"/>
  <c r="U807" i="12" s="1"/>
  <c r="S839" i="12"/>
  <c r="T839" i="12" s="1"/>
  <c r="U839" i="12" s="1"/>
  <c r="L839" i="12"/>
  <c r="AE839" i="12" s="1"/>
  <c r="AE866" i="12"/>
  <c r="L354" i="12"/>
  <c r="AE354" i="12" s="1"/>
  <c r="S354" i="12"/>
  <c r="T354" i="12" s="1"/>
  <c r="U354" i="12" s="1"/>
  <c r="L647" i="12"/>
  <c r="AE647" i="12" s="1"/>
  <c r="S647" i="12"/>
  <c r="T647" i="12" s="1"/>
  <c r="U647" i="12" s="1"/>
  <c r="AE679" i="12"/>
  <c r="L752" i="12"/>
  <c r="AE752" i="12" s="1"/>
  <c r="S752" i="12"/>
  <c r="T752" i="12" s="1"/>
  <c r="U752" i="12" s="1"/>
  <c r="L811" i="12"/>
  <c r="AE811" i="12" s="1"/>
  <c r="S811" i="12"/>
  <c r="T811" i="12" s="1"/>
  <c r="U811" i="12" s="1"/>
  <c r="AE803" i="12"/>
  <c r="L883" i="12"/>
  <c r="AE883" i="12" s="1"/>
  <c r="S883" i="12"/>
  <c r="T883" i="12" s="1"/>
  <c r="U883" i="12" s="1"/>
  <c r="L810" i="12"/>
  <c r="AE810" i="12" s="1"/>
  <c r="S810" i="12"/>
  <c r="T810" i="12" s="1"/>
  <c r="U810" i="12" s="1"/>
  <c r="L928" i="12"/>
  <c r="AE928" i="12" s="1"/>
  <c r="S928" i="12"/>
  <c r="T928" i="12" s="1"/>
  <c r="U928" i="12" s="1"/>
  <c r="S397" i="12"/>
  <c r="T397" i="12" s="1"/>
  <c r="U397" i="12" s="1"/>
  <c r="L397" i="12"/>
  <c r="AE397" i="12" s="1"/>
  <c r="S269" i="12"/>
  <c r="T269" i="12" s="1"/>
  <c r="U269" i="12" s="1"/>
  <c r="L269" i="12"/>
  <c r="AE269" i="12" s="1"/>
  <c r="L343" i="12"/>
  <c r="AE343" i="12" s="1"/>
  <c r="S343" i="12"/>
  <c r="T343" i="12" s="1"/>
  <c r="U343" i="12" s="1"/>
  <c r="AE20" i="12"/>
  <c r="L48" i="12"/>
  <c r="AE48" i="12" s="1"/>
  <c r="S48" i="12"/>
  <c r="T48" i="12" s="1"/>
  <c r="U48" i="12" s="1"/>
  <c r="L325" i="12"/>
  <c r="AE325" i="12" s="1"/>
  <c r="S325" i="12"/>
  <c r="T325" i="12" s="1"/>
  <c r="U325" i="12" s="1"/>
  <c r="L404" i="12"/>
  <c r="AE404" i="12" s="1"/>
  <c r="S404" i="12"/>
  <c r="T404" i="12" s="1"/>
  <c r="U404" i="12" s="1"/>
  <c r="S740" i="12"/>
  <c r="T740" i="12" s="1"/>
  <c r="U740" i="12" s="1"/>
  <c r="L740" i="12"/>
  <c r="AE740" i="12" s="1"/>
  <c r="S806" i="12"/>
  <c r="T806" i="12" s="1"/>
  <c r="U806" i="12" s="1"/>
  <c r="L806" i="12"/>
  <c r="AE806" i="12" s="1"/>
  <c r="AE481" i="12"/>
  <c r="AE329" i="12"/>
  <c r="L11" i="12"/>
  <c r="AE11" i="12" s="1"/>
  <c r="S11" i="12"/>
  <c r="T11" i="12" s="1"/>
  <c r="U11" i="12" s="1"/>
  <c r="L374" i="12"/>
  <c r="S374" i="12"/>
  <c r="T374" i="12" s="1"/>
  <c r="U374" i="12" s="1"/>
  <c r="L513" i="12"/>
  <c r="S513" i="12"/>
  <c r="T513" i="12" s="1"/>
  <c r="U513" i="12" s="1"/>
  <c r="L933" i="12"/>
  <c r="AE933" i="12" s="1"/>
  <c r="S933" i="12"/>
  <c r="T933" i="12" s="1"/>
  <c r="U933" i="12" s="1"/>
  <c r="AE961" i="12"/>
  <c r="AE436" i="12"/>
  <c r="AE91" i="12"/>
  <c r="L7" i="12"/>
  <c r="S7" i="12"/>
  <c r="T7" i="12" s="1"/>
  <c r="U7" i="12" s="1"/>
  <c r="S405" i="12"/>
  <c r="T405" i="12" s="1"/>
  <c r="U405" i="12" s="1"/>
  <c r="L405" i="12"/>
  <c r="AE405" i="12" s="1"/>
  <c r="AE685" i="12"/>
  <c r="AE702" i="12"/>
  <c r="S850" i="12"/>
  <c r="T850" i="12" s="1"/>
  <c r="U850" i="12" s="1"/>
  <c r="L850" i="12"/>
  <c r="AE850" i="12" s="1"/>
  <c r="AE796" i="12"/>
  <c r="L291" i="12"/>
  <c r="AE291" i="12" s="1"/>
  <c r="S291" i="12"/>
  <c r="T291" i="12" s="1"/>
  <c r="U291" i="12" s="1"/>
  <c r="AE214" i="12"/>
  <c r="S46" i="12"/>
  <c r="T46" i="12" s="1"/>
  <c r="U46" i="12" s="1"/>
  <c r="L46" i="12"/>
  <c r="L474" i="12"/>
  <c r="AE474" i="12" s="1"/>
  <c r="S474" i="12"/>
  <c r="T474" i="12" s="1"/>
  <c r="U474" i="12" s="1"/>
  <c r="S708" i="12"/>
  <c r="T708" i="12" s="1"/>
  <c r="U708" i="12" s="1"/>
  <c r="L708" i="12"/>
  <c r="AE708" i="12" s="1"/>
  <c r="L775" i="12"/>
  <c r="S775" i="12"/>
  <c r="T775" i="12" s="1"/>
  <c r="U775" i="12" s="1"/>
  <c r="S952" i="12"/>
  <c r="T952" i="12" s="1"/>
  <c r="U952" i="12" s="1"/>
  <c r="L952" i="12"/>
  <c r="AE952" i="12" s="1"/>
  <c r="S970" i="12"/>
  <c r="T970" i="12" s="1"/>
  <c r="U970" i="12" s="1"/>
  <c r="L970" i="12"/>
  <c r="AE970" i="12" s="1"/>
  <c r="L264" i="12"/>
  <c r="AE264" i="12" s="1"/>
  <c r="S264" i="12"/>
  <c r="T264" i="12" s="1"/>
  <c r="U264" i="12" s="1"/>
  <c r="AE229" i="12"/>
  <c r="L209" i="12"/>
  <c r="AE209" i="12" s="1"/>
  <c r="S209" i="12"/>
  <c r="T209" i="12" s="1"/>
  <c r="U209" i="12" s="1"/>
  <c r="L101" i="12"/>
  <c r="AE101" i="12" s="1"/>
  <c r="S101" i="12"/>
  <c r="T101" i="12" s="1"/>
  <c r="U101" i="12" s="1"/>
  <c r="L73" i="12"/>
  <c r="AE73" i="12" s="1"/>
  <c r="S73" i="12"/>
  <c r="T73" i="12" s="1"/>
  <c r="U73" i="12" s="1"/>
  <c r="L463" i="12"/>
  <c r="AE463" i="12" s="1"/>
  <c r="S463" i="12"/>
  <c r="T463" i="12" s="1"/>
  <c r="U463" i="12" s="1"/>
  <c r="L683" i="12"/>
  <c r="AE683" i="12" s="1"/>
  <c r="S683" i="12"/>
  <c r="T683" i="12" s="1"/>
  <c r="U683" i="12" s="1"/>
  <c r="AE472" i="12"/>
  <c r="S124" i="12"/>
  <c r="T124" i="12" s="1"/>
  <c r="U124" i="12" s="1"/>
  <c r="L124" i="12"/>
  <c r="AE124" i="12" s="1"/>
  <c r="AE591" i="12"/>
  <c r="L119" i="12"/>
  <c r="AE119" i="12" s="1"/>
  <c r="S119" i="12"/>
  <c r="T119" i="12" s="1"/>
  <c r="U119" i="12" s="1"/>
  <c r="L732" i="12"/>
  <c r="AE732" i="12" s="1"/>
  <c r="S732" i="12"/>
  <c r="T732" i="12" s="1"/>
  <c r="U732" i="12" s="1"/>
  <c r="S175" i="12"/>
  <c r="T175" i="12" s="1"/>
  <c r="U175" i="12" s="1"/>
  <c r="L175" i="12"/>
  <c r="AE175" i="12" s="1"/>
  <c r="S639" i="12"/>
  <c r="T639" i="12" s="1"/>
  <c r="U639" i="12" s="1"/>
  <c r="L639" i="12"/>
  <c r="L326" i="12"/>
  <c r="S326" i="12"/>
  <c r="T326" i="12" s="1"/>
  <c r="U326" i="12" s="1"/>
  <c r="L426" i="12"/>
  <c r="AE426" i="12" s="1"/>
  <c r="S426" i="12"/>
  <c r="T426" i="12" s="1"/>
  <c r="U426" i="12" s="1"/>
  <c r="AE131" i="12"/>
  <c r="AE461" i="12"/>
  <c r="L57" i="1"/>
  <c r="K57" i="1" s="1"/>
  <c r="L59" i="1"/>
  <c r="K59" i="1" s="1"/>
  <c r="L302" i="12"/>
  <c r="AE302" i="12" s="1"/>
  <c r="S302" i="12"/>
  <c r="T302" i="12" s="1"/>
  <c r="U302" i="12" s="1"/>
  <c r="L347" i="12"/>
  <c r="AE347" i="12" s="1"/>
  <c r="S347" i="12"/>
  <c r="T347" i="12" s="1"/>
  <c r="U347" i="12" s="1"/>
  <c r="L762" i="12"/>
  <c r="AE762" i="12" s="1"/>
  <c r="S762" i="12"/>
  <c r="T762" i="12" s="1"/>
  <c r="U762" i="12" s="1"/>
  <c r="AE723" i="12"/>
  <c r="L997" i="12"/>
  <c r="AE997" i="12" s="1"/>
  <c r="S997" i="12"/>
  <c r="T997" i="12" s="1"/>
  <c r="U997" i="12" s="1"/>
  <c r="AE336" i="12"/>
  <c r="AE542" i="12"/>
  <c r="AE843" i="12"/>
  <c r="L37" i="12"/>
  <c r="AE37" i="12" s="1"/>
  <c r="S37" i="12"/>
  <c r="T37" i="12" s="1"/>
  <c r="U37" i="12" s="1"/>
  <c r="AE66" i="12"/>
  <c r="AE530" i="12"/>
  <c r="L677" i="12"/>
  <c r="AE677" i="12" s="1"/>
  <c r="S677" i="12"/>
  <c r="T677" i="12" s="1"/>
  <c r="U677" i="12" s="1"/>
  <c r="S631" i="12"/>
  <c r="T631" i="12" s="1"/>
  <c r="U631" i="12" s="1"/>
  <c r="L631" i="12"/>
  <c r="S250" i="12"/>
  <c r="T250" i="12" s="1"/>
  <c r="U250" i="12" s="1"/>
  <c r="L250" i="12"/>
  <c r="AE250" i="12" s="1"/>
  <c r="L660" i="12"/>
  <c r="AE660" i="12" s="1"/>
  <c r="S660" i="12"/>
  <c r="T660" i="12" s="1"/>
  <c r="U660" i="12" s="1"/>
  <c r="L895" i="12"/>
  <c r="AE895" i="12" s="1"/>
  <c r="S895" i="12"/>
  <c r="T895" i="12" s="1"/>
  <c r="U895" i="12" s="1"/>
  <c r="L364" i="12"/>
  <c r="S364" i="12"/>
  <c r="T364" i="12" s="1"/>
  <c r="U364" i="12" s="1"/>
  <c r="S263" i="12"/>
  <c r="T263" i="12" s="1"/>
  <c r="U263" i="12" s="1"/>
  <c r="L263" i="12"/>
  <c r="AE263" i="12" s="1"/>
  <c r="S238" i="12"/>
  <c r="T238" i="12" s="1"/>
  <c r="U238" i="12" s="1"/>
  <c r="L238" i="12"/>
  <c r="AE238" i="12" s="1"/>
  <c r="AE262" i="12"/>
  <c r="S62" i="12"/>
  <c r="T62" i="12" s="1"/>
  <c r="U62" i="12" s="1"/>
  <c r="L62" i="12"/>
  <c r="AE62" i="12" s="1"/>
  <c r="AE498" i="12"/>
  <c r="L802" i="12"/>
  <c r="AE802" i="12" s="1"/>
  <c r="S802" i="12"/>
  <c r="T802" i="12" s="1"/>
  <c r="U802" i="12" s="1"/>
  <c r="L450" i="12"/>
  <c r="AE450" i="12" s="1"/>
  <c r="S450" i="12"/>
  <c r="T450" i="12" s="1"/>
  <c r="U450" i="12" s="1"/>
  <c r="L42" i="12"/>
  <c r="AE42" i="12" s="1"/>
  <c r="S42" i="12"/>
  <c r="T42" i="12" s="1"/>
  <c r="U42" i="12" s="1"/>
  <c r="L120" i="12"/>
  <c r="AE120" i="12" s="1"/>
  <c r="S120" i="12"/>
  <c r="T120" i="12" s="1"/>
  <c r="U120" i="12" s="1"/>
  <c r="L357" i="12"/>
  <c r="AE357" i="12" s="1"/>
  <c r="S357" i="12"/>
  <c r="T357" i="12" s="1"/>
  <c r="U357" i="12" s="1"/>
  <c r="AE527" i="12"/>
  <c r="L625" i="12"/>
  <c r="AE625" i="12" s="1"/>
  <c r="S625" i="12"/>
  <c r="T625" i="12" s="1"/>
  <c r="U625" i="12" s="1"/>
  <c r="L877" i="12"/>
  <c r="AE877" i="12" s="1"/>
  <c r="S877" i="12"/>
  <c r="T877" i="12" s="1"/>
  <c r="U877" i="12" s="1"/>
  <c r="S940" i="12"/>
  <c r="T940" i="12" s="1"/>
  <c r="U940" i="12" s="1"/>
  <c r="L940" i="12"/>
  <c r="AE940" i="12" s="1"/>
  <c r="AE296" i="12"/>
  <c r="AE50" i="12"/>
  <c r="L55" i="12"/>
  <c r="S55" i="12"/>
  <c r="T55" i="12" s="1"/>
  <c r="U55" i="12" s="1"/>
  <c r="L391" i="12"/>
  <c r="AE391" i="12" s="1"/>
  <c r="S391" i="12"/>
  <c r="T391" i="12" s="1"/>
  <c r="U391" i="12" s="1"/>
  <c r="AE985" i="12"/>
  <c r="AE485" i="12"/>
  <c r="L420" i="12"/>
  <c r="AE420" i="12" s="1"/>
  <c r="S420" i="12"/>
  <c r="T420" i="12" s="1"/>
  <c r="U420" i="12" s="1"/>
  <c r="AE285" i="12"/>
  <c r="AE218" i="12"/>
  <c r="L112" i="12"/>
  <c r="S112" i="12"/>
  <c r="T112" i="12" s="1"/>
  <c r="U112" i="12" s="1"/>
  <c r="S51" i="12"/>
  <c r="T51" i="12" s="1"/>
  <c r="U51" i="12" s="1"/>
  <c r="L51" i="12"/>
  <c r="AE51" i="12" s="1"/>
  <c r="AE57" i="12"/>
  <c r="AE672" i="12"/>
  <c r="L692" i="12"/>
  <c r="AE692" i="12" s="1"/>
  <c r="S692" i="12"/>
  <c r="T692" i="12" s="1"/>
  <c r="U692" i="12" s="1"/>
  <c r="AE307" i="12"/>
  <c r="AE282" i="12"/>
  <c r="AE215" i="12"/>
  <c r="S163" i="12"/>
  <c r="T163" i="12" s="1"/>
  <c r="U163" i="12" s="1"/>
  <c r="L163" i="12"/>
  <c r="AE163" i="12" s="1"/>
  <c r="AE127" i="12"/>
  <c r="L102" i="12"/>
  <c r="AE102" i="12" s="1"/>
  <c r="S102" i="12"/>
  <c r="T102" i="12" s="1"/>
  <c r="U102" i="12" s="1"/>
  <c r="L431" i="12"/>
  <c r="AE431" i="12" s="1"/>
  <c r="S431" i="12"/>
  <c r="T431" i="12" s="1"/>
  <c r="U431" i="12" s="1"/>
  <c r="AE514" i="12"/>
  <c r="AE590" i="12"/>
  <c r="L640" i="12"/>
  <c r="S640" i="12"/>
  <c r="T640" i="12" s="1"/>
  <c r="U640" i="12" s="1"/>
  <c r="L901" i="12"/>
  <c r="AE901" i="12" s="1"/>
  <c r="S901" i="12"/>
  <c r="T901" i="12" s="1"/>
  <c r="U901" i="12" s="1"/>
  <c r="L204" i="12"/>
  <c r="S204" i="12"/>
  <c r="T204" i="12" s="1"/>
  <c r="U204" i="12" s="1"/>
  <c r="L172" i="12"/>
  <c r="AE172" i="12" s="1"/>
  <c r="S172" i="12"/>
  <c r="T172" i="12" s="1"/>
  <c r="U172" i="12" s="1"/>
  <c r="S194" i="12"/>
  <c r="T194" i="12" s="1"/>
  <c r="U194" i="12" s="1"/>
  <c r="L194" i="12"/>
  <c r="AE194" i="12" s="1"/>
  <c r="L116" i="12"/>
  <c r="S116" i="12"/>
  <c r="T116" i="12" s="1"/>
  <c r="U116" i="12" s="1"/>
  <c r="L482" i="12"/>
  <c r="AE482" i="12" s="1"/>
  <c r="S482" i="12"/>
  <c r="T482" i="12" s="1"/>
  <c r="U482" i="12" s="1"/>
  <c r="L544" i="12"/>
  <c r="AE544" i="12" s="1"/>
  <c r="S544" i="12"/>
  <c r="T544" i="12" s="1"/>
  <c r="U544" i="12" s="1"/>
  <c r="L768" i="12"/>
  <c r="S768" i="12"/>
  <c r="T768" i="12" s="1"/>
  <c r="U768" i="12" s="1"/>
  <c r="L782" i="12"/>
  <c r="AE782" i="12" s="1"/>
  <c r="S782" i="12"/>
  <c r="T782" i="12" s="1"/>
  <c r="U782" i="12" s="1"/>
  <c r="L916" i="12"/>
  <c r="AE916" i="12" s="1"/>
  <c r="S916" i="12"/>
  <c r="T916" i="12" s="1"/>
  <c r="U916" i="12" s="1"/>
  <c r="AE402" i="12"/>
  <c r="L642" i="12"/>
  <c r="AE642" i="12" s="1"/>
  <c r="S642" i="12"/>
  <c r="T642" i="12" s="1"/>
  <c r="U642" i="12" s="1"/>
  <c r="L841" i="12"/>
  <c r="AE841" i="12" s="1"/>
  <c r="S841" i="12"/>
  <c r="T841" i="12" s="1"/>
  <c r="U841" i="12" s="1"/>
  <c r="AE768" i="12"/>
  <c r="S845" i="12"/>
  <c r="T845" i="12" s="1"/>
  <c r="U845" i="12" s="1"/>
  <c r="L845" i="12"/>
  <c r="AE845" i="12" s="1"/>
  <c r="L241" i="12"/>
  <c r="AE241" i="12" s="1"/>
  <c r="S241" i="12"/>
  <c r="T241" i="12" s="1"/>
  <c r="U241" i="12" s="1"/>
  <c r="S409" i="12"/>
  <c r="T409" i="12" s="1"/>
  <c r="U409" i="12" s="1"/>
  <c r="L409" i="12"/>
  <c r="L587" i="12"/>
  <c r="AE587" i="12" s="1"/>
  <c r="S587" i="12"/>
  <c r="T587" i="12" s="1"/>
  <c r="U587" i="12" s="1"/>
  <c r="AE797" i="12"/>
  <c r="L905" i="12"/>
  <c r="AE905" i="12" s="1"/>
  <c r="S905" i="12"/>
  <c r="T905" i="12" s="1"/>
  <c r="U905" i="12" s="1"/>
  <c r="L387" i="12"/>
  <c r="AE387" i="12" s="1"/>
  <c r="S387" i="12"/>
  <c r="T387" i="12" s="1"/>
  <c r="U387" i="12" s="1"/>
  <c r="S789" i="12"/>
  <c r="T789" i="12" s="1"/>
  <c r="U789" i="12" s="1"/>
  <c r="L789" i="12"/>
  <c r="AE789" i="12" s="1"/>
  <c r="AE327" i="12"/>
  <c r="L557" i="12"/>
  <c r="AE557" i="12" s="1"/>
  <c r="S557" i="12"/>
  <c r="T557" i="12" s="1"/>
  <c r="U557" i="12" s="1"/>
  <c r="L623" i="12"/>
  <c r="AE623" i="12" s="1"/>
  <c r="S623" i="12"/>
  <c r="T623" i="12" s="1"/>
  <c r="U623" i="12" s="1"/>
  <c r="AE694" i="12"/>
  <c r="L962" i="12"/>
  <c r="AE962" i="12" s="1"/>
  <c r="S962" i="12"/>
  <c r="T962" i="12" s="1"/>
  <c r="U962" i="12" s="1"/>
  <c r="L432" i="12"/>
  <c r="AE432" i="12" s="1"/>
  <c r="S432" i="12"/>
  <c r="T432" i="12" s="1"/>
  <c r="U432" i="12" s="1"/>
  <c r="L464" i="12"/>
  <c r="AE464" i="12" s="1"/>
  <c r="S464" i="12"/>
  <c r="T464" i="12" s="1"/>
  <c r="U464" i="12" s="1"/>
  <c r="AE566" i="12"/>
  <c r="S608" i="12"/>
  <c r="T608" i="12" s="1"/>
  <c r="U608" i="12" s="1"/>
  <c r="L608" i="12"/>
  <c r="L813" i="12"/>
  <c r="AE813" i="12" s="1"/>
  <c r="S813" i="12"/>
  <c r="T813" i="12" s="1"/>
  <c r="U813" i="12" s="1"/>
  <c r="AE954" i="12"/>
  <c r="AE519" i="12"/>
  <c r="L858" i="12"/>
  <c r="AE858" i="12" s="1"/>
  <c r="S858" i="12"/>
  <c r="T858" i="12" s="1"/>
  <c r="U858" i="12" s="1"/>
  <c r="AE953" i="12"/>
  <c r="AE610" i="12"/>
  <c r="L658" i="12"/>
  <c r="AE658" i="12" s="1"/>
  <c r="S658" i="12"/>
  <c r="T658" i="12" s="1"/>
  <c r="U658" i="12" s="1"/>
  <c r="L863" i="12"/>
  <c r="AE863" i="12" s="1"/>
  <c r="S863" i="12"/>
  <c r="T863" i="12" s="1"/>
  <c r="U863" i="12" s="1"/>
  <c r="AE878" i="12"/>
  <c r="S971" i="12"/>
  <c r="T971" i="12" s="1"/>
  <c r="U971" i="12" s="1"/>
  <c r="L971" i="12"/>
  <c r="AE971" i="12" s="1"/>
  <c r="L451" i="12"/>
  <c r="AE451" i="12" s="1"/>
  <c r="S451" i="12"/>
  <c r="T451" i="12" s="1"/>
  <c r="U451" i="12" s="1"/>
  <c r="L378" i="12"/>
  <c r="AE378" i="12" s="1"/>
  <c r="S378" i="12"/>
  <c r="T378" i="12" s="1"/>
  <c r="U378" i="12" s="1"/>
  <c r="L550" i="12"/>
  <c r="AE550" i="12" s="1"/>
  <c r="S550" i="12"/>
  <c r="T550" i="12" s="1"/>
  <c r="U550" i="12" s="1"/>
  <c r="AE691" i="12"/>
  <c r="L558" i="12"/>
  <c r="AE558" i="12" s="1"/>
  <c r="S558" i="12"/>
  <c r="T558" i="12" s="1"/>
  <c r="U558" i="12" s="1"/>
  <c r="S627" i="12"/>
  <c r="T627" i="12" s="1"/>
  <c r="U627" i="12" s="1"/>
  <c r="L627" i="12"/>
  <c r="AE627" i="12" s="1"/>
  <c r="L729" i="12"/>
  <c r="AE729" i="12" s="1"/>
  <c r="S729" i="12"/>
  <c r="T729" i="12" s="1"/>
  <c r="U729" i="12" s="1"/>
  <c r="S984" i="12"/>
  <c r="T984" i="12" s="1"/>
  <c r="U984" i="12" s="1"/>
  <c r="L984" i="12"/>
  <c r="AE984" i="12" s="1"/>
  <c r="L819" i="12"/>
  <c r="AE819" i="12" s="1"/>
  <c r="S819" i="12"/>
  <c r="T819" i="12" s="1"/>
  <c r="U819" i="12" s="1"/>
  <c r="AE494" i="12"/>
  <c r="L257" i="12"/>
  <c r="AE257" i="12" s="1"/>
  <c r="S257" i="12"/>
  <c r="T257" i="12" s="1"/>
  <c r="U257" i="12" s="1"/>
  <c r="AE8" i="12"/>
  <c r="L22" i="12"/>
  <c r="AE22" i="12" s="1"/>
  <c r="S22" i="12"/>
  <c r="T22" i="12" s="1"/>
  <c r="U22" i="12" s="1"/>
  <c r="L381" i="12"/>
  <c r="AE381" i="12" s="1"/>
  <c r="S381" i="12"/>
  <c r="T381" i="12" s="1"/>
  <c r="U381" i="12" s="1"/>
  <c r="AE438" i="12"/>
  <c r="AE690" i="12"/>
  <c r="L605" i="12"/>
  <c r="AE605" i="12" s="1"/>
  <c r="S605" i="12"/>
  <c r="T605" i="12" s="1"/>
  <c r="U605" i="12" s="1"/>
  <c r="AE445" i="12"/>
  <c r="AE107" i="12"/>
  <c r="L160" i="12"/>
  <c r="AE160" i="12" s="1"/>
  <c r="S160" i="12"/>
  <c r="T160" i="12" s="1"/>
  <c r="U160" i="12" s="1"/>
  <c r="AE19" i="12"/>
  <c r="AE374" i="12"/>
  <c r="S416" i="12"/>
  <c r="T416" i="12" s="1"/>
  <c r="U416" i="12" s="1"/>
  <c r="L416" i="12"/>
  <c r="AE416" i="12" s="1"/>
  <c r="AE513" i="12"/>
  <c r="L545" i="12"/>
  <c r="AE545" i="12" s="1"/>
  <c r="S545" i="12"/>
  <c r="T545" i="12" s="1"/>
  <c r="U545" i="12" s="1"/>
  <c r="L602" i="12"/>
  <c r="S602" i="12"/>
  <c r="T602" i="12" s="1"/>
  <c r="U602" i="12" s="1"/>
  <c r="AE725" i="12"/>
  <c r="L821" i="12"/>
  <c r="AE821" i="12" s="1"/>
  <c r="S821" i="12"/>
  <c r="T821" i="12" s="1"/>
  <c r="U821" i="12" s="1"/>
  <c r="AE377" i="12"/>
  <c r="AE18" i="12"/>
  <c r="AE856" i="12"/>
  <c r="L564" i="12"/>
  <c r="AE564" i="12" s="1"/>
  <c r="S564" i="12"/>
  <c r="T564" i="12" s="1"/>
  <c r="U564" i="12" s="1"/>
  <c r="L395" i="12"/>
  <c r="AE395" i="12" s="1"/>
  <c r="S395" i="12"/>
  <c r="T395" i="12" s="1"/>
  <c r="U395" i="12" s="1"/>
  <c r="AE346" i="12"/>
  <c r="S333" i="12"/>
  <c r="T333" i="12" s="1"/>
  <c r="U333" i="12" s="1"/>
  <c r="L333" i="12"/>
  <c r="AE333" i="12" s="1"/>
  <c r="L279" i="12"/>
  <c r="AE279" i="12" s="1"/>
  <c r="S279" i="12"/>
  <c r="T279" i="12" s="1"/>
  <c r="U279" i="12" s="1"/>
  <c r="AE202" i="12"/>
  <c r="AE112" i="12"/>
  <c r="L67" i="12"/>
  <c r="AE67" i="12" s="1"/>
  <c r="S67" i="12"/>
  <c r="T67" i="12" s="1"/>
  <c r="U67" i="12" s="1"/>
  <c r="S661" i="12"/>
  <c r="T661" i="12" s="1"/>
  <c r="U661" i="12" s="1"/>
  <c r="L661" i="12"/>
  <c r="AE661" i="12" s="1"/>
  <c r="L730" i="12"/>
  <c r="AE730" i="12" s="1"/>
  <c r="S730" i="12"/>
  <c r="T730" i="12" s="1"/>
  <c r="U730" i="12" s="1"/>
  <c r="AE775" i="12"/>
  <c r="L697" i="12"/>
  <c r="AE697" i="12" s="1"/>
  <c r="S697" i="12"/>
  <c r="T697" i="12" s="1"/>
  <c r="U697" i="12" s="1"/>
  <c r="L396" i="12"/>
  <c r="AE396" i="12" s="1"/>
  <c r="S396" i="12"/>
  <c r="T396" i="12" s="1"/>
  <c r="U396" i="12" s="1"/>
  <c r="L252" i="12"/>
  <c r="AE252" i="12" s="1"/>
  <c r="S252" i="12"/>
  <c r="T252" i="12" s="1"/>
  <c r="U252" i="12" s="1"/>
  <c r="S157" i="12"/>
  <c r="T157" i="12" s="1"/>
  <c r="U157" i="12" s="1"/>
  <c r="L157" i="12"/>
  <c r="AE157" i="12" s="1"/>
  <c r="L89" i="12"/>
  <c r="AE89" i="12" s="1"/>
  <c r="S89" i="12"/>
  <c r="T89" i="12" s="1"/>
  <c r="U89" i="12" s="1"/>
  <c r="AE46" i="12"/>
  <c r="L523" i="12"/>
  <c r="S523" i="12"/>
  <c r="T523" i="12" s="1"/>
  <c r="U523" i="12" s="1"/>
  <c r="S900" i="12"/>
  <c r="T900" i="12" s="1"/>
  <c r="U900" i="12" s="1"/>
  <c r="L900" i="12"/>
  <c r="AE900" i="12" s="1"/>
  <c r="L886" i="12"/>
  <c r="AE886" i="12" s="1"/>
  <c r="S886" i="12"/>
  <c r="T886" i="12" s="1"/>
  <c r="U886" i="12" s="1"/>
  <c r="AE943" i="12"/>
  <c r="L993" i="12"/>
  <c r="AE993" i="12" s="1"/>
  <c r="S993" i="12"/>
  <c r="T993" i="12" s="1"/>
  <c r="U993" i="12" s="1"/>
  <c r="L517" i="12"/>
  <c r="AE517" i="12" s="1"/>
  <c r="S517" i="12"/>
  <c r="T517" i="12" s="1"/>
  <c r="U517" i="12" s="1"/>
  <c r="AE222" i="12"/>
  <c r="AE39" i="12"/>
  <c r="S195" i="12"/>
  <c r="T195" i="12" s="1"/>
  <c r="U195" i="12" s="1"/>
  <c r="L195" i="12"/>
  <c r="AE195" i="12" s="1"/>
  <c r="AE440" i="12"/>
  <c r="AE639" i="12"/>
  <c r="L74" i="12"/>
  <c r="AE74" i="12" s="1"/>
  <c r="S74" i="12"/>
  <c r="T74" i="12" s="1"/>
  <c r="U74" i="12" s="1"/>
  <c r="AE770" i="12"/>
  <c r="L330" i="12"/>
  <c r="AE330" i="12" s="1"/>
  <c r="S330" i="12"/>
  <c r="T330" i="12" s="1"/>
  <c r="U330" i="12" s="1"/>
  <c r="L52" i="1"/>
  <c r="K52" i="1" s="1"/>
  <c r="L49" i="1"/>
  <c r="K49" i="1" s="1"/>
  <c r="L31" i="1"/>
  <c r="K31" i="1" s="1"/>
  <c r="L183" i="12"/>
  <c r="AE183" i="12" s="1"/>
  <c r="S183" i="12"/>
  <c r="T183" i="12" s="1"/>
  <c r="U183" i="12" s="1"/>
  <c r="S651" i="12"/>
  <c r="T651" i="12" s="1"/>
  <c r="U651" i="12" s="1"/>
  <c r="L651" i="12"/>
  <c r="AE651" i="12" s="1"/>
  <c r="AE363" i="12"/>
  <c r="L885" i="12"/>
  <c r="AE885" i="12" s="1"/>
  <c r="S885" i="12"/>
  <c r="T885" i="12" s="1"/>
  <c r="U885" i="12" s="1"/>
  <c r="AE515" i="12"/>
  <c r="L791" i="12"/>
  <c r="AE791" i="12" s="1"/>
  <c r="S791" i="12"/>
  <c r="T791" i="12" s="1"/>
  <c r="U791" i="12" s="1"/>
  <c r="L367" i="12"/>
  <c r="AE367" i="12" s="1"/>
  <c r="S367" i="12"/>
  <c r="T367" i="12" s="1"/>
  <c r="U367" i="12" s="1"/>
  <c r="S237" i="12"/>
  <c r="T237" i="12" s="1"/>
  <c r="U237" i="12" s="1"/>
  <c r="L237" i="12"/>
  <c r="AE237" i="12" s="1"/>
  <c r="AE596" i="12"/>
  <c r="S645" i="12"/>
  <c r="T645" i="12" s="1"/>
  <c r="U645" i="12" s="1"/>
  <c r="L645" i="12"/>
  <c r="AE645" i="12" s="1"/>
  <c r="S427" i="12"/>
  <c r="T427" i="12" s="1"/>
  <c r="U427" i="12" s="1"/>
  <c r="L427" i="12"/>
  <c r="AE427" i="12" s="1"/>
  <c r="L455" i="12"/>
  <c r="AE455" i="12" s="1"/>
  <c r="S455" i="12"/>
  <c r="T455" i="12" s="1"/>
  <c r="U455" i="12" s="1"/>
  <c r="L955" i="12"/>
  <c r="S955" i="12"/>
  <c r="T955" i="12" s="1"/>
  <c r="U955" i="12" s="1"/>
  <c r="S534" i="12"/>
  <c r="T534" i="12" s="1"/>
  <c r="U534" i="12" s="1"/>
  <c r="L534" i="12"/>
  <c r="AE534" i="12" s="1"/>
  <c r="L809" i="12"/>
  <c r="AE809" i="12" s="1"/>
  <c r="S809" i="12"/>
  <c r="T809" i="12" s="1"/>
  <c r="U809" i="12" s="1"/>
  <c r="S189" i="12"/>
  <c r="T189" i="12" s="1"/>
  <c r="U189" i="12" s="1"/>
  <c r="L189" i="12"/>
  <c r="AE189" i="12" s="1"/>
  <c r="L31" i="12"/>
  <c r="AE31" i="12" s="1"/>
  <c r="S31" i="12"/>
  <c r="T31" i="12" s="1"/>
  <c r="U31" i="12" s="1"/>
  <c r="S548" i="12"/>
  <c r="T548" i="12" s="1"/>
  <c r="U548" i="12" s="1"/>
  <c r="L548" i="12"/>
  <c r="AE548" i="12" s="1"/>
  <c r="AE199" i="12"/>
  <c r="S81" i="12"/>
  <c r="T81" i="12" s="1"/>
  <c r="U81" i="12" s="1"/>
  <c r="L81" i="12"/>
  <c r="AE81" i="12" s="1"/>
  <c r="L44" i="1"/>
  <c r="K44" i="1" s="1"/>
  <c r="AE606" i="12"/>
  <c r="L571" i="12"/>
  <c r="AE571" i="12" s="1"/>
  <c r="S571" i="12"/>
  <c r="T571" i="12" s="1"/>
  <c r="U571" i="12" s="1"/>
  <c r="AE561" i="12"/>
  <c r="S146" i="12"/>
  <c r="T146" i="12" s="1"/>
  <c r="U146" i="12" s="1"/>
  <c r="L146" i="12"/>
  <c r="AE146" i="12" s="1"/>
  <c r="AE489" i="12"/>
  <c r="S251" i="12"/>
  <c r="T251" i="12" s="1"/>
  <c r="U251" i="12" s="1"/>
  <c r="L251" i="12"/>
  <c r="AE251" i="12" s="1"/>
  <c r="L226" i="12"/>
  <c r="AE226" i="12" s="1"/>
  <c r="S226" i="12"/>
  <c r="T226" i="12" s="1"/>
  <c r="U226" i="12" s="1"/>
  <c r="L219" i="12"/>
  <c r="AE219" i="12" s="1"/>
  <c r="S219" i="12"/>
  <c r="T219" i="12" s="1"/>
  <c r="U219" i="12" s="1"/>
  <c r="L187" i="12"/>
  <c r="AE187" i="12" s="1"/>
  <c r="S187" i="12"/>
  <c r="T187" i="12" s="1"/>
  <c r="U187" i="12" s="1"/>
  <c r="S161" i="12"/>
  <c r="T161" i="12" s="1"/>
  <c r="U161" i="12" s="1"/>
  <c r="L161" i="12"/>
  <c r="AE161" i="12" s="1"/>
  <c r="L382" i="12"/>
  <c r="AE382" i="12" s="1"/>
  <c r="S382" i="12"/>
  <c r="T382" i="12" s="1"/>
  <c r="U382" i="12" s="1"/>
  <c r="AE722" i="12"/>
  <c r="AE890" i="12"/>
  <c r="AE998" i="12"/>
  <c r="AE523" i="12"/>
  <c r="L511" i="12"/>
  <c r="AE511" i="12" s="1"/>
  <c r="S511" i="12"/>
  <c r="T511" i="12" s="1"/>
  <c r="U511" i="12" s="1"/>
  <c r="AE25" i="12"/>
  <c r="L636" i="12"/>
  <c r="AE636" i="12" s="1"/>
  <c r="S636" i="12"/>
  <c r="T636" i="12" s="1"/>
  <c r="U636" i="12" s="1"/>
  <c r="AE506" i="12"/>
  <c r="AE284" i="12"/>
  <c r="S255" i="12"/>
  <c r="T255" i="12" s="1"/>
  <c r="U255" i="12" s="1"/>
  <c r="L255" i="12"/>
  <c r="AE255" i="12" s="1"/>
  <c r="L108" i="12"/>
  <c r="AE108" i="12" s="1"/>
  <c r="S108" i="12"/>
  <c r="T108" i="12" s="1"/>
  <c r="U108" i="12" s="1"/>
  <c r="L6" i="12"/>
  <c r="S6" i="12"/>
  <c r="T6" i="12" s="1"/>
  <c r="U6" i="12" s="1"/>
  <c r="S454" i="12"/>
  <c r="T454" i="12" s="1"/>
  <c r="U454" i="12" s="1"/>
  <c r="L454" i="12"/>
  <c r="AE454" i="12" s="1"/>
  <c r="AE594" i="12"/>
  <c r="AE673" i="12"/>
  <c r="AE727" i="12"/>
  <c r="S844" i="12"/>
  <c r="T844" i="12" s="1"/>
  <c r="U844" i="12" s="1"/>
  <c r="L844" i="12"/>
  <c r="AE844" i="12" s="1"/>
  <c r="L897" i="12"/>
  <c r="AE897" i="12" s="1"/>
  <c r="S897" i="12"/>
  <c r="T897" i="12" s="1"/>
  <c r="U897" i="12" s="1"/>
  <c r="AE413" i="12"/>
  <c r="L100" i="12"/>
  <c r="S100" i="12"/>
  <c r="T100" i="12" s="1"/>
  <c r="U100" i="12" s="1"/>
  <c r="AE33" i="12"/>
  <c r="AE64" i="12"/>
  <c r="S446" i="12"/>
  <c r="T446" i="12" s="1"/>
  <c r="U446" i="12" s="1"/>
  <c r="L446" i="12"/>
  <c r="AE446" i="12" s="1"/>
  <c r="L710" i="12"/>
  <c r="AE710" i="12" s="1"/>
  <c r="S710" i="12"/>
  <c r="T710" i="12" s="1"/>
  <c r="U710" i="12" s="1"/>
  <c r="AE923" i="12"/>
  <c r="AE881" i="12"/>
  <c r="L979" i="12"/>
  <c r="AE979" i="12" s="1"/>
  <c r="S979" i="12"/>
  <c r="T979" i="12" s="1"/>
  <c r="U979" i="12" s="1"/>
  <c r="L925" i="12"/>
  <c r="AE925" i="12" s="1"/>
  <c r="S925" i="12"/>
  <c r="T925" i="12" s="1"/>
  <c r="U925" i="12" s="1"/>
  <c r="S600" i="12"/>
  <c r="T600" i="12" s="1"/>
  <c r="U600" i="12" s="1"/>
  <c r="L600" i="12"/>
  <c r="AE600" i="12" s="1"/>
  <c r="AE479" i="12"/>
  <c r="AE295" i="12"/>
  <c r="AE270" i="12"/>
  <c r="AE203" i="12"/>
  <c r="L154" i="12"/>
  <c r="AE154" i="12" s="1"/>
  <c r="S154" i="12"/>
  <c r="T154" i="12" s="1"/>
  <c r="U154" i="12" s="1"/>
  <c r="AE618" i="12"/>
  <c r="AE640" i="12"/>
  <c r="S714" i="12"/>
  <c r="T714" i="12" s="1"/>
  <c r="U714" i="12" s="1"/>
  <c r="L714" i="12"/>
  <c r="AE714" i="12" s="1"/>
  <c r="AE833" i="12"/>
  <c r="L853" i="12"/>
  <c r="AE853" i="12" s="1"/>
  <c r="S853" i="12"/>
  <c r="T853" i="12" s="1"/>
  <c r="U853" i="12" s="1"/>
  <c r="AE870" i="12"/>
  <c r="S911" i="12"/>
  <c r="T911" i="12" s="1"/>
  <c r="U911" i="12" s="1"/>
  <c r="L911" i="12"/>
  <c r="AE911" i="12" s="1"/>
  <c r="L192" i="12"/>
  <c r="AE192" i="12" s="1"/>
  <c r="S192" i="12"/>
  <c r="T192" i="12" s="1"/>
  <c r="U192" i="12" s="1"/>
  <c r="S182" i="12"/>
  <c r="T182" i="12" s="1"/>
  <c r="U182" i="12" s="1"/>
  <c r="L182" i="12"/>
  <c r="AE182" i="12" s="1"/>
  <c r="AE156" i="12"/>
  <c r="S104" i="12"/>
  <c r="T104" i="12" s="1"/>
  <c r="U104" i="12" s="1"/>
  <c r="L104" i="12"/>
  <c r="AE104" i="12" s="1"/>
  <c r="L84" i="12"/>
  <c r="AE84" i="12" s="1"/>
  <c r="S84" i="12"/>
  <c r="T84" i="12" s="1"/>
  <c r="U84" i="12" s="1"/>
  <c r="L401" i="12"/>
  <c r="AE401" i="12" s="1"/>
  <c r="S401" i="12"/>
  <c r="T401" i="12" s="1"/>
  <c r="U401" i="12" s="1"/>
  <c r="L929" i="12"/>
  <c r="AE929" i="12" s="1"/>
  <c r="S929" i="12"/>
  <c r="T929" i="12" s="1"/>
  <c r="U929" i="12" s="1"/>
  <c r="L597" i="12"/>
  <c r="AE597" i="12" s="1"/>
  <c r="S597" i="12"/>
  <c r="T597" i="12" s="1"/>
  <c r="U597" i="12" s="1"/>
  <c r="AE927" i="12"/>
  <c r="AE695" i="12"/>
  <c r="L857" i="12"/>
  <c r="AE857" i="12" s="1"/>
  <c r="S857" i="12"/>
  <c r="T857" i="12" s="1"/>
  <c r="U857" i="12" s="1"/>
  <c r="AE964" i="12"/>
  <c r="L277" i="12"/>
  <c r="AE277" i="12" s="1"/>
  <c r="S277" i="12"/>
  <c r="T277" i="12" s="1"/>
  <c r="U277" i="12" s="1"/>
  <c r="AE608" i="12"/>
  <c r="L781" i="12"/>
  <c r="AE781" i="12" s="1"/>
  <c r="S781" i="12"/>
  <c r="T781" i="12" s="1"/>
  <c r="U781" i="12" s="1"/>
  <c r="L537" i="12"/>
  <c r="AE537" i="12" s="1"/>
  <c r="S537" i="12"/>
  <c r="T537" i="12" s="1"/>
  <c r="U537" i="12" s="1"/>
  <c r="L849" i="12"/>
  <c r="AE849" i="12" s="1"/>
  <c r="S849" i="12"/>
  <c r="T849" i="12" s="1"/>
  <c r="U849" i="12" s="1"/>
  <c r="AE578" i="12"/>
  <c r="L767" i="12"/>
  <c r="AE767" i="12" s="1"/>
  <c r="S767" i="12"/>
  <c r="T767" i="12" s="1"/>
  <c r="U767" i="12" s="1"/>
  <c r="AE788" i="12"/>
  <c r="AE894" i="12"/>
  <c r="L476" i="12"/>
  <c r="AE476" i="12" s="1"/>
  <c r="S476" i="12"/>
  <c r="T476" i="12" s="1"/>
  <c r="U476" i="12" s="1"/>
  <c r="S526" i="12"/>
  <c r="T526" i="12" s="1"/>
  <c r="U526" i="12" s="1"/>
  <c r="L526" i="12"/>
  <c r="AE526" i="12" s="1"/>
  <c r="L620" i="12"/>
  <c r="AE620" i="12" s="1"/>
  <c r="S620" i="12"/>
  <c r="T620" i="12" s="1"/>
  <c r="U620" i="12" s="1"/>
  <c r="AE747" i="12"/>
  <c r="AE955" i="12"/>
  <c r="L457" i="12"/>
  <c r="AE457" i="12" s="1"/>
  <c r="S457" i="12"/>
  <c r="T457" i="12" s="1"/>
  <c r="U457" i="12" s="1"/>
  <c r="AE593" i="12"/>
  <c r="L941" i="12"/>
  <c r="AE941" i="12" s="1"/>
  <c r="S941" i="12"/>
  <c r="T941" i="12" s="1"/>
  <c r="U941" i="12" s="1"/>
  <c r="AE915" i="12"/>
  <c r="S604" i="12"/>
  <c r="T604" i="12" s="1"/>
  <c r="U604" i="12" s="1"/>
  <c r="L604" i="12"/>
  <c r="AE604" i="12" s="1"/>
  <c r="AE622" i="12"/>
  <c r="AE662" i="12"/>
  <c r="AE793" i="12"/>
  <c r="AE879" i="12"/>
  <c r="L390" i="12"/>
  <c r="AE390" i="12" s="1"/>
  <c r="S390" i="12"/>
  <c r="T390" i="12" s="1"/>
  <c r="U390" i="12" s="1"/>
  <c r="L576" i="12"/>
  <c r="AE576" i="12" s="1"/>
  <c r="S576" i="12"/>
  <c r="T576" i="12" s="1"/>
  <c r="U576" i="12" s="1"/>
  <c r="L644" i="12"/>
  <c r="AE644" i="12" s="1"/>
  <c r="S644" i="12"/>
  <c r="T644" i="12" s="1"/>
  <c r="U644" i="12" s="1"/>
  <c r="S746" i="12"/>
  <c r="T746" i="12" s="1"/>
  <c r="U746" i="12" s="1"/>
  <c r="L746" i="12"/>
  <c r="AE746" i="12" s="1"/>
  <c r="S792" i="12"/>
  <c r="T792" i="12" s="1"/>
  <c r="U792" i="12" s="1"/>
  <c r="L792" i="12"/>
  <c r="AE792" i="12" s="1"/>
  <c r="AE968" i="12"/>
  <c r="S543" i="12"/>
  <c r="T543" i="12" s="1"/>
  <c r="U543" i="12" s="1"/>
  <c r="L543" i="12"/>
  <c r="AE543" i="12" s="1"/>
  <c r="AE650" i="12"/>
  <c r="L814" i="12"/>
  <c r="AE814" i="12" s="1"/>
  <c r="S814" i="12"/>
  <c r="T814" i="12" s="1"/>
  <c r="U814" i="12" s="1"/>
  <c r="L842" i="12"/>
  <c r="AE842" i="12" s="1"/>
  <c r="S842" i="12"/>
  <c r="T842" i="12" s="1"/>
  <c r="U842" i="12" s="1"/>
  <c r="AE459" i="12"/>
  <c r="S580" i="12"/>
  <c r="T580" i="12" s="1"/>
  <c r="U580" i="12" s="1"/>
  <c r="L580" i="12"/>
  <c r="AE580" i="12" s="1"/>
  <c r="S245" i="12"/>
  <c r="T245" i="12" s="1"/>
  <c r="U245" i="12" s="1"/>
  <c r="L245" i="12"/>
  <c r="AE245" i="12" s="1"/>
  <c r="AE132" i="12"/>
  <c r="AE320" i="12"/>
  <c r="AE717" i="12"/>
  <c r="L991" i="12"/>
  <c r="AE991" i="12" s="1"/>
  <c r="S991" i="12"/>
  <c r="T991" i="12" s="1"/>
  <c r="U991" i="12" s="1"/>
  <c r="AE626" i="12"/>
  <c r="AE409" i="12"/>
  <c r="AE95" i="12"/>
  <c r="AE7" i="12"/>
  <c r="AE602" i="12"/>
  <c r="AE701" i="12"/>
  <c r="L525" i="12"/>
  <c r="AE525" i="12" s="1"/>
  <c r="S525" i="12"/>
  <c r="T525" i="12" s="1"/>
  <c r="U525" i="12" s="1"/>
  <c r="AE364" i="12"/>
  <c r="AE55" i="12"/>
  <c r="S126" i="12"/>
  <c r="T126" i="12" s="1"/>
  <c r="U126" i="12" s="1"/>
  <c r="L126" i="12"/>
  <c r="AE126" i="12" s="1"/>
  <c r="AE6" i="12"/>
  <c r="S884" i="12"/>
  <c r="T884" i="12" s="1"/>
  <c r="U884" i="12" s="1"/>
  <c r="L884" i="12"/>
  <c r="AE884" i="12" s="1"/>
  <c r="AE298" i="12"/>
  <c r="AE204" i="12"/>
  <c r="AE190" i="12"/>
  <c r="AE100" i="12"/>
  <c r="AE56" i="12"/>
  <c r="AE552" i="12"/>
  <c r="L887" i="12"/>
  <c r="AE887" i="12" s="1"/>
  <c r="S887" i="12"/>
  <c r="T887" i="12" s="1"/>
  <c r="U887" i="12" s="1"/>
  <c r="L999" i="12"/>
  <c r="AE999" i="12" s="1"/>
  <c r="S999" i="12"/>
  <c r="T999" i="12" s="1"/>
  <c r="U999" i="12" s="1"/>
  <c r="AE356" i="12"/>
  <c r="L240" i="12"/>
  <c r="AE240" i="12" s="1"/>
  <c r="S240" i="12"/>
  <c r="T240" i="12" s="1"/>
  <c r="U240" i="12" s="1"/>
  <c r="AE312" i="12"/>
  <c r="L145" i="12"/>
  <c r="AE145" i="12" s="1"/>
  <c r="S145" i="12"/>
  <c r="T145" i="12" s="1"/>
  <c r="U145" i="12" s="1"/>
  <c r="L77" i="12"/>
  <c r="AE77" i="12" s="1"/>
  <c r="S77" i="12"/>
  <c r="T77" i="12" s="1"/>
  <c r="U77" i="12" s="1"/>
  <c r="AE631" i="12"/>
  <c r="AE719" i="12"/>
  <c r="L779" i="12"/>
  <c r="AE779" i="12" s="1"/>
  <c r="S779" i="12"/>
  <c r="T779" i="12" s="1"/>
  <c r="U779" i="12" s="1"/>
  <c r="L861" i="12"/>
  <c r="AE861" i="12" s="1"/>
  <c r="S861" i="12"/>
  <c r="T861" i="12" s="1"/>
  <c r="U861" i="12" s="1"/>
  <c r="AE3" i="12"/>
  <c r="AE116" i="12"/>
  <c r="AE434" i="12"/>
  <c r="L96" i="12"/>
  <c r="AE96" i="12" s="1"/>
  <c r="S96" i="12"/>
  <c r="T96" i="12" s="1"/>
  <c r="U96" i="12" s="1"/>
  <c r="L166" i="12"/>
  <c r="AE166" i="12" s="1"/>
  <c r="S166" i="12"/>
  <c r="T166" i="12" s="1"/>
  <c r="U166" i="12" s="1"/>
  <c r="AE449" i="12"/>
  <c r="S261" i="12"/>
  <c r="T261" i="12" s="1"/>
  <c r="U261" i="12" s="1"/>
  <c r="L261" i="12"/>
  <c r="AE261" i="12" s="1"/>
  <c r="AE225" i="12"/>
  <c r="L191" i="12"/>
  <c r="AE191" i="12" s="1"/>
  <c r="S191" i="12"/>
  <c r="T191" i="12" s="1"/>
  <c r="U191" i="12" s="1"/>
  <c r="AE326" i="12"/>
  <c r="AE670" i="12"/>
  <c r="AE808" i="12"/>
  <c r="L379" i="12"/>
  <c r="AE379" i="12" s="1"/>
  <c r="S379" i="12"/>
  <c r="T379" i="12" s="1"/>
  <c r="U379" i="12" s="1"/>
  <c r="L55" i="1"/>
  <c r="K55" i="1" s="1"/>
  <c r="L58" i="1"/>
  <c r="K58" i="1" s="1"/>
  <c r="L43" i="1"/>
  <c r="K43" i="1" s="1"/>
  <c r="A9" i="17" l="1"/>
  <c r="E8" i="17"/>
  <c r="A10" i="17" l="1"/>
  <c r="E9" i="17"/>
  <c r="A11" i="17" l="1"/>
  <c r="E10" i="17"/>
  <c r="E11" i="17" l="1"/>
  <c r="A12" i="17"/>
  <c r="A13" i="17" l="1"/>
  <c r="E12" i="17"/>
  <c r="A14" i="17" l="1"/>
  <c r="E13" i="17"/>
  <c r="A15" i="17" l="1"/>
  <c r="E14" i="17"/>
  <c r="E15" i="17" l="1"/>
  <c r="A16" i="17"/>
  <c r="A17" i="17" l="1"/>
  <c r="E16" i="17"/>
  <c r="A18" i="17" l="1"/>
  <c r="E17" i="17"/>
  <c r="A19" i="17" l="1"/>
  <c r="E18" i="17"/>
  <c r="E19" i="17" l="1"/>
  <c r="A20" i="17"/>
  <c r="A21" i="17" l="1"/>
  <c r="E20" i="17"/>
  <c r="A22" i="17" l="1"/>
  <c r="E21" i="17"/>
  <c r="A23" i="17" l="1"/>
  <c r="E22" i="17"/>
  <c r="E23" i="17" l="1"/>
  <c r="A24" i="17"/>
  <c r="A25" i="17" l="1"/>
  <c r="E24" i="17"/>
  <c r="A26" i="17" l="1"/>
  <c r="E25" i="17"/>
  <c r="A27" i="17" l="1"/>
  <c r="E26" i="17"/>
  <c r="E27" i="17" l="1"/>
  <c r="A28" i="17"/>
  <c r="A29" i="17" l="1"/>
  <c r="E28" i="17"/>
  <c r="A30" i="17" l="1"/>
  <c r="E29" i="17"/>
  <c r="A31" i="17" l="1"/>
  <c r="E30" i="17"/>
  <c r="E31" i="17" l="1"/>
  <c r="A32" i="17"/>
  <c r="A33" i="17" l="1"/>
  <c r="E32" i="17"/>
  <c r="A34" i="17" l="1"/>
  <c r="E33" i="17"/>
  <c r="A35" i="17" l="1"/>
  <c r="E34" i="17"/>
  <c r="E35" i="17" l="1"/>
  <c r="A36" i="17"/>
  <c r="A37" i="17" l="1"/>
  <c r="E36" i="17"/>
  <c r="A38" i="17" l="1"/>
  <c r="E37" i="17"/>
  <c r="A39" i="17" l="1"/>
  <c r="E38" i="17"/>
  <c r="E39" i="17" l="1"/>
  <c r="A40" i="17"/>
  <c r="A41" i="17" l="1"/>
  <c r="E40" i="17"/>
  <c r="A42" i="17" l="1"/>
  <c r="E41" i="17"/>
  <c r="A43" i="17" l="1"/>
  <c r="E42" i="17"/>
  <c r="E43" i="17" l="1"/>
  <c r="A44" i="17"/>
  <c r="A45" i="17" l="1"/>
  <c r="E44" i="17"/>
  <c r="A46" i="17" l="1"/>
  <c r="E45" i="17"/>
  <c r="A47" i="17" l="1"/>
  <c r="E46" i="17"/>
  <c r="E47" i="17" l="1"/>
  <c r="A48" i="17"/>
  <c r="A49" i="17" l="1"/>
  <c r="E48" i="17"/>
  <c r="A50" i="17" l="1"/>
  <c r="E49" i="17"/>
  <c r="A51" i="17" l="1"/>
  <c r="E50" i="17"/>
  <c r="E51" i="17" l="1"/>
  <c r="A52" i="17"/>
  <c r="A53" i="17" l="1"/>
  <c r="E52" i="17"/>
  <c r="A54" i="17" l="1"/>
  <c r="E53" i="17"/>
  <c r="A55" i="17" l="1"/>
  <c r="E54" i="17"/>
  <c r="E55" i="17" l="1"/>
  <c r="A56" i="17"/>
  <c r="A57" i="17" l="1"/>
  <c r="E56" i="17"/>
  <c r="A58" i="17" l="1"/>
  <c r="E57" i="17"/>
  <c r="A59" i="17" l="1"/>
  <c r="E58" i="17"/>
  <c r="E59" i="17" l="1"/>
  <c r="A60" i="17"/>
  <c r="A61" i="17" l="1"/>
  <c r="E60" i="17"/>
  <c r="A62" i="17" l="1"/>
  <c r="E61" i="17"/>
  <c r="A63" i="17" l="1"/>
  <c r="E62" i="17"/>
  <c r="E63" i="17" l="1"/>
  <c r="A64" i="17"/>
  <c r="A65" i="17" l="1"/>
  <c r="E64" i="17"/>
  <c r="A66" i="17" l="1"/>
  <c r="E65" i="17"/>
  <c r="A67" i="17" l="1"/>
  <c r="E66" i="17"/>
  <c r="E67" i="17" l="1"/>
  <c r="A68" i="17"/>
  <c r="A69" i="17" l="1"/>
  <c r="E68" i="17"/>
  <c r="A70" i="17" l="1"/>
  <c r="E69" i="17"/>
  <c r="A71" i="17" l="1"/>
  <c r="E70" i="17"/>
  <c r="E71" i="17" l="1"/>
  <c r="A72" i="17"/>
  <c r="A73" i="17" l="1"/>
  <c r="E72" i="17"/>
  <c r="A74" i="17" l="1"/>
  <c r="E73" i="17"/>
  <c r="A75" i="17" l="1"/>
  <c r="E74" i="17"/>
  <c r="E75" i="17" l="1"/>
  <c r="A76" i="17"/>
  <c r="A77" i="17" l="1"/>
  <c r="E76" i="17"/>
  <c r="A78" i="17" l="1"/>
  <c r="E77" i="17"/>
  <c r="A79" i="17" l="1"/>
  <c r="E78" i="17"/>
  <c r="E79" i="17" l="1"/>
  <c r="A80" i="17"/>
  <c r="A81" i="17" l="1"/>
  <c r="E80" i="17"/>
  <c r="A82" i="17" l="1"/>
  <c r="E81" i="17"/>
  <c r="A83" i="17" l="1"/>
  <c r="E82" i="17"/>
  <c r="E83" i="17" l="1"/>
  <c r="A84" i="17"/>
  <c r="A85" i="17" l="1"/>
  <c r="E84" i="17"/>
  <c r="A86" i="17" l="1"/>
  <c r="E85" i="17"/>
  <c r="A87" i="17" l="1"/>
  <c r="E86" i="17"/>
  <c r="E87" i="17" l="1"/>
  <c r="A88" i="17"/>
  <c r="A89" i="17" l="1"/>
  <c r="E88" i="17"/>
  <c r="A90" i="17" l="1"/>
  <c r="E89" i="17"/>
  <c r="A91" i="17" l="1"/>
  <c r="E90" i="17"/>
  <c r="E91" i="17" l="1"/>
  <c r="A92" i="17"/>
  <c r="A93" i="17" l="1"/>
  <c r="E92" i="17"/>
  <c r="A94" i="17" l="1"/>
  <c r="E93" i="17"/>
  <c r="A95" i="17" l="1"/>
  <c r="E94" i="17"/>
  <c r="E95" i="17" l="1"/>
  <c r="A96" i="17"/>
  <c r="A97" i="17" l="1"/>
  <c r="E96" i="17"/>
  <c r="A98" i="17" l="1"/>
  <c r="E97" i="17"/>
  <c r="A99" i="17" l="1"/>
  <c r="E98" i="17"/>
  <c r="E99" i="17" l="1"/>
  <c r="A100" i="17"/>
  <c r="A101" i="17" l="1"/>
  <c r="E100" i="17"/>
  <c r="A102" i="17" l="1"/>
  <c r="E101" i="17"/>
  <c r="A103" i="17" l="1"/>
  <c r="E102" i="17"/>
  <c r="E103" i="17" l="1"/>
  <c r="A104" i="17"/>
  <c r="A105" i="17" l="1"/>
  <c r="E104" i="17"/>
  <c r="A106" i="17" l="1"/>
  <c r="E105" i="17"/>
  <c r="A107" i="17" l="1"/>
  <c r="E106" i="17"/>
  <c r="E107" i="17" l="1"/>
  <c r="A108" i="17"/>
  <c r="A109" i="17" l="1"/>
  <c r="E108" i="17"/>
  <c r="A110" i="17" l="1"/>
  <c r="E109" i="17"/>
  <c r="A111" i="17" l="1"/>
  <c r="E110" i="17"/>
  <c r="E111" i="17" l="1"/>
  <c r="A112" i="17"/>
  <c r="A113" i="17" l="1"/>
  <c r="E112" i="17"/>
  <c r="A114" i="17" l="1"/>
  <c r="E113" i="17"/>
  <c r="A115" i="17" l="1"/>
  <c r="E114" i="17"/>
  <c r="E115" i="17" l="1"/>
  <c r="A116" i="17"/>
  <c r="A117" i="17" l="1"/>
  <c r="E116" i="17"/>
  <c r="A118" i="17" l="1"/>
  <c r="E117" i="17"/>
  <c r="A119" i="17" l="1"/>
  <c r="E118" i="17"/>
  <c r="E119" i="17" l="1"/>
  <c r="A120" i="17"/>
  <c r="A121" i="17" l="1"/>
  <c r="E120" i="17"/>
  <c r="A122" i="17" l="1"/>
  <c r="E121" i="17"/>
  <c r="A123" i="17" l="1"/>
  <c r="E122" i="17"/>
  <c r="E123" i="17" l="1"/>
  <c r="A124" i="17"/>
  <c r="A125" i="17" l="1"/>
  <c r="E124" i="17"/>
  <c r="A126" i="17" l="1"/>
  <c r="E125" i="17"/>
  <c r="A127" i="17" l="1"/>
  <c r="E126" i="17"/>
  <c r="E127" i="17" l="1"/>
  <c r="A128" i="17"/>
  <c r="A129" i="17" l="1"/>
  <c r="E128" i="17"/>
  <c r="A130" i="17" l="1"/>
  <c r="E129" i="17"/>
  <c r="A131" i="17" l="1"/>
  <c r="E130" i="17"/>
  <c r="E131" i="17" l="1"/>
  <c r="A132" i="17"/>
  <c r="A133" i="17" l="1"/>
  <c r="E132" i="17"/>
  <c r="A134" i="17" l="1"/>
  <c r="E133" i="17"/>
  <c r="A135" i="17" l="1"/>
  <c r="E134" i="17"/>
  <c r="E135" i="17" l="1"/>
  <c r="A136" i="17"/>
  <c r="A137" i="17" l="1"/>
  <c r="E136" i="17"/>
  <c r="A138" i="17" l="1"/>
  <c r="E137" i="17"/>
  <c r="A139" i="17" l="1"/>
  <c r="E138" i="17"/>
  <c r="E139" i="17" l="1"/>
  <c r="A140" i="17"/>
  <c r="A141" i="17" l="1"/>
  <c r="E140" i="17"/>
  <c r="A142" i="17" l="1"/>
  <c r="E141" i="17"/>
  <c r="A143" i="17" l="1"/>
  <c r="E142" i="17"/>
  <c r="E143" i="17" l="1"/>
  <c r="A144" i="17"/>
  <c r="A145" i="17" l="1"/>
  <c r="E144" i="17"/>
  <c r="A146" i="17" l="1"/>
  <c r="E145" i="17"/>
  <c r="A147" i="17" l="1"/>
  <c r="E146" i="17"/>
  <c r="E147" i="17" l="1"/>
  <c r="A148" i="17"/>
  <c r="A149" i="17" l="1"/>
  <c r="E148" i="17"/>
  <c r="A150" i="17" l="1"/>
  <c r="E149" i="17"/>
  <c r="A151" i="17" l="1"/>
  <c r="E150" i="17"/>
  <c r="E151" i="17" l="1"/>
  <c r="A152" i="17"/>
  <c r="A153" i="17" l="1"/>
  <c r="E152" i="17"/>
  <c r="A154" i="17" l="1"/>
  <c r="E153" i="17"/>
  <c r="A155" i="17" l="1"/>
  <c r="E154" i="17"/>
  <c r="E155" i="17" l="1"/>
  <c r="A156" i="17"/>
  <c r="A157" i="17" l="1"/>
  <c r="E156" i="17"/>
  <c r="A158" i="17" l="1"/>
  <c r="E157" i="17"/>
  <c r="A159" i="17" l="1"/>
  <c r="E158" i="17"/>
  <c r="E159" i="17" l="1"/>
  <c r="A160" i="17"/>
  <c r="A161" i="17" l="1"/>
  <c r="E160" i="17"/>
  <c r="A162" i="17" l="1"/>
  <c r="E161" i="17"/>
  <c r="A163" i="17" l="1"/>
  <c r="E162" i="17"/>
  <c r="E163" i="17" l="1"/>
  <c r="A164" i="17"/>
  <c r="A165" i="17" l="1"/>
  <c r="E164" i="17"/>
  <c r="A166" i="17" l="1"/>
  <c r="E165" i="17"/>
  <c r="A167" i="17" l="1"/>
  <c r="E166" i="17"/>
  <c r="E167" i="17" l="1"/>
  <c r="A168" i="17"/>
  <c r="A169" i="17" l="1"/>
  <c r="E168" i="17"/>
  <c r="A170" i="17" l="1"/>
  <c r="E169" i="17"/>
  <c r="A171" i="17" l="1"/>
  <c r="E170" i="17"/>
  <c r="E171" i="17" l="1"/>
  <c r="A172" i="17"/>
  <c r="A173" i="17" l="1"/>
  <c r="E172" i="17"/>
  <c r="A174" i="17" l="1"/>
  <c r="E173" i="17"/>
  <c r="A175" i="17" l="1"/>
  <c r="E174" i="17"/>
  <c r="E175" i="17" l="1"/>
  <c r="A176" i="17"/>
  <c r="A177" i="17" l="1"/>
  <c r="E176" i="17"/>
  <c r="A178" i="17" l="1"/>
  <c r="E177" i="17"/>
  <c r="A179" i="17" l="1"/>
  <c r="E178" i="17"/>
  <c r="E179" i="17" l="1"/>
  <c r="A180" i="17"/>
  <c r="A181" i="17" l="1"/>
  <c r="E180" i="17"/>
  <c r="A182" i="17" l="1"/>
  <c r="E181" i="17"/>
  <c r="A183" i="17" l="1"/>
  <c r="E182" i="17"/>
  <c r="E183" i="17" l="1"/>
  <c r="A184" i="17"/>
  <c r="A185" i="17" l="1"/>
  <c r="E184" i="17"/>
  <c r="A186" i="17" l="1"/>
  <c r="E185" i="17"/>
  <c r="A187" i="17" l="1"/>
  <c r="E186" i="17"/>
  <c r="E187" i="17" l="1"/>
  <c r="A188" i="17"/>
  <c r="A189" i="17" l="1"/>
  <c r="E188" i="17"/>
  <c r="A190" i="17" l="1"/>
  <c r="E189" i="17"/>
  <c r="A191" i="17" l="1"/>
  <c r="E190" i="17"/>
  <c r="E191" i="17" l="1"/>
  <c r="A192" i="17"/>
  <c r="A193" i="17" l="1"/>
  <c r="E192" i="17"/>
  <c r="A194" i="17" l="1"/>
  <c r="E193" i="17"/>
  <c r="A195" i="17" l="1"/>
  <c r="E194" i="17"/>
  <c r="E195" i="17" l="1"/>
  <c r="A196" i="17"/>
  <c r="A197" i="17" l="1"/>
  <c r="E196" i="17"/>
  <c r="A198" i="17" l="1"/>
  <c r="E197" i="17"/>
  <c r="A199" i="17" l="1"/>
  <c r="E198" i="17"/>
  <c r="E199" i="17" l="1"/>
  <c r="A200" i="17"/>
  <c r="A201" i="17" l="1"/>
  <c r="E200" i="17"/>
  <c r="A202" i="17" l="1"/>
  <c r="E201" i="17"/>
  <c r="A203" i="17" l="1"/>
  <c r="E202" i="17"/>
  <c r="E203" i="17" l="1"/>
  <c r="A204" i="17"/>
  <c r="A205" i="17" l="1"/>
  <c r="E204" i="17"/>
  <c r="A206" i="17" l="1"/>
  <c r="E205" i="17"/>
  <c r="A207" i="17" l="1"/>
  <c r="E206" i="17"/>
  <c r="E207" i="17" l="1"/>
  <c r="A208" i="17"/>
  <c r="A209" i="17" l="1"/>
  <c r="E208" i="17"/>
  <c r="A210" i="17" l="1"/>
  <c r="E209" i="17"/>
  <c r="A211" i="17" l="1"/>
  <c r="E210" i="17"/>
  <c r="E211" i="17" l="1"/>
  <c r="A212" i="17"/>
  <c r="A213" i="17" l="1"/>
  <c r="E212" i="17"/>
  <c r="A214" i="17" l="1"/>
  <c r="E213" i="17"/>
  <c r="A215" i="17" l="1"/>
  <c r="E214" i="17"/>
  <c r="E215" i="17" l="1"/>
  <c r="A216" i="17"/>
  <c r="A217" i="17" l="1"/>
  <c r="E216" i="17"/>
  <c r="A218" i="17" l="1"/>
  <c r="E217" i="17"/>
  <c r="A219" i="17" l="1"/>
  <c r="E218" i="17"/>
  <c r="E219" i="17" l="1"/>
  <c r="A220" i="17"/>
  <c r="A221" i="17" l="1"/>
  <c r="E220" i="17"/>
  <c r="A222" i="17" l="1"/>
  <c r="E221" i="17"/>
  <c r="A223" i="17" l="1"/>
  <c r="E222" i="17"/>
  <c r="E223" i="17" l="1"/>
  <c r="A224" i="17"/>
  <c r="A225" i="17" l="1"/>
  <c r="E224" i="17"/>
  <c r="E225" i="17" l="1"/>
  <c r="A226" i="17"/>
  <c r="A227" i="17" l="1"/>
  <c r="E226" i="17"/>
  <c r="A228" i="17" l="1"/>
  <c r="E227" i="17"/>
  <c r="A229" i="17" l="1"/>
  <c r="E228" i="17"/>
  <c r="E229" i="17" l="1"/>
  <c r="A230" i="17"/>
  <c r="E230" i="17" l="1"/>
  <c r="A231" i="17"/>
  <c r="A232" i="17" l="1"/>
  <c r="E231" i="17"/>
  <c r="E232" i="17" l="1"/>
  <c r="A233" i="17"/>
  <c r="E233" i="17" l="1"/>
  <c r="A234" i="17"/>
  <c r="E234" i="17" l="1"/>
  <c r="A235" i="17"/>
  <c r="A236" i="17" l="1"/>
  <c r="E235" i="17"/>
  <c r="A237" i="17" l="1"/>
  <c r="E236" i="17"/>
  <c r="E237" i="17" l="1"/>
  <c r="A238" i="17"/>
  <c r="E238" i="17" l="1"/>
  <c r="A239" i="17"/>
  <c r="A240" i="17" l="1"/>
  <c r="E239" i="17"/>
  <c r="A241" i="17" l="1"/>
  <c r="E240" i="17"/>
  <c r="E241" i="17" l="1"/>
  <c r="A242" i="17"/>
  <c r="E242" i="17" l="1"/>
  <c r="A243" i="17"/>
  <c r="A244" i="17" l="1"/>
  <c r="E243" i="17"/>
  <c r="A245" i="17" l="1"/>
  <c r="E244" i="17"/>
  <c r="E245" i="17" l="1"/>
  <c r="A246" i="17"/>
  <c r="E246" i="17" l="1"/>
  <c r="A247" i="17"/>
  <c r="E247" i="17" l="1"/>
  <c r="A248" i="17"/>
  <c r="A249" i="17" l="1"/>
  <c r="E248" i="17"/>
  <c r="E249" i="17" l="1"/>
  <c r="A250" i="17"/>
  <c r="E250" i="17" l="1"/>
  <c r="A251" i="17"/>
  <c r="A252" i="17" l="1"/>
  <c r="E251" i="17"/>
  <c r="A253" i="17" l="1"/>
  <c r="E252" i="17"/>
  <c r="E253" i="17" l="1"/>
  <c r="A254" i="17"/>
  <c r="E254" i="17" l="1"/>
  <c r="A255" i="17"/>
  <c r="A256" i="17" l="1"/>
  <c r="E255" i="17"/>
  <c r="E256" i="17" l="1"/>
  <c r="A257" i="17"/>
  <c r="E257" i="17" l="1"/>
  <c r="A258" i="17"/>
  <c r="E258" i="17" l="1"/>
  <c r="A259" i="17"/>
  <c r="A260" i="17" l="1"/>
  <c r="E259" i="17"/>
  <c r="A261" i="17" l="1"/>
  <c r="E260" i="17"/>
  <c r="E261" i="17" l="1"/>
  <c r="A262" i="17"/>
  <c r="E262" i="17" l="1"/>
  <c r="A263" i="17"/>
  <c r="E263" i="17" l="1"/>
  <c r="A264" i="17"/>
  <c r="A265" i="17" l="1"/>
  <c r="E264" i="17"/>
  <c r="E265" i="17" l="1"/>
  <c r="A266" i="17"/>
  <c r="E266" i="17" l="1"/>
  <c r="A267" i="17"/>
  <c r="E267" i="17" l="1"/>
  <c r="A268" i="17"/>
  <c r="A269" i="17" l="1"/>
  <c r="E268" i="17"/>
  <c r="A270" i="17" l="1"/>
  <c r="E269" i="17"/>
  <c r="E270" i="17" l="1"/>
  <c r="A271" i="17"/>
  <c r="E271" i="17" l="1"/>
  <c r="A272" i="17"/>
  <c r="A273" i="17" l="1"/>
  <c r="E272" i="17"/>
  <c r="A274" i="17" l="1"/>
  <c r="E273" i="17"/>
  <c r="E274" i="17" l="1"/>
  <c r="A275" i="17"/>
  <c r="E275" i="17" l="1"/>
  <c r="A276" i="17"/>
  <c r="A277" i="17" l="1"/>
  <c r="E276" i="17"/>
  <c r="A278" i="17" l="1"/>
  <c r="E277" i="17"/>
  <c r="E278" i="17" l="1"/>
  <c r="A279" i="17"/>
  <c r="E279" i="17" l="1"/>
  <c r="A280" i="17"/>
  <c r="A281" i="17" l="1"/>
  <c r="E280" i="17"/>
  <c r="A282" i="17" l="1"/>
  <c r="E281" i="17"/>
  <c r="E282" i="17" l="1"/>
  <c r="A283" i="17"/>
  <c r="E283" i="17" l="1"/>
  <c r="A284" i="17"/>
  <c r="A285" i="17" l="1"/>
  <c r="E284" i="17"/>
  <c r="A286" i="17" l="1"/>
  <c r="E285" i="17"/>
  <c r="E286" i="17" l="1"/>
  <c r="A287" i="17"/>
  <c r="E287" i="17" l="1"/>
  <c r="A288" i="17"/>
  <c r="A289" i="17" l="1"/>
  <c r="E288" i="17"/>
  <c r="A290" i="17" l="1"/>
  <c r="E289" i="17"/>
  <c r="E290" i="17" l="1"/>
  <c r="A291" i="17"/>
  <c r="E291" i="17" l="1"/>
  <c r="A292" i="17"/>
  <c r="A293" i="17" l="1"/>
  <c r="E292" i="17"/>
  <c r="A294" i="17" l="1"/>
  <c r="E293" i="17"/>
  <c r="E294" i="17" l="1"/>
  <c r="A295" i="17"/>
  <c r="E295" i="17" l="1"/>
  <c r="A296" i="17"/>
  <c r="A297" i="17" l="1"/>
  <c r="E296" i="17"/>
  <c r="A298" i="17" l="1"/>
  <c r="E297" i="17"/>
  <c r="E298" i="17" l="1"/>
  <c r="A299" i="17"/>
  <c r="E299" i="17" l="1"/>
  <c r="A300" i="17"/>
  <c r="A301" i="17" l="1"/>
  <c r="E300" i="17"/>
  <c r="A302" i="17" l="1"/>
  <c r="E301" i="17"/>
  <c r="E302" i="17" l="1"/>
  <c r="A303" i="17"/>
  <c r="E303" i="17" l="1"/>
  <c r="A304" i="17"/>
  <c r="A305" i="17" l="1"/>
  <c r="E304" i="17"/>
  <c r="A306" i="17" l="1"/>
  <c r="E305" i="17"/>
  <c r="E306" i="17" l="1"/>
  <c r="A307" i="17"/>
  <c r="E307" i="17" l="1"/>
  <c r="A308" i="17"/>
  <c r="A309" i="17" l="1"/>
  <c r="E308" i="17"/>
  <c r="A310" i="17" l="1"/>
  <c r="E309" i="17"/>
  <c r="E310" i="17" l="1"/>
  <c r="A311" i="17"/>
  <c r="E311" i="17" l="1"/>
  <c r="A312" i="17"/>
  <c r="A313" i="17" l="1"/>
  <c r="E312" i="17"/>
  <c r="A314" i="17" l="1"/>
  <c r="E313" i="17"/>
  <c r="E314" i="17" l="1"/>
  <c r="A315" i="17"/>
  <c r="E315" i="17" l="1"/>
  <c r="A316" i="17"/>
  <c r="A317" i="17" l="1"/>
  <c r="E316" i="17"/>
  <c r="A318" i="17" l="1"/>
  <c r="E317" i="17"/>
  <c r="E318" i="17" l="1"/>
  <c r="A319" i="17"/>
  <c r="E319" i="17" l="1"/>
  <c r="A320" i="17"/>
  <c r="A321" i="17" l="1"/>
  <c r="E320" i="17"/>
  <c r="A322" i="17" l="1"/>
  <c r="E321" i="17"/>
  <c r="E322" i="17" l="1"/>
  <c r="A323" i="17"/>
  <c r="E323" i="17" l="1"/>
  <c r="A324" i="17"/>
  <c r="A325" i="17" l="1"/>
  <c r="E324" i="17"/>
  <c r="A326" i="17" l="1"/>
  <c r="E325" i="17"/>
  <c r="E326" i="17" l="1"/>
  <c r="A327" i="17"/>
  <c r="E327" i="17" l="1"/>
  <c r="A328" i="17"/>
  <c r="A329" i="17" l="1"/>
  <c r="E328" i="17"/>
  <c r="A330" i="17" l="1"/>
  <c r="E329" i="17"/>
  <c r="E330" i="17" l="1"/>
  <c r="A331" i="17"/>
  <c r="E331" i="17" l="1"/>
  <c r="A332" i="17"/>
  <c r="A333" i="17" l="1"/>
  <c r="E332" i="17"/>
  <c r="A334" i="17" l="1"/>
  <c r="E333" i="17"/>
  <c r="E334" i="17" l="1"/>
  <c r="A335" i="17"/>
  <c r="E335" i="17" l="1"/>
  <c r="A336" i="17"/>
  <c r="A337" i="17" l="1"/>
  <c r="E336" i="17"/>
  <c r="A338" i="17" l="1"/>
  <c r="E338" i="17" s="1"/>
  <c r="E337"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Q4" authorId="0" shapeId="0" xr:uid="{00000000-0006-0000-0700-000002000000}">
      <text>
        <r>
          <rPr>
            <sz val="10"/>
            <color rgb="FF000000"/>
            <rFont val="Arial"/>
          </rPr>
          <t>666
	-Chris “Kahdahlung716” Dickinson
?
	-Samuel Gilbert (Slub77)
_Marked as resolved_
	-Chris “Kahdahlung716” Dickinson
_Re-opened_
	-Chris “Kahdahlung716” Dickinson</t>
        </r>
      </text>
    </comment>
    <comment ref="A6" authorId="0" shapeId="0" xr:uid="{00000000-0006-0000-0700-000001000000}">
      <text>
        <r>
          <rPr>
            <sz val="10"/>
            <color rgb="FF000000"/>
            <rFont val="Arial"/>
          </rPr>
          <t xml:space="preserve">How many family's have a land Lord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6" authorId="0" shapeId="0" xr:uid="{00000000-0006-0000-0900-000001000000}">
      <text>
        <r>
          <rPr>
            <sz val="10"/>
            <color rgb="FF000000"/>
            <rFont val="Arial"/>
          </rPr>
          <t xml:space="preserve">How many family's have a land Lord
</t>
        </r>
      </text>
    </comment>
  </commentList>
</comments>
</file>

<file path=xl/sharedStrings.xml><?xml version="1.0" encoding="utf-8"?>
<sst xmlns="http://schemas.openxmlformats.org/spreadsheetml/2006/main" count="3352" uniqueCount="1539">
  <si>
    <t>&lt;- Any where you see this color, you can change it. (Public can change values)</t>
  </si>
  <si>
    <t>Class</t>
  </si>
  <si>
    <t>Job</t>
  </si>
  <si>
    <t>Level</t>
  </si>
  <si>
    <t>Reddit</t>
  </si>
  <si>
    <t>https://www.reddit.com/r/DnD/comments/4zu5hr/world_building_tool_npc_generator_1000_linked_npc/</t>
  </si>
  <si>
    <t>I have another variation of this that works as a DM guide, and a Player version, within the DM one you can select attributes of an NPC and it will show up in the player's one. If you want that version PM me on reddit (Slub77)</t>
  </si>
  <si>
    <t>Character Name</t>
  </si>
  <si>
    <t>Race</t>
  </si>
  <si>
    <t>Alignment</t>
  </si>
  <si>
    <t>Size</t>
  </si>
  <si>
    <t>This is more to generate them and getting an idea for what kind of world you want (See the Charts tab) the idea being based off all the information you can create some simple backstory for your NPC</t>
  </si>
  <si>
    <t>Proficiency</t>
  </si>
  <si>
    <t>Saving Throws</t>
  </si>
  <si>
    <t>Armor Class</t>
  </si>
  <si>
    <t>Initiative</t>
  </si>
  <si>
    <t>Speed</t>
  </si>
  <si>
    <t>Faction</t>
  </si>
  <si>
    <t>The items are being pulled in from another sheet of mine, (See Vars tab) there you can add your own custom items and such to also appear in their lists.</t>
  </si>
  <si>
    <t>□</t>
  </si>
  <si>
    <t>Strength</t>
  </si>
  <si>
    <t>30 feet</t>
  </si>
  <si>
    <t>Dexterity</t>
  </si>
  <si>
    <t>Constitution</t>
  </si>
  <si>
    <t>Discord Chat</t>
  </si>
  <si>
    <t>https://discord.gg/S35USrE</t>
  </si>
  <si>
    <t>Intelligence</t>
  </si>
  <si>
    <t>Hit Points</t>
  </si>
  <si>
    <t>Max</t>
  </si>
  <si>
    <t>Wisdom</t>
  </si>
  <si>
    <t>You can go to the "NPC List" to see how each one is put togeather, or go to "World Information" and change the world seed to regenerate the entire list of NPC's</t>
  </si>
  <si>
    <t>Charisma</t>
  </si>
  <si>
    <t>Skills</t>
  </si>
  <si>
    <t>Notes</t>
  </si>
  <si>
    <t>Acrobatics (Dex)</t>
  </si>
  <si>
    <t>Check out the other sheets at the bottom for more information on how they are made</t>
  </si>
  <si>
    <t>Animal Handling (Wis)</t>
  </si>
  <si>
    <t>Arcana (Int)</t>
  </si>
  <si>
    <t>Athletics (Str)</t>
  </si>
  <si>
    <t>Gold</t>
  </si>
  <si>
    <t>Deception (Cha)</t>
  </si>
  <si>
    <t>Gender</t>
  </si>
  <si>
    <t>History (Int)</t>
  </si>
  <si>
    <t>Insight (Wis)</t>
  </si>
  <si>
    <t>Intimidation (Cha)</t>
  </si>
  <si>
    <t>Weapons and Items</t>
  </si>
  <si>
    <t>Investigation (Int)</t>
  </si>
  <si>
    <t>Type</t>
  </si>
  <si>
    <t>Name</t>
  </si>
  <si>
    <t>Cost</t>
  </si>
  <si>
    <t>Medicine (Wis)</t>
  </si>
  <si>
    <t>Armor</t>
  </si>
  <si>
    <t>Nature (Int)</t>
  </si>
  <si>
    <t>Weapon</t>
  </si>
  <si>
    <t>Perception (Wis)</t>
  </si>
  <si>
    <t>Performance (Cha)</t>
  </si>
  <si>
    <t>Persuasion (Cha)</t>
  </si>
  <si>
    <t>Change it to Re-Gen the entire World</t>
  </si>
  <si>
    <t>Religion (Int)</t>
  </si>
  <si>
    <t>Sleight of Hand (Dex)</t>
  </si>
  <si>
    <t>Stealth (Dex)</t>
  </si>
  <si>
    <t>Survival (Wis)</t>
  </si>
  <si>
    <t>Additional Proficiencies</t>
  </si>
  <si>
    <t>Languages</t>
  </si>
  <si>
    <t>Make a copy for your self to play around with the variables</t>
  </si>
  <si>
    <t>Make sure to also copy the ITems spreadsheet located in "Vars" as well, than in your copy of this spreadsheet, replace the link with your copy of the Item spreadsheet.</t>
  </si>
  <si>
    <t>Spell Attack Bonus:</t>
  </si>
  <si>
    <t>Spell Save DC:</t>
  </si>
  <si>
    <t>Magic</t>
  </si>
  <si>
    <t>Remaining Gold</t>
  </si>
  <si>
    <t>Sheet</t>
  </si>
  <si>
    <t>URL</t>
  </si>
  <si>
    <t>ID</t>
  </si>
  <si>
    <t>Items</t>
  </si>
  <si>
    <t>https://docs.google.com/spreadsheets/d/1cnoIUaGCI90pTTmapqcsNJ2qJYUaz66sCLTY1ER8oPo/edit#gid=0</t>
  </si>
  <si>
    <t>Loot</t>
  </si>
  <si>
    <t>Names</t>
  </si>
  <si>
    <t>Last Names</t>
  </si>
  <si>
    <t>Family Faction</t>
  </si>
  <si>
    <t>Jobs</t>
  </si>
  <si>
    <t>Faction Deity</t>
  </si>
  <si>
    <t>Alligment</t>
  </si>
  <si>
    <t>Middle Age</t>
  </si>
  <si>
    <t>Old</t>
  </si>
  <si>
    <t>Venerable</t>
  </si>
  <si>
    <t>Colors</t>
  </si>
  <si>
    <t>Sizes</t>
  </si>
  <si>
    <t>Classes</t>
  </si>
  <si>
    <t>HD</t>
  </si>
  <si>
    <t>Abaet</t>
  </si>
  <si>
    <t>Stagfang</t>
  </si>
  <si>
    <t>Tavern Keep</t>
  </si>
  <si>
    <t>Dragonborn</t>
  </si>
  <si>
    <t>Royalty</t>
  </si>
  <si>
    <t>Lawful Good God of Justice, Protection and Nobility. Patron of Dragonborn.</t>
  </si>
  <si>
    <t>CN</t>
  </si>
  <si>
    <t>Red</t>
  </si>
  <si>
    <t>Male</t>
  </si>
  <si>
    <t>Weebrook</t>
  </si>
  <si>
    <t>Tiny</t>
  </si>
  <si>
    <t>Barbarian</t>
  </si>
  <si>
    <t>Acamen</t>
  </si>
  <si>
    <t>Crystalgazer</t>
  </si>
  <si>
    <t>Black Smith</t>
  </si>
  <si>
    <t>Dwarf</t>
  </si>
  <si>
    <t>Necromancer</t>
  </si>
  <si>
    <t>Myrkul, God of Death</t>
  </si>
  <si>
    <t>CE</t>
  </si>
  <si>
    <t>Green</t>
  </si>
  <si>
    <t>Female</t>
  </si>
  <si>
    <t>The Golden City of Mega</t>
  </si>
  <si>
    <t>Small</t>
  </si>
  <si>
    <t>Bard</t>
  </si>
  <si>
    <t>Adeen</t>
  </si>
  <si>
    <t>Autumnorb</t>
  </si>
  <si>
    <t>Magic Shop</t>
  </si>
  <si>
    <t>Elf</t>
  </si>
  <si>
    <t>Traders Guild</t>
  </si>
  <si>
    <t>Waukeen, Goddess of Trade</t>
  </si>
  <si>
    <t>CG</t>
  </si>
  <si>
    <t>Blue</t>
  </si>
  <si>
    <t>Neutral</t>
  </si>
  <si>
    <t>The Garden City of Thracot</t>
  </si>
  <si>
    <t xml:space="preserve">Medium </t>
  </si>
  <si>
    <t>Druid</t>
  </si>
  <si>
    <t>Aghon</t>
  </si>
  <si>
    <t>Distantlash</t>
  </si>
  <si>
    <t>Thief</t>
  </si>
  <si>
    <t>Gnome</t>
  </si>
  <si>
    <t>Adventures Guild</t>
  </si>
  <si>
    <t>Torm, Go of Courage and Self-sacrifice</t>
  </si>
  <si>
    <t>NG</t>
  </si>
  <si>
    <t>Black</t>
  </si>
  <si>
    <t>The Blessed City of Gudlibyr</t>
  </si>
  <si>
    <t>Large</t>
  </si>
  <si>
    <t>Monk</t>
  </si>
  <si>
    <t>Ahburn</t>
  </si>
  <si>
    <t>Fistwing</t>
  </si>
  <si>
    <t>Whore</t>
  </si>
  <si>
    <t>Half-Elf</t>
  </si>
  <si>
    <t>Thieves Guild</t>
  </si>
  <si>
    <t>Mask, God of Thieves</t>
  </si>
  <si>
    <t>NN</t>
  </si>
  <si>
    <t>White</t>
  </si>
  <si>
    <t>The Astral Port of Steiniholm</t>
  </si>
  <si>
    <t>Massive</t>
  </si>
  <si>
    <t>Paladin</t>
  </si>
  <si>
    <t>Airen</t>
  </si>
  <si>
    <t>Ashcloud</t>
  </si>
  <si>
    <t>Armory</t>
  </si>
  <si>
    <t>Half-Orc</t>
  </si>
  <si>
    <t>Death Guild</t>
  </si>
  <si>
    <t>Bhaal, God of Murder</t>
  </si>
  <si>
    <t>NE</t>
  </si>
  <si>
    <t>Brown</t>
  </si>
  <si>
    <t>Taburh</t>
  </si>
  <si>
    <t>Ranger</t>
  </si>
  <si>
    <t>Aldaren</t>
  </si>
  <si>
    <t>Stillsun</t>
  </si>
  <si>
    <t>Alchamist</t>
  </si>
  <si>
    <t>Halfling</t>
  </si>
  <si>
    <t>Magic Guild</t>
  </si>
  <si>
    <t>Mystra, Goddess of Magic</t>
  </si>
  <si>
    <t>LG</t>
  </si>
  <si>
    <t>Sirastir</t>
  </si>
  <si>
    <t>Sorcerer</t>
  </si>
  <si>
    <t>Alkirk</t>
  </si>
  <si>
    <t>Tuskleaf</t>
  </si>
  <si>
    <t>Clergy</t>
  </si>
  <si>
    <t>Human</t>
  </si>
  <si>
    <t>Farmers Guild</t>
  </si>
  <si>
    <t>Pelor - Good God of Sun, Agriculture and Time. Seasonal God of Summer.</t>
  </si>
  <si>
    <t>LN</t>
  </si>
  <si>
    <t>Scadun, the City of Slavers</t>
  </si>
  <si>
    <t>Warlock</t>
  </si>
  <si>
    <t>Amitel</t>
  </si>
  <si>
    <t>Commonscream</t>
  </si>
  <si>
    <t>Wood Cutter</t>
  </si>
  <si>
    <t>Tiefling</t>
  </si>
  <si>
    <t>Traverlers Guild</t>
  </si>
  <si>
    <t>Avandra - Good Goddess of Change, Luck and Travel, Patron of Halflings.</t>
  </si>
  <si>
    <t>LE</t>
  </si>
  <si>
    <t>Mestead</t>
  </si>
  <si>
    <t>None</t>
  </si>
  <si>
    <t>Anumil</t>
  </si>
  <si>
    <t>Stormdew</t>
  </si>
  <si>
    <t>Adventure</t>
  </si>
  <si>
    <t>Genasi</t>
  </si>
  <si>
    <t>Followers of Isis</t>
  </si>
  <si>
    <t>https://www.dandwiki.com/wiki/Isis_(3.5e_Deity)</t>
  </si>
  <si>
    <t>Leheath</t>
  </si>
  <si>
    <t>Cleric</t>
  </si>
  <si>
    <t>Asen</t>
  </si>
  <si>
    <t>Leafblight</t>
  </si>
  <si>
    <t>Guard</t>
  </si>
  <si>
    <t>Goliath</t>
  </si>
  <si>
    <t>Lagduf</t>
  </si>
  <si>
    <t>Fighter</t>
  </si>
  <si>
    <t>Atgur</t>
  </si>
  <si>
    <t>Fistroot</t>
  </si>
  <si>
    <t>Land Lord</t>
  </si>
  <si>
    <t>Khundumunz</t>
  </si>
  <si>
    <t>Wizard</t>
  </si>
  <si>
    <t>Auden</t>
  </si>
  <si>
    <t>Windshade</t>
  </si>
  <si>
    <t>Heyfalls</t>
  </si>
  <si>
    <t>Aysen</t>
  </si>
  <si>
    <t>Saurflame</t>
  </si>
  <si>
    <t>Habrycg</t>
  </si>
  <si>
    <t>Bacohl</t>
  </si>
  <si>
    <t>Autumnglow</t>
  </si>
  <si>
    <t>Balati</t>
  </si>
  <si>
    <t>Staghammer</t>
  </si>
  <si>
    <t>Fastifell</t>
  </si>
  <si>
    <t>Basden</t>
  </si>
  <si>
    <t>Plainspirit</t>
  </si>
  <si>
    <t>Dehill, the City of Temples</t>
  </si>
  <si>
    <t>Bedic</t>
  </si>
  <si>
    <t>Chestaxe</t>
  </si>
  <si>
    <t>Dabrycg</t>
  </si>
  <si>
    <t>Beson</t>
  </si>
  <si>
    <t>Gloomrage</t>
  </si>
  <si>
    <t>Castow</t>
  </si>
  <si>
    <t>Bewul</t>
  </si>
  <si>
    <t>Mourninglash</t>
  </si>
  <si>
    <t>Adas</t>
  </si>
  <si>
    <t>Biston</t>
  </si>
  <si>
    <t>Emberhell</t>
  </si>
  <si>
    <t>Boaldelr</t>
  </si>
  <si>
    <t>Rockspell</t>
  </si>
  <si>
    <t>Breanon</t>
  </si>
  <si>
    <t>Sacredgloom</t>
  </si>
  <si>
    <t>Bredock</t>
  </si>
  <si>
    <t>Truthdoom</t>
  </si>
  <si>
    <t>Bristan</t>
  </si>
  <si>
    <t>Deepcrest</t>
  </si>
  <si>
    <t>Busma</t>
  </si>
  <si>
    <t>Springgust</t>
  </si>
  <si>
    <t>Caelholdt</t>
  </si>
  <si>
    <t>Forestbluff</t>
  </si>
  <si>
    <t>Camchak</t>
  </si>
  <si>
    <t>Stormwolf</t>
  </si>
  <si>
    <t>Casden</t>
  </si>
  <si>
    <t>Marblearm</t>
  </si>
  <si>
    <t>Celorn</t>
  </si>
  <si>
    <t>Stillspell</t>
  </si>
  <si>
    <t>Cerdern</t>
  </si>
  <si>
    <t>Cevelt</t>
  </si>
  <si>
    <t>Chidak</t>
  </si>
  <si>
    <t>Ciroc</t>
  </si>
  <si>
    <t>Connell</t>
  </si>
  <si>
    <t>Cosdeer</t>
  </si>
  <si>
    <t>Cydare</t>
  </si>
  <si>
    <t>Cyton</t>
  </si>
  <si>
    <t>Daburn</t>
  </si>
  <si>
    <t>Dakamon</t>
  </si>
  <si>
    <t>Dalmarn</t>
  </si>
  <si>
    <t>Darkkon</t>
  </si>
  <si>
    <t>Darmor</t>
  </si>
  <si>
    <t>Dask</t>
  </si>
  <si>
    <t>Derik</t>
  </si>
  <si>
    <t>Dessfar</t>
  </si>
  <si>
    <t>Doceon</t>
  </si>
  <si>
    <t>Dorn</t>
  </si>
  <si>
    <t>Drakone</t>
  </si>
  <si>
    <t>Dritz</t>
  </si>
  <si>
    <t>Dryn</t>
  </si>
  <si>
    <t>Duran</t>
  </si>
  <si>
    <t>Dyfar</t>
  </si>
  <si>
    <t>Eard</t>
  </si>
  <si>
    <t>Efar</t>
  </si>
  <si>
    <t>Ekgamut</t>
  </si>
  <si>
    <t>Elson</t>
  </si>
  <si>
    <t>Endor</t>
  </si>
  <si>
    <t>Enro</t>
  </si>
  <si>
    <t>Eritai</t>
  </si>
  <si>
    <t>Etar</t>
  </si>
  <si>
    <t>Ethen</t>
  </si>
  <si>
    <t>Eythil</t>
  </si>
  <si>
    <t>Faoturk</t>
  </si>
  <si>
    <t>Fenrirr</t>
  </si>
  <si>
    <t>Ficadon</t>
  </si>
  <si>
    <t>Firedorn</t>
  </si>
  <si>
    <t>Folmard</t>
  </si>
  <si>
    <t>Fydar</t>
  </si>
  <si>
    <t>Gafolern</t>
  </si>
  <si>
    <t>Galiron</t>
  </si>
  <si>
    <t>Gemardt</t>
  </si>
  <si>
    <t>Gerirr</t>
  </si>
  <si>
    <t>Gibolock</t>
  </si>
  <si>
    <t>Gom</t>
  </si>
  <si>
    <t>Gothikar</t>
  </si>
  <si>
    <t>Gryn</t>
  </si>
  <si>
    <t>Guthale</t>
  </si>
  <si>
    <t>Gyin</t>
  </si>
  <si>
    <t>Halmar</t>
  </si>
  <si>
    <t>Hectar</t>
  </si>
  <si>
    <t>Hermenze</t>
  </si>
  <si>
    <t>Hildale</t>
  </si>
  <si>
    <t>Hydale</t>
  </si>
  <si>
    <t>Iarmod</t>
  </si>
  <si>
    <t>Ieserk</t>
  </si>
  <si>
    <t>Illilorn</t>
  </si>
  <si>
    <t>Ipedorn</t>
  </si>
  <si>
    <t>Isen</t>
  </si>
  <si>
    <t>Jackson</t>
  </si>
  <si>
    <t>Janus</t>
  </si>
  <si>
    <t>Jesco</t>
  </si>
  <si>
    <t>Jex</t>
  </si>
  <si>
    <t>Jin</t>
  </si>
  <si>
    <t>Jun</t>
  </si>
  <si>
    <t>Kafar</t>
  </si>
  <si>
    <t>Keran</t>
  </si>
  <si>
    <t>Kethren</t>
  </si>
  <si>
    <t>Kiden</t>
  </si>
  <si>
    <t>Kildarien</t>
  </si>
  <si>
    <t>Kip</t>
  </si>
  <si>
    <t>Kolmorn</t>
  </si>
  <si>
    <t>Lackus</t>
  </si>
  <si>
    <t>Lafornon</t>
  </si>
  <si>
    <t>Ledale</t>
  </si>
  <si>
    <t>Lephidiles</t>
  </si>
  <si>
    <t>Letor</t>
  </si>
  <si>
    <t>Liphanes</t>
  </si>
  <si>
    <t>Ludokrin</t>
  </si>
  <si>
    <t>Lurd</t>
  </si>
  <si>
    <t>Ma</t>
  </si>
  <si>
    <t>Marderdeen</t>
  </si>
  <si>
    <t>Markdoon</t>
  </si>
  <si>
    <t>Mathar</t>
  </si>
  <si>
    <t>Mellamo</t>
  </si>
  <si>
    <t>Meridan</t>
  </si>
  <si>
    <t>Mes'ard</t>
  </si>
  <si>
    <t>Mezo</t>
  </si>
  <si>
    <t>Mickal</t>
  </si>
  <si>
    <t>Miphates</t>
  </si>
  <si>
    <t>Modric</t>
  </si>
  <si>
    <t>Mufar</t>
  </si>
  <si>
    <t>Mythik</t>
  </si>
  <si>
    <t>Nadeer</t>
  </si>
  <si>
    <t>Naphates</t>
  </si>
  <si>
    <t>Nikpal</t>
  </si>
  <si>
    <t>Niro</t>
  </si>
  <si>
    <t>Nuthor</t>
  </si>
  <si>
    <t>Nythil</t>
  </si>
  <si>
    <t>O’tho</t>
  </si>
  <si>
    <t>Occhi</t>
  </si>
  <si>
    <t>Ohethlic</t>
  </si>
  <si>
    <t>Omarn</t>
  </si>
  <si>
    <t>Othelen</t>
  </si>
  <si>
    <t>Padan</t>
  </si>
  <si>
    <t>Peitar</t>
  </si>
  <si>
    <t>Pendus</t>
  </si>
  <si>
    <t>Phairdon</t>
  </si>
  <si>
    <t>Phoenix</t>
  </si>
  <si>
    <t>Picumar</t>
  </si>
  <si>
    <t>Ponith</t>
  </si>
  <si>
    <t>Prothalon</t>
  </si>
  <si>
    <t>Qeisan</t>
  </si>
  <si>
    <t>Quid</t>
  </si>
  <si>
    <t>Qysan</t>
  </si>
  <si>
    <t>Radag'mal</t>
  </si>
  <si>
    <t>Rayth</t>
  </si>
  <si>
    <t>Reth</t>
  </si>
  <si>
    <t>Rhithin</t>
  </si>
  <si>
    <t>Rikar</t>
  </si>
  <si>
    <t>Ritic</t>
  </si>
  <si>
    <t>Rogoth</t>
  </si>
  <si>
    <t>Rydan</t>
  </si>
  <si>
    <t>Ryodan</t>
  </si>
  <si>
    <t>Rythern</t>
  </si>
  <si>
    <t>Sabal</t>
  </si>
  <si>
    <t>Samon</t>
  </si>
  <si>
    <t>Scoth</t>
  </si>
  <si>
    <t>Sed</t>
  </si>
  <si>
    <t>Senthyril</t>
  </si>
  <si>
    <t>Seryth</t>
  </si>
  <si>
    <t>Setlo</t>
  </si>
  <si>
    <t>Shane</t>
  </si>
  <si>
    <t>Shillen</t>
  </si>
  <si>
    <t>Sil'forrin</t>
  </si>
  <si>
    <t>Soderman</t>
  </si>
  <si>
    <t>Stenwulf</t>
  </si>
  <si>
    <t>Suth</t>
  </si>
  <si>
    <t>Syth</t>
  </si>
  <si>
    <t>Talberon</t>
  </si>
  <si>
    <t>Temilfist</t>
  </si>
  <si>
    <t>Tespar</t>
  </si>
  <si>
    <t>Thiltran</t>
  </si>
  <si>
    <t>Tibolt</t>
  </si>
  <si>
    <t>Tithan</t>
  </si>
  <si>
    <t>Tolle</t>
  </si>
  <si>
    <t>Tothale</t>
  </si>
  <si>
    <t>Tuk</t>
  </si>
  <si>
    <t>Tyden</t>
  </si>
  <si>
    <t>Uerthe</t>
  </si>
  <si>
    <t>Undin</t>
  </si>
  <si>
    <t>Vaccon</t>
  </si>
  <si>
    <t>Valynard</t>
  </si>
  <si>
    <t>Vespar</t>
  </si>
  <si>
    <t>Vider</t>
  </si>
  <si>
    <t>Vildar</t>
  </si>
  <si>
    <t>Virde</t>
  </si>
  <si>
    <t>Voudim</t>
  </si>
  <si>
    <t>Wak’dern</t>
  </si>
  <si>
    <t>Wekmar</t>
  </si>
  <si>
    <t>William</t>
  </si>
  <si>
    <t>Wiltmar</t>
  </si>
  <si>
    <t>Wrathran</t>
  </si>
  <si>
    <t>Wyder</t>
  </si>
  <si>
    <t>Xander</t>
  </si>
  <si>
    <t>Xex</t>
  </si>
  <si>
    <t>Y’reth</t>
  </si>
  <si>
    <t>Yesirn</t>
  </si>
  <si>
    <t>Zak</t>
  </si>
  <si>
    <t>Zeke</t>
  </si>
  <si>
    <t>Zidar</t>
  </si>
  <si>
    <t>Zilocke</t>
  </si>
  <si>
    <t>Zotar</t>
  </si>
  <si>
    <t>Abarden</t>
  </si>
  <si>
    <t>Achard</t>
  </si>
  <si>
    <t>Aerden</t>
  </si>
  <si>
    <t>Agnar</t>
  </si>
  <si>
    <t>Ahdun</t>
  </si>
  <si>
    <t>Airis</t>
  </si>
  <si>
    <t>Alderman</t>
  </si>
  <si>
    <t>Allso</t>
  </si>
  <si>
    <t>Anfar</t>
  </si>
  <si>
    <t>Asden</t>
  </si>
  <si>
    <t>Aslan</t>
  </si>
  <si>
    <t>Atlin</t>
  </si>
  <si>
    <t>Ault</t>
  </si>
  <si>
    <t>Badeek</t>
  </si>
  <si>
    <t>Baradeer</t>
  </si>
  <si>
    <t>Bayde</t>
  </si>
  <si>
    <t>Beeron</t>
  </si>
  <si>
    <t>Besur</t>
  </si>
  <si>
    <t>Biedgar</t>
  </si>
  <si>
    <t>Bithon</t>
  </si>
  <si>
    <t>Bolrock</t>
  </si>
  <si>
    <t>Bredere</t>
  </si>
  <si>
    <t>Breen</t>
  </si>
  <si>
    <t>Buchmeid</t>
  </si>
  <si>
    <t>Buthomar</t>
  </si>
  <si>
    <t>Cainon</t>
  </si>
  <si>
    <t>Camilde</t>
  </si>
  <si>
    <t>Cayold</t>
  </si>
  <si>
    <t>Celthric</t>
  </si>
  <si>
    <t>Cespar</t>
  </si>
  <si>
    <t>Chamon</t>
  </si>
  <si>
    <t>Cibrock</t>
  </si>
  <si>
    <t>Codern</t>
  </si>
  <si>
    <t>Cordale</t>
  </si>
  <si>
    <t>Cuparun</t>
  </si>
  <si>
    <t>Cylmar</t>
  </si>
  <si>
    <t>Daermod</t>
  </si>
  <si>
    <t>Dakkone</t>
  </si>
  <si>
    <t>Dapvhir</t>
  </si>
  <si>
    <t>Darko</t>
  </si>
  <si>
    <t>Darpick</t>
  </si>
  <si>
    <t>Deathmar</t>
  </si>
  <si>
    <t>Derrin</t>
  </si>
  <si>
    <t>Dinfar</t>
  </si>
  <si>
    <t>Dochrohan</t>
  </si>
  <si>
    <t>Dosoman</t>
  </si>
  <si>
    <t>Drandon</t>
  </si>
  <si>
    <t>Drophar</t>
  </si>
  <si>
    <t>Duba</t>
  </si>
  <si>
    <t>Durmark</t>
  </si>
  <si>
    <t>Dyten</t>
  </si>
  <si>
    <t>Eckard</t>
  </si>
  <si>
    <t>Egmardern</t>
  </si>
  <si>
    <t>Eli</t>
  </si>
  <si>
    <t>Elthin</t>
  </si>
  <si>
    <t>Enidin</t>
  </si>
  <si>
    <t>Erikarn</t>
  </si>
  <si>
    <t>Escariet</t>
  </si>
  <si>
    <t>Etburn</t>
  </si>
  <si>
    <t>Etmere</t>
  </si>
  <si>
    <t>Faowind</t>
  </si>
  <si>
    <t>Fetmar</t>
  </si>
  <si>
    <t>Fickfylo</t>
  </si>
  <si>
    <t>Firiro</t>
  </si>
  <si>
    <t>Fraderk</t>
  </si>
  <si>
    <t>Fyn</t>
  </si>
  <si>
    <t>Gai</t>
  </si>
  <si>
    <t>Gametris</t>
  </si>
  <si>
    <t>Gemedern</t>
  </si>
  <si>
    <t>Geth</t>
  </si>
  <si>
    <t>Gibolt</t>
  </si>
  <si>
    <t>Gosford</t>
  </si>
  <si>
    <t>Gresforn</t>
  </si>
  <si>
    <t>Gundir</t>
  </si>
  <si>
    <t>Gybol</t>
  </si>
  <si>
    <t>Harrenhal</t>
  </si>
  <si>
    <t>Hecton</t>
  </si>
  <si>
    <t>Hermuck</t>
  </si>
  <si>
    <t>Hildar</t>
  </si>
  <si>
    <t>Hyten</t>
  </si>
  <si>
    <t>Idon</t>
  </si>
  <si>
    <t>Ikar</t>
  </si>
  <si>
    <t>Illium</t>
  </si>
  <si>
    <t>Irefist</t>
  </si>
  <si>
    <t>Isil</t>
  </si>
  <si>
    <t>Jalil</t>
  </si>
  <si>
    <t>Jayco</t>
  </si>
  <si>
    <t>Jespar</t>
  </si>
  <si>
    <t>Jib</t>
  </si>
  <si>
    <t>Juktar</t>
  </si>
  <si>
    <t>Justal</t>
  </si>
  <si>
    <t>Kaldar</t>
  </si>
  <si>
    <t>Kesad</t>
  </si>
  <si>
    <t>Kib</t>
  </si>
  <si>
    <t>Kilbas</t>
  </si>
  <si>
    <t>Kimdar</t>
  </si>
  <si>
    <t>Kirder</t>
  </si>
  <si>
    <t>Kyrad</t>
  </si>
  <si>
    <t>Lacspor</t>
  </si>
  <si>
    <t>Lahorn</t>
  </si>
  <si>
    <t>Leit</t>
  </si>
  <si>
    <t>Lerin</t>
  </si>
  <si>
    <t>Lidorn</t>
  </si>
  <si>
    <t>Loban</t>
  </si>
  <si>
    <t>Luphildern</t>
  </si>
  <si>
    <t>Madarlon</t>
  </si>
  <si>
    <t>Mardin</t>
  </si>
  <si>
    <t>Marklin</t>
  </si>
  <si>
    <t>Medarin</t>
  </si>
  <si>
    <t>Meowol</t>
  </si>
  <si>
    <t>Merkesh</t>
  </si>
  <si>
    <t>Mesophan</t>
  </si>
  <si>
    <t>Michael</t>
  </si>
  <si>
    <t>Migorn</t>
  </si>
  <si>
    <t>Mi'talrythin</t>
  </si>
  <si>
    <t>Modum</t>
  </si>
  <si>
    <t>Mujarin</t>
  </si>
  <si>
    <t>Mythil</t>
  </si>
  <si>
    <t>Nalfar</t>
  </si>
  <si>
    <t>Neowyld</t>
  </si>
  <si>
    <t>Nikrolin</t>
  </si>
  <si>
    <t>Noford</t>
  </si>
  <si>
    <t>Nuwolf</t>
  </si>
  <si>
    <t>Ocarin</t>
  </si>
  <si>
    <t>Odaren</t>
  </si>
  <si>
    <t>Okar</t>
  </si>
  <si>
    <t>Orin</t>
  </si>
  <si>
    <t>Oxbaren</t>
  </si>
  <si>
    <t>Palid</t>
  </si>
  <si>
    <t>Pelphides</t>
  </si>
  <si>
    <t>Perder</t>
  </si>
  <si>
    <t>Phemedes</t>
  </si>
  <si>
    <t>Picon</t>
  </si>
  <si>
    <t>Pildoor</t>
  </si>
  <si>
    <t>Poran</t>
  </si>
  <si>
    <t>Puthor</t>
  </si>
  <si>
    <t>Qidan</t>
  </si>
  <si>
    <t>Quiss</t>
  </si>
  <si>
    <t>Randar</t>
  </si>
  <si>
    <t>Reaper</t>
  </si>
  <si>
    <t>Rethik</t>
  </si>
  <si>
    <t>Rhysling</t>
  </si>
  <si>
    <t>Rismak</t>
  </si>
  <si>
    <t>Rogeir</t>
  </si>
  <si>
    <t>Rophan</t>
  </si>
  <si>
    <t>Ryfar</t>
  </si>
  <si>
    <t>Rysdan</t>
  </si>
  <si>
    <t>Sadareen</t>
  </si>
  <si>
    <t>Samot</t>
  </si>
  <si>
    <t>Scythe</t>
  </si>
  <si>
    <t>Sedar</t>
  </si>
  <si>
    <t>Serin</t>
  </si>
  <si>
    <t>Sesmidat</t>
  </si>
  <si>
    <t>Shade</t>
  </si>
  <si>
    <t>Shard</t>
  </si>
  <si>
    <t>Silco</t>
  </si>
  <si>
    <t>Silpal</t>
  </si>
  <si>
    <t>Sothale</t>
  </si>
  <si>
    <t>Steven</t>
  </si>
  <si>
    <t>Sutlin</t>
  </si>
  <si>
    <t>Sythril</t>
  </si>
  <si>
    <t>Telpur</t>
  </si>
  <si>
    <t>Tempist</t>
  </si>
  <si>
    <t>Tessino</t>
  </si>
  <si>
    <t>Tholan</t>
  </si>
  <si>
    <t>Ticharol</t>
  </si>
  <si>
    <t>Tobale</t>
  </si>
  <si>
    <t>Tolsar</t>
  </si>
  <si>
    <t>Tousba</t>
  </si>
  <si>
    <t>Tuscanar</t>
  </si>
  <si>
    <t>Ugmar</t>
  </si>
  <si>
    <t>Updar</t>
  </si>
  <si>
    <t>Vacone</t>
  </si>
  <si>
    <t>Vectomon</t>
  </si>
  <si>
    <t>Vethelot</t>
  </si>
  <si>
    <t>Vigoth</t>
  </si>
  <si>
    <t>Vinald</t>
  </si>
  <si>
    <t>Voltain</t>
  </si>
  <si>
    <t>Vythethi</t>
  </si>
  <si>
    <t>Walkar</t>
  </si>
  <si>
    <t>Werymn</t>
  </si>
  <si>
    <t>Willican</t>
  </si>
  <si>
    <t>Wishane</t>
  </si>
  <si>
    <t>Wraythe</t>
  </si>
  <si>
    <t>Wyeth</t>
  </si>
  <si>
    <t>Xavier</t>
  </si>
  <si>
    <t>Xithyl</t>
  </si>
  <si>
    <t>Yabaro</t>
  </si>
  <si>
    <t>Yssik</t>
  </si>
  <si>
    <t>Zakarn</t>
  </si>
  <si>
    <t>Zerin</t>
  </si>
  <si>
    <t>Zigmal</t>
  </si>
  <si>
    <t>Zio</t>
  </si>
  <si>
    <t>Zutar</t>
  </si>
  <si>
    <t>Aboloft</t>
  </si>
  <si>
    <t>Ackmard</t>
  </si>
  <si>
    <t>Afflon</t>
  </si>
  <si>
    <t>Ahalfar</t>
  </si>
  <si>
    <t>Aidan</t>
  </si>
  <si>
    <t>Albright</t>
  </si>
  <si>
    <t>Aldren</t>
  </si>
  <si>
    <t>Amerdan</t>
  </si>
  <si>
    <t>Anumi</t>
  </si>
  <si>
    <t>Asdern</t>
  </si>
  <si>
    <t>Atar</t>
  </si>
  <si>
    <t>Auchfor</t>
  </si>
  <si>
    <t>Ayrie</t>
  </si>
  <si>
    <t>Baduk</t>
  </si>
  <si>
    <t>Barkydle</t>
  </si>
  <si>
    <t>Beck</t>
  </si>
  <si>
    <t>Bein</t>
  </si>
  <si>
    <t>Besurlde</t>
  </si>
  <si>
    <t>Bildon</t>
  </si>
  <si>
    <t>Boal</t>
  </si>
  <si>
    <t>Brakdern</t>
  </si>
  <si>
    <t>Bredin</t>
  </si>
  <si>
    <t>Brighton</t>
  </si>
  <si>
    <t>Bue</t>
  </si>
  <si>
    <t>Bydern</t>
  </si>
  <si>
    <t>Calden</t>
  </si>
  <si>
    <t>Cardon</t>
  </si>
  <si>
    <t>Celbahr</t>
  </si>
  <si>
    <t>Cemark</t>
  </si>
  <si>
    <t>Cether</t>
  </si>
  <si>
    <t>Chesmarn</t>
  </si>
  <si>
    <t>Cipyar</t>
  </si>
  <si>
    <t>Colthan</t>
  </si>
  <si>
    <t>Cos</t>
  </si>
  <si>
    <t>Cusmirk</t>
  </si>
  <si>
    <t>Cythnar</t>
  </si>
  <si>
    <t>Dak</t>
  </si>
  <si>
    <t>Dalburn</t>
  </si>
  <si>
    <t>Darkboon</t>
  </si>
  <si>
    <t>Darkspur</t>
  </si>
  <si>
    <t>Dasbeck</t>
  </si>
  <si>
    <t>Defearon</t>
  </si>
  <si>
    <t>Desil</t>
  </si>
  <si>
    <t>Dismer</t>
  </si>
  <si>
    <t>Dokoran</t>
  </si>
  <si>
    <t>Drakoe</t>
  </si>
  <si>
    <t>Drit</t>
  </si>
  <si>
    <t>Dryden</t>
  </si>
  <si>
    <t>Dukran</t>
  </si>
  <si>
    <t>Dusaro</t>
  </si>
  <si>
    <t>Efamar</t>
  </si>
  <si>
    <t>Eiridan</t>
  </si>
  <si>
    <t>Elik</t>
  </si>
  <si>
    <t>Enbane</t>
  </si>
  <si>
    <t>Enoon</t>
  </si>
  <si>
    <t>Erim</t>
  </si>
  <si>
    <t>Espardo</t>
  </si>
  <si>
    <t>Etdar</t>
  </si>
  <si>
    <t>Etran</t>
  </si>
  <si>
    <t>Fearlock</t>
  </si>
  <si>
    <t>Feturn</t>
  </si>
  <si>
    <t>Fildon</t>
  </si>
  <si>
    <t>Floran</t>
  </si>
  <si>
    <t>Fronar</t>
  </si>
  <si>
    <t>Galain</t>
  </si>
  <si>
    <t>Gauthus</t>
  </si>
  <si>
    <t>Gemedes</t>
  </si>
  <si>
    <t>Gib</t>
  </si>
  <si>
    <t>Gith</t>
  </si>
  <si>
    <t>Gothar</t>
  </si>
  <si>
    <t>Grimie</t>
  </si>
  <si>
    <t>Gustov</t>
  </si>
  <si>
    <t>Gybrush</t>
  </si>
  <si>
    <t>Hasten</t>
  </si>
  <si>
    <t>Heramon</t>
  </si>
  <si>
    <t>Hezak</t>
  </si>
  <si>
    <t>Hileict</t>
  </si>
  <si>
    <t>Ieli</t>
  </si>
  <si>
    <t>Ilgenar</t>
  </si>
  <si>
    <t>Ingel</t>
  </si>
  <si>
    <t>Ironmark</t>
  </si>
  <si>
    <t>Ithric</t>
  </si>
  <si>
    <t>Jamik</t>
  </si>
  <si>
    <t>Jaython</t>
  </si>
  <si>
    <t>Jethil</t>
  </si>
  <si>
    <t>Jibar</t>
  </si>
  <si>
    <t>Julthor</t>
  </si>
  <si>
    <t>Kellan</t>
  </si>
  <si>
    <t>Kesmon</t>
  </si>
  <si>
    <t>Kibidon</t>
  </si>
  <si>
    <t>Kilburn</t>
  </si>
  <si>
    <t>Kinorn</t>
  </si>
  <si>
    <t>Kodof</t>
  </si>
  <si>
    <t>Laderic</t>
  </si>
  <si>
    <t>Laracal</t>
  </si>
  <si>
    <t>Lephar</t>
  </si>
  <si>
    <t>Lesphares</t>
  </si>
  <si>
    <t>Lin</t>
  </si>
  <si>
    <t>Lox</t>
  </si>
  <si>
    <t>Lupin</t>
  </si>
  <si>
    <t>Mafar</t>
  </si>
  <si>
    <t>Markard</t>
  </si>
  <si>
    <t>Mashasen</t>
  </si>
  <si>
    <t>Medin</t>
  </si>
  <si>
    <t>Merdon</t>
  </si>
  <si>
    <t>Mesah</t>
  </si>
  <si>
    <t>Mesoton</t>
  </si>
  <si>
    <t>Mick</t>
  </si>
  <si>
    <t>Milo</t>
  </si>
  <si>
    <t>Mitar</t>
  </si>
  <si>
    <t>Mudon</t>
  </si>
  <si>
    <t>Mylo</t>
  </si>
  <si>
    <t>Namorn</t>
  </si>
  <si>
    <t>Nidale</t>
  </si>
  <si>
    <t>Niktohal</t>
  </si>
  <si>
    <t>Nothar</t>
  </si>
  <si>
    <t>Nydale</t>
  </si>
  <si>
    <t>Occelot</t>
  </si>
  <si>
    <t>Odeir</t>
  </si>
  <si>
    <t>Omaniron</t>
  </si>
  <si>
    <t>Ospar</t>
  </si>
  <si>
    <t>Papur</t>
  </si>
  <si>
    <t>Pender</t>
  </si>
  <si>
    <t>Perol</t>
  </si>
  <si>
    <t>Phexides</t>
  </si>
  <si>
    <t>Pictal</t>
  </si>
  <si>
    <t>Pixdale</t>
  </si>
  <si>
    <t>Poscidion</t>
  </si>
  <si>
    <t>Pyder</t>
  </si>
  <si>
    <t>Quiad</t>
  </si>
  <si>
    <t>Qupar</t>
  </si>
  <si>
    <t>Raysdan</t>
  </si>
  <si>
    <t>Resboron</t>
  </si>
  <si>
    <t>Rhithik</t>
  </si>
  <si>
    <t>Riandur</t>
  </si>
  <si>
    <t>Riss</t>
  </si>
  <si>
    <t>Rogist</t>
  </si>
  <si>
    <t>Rulrindale</t>
  </si>
  <si>
    <t>Rythen</t>
  </si>
  <si>
    <t>Safilix</t>
  </si>
  <si>
    <t>Sasic</t>
  </si>
  <si>
    <t>Secor</t>
  </si>
  <si>
    <t>Senick</t>
  </si>
  <si>
    <t>Sermak</t>
  </si>
  <si>
    <t>Seth</t>
  </si>
  <si>
    <t>Shadowbane</t>
  </si>
  <si>
    <t>Shardo</t>
  </si>
  <si>
    <t>Sildo</t>
  </si>
  <si>
    <t>Sithik</t>
  </si>
  <si>
    <t>Staph</t>
  </si>
  <si>
    <t>Suktor</t>
  </si>
  <si>
    <t>Syr</t>
  </si>
  <si>
    <t>Temil</t>
  </si>
  <si>
    <t>Teslanar</t>
  </si>
  <si>
    <t>Tethran</t>
  </si>
  <si>
    <t>Tibers</t>
  </si>
  <si>
    <t>Tilner</t>
  </si>
  <si>
    <t>Tol’Solie</t>
  </si>
  <si>
    <t>Toma</t>
  </si>
  <si>
    <t>Towerlock</t>
  </si>
  <si>
    <t>Tusdar</t>
  </si>
  <si>
    <t>Uhrd</t>
  </si>
  <si>
    <t>Uther</t>
  </si>
  <si>
    <t>Valkeri</t>
  </si>
  <si>
    <t>Veldahar</t>
  </si>
  <si>
    <t>Victor</t>
  </si>
  <si>
    <t>Vilan</t>
  </si>
  <si>
    <t>Vinkolt</t>
  </si>
  <si>
    <t>Volux</t>
  </si>
  <si>
    <t>Wanar</t>
  </si>
  <si>
    <t>Weshin</t>
  </si>
  <si>
    <t>Wilte</t>
  </si>
  <si>
    <t>Witfar</t>
  </si>
  <si>
    <t>Wuthmon</t>
  </si>
  <si>
    <t>Wyvorn</t>
  </si>
  <si>
    <t>Xenil</t>
  </si>
  <si>
    <t>Xuio</t>
  </si>
  <si>
    <t>Yepal</t>
  </si>
  <si>
    <t>Yssith</t>
  </si>
  <si>
    <t>Zecane</t>
  </si>
  <si>
    <t>Zessfar</t>
  </si>
  <si>
    <t>Zile</t>
  </si>
  <si>
    <t>Zoru</t>
  </si>
  <si>
    <t>Zyten</t>
  </si>
  <si>
    <t>Seed</t>
  </si>
  <si>
    <t>F.Name</t>
  </si>
  <si>
    <t>L.Name</t>
  </si>
  <si>
    <t>STR</t>
  </si>
  <si>
    <t>MOD</t>
  </si>
  <si>
    <t>DEX</t>
  </si>
  <si>
    <t>CON</t>
  </si>
  <si>
    <t>INT</t>
  </si>
  <si>
    <t>WIS</t>
  </si>
  <si>
    <t>CHA</t>
  </si>
  <si>
    <t>HP</t>
  </si>
  <si>
    <t>T-HP</t>
  </si>
  <si>
    <t>State</t>
  </si>
  <si>
    <t>Age</t>
  </si>
  <si>
    <t>Age Type</t>
  </si>
  <si>
    <t>Age Mod</t>
  </si>
  <si>
    <t>AL</t>
  </si>
  <si>
    <t>F.Allegiance</t>
  </si>
  <si>
    <t>F.Standing</t>
  </si>
  <si>
    <t>Location</t>
  </si>
  <si>
    <t>Traveller</t>
  </si>
  <si>
    <t>R.Seed</t>
  </si>
  <si>
    <t>Corrupted %</t>
  </si>
  <si>
    <t>Life to Feather</t>
  </si>
  <si>
    <t xml:space="preserve">Notes </t>
  </si>
  <si>
    <t>Generate First &amp; last Name</t>
  </si>
  <si>
    <t>Dice Roll 20</t>
  </si>
  <si>
    <t>Gen Alligment</t>
  </si>
  <si>
    <t>Modifiers</t>
  </si>
  <si>
    <t>Gen Class</t>
  </si>
  <si>
    <t>Gen Job</t>
  </si>
  <si>
    <t>Hair Color</t>
  </si>
  <si>
    <t>Eye Color</t>
  </si>
  <si>
    <t>Gen Faction</t>
  </si>
  <si>
    <t>Gen Alliance</t>
  </si>
  <si>
    <t>Gen Faction Standing</t>
  </si>
  <si>
    <t>Gen Family Faction</t>
  </si>
  <si>
    <t>Family Last Name</t>
  </si>
  <si>
    <t>Family List</t>
  </si>
  <si>
    <t>Seed Gen</t>
  </si>
  <si>
    <t>Mother</t>
  </si>
  <si>
    <t>Father</t>
  </si>
  <si>
    <t>ARRAYFORMULA(E20:E+(rand()*E20:E)/(rand()*E20:E))</t>
  </si>
  <si>
    <t>Standing</t>
  </si>
  <si>
    <t>World Name</t>
  </si>
  <si>
    <t xml:space="preserve">Description </t>
  </si>
  <si>
    <t>Template for people from Reddit to come look at. Using the item spreadsheet located in "Vars" and this to create their own world building tool</t>
  </si>
  <si>
    <t>Current Day</t>
  </si>
  <si>
    <t>World Seed</t>
  </si>
  <si>
    <t>Reddit World?</t>
  </si>
  <si>
    <t>Land Lords</t>
  </si>
  <si>
    <t xml:space="preserve">Land </t>
  </si>
  <si>
    <t>Lord</t>
  </si>
  <si>
    <t>SUM</t>
  </si>
  <si>
    <t>Gold P. Month</t>
  </si>
  <si>
    <t>HP Lost</t>
  </si>
  <si>
    <t>Job Seed</t>
  </si>
  <si>
    <t>Dmg (S)</t>
  </si>
  <si>
    <t>Dmg (M)</t>
  </si>
  <si>
    <t>Critical</t>
  </si>
  <si>
    <t>Range Increment</t>
  </si>
  <si>
    <t>Weight1</t>
  </si>
  <si>
    <t>Type2</t>
  </si>
  <si>
    <t>Gauntlet</t>
  </si>
  <si>
    <t>1d2</t>
  </si>
  <si>
    <t>1d3</t>
  </si>
  <si>
    <t>×2</t>
  </si>
  <si>
    <t>—</t>
  </si>
  <si>
    <t>1 lb.</t>
  </si>
  <si>
    <t>Bludgeoning</t>
  </si>
  <si>
    <t>Unarmed strike</t>
  </si>
  <si>
    <t>1d23</t>
  </si>
  <si>
    <t>1d33</t>
  </si>
  <si>
    <t>Dagger</t>
  </si>
  <si>
    <t>1d4</t>
  </si>
  <si>
    <t>19–20/×2</t>
  </si>
  <si>
    <t>10 ft.</t>
  </si>
  <si>
    <t>Piercing or slashing</t>
  </si>
  <si>
    <t>Dagger, punching</t>
  </si>
  <si>
    <t>×3</t>
  </si>
  <si>
    <t>Piercing</t>
  </si>
  <si>
    <t>Gauntlet, spiked</t>
  </si>
  <si>
    <t>Mace, light</t>
  </si>
  <si>
    <t>1d6</t>
  </si>
  <si>
    <t>4 lb.</t>
  </si>
  <si>
    <t>Sickle</t>
  </si>
  <si>
    <t>2 lb.</t>
  </si>
  <si>
    <t>Slashing</t>
  </si>
  <si>
    <t>Club</t>
  </si>
  <si>
    <t>3 lb.</t>
  </si>
  <si>
    <t>Mace, heavy</t>
  </si>
  <si>
    <t>1d8</t>
  </si>
  <si>
    <t>8 lb.</t>
  </si>
  <si>
    <t>Morningstar</t>
  </si>
  <si>
    <t>6 lb.</t>
  </si>
  <si>
    <t>Bludgeoning and piercing</t>
  </si>
  <si>
    <t>Shortspear</t>
  </si>
  <si>
    <t>20 ft.</t>
  </si>
  <si>
    <t>Longspear4</t>
  </si>
  <si>
    <t>9 lb.</t>
  </si>
  <si>
    <t>Quarterstaff5</t>
  </si>
  <si>
    <t>1d4/1d4</t>
  </si>
  <si>
    <t>1d6/1d6</t>
  </si>
  <si>
    <t>Spear</t>
  </si>
  <si>
    <t>Crossbow, heavy</t>
  </si>
  <si>
    <t>1d10</t>
  </si>
  <si>
    <t>120 ft.</t>
  </si>
  <si>
    <t>Bolts, crossbow (10)</t>
  </si>
  <si>
    <t>Crossbow, light</t>
  </si>
  <si>
    <t>80 ft.</t>
  </si>
  <si>
    <t>Dart</t>
  </si>
  <si>
    <t>1/2 lb.</t>
  </si>
  <si>
    <t>Javelin</t>
  </si>
  <si>
    <t>30 ft.</t>
  </si>
  <si>
    <t>Sling</t>
  </si>
  <si>
    <t>50 ft.</t>
  </si>
  <si>
    <t>0 lb.</t>
  </si>
  <si>
    <t>Bullets, sling (10)</t>
  </si>
  <si>
    <t>5 lb.</t>
  </si>
  <si>
    <t>Axe, throwing</t>
  </si>
  <si>
    <t>Hammer, light</t>
  </si>
  <si>
    <t>Handaxe</t>
  </si>
  <si>
    <t>Kukri</t>
  </si>
  <si>
    <t>18–20/×2</t>
  </si>
  <si>
    <t>Pick, light</t>
  </si>
  <si>
    <t>×4</t>
  </si>
  <si>
    <t>Sap</t>
  </si>
  <si>
    <t>1d43</t>
  </si>
  <si>
    <t>1d63</t>
  </si>
  <si>
    <t>Shield, light</t>
  </si>
  <si>
    <t>special</t>
  </si>
  <si>
    <t>Spiked armor</t>
  </si>
  <si>
    <t>Spiked shield, light</t>
  </si>
  <si>
    <t>Sword, short</t>
  </si>
  <si>
    <t>Battleaxe</t>
  </si>
  <si>
    <t>Flail</t>
  </si>
  <si>
    <t>Longsword</t>
  </si>
  <si>
    <t>Pick, heavy</t>
  </si>
  <si>
    <t>Rapier</t>
  </si>
  <si>
    <t>Scimitar</t>
  </si>
  <si>
    <t>Shield, heavy</t>
  </si>
  <si>
    <t>Spiked shield, heavy</t>
  </si>
  <si>
    <t>Trident</t>
  </si>
  <si>
    <t>Warhammer</t>
  </si>
  <si>
    <t>Falchion</t>
  </si>
  <si>
    <t>2d4</t>
  </si>
  <si>
    <t>Glaive</t>
  </si>
  <si>
    <t>10 lb.</t>
  </si>
  <si>
    <t>Greataxe</t>
  </si>
  <si>
    <t>1d12</t>
  </si>
  <si>
    <t>12 lb.</t>
  </si>
  <si>
    <t>Greatclub</t>
  </si>
  <si>
    <t>Flail, heavy</t>
  </si>
  <si>
    <t>Greatsword</t>
  </si>
  <si>
    <t>2d6</t>
  </si>
  <si>
    <t>Guisarme4</t>
  </si>
  <si>
    <t>Halberd</t>
  </si>
  <si>
    <t>Lance</t>
  </si>
  <si>
    <t>Ranseur</t>
  </si>
  <si>
    <t>Longbow</t>
  </si>
  <si>
    <t>100 ft.</t>
  </si>
  <si>
    <t>Longbow, composite</t>
  </si>
  <si>
    <t>110 ft.</t>
  </si>
  <si>
    <t>Shortbow</t>
  </si>
  <si>
    <t>60 ft.</t>
  </si>
  <si>
    <t>Shortbow, composite</t>
  </si>
  <si>
    <t>70 ft.</t>
  </si>
  <si>
    <t>Arrows (20)</t>
  </si>
  <si>
    <t>Kama</t>
  </si>
  <si>
    <t>Nunchaku</t>
  </si>
  <si>
    <t>Sai</t>
  </si>
  <si>
    <t>Siangham</t>
  </si>
  <si>
    <t>Sword, bastard</t>
  </si>
  <si>
    <t>Waraxe, dwarven</t>
  </si>
  <si>
    <t>Whip4</t>
  </si>
  <si>
    <t>Axe, orc double5</t>
  </si>
  <si>
    <t>1d8/1d8</t>
  </si>
  <si>
    <t>15 lb.</t>
  </si>
  <si>
    <t>Chain, spiked4</t>
  </si>
  <si>
    <t>Flail, dire5</t>
  </si>
  <si>
    <t>Hammer, gnome hooked5</t>
  </si>
  <si>
    <t>1d6/1d4</t>
  </si>
  <si>
    <t>1d8/1d6</t>
  </si>
  <si>
    <t>×3/×4</t>
  </si>
  <si>
    <t>Bludgeoning/piercing</t>
  </si>
  <si>
    <t>Sword, two-bladed5</t>
  </si>
  <si>
    <t>Urgrosh, dwarven5</t>
  </si>
  <si>
    <t>Slashing/piercing</t>
  </si>
  <si>
    <t>Bolas</t>
  </si>
  <si>
    <t>Crossbow, hand</t>
  </si>
  <si>
    <t>Bolts (10)</t>
  </si>
  <si>
    <t>Crossbow, repeating heavy</t>
  </si>
  <si>
    <t>Bolts (5)</t>
  </si>
  <si>
    <t>Crossbow, repeating light</t>
  </si>
  <si>
    <t>Net</t>
  </si>
  <si>
    <t>Shuriken (5)</t>
  </si>
  <si>
    <t>Poop</t>
  </si>
  <si>
    <t>Armor/
Shield Bonus</t>
  </si>
  <si>
    <t>Maximum
Dex Bonus</t>
  </si>
  <si>
    <t>Armor Check
Penalty</t>
  </si>
  <si>
    <t>Arcane Spell
Failure Chance</t>
  </si>
  <si>
    <t>(30 ft.)</t>
  </si>
  <si>
    <t>(20 ft.)</t>
  </si>
  <si>
    <t>Padded</t>
  </si>
  <si>
    <t>Leather</t>
  </si>
  <si>
    <t>Studded leather</t>
  </si>
  <si>
    <t>–1</t>
  </si>
  <si>
    <t>20 lb.</t>
  </si>
  <si>
    <t>Chain shirt</t>
  </si>
  <si>
    <t>–2</t>
  </si>
  <si>
    <t>25 lb.</t>
  </si>
  <si>
    <t>Hide</t>
  </si>
  <si>
    <t>–3</t>
  </si>
  <si>
    <t>15 ft.</t>
  </si>
  <si>
    <t>Scale mail</t>
  </si>
  <si>
    <t>–4</t>
  </si>
  <si>
    <t>30 lb.</t>
  </si>
  <si>
    <t>Chainmail</t>
  </si>
  <si>
    <t>–5</t>
  </si>
  <si>
    <t>40 lb.</t>
  </si>
  <si>
    <t>Breastplate</t>
  </si>
  <si>
    <t>Splint mail</t>
  </si>
  <si>
    <t>–7</t>
  </si>
  <si>
    <t>20 ft.2</t>
  </si>
  <si>
    <t>15 ft.2</t>
  </si>
  <si>
    <t>45 lb.</t>
  </si>
  <si>
    <t>Banded mail</t>
  </si>
  <si>
    <t>–6</t>
  </si>
  <si>
    <t>35 lb.</t>
  </si>
  <si>
    <t>Half-plate</t>
  </si>
  <si>
    <t>50 lb.</t>
  </si>
  <si>
    <t>Full plate</t>
  </si>
  <si>
    <t>Buckler</t>
  </si>
  <si>
    <t>Shield, light wooden</t>
  </si>
  <si>
    <t>Shield, light steel</t>
  </si>
  <si>
    <t>Shield, heavy wooden</t>
  </si>
  <si>
    <t>Shield, heavy steel</t>
  </si>
  <si>
    <t>Shield, tower</t>
  </si>
  <si>
    <t>–10</t>
  </si>
  <si>
    <t>Armor spikes</t>
  </si>
  <si>
    <t>Gauntlet, locked</t>
  </si>
  <si>
    <t>Special</t>
  </si>
  <si>
    <t>Shield Spikes, Light or Heavy</t>
  </si>
  <si>
    <t>Item</t>
  </si>
  <si>
    <t>Weight</t>
  </si>
  <si>
    <t>Backpack (empty)</t>
  </si>
  <si>
    <t>2 lb.1</t>
  </si>
  <si>
    <t>Barrel (empty)</t>
  </si>
  <si>
    <t>Basket (empty)</t>
  </si>
  <si>
    <t>Bedroll</t>
  </si>
  <si>
    <t>5 lb.1</t>
  </si>
  <si>
    <t>Bell</t>
  </si>
  <si>
    <t>Blanket, winter</t>
  </si>
  <si>
    <t>3 lb.1</t>
  </si>
  <si>
    <t>Block and tackle</t>
  </si>
  <si>
    <t>Bottle, wine, glass</t>
  </si>
  <si>
    <t>Bucket (empty)</t>
  </si>
  <si>
    <t>Caltrops</t>
  </si>
  <si>
    <t>Candle</t>
  </si>
  <si>
    <t>Canvas (sq. yd.)</t>
  </si>
  <si>
    <t>Case, map or scroll</t>
  </si>
  <si>
    <t>Chain (10 ft.)</t>
  </si>
  <si>
    <t>Chalk, 1 piece</t>
  </si>
  <si>
    <t>Chest (empty)</t>
  </si>
  <si>
    <t>Crowbar</t>
  </si>
  <si>
    <t>Firewood (per day)</t>
  </si>
  <si>
    <t>Fishhook</t>
  </si>
  <si>
    <t>Fishing net, 25 sq. ft.</t>
  </si>
  <si>
    <t>Flask (empty)</t>
  </si>
  <si>
    <t>1-1/2 lb.</t>
  </si>
  <si>
    <t>Flint and steel</t>
  </si>
  <si>
    <t>Grappling hook</t>
  </si>
  <si>
    <t>Hammer</t>
  </si>
  <si>
    <t>Ink (1 oz. vial)</t>
  </si>
  <si>
    <t>Inkpen</t>
  </si>
  <si>
    <t>Jug, clay</t>
  </si>
  <si>
    <t>Ladder, 10-foot</t>
  </si>
  <si>
    <t>Lamp, common</t>
  </si>
  <si>
    <t>Lantern, bullseye</t>
  </si>
  <si>
    <t>Lantern, hooded</t>
  </si>
  <si>
    <t>Lock - Very simple</t>
  </si>
  <si>
    <t>Lock - Average</t>
  </si>
  <si>
    <t>Lock - Good</t>
  </si>
  <si>
    <t>Lock - Amazing</t>
  </si>
  <si>
    <t>Manacles</t>
  </si>
  <si>
    <t>Manacles, masterwork</t>
  </si>
  <si>
    <t>Mirror, small steel</t>
  </si>
  <si>
    <t>Mug/Tankard, clay</t>
  </si>
  <si>
    <t>Oil (1-pint flask)</t>
  </si>
  <si>
    <t>Paper (sheet)</t>
  </si>
  <si>
    <t>Parchment (sheet)</t>
  </si>
  <si>
    <t>Pick, miner’s</t>
  </si>
  <si>
    <t>Pitcher, clay</t>
  </si>
  <si>
    <t>Piton</t>
  </si>
  <si>
    <t>Pole, 10-foot</t>
  </si>
  <si>
    <t>Pot, iron</t>
  </si>
  <si>
    <t>Pouch, belt (empty)</t>
  </si>
  <si>
    <t>1/2 lb.1</t>
  </si>
  <si>
    <t>Ram, portable</t>
  </si>
  <si>
    <t>Rations, trail (per day)</t>
  </si>
  <si>
    <t>1 lb.1</t>
  </si>
  <si>
    <t>Rope, hempen (50 ft.)</t>
  </si>
  <si>
    <t>Rope, silk (50 ft.)</t>
  </si>
  <si>
    <t>Sack (empty)</t>
  </si>
  <si>
    <t>Sealing wax</t>
  </si>
  <si>
    <t>Sewing needle</t>
  </si>
  <si>
    <t>Signal whistle</t>
  </si>
  <si>
    <t>Signet ring</t>
  </si>
  <si>
    <t>Sledge</t>
  </si>
  <si>
    <t>Soap (per lb.)</t>
  </si>
  <si>
    <t>Spade or shovel</t>
  </si>
  <si>
    <t>Spyglass</t>
  </si>
  <si>
    <t>Tent</t>
  </si>
  <si>
    <t>20 lb.1</t>
  </si>
  <si>
    <t>Torch</t>
  </si>
  <si>
    <t>Vial, ink or potion</t>
  </si>
  <si>
    <t>1/10 lb.</t>
  </si>
  <si>
    <t>Waterskin</t>
  </si>
  <si>
    <t>4 lb.1</t>
  </si>
  <si>
    <t>Whetstone</t>
  </si>
  <si>
    <t>Rarity</t>
  </si>
  <si>
    <t>Worth</t>
  </si>
  <si>
    <t>R</t>
  </si>
  <si>
    <t>Subtype</t>
  </si>
  <si>
    <t>attunement?</t>
  </si>
  <si>
    <t>cursed?</t>
  </si>
  <si>
    <t>attunement requirement</t>
  </si>
  <si>
    <t>page</t>
  </si>
  <si>
    <t>Adamantine armor</t>
  </si>
  <si>
    <t>uncommon</t>
  </si>
  <si>
    <t>armor</t>
  </si>
  <si>
    <t>medium, heavy (not hide)</t>
  </si>
  <si>
    <t>Alchemy jug</t>
  </si>
  <si>
    <t>wondrous item</t>
  </si>
  <si>
    <t>Ammunition +1</t>
  </si>
  <si>
    <t>ammunition</t>
  </si>
  <si>
    <t>any</t>
  </si>
  <si>
    <t>Ammunition +2</t>
  </si>
  <si>
    <t>rare</t>
  </si>
  <si>
    <t>Ammunition +3</t>
  </si>
  <si>
    <t>very rare</t>
  </si>
  <si>
    <t>Amulet of health</t>
  </si>
  <si>
    <t>neck slot</t>
  </si>
  <si>
    <t>required</t>
  </si>
  <si>
    <t>Amulet of proof against detection and location</t>
  </si>
  <si>
    <t>Amulet of the planes</t>
  </si>
  <si>
    <t>Animated shield</t>
  </si>
  <si>
    <t>Apparatus of Kwalish</t>
  </si>
  <si>
    <t>legendary</t>
  </si>
  <si>
    <t>Armor +1</t>
  </si>
  <si>
    <t>light, medium, heavy</t>
  </si>
  <si>
    <t>Armor +2</t>
  </si>
  <si>
    <t>Armor +3</t>
  </si>
  <si>
    <t>Armor of invulnerability</t>
  </si>
  <si>
    <t>plate</t>
  </si>
  <si>
    <t>Armor of resistance</t>
  </si>
  <si>
    <t>Armor of vulnerability</t>
  </si>
  <si>
    <t>cursed</t>
  </si>
  <si>
    <t>Arrow of slaying</t>
  </si>
  <si>
    <t>arrow</t>
  </si>
  <si>
    <t>Arrow-catching shield</t>
  </si>
  <si>
    <t>shield</t>
  </si>
  <si>
    <t>Bag of beans</t>
  </si>
  <si>
    <t>consumable</t>
  </si>
  <si>
    <t>Bag of devouring</t>
  </si>
  <si>
    <t>Bag of holding</t>
  </si>
  <si>
    <t>Bag of tricks</t>
  </si>
  <si>
    <t>Bead of force</t>
  </si>
  <si>
    <t>Belt of dwarvenkind</t>
  </si>
  <si>
    <t>waist slot</t>
  </si>
  <si>
    <t>Belt of giant strength (cloud giant)</t>
  </si>
  <si>
    <t>Belt of giant strength (fire giant)</t>
  </si>
  <si>
    <t>Belt of giant strength (frost or stone giant)</t>
  </si>
  <si>
    <t>Belt of giant strength (hill giant)</t>
  </si>
  <si>
    <t>Belt of giant strength (storm giant)</t>
  </si>
  <si>
    <t>Berserker axe</t>
  </si>
  <si>
    <t>weapon</t>
  </si>
  <si>
    <t>any axe</t>
  </si>
  <si>
    <t>Boots of elvenkind</t>
  </si>
  <si>
    <t>feet slot</t>
  </si>
  <si>
    <t>Boots of levitation</t>
  </si>
  <si>
    <t>Boots of speed</t>
  </si>
  <si>
    <t>Boots of striding and springing</t>
  </si>
  <si>
    <t>Boots of the winterlands</t>
  </si>
  <si>
    <t>Bowl of commanding water elementals</t>
  </si>
  <si>
    <t>Bracers of archery</t>
  </si>
  <si>
    <t>arms slot</t>
  </si>
  <si>
    <t>Bracers of defense</t>
  </si>
  <si>
    <t>Brazier of commanding fire elementals</t>
  </si>
  <si>
    <t>Brooch of shielding</t>
  </si>
  <si>
    <t>Broom of flying</t>
  </si>
  <si>
    <t>Candle of invocation</t>
  </si>
  <si>
    <t>Cap of water breathing</t>
  </si>
  <si>
    <t>head slot</t>
  </si>
  <si>
    <t>Cape of the mountebank</t>
  </si>
  <si>
    <t>cloak</t>
  </si>
  <si>
    <t>Carpet of flying</t>
  </si>
  <si>
    <t>Censer of controlling air elementals</t>
  </si>
  <si>
    <t>Chime of opening</t>
  </si>
  <si>
    <t>Circlet of blasting</t>
  </si>
  <si>
    <t>Cloak of arachnida</t>
  </si>
  <si>
    <t>Cloak of displacement</t>
  </si>
  <si>
    <t>Cloak of elvenkind</t>
  </si>
  <si>
    <t>Cloak of invisibility</t>
  </si>
  <si>
    <t>Cloak of protection</t>
  </si>
  <si>
    <t>Cloak of the bat</t>
  </si>
  <si>
    <t>Cloak of the manta ray</t>
  </si>
  <si>
    <t>Crystal ball</t>
  </si>
  <si>
    <t>Cube of force</t>
  </si>
  <si>
    <t>Cubic gate</t>
  </si>
  <si>
    <t>Daern’s instant fortress</t>
  </si>
  <si>
    <t>Dagger of venom</t>
  </si>
  <si>
    <t>dagger</t>
  </si>
  <si>
    <t>Dancing sword</t>
  </si>
  <si>
    <t>any sword</t>
  </si>
  <si>
    <t>Decanter of endless water</t>
  </si>
  <si>
    <t>Deck of illusions</t>
  </si>
  <si>
    <t>Deck of many things</t>
  </si>
  <si>
    <t>Defender</t>
  </si>
  <si>
    <t>Demon armor</t>
  </si>
  <si>
    <t>Dimensional shackles</t>
  </si>
  <si>
    <t>Dragon scale mail</t>
  </si>
  <si>
    <t>scale mail</t>
  </si>
  <si>
    <t>Dragon slayer</t>
  </si>
  <si>
    <t>Driftglobe</t>
  </si>
  <si>
    <t>Dust of disappearance</t>
  </si>
  <si>
    <t>Dust of dryness</t>
  </si>
  <si>
    <t>Dust of sneezing and choking</t>
  </si>
  <si>
    <t>Dwarven plate</t>
  </si>
  <si>
    <t>Dwarven thrower</t>
  </si>
  <si>
    <t>warhammer</t>
  </si>
  <si>
    <t>dwarf</t>
  </si>
  <si>
    <t>Efreeti bottle</t>
  </si>
  <si>
    <t>Efreeti chain</t>
  </si>
  <si>
    <t>chain mail</t>
  </si>
  <si>
    <t>Elemental gem</t>
  </si>
  <si>
    <t>Elixir of health</t>
  </si>
  <si>
    <t>potion</t>
  </si>
  <si>
    <t>Elven chain</t>
  </si>
  <si>
    <t>chain shirt</t>
  </si>
  <si>
    <t>Eversmoking bottle</t>
  </si>
  <si>
    <t>Eyes of charming</t>
  </si>
  <si>
    <t>Eyes of minute seeing</t>
  </si>
  <si>
    <t>Eyes of the eagle</t>
  </si>
  <si>
    <t>Figurine of wondrous power (bronze griffon)</t>
  </si>
  <si>
    <t>Figurine of wondrous power (ebony fly)</t>
  </si>
  <si>
    <t>Figurine of wondrous power (golden lions)</t>
  </si>
  <si>
    <t>Figurine of wondrous power (ivory goats)</t>
  </si>
  <si>
    <t>Figurine of wondrous power (marble elephant)</t>
  </si>
  <si>
    <t>Figurine of wondrous power (obsidian steed)</t>
  </si>
  <si>
    <t>Figurine of wondrous power (onyx dog)</t>
  </si>
  <si>
    <t>Figurine of wondrous power (serpentine owl)</t>
  </si>
  <si>
    <t>Figurine of wondrous power (silver raven)</t>
  </si>
  <si>
    <t>Flame tongue</t>
  </si>
  <si>
    <t>Folding boat</t>
  </si>
  <si>
    <t>Frost brand</t>
  </si>
  <si>
    <t>Gauntlets of ogre power</t>
  </si>
  <si>
    <t>hands slot</t>
  </si>
  <si>
    <t>Gem of brightness</t>
  </si>
  <si>
    <t>Gem of seeing</t>
  </si>
  <si>
    <t>Giant slayer</t>
  </si>
  <si>
    <t>any axe or sword</t>
  </si>
  <si>
    <t>Glamoured studded leather</t>
  </si>
  <si>
    <t>studded leather</t>
  </si>
  <si>
    <t>Gloves of missile snaring</t>
  </si>
  <si>
    <t>Gloves of swimming and climbing</t>
  </si>
  <si>
    <t>Gloves of thievery</t>
  </si>
  <si>
    <t>Goggles of night</t>
  </si>
  <si>
    <t>Hammer of thunderbolts</t>
  </si>
  <si>
    <t>maul</t>
  </si>
  <si>
    <t>optional</t>
  </si>
  <si>
    <t>Hat of disguise</t>
  </si>
  <si>
    <t>Headband of intellect</t>
  </si>
  <si>
    <t>Helm of brilliance</t>
  </si>
  <si>
    <t>Helm of comprehending languages</t>
  </si>
  <si>
    <t>Helm of telepathy</t>
  </si>
  <si>
    <t>Helm of teleportation</t>
  </si>
  <si>
    <t>Heward’s handy haversack</t>
  </si>
  <si>
    <t>Holy avenger</t>
  </si>
  <si>
    <t>paladin</t>
  </si>
  <si>
    <t>Horn of blasting</t>
  </si>
  <si>
    <t>Horn of valhalla (bronze)</t>
  </si>
  <si>
    <t>Horn of valhalla (iron)</t>
  </si>
  <si>
    <t>Horn of valhalla (silver or brass)</t>
  </si>
  <si>
    <t>Horseshoes of a zephyr</t>
  </si>
  <si>
    <t>mount item</t>
  </si>
  <si>
    <t>Horseshoes of speed</t>
  </si>
  <si>
    <t>Immovable rod</t>
  </si>
  <si>
    <t>rod</t>
  </si>
  <si>
    <t>Instrument of the bard (Anstruth harp)</t>
  </si>
  <si>
    <t>instrument</t>
  </si>
  <si>
    <t>bard</t>
  </si>
  <si>
    <t>Instrument of the bard (Canaith mandolin)</t>
  </si>
  <si>
    <t>Instrument of the bard (Cli lyre)</t>
  </si>
  <si>
    <t>Instrument of the bard (Doss lute)</t>
  </si>
  <si>
    <t>Instrument of the bard (Fochlucan bandore)</t>
  </si>
  <si>
    <t>Instrument of the bard (Mac-Fuirmidh cittern)</t>
  </si>
  <si>
    <t>Instrument of the bard (Ollamh harp)</t>
  </si>
  <si>
    <t>Ioun stone (absorption)</t>
  </si>
  <si>
    <t>Ioun stone (agility)</t>
  </si>
  <si>
    <t>Ioun stone (awareness)</t>
  </si>
  <si>
    <t>Ioun stone (fortitude)</t>
  </si>
  <si>
    <t>Ioun stone (greater absorption)</t>
  </si>
  <si>
    <t>Ioun stone (insight)</t>
  </si>
  <si>
    <t>Ioun stone (intellect)</t>
  </si>
  <si>
    <t>Ioun stone (leadership)</t>
  </si>
  <si>
    <t>Ioun stone (mastery)</t>
  </si>
  <si>
    <t>Ioun stone (protection)</t>
  </si>
  <si>
    <t>Ioun stone (regeneration)</t>
  </si>
  <si>
    <t>Ioun stone (reserve)</t>
  </si>
  <si>
    <t>Ioun stone (strength)</t>
  </si>
  <si>
    <t>Ioun stone (sustenance)</t>
  </si>
  <si>
    <t>Iron bands of bilarro</t>
  </si>
  <si>
    <t>Iron flask</t>
  </si>
  <si>
    <t>Javelin of lightning</t>
  </si>
  <si>
    <t>javelin</t>
  </si>
  <si>
    <t>Keoghtom’s ointment</t>
  </si>
  <si>
    <t>Lantern of revealing</t>
  </si>
  <si>
    <t>Luck blade</t>
  </si>
  <si>
    <t>Mace of disruption</t>
  </si>
  <si>
    <t>mace</t>
  </si>
  <si>
    <t>Mace of smiting</t>
  </si>
  <si>
    <t>Mace of terror</t>
  </si>
  <si>
    <t>Mantle of spell resistance</t>
  </si>
  <si>
    <t>Manual of bodily health</t>
  </si>
  <si>
    <t>tome</t>
  </si>
  <si>
    <t>Manual of gainful exercise</t>
  </si>
  <si>
    <t>Manual of golems</t>
  </si>
  <si>
    <t>Manual of quickness of action</t>
  </si>
  <si>
    <t>Mariner’s armor</t>
  </si>
  <si>
    <t>Medallion of thoughts</t>
  </si>
  <si>
    <t>Mirror of life trapping</t>
  </si>
  <si>
    <t>Mithral armor</t>
  </si>
  <si>
    <t>Necklace of adaptation</t>
  </si>
  <si>
    <t>Necklace of fireballs</t>
  </si>
  <si>
    <t>Necklace of prayer beads</t>
  </si>
  <si>
    <t>cleric, druid, or paladin</t>
  </si>
  <si>
    <t>Nine lives stealer</t>
  </si>
  <si>
    <t>Nolzur’s marvelous pigments</t>
  </si>
  <si>
    <t>Oathbow</t>
  </si>
  <si>
    <t>longbow</t>
  </si>
  <si>
    <t>Oil of etherealness</t>
  </si>
  <si>
    <t>Oil of sharpness</t>
  </si>
  <si>
    <t>Oil of slipperiness</t>
  </si>
  <si>
    <t>Pearl of power</t>
  </si>
  <si>
    <t>spellcaster</t>
  </si>
  <si>
    <t>Periapt of health</t>
  </si>
  <si>
    <t>Periapt of proof against poison</t>
  </si>
  <si>
    <t>Periapt of wound closure</t>
  </si>
  <si>
    <t>Philter of love</t>
  </si>
  <si>
    <t>Pipes of haunting</t>
  </si>
  <si>
    <t>Pipes of the sewers</t>
  </si>
  <si>
    <t>Plate armor of etherealness</t>
  </si>
  <si>
    <t>Portable hole</t>
  </si>
  <si>
    <t>Potion of animal friendship</t>
  </si>
  <si>
    <t>Potion of clairvoyance</t>
  </si>
  <si>
    <t>Potion of climbing</t>
  </si>
  <si>
    <t>common</t>
  </si>
  <si>
    <t>Potion of diminution</t>
  </si>
  <si>
    <t>Potion of fire breath</t>
  </si>
  <si>
    <t>Potion of flying</t>
  </si>
  <si>
    <t>Potion of gaseous form</t>
  </si>
  <si>
    <t>Potion of giant strength (cloud giant)</t>
  </si>
  <si>
    <t>Potion of giant strength (fire giant)</t>
  </si>
  <si>
    <t>Potion of giant strength (frost or stone giant)</t>
  </si>
  <si>
    <t>Potion of giant strength (hill giant)</t>
  </si>
  <si>
    <t>Potion of giant strength (storm giant)</t>
  </si>
  <si>
    <t>Potion of greater healing</t>
  </si>
  <si>
    <t>Potion of growth</t>
  </si>
  <si>
    <t>Potion of healing</t>
  </si>
  <si>
    <t>Potion of superior healing</t>
  </si>
  <si>
    <t>Potion of supreme healing</t>
  </si>
  <si>
    <t>Potion of heroism</t>
  </si>
  <si>
    <t>Potion of invisibility</t>
  </si>
  <si>
    <t>Potion of invulnerability</t>
  </si>
  <si>
    <t>Potion of longevity</t>
  </si>
  <si>
    <t>Potion of mind reading</t>
  </si>
  <si>
    <t>Potion of poison</t>
  </si>
  <si>
    <t>Potion of resistance</t>
  </si>
  <si>
    <t>Potion of speed</t>
  </si>
  <si>
    <t>Potion of vitality</t>
  </si>
  <si>
    <t>Potion of water breathing</t>
  </si>
  <si>
    <t>Quaal’s feather token</t>
  </si>
  <si>
    <t>Quiver of Ehlonna</t>
  </si>
  <si>
    <t>Ring of animal influence</t>
  </si>
  <si>
    <t>ring</t>
  </si>
  <si>
    <t>Ring of djinni summoning</t>
  </si>
  <si>
    <t>Ring of elemental command</t>
  </si>
  <si>
    <t>Ring of evasion</t>
  </si>
  <si>
    <t>Ring of feather falling</t>
  </si>
  <si>
    <t>Ring of free action</t>
  </si>
  <si>
    <t>Ring of invisibility</t>
  </si>
  <si>
    <t>Ring of jumping</t>
  </si>
  <si>
    <t>Ring of mind shielding</t>
  </si>
  <si>
    <t>Ring of protection</t>
  </si>
  <si>
    <t>Ring of regeneration</t>
  </si>
  <si>
    <t>Ring of resistance</t>
  </si>
  <si>
    <t>Ring of shooting stars</t>
  </si>
  <si>
    <t>outdoors at night</t>
  </si>
  <si>
    <t>Ring of spell storing</t>
  </si>
  <si>
    <t>Ring of spell turning</t>
  </si>
  <si>
    <t>Ring of swimming</t>
  </si>
  <si>
    <t>Ring of telekinesis</t>
  </si>
  <si>
    <t>Ring of the ram</t>
  </si>
  <si>
    <t>Ring of three wishes</t>
  </si>
  <si>
    <t>Ring of warmth</t>
  </si>
  <si>
    <t>Ring of water walking</t>
  </si>
  <si>
    <t>Ring of x-ray vision</t>
  </si>
  <si>
    <t>Robe of eyes</t>
  </si>
  <si>
    <t>robe</t>
  </si>
  <si>
    <t>Robe of scintillating colors</t>
  </si>
  <si>
    <t>Robe of stars</t>
  </si>
  <si>
    <t>Robe of the archmagi</t>
  </si>
  <si>
    <t>Robe of useful items</t>
  </si>
  <si>
    <t>Rod of absorption</t>
  </si>
  <si>
    <t>Rod of alertness</t>
  </si>
  <si>
    <t>Rod of lordly might</t>
  </si>
  <si>
    <t>Rod of resurrection</t>
  </si>
  <si>
    <t>cleric, driuid, or paladin</t>
  </si>
  <si>
    <t>Rod of rulership</t>
  </si>
  <si>
    <t>Rod of security</t>
  </si>
  <si>
    <t>Rod of the pact keeper +1</t>
  </si>
  <si>
    <t>Rod of the pact keeper +2</t>
  </si>
  <si>
    <t>Rod of the pact keeper +3</t>
  </si>
  <si>
    <t>Rope of climbing</t>
  </si>
  <si>
    <t>Rope of entanglement</t>
  </si>
  <si>
    <t>Saddle of the cavalier</t>
  </si>
  <si>
    <t>Scarab of protection</t>
  </si>
  <si>
    <t>Scimitar of speed</t>
  </si>
  <si>
    <t>scimitar</t>
  </si>
  <si>
    <t>Scroll of protection</t>
  </si>
  <si>
    <t>scroll</t>
  </si>
  <si>
    <t>Sending stones</t>
  </si>
  <si>
    <t>Sentinel shield</t>
  </si>
  <si>
    <t>Shield +1</t>
  </si>
  <si>
    <t>Shield +2</t>
  </si>
  <si>
    <t>Shield +3</t>
  </si>
  <si>
    <t>Shield of missile attraction</t>
  </si>
  <si>
    <t>Slippers of spider climbing</t>
  </si>
  <si>
    <t>Sovereign glue</t>
  </si>
  <si>
    <t>Spell scroll (1st level)</t>
  </si>
  <si>
    <t>Spell scroll (2nd level)</t>
  </si>
  <si>
    <t>Spell scroll (3rd level)</t>
  </si>
  <si>
    <t>Spell scroll (4th level)</t>
  </si>
  <si>
    <t>Spell scroll (5th level)</t>
  </si>
  <si>
    <t>Spell scroll (6th level)</t>
  </si>
  <si>
    <t>Spell scroll (7th level)</t>
  </si>
  <si>
    <t>Spell scroll (8th level)</t>
  </si>
  <si>
    <t>Spell scroll (9th level)</t>
  </si>
  <si>
    <t>Spell scroll (cantrip)</t>
  </si>
  <si>
    <t>Spellguard shield</t>
  </si>
  <si>
    <t>Sphere of annihilation</t>
  </si>
  <si>
    <t>Staff of charming</t>
  </si>
  <si>
    <t>staff</t>
  </si>
  <si>
    <t>bard, cleric, druid, sorcerer, warlock, or wizard</t>
  </si>
  <si>
    <t>Staff of fire</t>
  </si>
  <si>
    <t>druid, sorcerer, warlock, or wizard</t>
  </si>
  <si>
    <t>Staff of frost</t>
  </si>
  <si>
    <t>Staff of healing</t>
  </si>
  <si>
    <t>bard, cleric, or druid</t>
  </si>
  <si>
    <t>Staff of power</t>
  </si>
  <si>
    <t>sorcerer, warlock, wizard</t>
  </si>
  <si>
    <t>Staff of striking</t>
  </si>
  <si>
    <t>Staff of swarming insects</t>
  </si>
  <si>
    <t>Staff of the adder</t>
  </si>
  <si>
    <t>cleric, druid, or warlock</t>
  </si>
  <si>
    <t>Staff of the magi</t>
  </si>
  <si>
    <t>Staff of the python</t>
  </si>
  <si>
    <t>Staff of the woodlands</t>
  </si>
  <si>
    <t>druid</t>
  </si>
  <si>
    <t>Staff of thunder and lightning</t>
  </si>
  <si>
    <t>Staff of withering</t>
  </si>
  <si>
    <t>Stone of controlling earth elementals</t>
  </si>
  <si>
    <t>Stone of good luck (luckstone)</t>
  </si>
  <si>
    <t>Sun blade</t>
  </si>
  <si>
    <t>longsword</t>
  </si>
  <si>
    <t>Sword of answering</t>
  </si>
  <si>
    <t>same alignment as sword</t>
  </si>
  <si>
    <t>Sword of life stealing</t>
  </si>
  <si>
    <t>Sword of sharpness</t>
  </si>
  <si>
    <t>any sword (slashing)</t>
  </si>
  <si>
    <t>Sword of vengeance</t>
  </si>
  <si>
    <t>Sword of wounding</t>
  </si>
  <si>
    <t>Talisman of pure good</t>
  </si>
  <si>
    <t>good alignment</t>
  </si>
  <si>
    <t>Talisman of the sphere</t>
  </si>
  <si>
    <t>Talisman of ultimate evil</t>
  </si>
  <si>
    <t>evil alignment</t>
  </si>
  <si>
    <t>Tentacle rod</t>
  </si>
  <si>
    <t>Tome of clear thought</t>
  </si>
  <si>
    <t>Tome of leadership and influence</t>
  </si>
  <si>
    <t>Tome of the stilled tongue</t>
  </si>
  <si>
    <t>wizard</t>
  </si>
  <si>
    <t>Tome of understanding</t>
  </si>
  <si>
    <t>Trident of fish command</t>
  </si>
  <si>
    <t>trident</t>
  </si>
  <si>
    <t>Universal solvent</t>
  </si>
  <si>
    <t>Vicious weapon</t>
  </si>
  <si>
    <t>Vorpal sword</t>
  </si>
  <si>
    <t>any slashing</t>
  </si>
  <si>
    <t>Wand of binding</t>
  </si>
  <si>
    <t>wand</t>
  </si>
  <si>
    <t>Wand of enemy detection</t>
  </si>
  <si>
    <t>Wand of fear</t>
  </si>
  <si>
    <t>Wand of fireballs</t>
  </si>
  <si>
    <t>Wand of lightning bolts</t>
  </si>
  <si>
    <t>Wand of magic detection</t>
  </si>
  <si>
    <t>Wand of magic missiles</t>
  </si>
  <si>
    <t>Wand of paralysis</t>
  </si>
  <si>
    <t>Wand of polymorph</t>
  </si>
  <si>
    <t>Wand of secrets</t>
  </si>
  <si>
    <t>Wand of the war mage +1</t>
  </si>
  <si>
    <t>Wand of the war mage +2</t>
  </si>
  <si>
    <t>Wand of the war mage +3</t>
  </si>
  <si>
    <t>Wand of web</t>
  </si>
  <si>
    <t>Wand of wonder</t>
  </si>
  <si>
    <t>Weapon +1</t>
  </si>
  <si>
    <t>Weapon +2</t>
  </si>
  <si>
    <t>Weapon +3</t>
  </si>
  <si>
    <t>Weapon of warning</t>
  </si>
  <si>
    <t>Well of many worlds</t>
  </si>
  <si>
    <t>Wind fan</t>
  </si>
  <si>
    <t>Winged boots</t>
  </si>
  <si>
    <t>Wings of flying</t>
  </si>
  <si>
    <t>Blackrazor</t>
  </si>
  <si>
    <t>sentient</t>
  </si>
  <si>
    <t>greatsword</t>
  </si>
  <si>
    <t>non-lawful alignment</t>
  </si>
  <si>
    <t>Moonblade</t>
  </si>
  <si>
    <t>elf or half-elf, neutral good alignment</t>
  </si>
  <si>
    <t>Wave</t>
  </si>
  <si>
    <t>worship a god of the sea</t>
  </si>
  <si>
    <t>Whelm</t>
  </si>
  <si>
    <t>Axe of the Dwarvish Lords</t>
  </si>
  <si>
    <t>artifact</t>
  </si>
  <si>
    <t>battleaxe</t>
  </si>
  <si>
    <t>Book of Exalted Deeds</t>
  </si>
  <si>
    <t>Book of Vile Darkness</t>
  </si>
  <si>
    <t>Eye and Hand of Vecna</t>
  </si>
  <si>
    <t>Orb of Dragonkind</t>
  </si>
  <si>
    <t>Sword of Kas</t>
  </si>
  <si>
    <t>Wand of Orcus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</si>
</sst>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809]#,##0&quot;gp &quot;.#&quot; ep&quot;.#&quot; sp&quot;.#&quot; cp&quot;"/>
    <numFmt numFmtId="166" formatCode="#,##0.0"/>
    <numFmt numFmtId="167" formatCode="#,##0.000"/>
  </numFmts>
  <fonts count="43">
    <font>
      <sz val="10"/>
      <color rgb="FF000000"/>
      <name val="Arial"/>
    </font>
    <font>
      <b/>
      <sz val="18"/>
      <name val="Arial"/>
    </font>
    <font>
      <b/>
      <sz val="18"/>
      <color rgb="FF000000"/>
      <name val="Arial"/>
    </font>
    <font>
      <sz val="10"/>
      <name val="Arial"/>
    </font>
    <font>
      <b/>
      <sz val="10"/>
      <name val="Arial"/>
    </font>
    <font>
      <sz val="10"/>
      <color rgb="FF000000"/>
      <name val="Arial"/>
    </font>
    <font>
      <u/>
      <sz val="10"/>
      <color rgb="FF0000FF"/>
      <name val="Arial"/>
    </font>
    <font>
      <sz val="18"/>
      <name val="Arial"/>
    </font>
    <font>
      <sz val="11"/>
      <name val="Arial"/>
    </font>
    <font>
      <sz val="10"/>
      <name val="Arial"/>
    </font>
    <font>
      <sz val="10"/>
      <color rgb="FFFFFFFF"/>
      <name val="Arial"/>
    </font>
    <font>
      <u/>
      <sz val="10"/>
      <color rgb="FF0000FF"/>
      <name val="Arial"/>
    </font>
    <font>
      <b/>
      <sz val="24"/>
      <name val="Arial"/>
    </font>
    <font>
      <sz val="9"/>
      <name val="Arial"/>
    </font>
    <font>
      <sz val="11"/>
      <color rgb="FF000000"/>
      <name val="Inconsolata"/>
    </font>
    <font>
      <b/>
      <sz val="14"/>
      <name val="Arial"/>
    </font>
    <font>
      <sz val="12"/>
      <name val="Arial"/>
    </font>
    <font>
      <sz val="12"/>
      <color rgb="FFFFFFFF"/>
      <name val="Arial"/>
    </font>
    <font>
      <b/>
      <sz val="10"/>
      <color rgb="FFFFFFFF"/>
      <name val="Arial"/>
    </font>
    <font>
      <u/>
      <sz val="10"/>
      <color rgb="FF0000FF"/>
      <name val="Arial"/>
    </font>
    <font>
      <sz val="17"/>
      <name val="Arial"/>
    </font>
    <font>
      <b/>
      <sz val="10"/>
      <color rgb="FFFFFFFF"/>
      <name val="Arial"/>
    </font>
    <font>
      <u/>
      <sz val="10"/>
      <color rgb="FF0000FF"/>
      <name val="Arial"/>
    </font>
    <font>
      <sz val="10"/>
      <color rgb="FFFFFFFF"/>
      <name val="Arial"/>
    </font>
    <font>
      <sz val="10"/>
      <color rgb="FFFF4500"/>
      <name val="Verdana"/>
    </font>
    <font>
      <sz val="10"/>
      <name val="Arial"/>
    </font>
    <font>
      <u/>
      <sz val="10"/>
      <color rgb="FF1155CC"/>
      <name val="Arial"/>
    </font>
    <font>
      <b/>
      <u/>
      <sz val="10"/>
      <color rgb="FFFFFFFF"/>
      <name val="Arial"/>
    </font>
    <font>
      <b/>
      <u/>
      <sz val="10"/>
      <color rgb="FFFFFFFF"/>
      <name val="Arial"/>
    </font>
    <font>
      <sz val="10"/>
      <color rgb="FF242729"/>
      <name val="Consolas"/>
    </font>
    <font>
      <sz val="10"/>
      <color rgb="FF222222"/>
      <name val="Roboto"/>
    </font>
    <font>
      <sz val="10"/>
      <color rgb="FF000000"/>
      <name val="Arial"/>
    </font>
    <font>
      <sz val="11"/>
      <color rgb="FFFFFFFF"/>
      <name val="Inconsolata"/>
    </font>
    <font>
      <strike/>
      <sz val="10"/>
      <color rgb="FFFFFFFF"/>
      <name val="Arial"/>
    </font>
    <font>
      <b/>
      <sz val="10"/>
      <color rgb="FF000000"/>
      <name val="Arial"/>
    </font>
    <font>
      <b/>
      <sz val="10"/>
      <color rgb="FF999999"/>
      <name val="Arial"/>
    </font>
    <font>
      <b/>
      <sz val="10"/>
      <color rgb="FFFFFFFF"/>
      <name val="Sans-serif"/>
    </font>
    <font>
      <b/>
      <u/>
      <sz val="10"/>
      <color rgb="FFFFFFFF"/>
      <name val="Sans-serif"/>
    </font>
    <font>
      <sz val="10"/>
      <color rgb="FFFFFFFF"/>
      <name val="Sans-serif"/>
    </font>
    <font>
      <u/>
      <sz val="10"/>
      <color rgb="FF5A3696"/>
      <name val="Sans-serif"/>
    </font>
    <font>
      <sz val="10"/>
      <color rgb="FF2A1804"/>
      <name val="Sans-serif"/>
    </font>
    <font>
      <u/>
      <sz val="10"/>
      <color rgb="FF2A1804"/>
      <name val="Sans-serif"/>
    </font>
    <font>
      <sz val="10"/>
      <color rgb="FF5A3696"/>
      <name val="Sans-serif"/>
    </font>
  </fonts>
  <fills count="16">
    <fill>
      <patternFill patternType="none"/>
    </fill>
    <fill>
      <patternFill patternType="gray125"/>
    </fill>
    <fill>
      <patternFill patternType="solid">
        <fgColor rgb="FF000000"/>
        <bgColor rgb="FF000000"/>
      </patternFill>
    </fill>
    <fill>
      <patternFill patternType="solid">
        <fgColor rgb="FFFFD966"/>
        <bgColor rgb="FFFFD966"/>
      </patternFill>
    </fill>
    <fill>
      <patternFill patternType="solid">
        <fgColor rgb="FFFFE599"/>
        <bgColor rgb="FFFFE599"/>
      </patternFill>
    </fill>
    <fill>
      <patternFill patternType="solid">
        <fgColor rgb="FFFFFFFF"/>
        <bgColor rgb="FFFFFFFF"/>
      </patternFill>
    </fill>
    <fill>
      <patternFill patternType="solid">
        <fgColor rgb="FFD9D9D9"/>
        <bgColor rgb="FFD9D9D9"/>
      </patternFill>
    </fill>
    <fill>
      <patternFill patternType="solid">
        <fgColor rgb="FFE69138"/>
        <bgColor rgb="FFE69138"/>
      </patternFill>
    </fill>
    <fill>
      <patternFill patternType="solid">
        <fgColor rgb="FFF9CB9C"/>
        <bgColor rgb="FFF9CB9C"/>
      </patternFill>
    </fill>
    <fill>
      <patternFill patternType="solid">
        <fgColor rgb="FF6AA84F"/>
        <bgColor rgb="FF6AA84F"/>
      </patternFill>
    </fill>
    <fill>
      <patternFill patternType="solid">
        <fgColor rgb="FF93C47D"/>
        <bgColor rgb="FF93C47D"/>
      </patternFill>
    </fill>
    <fill>
      <patternFill patternType="solid">
        <fgColor rgb="FFB7B7B7"/>
        <bgColor rgb="FFB7B7B7"/>
      </patternFill>
    </fill>
    <fill>
      <patternFill patternType="solid">
        <fgColor rgb="FFEFF0F1"/>
        <bgColor rgb="FFEFF0F1"/>
      </patternFill>
    </fill>
    <fill>
      <patternFill patternType="solid">
        <fgColor rgb="FF999999"/>
        <bgColor rgb="FF999999"/>
      </patternFill>
    </fill>
    <fill>
      <patternFill patternType="solid">
        <fgColor rgb="FF434343"/>
        <bgColor rgb="FF434343"/>
      </patternFill>
    </fill>
    <fill>
      <patternFill patternType="solid">
        <fgColor rgb="FFF8D763"/>
        <bgColor rgb="FFF8D763"/>
      </patternFill>
    </fill>
  </fills>
  <borders count="24">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style="thin">
        <color rgb="FF000000"/>
      </left>
      <right/>
      <top style="thin">
        <color rgb="FF000000"/>
      </top>
      <bottom style="thin">
        <color rgb="FFFFFFFF"/>
      </bottom>
      <diagonal/>
    </border>
    <border>
      <left/>
      <right/>
      <top style="thin">
        <color rgb="FF000000"/>
      </top>
      <bottom style="thin">
        <color rgb="FFFFFFFF"/>
      </bottom>
      <diagonal/>
    </border>
    <border>
      <left/>
      <right style="thin">
        <color rgb="FF000000"/>
      </right>
      <top style="thin">
        <color rgb="FF000000"/>
      </top>
      <bottom style="thin">
        <color rgb="FFFFFFFF"/>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FFFFFF"/>
      </right>
      <top/>
      <bottom/>
      <diagonal/>
    </border>
    <border>
      <left/>
      <right/>
      <top/>
      <bottom style="thin">
        <color rgb="FFFFFFFF"/>
      </bottom>
      <diagonal/>
    </border>
    <border>
      <left style="thin">
        <color rgb="FF000000"/>
      </left>
      <right style="thin">
        <color rgb="FF000000"/>
      </right>
      <top style="thin">
        <color rgb="FF000000"/>
      </top>
      <bottom style="thin">
        <color rgb="FFFFFFFF"/>
      </bottom>
      <diagonal/>
    </border>
    <border>
      <left/>
      <right style="thin">
        <color rgb="FF000000"/>
      </right>
      <top/>
      <bottom style="thin">
        <color rgb="FFFFFFFF"/>
      </bottom>
      <diagonal/>
    </border>
    <border>
      <left style="thin">
        <color rgb="FF000000"/>
      </left>
      <right/>
      <top/>
      <bottom style="thin">
        <color rgb="FFFFFFFF"/>
      </bottom>
      <diagonal/>
    </border>
  </borders>
  <cellStyleXfs count="1">
    <xf numFmtId="0" fontId="0" fillId="0" borderId="0"/>
  </cellStyleXfs>
  <cellXfs count="276">
    <xf numFmtId="0" fontId="0" fillId="0" borderId="0" xfId="0"/>
    <xf numFmtId="0" fontId="1" fillId="2" borderId="0" xfId="0" applyFont="1" applyFill="1" applyAlignment="1">
      <alignment horizontal="center" vertical="center"/>
    </xf>
    <xf numFmtId="0" fontId="3" fillId="2" borderId="0" xfId="0" applyFont="1" applyFill="1"/>
    <xf numFmtId="0" fontId="5" fillId="2" borderId="0" xfId="0" applyFont="1" applyFill="1" applyAlignment="1">
      <alignment horizontal="center" vertical="center"/>
    </xf>
    <xf numFmtId="4" fontId="5" fillId="2" borderId="0" xfId="0" applyNumberFormat="1" applyFont="1" applyFill="1" applyAlignment="1">
      <alignment horizontal="center" vertical="center"/>
    </xf>
    <xf numFmtId="3" fontId="5" fillId="2" borderId="0" xfId="0" applyNumberFormat="1" applyFont="1" applyFill="1" applyAlignment="1">
      <alignment horizontal="center" vertical="center"/>
    </xf>
    <xf numFmtId="1" fontId="5" fillId="2" borderId="0" xfId="0" applyNumberFormat="1" applyFont="1" applyFill="1" applyAlignment="1">
      <alignment horizontal="center" vertical="center"/>
    </xf>
    <xf numFmtId="4" fontId="5" fillId="2" borderId="4" xfId="0" applyNumberFormat="1" applyFont="1" applyFill="1" applyBorder="1" applyAlignment="1">
      <alignment horizontal="center" vertical="center"/>
    </xf>
    <xf numFmtId="0" fontId="5" fillId="2" borderId="0" xfId="0" applyFont="1" applyFill="1"/>
    <xf numFmtId="4" fontId="5" fillId="2" borderId="0" xfId="0" applyNumberFormat="1" applyFont="1" applyFill="1"/>
    <xf numFmtId="10" fontId="5" fillId="2" borderId="0" xfId="0" applyNumberFormat="1" applyFont="1" applyFill="1"/>
    <xf numFmtId="0" fontId="1" fillId="5" borderId="0" xfId="0" applyFont="1" applyFill="1" applyAlignment="1">
      <alignment horizontal="center" vertical="center"/>
    </xf>
    <xf numFmtId="0" fontId="3" fillId="0" borderId="5" xfId="0" applyFont="1" applyBorder="1"/>
    <xf numFmtId="0" fontId="3" fillId="0" borderId="0" xfId="0" applyFont="1"/>
    <xf numFmtId="0" fontId="3" fillId="0" borderId="6" xfId="0" applyFont="1" applyBorder="1"/>
    <xf numFmtId="0" fontId="3" fillId="5" borderId="0" xfId="0" applyFont="1" applyFill="1"/>
    <xf numFmtId="0" fontId="3" fillId="0" borderId="0" xfId="0" applyFont="1" applyAlignment="1">
      <alignment horizontal="center"/>
    </xf>
    <xf numFmtId="0" fontId="3" fillId="0" borderId="4" xfId="0" applyFont="1" applyBorder="1"/>
    <xf numFmtId="0" fontId="4" fillId="7" borderId="1" xfId="0" applyFont="1" applyFill="1" applyBorder="1" applyAlignment="1">
      <alignment horizontal="right"/>
    </xf>
    <xf numFmtId="0" fontId="3" fillId="5" borderId="0" xfId="0" applyFont="1" applyFill="1" applyAlignment="1">
      <alignment horizontal="left"/>
    </xf>
    <xf numFmtId="0" fontId="3" fillId="0" borderId="0" xfId="0" applyFont="1" applyAlignment="1">
      <alignment vertical="top"/>
    </xf>
    <xf numFmtId="0" fontId="3" fillId="0" borderId="8" xfId="0" applyFont="1" applyBorder="1"/>
    <xf numFmtId="0" fontId="3" fillId="0" borderId="9" xfId="0" applyFont="1" applyBorder="1"/>
    <xf numFmtId="0" fontId="3" fillId="5" borderId="0" xfId="0" applyFont="1" applyFill="1" applyAlignment="1">
      <alignment horizontal="center"/>
    </xf>
    <xf numFmtId="0" fontId="3" fillId="0" borderId="10" xfId="0" applyFont="1" applyBorder="1"/>
    <xf numFmtId="0" fontId="3" fillId="5" borderId="0" xfId="0" applyFont="1" applyFill="1" applyAlignment="1">
      <alignment horizontal="center" vertical="center"/>
    </xf>
    <xf numFmtId="0" fontId="3" fillId="0" borderId="0" xfId="0" applyFont="1" applyAlignment="1">
      <alignment horizontal="center" vertical="center" wrapText="1"/>
    </xf>
    <xf numFmtId="164" fontId="7" fillId="5" borderId="0" xfId="0" applyNumberFormat="1" applyFont="1" applyFill="1" applyAlignment="1">
      <alignment horizontal="center" vertical="center"/>
    </xf>
    <xf numFmtId="0" fontId="3" fillId="6" borderId="0" xfId="0" applyFont="1" applyFill="1" applyAlignment="1">
      <alignment horizontal="center" vertical="center"/>
    </xf>
    <xf numFmtId="1" fontId="8" fillId="5" borderId="0" xfId="0" applyNumberFormat="1" applyFont="1" applyFill="1" applyAlignment="1">
      <alignment horizontal="center"/>
    </xf>
    <xf numFmtId="0" fontId="9" fillId="0" borderId="0" xfId="0" applyFont="1" applyAlignment="1">
      <alignment horizontal="left" vertical="center"/>
    </xf>
    <xf numFmtId="0" fontId="7" fillId="5" borderId="0" xfId="0" applyFont="1" applyFill="1" applyAlignment="1">
      <alignment horizontal="center" vertical="center"/>
    </xf>
    <xf numFmtId="0" fontId="3" fillId="0" borderId="11" xfId="0" applyFont="1" applyBorder="1"/>
    <xf numFmtId="0" fontId="3" fillId="0" borderId="0" xfId="0" applyFont="1" applyAlignment="1">
      <alignment horizontal="center" vertical="center"/>
    </xf>
    <xf numFmtId="0" fontId="13" fillId="0" borderId="0" xfId="0" applyFont="1" applyAlignment="1">
      <alignment horizontal="left" vertical="center"/>
    </xf>
    <xf numFmtId="0" fontId="14" fillId="5" borderId="0" xfId="0" applyFont="1" applyFill="1"/>
    <xf numFmtId="0" fontId="3" fillId="6" borderId="10" xfId="0" applyFont="1" applyFill="1" applyBorder="1" applyAlignment="1">
      <alignment horizontal="center" vertical="center"/>
    </xf>
    <xf numFmtId="0" fontId="15" fillId="0" borderId="10" xfId="0" applyFont="1" applyBorder="1" applyAlignment="1">
      <alignment horizontal="center" vertical="center" wrapText="1"/>
    </xf>
    <xf numFmtId="0" fontId="15" fillId="0" borderId="0" xfId="0" applyFont="1" applyAlignment="1">
      <alignment horizontal="center" vertical="center" wrapText="1"/>
    </xf>
    <xf numFmtId="0" fontId="15" fillId="0" borderId="4" xfId="0" applyFont="1" applyBorder="1" applyAlignment="1">
      <alignment horizontal="center" vertical="center" wrapText="1"/>
    </xf>
    <xf numFmtId="0" fontId="15" fillId="0" borderId="11" xfId="0" applyFont="1" applyBorder="1" applyAlignment="1">
      <alignment horizontal="center" vertical="center" wrapText="1"/>
    </xf>
    <xf numFmtId="0" fontId="15" fillId="0" borderId="5" xfId="0" applyFont="1" applyBorder="1" applyAlignment="1">
      <alignment horizontal="center" vertical="center" wrapText="1"/>
    </xf>
    <xf numFmtId="0" fontId="15" fillId="0" borderId="6" xfId="0" applyFont="1" applyBorder="1" applyAlignment="1">
      <alignment horizontal="center" vertical="center" wrapText="1"/>
    </xf>
    <xf numFmtId="0" fontId="3" fillId="0" borderId="7" xfId="0" applyFont="1" applyBorder="1"/>
    <xf numFmtId="0" fontId="10" fillId="2" borderId="8" xfId="0" applyFont="1" applyFill="1" applyBorder="1" applyAlignment="1">
      <alignment horizontal="center"/>
    </xf>
    <xf numFmtId="0" fontId="10" fillId="2" borderId="2" xfId="0" applyFont="1" applyFill="1" applyBorder="1" applyAlignment="1">
      <alignment horizontal="center" vertical="center"/>
    </xf>
    <xf numFmtId="0" fontId="3" fillId="6" borderId="11" xfId="0" applyFont="1" applyFill="1" applyBorder="1" applyAlignment="1">
      <alignment horizontal="center" vertical="center"/>
    </xf>
    <xf numFmtId="1" fontId="8" fillId="5" borderId="5" xfId="0" applyNumberFormat="1" applyFont="1" applyFill="1" applyBorder="1" applyAlignment="1">
      <alignment horizontal="center"/>
    </xf>
    <xf numFmtId="0" fontId="10" fillId="2" borderId="1" xfId="0" applyFont="1" applyFill="1" applyBorder="1" applyAlignment="1">
      <alignment horizontal="center" vertical="center"/>
    </xf>
    <xf numFmtId="0" fontId="3" fillId="5" borderId="0" xfId="0" applyFont="1" applyFill="1" applyAlignment="1">
      <alignment horizontal="left" vertical="center"/>
    </xf>
    <xf numFmtId="164" fontId="20" fillId="6" borderId="11" xfId="0" applyNumberFormat="1" applyFont="1" applyFill="1" applyBorder="1" applyAlignment="1">
      <alignment horizontal="center" vertical="center"/>
    </xf>
    <xf numFmtId="0" fontId="9" fillId="0" borderId="6" xfId="0" applyFont="1" applyBorder="1" applyAlignment="1">
      <alignment horizontal="center" vertical="center"/>
    </xf>
    <xf numFmtId="1" fontId="20" fillId="6" borderId="11" xfId="0" applyNumberFormat="1" applyFont="1" applyFill="1" applyBorder="1" applyAlignment="1">
      <alignment horizontal="center" vertical="center"/>
    </xf>
    <xf numFmtId="0" fontId="10" fillId="2" borderId="0" xfId="0" applyFont="1" applyFill="1" applyAlignment="1">
      <alignment horizontal="center"/>
    </xf>
    <xf numFmtId="0" fontId="10" fillId="2" borderId="4" xfId="0" applyFont="1" applyFill="1" applyBorder="1" applyAlignment="1">
      <alignment horizontal="center"/>
    </xf>
    <xf numFmtId="0" fontId="21" fillId="2" borderId="0" xfId="0" applyFont="1" applyFill="1" applyAlignment="1">
      <alignment horizontal="center"/>
    </xf>
    <xf numFmtId="165" fontId="21" fillId="2" borderId="0" xfId="0" applyNumberFormat="1" applyFont="1" applyFill="1" applyAlignment="1">
      <alignment horizontal="center"/>
    </xf>
    <xf numFmtId="0" fontId="22" fillId="0" borderId="4" xfId="0" applyFont="1" applyBorder="1"/>
    <xf numFmtId="165" fontId="3" fillId="0" borderId="0" xfId="0" applyNumberFormat="1" applyFont="1" applyAlignment="1">
      <alignment horizontal="center"/>
    </xf>
    <xf numFmtId="0" fontId="18" fillId="2" borderId="0" xfId="0" applyFont="1" applyFill="1" applyAlignment="1">
      <alignment horizontal="center"/>
    </xf>
    <xf numFmtId="0" fontId="18" fillId="2" borderId="7" xfId="0" applyFont="1" applyFill="1" applyBorder="1" applyAlignment="1">
      <alignment horizontal="center"/>
    </xf>
    <xf numFmtId="0" fontId="18" fillId="2" borderId="9" xfId="0" applyFont="1" applyFill="1" applyBorder="1" applyAlignment="1">
      <alignment horizontal="center"/>
    </xf>
    <xf numFmtId="0" fontId="18" fillId="2" borderId="8" xfId="0" applyFont="1" applyFill="1" applyBorder="1" applyAlignment="1">
      <alignment horizontal="center"/>
    </xf>
    <xf numFmtId="0" fontId="18" fillId="2" borderId="15" xfId="0" applyFont="1" applyFill="1" applyBorder="1" applyAlignment="1">
      <alignment horizontal="center"/>
    </xf>
    <xf numFmtId="0" fontId="18" fillId="2" borderId="10" xfId="0" applyFont="1" applyFill="1" applyBorder="1" applyAlignment="1">
      <alignment horizontal="center"/>
    </xf>
    <xf numFmtId="0" fontId="23" fillId="2" borderId="15" xfId="0" applyFont="1" applyFill="1" applyBorder="1" applyAlignment="1">
      <alignment horizontal="center"/>
    </xf>
    <xf numFmtId="3" fontId="18" fillId="2" borderId="8" xfId="0" applyNumberFormat="1" applyFont="1" applyFill="1" applyBorder="1" applyAlignment="1">
      <alignment horizontal="center"/>
    </xf>
    <xf numFmtId="3" fontId="18" fillId="2" borderId="9" xfId="0" applyNumberFormat="1" applyFont="1" applyFill="1" applyBorder="1" applyAlignment="1">
      <alignment horizontal="center"/>
    </xf>
    <xf numFmtId="0" fontId="18" fillId="2" borderId="4" xfId="0" applyFont="1" applyFill="1" applyBorder="1" applyAlignment="1">
      <alignment horizontal="center"/>
    </xf>
    <xf numFmtId="0" fontId="24" fillId="0" borderId="10" xfId="0" applyFont="1" applyBorder="1" applyAlignment="1">
      <alignment horizontal="center"/>
    </xf>
    <xf numFmtId="0" fontId="3" fillId="0" borderId="16" xfId="0" applyFont="1" applyBorder="1" applyAlignment="1">
      <alignment horizontal="center"/>
    </xf>
    <xf numFmtId="0" fontId="25" fillId="0" borderId="16" xfId="0" applyFont="1" applyBorder="1" applyAlignment="1">
      <alignment horizontal="center"/>
    </xf>
    <xf numFmtId="0" fontId="3" fillId="0" borderId="10" xfId="0" applyFont="1" applyBorder="1" applyAlignment="1">
      <alignment horizontal="center"/>
    </xf>
    <xf numFmtId="0" fontId="25" fillId="0" borderId="10" xfId="0" applyFont="1" applyBorder="1"/>
    <xf numFmtId="0" fontId="25" fillId="0" borderId="0" xfId="0" applyFont="1"/>
    <xf numFmtId="3" fontId="3" fillId="0" borderId="0" xfId="0" applyNumberFormat="1" applyFont="1" applyAlignment="1">
      <alignment horizontal="center"/>
    </xf>
    <xf numFmtId="3" fontId="3" fillId="0" borderId="4" xfId="0" applyNumberFormat="1" applyFont="1" applyBorder="1" applyAlignment="1">
      <alignment horizontal="center"/>
    </xf>
    <xf numFmtId="0" fontId="3" fillId="0" borderId="4" xfId="0" applyFont="1" applyBorder="1" applyAlignment="1">
      <alignment horizontal="center"/>
    </xf>
    <xf numFmtId="0" fontId="26" fillId="0" borderId="0" xfId="0" applyFont="1"/>
    <xf numFmtId="0" fontId="3" fillId="0" borderId="3" xfId="0" applyFont="1" applyBorder="1" applyAlignment="1">
      <alignment horizontal="center"/>
    </xf>
    <xf numFmtId="0" fontId="3" fillId="0" borderId="17" xfId="0" applyFont="1" applyBorder="1" applyAlignment="1">
      <alignment horizontal="center"/>
    </xf>
    <xf numFmtId="0" fontId="3" fillId="0" borderId="11" xfId="0" applyFont="1" applyBorder="1" applyAlignment="1">
      <alignment horizontal="center"/>
    </xf>
    <xf numFmtId="0" fontId="3" fillId="0" borderId="6" xfId="0" applyFont="1" applyBorder="1" applyAlignment="1">
      <alignment horizontal="center"/>
    </xf>
    <xf numFmtId="0" fontId="3" fillId="0" borderId="5" xfId="0" applyFont="1" applyBorder="1" applyAlignment="1">
      <alignment horizontal="center"/>
    </xf>
    <xf numFmtId="0" fontId="3" fillId="0" borderId="18" xfId="0" applyFont="1" applyBorder="1" applyAlignment="1">
      <alignment horizontal="center"/>
    </xf>
    <xf numFmtId="3" fontId="3" fillId="0" borderId="5" xfId="0" applyNumberFormat="1" applyFont="1" applyBorder="1" applyAlignment="1">
      <alignment horizontal="center"/>
    </xf>
    <xf numFmtId="3" fontId="3" fillId="0" borderId="6" xfId="0" applyNumberFormat="1" applyFont="1" applyBorder="1" applyAlignment="1">
      <alignment horizontal="center"/>
    </xf>
    <xf numFmtId="0" fontId="3" fillId="2" borderId="0" xfId="0" applyFont="1" applyFill="1" applyAlignment="1">
      <alignment horizontal="center"/>
    </xf>
    <xf numFmtId="4" fontId="3" fillId="2" borderId="0" xfId="0" applyNumberFormat="1" applyFont="1" applyFill="1"/>
    <xf numFmtId="4" fontId="21" fillId="2" borderId="0" xfId="0" applyNumberFormat="1" applyFont="1" applyFill="1" applyAlignment="1">
      <alignment horizontal="center"/>
    </xf>
    <xf numFmtId="0" fontId="27" fillId="2" borderId="7" xfId="0" applyFont="1" applyFill="1" applyBorder="1" applyAlignment="1">
      <alignment horizontal="center"/>
    </xf>
    <xf numFmtId="0" fontId="28" fillId="2" borderId="8" xfId="0" applyFont="1" applyFill="1" applyBorder="1" applyAlignment="1">
      <alignment horizontal="center"/>
    </xf>
    <xf numFmtId="0" fontId="21" fillId="2" borderId="8" xfId="0" applyFont="1" applyFill="1" applyBorder="1" applyAlignment="1">
      <alignment horizontal="center"/>
    </xf>
    <xf numFmtId="0" fontId="21" fillId="2" borderId="9" xfId="0" applyFont="1" applyFill="1" applyBorder="1" applyAlignment="1">
      <alignment horizontal="center"/>
    </xf>
    <xf numFmtId="166" fontId="21" fillId="2" borderId="7" xfId="0" applyNumberFormat="1" applyFont="1" applyFill="1" applyBorder="1" applyAlignment="1">
      <alignment horizontal="center"/>
    </xf>
    <xf numFmtId="166" fontId="21" fillId="2" borderId="8" xfId="0" applyNumberFormat="1" applyFont="1" applyFill="1" applyBorder="1" applyAlignment="1">
      <alignment horizontal="center"/>
    </xf>
    <xf numFmtId="166" fontId="21" fillId="2" borderId="9" xfId="0" applyNumberFormat="1" applyFont="1" applyFill="1" applyBorder="1" applyAlignment="1">
      <alignment horizontal="center"/>
    </xf>
    <xf numFmtId="166" fontId="21" fillId="2" borderId="15" xfId="0" applyNumberFormat="1" applyFont="1" applyFill="1" applyBorder="1" applyAlignment="1">
      <alignment horizontal="center"/>
    </xf>
    <xf numFmtId="0" fontId="21" fillId="2" borderId="15" xfId="0" applyFont="1" applyFill="1" applyBorder="1" applyAlignment="1">
      <alignment horizontal="center"/>
    </xf>
    <xf numFmtId="0" fontId="3" fillId="11" borderId="0" xfId="0" applyFont="1" applyFill="1" applyAlignment="1">
      <alignment horizontal="center"/>
    </xf>
    <xf numFmtId="0" fontId="3" fillId="11" borderId="4" xfId="0" applyFont="1" applyFill="1" applyBorder="1" applyAlignment="1">
      <alignment horizontal="center"/>
    </xf>
    <xf numFmtId="4" fontId="21" fillId="2" borderId="15" xfId="0" applyNumberFormat="1" applyFont="1" applyFill="1" applyBorder="1" applyAlignment="1">
      <alignment horizontal="center"/>
    </xf>
    <xf numFmtId="0" fontId="21" fillId="2" borderId="19" xfId="0" applyFont="1" applyFill="1" applyBorder="1" applyAlignment="1">
      <alignment horizontal="center"/>
    </xf>
    <xf numFmtId="10" fontId="21" fillId="2" borderId="9" xfId="0" applyNumberFormat="1" applyFont="1" applyFill="1" applyBorder="1" applyAlignment="1">
      <alignment horizontal="center"/>
    </xf>
    <xf numFmtId="4" fontId="3" fillId="0" borderId="5" xfId="0" applyNumberFormat="1" applyFont="1" applyBorder="1" applyAlignment="1">
      <alignment horizontal="center"/>
    </xf>
    <xf numFmtId="0" fontId="29" fillId="12" borderId="5" xfId="0" applyFont="1" applyFill="1" applyBorder="1" applyAlignment="1">
      <alignment horizontal="center"/>
    </xf>
    <xf numFmtId="1" fontId="3" fillId="0" borderId="11" xfId="0" applyNumberFormat="1" applyFont="1" applyBorder="1" applyAlignment="1">
      <alignment horizontal="center"/>
    </xf>
    <xf numFmtId="4" fontId="30" fillId="5" borderId="5" xfId="0" applyNumberFormat="1" applyFont="1" applyFill="1" applyBorder="1" applyAlignment="1">
      <alignment horizontal="center"/>
    </xf>
    <xf numFmtId="4" fontId="30" fillId="5" borderId="1" xfId="0" applyNumberFormat="1" applyFont="1" applyFill="1" applyBorder="1" applyAlignment="1">
      <alignment horizontal="center"/>
    </xf>
    <xf numFmtId="10" fontId="30" fillId="5" borderId="3" xfId="0" applyNumberFormat="1" applyFont="1" applyFill="1" applyBorder="1" applyAlignment="1">
      <alignment horizontal="center"/>
    </xf>
    <xf numFmtId="0" fontId="3" fillId="0" borderId="18" xfId="0" applyFont="1" applyBorder="1"/>
    <xf numFmtId="4" fontId="3" fillId="0" borderId="0" xfId="0" applyNumberFormat="1" applyFont="1"/>
    <xf numFmtId="0" fontId="10" fillId="2" borderId="7" xfId="0" applyFont="1" applyFill="1" applyBorder="1" applyAlignment="1">
      <alignment horizontal="center"/>
    </xf>
    <xf numFmtId="0" fontId="10" fillId="2" borderId="9" xfId="0" applyFont="1" applyFill="1" applyBorder="1" applyAlignment="1">
      <alignment horizontal="center"/>
    </xf>
    <xf numFmtId="0" fontId="3" fillId="0" borderId="16" xfId="0" applyFont="1" applyBorder="1"/>
    <xf numFmtId="0" fontId="3" fillId="6" borderId="0" xfId="0" applyFont="1" applyFill="1" applyAlignment="1">
      <alignment horizontal="center"/>
    </xf>
    <xf numFmtId="1" fontId="3" fillId="0" borderId="17" xfId="0" applyNumberFormat="1" applyFont="1" applyBorder="1" applyAlignment="1">
      <alignment horizontal="center"/>
    </xf>
    <xf numFmtId="4" fontId="30" fillId="5" borderId="0" xfId="0" applyNumberFormat="1" applyFont="1" applyFill="1" applyAlignment="1">
      <alignment horizontal="center"/>
    </xf>
    <xf numFmtId="4" fontId="3" fillId="0" borderId="0" xfId="0" applyNumberFormat="1" applyFont="1" applyAlignment="1">
      <alignment horizontal="center"/>
    </xf>
    <xf numFmtId="4" fontId="30" fillId="5" borderId="0" xfId="0" applyNumberFormat="1" applyFont="1" applyFill="1"/>
    <xf numFmtId="0" fontId="32" fillId="2" borderId="15" xfId="0" applyFont="1" applyFill="1" applyBorder="1" applyAlignment="1">
      <alignment horizontal="center"/>
    </xf>
    <xf numFmtId="0" fontId="10" fillId="13" borderId="0" xfId="0" applyFont="1" applyFill="1" applyAlignment="1">
      <alignment horizontal="center"/>
    </xf>
    <xf numFmtId="4" fontId="3" fillId="0" borderId="18" xfId="0" applyNumberFormat="1" applyFont="1" applyBorder="1" applyAlignment="1">
      <alignment horizontal="center"/>
    </xf>
    <xf numFmtId="3" fontId="3" fillId="0" borderId="0" xfId="0" applyNumberFormat="1" applyFont="1"/>
    <xf numFmtId="1" fontId="3" fillId="0" borderId="0" xfId="0" applyNumberFormat="1" applyFont="1"/>
    <xf numFmtId="0" fontId="10" fillId="13" borderId="10" xfId="0" applyFont="1" applyFill="1" applyBorder="1" applyAlignment="1">
      <alignment horizontal="center"/>
    </xf>
    <xf numFmtId="0" fontId="10" fillId="2" borderId="10" xfId="0" applyFont="1" applyFill="1" applyBorder="1" applyAlignment="1">
      <alignment horizontal="right"/>
    </xf>
    <xf numFmtId="0" fontId="10" fillId="2" borderId="4" xfId="0" applyFont="1" applyFill="1" applyBorder="1" applyAlignment="1">
      <alignment horizontal="left"/>
    </xf>
    <xf numFmtId="0" fontId="34" fillId="5" borderId="20" xfId="0" applyFont="1" applyFill="1" applyBorder="1" applyAlignment="1">
      <alignment horizontal="center"/>
    </xf>
    <xf numFmtId="0" fontId="10" fillId="2" borderId="0" xfId="0" applyFont="1" applyFill="1"/>
    <xf numFmtId="0" fontId="34" fillId="3" borderId="0" xfId="0" applyFont="1" applyFill="1" applyAlignment="1">
      <alignment horizontal="center" vertical="center"/>
    </xf>
    <xf numFmtId="0" fontId="35" fillId="14" borderId="21" xfId="0" applyFont="1" applyFill="1" applyBorder="1" applyAlignment="1">
      <alignment horizontal="center"/>
    </xf>
    <xf numFmtId="0" fontId="35" fillId="14" borderId="22" xfId="0" applyFont="1" applyFill="1" applyBorder="1" applyAlignment="1">
      <alignment horizontal="center"/>
    </xf>
    <xf numFmtId="0" fontId="3" fillId="13" borderId="23" xfId="0" applyFont="1" applyFill="1" applyBorder="1" applyAlignment="1">
      <alignment horizontal="center"/>
    </xf>
    <xf numFmtId="0" fontId="3" fillId="13" borderId="22" xfId="0" applyFont="1" applyFill="1" applyBorder="1" applyAlignment="1">
      <alignment horizontal="center"/>
    </xf>
    <xf numFmtId="0" fontId="3" fillId="13" borderId="20" xfId="0" applyFont="1" applyFill="1" applyBorder="1" applyAlignment="1">
      <alignment horizontal="center"/>
    </xf>
    <xf numFmtId="0" fontId="3" fillId="13" borderId="0" xfId="0" applyFont="1" applyFill="1" applyAlignment="1">
      <alignment horizontal="center"/>
    </xf>
    <xf numFmtId="0" fontId="18" fillId="2" borderId="10" xfId="0" applyFont="1" applyFill="1" applyBorder="1" applyAlignment="1">
      <alignment horizontal="right"/>
    </xf>
    <xf numFmtId="0" fontId="18" fillId="2" borderId="4" xfId="0" applyFont="1" applyFill="1" applyBorder="1" applyAlignment="1">
      <alignment horizontal="left"/>
    </xf>
    <xf numFmtId="0" fontId="3" fillId="0" borderId="10" xfId="0" applyFont="1" applyBorder="1" applyAlignment="1">
      <alignment horizontal="right"/>
    </xf>
    <xf numFmtId="0" fontId="3" fillId="0" borderId="4" xfId="0" applyFont="1" applyBorder="1" applyAlignment="1">
      <alignment horizontal="left"/>
    </xf>
    <xf numFmtId="0" fontId="10" fillId="2" borderId="15" xfId="0" applyFont="1" applyFill="1" applyBorder="1" applyAlignment="1">
      <alignment horizontal="center"/>
    </xf>
    <xf numFmtId="10" fontId="18" fillId="2" borderId="5" xfId="0" applyNumberFormat="1" applyFont="1" applyFill="1" applyBorder="1" applyAlignment="1">
      <alignment horizontal="center"/>
    </xf>
    <xf numFmtId="10" fontId="18" fillId="2" borderId="11" xfId="0" applyNumberFormat="1" applyFont="1" applyFill="1" applyBorder="1" applyAlignment="1">
      <alignment horizontal="center"/>
    </xf>
    <xf numFmtId="10" fontId="18" fillId="2" borderId="2" xfId="0" applyNumberFormat="1" applyFont="1" applyFill="1" applyBorder="1"/>
    <xf numFmtId="10" fontId="3" fillId="0" borderId="2" xfId="0" applyNumberFormat="1" applyFont="1" applyBorder="1"/>
    <xf numFmtId="10" fontId="3" fillId="0" borderId="1" xfId="0" applyNumberFormat="1" applyFont="1" applyBorder="1"/>
    <xf numFmtId="10" fontId="18" fillId="2" borderId="8" xfId="0" applyNumberFormat="1" applyFont="1" applyFill="1" applyBorder="1"/>
    <xf numFmtId="10" fontId="3" fillId="0" borderId="8" xfId="0" applyNumberFormat="1" applyFont="1" applyBorder="1"/>
    <xf numFmtId="10" fontId="3" fillId="0" borderId="7" xfId="0" applyNumberFormat="1" applyFont="1" applyBorder="1"/>
    <xf numFmtId="3" fontId="21" fillId="2" borderId="9" xfId="0" applyNumberFormat="1" applyFont="1" applyFill="1" applyBorder="1" applyAlignment="1">
      <alignment horizontal="center"/>
    </xf>
    <xf numFmtId="3" fontId="21" fillId="2" borderId="15" xfId="0" applyNumberFormat="1" applyFont="1" applyFill="1" applyBorder="1" applyAlignment="1">
      <alignment horizontal="center"/>
    </xf>
    <xf numFmtId="166" fontId="21" fillId="2" borderId="4" xfId="0" applyNumberFormat="1" applyFont="1" applyFill="1" applyBorder="1" applyAlignment="1">
      <alignment horizontal="center"/>
    </xf>
    <xf numFmtId="0" fontId="29" fillId="12" borderId="0" xfId="0" applyFont="1" applyFill="1" applyAlignment="1">
      <alignment horizontal="center"/>
    </xf>
    <xf numFmtId="3" fontId="3" fillId="0" borderId="10" xfId="0" applyNumberFormat="1" applyFont="1" applyBorder="1" applyAlignment="1">
      <alignment horizontal="center"/>
    </xf>
    <xf numFmtId="1" fontId="3" fillId="0" borderId="10" xfId="0" applyNumberFormat="1" applyFont="1" applyBorder="1" applyAlignment="1">
      <alignment horizontal="center"/>
    </xf>
    <xf numFmtId="3" fontId="14" fillId="5" borderId="0" xfId="0" applyNumberFormat="1" applyFont="1" applyFill="1" applyAlignment="1">
      <alignment horizontal="center"/>
    </xf>
    <xf numFmtId="10" fontId="14" fillId="5" borderId="0" xfId="0" applyNumberFormat="1" applyFont="1" applyFill="1" applyAlignment="1">
      <alignment horizontal="center"/>
    </xf>
    <xf numFmtId="4" fontId="14" fillId="5" borderId="0" xfId="0" applyNumberFormat="1" applyFont="1" applyFill="1" applyAlignment="1">
      <alignment horizontal="center"/>
    </xf>
    <xf numFmtId="10" fontId="30" fillId="5" borderId="4" xfId="0" applyNumberFormat="1" applyFont="1" applyFill="1" applyBorder="1" applyAlignment="1">
      <alignment horizontal="center"/>
    </xf>
    <xf numFmtId="0" fontId="25" fillId="0" borderId="10" xfId="0" applyFont="1" applyBorder="1" applyAlignment="1">
      <alignment horizontal="center"/>
    </xf>
    <xf numFmtId="4" fontId="30" fillId="5" borderId="2" xfId="0" applyNumberFormat="1" applyFont="1" applyFill="1" applyBorder="1" applyAlignment="1">
      <alignment horizontal="center"/>
    </xf>
    <xf numFmtId="10" fontId="30" fillId="15" borderId="4" xfId="0" applyNumberFormat="1" applyFont="1" applyFill="1" applyBorder="1" applyAlignment="1">
      <alignment horizontal="center"/>
    </xf>
    <xf numFmtId="0" fontId="21" fillId="0" borderId="16" xfId="0" applyFont="1" applyBorder="1" applyAlignment="1">
      <alignment horizontal="center"/>
    </xf>
    <xf numFmtId="0" fontId="21" fillId="0" borderId="0" xfId="0" applyFont="1" applyAlignment="1">
      <alignment horizontal="center"/>
    </xf>
    <xf numFmtId="0" fontId="3" fillId="0" borderId="5" xfId="0" applyFont="1" applyBorder="1" applyAlignment="1">
      <alignment horizontal="center" vertical="center"/>
    </xf>
    <xf numFmtId="0" fontId="3" fillId="0" borderId="5" xfId="0" applyFont="1" applyBorder="1"/>
    <xf numFmtId="0" fontId="3" fillId="0" borderId="6" xfId="0" applyFont="1" applyBorder="1"/>
    <xf numFmtId="0" fontId="3" fillId="0" borderId="7" xfId="0" applyFont="1" applyBorder="1" applyAlignment="1">
      <alignment horizontal="center" vertical="center" wrapText="1"/>
    </xf>
    <xf numFmtId="0" fontId="3" fillId="0" borderId="8" xfId="0" applyFont="1" applyBorder="1"/>
    <xf numFmtId="0" fontId="3" fillId="0" borderId="9" xfId="0" applyFont="1" applyBorder="1"/>
    <xf numFmtId="0" fontId="3" fillId="0" borderId="11" xfId="0" applyFont="1" applyBorder="1"/>
    <xf numFmtId="0" fontId="7" fillId="6" borderId="0" xfId="0" applyFont="1" applyFill="1" applyAlignment="1">
      <alignment horizontal="center" vertical="center"/>
    </xf>
    <xf numFmtId="0" fontId="0" fillId="0" borderId="0" xfId="0"/>
    <xf numFmtId="1" fontId="7" fillId="6" borderId="0" xfId="0" applyNumberFormat="1" applyFont="1" applyFill="1" applyAlignment="1">
      <alignment horizontal="center" vertical="center"/>
    </xf>
    <xf numFmtId="0" fontId="8" fillId="6" borderId="0" xfId="0" applyFont="1" applyFill="1" applyAlignment="1">
      <alignment horizontal="center" vertical="center" wrapText="1"/>
    </xf>
    <xf numFmtId="0" fontId="3" fillId="0" borderId="4" xfId="0" applyFont="1" applyBorder="1"/>
    <xf numFmtId="0" fontId="9" fillId="0" borderId="0" xfId="0" applyFont="1" applyAlignment="1">
      <alignment horizontal="left" vertical="center"/>
    </xf>
    <xf numFmtId="0" fontId="3" fillId="0" borderId="0" xfId="0" applyFont="1"/>
    <xf numFmtId="0" fontId="10" fillId="2" borderId="1" xfId="0" applyFont="1" applyFill="1" applyBorder="1" applyAlignment="1">
      <alignment horizontal="center"/>
    </xf>
    <xf numFmtId="0" fontId="3" fillId="0" borderId="2" xfId="0" applyFont="1" applyBorder="1"/>
    <xf numFmtId="0" fontId="11" fillId="0" borderId="1" xfId="0" applyFont="1" applyBorder="1" applyAlignment="1">
      <alignment horizontal="center"/>
    </xf>
    <xf numFmtId="0" fontId="3" fillId="0" borderId="3" xfId="0" applyFont="1" applyBorder="1"/>
    <xf numFmtId="0" fontId="4" fillId="9" borderId="7" xfId="0" applyFont="1" applyFill="1" applyBorder="1" applyAlignment="1">
      <alignment horizontal="center" vertical="center" wrapText="1"/>
    </xf>
    <xf numFmtId="0" fontId="3" fillId="0" borderId="10" xfId="0" applyFont="1" applyBorder="1"/>
    <xf numFmtId="0" fontId="3" fillId="0" borderId="1" xfId="0" applyFont="1" applyBorder="1" applyAlignment="1">
      <alignment horizontal="center"/>
    </xf>
    <xf numFmtId="3" fontId="12" fillId="0" borderId="10" xfId="0" applyNumberFormat="1" applyFont="1" applyBorder="1" applyAlignment="1">
      <alignment horizontal="center" vertical="center"/>
    </xf>
    <xf numFmtId="3" fontId="7" fillId="6" borderId="0" xfId="0" applyNumberFormat="1" applyFont="1" applyFill="1" applyAlignment="1">
      <alignment horizontal="center" vertical="center"/>
    </xf>
    <xf numFmtId="0" fontId="3" fillId="0" borderId="1" xfId="0" applyFont="1" applyBorder="1" applyAlignment="1">
      <alignment horizontal="center" vertical="center"/>
    </xf>
    <xf numFmtId="1" fontId="7" fillId="5" borderId="10" xfId="0" applyNumberFormat="1" applyFont="1" applyFill="1" applyBorder="1" applyAlignment="1">
      <alignment horizontal="center" vertical="center"/>
    </xf>
    <xf numFmtId="0" fontId="9" fillId="0" borderId="5" xfId="0" applyFont="1" applyBorder="1" applyAlignment="1">
      <alignment horizontal="left" vertical="center"/>
    </xf>
    <xf numFmtId="0" fontId="3" fillId="6" borderId="11" xfId="0" applyFont="1" applyFill="1" applyBorder="1" applyAlignment="1">
      <alignment horizontal="left" vertical="center"/>
    </xf>
    <xf numFmtId="0" fontId="9" fillId="0" borderId="5" xfId="0" applyFont="1" applyBorder="1" applyAlignment="1">
      <alignment horizontal="center" vertical="center"/>
    </xf>
    <xf numFmtId="0" fontId="3" fillId="0" borderId="0" xfId="0" applyFont="1" applyAlignment="1">
      <alignment horizontal="center"/>
    </xf>
    <xf numFmtId="0" fontId="4" fillId="6" borderId="12" xfId="0" applyFont="1" applyFill="1" applyBorder="1" applyAlignment="1">
      <alignment horizontal="center" vertical="center"/>
    </xf>
    <xf numFmtId="0" fontId="3" fillId="0" borderId="13" xfId="0" applyFont="1" applyBorder="1"/>
    <xf numFmtId="0" fontId="3" fillId="0" borderId="14" xfId="0" applyFont="1" applyBorder="1"/>
    <xf numFmtId="0" fontId="3" fillId="6" borderId="10" xfId="0" applyFont="1" applyFill="1" applyBorder="1" applyAlignment="1">
      <alignment horizontal="left" vertical="center"/>
    </xf>
    <xf numFmtId="3" fontId="3" fillId="6" borderId="5" xfId="0" applyNumberFormat="1" applyFont="1" applyFill="1" applyBorder="1" applyAlignment="1">
      <alignment horizontal="center"/>
    </xf>
    <xf numFmtId="0" fontId="2" fillId="3" borderId="1" xfId="0" applyFont="1" applyFill="1" applyBorder="1" applyAlignment="1">
      <alignment horizontal="center" vertical="center"/>
    </xf>
    <xf numFmtId="0" fontId="4" fillId="4" borderId="0" xfId="0" applyFont="1" applyFill="1" applyAlignment="1">
      <alignment horizontal="left" vertical="center"/>
    </xf>
    <xf numFmtId="0" fontId="1" fillId="6" borderId="0" xfId="0" applyFont="1" applyFill="1" applyAlignment="1">
      <alignment horizontal="center" vertical="center" wrapText="1"/>
    </xf>
    <xf numFmtId="0" fontId="3" fillId="6" borderId="5" xfId="0" applyFont="1" applyFill="1" applyBorder="1" applyAlignment="1">
      <alignment horizontal="center"/>
    </xf>
    <xf numFmtId="0" fontId="6" fillId="8" borderId="2" xfId="0" applyFont="1" applyFill="1" applyBorder="1"/>
    <xf numFmtId="0" fontId="3" fillId="0" borderId="1" xfId="0" applyFont="1" applyBorder="1" applyAlignment="1">
      <alignment horizontal="center" vertical="center" wrapText="1"/>
    </xf>
    <xf numFmtId="0" fontId="3" fillId="6" borderId="5" xfId="0" applyFont="1" applyFill="1" applyBorder="1" applyAlignment="1">
      <alignment horizontal="center" vertical="center"/>
    </xf>
    <xf numFmtId="0" fontId="3" fillId="0" borderId="0" xfId="0" applyFont="1" applyAlignment="1">
      <alignment horizontal="center" vertical="top"/>
    </xf>
    <xf numFmtId="0" fontId="3" fillId="0" borderId="5" xfId="0" applyFont="1" applyBorder="1" applyAlignment="1">
      <alignment horizontal="center" vertical="center" wrapText="1"/>
    </xf>
    <xf numFmtId="164" fontId="7" fillId="6" borderId="0" xfId="0" applyNumberFormat="1" applyFont="1" applyFill="1" applyAlignment="1">
      <alignment horizontal="center" vertical="center"/>
    </xf>
    <xf numFmtId="0" fontId="3" fillId="0" borderId="7" xfId="0" applyFont="1" applyBorder="1" applyAlignment="1">
      <alignment vertical="top" wrapText="1"/>
    </xf>
    <xf numFmtId="0" fontId="15" fillId="0" borderId="7" xfId="0" applyFont="1" applyBorder="1" applyAlignment="1">
      <alignment horizontal="center" vertical="center" wrapText="1"/>
    </xf>
    <xf numFmtId="0" fontId="4" fillId="0" borderId="1" xfId="0" applyFont="1" applyBorder="1" applyAlignment="1">
      <alignment horizontal="center" vertical="center"/>
    </xf>
    <xf numFmtId="165" fontId="16" fillId="0" borderId="7" xfId="0" applyNumberFormat="1" applyFont="1" applyBorder="1" applyAlignment="1">
      <alignment horizontal="center" vertical="center"/>
    </xf>
    <xf numFmtId="0" fontId="17" fillId="2" borderId="0" xfId="0" applyFont="1" applyFill="1" applyAlignment="1">
      <alignment horizontal="center" vertical="center"/>
    </xf>
    <xf numFmtId="0" fontId="3" fillId="5" borderId="2" xfId="0" applyFont="1" applyFill="1" applyBorder="1" applyAlignment="1">
      <alignment horizontal="center" vertical="center"/>
    </xf>
    <xf numFmtId="165" fontId="3" fillId="5" borderId="2" xfId="0" applyNumberFormat="1" applyFont="1" applyFill="1" applyBorder="1" applyAlignment="1">
      <alignment horizontal="center" vertical="center"/>
    </xf>
    <xf numFmtId="0" fontId="10" fillId="2" borderId="1" xfId="0" applyFont="1" applyFill="1" applyBorder="1" applyAlignment="1">
      <alignment horizontal="right"/>
    </xf>
    <xf numFmtId="165" fontId="18" fillId="2" borderId="2" xfId="0" applyNumberFormat="1" applyFont="1" applyFill="1" applyBorder="1" applyAlignment="1">
      <alignment horizontal="center"/>
    </xf>
    <xf numFmtId="0" fontId="16" fillId="0" borderId="1" xfId="0" applyFont="1" applyBorder="1" applyAlignment="1">
      <alignment horizontal="center" vertical="center"/>
    </xf>
    <xf numFmtId="0" fontId="18" fillId="2" borderId="0" xfId="0" applyFont="1" applyFill="1" applyAlignment="1">
      <alignment horizontal="center" vertical="center"/>
    </xf>
    <xf numFmtId="0" fontId="10" fillId="2" borderId="2" xfId="0" applyFont="1" applyFill="1" applyBorder="1" applyAlignment="1">
      <alignment horizontal="center" vertical="center"/>
    </xf>
    <xf numFmtId="0" fontId="10" fillId="2" borderId="8" xfId="0" applyFont="1" applyFill="1" applyBorder="1" applyAlignment="1">
      <alignment horizontal="center" vertical="center"/>
    </xf>
    <xf numFmtId="0" fontId="3" fillId="5" borderId="1" xfId="0" applyFont="1" applyFill="1" applyBorder="1" applyAlignment="1">
      <alignment horizontal="center" vertical="center"/>
    </xf>
    <xf numFmtId="0" fontId="19" fillId="0" borderId="1" xfId="0" applyFont="1" applyBorder="1" applyAlignment="1">
      <alignment horizontal="center"/>
    </xf>
    <xf numFmtId="0" fontId="3" fillId="10" borderId="7" xfId="0" applyFont="1" applyFill="1" applyBorder="1" applyAlignment="1">
      <alignment horizontal="center" vertical="center"/>
    </xf>
    <xf numFmtId="0" fontId="4" fillId="10" borderId="0" xfId="0" applyFont="1" applyFill="1" applyAlignment="1">
      <alignment horizontal="center" vertical="center" wrapText="1"/>
    </xf>
    <xf numFmtId="0" fontId="21" fillId="2" borderId="0" xfId="0" applyFont="1" applyFill="1" applyAlignment="1">
      <alignment horizontal="center"/>
    </xf>
    <xf numFmtId="0" fontId="10" fillId="2" borderId="7" xfId="0" applyFont="1" applyFill="1" applyBorder="1" applyAlignment="1">
      <alignment horizontal="center"/>
    </xf>
    <xf numFmtId="0" fontId="10" fillId="2" borderId="15" xfId="0" applyFont="1" applyFill="1" applyBorder="1" applyAlignment="1">
      <alignment horizontal="center" vertical="center"/>
    </xf>
    <xf numFmtId="0" fontId="3" fillId="0" borderId="16" xfId="0" applyFont="1" applyBorder="1"/>
    <xf numFmtId="0" fontId="3" fillId="11" borderId="8" xfId="0" applyFont="1" applyFill="1" applyBorder="1" applyAlignment="1">
      <alignment horizontal="center"/>
    </xf>
    <xf numFmtId="0" fontId="10" fillId="2" borderId="0" xfId="0" applyFont="1" applyFill="1" applyAlignment="1">
      <alignment horizontal="center"/>
    </xf>
    <xf numFmtId="0" fontId="31" fillId="5" borderId="11" xfId="0" applyFont="1" applyFill="1" applyBorder="1" applyAlignment="1">
      <alignment horizontal="center"/>
    </xf>
    <xf numFmtId="4" fontId="30" fillId="5" borderId="1" xfId="0" applyNumberFormat="1" applyFont="1" applyFill="1" applyBorder="1" applyAlignment="1">
      <alignment horizontal="center"/>
    </xf>
    <xf numFmtId="4" fontId="3" fillId="0" borderId="11" xfId="0" applyNumberFormat="1" applyFont="1" applyBorder="1" applyAlignment="1">
      <alignment horizontal="center"/>
    </xf>
    <xf numFmtId="0" fontId="3" fillId="0" borderId="5" xfId="0" applyFont="1" applyBorder="1" applyAlignment="1">
      <alignment horizontal="center"/>
    </xf>
    <xf numFmtId="0" fontId="4" fillId="11" borderId="8" xfId="0" applyFont="1" applyFill="1" applyBorder="1" applyAlignment="1">
      <alignment horizontal="center"/>
    </xf>
    <xf numFmtId="10" fontId="30" fillId="5" borderId="1" xfId="0" applyNumberFormat="1" applyFont="1" applyFill="1" applyBorder="1" applyAlignment="1">
      <alignment horizontal="center"/>
    </xf>
    <xf numFmtId="0" fontId="31" fillId="3" borderId="0" xfId="0" applyFont="1" applyFill="1"/>
    <xf numFmtId="0" fontId="31" fillId="3" borderId="7" xfId="0" applyFont="1" applyFill="1" applyBorder="1"/>
    <xf numFmtId="9" fontId="10" fillId="2" borderId="8" xfId="0" applyNumberFormat="1" applyFont="1" applyFill="1" applyBorder="1" applyAlignment="1">
      <alignment horizontal="center"/>
    </xf>
    <xf numFmtId="9" fontId="10" fillId="13" borderId="0" xfId="0" applyNumberFormat="1" applyFont="1" applyFill="1" applyAlignment="1">
      <alignment horizontal="center"/>
    </xf>
    <xf numFmtId="9" fontId="30" fillId="5" borderId="0" xfId="0" applyNumberFormat="1" applyFont="1" applyFill="1" applyAlignment="1">
      <alignment horizontal="center"/>
    </xf>
    <xf numFmtId="9" fontId="30" fillId="5" borderId="5" xfId="0" applyNumberFormat="1" applyFont="1" applyFill="1" applyBorder="1" applyAlignment="1">
      <alignment horizontal="center"/>
    </xf>
    <xf numFmtId="0" fontId="33" fillId="2" borderId="0" xfId="0" applyFont="1" applyFill="1" applyAlignment="1">
      <alignment horizontal="center"/>
    </xf>
    <xf numFmtId="0" fontId="34" fillId="5" borderId="20" xfId="0" applyFont="1" applyFill="1" applyBorder="1" applyAlignment="1">
      <alignment horizontal="center"/>
    </xf>
    <xf numFmtId="0" fontId="3" fillId="0" borderId="20" xfId="0" applyFont="1" applyBorder="1"/>
    <xf numFmtId="0" fontId="34" fillId="5" borderId="4" xfId="0" applyFont="1" applyFill="1" applyBorder="1" applyAlignment="1">
      <alignment horizontal="right" vertical="center"/>
    </xf>
    <xf numFmtId="0" fontId="31" fillId="5" borderId="0" xfId="0" applyFont="1" applyFill="1" applyAlignment="1">
      <alignment horizontal="left" vertical="top" wrapText="1"/>
    </xf>
    <xf numFmtId="0" fontId="34" fillId="5" borderId="0" xfId="0" applyFont="1" applyFill="1" applyAlignment="1">
      <alignment horizontal="center" vertical="center"/>
    </xf>
    <xf numFmtId="0" fontId="31" fillId="5" borderId="0" xfId="0" applyFont="1" applyFill="1" applyAlignment="1">
      <alignment horizontal="center" vertical="center" wrapText="1"/>
    </xf>
    <xf numFmtId="0" fontId="18" fillId="2" borderId="0" xfId="0" applyFont="1" applyFill="1" applyAlignment="1">
      <alignment horizontal="center"/>
    </xf>
    <xf numFmtId="165" fontId="18" fillId="2" borderId="0" xfId="0" applyNumberFormat="1" applyFont="1" applyFill="1" applyAlignment="1">
      <alignment horizontal="center"/>
    </xf>
    <xf numFmtId="165" fontId="14" fillId="5" borderId="0" xfId="0" applyNumberFormat="1" applyFont="1" applyFill="1" applyAlignment="1">
      <alignment horizontal="center"/>
    </xf>
    <xf numFmtId="165" fontId="5" fillId="0" borderId="0" xfId="0" applyNumberFormat="1" applyFont="1" applyAlignment="1">
      <alignment horizontal="center"/>
    </xf>
    <xf numFmtId="0" fontId="36" fillId="2" borderId="0" xfId="0" applyFont="1" applyFill="1" applyAlignment="1">
      <alignment horizontal="center"/>
    </xf>
    <xf numFmtId="4" fontId="36" fillId="2" borderId="0" xfId="0" applyNumberFormat="1" applyFont="1" applyFill="1" applyAlignment="1">
      <alignment horizontal="center"/>
    </xf>
    <xf numFmtId="0" fontId="37" fillId="2" borderId="0" xfId="0" applyFont="1" applyFill="1" applyAlignment="1">
      <alignment horizontal="center"/>
    </xf>
    <xf numFmtId="0" fontId="38" fillId="2" borderId="0" xfId="0" applyFont="1" applyFill="1" applyAlignment="1">
      <alignment horizontal="center" vertical="top"/>
    </xf>
    <xf numFmtId="0" fontId="39" fillId="0" borderId="0" xfId="0" applyFont="1" applyAlignment="1">
      <alignment horizontal="center" vertical="top"/>
    </xf>
    <xf numFmtId="4" fontId="40" fillId="0" borderId="0" xfId="0" applyNumberFormat="1" applyFont="1" applyAlignment="1">
      <alignment horizontal="center" vertical="top"/>
    </xf>
    <xf numFmtId="0" fontId="40" fillId="0" borderId="0" xfId="0" applyFont="1" applyAlignment="1">
      <alignment horizontal="center" vertical="top"/>
    </xf>
    <xf numFmtId="0" fontId="41" fillId="0" borderId="0" xfId="0" applyFont="1" applyAlignment="1">
      <alignment horizontal="center" vertical="top"/>
    </xf>
    <xf numFmtId="0" fontId="42" fillId="0" borderId="0" xfId="0" applyFont="1" applyAlignment="1">
      <alignment horizontal="center" vertical="top"/>
    </xf>
    <xf numFmtId="167" fontId="3" fillId="0" borderId="0" xfId="0" applyNumberFormat="1" applyFont="1"/>
    <xf numFmtId="0" fontId="36" fillId="2" borderId="0" xfId="0" applyFont="1" applyFill="1" applyAlignment="1">
      <alignment horizontal="center" vertical="center"/>
    </xf>
    <xf numFmtId="0" fontId="36" fillId="2" borderId="0" xfId="0" applyFont="1" applyFill="1" applyAlignment="1">
      <alignment horizontal="center"/>
    </xf>
    <xf numFmtId="4" fontId="36" fillId="2" borderId="0" xfId="0" applyNumberFormat="1" applyFont="1" applyFill="1" applyAlignment="1">
      <alignment horizontal="center"/>
    </xf>
    <xf numFmtId="0" fontId="39" fillId="0" borderId="0" xfId="0" applyFont="1" applyAlignment="1">
      <alignment horizontal="left" vertical="top"/>
    </xf>
    <xf numFmtId="9" fontId="40" fillId="0" borderId="0" xfId="0" applyNumberFormat="1" applyFont="1" applyAlignment="1">
      <alignment horizontal="center" vertical="top"/>
    </xf>
    <xf numFmtId="0" fontId="40" fillId="0" borderId="0" xfId="0" applyFont="1" applyAlignment="1">
      <alignment horizontal="left" vertical="top"/>
    </xf>
    <xf numFmtId="167" fontId="36" fillId="2" borderId="0" xfId="0" applyNumberFormat="1" applyFont="1" applyFill="1" applyAlignment="1">
      <alignment horizontal="center"/>
    </xf>
    <xf numFmtId="167" fontId="3" fillId="0" borderId="0" xfId="0" applyNumberFormat="1" applyFont="1" applyAlignment="1">
      <alignment horizontal="center"/>
    </xf>
    <xf numFmtId="167" fontId="14" fillId="5" borderId="0" xfId="0" applyNumberFormat="1" applyFont="1" applyFill="1" applyAlignment="1">
      <alignment horizontal="center"/>
    </xf>
    <xf numFmtId="0" fontId="6" fillId="0" borderId="0" xfId="0" applyFont="1"/>
    <xf numFmtId="0" fontId="3" fillId="0" borderId="0" xfId="0" applyFont="1" applyAlignment="1">
      <alignment horizontal="right"/>
    </xf>
  </cellXfs>
  <cellStyles count="1">
    <cellStyle name="Звичайний" xfId="0" builtinId="0"/>
  </cellStyles>
  <dxfs count="9">
    <dxf>
      <fill>
        <patternFill patternType="solid">
          <fgColor rgb="FFFCE8B2"/>
          <bgColor rgb="FFFCE8B2"/>
        </patternFill>
      </fill>
    </dxf>
    <dxf>
      <font>
        <strike/>
        <color rgb="FFFFFFFF"/>
      </font>
      <fill>
        <patternFill patternType="solid">
          <fgColor rgb="FF000000"/>
          <bgColor rgb="FF000000"/>
        </patternFill>
      </fill>
    </dxf>
    <dxf>
      <font>
        <b/>
        <color rgb="FF000000"/>
      </font>
      <fill>
        <patternFill patternType="solid">
          <fgColor rgb="FFE06666"/>
          <bgColor rgb="FFE06666"/>
        </patternFill>
      </fill>
    </dxf>
    <dxf>
      <fill>
        <patternFill patternType="solid">
          <fgColor rgb="FFB7E1CD"/>
          <bgColor rgb="FFB7E1CD"/>
        </patternFill>
      </fill>
    </dxf>
    <dxf>
      <font>
        <strike/>
        <color rgb="FFD9D9D9"/>
      </font>
      <fill>
        <patternFill patternType="none"/>
      </fill>
    </dxf>
    <dxf>
      <fill>
        <patternFill patternType="solid">
          <fgColor rgb="FFFCE8B2"/>
          <bgColor rgb="FFFCE8B2"/>
        </patternFill>
      </fill>
    </dxf>
    <dxf>
      <font>
        <strike/>
        <color rgb="FFFFFFFF"/>
      </font>
      <fill>
        <patternFill patternType="solid">
          <fgColor rgb="FF000000"/>
          <bgColor rgb="FF000000"/>
        </patternFill>
      </fill>
    </dxf>
    <dxf>
      <font>
        <b/>
        <color rgb="FF000000"/>
      </font>
      <fill>
        <patternFill patternType="solid">
          <fgColor rgb="FFE06666"/>
          <bgColor rgb="FFE06666"/>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27</xdr:col>
      <xdr:colOff>647700</xdr:colOff>
      <xdr:row>18</xdr:row>
      <xdr:rowOff>142875</xdr:rowOff>
    </xdr:from>
    <xdr:ext cx="6448425" cy="323850"/>
    <xdr:pic>
      <xdr:nvPicPr>
        <xdr:cNvPr id="2" name="image2.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619125</xdr:colOff>
      <xdr:row>22</xdr:row>
      <xdr:rowOff>133350</xdr:rowOff>
    </xdr:from>
    <xdr:ext cx="3609975" cy="2857500"/>
    <xdr:pic>
      <xdr:nvPicPr>
        <xdr:cNvPr id="3" name="image3.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27</xdr:col>
      <xdr:colOff>771525</xdr:colOff>
      <xdr:row>24</xdr:row>
      <xdr:rowOff>19050</xdr:rowOff>
    </xdr:from>
    <xdr:ext cx="1295400" cy="771525"/>
    <xdr:pic>
      <xdr:nvPicPr>
        <xdr:cNvPr id="4" name="image1.png" title="Image">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Тема Office">
  <a:themeElements>
    <a:clrScheme name="Офіс">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Офіс">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Офіс">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6" Type="http://schemas.openxmlformats.org/officeDocument/2006/relationships/hyperlink" Target="http://www.dandwiki.com/wiki/SRD:Handaxe" TargetMode="External"/><Relationship Id="rId21" Type="http://schemas.openxmlformats.org/officeDocument/2006/relationships/hyperlink" Target="http://www.dandwiki.com/wiki/SRD:Javelin" TargetMode="External"/><Relationship Id="rId42" Type="http://schemas.openxmlformats.org/officeDocument/2006/relationships/hyperlink" Target="http://www.dandwiki.com/wiki/SRD:Heavy_Shield" TargetMode="External"/><Relationship Id="rId47" Type="http://schemas.openxmlformats.org/officeDocument/2006/relationships/hyperlink" Target="http://www.dandwiki.com/wiki/SRD:Greataxe" TargetMode="External"/><Relationship Id="rId63" Type="http://schemas.openxmlformats.org/officeDocument/2006/relationships/hyperlink" Target="http://www.dandwiki.com/wiki/SRD:Dwarven_Waraxe" TargetMode="External"/><Relationship Id="rId68" Type="http://schemas.openxmlformats.org/officeDocument/2006/relationships/hyperlink" Target="http://www.dandwiki.com/wiki/SRD:Weapons" TargetMode="External"/><Relationship Id="rId2" Type="http://schemas.openxmlformats.org/officeDocument/2006/relationships/hyperlink" Target="http://www.dandwiki.com/wiki/SRD:Weapons" TargetMode="External"/><Relationship Id="rId16" Type="http://schemas.openxmlformats.org/officeDocument/2006/relationships/hyperlink" Target="http://www.dandwiki.com/wiki/SRD:Spear" TargetMode="External"/><Relationship Id="rId29" Type="http://schemas.openxmlformats.org/officeDocument/2006/relationships/hyperlink" Target="http://www.dandwiki.com/wiki/SRD:Sap" TargetMode="External"/><Relationship Id="rId11" Type="http://schemas.openxmlformats.org/officeDocument/2006/relationships/hyperlink" Target="http://www.dandwiki.com/wiki/SRD:Sickle" TargetMode="External"/><Relationship Id="rId24" Type="http://schemas.openxmlformats.org/officeDocument/2006/relationships/hyperlink" Target="http://www.dandwiki.com/wiki/SRD:Throwing_Axe" TargetMode="External"/><Relationship Id="rId32" Type="http://schemas.openxmlformats.org/officeDocument/2006/relationships/hyperlink" Target="http://www.dandwiki.com/wiki/SRD:Light_Shield" TargetMode="External"/><Relationship Id="rId37" Type="http://schemas.openxmlformats.org/officeDocument/2006/relationships/hyperlink" Target="http://www.dandwiki.com/wiki/SRD:Flail" TargetMode="External"/><Relationship Id="rId40" Type="http://schemas.openxmlformats.org/officeDocument/2006/relationships/hyperlink" Target="http://www.dandwiki.com/wiki/SRD:Rapier" TargetMode="External"/><Relationship Id="rId45" Type="http://schemas.openxmlformats.org/officeDocument/2006/relationships/hyperlink" Target="http://www.dandwiki.com/wiki/SRD:Warhammer" TargetMode="External"/><Relationship Id="rId53" Type="http://schemas.openxmlformats.org/officeDocument/2006/relationships/hyperlink" Target="http://www.dandwiki.com/wiki/SRD:Longbow" TargetMode="External"/><Relationship Id="rId58" Type="http://schemas.openxmlformats.org/officeDocument/2006/relationships/hyperlink" Target="http://www.dandwiki.com/wiki/SRD:Kama" TargetMode="External"/><Relationship Id="rId66" Type="http://schemas.openxmlformats.org/officeDocument/2006/relationships/hyperlink" Target="http://www.dandwiki.com/wiki/SRD:Bolas" TargetMode="External"/><Relationship Id="rId74" Type="http://schemas.openxmlformats.org/officeDocument/2006/relationships/hyperlink" Target="http://www.dandwiki.com/wiki/SRD:Net" TargetMode="External"/><Relationship Id="rId5" Type="http://schemas.openxmlformats.org/officeDocument/2006/relationships/hyperlink" Target="http://www.dandwiki.com/wiki/SRD:Weapons" TargetMode="External"/><Relationship Id="rId61" Type="http://schemas.openxmlformats.org/officeDocument/2006/relationships/hyperlink" Target="http://www.dandwiki.com/wiki/SRD:Siangham" TargetMode="External"/><Relationship Id="rId19" Type="http://schemas.openxmlformats.org/officeDocument/2006/relationships/hyperlink" Target="http://www.dandwiki.com/wiki/SRD:Light_Crossbow" TargetMode="External"/><Relationship Id="rId14" Type="http://schemas.openxmlformats.org/officeDocument/2006/relationships/hyperlink" Target="http://www.dandwiki.com/wiki/SRD:Morningstar" TargetMode="External"/><Relationship Id="rId22" Type="http://schemas.openxmlformats.org/officeDocument/2006/relationships/hyperlink" Target="http://www.dandwiki.com/wiki/SRD:Sling" TargetMode="External"/><Relationship Id="rId27" Type="http://schemas.openxmlformats.org/officeDocument/2006/relationships/hyperlink" Target="http://www.dandwiki.com/wiki/SRD:Kukri" TargetMode="External"/><Relationship Id="rId30" Type="http://schemas.openxmlformats.org/officeDocument/2006/relationships/hyperlink" Target="http://www.dandwiki.com/wiki/SRD:Weapons" TargetMode="External"/><Relationship Id="rId35" Type="http://schemas.openxmlformats.org/officeDocument/2006/relationships/hyperlink" Target="http://www.dandwiki.com/wiki/SRD:Short_Sword" TargetMode="External"/><Relationship Id="rId43" Type="http://schemas.openxmlformats.org/officeDocument/2006/relationships/hyperlink" Target="http://www.dandwiki.com/wiki/SRD:Heavy_Shield" TargetMode="External"/><Relationship Id="rId48" Type="http://schemas.openxmlformats.org/officeDocument/2006/relationships/hyperlink" Target="http://www.dandwiki.com/wiki/SRD:Greatclub" TargetMode="External"/><Relationship Id="rId56" Type="http://schemas.openxmlformats.org/officeDocument/2006/relationships/hyperlink" Target="http://www.dandwiki.com/wiki/SRD:Composite_Shortbow" TargetMode="External"/><Relationship Id="rId64" Type="http://schemas.openxmlformats.org/officeDocument/2006/relationships/hyperlink" Target="http://www.dandwiki.com/wiki/SRD:Weapons" TargetMode="External"/><Relationship Id="rId69" Type="http://schemas.openxmlformats.org/officeDocument/2006/relationships/hyperlink" Target="http://www.dandwiki.com/wiki/SRD:Hand_Crossbow" TargetMode="External"/><Relationship Id="rId8" Type="http://schemas.openxmlformats.org/officeDocument/2006/relationships/hyperlink" Target="http://www.dandwiki.com/wiki/SRD:Punching_Dagger" TargetMode="External"/><Relationship Id="rId51" Type="http://schemas.openxmlformats.org/officeDocument/2006/relationships/hyperlink" Target="http://www.dandwiki.com/wiki/SRD:Halberd" TargetMode="External"/><Relationship Id="rId72" Type="http://schemas.openxmlformats.org/officeDocument/2006/relationships/hyperlink" Target="http://www.dandwiki.com/wiki/SRD:Repeating_Crossbow_Bolts" TargetMode="External"/><Relationship Id="rId3" Type="http://schemas.openxmlformats.org/officeDocument/2006/relationships/hyperlink" Target="http://www.dandwiki.com/wiki/SRD:Gauntlet" TargetMode="External"/><Relationship Id="rId12" Type="http://schemas.openxmlformats.org/officeDocument/2006/relationships/hyperlink" Target="http://www.dandwiki.com/wiki/SRD:Club" TargetMode="External"/><Relationship Id="rId17" Type="http://schemas.openxmlformats.org/officeDocument/2006/relationships/hyperlink" Target="http://www.dandwiki.com/wiki/SRD:Heavy_Crossbow" TargetMode="External"/><Relationship Id="rId25" Type="http://schemas.openxmlformats.org/officeDocument/2006/relationships/hyperlink" Target="http://www.dandwiki.com/wiki/SRD:Light_Hammer" TargetMode="External"/><Relationship Id="rId33" Type="http://schemas.openxmlformats.org/officeDocument/2006/relationships/hyperlink" Target="http://www.dandwiki.com/wiki/SRD:Armor_Spikes" TargetMode="External"/><Relationship Id="rId38" Type="http://schemas.openxmlformats.org/officeDocument/2006/relationships/hyperlink" Target="http://www.dandwiki.com/wiki/SRD:Longsword" TargetMode="External"/><Relationship Id="rId46" Type="http://schemas.openxmlformats.org/officeDocument/2006/relationships/hyperlink" Target="http://www.dandwiki.com/wiki/SRD:Falchion" TargetMode="External"/><Relationship Id="rId59" Type="http://schemas.openxmlformats.org/officeDocument/2006/relationships/hyperlink" Target="http://www.dandwiki.com/wiki/SRD:Nunchaku" TargetMode="External"/><Relationship Id="rId67" Type="http://schemas.openxmlformats.org/officeDocument/2006/relationships/hyperlink" Target="http://www.dandwiki.com/wiki/SRD:Weapons" TargetMode="External"/><Relationship Id="rId20" Type="http://schemas.openxmlformats.org/officeDocument/2006/relationships/hyperlink" Target="http://www.dandwiki.com/wiki/SRD:Dart" TargetMode="External"/><Relationship Id="rId41" Type="http://schemas.openxmlformats.org/officeDocument/2006/relationships/hyperlink" Target="http://www.dandwiki.com/wiki/SRD:Scimitar" TargetMode="External"/><Relationship Id="rId54" Type="http://schemas.openxmlformats.org/officeDocument/2006/relationships/hyperlink" Target="http://www.dandwiki.com/wiki/SRD:Composite_Longbow" TargetMode="External"/><Relationship Id="rId62" Type="http://schemas.openxmlformats.org/officeDocument/2006/relationships/hyperlink" Target="http://www.dandwiki.com/wiki/SRD:Bastard_Sword" TargetMode="External"/><Relationship Id="rId70" Type="http://schemas.openxmlformats.org/officeDocument/2006/relationships/hyperlink" Target="http://www.dandwiki.com/wiki/SRD:Crossbow_Bolts" TargetMode="External"/><Relationship Id="rId75" Type="http://schemas.openxmlformats.org/officeDocument/2006/relationships/hyperlink" Target="http://www.dandwiki.com/wiki/SRD:Shuriken" TargetMode="External"/><Relationship Id="rId1" Type="http://schemas.openxmlformats.org/officeDocument/2006/relationships/hyperlink" Target="http://www.dandwiki.com/wiki/SRD:Weapons" TargetMode="External"/><Relationship Id="rId6" Type="http://schemas.openxmlformats.org/officeDocument/2006/relationships/hyperlink" Target="http://www.dandwiki.com/wiki/SRD:Weapons" TargetMode="External"/><Relationship Id="rId15" Type="http://schemas.openxmlformats.org/officeDocument/2006/relationships/hyperlink" Target="http://www.dandwiki.com/wiki/SRD:Shortspear" TargetMode="External"/><Relationship Id="rId23" Type="http://schemas.openxmlformats.org/officeDocument/2006/relationships/hyperlink" Target="http://www.dandwiki.com/wiki/SRD:Sling_Bullets" TargetMode="External"/><Relationship Id="rId28" Type="http://schemas.openxmlformats.org/officeDocument/2006/relationships/hyperlink" Target="http://www.dandwiki.com/wiki/SRD:Light_Pick" TargetMode="External"/><Relationship Id="rId36" Type="http://schemas.openxmlformats.org/officeDocument/2006/relationships/hyperlink" Target="http://www.dandwiki.com/wiki/SRD:Battleaxe" TargetMode="External"/><Relationship Id="rId49" Type="http://schemas.openxmlformats.org/officeDocument/2006/relationships/hyperlink" Target="http://www.dandwiki.com/wiki/SRD:Heavy_Flail" TargetMode="External"/><Relationship Id="rId57" Type="http://schemas.openxmlformats.org/officeDocument/2006/relationships/hyperlink" Target="http://www.dandwiki.com/wiki/SRD:Arrows" TargetMode="External"/><Relationship Id="rId10" Type="http://schemas.openxmlformats.org/officeDocument/2006/relationships/hyperlink" Target="http://www.dandwiki.com/wiki/SRD:Light_Mace" TargetMode="External"/><Relationship Id="rId31" Type="http://schemas.openxmlformats.org/officeDocument/2006/relationships/hyperlink" Target="http://www.dandwiki.com/wiki/SRD:Weapons" TargetMode="External"/><Relationship Id="rId44" Type="http://schemas.openxmlformats.org/officeDocument/2006/relationships/hyperlink" Target="http://www.dandwiki.com/wiki/SRD:Trident" TargetMode="External"/><Relationship Id="rId52" Type="http://schemas.openxmlformats.org/officeDocument/2006/relationships/hyperlink" Target="http://www.dandwiki.com/wiki/SRD:Scythe" TargetMode="External"/><Relationship Id="rId60" Type="http://schemas.openxmlformats.org/officeDocument/2006/relationships/hyperlink" Target="http://www.dandwiki.com/wiki/SRD:Sai" TargetMode="External"/><Relationship Id="rId65" Type="http://schemas.openxmlformats.org/officeDocument/2006/relationships/hyperlink" Target="http://www.dandwiki.com/wiki/SRD:Weapons" TargetMode="External"/><Relationship Id="rId73" Type="http://schemas.openxmlformats.org/officeDocument/2006/relationships/hyperlink" Target="http://www.dandwiki.com/wiki/SRD:Repeating_Light_Crossbow" TargetMode="External"/><Relationship Id="rId4" Type="http://schemas.openxmlformats.org/officeDocument/2006/relationships/hyperlink" Target="http://www.dandwiki.com/wiki/SRD:Unarmed_Strike" TargetMode="External"/><Relationship Id="rId9" Type="http://schemas.openxmlformats.org/officeDocument/2006/relationships/hyperlink" Target="http://www.dandwiki.com/wiki/SRD:Spiked_Gauntlet" TargetMode="External"/><Relationship Id="rId13" Type="http://schemas.openxmlformats.org/officeDocument/2006/relationships/hyperlink" Target="http://www.dandwiki.com/wiki/SRD:Heavy_Mace" TargetMode="External"/><Relationship Id="rId18" Type="http://schemas.openxmlformats.org/officeDocument/2006/relationships/hyperlink" Target="http://www.dandwiki.com/wiki/SRD:Crossbow_Bolts" TargetMode="External"/><Relationship Id="rId39" Type="http://schemas.openxmlformats.org/officeDocument/2006/relationships/hyperlink" Target="http://www.dandwiki.com/wiki/SRD:Heavy_Pick" TargetMode="External"/><Relationship Id="rId34" Type="http://schemas.openxmlformats.org/officeDocument/2006/relationships/hyperlink" Target="http://www.dandwiki.com/wiki/SRD:Light_Shield" TargetMode="External"/><Relationship Id="rId50" Type="http://schemas.openxmlformats.org/officeDocument/2006/relationships/hyperlink" Target="http://www.dandwiki.com/wiki/SRD:Greatsword" TargetMode="External"/><Relationship Id="rId55" Type="http://schemas.openxmlformats.org/officeDocument/2006/relationships/hyperlink" Target="http://www.dandwiki.com/wiki/SRD:Shortbow" TargetMode="External"/><Relationship Id="rId7" Type="http://schemas.openxmlformats.org/officeDocument/2006/relationships/hyperlink" Target="http://www.dandwiki.com/wiki/SRD:Dagger" TargetMode="External"/><Relationship Id="rId71" Type="http://schemas.openxmlformats.org/officeDocument/2006/relationships/hyperlink" Target="http://www.dandwiki.com/wiki/SRD:Repeating_Heavy_Crossbow"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www.dandwiki.com/wiki/SRD:Scale_Mail" TargetMode="External"/><Relationship Id="rId13" Type="http://schemas.openxmlformats.org/officeDocument/2006/relationships/hyperlink" Target="http://www.dandwiki.com/wiki/SRD:Half-Plate_Armor" TargetMode="External"/><Relationship Id="rId18" Type="http://schemas.openxmlformats.org/officeDocument/2006/relationships/hyperlink" Target="http://www.dandwiki.com/wiki/SRD:Heavy_Shield" TargetMode="External"/><Relationship Id="rId3" Type="http://schemas.openxmlformats.org/officeDocument/2006/relationships/hyperlink" Target="http://www.dandwiki.com/wiki/SRD:Padded_Armor" TargetMode="External"/><Relationship Id="rId21" Type="http://schemas.openxmlformats.org/officeDocument/2006/relationships/hyperlink" Target="http://www.dandwiki.com/wiki/SRD:Armor_Spikes" TargetMode="External"/><Relationship Id="rId7" Type="http://schemas.openxmlformats.org/officeDocument/2006/relationships/hyperlink" Target="http://www.dandwiki.com/wiki/SRD:Hide_Armor" TargetMode="External"/><Relationship Id="rId12" Type="http://schemas.openxmlformats.org/officeDocument/2006/relationships/hyperlink" Target="http://www.dandwiki.com/wiki/SRD:Banded_Mail" TargetMode="External"/><Relationship Id="rId17" Type="http://schemas.openxmlformats.org/officeDocument/2006/relationships/hyperlink" Target="http://www.dandwiki.com/wiki/SRD:Light_Shield" TargetMode="External"/><Relationship Id="rId2" Type="http://schemas.openxmlformats.org/officeDocument/2006/relationships/hyperlink" Target="http://www.dandwiki.com/wiki/SRD:Dexterity" TargetMode="External"/><Relationship Id="rId16" Type="http://schemas.openxmlformats.org/officeDocument/2006/relationships/hyperlink" Target="http://www.dandwiki.com/wiki/SRD:Light_Shield" TargetMode="External"/><Relationship Id="rId20" Type="http://schemas.openxmlformats.org/officeDocument/2006/relationships/hyperlink" Target="http://www.dandwiki.com/wiki/SRD:Tower_Shield" TargetMode="External"/><Relationship Id="rId1" Type="http://schemas.openxmlformats.org/officeDocument/2006/relationships/hyperlink" Target="http://www.dandwiki.com/wiki/SRD:Shield_Bonus" TargetMode="External"/><Relationship Id="rId6" Type="http://schemas.openxmlformats.org/officeDocument/2006/relationships/hyperlink" Target="http://www.dandwiki.com/wiki/SRD:Chain_Shirt" TargetMode="External"/><Relationship Id="rId11" Type="http://schemas.openxmlformats.org/officeDocument/2006/relationships/hyperlink" Target="http://www.dandwiki.com/wiki/SRD:Splint_Mail" TargetMode="External"/><Relationship Id="rId5" Type="http://schemas.openxmlformats.org/officeDocument/2006/relationships/hyperlink" Target="http://www.dandwiki.com/wiki/SRD:Studded_Leather_Armor" TargetMode="External"/><Relationship Id="rId15" Type="http://schemas.openxmlformats.org/officeDocument/2006/relationships/hyperlink" Target="http://www.dandwiki.com/wiki/SRD:Buckler" TargetMode="External"/><Relationship Id="rId10" Type="http://schemas.openxmlformats.org/officeDocument/2006/relationships/hyperlink" Target="http://www.dandwiki.com/wiki/SRD:Breastplate" TargetMode="External"/><Relationship Id="rId19" Type="http://schemas.openxmlformats.org/officeDocument/2006/relationships/hyperlink" Target="http://www.dandwiki.com/wiki/SRD:Heavy_Shield" TargetMode="External"/><Relationship Id="rId4" Type="http://schemas.openxmlformats.org/officeDocument/2006/relationships/hyperlink" Target="http://www.dandwiki.com/wiki/SRD:Leather_Armor" TargetMode="External"/><Relationship Id="rId9" Type="http://schemas.openxmlformats.org/officeDocument/2006/relationships/hyperlink" Target="http://www.dandwiki.com/wiki/SRD:Chainmail" TargetMode="External"/><Relationship Id="rId14" Type="http://schemas.openxmlformats.org/officeDocument/2006/relationships/hyperlink" Target="http://www.dandwiki.com/wiki/SRD:Full_Plate_Armor" TargetMode="External"/><Relationship Id="rId22" Type="http://schemas.openxmlformats.org/officeDocument/2006/relationships/hyperlink" Target="http://www.dandwiki.com/wiki/SRD:Locked_Gauntlet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www.dandwiki.com/wiki/SRD:Ink" TargetMode="External"/><Relationship Id="rId13" Type="http://schemas.openxmlformats.org/officeDocument/2006/relationships/hyperlink" Target="http://www.dandwiki.com/wiki/SRD:Manacles" TargetMode="External"/><Relationship Id="rId18" Type="http://schemas.openxmlformats.org/officeDocument/2006/relationships/hyperlink" Target="http://www.dandwiki.com/wiki/SRD:Silk_Rope" TargetMode="External"/><Relationship Id="rId3" Type="http://schemas.openxmlformats.org/officeDocument/2006/relationships/hyperlink" Target="http://www.dandwiki.com/wiki/SRD:Chain" TargetMode="External"/><Relationship Id="rId7" Type="http://schemas.openxmlformats.org/officeDocument/2006/relationships/hyperlink" Target="http://www.dandwiki.com/wiki/SRD:Hammer" TargetMode="External"/><Relationship Id="rId12" Type="http://schemas.openxmlformats.org/officeDocument/2006/relationships/hyperlink" Target="http://www.dandwiki.com/wiki/SRD:Hooded_Lantern" TargetMode="External"/><Relationship Id="rId17" Type="http://schemas.openxmlformats.org/officeDocument/2006/relationships/hyperlink" Target="http://www.dandwiki.com/wiki/SRD:Hempen_Rope" TargetMode="External"/><Relationship Id="rId2" Type="http://schemas.openxmlformats.org/officeDocument/2006/relationships/hyperlink" Target="http://www.dandwiki.com/wiki/SRD:Candle" TargetMode="External"/><Relationship Id="rId16" Type="http://schemas.openxmlformats.org/officeDocument/2006/relationships/hyperlink" Target="http://www.dandwiki.com/wiki/SRD:Portable_Ram" TargetMode="External"/><Relationship Id="rId20" Type="http://schemas.openxmlformats.org/officeDocument/2006/relationships/hyperlink" Target="http://www.dandwiki.com/wiki/SRD:Vial" TargetMode="External"/><Relationship Id="rId1" Type="http://schemas.openxmlformats.org/officeDocument/2006/relationships/hyperlink" Target="http://www.dandwiki.com/wiki/SRD:Caltrops" TargetMode="External"/><Relationship Id="rId6" Type="http://schemas.openxmlformats.org/officeDocument/2006/relationships/hyperlink" Target="http://www.dandwiki.com/wiki/SRD:Grappling_Hook" TargetMode="External"/><Relationship Id="rId11" Type="http://schemas.openxmlformats.org/officeDocument/2006/relationships/hyperlink" Target="http://www.dandwiki.com/wiki/SRD:Bullseye_Lantern" TargetMode="External"/><Relationship Id="rId5" Type="http://schemas.openxmlformats.org/officeDocument/2006/relationships/hyperlink" Target="http://www.dandwiki.com/wiki/SRD:Flint_and_Steel" TargetMode="External"/><Relationship Id="rId15" Type="http://schemas.openxmlformats.org/officeDocument/2006/relationships/hyperlink" Target="http://www.dandwiki.com/wiki/SRD:Oil" TargetMode="External"/><Relationship Id="rId10" Type="http://schemas.openxmlformats.org/officeDocument/2006/relationships/hyperlink" Target="http://www.dandwiki.com/wiki/SRD:Lamp" TargetMode="External"/><Relationship Id="rId19" Type="http://schemas.openxmlformats.org/officeDocument/2006/relationships/hyperlink" Target="http://www.dandwiki.com/wiki/SRD:Torch" TargetMode="External"/><Relationship Id="rId4" Type="http://schemas.openxmlformats.org/officeDocument/2006/relationships/hyperlink" Target="http://www.dandwiki.com/wiki/SRD:Crowbar" TargetMode="External"/><Relationship Id="rId9" Type="http://schemas.openxmlformats.org/officeDocument/2006/relationships/hyperlink" Target="http://www.dandwiki.com/wiki/SRD:Clay_Jug" TargetMode="External"/><Relationship Id="rId14" Type="http://schemas.openxmlformats.org/officeDocument/2006/relationships/hyperlink" Target="http://www.dandwiki.com/wiki/SRD:Manacles"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iscord.gg/S35USrE" TargetMode="External"/><Relationship Id="rId1" Type="http://schemas.openxmlformats.org/officeDocument/2006/relationships/hyperlink" Target="https://www.reddit.com/r/DnD/comments/4zu5hr/world_building_tool_npc_generator_1000_linked_npc/"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docs.google.com/spreadsheets/d/1cnoIUaGCI90pTTmapqcsNJ2qJYUaz66sCLTY1ER8oPo/edit"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dandwiki.com/wiki/Isis_(3.5e_Deity)" TargetMode="External"/><Relationship Id="rId2" Type="http://schemas.openxmlformats.org/officeDocument/2006/relationships/hyperlink" Target="https://en.wikipedia.org/wiki/Avandra" TargetMode="External"/><Relationship Id="rId1" Type="http://schemas.openxmlformats.org/officeDocument/2006/relationships/hyperlink" Target="https://en.wikipedia.org/wiki/Pelor"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l.name/" TargetMode="External"/><Relationship Id="rId1" Type="http://schemas.openxmlformats.org/officeDocument/2006/relationships/hyperlink" Target="http://f.name/" TargetMode="External"/></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7.xml.rels><?xml version="1.0" encoding="UTF-8" standalone="yes"?>
<Relationships xmlns="http://schemas.openxmlformats.org/package/2006/relationships"><Relationship Id="rId2" Type="http://schemas.openxmlformats.org/officeDocument/2006/relationships/hyperlink" Target="http://l.name/" TargetMode="External"/><Relationship Id="rId1" Type="http://schemas.openxmlformats.org/officeDocument/2006/relationships/hyperlink" Target="http://f.n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1E822-84DF-40C5-BB25-70FEB9F4FE12}">
  <sheetPr>
    <outlinePr summaryBelow="0" summaryRight="0"/>
  </sheetPr>
  <dimension ref="A1:Z1666"/>
  <sheetViews>
    <sheetView workbookViewId="0"/>
  </sheetViews>
  <sheetFormatPr defaultColWidth="12.6640625" defaultRowHeight="15.75" customHeight="1"/>
  <cols>
    <col min="2" max="2" width="21.109375" customWidth="1"/>
    <col min="4" max="4" width="24.44140625" customWidth="1"/>
  </cols>
  <sheetData>
    <row r="1" spans="1:26" ht="15.75" customHeight="1">
      <c r="A1" s="59" t="s">
        <v>72</v>
      </c>
      <c r="B1" s="59" t="s">
        <v>48</v>
      </c>
      <c r="C1" s="59" t="s">
        <v>47</v>
      </c>
      <c r="D1" s="252" t="s">
        <v>49</v>
      </c>
      <c r="E1" s="59"/>
      <c r="F1" s="59"/>
      <c r="G1" s="59"/>
      <c r="H1" s="59"/>
      <c r="I1" s="59"/>
      <c r="J1" s="59"/>
      <c r="K1" s="59"/>
      <c r="L1" s="59"/>
      <c r="M1" s="59"/>
      <c r="N1" s="59"/>
      <c r="O1" s="59"/>
      <c r="P1" s="59"/>
      <c r="Q1" s="59"/>
      <c r="R1" s="59"/>
      <c r="S1" s="59"/>
      <c r="T1" s="59"/>
      <c r="U1" s="59"/>
      <c r="V1" s="59"/>
      <c r="W1" s="59"/>
      <c r="X1" s="59"/>
      <c r="Y1" s="59"/>
      <c r="Z1" s="59"/>
    </row>
    <row r="2" spans="1:26" ht="15.75" customHeight="1">
      <c r="A2" s="16">
        <f ca="1">IFERROR(__xludf.DUMMYFUNCTION("transpose(split(join("";"",Weapon!A2:A1666)&amp;"";""&amp;join("";"",Armor!A2:A1666)&amp;"";""&amp;join("";"",Adventure!A2:A1666)&amp;"";""&amp;join("";"",'Magic Items'!A2:A1666),"";""))"),1)</f>
        <v>1</v>
      </c>
      <c r="B2" t="str">
        <f ca="1">IFERROR(__xludf.DUMMYFUNCTION("transpose(split(join("";"",Weapon!B2:B1666)&amp;"";""&amp;join("";"",Armor!B2:B1666)&amp;"";""&amp;join("";"",Adventure!B2:B1666)&amp;"";""&amp;join("";"",'Magic Items'!B2:B1666),"";""))"),"Gauntlet")</f>
        <v>Gauntlet</v>
      </c>
      <c r="C2" s="16" t="str">
        <f ca="1">IFERROR(__xludf.DUMMYFUNCTION("TRANSPOSE(SPLIT(JOIN("","", ARRAYFORMULA(REPT(SPLIT(""Weapon"","","")&amp;"","", counta(Weapon!B2:B1666))), ARRAYFORMULA(REPT(SPLIT(""Armor"","","")&amp;"","", counta(Armor!B3:B1666))), ARRAYFORMULA(REPT(SPLIT(""Adventure"","","")&amp;"","", counta(Adventure!B2:B1666"&amp;"))),ARRAYFORMULA(REPT(SPLIT(""Magic"","","")&amp;"","", counta('Magic Items'!B2:B1666)))), "",""))"),"Weapon")</f>
        <v>Weapon</v>
      </c>
      <c r="D2" s="253">
        <f ca="1">IFERROR(__xludf.DUMMYFUNCTION("transpose(split(join("";"",Weapon!C2:C1666)&amp;"";""&amp;join("";"",Armor!C2:C1666)&amp;"";""&amp;join("";"",Adventure!C2:C1666)&amp;"";""&amp;join("";"",'Magic Items'!E2:E1666),"";""))"),2)</f>
        <v>2</v>
      </c>
    </row>
    <row r="3" spans="1:26" ht="15.75" customHeight="1">
      <c r="A3" s="16">
        <f ca="1">IFERROR(__xludf.DUMMYFUNCTION("""COMPUTED_VALUE"""),2)</f>
        <v>2</v>
      </c>
      <c r="B3" t="str">
        <f ca="1">IFERROR(__xludf.DUMMYFUNCTION("""COMPUTED_VALUE"""),"Unarmed strike")</f>
        <v>Unarmed strike</v>
      </c>
      <c r="C3" s="16" t="str">
        <f ca="1">IFERROR(__xludf.DUMMYFUNCTION("""COMPUTED_VALUE"""),"Weapon")</f>
        <v>Weapon</v>
      </c>
      <c r="D3" s="254">
        <f ca="1">IFERROR(__xludf.DUMMYFUNCTION("""COMPUTED_VALUE"""),0)</f>
        <v>0</v>
      </c>
    </row>
    <row r="4" spans="1:26" ht="15.75" customHeight="1">
      <c r="A4" s="16">
        <f ca="1">IFERROR(__xludf.DUMMYFUNCTION("""COMPUTED_VALUE"""),3)</f>
        <v>3</v>
      </c>
      <c r="B4" t="str">
        <f ca="1">IFERROR(__xludf.DUMMYFUNCTION("""COMPUTED_VALUE"""),"Dagger")</f>
        <v>Dagger</v>
      </c>
      <c r="C4" s="16" t="str">
        <f ca="1">IFERROR(__xludf.DUMMYFUNCTION("""COMPUTED_VALUE"""),"Weapon")</f>
        <v>Weapon</v>
      </c>
      <c r="D4" s="254">
        <f ca="1">IFERROR(__xludf.DUMMYFUNCTION("""COMPUTED_VALUE"""),2)</f>
        <v>2</v>
      </c>
    </row>
    <row r="5" spans="1:26" ht="15.75" customHeight="1">
      <c r="A5" s="16">
        <f ca="1">IFERROR(__xludf.DUMMYFUNCTION("""COMPUTED_VALUE"""),4)</f>
        <v>4</v>
      </c>
      <c r="B5" t="str">
        <f ca="1">IFERROR(__xludf.DUMMYFUNCTION("""COMPUTED_VALUE"""),"Dagger, punching")</f>
        <v>Dagger, punching</v>
      </c>
      <c r="C5" s="16" t="str">
        <f ca="1">IFERROR(__xludf.DUMMYFUNCTION("""COMPUTED_VALUE"""),"Weapon")</f>
        <v>Weapon</v>
      </c>
      <c r="D5" s="254">
        <f ca="1">IFERROR(__xludf.DUMMYFUNCTION("""COMPUTED_VALUE"""),2)</f>
        <v>2</v>
      </c>
    </row>
    <row r="6" spans="1:26" ht="15.75" customHeight="1">
      <c r="A6" s="16">
        <f ca="1">IFERROR(__xludf.DUMMYFUNCTION("""COMPUTED_VALUE"""),5)</f>
        <v>5</v>
      </c>
      <c r="B6" t="str">
        <f ca="1">IFERROR(__xludf.DUMMYFUNCTION("""COMPUTED_VALUE"""),"Gauntlet, spiked")</f>
        <v>Gauntlet, spiked</v>
      </c>
      <c r="C6" s="16" t="str">
        <f ca="1">IFERROR(__xludf.DUMMYFUNCTION("""COMPUTED_VALUE"""),"Weapon")</f>
        <v>Weapon</v>
      </c>
      <c r="D6" s="254">
        <f ca="1">IFERROR(__xludf.DUMMYFUNCTION("""COMPUTED_VALUE"""),5)</f>
        <v>5</v>
      </c>
    </row>
    <row r="7" spans="1:26" ht="15.75" customHeight="1">
      <c r="A7" s="16">
        <f ca="1">IFERROR(__xludf.DUMMYFUNCTION("""COMPUTED_VALUE"""),6)</f>
        <v>6</v>
      </c>
      <c r="B7" t="str">
        <f ca="1">IFERROR(__xludf.DUMMYFUNCTION("""COMPUTED_VALUE"""),"Mace, light")</f>
        <v>Mace, light</v>
      </c>
      <c r="C7" s="16" t="str">
        <f ca="1">IFERROR(__xludf.DUMMYFUNCTION("""COMPUTED_VALUE"""),"Weapon")</f>
        <v>Weapon</v>
      </c>
      <c r="D7" s="254">
        <f ca="1">IFERROR(__xludf.DUMMYFUNCTION("""COMPUTED_VALUE"""),5)</f>
        <v>5</v>
      </c>
    </row>
    <row r="8" spans="1:26" ht="15.75" customHeight="1">
      <c r="A8" s="16">
        <f ca="1">IFERROR(__xludf.DUMMYFUNCTION("""COMPUTED_VALUE"""),7)</f>
        <v>7</v>
      </c>
      <c r="B8" t="str">
        <f ca="1">IFERROR(__xludf.DUMMYFUNCTION("""COMPUTED_VALUE"""),"Sickle")</f>
        <v>Sickle</v>
      </c>
      <c r="C8" s="16" t="str">
        <f ca="1">IFERROR(__xludf.DUMMYFUNCTION("""COMPUTED_VALUE"""),"Weapon")</f>
        <v>Weapon</v>
      </c>
      <c r="D8" s="254">
        <f ca="1">IFERROR(__xludf.DUMMYFUNCTION("""COMPUTED_VALUE"""),6)</f>
        <v>6</v>
      </c>
    </row>
    <row r="9" spans="1:26" ht="15.75" customHeight="1">
      <c r="A9" s="16">
        <f ca="1">IFERROR(__xludf.DUMMYFUNCTION("""COMPUTED_VALUE"""),8)</f>
        <v>8</v>
      </c>
      <c r="B9" t="str">
        <f ca="1">IFERROR(__xludf.DUMMYFUNCTION("""COMPUTED_VALUE"""),"Club")</f>
        <v>Club</v>
      </c>
      <c r="C9" s="16" t="str">
        <f ca="1">IFERROR(__xludf.DUMMYFUNCTION("""COMPUTED_VALUE"""),"Weapon")</f>
        <v>Weapon</v>
      </c>
      <c r="D9" s="254">
        <f ca="1">IFERROR(__xludf.DUMMYFUNCTION("""COMPUTED_VALUE"""),0)</f>
        <v>0</v>
      </c>
    </row>
    <row r="10" spans="1:26" ht="15.75" customHeight="1">
      <c r="A10" s="16">
        <f ca="1">IFERROR(__xludf.DUMMYFUNCTION("""COMPUTED_VALUE"""),9)</f>
        <v>9</v>
      </c>
      <c r="B10" t="str">
        <f ca="1">IFERROR(__xludf.DUMMYFUNCTION("""COMPUTED_VALUE"""),"Mace, heavy")</f>
        <v>Mace, heavy</v>
      </c>
      <c r="C10" s="16" t="str">
        <f ca="1">IFERROR(__xludf.DUMMYFUNCTION("""COMPUTED_VALUE"""),"Weapon")</f>
        <v>Weapon</v>
      </c>
      <c r="D10" s="254">
        <f ca="1">IFERROR(__xludf.DUMMYFUNCTION("""COMPUTED_VALUE"""),12)</f>
        <v>12</v>
      </c>
    </row>
    <row r="11" spans="1:26" ht="15.75" customHeight="1">
      <c r="A11" s="16">
        <f ca="1">IFERROR(__xludf.DUMMYFUNCTION("""COMPUTED_VALUE"""),10)</f>
        <v>10</v>
      </c>
      <c r="B11" t="str">
        <f ca="1">IFERROR(__xludf.DUMMYFUNCTION("""COMPUTED_VALUE"""),"Morningstar")</f>
        <v>Morningstar</v>
      </c>
      <c r="C11" s="16" t="str">
        <f ca="1">IFERROR(__xludf.DUMMYFUNCTION("""COMPUTED_VALUE"""),"Weapon")</f>
        <v>Weapon</v>
      </c>
      <c r="D11" s="254">
        <f ca="1">IFERROR(__xludf.DUMMYFUNCTION("""COMPUTED_VALUE"""),8)</f>
        <v>8</v>
      </c>
    </row>
    <row r="12" spans="1:26" ht="15.75" customHeight="1">
      <c r="A12" s="16">
        <f ca="1">IFERROR(__xludf.DUMMYFUNCTION("""COMPUTED_VALUE"""),11)</f>
        <v>11</v>
      </c>
      <c r="B12" t="str">
        <f ca="1">IFERROR(__xludf.DUMMYFUNCTION("""COMPUTED_VALUE"""),"Shortspear")</f>
        <v>Shortspear</v>
      </c>
      <c r="C12" s="16" t="str">
        <f ca="1">IFERROR(__xludf.DUMMYFUNCTION("""COMPUTED_VALUE"""),"Weapon")</f>
        <v>Weapon</v>
      </c>
      <c r="D12" s="254">
        <f ca="1">IFERROR(__xludf.DUMMYFUNCTION("""COMPUTED_VALUE"""),1)</f>
        <v>1</v>
      </c>
    </row>
    <row r="13" spans="1:26" ht="15.75" customHeight="1">
      <c r="A13" s="16">
        <f ca="1">IFERROR(__xludf.DUMMYFUNCTION("""COMPUTED_VALUE"""),12)</f>
        <v>12</v>
      </c>
      <c r="B13" t="str">
        <f ca="1">IFERROR(__xludf.DUMMYFUNCTION("""COMPUTED_VALUE"""),"Longspear4")</f>
        <v>Longspear4</v>
      </c>
      <c r="C13" s="16" t="str">
        <f ca="1">IFERROR(__xludf.DUMMYFUNCTION("""COMPUTED_VALUE"""),"Weapon")</f>
        <v>Weapon</v>
      </c>
      <c r="D13" s="254">
        <f ca="1">IFERROR(__xludf.DUMMYFUNCTION("""COMPUTED_VALUE"""),5)</f>
        <v>5</v>
      </c>
    </row>
    <row r="14" spans="1:26" ht="15.75" customHeight="1">
      <c r="A14" s="16">
        <f ca="1">IFERROR(__xludf.DUMMYFUNCTION("""COMPUTED_VALUE"""),13)</f>
        <v>13</v>
      </c>
      <c r="B14" t="str">
        <f ca="1">IFERROR(__xludf.DUMMYFUNCTION("""COMPUTED_VALUE"""),"Quarterstaff5")</f>
        <v>Quarterstaff5</v>
      </c>
      <c r="C14" s="16" t="str">
        <f ca="1">IFERROR(__xludf.DUMMYFUNCTION("""COMPUTED_VALUE"""),"Weapon")</f>
        <v>Weapon</v>
      </c>
      <c r="D14" s="254">
        <f ca="1">IFERROR(__xludf.DUMMYFUNCTION("""COMPUTED_VALUE"""),0.1)</f>
        <v>0.1</v>
      </c>
    </row>
    <row r="15" spans="1:26" ht="15.75" customHeight="1">
      <c r="A15" s="16">
        <f ca="1">IFERROR(__xludf.DUMMYFUNCTION("""COMPUTED_VALUE"""),14)</f>
        <v>14</v>
      </c>
      <c r="B15" t="str">
        <f ca="1">IFERROR(__xludf.DUMMYFUNCTION("""COMPUTED_VALUE"""),"Spear")</f>
        <v>Spear</v>
      </c>
      <c r="C15" s="16" t="str">
        <f ca="1">IFERROR(__xludf.DUMMYFUNCTION("""COMPUTED_VALUE"""),"Weapon")</f>
        <v>Weapon</v>
      </c>
      <c r="D15" s="254">
        <f ca="1">IFERROR(__xludf.DUMMYFUNCTION("""COMPUTED_VALUE"""),2)</f>
        <v>2</v>
      </c>
    </row>
    <row r="16" spans="1:26" ht="15.75" customHeight="1">
      <c r="A16" s="16">
        <f ca="1">IFERROR(__xludf.DUMMYFUNCTION("""COMPUTED_VALUE"""),15)</f>
        <v>15</v>
      </c>
      <c r="B16" t="str">
        <f ca="1">IFERROR(__xludf.DUMMYFUNCTION("""COMPUTED_VALUE"""),"Crossbow, heavy")</f>
        <v>Crossbow, heavy</v>
      </c>
      <c r="C16" s="16" t="str">
        <f ca="1">IFERROR(__xludf.DUMMYFUNCTION("""COMPUTED_VALUE"""),"Weapon")</f>
        <v>Weapon</v>
      </c>
      <c r="D16" s="254">
        <f ca="1">IFERROR(__xludf.DUMMYFUNCTION("""COMPUTED_VALUE"""),50)</f>
        <v>50</v>
      </c>
    </row>
    <row r="17" spans="1:4" ht="15.75" customHeight="1">
      <c r="A17" s="16">
        <f ca="1">IFERROR(__xludf.DUMMYFUNCTION("""COMPUTED_VALUE"""),16)</f>
        <v>16</v>
      </c>
      <c r="B17" t="str">
        <f ca="1">IFERROR(__xludf.DUMMYFUNCTION("""COMPUTED_VALUE"""),"Bolts, crossbow (10)")</f>
        <v>Bolts, crossbow (10)</v>
      </c>
      <c r="C17" s="16" t="str">
        <f ca="1">IFERROR(__xludf.DUMMYFUNCTION("""COMPUTED_VALUE"""),"Weapon")</f>
        <v>Weapon</v>
      </c>
      <c r="D17" s="254">
        <f ca="1">IFERROR(__xludf.DUMMYFUNCTION("""COMPUTED_VALUE"""),1)</f>
        <v>1</v>
      </c>
    </row>
    <row r="18" spans="1:4" ht="15.75" customHeight="1">
      <c r="A18" s="16">
        <f ca="1">IFERROR(__xludf.DUMMYFUNCTION("""COMPUTED_VALUE"""),17)</f>
        <v>17</v>
      </c>
      <c r="B18" t="str">
        <f ca="1">IFERROR(__xludf.DUMMYFUNCTION("""COMPUTED_VALUE"""),"Crossbow, light")</f>
        <v>Crossbow, light</v>
      </c>
      <c r="C18" s="16" t="str">
        <f ca="1">IFERROR(__xludf.DUMMYFUNCTION("""COMPUTED_VALUE"""),"Weapon")</f>
        <v>Weapon</v>
      </c>
      <c r="D18" s="254">
        <f ca="1">IFERROR(__xludf.DUMMYFUNCTION("""COMPUTED_VALUE"""),35)</f>
        <v>35</v>
      </c>
    </row>
    <row r="19" spans="1:4" ht="15.75" customHeight="1">
      <c r="A19" s="16">
        <f ca="1">IFERROR(__xludf.DUMMYFUNCTION("""COMPUTED_VALUE"""),18)</f>
        <v>18</v>
      </c>
      <c r="B19" t="str">
        <f ca="1">IFERROR(__xludf.DUMMYFUNCTION("""COMPUTED_VALUE"""),"Dart")</f>
        <v>Dart</v>
      </c>
      <c r="C19" s="16" t="str">
        <f ca="1">IFERROR(__xludf.DUMMYFUNCTION("""COMPUTED_VALUE"""),"Weapon")</f>
        <v>Weapon</v>
      </c>
      <c r="D19" s="254">
        <f ca="1">IFERROR(__xludf.DUMMYFUNCTION("""COMPUTED_VALUE"""),0.05)</f>
        <v>0.05</v>
      </c>
    </row>
    <row r="20" spans="1:4" ht="15.75" customHeight="1">
      <c r="A20" s="16">
        <f ca="1">IFERROR(__xludf.DUMMYFUNCTION("""COMPUTED_VALUE"""),19)</f>
        <v>19</v>
      </c>
      <c r="B20" t="str">
        <f ca="1">IFERROR(__xludf.DUMMYFUNCTION("""COMPUTED_VALUE"""),"Javelin")</f>
        <v>Javelin</v>
      </c>
      <c r="C20" s="16" t="str">
        <f ca="1">IFERROR(__xludf.DUMMYFUNCTION("""COMPUTED_VALUE"""),"Weapon")</f>
        <v>Weapon</v>
      </c>
      <c r="D20" s="254">
        <f ca="1">IFERROR(__xludf.DUMMYFUNCTION("""COMPUTED_VALUE"""),1)</f>
        <v>1</v>
      </c>
    </row>
    <row r="21" spans="1:4" ht="15.75" customHeight="1">
      <c r="A21" s="16">
        <f ca="1">IFERROR(__xludf.DUMMYFUNCTION("""COMPUTED_VALUE"""),20)</f>
        <v>20</v>
      </c>
      <c r="B21" t="str">
        <f ca="1">IFERROR(__xludf.DUMMYFUNCTION("""COMPUTED_VALUE"""),"Sling")</f>
        <v>Sling</v>
      </c>
      <c r="C21" s="16" t="str">
        <f ca="1">IFERROR(__xludf.DUMMYFUNCTION("""COMPUTED_VALUE"""),"Weapon")</f>
        <v>Weapon</v>
      </c>
      <c r="D21" s="254">
        <f ca="1">IFERROR(__xludf.DUMMYFUNCTION("""COMPUTED_VALUE"""),0.01)</f>
        <v>0.01</v>
      </c>
    </row>
    <row r="22" spans="1:4" ht="15.75" customHeight="1">
      <c r="A22" s="16">
        <f ca="1">IFERROR(__xludf.DUMMYFUNCTION("""COMPUTED_VALUE"""),21)</f>
        <v>21</v>
      </c>
      <c r="B22" t="str">
        <f ca="1">IFERROR(__xludf.DUMMYFUNCTION("""COMPUTED_VALUE"""),"Bullets, sling (10)")</f>
        <v>Bullets, sling (10)</v>
      </c>
      <c r="C22" s="16" t="str">
        <f ca="1">IFERROR(__xludf.DUMMYFUNCTION("""COMPUTED_VALUE"""),"Weapon")</f>
        <v>Weapon</v>
      </c>
      <c r="D22" s="254">
        <f ca="1">IFERROR(__xludf.DUMMYFUNCTION("""COMPUTED_VALUE"""),0.01)</f>
        <v>0.01</v>
      </c>
    </row>
    <row r="23" spans="1:4" ht="15.75" customHeight="1">
      <c r="A23" s="16">
        <f ca="1">IFERROR(__xludf.DUMMYFUNCTION("""COMPUTED_VALUE"""),22)</f>
        <v>22</v>
      </c>
      <c r="B23" t="str">
        <f ca="1">IFERROR(__xludf.DUMMYFUNCTION("""COMPUTED_VALUE"""),"Axe, throwing")</f>
        <v>Axe, throwing</v>
      </c>
      <c r="C23" s="16" t="str">
        <f ca="1">IFERROR(__xludf.DUMMYFUNCTION("""COMPUTED_VALUE"""),"Weapon")</f>
        <v>Weapon</v>
      </c>
      <c r="D23" s="254">
        <f ca="1">IFERROR(__xludf.DUMMYFUNCTION("""COMPUTED_VALUE"""),8)</f>
        <v>8</v>
      </c>
    </row>
    <row r="24" spans="1:4" ht="15.75" customHeight="1">
      <c r="A24" s="16">
        <f ca="1">IFERROR(__xludf.DUMMYFUNCTION("""COMPUTED_VALUE"""),23)</f>
        <v>23</v>
      </c>
      <c r="B24" t="str">
        <f ca="1">IFERROR(__xludf.DUMMYFUNCTION("""COMPUTED_VALUE"""),"Hammer, light")</f>
        <v>Hammer, light</v>
      </c>
      <c r="C24" s="16" t="str">
        <f ca="1">IFERROR(__xludf.DUMMYFUNCTION("""COMPUTED_VALUE"""),"Weapon")</f>
        <v>Weapon</v>
      </c>
      <c r="D24" s="254">
        <f ca="1">IFERROR(__xludf.DUMMYFUNCTION("""COMPUTED_VALUE"""),1)</f>
        <v>1</v>
      </c>
    </row>
    <row r="25" spans="1:4" ht="15.75" customHeight="1">
      <c r="A25" s="16">
        <f ca="1">IFERROR(__xludf.DUMMYFUNCTION("""COMPUTED_VALUE"""),24)</f>
        <v>24</v>
      </c>
      <c r="B25" t="str">
        <f ca="1">IFERROR(__xludf.DUMMYFUNCTION("""COMPUTED_VALUE"""),"Handaxe")</f>
        <v>Handaxe</v>
      </c>
      <c r="C25" s="16" t="str">
        <f ca="1">IFERROR(__xludf.DUMMYFUNCTION("""COMPUTED_VALUE"""),"Weapon")</f>
        <v>Weapon</v>
      </c>
      <c r="D25" s="254">
        <f ca="1">IFERROR(__xludf.DUMMYFUNCTION("""COMPUTED_VALUE"""),6)</f>
        <v>6</v>
      </c>
    </row>
    <row r="26" spans="1:4" ht="15.75" customHeight="1">
      <c r="A26" s="16">
        <f ca="1">IFERROR(__xludf.DUMMYFUNCTION("""COMPUTED_VALUE"""),25)</f>
        <v>25</v>
      </c>
      <c r="B26" t="str">
        <f ca="1">IFERROR(__xludf.DUMMYFUNCTION("""COMPUTED_VALUE"""),"Kukri")</f>
        <v>Kukri</v>
      </c>
      <c r="C26" s="16" t="str">
        <f ca="1">IFERROR(__xludf.DUMMYFUNCTION("""COMPUTED_VALUE"""),"Weapon")</f>
        <v>Weapon</v>
      </c>
      <c r="D26" s="254">
        <f ca="1">IFERROR(__xludf.DUMMYFUNCTION("""COMPUTED_VALUE"""),8)</f>
        <v>8</v>
      </c>
    </row>
    <row r="27" spans="1:4" ht="13.2">
      <c r="A27" s="16">
        <f ca="1">IFERROR(__xludf.DUMMYFUNCTION("""COMPUTED_VALUE"""),26)</f>
        <v>26</v>
      </c>
      <c r="B27" t="str">
        <f ca="1">IFERROR(__xludf.DUMMYFUNCTION("""COMPUTED_VALUE"""),"Pick, light")</f>
        <v>Pick, light</v>
      </c>
      <c r="C27" s="16" t="str">
        <f ca="1">IFERROR(__xludf.DUMMYFUNCTION("""COMPUTED_VALUE"""),"Weapon")</f>
        <v>Weapon</v>
      </c>
      <c r="D27" s="254">
        <f ca="1">IFERROR(__xludf.DUMMYFUNCTION("""COMPUTED_VALUE"""),4)</f>
        <v>4</v>
      </c>
    </row>
    <row r="28" spans="1:4" ht="13.2">
      <c r="A28" s="16">
        <f ca="1">IFERROR(__xludf.DUMMYFUNCTION("""COMPUTED_VALUE"""),27)</f>
        <v>27</v>
      </c>
      <c r="B28" t="str">
        <f ca="1">IFERROR(__xludf.DUMMYFUNCTION("""COMPUTED_VALUE"""),"Sap")</f>
        <v>Sap</v>
      </c>
      <c r="C28" s="16" t="str">
        <f ca="1">IFERROR(__xludf.DUMMYFUNCTION("""COMPUTED_VALUE"""),"Weapon")</f>
        <v>Weapon</v>
      </c>
      <c r="D28" s="254">
        <f ca="1">IFERROR(__xludf.DUMMYFUNCTION("""COMPUTED_VALUE"""),1)</f>
        <v>1</v>
      </c>
    </row>
    <row r="29" spans="1:4" ht="13.2">
      <c r="A29" s="16">
        <f ca="1">IFERROR(__xludf.DUMMYFUNCTION("""COMPUTED_VALUE"""),28)</f>
        <v>28</v>
      </c>
      <c r="B29" t="str">
        <f ca="1">IFERROR(__xludf.DUMMYFUNCTION("""COMPUTED_VALUE"""),"Shield, light")</f>
        <v>Shield, light</v>
      </c>
      <c r="C29" s="16" t="str">
        <f ca="1">IFERROR(__xludf.DUMMYFUNCTION("""COMPUTED_VALUE"""),"Weapon")</f>
        <v>Weapon</v>
      </c>
      <c r="D29" s="254">
        <f ca="1">IFERROR(__xludf.DUMMYFUNCTION("""COMPUTED_VALUE"""),10)</f>
        <v>10</v>
      </c>
    </row>
    <row r="30" spans="1:4" ht="13.2">
      <c r="A30" s="16">
        <f ca="1">IFERROR(__xludf.DUMMYFUNCTION("""COMPUTED_VALUE"""),29)</f>
        <v>29</v>
      </c>
      <c r="B30" t="str">
        <f ca="1">IFERROR(__xludf.DUMMYFUNCTION("""COMPUTED_VALUE"""),"Spiked armor")</f>
        <v>Spiked armor</v>
      </c>
      <c r="C30" s="16" t="str">
        <f ca="1">IFERROR(__xludf.DUMMYFUNCTION("""COMPUTED_VALUE"""),"Weapon")</f>
        <v>Weapon</v>
      </c>
      <c r="D30" s="254">
        <f ca="1">IFERROR(__xludf.DUMMYFUNCTION("""COMPUTED_VALUE"""),20)</f>
        <v>20</v>
      </c>
    </row>
    <row r="31" spans="1:4" ht="13.2">
      <c r="A31" s="16">
        <f ca="1">IFERROR(__xludf.DUMMYFUNCTION("""COMPUTED_VALUE"""),30)</f>
        <v>30</v>
      </c>
      <c r="B31" t="str">
        <f ca="1">IFERROR(__xludf.DUMMYFUNCTION("""COMPUTED_VALUE"""),"Spiked shield, light")</f>
        <v>Spiked shield, light</v>
      </c>
      <c r="C31" s="16" t="str">
        <f ca="1">IFERROR(__xludf.DUMMYFUNCTION("""COMPUTED_VALUE"""),"Weapon")</f>
        <v>Weapon</v>
      </c>
      <c r="D31" s="254">
        <f ca="1">IFERROR(__xludf.DUMMYFUNCTION("""COMPUTED_VALUE"""),30)</f>
        <v>30</v>
      </c>
    </row>
    <row r="32" spans="1:4" ht="13.2">
      <c r="A32" s="16">
        <f ca="1">IFERROR(__xludf.DUMMYFUNCTION("""COMPUTED_VALUE"""),31)</f>
        <v>31</v>
      </c>
      <c r="B32" t="str">
        <f ca="1">IFERROR(__xludf.DUMMYFUNCTION("""COMPUTED_VALUE"""),"Sword, short")</f>
        <v>Sword, short</v>
      </c>
      <c r="C32" s="16" t="str">
        <f ca="1">IFERROR(__xludf.DUMMYFUNCTION("""COMPUTED_VALUE"""),"Weapon")</f>
        <v>Weapon</v>
      </c>
      <c r="D32" s="254">
        <f ca="1">IFERROR(__xludf.DUMMYFUNCTION("""COMPUTED_VALUE"""),10)</f>
        <v>10</v>
      </c>
    </row>
    <row r="33" spans="1:4" ht="13.2">
      <c r="A33" s="16">
        <f ca="1">IFERROR(__xludf.DUMMYFUNCTION("""COMPUTED_VALUE"""),32)</f>
        <v>32</v>
      </c>
      <c r="B33" t="str">
        <f ca="1">IFERROR(__xludf.DUMMYFUNCTION("""COMPUTED_VALUE"""),"Battleaxe")</f>
        <v>Battleaxe</v>
      </c>
      <c r="C33" s="16" t="str">
        <f ca="1">IFERROR(__xludf.DUMMYFUNCTION("""COMPUTED_VALUE"""),"Weapon")</f>
        <v>Weapon</v>
      </c>
      <c r="D33" s="254">
        <f ca="1">IFERROR(__xludf.DUMMYFUNCTION("""COMPUTED_VALUE"""),10)</f>
        <v>10</v>
      </c>
    </row>
    <row r="34" spans="1:4" ht="13.2">
      <c r="A34" s="16">
        <f ca="1">IFERROR(__xludf.DUMMYFUNCTION("""COMPUTED_VALUE"""),33)</f>
        <v>33</v>
      </c>
      <c r="B34" t="str">
        <f ca="1">IFERROR(__xludf.DUMMYFUNCTION("""COMPUTED_VALUE"""),"Flail")</f>
        <v>Flail</v>
      </c>
      <c r="C34" s="16" t="str">
        <f ca="1">IFERROR(__xludf.DUMMYFUNCTION("""COMPUTED_VALUE"""),"Weapon")</f>
        <v>Weapon</v>
      </c>
      <c r="D34" s="254">
        <f ca="1">IFERROR(__xludf.DUMMYFUNCTION("""COMPUTED_VALUE"""),8)</f>
        <v>8</v>
      </c>
    </row>
    <row r="35" spans="1:4" ht="13.2">
      <c r="A35" s="16">
        <f ca="1">IFERROR(__xludf.DUMMYFUNCTION("""COMPUTED_VALUE"""),34)</f>
        <v>34</v>
      </c>
      <c r="B35" t="str">
        <f ca="1">IFERROR(__xludf.DUMMYFUNCTION("""COMPUTED_VALUE"""),"Longsword")</f>
        <v>Longsword</v>
      </c>
      <c r="C35" s="16" t="str">
        <f ca="1">IFERROR(__xludf.DUMMYFUNCTION("""COMPUTED_VALUE"""),"Weapon")</f>
        <v>Weapon</v>
      </c>
      <c r="D35" s="254">
        <f ca="1">IFERROR(__xludf.DUMMYFUNCTION("""COMPUTED_VALUE"""),15)</f>
        <v>15</v>
      </c>
    </row>
    <row r="36" spans="1:4" ht="13.2">
      <c r="A36" s="16">
        <f ca="1">IFERROR(__xludf.DUMMYFUNCTION("""COMPUTED_VALUE"""),35)</f>
        <v>35</v>
      </c>
      <c r="B36" t="str">
        <f ca="1">IFERROR(__xludf.DUMMYFUNCTION("""COMPUTED_VALUE"""),"Pick, heavy")</f>
        <v>Pick, heavy</v>
      </c>
      <c r="C36" s="16" t="str">
        <f ca="1">IFERROR(__xludf.DUMMYFUNCTION("""COMPUTED_VALUE"""),"Weapon")</f>
        <v>Weapon</v>
      </c>
      <c r="D36" s="254">
        <f ca="1">IFERROR(__xludf.DUMMYFUNCTION("""COMPUTED_VALUE"""),8)</f>
        <v>8</v>
      </c>
    </row>
    <row r="37" spans="1:4" ht="13.2">
      <c r="A37" s="16">
        <f ca="1">IFERROR(__xludf.DUMMYFUNCTION("""COMPUTED_VALUE"""),36)</f>
        <v>36</v>
      </c>
      <c r="B37" t="str">
        <f ca="1">IFERROR(__xludf.DUMMYFUNCTION("""COMPUTED_VALUE"""),"Rapier")</f>
        <v>Rapier</v>
      </c>
      <c r="C37" s="16" t="str">
        <f ca="1">IFERROR(__xludf.DUMMYFUNCTION("""COMPUTED_VALUE"""),"Weapon")</f>
        <v>Weapon</v>
      </c>
      <c r="D37" s="254">
        <f ca="1">IFERROR(__xludf.DUMMYFUNCTION("""COMPUTED_VALUE"""),20)</f>
        <v>20</v>
      </c>
    </row>
    <row r="38" spans="1:4" ht="13.2">
      <c r="A38" s="16">
        <f ca="1">IFERROR(__xludf.DUMMYFUNCTION("""COMPUTED_VALUE"""),37)</f>
        <v>37</v>
      </c>
      <c r="B38" t="str">
        <f ca="1">IFERROR(__xludf.DUMMYFUNCTION("""COMPUTED_VALUE"""),"Scimitar")</f>
        <v>Scimitar</v>
      </c>
      <c r="C38" s="16" t="str">
        <f ca="1">IFERROR(__xludf.DUMMYFUNCTION("""COMPUTED_VALUE"""),"Weapon")</f>
        <v>Weapon</v>
      </c>
      <c r="D38" s="254">
        <f ca="1">IFERROR(__xludf.DUMMYFUNCTION("""COMPUTED_VALUE"""),15)</f>
        <v>15</v>
      </c>
    </row>
    <row r="39" spans="1:4" ht="13.2">
      <c r="A39" s="16">
        <f ca="1">IFERROR(__xludf.DUMMYFUNCTION("""COMPUTED_VALUE"""),38)</f>
        <v>38</v>
      </c>
      <c r="B39" t="str">
        <f ca="1">IFERROR(__xludf.DUMMYFUNCTION("""COMPUTED_VALUE"""),"Shield, heavy")</f>
        <v>Shield, heavy</v>
      </c>
      <c r="C39" s="16" t="str">
        <f ca="1">IFERROR(__xludf.DUMMYFUNCTION("""COMPUTED_VALUE"""),"Weapon")</f>
        <v>Weapon</v>
      </c>
      <c r="D39" s="254">
        <f ca="1">IFERROR(__xludf.DUMMYFUNCTION("""COMPUTED_VALUE"""),50)</f>
        <v>50</v>
      </c>
    </row>
    <row r="40" spans="1:4" ht="13.2">
      <c r="A40" s="16">
        <f ca="1">IFERROR(__xludf.DUMMYFUNCTION("""COMPUTED_VALUE"""),39)</f>
        <v>39</v>
      </c>
      <c r="B40" t="str">
        <f ca="1">IFERROR(__xludf.DUMMYFUNCTION("""COMPUTED_VALUE"""),"Spiked shield, heavy")</f>
        <v>Spiked shield, heavy</v>
      </c>
      <c r="C40" s="16" t="str">
        <f ca="1">IFERROR(__xludf.DUMMYFUNCTION("""COMPUTED_VALUE"""),"Weapon")</f>
        <v>Weapon</v>
      </c>
      <c r="D40" s="254">
        <f ca="1">IFERROR(__xludf.DUMMYFUNCTION("""COMPUTED_VALUE"""),60)</f>
        <v>60</v>
      </c>
    </row>
    <row r="41" spans="1:4" ht="13.2">
      <c r="A41" s="16">
        <f ca="1">IFERROR(__xludf.DUMMYFUNCTION("""COMPUTED_VALUE"""),40)</f>
        <v>40</v>
      </c>
      <c r="B41" t="str">
        <f ca="1">IFERROR(__xludf.DUMMYFUNCTION("""COMPUTED_VALUE"""),"Trident")</f>
        <v>Trident</v>
      </c>
      <c r="C41" s="16" t="str">
        <f ca="1">IFERROR(__xludf.DUMMYFUNCTION("""COMPUTED_VALUE"""),"Weapon")</f>
        <v>Weapon</v>
      </c>
      <c r="D41" s="254">
        <f ca="1">IFERROR(__xludf.DUMMYFUNCTION("""COMPUTED_VALUE"""),15)</f>
        <v>15</v>
      </c>
    </row>
    <row r="42" spans="1:4" ht="13.2">
      <c r="A42" s="16">
        <f ca="1">IFERROR(__xludf.DUMMYFUNCTION("""COMPUTED_VALUE"""),41)</f>
        <v>41</v>
      </c>
      <c r="B42" t="str">
        <f ca="1">IFERROR(__xludf.DUMMYFUNCTION("""COMPUTED_VALUE"""),"Warhammer")</f>
        <v>Warhammer</v>
      </c>
      <c r="C42" s="16" t="str">
        <f ca="1">IFERROR(__xludf.DUMMYFUNCTION("""COMPUTED_VALUE"""),"Weapon")</f>
        <v>Weapon</v>
      </c>
      <c r="D42" s="254">
        <f ca="1">IFERROR(__xludf.DUMMYFUNCTION("""COMPUTED_VALUE"""),12)</f>
        <v>12</v>
      </c>
    </row>
    <row r="43" spans="1:4" ht="13.2">
      <c r="A43" s="16">
        <f ca="1">IFERROR(__xludf.DUMMYFUNCTION("""COMPUTED_VALUE"""),42)</f>
        <v>42</v>
      </c>
      <c r="B43" t="str">
        <f ca="1">IFERROR(__xludf.DUMMYFUNCTION("""COMPUTED_VALUE"""),"Falchion")</f>
        <v>Falchion</v>
      </c>
      <c r="C43" s="16" t="str">
        <f ca="1">IFERROR(__xludf.DUMMYFUNCTION("""COMPUTED_VALUE"""),"Weapon")</f>
        <v>Weapon</v>
      </c>
      <c r="D43" s="254">
        <f ca="1">IFERROR(__xludf.DUMMYFUNCTION("""COMPUTED_VALUE"""),75)</f>
        <v>75</v>
      </c>
    </row>
    <row r="44" spans="1:4" ht="13.2">
      <c r="A44" s="16">
        <f ca="1">IFERROR(__xludf.DUMMYFUNCTION("""COMPUTED_VALUE"""),43)</f>
        <v>43</v>
      </c>
      <c r="B44" t="str">
        <f ca="1">IFERROR(__xludf.DUMMYFUNCTION("""COMPUTED_VALUE"""),"Glaive")</f>
        <v>Glaive</v>
      </c>
      <c r="C44" s="16" t="str">
        <f ca="1">IFERROR(__xludf.DUMMYFUNCTION("""COMPUTED_VALUE"""),"Weapon")</f>
        <v>Weapon</v>
      </c>
      <c r="D44" s="254">
        <f ca="1">IFERROR(__xludf.DUMMYFUNCTION("""COMPUTED_VALUE"""),8)</f>
        <v>8</v>
      </c>
    </row>
    <row r="45" spans="1:4" ht="13.2">
      <c r="A45" s="16">
        <f ca="1">IFERROR(__xludf.DUMMYFUNCTION("""COMPUTED_VALUE"""),44)</f>
        <v>44</v>
      </c>
      <c r="B45" t="str">
        <f ca="1">IFERROR(__xludf.DUMMYFUNCTION("""COMPUTED_VALUE"""),"Greataxe")</f>
        <v>Greataxe</v>
      </c>
      <c r="C45" s="16" t="str">
        <f ca="1">IFERROR(__xludf.DUMMYFUNCTION("""COMPUTED_VALUE"""),"Weapon")</f>
        <v>Weapon</v>
      </c>
      <c r="D45" s="254">
        <f ca="1">IFERROR(__xludf.DUMMYFUNCTION("""COMPUTED_VALUE"""),20)</f>
        <v>20</v>
      </c>
    </row>
    <row r="46" spans="1:4" ht="13.2">
      <c r="A46" s="16">
        <f ca="1">IFERROR(__xludf.DUMMYFUNCTION("""COMPUTED_VALUE"""),45)</f>
        <v>45</v>
      </c>
      <c r="B46" t="str">
        <f ca="1">IFERROR(__xludf.DUMMYFUNCTION("""COMPUTED_VALUE"""),"Greatclub")</f>
        <v>Greatclub</v>
      </c>
      <c r="C46" s="16" t="str">
        <f ca="1">IFERROR(__xludf.DUMMYFUNCTION("""COMPUTED_VALUE"""),"Weapon")</f>
        <v>Weapon</v>
      </c>
      <c r="D46" s="254">
        <f ca="1">IFERROR(__xludf.DUMMYFUNCTION("""COMPUTED_VALUE"""),5)</f>
        <v>5</v>
      </c>
    </row>
    <row r="47" spans="1:4" ht="13.2">
      <c r="A47" s="16">
        <f ca="1">IFERROR(__xludf.DUMMYFUNCTION("""COMPUTED_VALUE"""),46)</f>
        <v>46</v>
      </c>
      <c r="B47" t="str">
        <f ca="1">IFERROR(__xludf.DUMMYFUNCTION("""COMPUTED_VALUE"""),"Flail, heavy")</f>
        <v>Flail, heavy</v>
      </c>
      <c r="C47" s="16" t="str">
        <f ca="1">IFERROR(__xludf.DUMMYFUNCTION("""COMPUTED_VALUE"""),"Weapon")</f>
        <v>Weapon</v>
      </c>
      <c r="D47" s="254">
        <f ca="1">IFERROR(__xludf.DUMMYFUNCTION("""COMPUTED_VALUE"""),15)</f>
        <v>15</v>
      </c>
    </row>
    <row r="48" spans="1:4" ht="13.2">
      <c r="A48" s="16">
        <f ca="1">IFERROR(__xludf.DUMMYFUNCTION("""COMPUTED_VALUE"""),47)</f>
        <v>47</v>
      </c>
      <c r="B48" t="str">
        <f ca="1">IFERROR(__xludf.DUMMYFUNCTION("""COMPUTED_VALUE"""),"Greatsword")</f>
        <v>Greatsword</v>
      </c>
      <c r="C48" s="16" t="str">
        <f ca="1">IFERROR(__xludf.DUMMYFUNCTION("""COMPUTED_VALUE"""),"Weapon")</f>
        <v>Weapon</v>
      </c>
      <c r="D48" s="254">
        <f ca="1">IFERROR(__xludf.DUMMYFUNCTION("""COMPUTED_VALUE"""),50)</f>
        <v>50</v>
      </c>
    </row>
    <row r="49" spans="1:4" ht="13.2">
      <c r="A49" s="16">
        <f ca="1">IFERROR(__xludf.DUMMYFUNCTION("""COMPUTED_VALUE"""),48)</f>
        <v>48</v>
      </c>
      <c r="B49" t="str">
        <f ca="1">IFERROR(__xludf.DUMMYFUNCTION("""COMPUTED_VALUE"""),"Guisarme4")</f>
        <v>Guisarme4</v>
      </c>
      <c r="C49" s="16" t="str">
        <f ca="1">IFERROR(__xludf.DUMMYFUNCTION("""COMPUTED_VALUE"""),"Weapon")</f>
        <v>Weapon</v>
      </c>
      <c r="D49" s="254">
        <f ca="1">IFERROR(__xludf.DUMMYFUNCTION("""COMPUTED_VALUE"""),9)</f>
        <v>9</v>
      </c>
    </row>
    <row r="50" spans="1:4" ht="13.2">
      <c r="A50" s="16">
        <f ca="1">IFERROR(__xludf.DUMMYFUNCTION("""COMPUTED_VALUE"""),49)</f>
        <v>49</v>
      </c>
      <c r="B50" t="str">
        <f ca="1">IFERROR(__xludf.DUMMYFUNCTION("""COMPUTED_VALUE"""),"Halberd")</f>
        <v>Halberd</v>
      </c>
      <c r="C50" s="16" t="str">
        <f ca="1">IFERROR(__xludf.DUMMYFUNCTION("""COMPUTED_VALUE"""),"Weapon")</f>
        <v>Weapon</v>
      </c>
      <c r="D50" s="254">
        <f ca="1">IFERROR(__xludf.DUMMYFUNCTION("""COMPUTED_VALUE"""),10)</f>
        <v>10</v>
      </c>
    </row>
    <row r="51" spans="1:4" ht="13.2">
      <c r="A51" s="16">
        <f ca="1">IFERROR(__xludf.DUMMYFUNCTION("""COMPUTED_VALUE"""),50)</f>
        <v>50</v>
      </c>
      <c r="B51" t="str">
        <f ca="1">IFERROR(__xludf.DUMMYFUNCTION("""COMPUTED_VALUE"""),"Lance")</f>
        <v>Lance</v>
      </c>
      <c r="C51" s="16" t="str">
        <f ca="1">IFERROR(__xludf.DUMMYFUNCTION("""COMPUTED_VALUE"""),"Weapon")</f>
        <v>Weapon</v>
      </c>
      <c r="D51" s="254">
        <f ca="1">IFERROR(__xludf.DUMMYFUNCTION("""COMPUTED_VALUE"""),10)</f>
        <v>10</v>
      </c>
    </row>
    <row r="52" spans="1:4" ht="13.2">
      <c r="A52" s="16">
        <f ca="1">IFERROR(__xludf.DUMMYFUNCTION("""COMPUTED_VALUE"""),51)</f>
        <v>51</v>
      </c>
      <c r="B52" t="str">
        <f ca="1">IFERROR(__xludf.DUMMYFUNCTION("""COMPUTED_VALUE"""),"Ranseur")</f>
        <v>Ranseur</v>
      </c>
      <c r="C52" s="16" t="str">
        <f ca="1">IFERROR(__xludf.DUMMYFUNCTION("""COMPUTED_VALUE"""),"Weapon")</f>
        <v>Weapon</v>
      </c>
      <c r="D52" s="254">
        <f ca="1">IFERROR(__xludf.DUMMYFUNCTION("""COMPUTED_VALUE"""),10)</f>
        <v>10</v>
      </c>
    </row>
    <row r="53" spans="1:4" ht="13.2">
      <c r="A53" s="16">
        <f ca="1">IFERROR(__xludf.DUMMYFUNCTION("""COMPUTED_VALUE"""),52)</f>
        <v>52</v>
      </c>
      <c r="B53" t="str">
        <f ca="1">IFERROR(__xludf.DUMMYFUNCTION("""COMPUTED_VALUE"""),"Scythe")</f>
        <v>Scythe</v>
      </c>
      <c r="C53" s="16" t="str">
        <f ca="1">IFERROR(__xludf.DUMMYFUNCTION("""COMPUTED_VALUE"""),"Weapon")</f>
        <v>Weapon</v>
      </c>
      <c r="D53" s="254">
        <f ca="1">IFERROR(__xludf.DUMMYFUNCTION("""COMPUTED_VALUE"""),18)</f>
        <v>18</v>
      </c>
    </row>
    <row r="54" spans="1:4" ht="13.2">
      <c r="A54" s="16">
        <f ca="1">IFERROR(__xludf.DUMMYFUNCTION("""COMPUTED_VALUE"""),53)</f>
        <v>53</v>
      </c>
      <c r="B54" t="str">
        <f ca="1">IFERROR(__xludf.DUMMYFUNCTION("""COMPUTED_VALUE"""),"Longbow")</f>
        <v>Longbow</v>
      </c>
      <c r="C54" s="16" t="str">
        <f ca="1">IFERROR(__xludf.DUMMYFUNCTION("""COMPUTED_VALUE"""),"Weapon")</f>
        <v>Weapon</v>
      </c>
      <c r="D54" s="254">
        <f ca="1">IFERROR(__xludf.DUMMYFUNCTION("""COMPUTED_VALUE"""),75)</f>
        <v>75</v>
      </c>
    </row>
    <row r="55" spans="1:4" ht="13.2">
      <c r="A55" s="16">
        <f ca="1">IFERROR(__xludf.DUMMYFUNCTION("""COMPUTED_VALUE"""),54)</f>
        <v>54</v>
      </c>
      <c r="B55" t="str">
        <f ca="1">IFERROR(__xludf.DUMMYFUNCTION("""COMPUTED_VALUE"""),"Longbow, composite")</f>
        <v>Longbow, composite</v>
      </c>
      <c r="C55" s="16" t="str">
        <f ca="1">IFERROR(__xludf.DUMMYFUNCTION("""COMPUTED_VALUE"""),"Weapon")</f>
        <v>Weapon</v>
      </c>
      <c r="D55" s="254">
        <f ca="1">IFERROR(__xludf.DUMMYFUNCTION("""COMPUTED_VALUE"""),100)</f>
        <v>100</v>
      </c>
    </row>
    <row r="56" spans="1:4" ht="13.2">
      <c r="A56" s="16">
        <f ca="1">IFERROR(__xludf.DUMMYFUNCTION("""COMPUTED_VALUE"""),55)</f>
        <v>55</v>
      </c>
      <c r="B56" t="str">
        <f ca="1">IFERROR(__xludf.DUMMYFUNCTION("""COMPUTED_VALUE"""),"Shortbow")</f>
        <v>Shortbow</v>
      </c>
      <c r="C56" s="16" t="str">
        <f ca="1">IFERROR(__xludf.DUMMYFUNCTION("""COMPUTED_VALUE"""),"Weapon")</f>
        <v>Weapon</v>
      </c>
      <c r="D56" s="254">
        <f ca="1">IFERROR(__xludf.DUMMYFUNCTION("""COMPUTED_VALUE"""),30)</f>
        <v>30</v>
      </c>
    </row>
    <row r="57" spans="1:4" ht="13.2">
      <c r="A57" s="16">
        <f ca="1">IFERROR(__xludf.DUMMYFUNCTION("""COMPUTED_VALUE"""),56)</f>
        <v>56</v>
      </c>
      <c r="B57" t="str">
        <f ca="1">IFERROR(__xludf.DUMMYFUNCTION("""COMPUTED_VALUE"""),"Shortbow, composite")</f>
        <v>Shortbow, composite</v>
      </c>
      <c r="C57" s="16" t="str">
        <f ca="1">IFERROR(__xludf.DUMMYFUNCTION("""COMPUTED_VALUE"""),"Weapon")</f>
        <v>Weapon</v>
      </c>
      <c r="D57" s="254">
        <f ca="1">IFERROR(__xludf.DUMMYFUNCTION("""COMPUTED_VALUE"""),75)</f>
        <v>75</v>
      </c>
    </row>
    <row r="58" spans="1:4" ht="13.2">
      <c r="A58" s="16">
        <f ca="1">IFERROR(__xludf.DUMMYFUNCTION("""COMPUTED_VALUE"""),57)</f>
        <v>57</v>
      </c>
      <c r="B58" t="str">
        <f ca="1">IFERROR(__xludf.DUMMYFUNCTION("""COMPUTED_VALUE"""),"Arrows (20)")</f>
        <v>Arrows (20)</v>
      </c>
      <c r="C58" s="16" t="str">
        <f ca="1">IFERROR(__xludf.DUMMYFUNCTION("""COMPUTED_VALUE"""),"Weapon")</f>
        <v>Weapon</v>
      </c>
      <c r="D58" s="254">
        <f ca="1">IFERROR(__xludf.DUMMYFUNCTION("""COMPUTED_VALUE"""),1)</f>
        <v>1</v>
      </c>
    </row>
    <row r="59" spans="1:4" ht="13.2">
      <c r="A59" s="16">
        <f ca="1">IFERROR(__xludf.DUMMYFUNCTION("""COMPUTED_VALUE"""),58)</f>
        <v>58</v>
      </c>
      <c r="B59" t="str">
        <f ca="1">IFERROR(__xludf.DUMMYFUNCTION("""COMPUTED_VALUE"""),"Kama")</f>
        <v>Kama</v>
      </c>
      <c r="C59" s="16" t="str">
        <f ca="1">IFERROR(__xludf.DUMMYFUNCTION("""COMPUTED_VALUE"""),"Weapon")</f>
        <v>Weapon</v>
      </c>
      <c r="D59" s="254">
        <f ca="1">IFERROR(__xludf.DUMMYFUNCTION("""COMPUTED_VALUE"""),2)</f>
        <v>2</v>
      </c>
    </row>
    <row r="60" spans="1:4" ht="13.2">
      <c r="A60" s="16">
        <f ca="1">IFERROR(__xludf.DUMMYFUNCTION("""COMPUTED_VALUE"""),59)</f>
        <v>59</v>
      </c>
      <c r="B60" t="str">
        <f ca="1">IFERROR(__xludf.DUMMYFUNCTION("""COMPUTED_VALUE"""),"Nunchaku")</f>
        <v>Nunchaku</v>
      </c>
      <c r="C60" s="16" t="str">
        <f ca="1">IFERROR(__xludf.DUMMYFUNCTION("""COMPUTED_VALUE"""),"Weapon")</f>
        <v>Weapon</v>
      </c>
      <c r="D60" s="254">
        <f ca="1">IFERROR(__xludf.DUMMYFUNCTION("""COMPUTED_VALUE"""),2)</f>
        <v>2</v>
      </c>
    </row>
    <row r="61" spans="1:4" ht="13.2">
      <c r="A61" s="16">
        <f ca="1">IFERROR(__xludf.DUMMYFUNCTION("""COMPUTED_VALUE"""),60)</f>
        <v>60</v>
      </c>
      <c r="B61" t="str">
        <f ca="1">IFERROR(__xludf.DUMMYFUNCTION("""COMPUTED_VALUE"""),"Sai")</f>
        <v>Sai</v>
      </c>
      <c r="C61" s="16" t="str">
        <f ca="1">IFERROR(__xludf.DUMMYFUNCTION("""COMPUTED_VALUE"""),"Weapon")</f>
        <v>Weapon</v>
      </c>
      <c r="D61" s="254">
        <f ca="1">IFERROR(__xludf.DUMMYFUNCTION("""COMPUTED_VALUE"""),1)</f>
        <v>1</v>
      </c>
    </row>
    <row r="62" spans="1:4" ht="13.2">
      <c r="A62" s="16">
        <f ca="1">IFERROR(__xludf.DUMMYFUNCTION("""COMPUTED_VALUE"""),61)</f>
        <v>61</v>
      </c>
      <c r="B62" t="str">
        <f ca="1">IFERROR(__xludf.DUMMYFUNCTION("""COMPUTED_VALUE"""),"Siangham")</f>
        <v>Siangham</v>
      </c>
      <c r="C62" s="16" t="str">
        <f ca="1">IFERROR(__xludf.DUMMYFUNCTION("""COMPUTED_VALUE"""),"Weapon")</f>
        <v>Weapon</v>
      </c>
      <c r="D62" s="254">
        <f ca="1">IFERROR(__xludf.DUMMYFUNCTION("""COMPUTED_VALUE"""),3)</f>
        <v>3</v>
      </c>
    </row>
    <row r="63" spans="1:4" ht="13.2">
      <c r="A63" s="16">
        <f ca="1">IFERROR(__xludf.DUMMYFUNCTION("""COMPUTED_VALUE"""),62)</f>
        <v>62</v>
      </c>
      <c r="B63" t="str">
        <f ca="1">IFERROR(__xludf.DUMMYFUNCTION("""COMPUTED_VALUE"""),"Sword, bastard")</f>
        <v>Sword, bastard</v>
      </c>
      <c r="C63" s="16" t="str">
        <f ca="1">IFERROR(__xludf.DUMMYFUNCTION("""COMPUTED_VALUE"""),"Weapon")</f>
        <v>Weapon</v>
      </c>
      <c r="D63" s="254">
        <f ca="1">IFERROR(__xludf.DUMMYFUNCTION("""COMPUTED_VALUE"""),35)</f>
        <v>35</v>
      </c>
    </row>
    <row r="64" spans="1:4" ht="13.2">
      <c r="A64" s="16">
        <f ca="1">IFERROR(__xludf.DUMMYFUNCTION("""COMPUTED_VALUE"""),63)</f>
        <v>63</v>
      </c>
      <c r="B64" t="str">
        <f ca="1">IFERROR(__xludf.DUMMYFUNCTION("""COMPUTED_VALUE"""),"Waraxe, dwarven")</f>
        <v>Waraxe, dwarven</v>
      </c>
      <c r="C64" s="16" t="str">
        <f ca="1">IFERROR(__xludf.DUMMYFUNCTION("""COMPUTED_VALUE"""),"Weapon")</f>
        <v>Weapon</v>
      </c>
      <c r="D64" s="254">
        <f ca="1">IFERROR(__xludf.DUMMYFUNCTION("""COMPUTED_VALUE"""),30)</f>
        <v>30</v>
      </c>
    </row>
    <row r="65" spans="1:4" ht="13.2">
      <c r="A65" s="16">
        <f ca="1">IFERROR(__xludf.DUMMYFUNCTION("""COMPUTED_VALUE"""),64)</f>
        <v>64</v>
      </c>
      <c r="B65" t="str">
        <f ca="1">IFERROR(__xludf.DUMMYFUNCTION("""COMPUTED_VALUE"""),"Whip4")</f>
        <v>Whip4</v>
      </c>
      <c r="C65" s="16" t="str">
        <f ca="1">IFERROR(__xludf.DUMMYFUNCTION("""COMPUTED_VALUE"""),"Weapon")</f>
        <v>Weapon</v>
      </c>
      <c r="D65" s="254">
        <f ca="1">IFERROR(__xludf.DUMMYFUNCTION("""COMPUTED_VALUE"""),1)</f>
        <v>1</v>
      </c>
    </row>
    <row r="66" spans="1:4" ht="13.2">
      <c r="A66" s="16">
        <f ca="1">IFERROR(__xludf.DUMMYFUNCTION("""COMPUTED_VALUE"""),65)</f>
        <v>65</v>
      </c>
      <c r="B66" t="str">
        <f ca="1">IFERROR(__xludf.DUMMYFUNCTION("""COMPUTED_VALUE"""),"Axe, orc double5")</f>
        <v>Axe, orc double5</v>
      </c>
      <c r="C66" s="16" t="str">
        <f ca="1">IFERROR(__xludf.DUMMYFUNCTION("""COMPUTED_VALUE"""),"Weapon")</f>
        <v>Weapon</v>
      </c>
      <c r="D66" s="254">
        <f ca="1">IFERROR(__xludf.DUMMYFUNCTION("""COMPUTED_VALUE"""),60)</f>
        <v>60</v>
      </c>
    </row>
    <row r="67" spans="1:4" ht="13.2">
      <c r="A67" s="16">
        <f ca="1">IFERROR(__xludf.DUMMYFUNCTION("""COMPUTED_VALUE"""),66)</f>
        <v>66</v>
      </c>
      <c r="B67" t="str">
        <f ca="1">IFERROR(__xludf.DUMMYFUNCTION("""COMPUTED_VALUE"""),"Chain, spiked4")</f>
        <v>Chain, spiked4</v>
      </c>
      <c r="C67" s="16" t="str">
        <f ca="1">IFERROR(__xludf.DUMMYFUNCTION("""COMPUTED_VALUE"""),"Weapon")</f>
        <v>Weapon</v>
      </c>
      <c r="D67" s="254">
        <f ca="1">IFERROR(__xludf.DUMMYFUNCTION("""COMPUTED_VALUE"""),25)</f>
        <v>25</v>
      </c>
    </row>
    <row r="68" spans="1:4" ht="13.2">
      <c r="A68" s="16">
        <f ca="1">IFERROR(__xludf.DUMMYFUNCTION("""COMPUTED_VALUE"""),67)</f>
        <v>67</v>
      </c>
      <c r="B68" t="str">
        <f ca="1">IFERROR(__xludf.DUMMYFUNCTION("""COMPUTED_VALUE"""),"Flail, dire5")</f>
        <v>Flail, dire5</v>
      </c>
      <c r="C68" s="16" t="str">
        <f ca="1">IFERROR(__xludf.DUMMYFUNCTION("""COMPUTED_VALUE"""),"Weapon")</f>
        <v>Weapon</v>
      </c>
      <c r="D68" s="254">
        <f ca="1">IFERROR(__xludf.DUMMYFUNCTION("""COMPUTED_VALUE"""),90)</f>
        <v>90</v>
      </c>
    </row>
    <row r="69" spans="1:4" ht="13.2">
      <c r="A69" s="16">
        <f ca="1">IFERROR(__xludf.DUMMYFUNCTION("""COMPUTED_VALUE"""),68)</f>
        <v>68</v>
      </c>
      <c r="B69" t="str">
        <f ca="1">IFERROR(__xludf.DUMMYFUNCTION("""COMPUTED_VALUE"""),"Hammer, gnome hooked5")</f>
        <v>Hammer, gnome hooked5</v>
      </c>
      <c r="C69" s="16" t="str">
        <f ca="1">IFERROR(__xludf.DUMMYFUNCTION("""COMPUTED_VALUE"""),"Weapon")</f>
        <v>Weapon</v>
      </c>
      <c r="D69" s="254">
        <f ca="1">IFERROR(__xludf.DUMMYFUNCTION("""COMPUTED_VALUE"""),20)</f>
        <v>20</v>
      </c>
    </row>
    <row r="70" spans="1:4" ht="13.2">
      <c r="A70" s="16">
        <f ca="1">IFERROR(__xludf.DUMMYFUNCTION("""COMPUTED_VALUE"""),69)</f>
        <v>69</v>
      </c>
      <c r="B70" t="str">
        <f ca="1">IFERROR(__xludf.DUMMYFUNCTION("""COMPUTED_VALUE"""),"Sword, two-bladed5")</f>
        <v>Sword, two-bladed5</v>
      </c>
      <c r="C70" s="16" t="str">
        <f ca="1">IFERROR(__xludf.DUMMYFUNCTION("""COMPUTED_VALUE"""),"Weapon")</f>
        <v>Weapon</v>
      </c>
      <c r="D70" s="254">
        <f ca="1">IFERROR(__xludf.DUMMYFUNCTION("""COMPUTED_VALUE"""),100)</f>
        <v>100</v>
      </c>
    </row>
    <row r="71" spans="1:4" ht="13.2">
      <c r="A71" s="16">
        <f ca="1">IFERROR(__xludf.DUMMYFUNCTION("""COMPUTED_VALUE"""),70)</f>
        <v>70</v>
      </c>
      <c r="B71" t="str">
        <f ca="1">IFERROR(__xludf.DUMMYFUNCTION("""COMPUTED_VALUE"""),"Urgrosh, dwarven5")</f>
        <v>Urgrosh, dwarven5</v>
      </c>
      <c r="C71" s="16" t="str">
        <f ca="1">IFERROR(__xludf.DUMMYFUNCTION("""COMPUTED_VALUE"""),"Weapon")</f>
        <v>Weapon</v>
      </c>
      <c r="D71" s="254">
        <f ca="1">IFERROR(__xludf.DUMMYFUNCTION("""COMPUTED_VALUE"""),50)</f>
        <v>50</v>
      </c>
    </row>
    <row r="72" spans="1:4" ht="13.2">
      <c r="A72" s="16">
        <f ca="1">IFERROR(__xludf.DUMMYFUNCTION("""COMPUTED_VALUE"""),71)</f>
        <v>71</v>
      </c>
      <c r="B72" t="str">
        <f ca="1">IFERROR(__xludf.DUMMYFUNCTION("""COMPUTED_VALUE"""),"Bolas")</f>
        <v>Bolas</v>
      </c>
      <c r="C72" s="16" t="str">
        <f ca="1">IFERROR(__xludf.DUMMYFUNCTION("""COMPUTED_VALUE"""),"Weapon")</f>
        <v>Weapon</v>
      </c>
      <c r="D72" s="254">
        <f ca="1">IFERROR(__xludf.DUMMYFUNCTION("""COMPUTED_VALUE"""),5)</f>
        <v>5</v>
      </c>
    </row>
    <row r="73" spans="1:4" ht="13.2">
      <c r="A73" s="16">
        <f ca="1">IFERROR(__xludf.DUMMYFUNCTION("""COMPUTED_VALUE"""),72)</f>
        <v>72</v>
      </c>
      <c r="B73" t="str">
        <f ca="1">IFERROR(__xludf.DUMMYFUNCTION("""COMPUTED_VALUE"""),"Crossbow, hand")</f>
        <v>Crossbow, hand</v>
      </c>
      <c r="C73" s="16" t="str">
        <f ca="1">IFERROR(__xludf.DUMMYFUNCTION("""COMPUTED_VALUE"""),"Weapon")</f>
        <v>Weapon</v>
      </c>
      <c r="D73" s="254">
        <f ca="1">IFERROR(__xludf.DUMMYFUNCTION("""COMPUTED_VALUE"""),100)</f>
        <v>100</v>
      </c>
    </row>
    <row r="74" spans="1:4" ht="13.2">
      <c r="A74" s="16">
        <f ca="1">IFERROR(__xludf.DUMMYFUNCTION("""COMPUTED_VALUE"""),73)</f>
        <v>73</v>
      </c>
      <c r="B74" t="str">
        <f ca="1">IFERROR(__xludf.DUMMYFUNCTION("""COMPUTED_VALUE"""),"Bolts (10)")</f>
        <v>Bolts (10)</v>
      </c>
      <c r="C74" s="16" t="str">
        <f ca="1">IFERROR(__xludf.DUMMYFUNCTION("""COMPUTED_VALUE"""),"Weapon")</f>
        <v>Weapon</v>
      </c>
      <c r="D74" s="254">
        <f ca="1">IFERROR(__xludf.DUMMYFUNCTION("""COMPUTED_VALUE"""),2)</f>
        <v>2</v>
      </c>
    </row>
    <row r="75" spans="1:4" ht="13.2">
      <c r="A75" s="16">
        <f ca="1">IFERROR(__xludf.DUMMYFUNCTION("""COMPUTED_VALUE"""),74)</f>
        <v>74</v>
      </c>
      <c r="B75" t="str">
        <f ca="1">IFERROR(__xludf.DUMMYFUNCTION("""COMPUTED_VALUE"""),"Crossbow, repeating heavy")</f>
        <v>Crossbow, repeating heavy</v>
      </c>
      <c r="C75" s="16" t="str">
        <f ca="1">IFERROR(__xludf.DUMMYFUNCTION("""COMPUTED_VALUE"""),"Weapon")</f>
        <v>Weapon</v>
      </c>
      <c r="D75" s="254">
        <f ca="1">IFERROR(__xludf.DUMMYFUNCTION("""COMPUTED_VALUE"""),400)</f>
        <v>400</v>
      </c>
    </row>
    <row r="76" spans="1:4" ht="13.2">
      <c r="A76" s="16">
        <f ca="1">IFERROR(__xludf.DUMMYFUNCTION("""COMPUTED_VALUE"""),75)</f>
        <v>75</v>
      </c>
      <c r="B76" t="str">
        <f ca="1">IFERROR(__xludf.DUMMYFUNCTION("""COMPUTED_VALUE"""),"Bolts (5)")</f>
        <v>Bolts (5)</v>
      </c>
      <c r="C76" s="16" t="str">
        <f ca="1">IFERROR(__xludf.DUMMYFUNCTION("""COMPUTED_VALUE"""),"Weapon")</f>
        <v>Weapon</v>
      </c>
      <c r="D76" s="254">
        <f ca="1">IFERROR(__xludf.DUMMYFUNCTION("""COMPUTED_VALUE"""),1)</f>
        <v>1</v>
      </c>
    </row>
    <row r="77" spans="1:4" ht="13.2">
      <c r="A77" s="16">
        <f ca="1">IFERROR(__xludf.DUMMYFUNCTION("""COMPUTED_VALUE"""),76)</f>
        <v>76</v>
      </c>
      <c r="B77" t="str">
        <f ca="1">IFERROR(__xludf.DUMMYFUNCTION("""COMPUTED_VALUE"""),"Crossbow, repeating light")</f>
        <v>Crossbow, repeating light</v>
      </c>
      <c r="C77" s="16" t="str">
        <f ca="1">IFERROR(__xludf.DUMMYFUNCTION("""COMPUTED_VALUE"""),"Weapon")</f>
        <v>Weapon</v>
      </c>
      <c r="D77" s="254">
        <f ca="1">IFERROR(__xludf.DUMMYFUNCTION("""COMPUTED_VALUE"""),250)</f>
        <v>250</v>
      </c>
    </row>
    <row r="78" spans="1:4" ht="13.2">
      <c r="A78" s="16">
        <f ca="1">IFERROR(__xludf.DUMMYFUNCTION("""COMPUTED_VALUE"""),77)</f>
        <v>77</v>
      </c>
      <c r="B78" t="str">
        <f ca="1">IFERROR(__xludf.DUMMYFUNCTION("""COMPUTED_VALUE"""),"Net")</f>
        <v>Net</v>
      </c>
      <c r="C78" s="16" t="str">
        <f ca="1">IFERROR(__xludf.DUMMYFUNCTION("""COMPUTED_VALUE"""),"Weapon")</f>
        <v>Weapon</v>
      </c>
      <c r="D78" s="254">
        <f ca="1">IFERROR(__xludf.DUMMYFUNCTION("""COMPUTED_VALUE"""),20)</f>
        <v>20</v>
      </c>
    </row>
    <row r="79" spans="1:4" ht="13.2">
      <c r="A79" s="16">
        <f ca="1">IFERROR(__xludf.DUMMYFUNCTION("""COMPUTED_VALUE"""),78)</f>
        <v>78</v>
      </c>
      <c r="B79" t="str">
        <f ca="1">IFERROR(__xludf.DUMMYFUNCTION("""COMPUTED_VALUE"""),"Shuriken (5)")</f>
        <v>Shuriken (5)</v>
      </c>
      <c r="C79" s="16" t="str">
        <f ca="1">IFERROR(__xludf.DUMMYFUNCTION("""COMPUTED_VALUE"""),"Weapon")</f>
        <v>Weapon</v>
      </c>
      <c r="D79" s="254">
        <f ca="1">IFERROR(__xludf.DUMMYFUNCTION("""COMPUTED_VALUE"""),1)</f>
        <v>1</v>
      </c>
    </row>
    <row r="80" spans="1:4" ht="13.2">
      <c r="A80" s="16">
        <f ca="1">IFERROR(__xludf.DUMMYFUNCTION("""COMPUTED_VALUE"""),79)</f>
        <v>79</v>
      </c>
      <c r="B80" t="str">
        <f ca="1">IFERROR(__xludf.DUMMYFUNCTION("""COMPUTED_VALUE"""),"Poop")</f>
        <v>Poop</v>
      </c>
      <c r="C80" s="16" t="str">
        <f ca="1">IFERROR(__xludf.DUMMYFUNCTION("""COMPUTED_VALUE"""),"Weapon")</f>
        <v>Weapon</v>
      </c>
      <c r="D80" s="254">
        <f ca="1">IFERROR(__xludf.DUMMYFUNCTION("""COMPUTED_VALUE"""),0.001)</f>
        <v>1E-3</v>
      </c>
    </row>
    <row r="81" spans="1:4" ht="13.2">
      <c r="A81" s="16">
        <f ca="1">IFERROR(__xludf.DUMMYFUNCTION("""COMPUTED_VALUE"""),1)</f>
        <v>1</v>
      </c>
      <c r="B81" t="str">
        <f ca="1">IFERROR(__xludf.DUMMYFUNCTION("""COMPUTED_VALUE"""),"Padded")</f>
        <v>Padded</v>
      </c>
      <c r="C81" s="16" t="str">
        <f ca="1">IFERROR(__xludf.DUMMYFUNCTION("""COMPUTED_VALUE"""),"Armor")</f>
        <v>Armor</v>
      </c>
      <c r="D81" s="254">
        <f ca="1">IFERROR(__xludf.DUMMYFUNCTION("""COMPUTED_VALUE"""),5)</f>
        <v>5</v>
      </c>
    </row>
    <row r="82" spans="1:4" ht="13.2">
      <c r="A82" s="16">
        <f ca="1">IFERROR(__xludf.DUMMYFUNCTION("""COMPUTED_VALUE"""),2)</f>
        <v>2</v>
      </c>
      <c r="B82" t="str">
        <f ca="1">IFERROR(__xludf.DUMMYFUNCTION("""COMPUTED_VALUE"""),"Leather")</f>
        <v>Leather</v>
      </c>
      <c r="C82" s="16" t="str">
        <f ca="1">IFERROR(__xludf.DUMMYFUNCTION("""COMPUTED_VALUE"""),"Armor")</f>
        <v>Armor</v>
      </c>
      <c r="D82" s="254">
        <f ca="1">IFERROR(__xludf.DUMMYFUNCTION("""COMPUTED_VALUE"""),10)</f>
        <v>10</v>
      </c>
    </row>
    <row r="83" spans="1:4" ht="13.2">
      <c r="A83" s="16">
        <f ca="1">IFERROR(__xludf.DUMMYFUNCTION("""COMPUTED_VALUE"""),3)</f>
        <v>3</v>
      </c>
      <c r="B83" t="str">
        <f ca="1">IFERROR(__xludf.DUMMYFUNCTION("""COMPUTED_VALUE"""),"Studded leather")</f>
        <v>Studded leather</v>
      </c>
      <c r="C83" s="16" t="str">
        <f ca="1">IFERROR(__xludf.DUMMYFUNCTION("""COMPUTED_VALUE"""),"Armor")</f>
        <v>Armor</v>
      </c>
      <c r="D83" s="254">
        <f ca="1">IFERROR(__xludf.DUMMYFUNCTION("""COMPUTED_VALUE"""),25)</f>
        <v>25</v>
      </c>
    </row>
    <row r="84" spans="1:4" ht="13.2">
      <c r="A84" s="16">
        <f ca="1">IFERROR(__xludf.DUMMYFUNCTION("""COMPUTED_VALUE"""),4)</f>
        <v>4</v>
      </c>
      <c r="B84" t="str">
        <f ca="1">IFERROR(__xludf.DUMMYFUNCTION("""COMPUTED_VALUE"""),"Chain shirt")</f>
        <v>Chain shirt</v>
      </c>
      <c r="C84" s="16" t="str">
        <f ca="1">IFERROR(__xludf.DUMMYFUNCTION("""COMPUTED_VALUE"""),"Armor")</f>
        <v>Armor</v>
      </c>
      <c r="D84" s="254">
        <f ca="1">IFERROR(__xludf.DUMMYFUNCTION("""COMPUTED_VALUE"""),100)</f>
        <v>100</v>
      </c>
    </row>
    <row r="85" spans="1:4" ht="13.2">
      <c r="A85" s="16">
        <f ca="1">IFERROR(__xludf.DUMMYFUNCTION("""COMPUTED_VALUE"""),5)</f>
        <v>5</v>
      </c>
      <c r="B85" t="str">
        <f ca="1">IFERROR(__xludf.DUMMYFUNCTION("""COMPUTED_VALUE"""),"Hide")</f>
        <v>Hide</v>
      </c>
      <c r="C85" s="16" t="str">
        <f ca="1">IFERROR(__xludf.DUMMYFUNCTION("""COMPUTED_VALUE"""),"Armor")</f>
        <v>Armor</v>
      </c>
      <c r="D85" s="254">
        <f ca="1">IFERROR(__xludf.DUMMYFUNCTION("""COMPUTED_VALUE"""),15)</f>
        <v>15</v>
      </c>
    </row>
    <row r="86" spans="1:4" ht="13.2">
      <c r="A86" s="16">
        <f ca="1">IFERROR(__xludf.DUMMYFUNCTION("""COMPUTED_VALUE"""),6)</f>
        <v>6</v>
      </c>
      <c r="B86" t="str">
        <f ca="1">IFERROR(__xludf.DUMMYFUNCTION("""COMPUTED_VALUE"""),"Scale mail")</f>
        <v>Scale mail</v>
      </c>
      <c r="C86" s="16" t="str">
        <f ca="1">IFERROR(__xludf.DUMMYFUNCTION("""COMPUTED_VALUE"""),"Armor")</f>
        <v>Armor</v>
      </c>
      <c r="D86" s="254">
        <f ca="1">IFERROR(__xludf.DUMMYFUNCTION("""COMPUTED_VALUE"""),50)</f>
        <v>50</v>
      </c>
    </row>
    <row r="87" spans="1:4" ht="13.2">
      <c r="A87" s="16">
        <f ca="1">IFERROR(__xludf.DUMMYFUNCTION("""COMPUTED_VALUE"""),7)</f>
        <v>7</v>
      </c>
      <c r="B87" t="str">
        <f ca="1">IFERROR(__xludf.DUMMYFUNCTION("""COMPUTED_VALUE"""),"Chainmail")</f>
        <v>Chainmail</v>
      </c>
      <c r="C87" s="16" t="str">
        <f ca="1">IFERROR(__xludf.DUMMYFUNCTION("""COMPUTED_VALUE"""),"Armor")</f>
        <v>Armor</v>
      </c>
      <c r="D87" s="254">
        <f ca="1">IFERROR(__xludf.DUMMYFUNCTION("""COMPUTED_VALUE"""),150)</f>
        <v>150</v>
      </c>
    </row>
    <row r="88" spans="1:4" ht="13.2">
      <c r="A88" s="16">
        <f ca="1">IFERROR(__xludf.DUMMYFUNCTION("""COMPUTED_VALUE"""),8)</f>
        <v>8</v>
      </c>
      <c r="B88" t="str">
        <f ca="1">IFERROR(__xludf.DUMMYFUNCTION("""COMPUTED_VALUE"""),"Breastplate")</f>
        <v>Breastplate</v>
      </c>
      <c r="C88" s="16" t="str">
        <f ca="1">IFERROR(__xludf.DUMMYFUNCTION("""COMPUTED_VALUE"""),"Armor")</f>
        <v>Armor</v>
      </c>
      <c r="D88" s="254">
        <f ca="1">IFERROR(__xludf.DUMMYFUNCTION("""COMPUTED_VALUE"""),200)</f>
        <v>200</v>
      </c>
    </row>
    <row r="89" spans="1:4" ht="13.2">
      <c r="A89" s="16">
        <f ca="1">IFERROR(__xludf.DUMMYFUNCTION("""COMPUTED_VALUE"""),9)</f>
        <v>9</v>
      </c>
      <c r="B89" t="str">
        <f ca="1">IFERROR(__xludf.DUMMYFUNCTION("""COMPUTED_VALUE"""),"Splint mail")</f>
        <v>Splint mail</v>
      </c>
      <c r="C89" s="16" t="str">
        <f ca="1">IFERROR(__xludf.DUMMYFUNCTION("""COMPUTED_VALUE"""),"Armor")</f>
        <v>Armor</v>
      </c>
      <c r="D89" s="254">
        <f ca="1">IFERROR(__xludf.DUMMYFUNCTION("""COMPUTED_VALUE"""),200)</f>
        <v>200</v>
      </c>
    </row>
    <row r="90" spans="1:4" ht="13.2">
      <c r="A90" s="16">
        <f ca="1">IFERROR(__xludf.DUMMYFUNCTION("""COMPUTED_VALUE"""),10)</f>
        <v>10</v>
      </c>
      <c r="B90" t="str">
        <f ca="1">IFERROR(__xludf.DUMMYFUNCTION("""COMPUTED_VALUE"""),"Banded mail")</f>
        <v>Banded mail</v>
      </c>
      <c r="C90" s="16" t="str">
        <f ca="1">IFERROR(__xludf.DUMMYFUNCTION("""COMPUTED_VALUE"""),"Armor")</f>
        <v>Armor</v>
      </c>
      <c r="D90" s="254">
        <f ca="1">IFERROR(__xludf.DUMMYFUNCTION("""COMPUTED_VALUE"""),250)</f>
        <v>250</v>
      </c>
    </row>
    <row r="91" spans="1:4" ht="13.2">
      <c r="A91" s="16">
        <f ca="1">IFERROR(__xludf.DUMMYFUNCTION("""COMPUTED_VALUE"""),11)</f>
        <v>11</v>
      </c>
      <c r="B91" t="str">
        <f ca="1">IFERROR(__xludf.DUMMYFUNCTION("""COMPUTED_VALUE"""),"Half-plate")</f>
        <v>Half-plate</v>
      </c>
      <c r="C91" s="16" t="str">
        <f ca="1">IFERROR(__xludf.DUMMYFUNCTION("""COMPUTED_VALUE"""),"Armor")</f>
        <v>Armor</v>
      </c>
      <c r="D91" s="254">
        <f ca="1">IFERROR(__xludf.DUMMYFUNCTION("""COMPUTED_VALUE"""),600)</f>
        <v>600</v>
      </c>
    </row>
    <row r="92" spans="1:4" ht="13.2">
      <c r="A92" s="16">
        <f ca="1">IFERROR(__xludf.DUMMYFUNCTION("""COMPUTED_VALUE"""),12)</f>
        <v>12</v>
      </c>
      <c r="B92" t="str">
        <f ca="1">IFERROR(__xludf.DUMMYFUNCTION("""COMPUTED_VALUE"""),"Full plate")</f>
        <v>Full plate</v>
      </c>
      <c r="C92" s="16" t="str">
        <f ca="1">IFERROR(__xludf.DUMMYFUNCTION("""COMPUTED_VALUE"""),"Armor")</f>
        <v>Armor</v>
      </c>
      <c r="D92" s="254">
        <f ca="1">IFERROR(__xludf.DUMMYFUNCTION("""COMPUTED_VALUE"""),1500)</f>
        <v>1500</v>
      </c>
    </row>
    <row r="93" spans="1:4" ht="13.2">
      <c r="A93" s="16">
        <f ca="1">IFERROR(__xludf.DUMMYFUNCTION("""COMPUTED_VALUE"""),13)</f>
        <v>13</v>
      </c>
      <c r="B93" t="str">
        <f ca="1">IFERROR(__xludf.DUMMYFUNCTION("""COMPUTED_VALUE"""),"Buckler")</f>
        <v>Buckler</v>
      </c>
      <c r="C93" s="16" t="str">
        <f ca="1">IFERROR(__xludf.DUMMYFUNCTION("""COMPUTED_VALUE"""),"Armor")</f>
        <v>Armor</v>
      </c>
      <c r="D93" s="254">
        <f ca="1">IFERROR(__xludf.DUMMYFUNCTION("""COMPUTED_VALUE"""),15)</f>
        <v>15</v>
      </c>
    </row>
    <row r="94" spans="1:4" ht="13.2">
      <c r="A94" s="16">
        <f ca="1">IFERROR(__xludf.DUMMYFUNCTION("""COMPUTED_VALUE"""),14)</f>
        <v>14</v>
      </c>
      <c r="B94" t="str">
        <f ca="1">IFERROR(__xludf.DUMMYFUNCTION("""COMPUTED_VALUE"""),"Shield, light wooden")</f>
        <v>Shield, light wooden</v>
      </c>
      <c r="C94" s="16" t="str">
        <f ca="1">IFERROR(__xludf.DUMMYFUNCTION("""COMPUTED_VALUE"""),"Armor")</f>
        <v>Armor</v>
      </c>
      <c r="D94" s="254">
        <f ca="1">IFERROR(__xludf.DUMMYFUNCTION("""COMPUTED_VALUE"""),3)</f>
        <v>3</v>
      </c>
    </row>
    <row r="95" spans="1:4" ht="13.2">
      <c r="A95" s="16">
        <f ca="1">IFERROR(__xludf.DUMMYFUNCTION("""COMPUTED_VALUE"""),15)</f>
        <v>15</v>
      </c>
      <c r="B95" t="str">
        <f ca="1">IFERROR(__xludf.DUMMYFUNCTION("""COMPUTED_VALUE"""),"Shield, light steel")</f>
        <v>Shield, light steel</v>
      </c>
      <c r="C95" s="16" t="str">
        <f ca="1">IFERROR(__xludf.DUMMYFUNCTION("""COMPUTED_VALUE"""),"Armor")</f>
        <v>Armor</v>
      </c>
      <c r="D95" s="254">
        <f ca="1">IFERROR(__xludf.DUMMYFUNCTION("""COMPUTED_VALUE"""),9)</f>
        <v>9</v>
      </c>
    </row>
    <row r="96" spans="1:4" ht="13.2">
      <c r="A96" s="16">
        <f ca="1">IFERROR(__xludf.DUMMYFUNCTION("""COMPUTED_VALUE"""),16)</f>
        <v>16</v>
      </c>
      <c r="B96" t="str">
        <f ca="1">IFERROR(__xludf.DUMMYFUNCTION("""COMPUTED_VALUE"""),"Shield, heavy wooden")</f>
        <v>Shield, heavy wooden</v>
      </c>
      <c r="C96" s="16" t="str">
        <f ca="1">IFERROR(__xludf.DUMMYFUNCTION("""COMPUTED_VALUE"""),"Armor")</f>
        <v>Armor</v>
      </c>
      <c r="D96" s="254">
        <f ca="1">IFERROR(__xludf.DUMMYFUNCTION("""COMPUTED_VALUE"""),7)</f>
        <v>7</v>
      </c>
    </row>
    <row r="97" spans="1:4" ht="13.2">
      <c r="A97" s="16">
        <f ca="1">IFERROR(__xludf.DUMMYFUNCTION("""COMPUTED_VALUE"""),17)</f>
        <v>17</v>
      </c>
      <c r="B97" t="str">
        <f ca="1">IFERROR(__xludf.DUMMYFUNCTION("""COMPUTED_VALUE"""),"Shield, heavy steel")</f>
        <v>Shield, heavy steel</v>
      </c>
      <c r="C97" s="16" t="str">
        <f ca="1">IFERROR(__xludf.DUMMYFUNCTION("""COMPUTED_VALUE"""),"Armor")</f>
        <v>Armor</v>
      </c>
      <c r="D97" s="254">
        <f ca="1">IFERROR(__xludf.DUMMYFUNCTION("""COMPUTED_VALUE"""),20)</f>
        <v>20</v>
      </c>
    </row>
    <row r="98" spans="1:4" ht="13.2">
      <c r="A98" s="16">
        <f ca="1">IFERROR(__xludf.DUMMYFUNCTION("""COMPUTED_VALUE"""),18)</f>
        <v>18</v>
      </c>
      <c r="B98" t="str">
        <f ca="1">IFERROR(__xludf.DUMMYFUNCTION("""COMPUTED_VALUE"""),"Shield, tower")</f>
        <v>Shield, tower</v>
      </c>
      <c r="C98" s="16" t="str">
        <f ca="1">IFERROR(__xludf.DUMMYFUNCTION("""COMPUTED_VALUE"""),"Armor")</f>
        <v>Armor</v>
      </c>
      <c r="D98" s="254">
        <f ca="1">IFERROR(__xludf.DUMMYFUNCTION("""COMPUTED_VALUE"""),30)</f>
        <v>30</v>
      </c>
    </row>
    <row r="99" spans="1:4" ht="13.2">
      <c r="A99" s="16">
        <f ca="1">IFERROR(__xludf.DUMMYFUNCTION("""COMPUTED_VALUE"""),19)</f>
        <v>19</v>
      </c>
      <c r="B99" t="str">
        <f ca="1">IFERROR(__xludf.DUMMYFUNCTION("""COMPUTED_VALUE"""),"Armor spikes")</f>
        <v>Armor spikes</v>
      </c>
      <c r="C99" s="16" t="str">
        <f ca="1">IFERROR(__xludf.DUMMYFUNCTION("""COMPUTED_VALUE"""),"Armor")</f>
        <v>Armor</v>
      </c>
      <c r="D99" s="254">
        <f ca="1">IFERROR(__xludf.DUMMYFUNCTION("""COMPUTED_VALUE"""),50)</f>
        <v>50</v>
      </c>
    </row>
    <row r="100" spans="1:4" ht="13.2">
      <c r="A100" s="16">
        <f ca="1">IFERROR(__xludf.DUMMYFUNCTION("""COMPUTED_VALUE"""),20)</f>
        <v>20</v>
      </c>
      <c r="B100" t="str">
        <f ca="1">IFERROR(__xludf.DUMMYFUNCTION("""COMPUTED_VALUE"""),"Gauntlet, locked")</f>
        <v>Gauntlet, locked</v>
      </c>
      <c r="C100" s="16" t="str">
        <f ca="1">IFERROR(__xludf.DUMMYFUNCTION("""COMPUTED_VALUE"""),"Armor")</f>
        <v>Armor</v>
      </c>
      <c r="D100" s="254">
        <f ca="1">IFERROR(__xludf.DUMMYFUNCTION("""COMPUTED_VALUE"""),8)</f>
        <v>8</v>
      </c>
    </row>
    <row r="101" spans="1:4" ht="13.2">
      <c r="A101" s="16">
        <f ca="1">IFERROR(__xludf.DUMMYFUNCTION("""COMPUTED_VALUE"""),21)</f>
        <v>21</v>
      </c>
      <c r="B101" t="str">
        <f ca="1">IFERROR(__xludf.DUMMYFUNCTION("""COMPUTED_VALUE"""),"Shield Spikes, Light or Heavy")</f>
        <v>Shield Spikes, Light or Heavy</v>
      </c>
      <c r="C101" s="16" t="str">
        <f ca="1">IFERROR(__xludf.DUMMYFUNCTION("""COMPUTED_VALUE"""),"Armor")</f>
        <v>Armor</v>
      </c>
      <c r="D101" s="254">
        <f ca="1">IFERROR(__xludf.DUMMYFUNCTION("""COMPUTED_VALUE"""),10)</f>
        <v>10</v>
      </c>
    </row>
    <row r="102" spans="1:4" ht="13.2">
      <c r="A102" s="16">
        <f ca="1">IFERROR(__xludf.DUMMYFUNCTION("""COMPUTED_VALUE"""),1)</f>
        <v>1</v>
      </c>
      <c r="B102" t="str">
        <f ca="1">IFERROR(__xludf.DUMMYFUNCTION("""COMPUTED_VALUE"""),"Backpack (empty)")</f>
        <v>Backpack (empty)</v>
      </c>
      <c r="C102" s="16" t="str">
        <f ca="1">IFERROR(__xludf.DUMMYFUNCTION("""COMPUTED_VALUE"""),"Adventure")</f>
        <v>Adventure</v>
      </c>
      <c r="D102" s="254">
        <f ca="1">IFERROR(__xludf.DUMMYFUNCTION("""COMPUTED_VALUE"""),2)</f>
        <v>2</v>
      </c>
    </row>
    <row r="103" spans="1:4" ht="13.2">
      <c r="A103" s="16">
        <f ca="1">IFERROR(__xludf.DUMMYFUNCTION("""COMPUTED_VALUE"""),2)</f>
        <v>2</v>
      </c>
      <c r="B103" t="str">
        <f ca="1">IFERROR(__xludf.DUMMYFUNCTION("""COMPUTED_VALUE"""),"Barrel (empty)")</f>
        <v>Barrel (empty)</v>
      </c>
      <c r="C103" s="16" t="str">
        <f ca="1">IFERROR(__xludf.DUMMYFUNCTION("""COMPUTED_VALUE"""),"Adventure")</f>
        <v>Adventure</v>
      </c>
      <c r="D103" s="254">
        <f ca="1">IFERROR(__xludf.DUMMYFUNCTION("""COMPUTED_VALUE"""),2)</f>
        <v>2</v>
      </c>
    </row>
    <row r="104" spans="1:4" ht="13.2">
      <c r="A104" s="16">
        <f ca="1">IFERROR(__xludf.DUMMYFUNCTION("""COMPUTED_VALUE"""),3)</f>
        <v>3</v>
      </c>
      <c r="B104" t="str">
        <f ca="1">IFERROR(__xludf.DUMMYFUNCTION("""COMPUTED_VALUE"""),"Basket (empty)")</f>
        <v>Basket (empty)</v>
      </c>
      <c r="C104" s="16" t="str">
        <f ca="1">IFERROR(__xludf.DUMMYFUNCTION("""COMPUTED_VALUE"""),"Adventure")</f>
        <v>Adventure</v>
      </c>
      <c r="D104" s="254">
        <f ca="1">IFERROR(__xludf.DUMMYFUNCTION("""COMPUTED_VALUE"""),0.4)</f>
        <v>0.4</v>
      </c>
    </row>
    <row r="105" spans="1:4" ht="13.2">
      <c r="A105" s="16">
        <f ca="1">IFERROR(__xludf.DUMMYFUNCTION("""COMPUTED_VALUE"""),4)</f>
        <v>4</v>
      </c>
      <c r="B105" t="str">
        <f ca="1">IFERROR(__xludf.DUMMYFUNCTION("""COMPUTED_VALUE"""),"Bedroll")</f>
        <v>Bedroll</v>
      </c>
      <c r="C105" s="16" t="str">
        <f ca="1">IFERROR(__xludf.DUMMYFUNCTION("""COMPUTED_VALUE"""),"Adventure")</f>
        <v>Adventure</v>
      </c>
      <c r="D105" s="254">
        <f ca="1">IFERROR(__xludf.DUMMYFUNCTION("""COMPUTED_VALUE"""),0.1)</f>
        <v>0.1</v>
      </c>
    </row>
    <row r="106" spans="1:4" ht="13.2">
      <c r="A106" s="16">
        <f ca="1">IFERROR(__xludf.DUMMYFUNCTION("""COMPUTED_VALUE"""),5)</f>
        <v>5</v>
      </c>
      <c r="B106" t="str">
        <f ca="1">IFERROR(__xludf.DUMMYFUNCTION("""COMPUTED_VALUE"""),"Bell")</f>
        <v>Bell</v>
      </c>
      <c r="C106" s="16" t="str">
        <f ca="1">IFERROR(__xludf.DUMMYFUNCTION("""COMPUTED_VALUE"""),"Adventure")</f>
        <v>Adventure</v>
      </c>
      <c r="D106" s="254">
        <f ca="1">IFERROR(__xludf.DUMMYFUNCTION("""COMPUTED_VALUE"""),1)</f>
        <v>1</v>
      </c>
    </row>
    <row r="107" spans="1:4" ht="13.2">
      <c r="A107" s="16">
        <f ca="1">IFERROR(__xludf.DUMMYFUNCTION("""COMPUTED_VALUE"""),6)</f>
        <v>6</v>
      </c>
      <c r="B107" t="str">
        <f ca="1">IFERROR(__xludf.DUMMYFUNCTION("""COMPUTED_VALUE"""),"Blanket, winter")</f>
        <v>Blanket, winter</v>
      </c>
      <c r="C107" s="16" t="str">
        <f ca="1">IFERROR(__xludf.DUMMYFUNCTION("""COMPUTED_VALUE"""),"Adventure")</f>
        <v>Adventure</v>
      </c>
      <c r="D107" s="254">
        <f ca="1">IFERROR(__xludf.DUMMYFUNCTION("""COMPUTED_VALUE"""),0.5)</f>
        <v>0.5</v>
      </c>
    </row>
    <row r="108" spans="1:4" ht="13.2">
      <c r="A108" s="16">
        <f ca="1">IFERROR(__xludf.DUMMYFUNCTION("""COMPUTED_VALUE"""),7)</f>
        <v>7</v>
      </c>
      <c r="B108" t="str">
        <f ca="1">IFERROR(__xludf.DUMMYFUNCTION("""COMPUTED_VALUE"""),"Block and tackle")</f>
        <v>Block and tackle</v>
      </c>
      <c r="C108" s="16" t="str">
        <f ca="1">IFERROR(__xludf.DUMMYFUNCTION("""COMPUTED_VALUE"""),"Adventure")</f>
        <v>Adventure</v>
      </c>
      <c r="D108" s="254">
        <f ca="1">IFERROR(__xludf.DUMMYFUNCTION("""COMPUTED_VALUE"""),5)</f>
        <v>5</v>
      </c>
    </row>
    <row r="109" spans="1:4" ht="13.2">
      <c r="A109" s="16">
        <f ca="1">IFERROR(__xludf.DUMMYFUNCTION("""COMPUTED_VALUE"""),8)</f>
        <v>8</v>
      </c>
      <c r="B109" t="str">
        <f ca="1">IFERROR(__xludf.DUMMYFUNCTION("""COMPUTED_VALUE"""),"Bottle, wine, glass")</f>
        <v>Bottle, wine, glass</v>
      </c>
      <c r="C109" s="16" t="str">
        <f ca="1">IFERROR(__xludf.DUMMYFUNCTION("""COMPUTED_VALUE"""),"Adventure")</f>
        <v>Adventure</v>
      </c>
      <c r="D109" s="254">
        <f ca="1">IFERROR(__xludf.DUMMYFUNCTION("""COMPUTED_VALUE"""),2)</f>
        <v>2</v>
      </c>
    </row>
    <row r="110" spans="1:4" ht="13.2">
      <c r="A110" s="16">
        <f ca="1">IFERROR(__xludf.DUMMYFUNCTION("""COMPUTED_VALUE"""),9)</f>
        <v>9</v>
      </c>
      <c r="B110" t="str">
        <f ca="1">IFERROR(__xludf.DUMMYFUNCTION("""COMPUTED_VALUE"""),"Bucket (empty)")</f>
        <v>Bucket (empty)</v>
      </c>
      <c r="C110" s="16" t="str">
        <f ca="1">IFERROR(__xludf.DUMMYFUNCTION("""COMPUTED_VALUE"""),"Adventure")</f>
        <v>Adventure</v>
      </c>
      <c r="D110" s="254">
        <f ca="1">IFERROR(__xludf.DUMMYFUNCTION("""COMPUTED_VALUE"""),0.05)</f>
        <v>0.05</v>
      </c>
    </row>
    <row r="111" spans="1:4" ht="13.2">
      <c r="A111" s="16">
        <f ca="1">IFERROR(__xludf.DUMMYFUNCTION("""COMPUTED_VALUE"""),10)</f>
        <v>10</v>
      </c>
      <c r="B111" t="str">
        <f ca="1">IFERROR(__xludf.DUMMYFUNCTION("""COMPUTED_VALUE"""),"Caltrops")</f>
        <v>Caltrops</v>
      </c>
      <c r="C111" s="16" t="str">
        <f ca="1">IFERROR(__xludf.DUMMYFUNCTION("""COMPUTED_VALUE"""),"Adventure")</f>
        <v>Adventure</v>
      </c>
      <c r="D111" s="254">
        <f ca="1">IFERROR(__xludf.DUMMYFUNCTION("""COMPUTED_VALUE"""),0.1)</f>
        <v>0.1</v>
      </c>
    </row>
    <row r="112" spans="1:4" ht="13.2">
      <c r="A112" s="16">
        <f ca="1">IFERROR(__xludf.DUMMYFUNCTION("""COMPUTED_VALUE"""),11)</f>
        <v>11</v>
      </c>
      <c r="B112" t="str">
        <f ca="1">IFERROR(__xludf.DUMMYFUNCTION("""COMPUTED_VALUE"""),"Candle")</f>
        <v>Candle</v>
      </c>
      <c r="C112" s="16" t="str">
        <f ca="1">IFERROR(__xludf.DUMMYFUNCTION("""COMPUTED_VALUE"""),"Adventure")</f>
        <v>Adventure</v>
      </c>
      <c r="D112" s="254">
        <f ca="1">IFERROR(__xludf.DUMMYFUNCTION("""COMPUTED_VALUE"""),0.1)</f>
        <v>0.1</v>
      </c>
    </row>
    <row r="113" spans="1:4" ht="13.2">
      <c r="A113" s="16">
        <f ca="1">IFERROR(__xludf.DUMMYFUNCTION("""COMPUTED_VALUE"""),12)</f>
        <v>12</v>
      </c>
      <c r="B113" t="str">
        <f ca="1">IFERROR(__xludf.DUMMYFUNCTION("""COMPUTED_VALUE"""),"Canvas (sq. yd.)")</f>
        <v>Canvas (sq. yd.)</v>
      </c>
      <c r="C113" s="16" t="str">
        <f ca="1">IFERROR(__xludf.DUMMYFUNCTION("""COMPUTED_VALUE"""),"Adventure")</f>
        <v>Adventure</v>
      </c>
      <c r="D113" s="254">
        <f ca="1">IFERROR(__xludf.DUMMYFUNCTION("""COMPUTED_VALUE"""),0.1)</f>
        <v>0.1</v>
      </c>
    </row>
    <row r="114" spans="1:4" ht="13.2">
      <c r="A114" s="16">
        <f ca="1">IFERROR(__xludf.DUMMYFUNCTION("""COMPUTED_VALUE"""),13)</f>
        <v>13</v>
      </c>
      <c r="B114" t="str">
        <f ca="1">IFERROR(__xludf.DUMMYFUNCTION("""COMPUTED_VALUE"""),"Case, map or scroll")</f>
        <v>Case, map or scroll</v>
      </c>
      <c r="C114" s="16" t="str">
        <f ca="1">IFERROR(__xludf.DUMMYFUNCTION("""COMPUTED_VALUE"""),"Adventure")</f>
        <v>Adventure</v>
      </c>
      <c r="D114" s="254">
        <f ca="1">IFERROR(__xludf.DUMMYFUNCTION("""COMPUTED_VALUE"""),1)</f>
        <v>1</v>
      </c>
    </row>
    <row r="115" spans="1:4" ht="13.2">
      <c r="A115" s="16">
        <f ca="1">IFERROR(__xludf.DUMMYFUNCTION("""COMPUTED_VALUE"""),14)</f>
        <v>14</v>
      </c>
      <c r="B115" t="str">
        <f ca="1">IFERROR(__xludf.DUMMYFUNCTION("""COMPUTED_VALUE"""),"Chain (10 ft.)")</f>
        <v>Chain (10 ft.)</v>
      </c>
      <c r="C115" s="16" t="str">
        <f ca="1">IFERROR(__xludf.DUMMYFUNCTION("""COMPUTED_VALUE"""),"Adventure")</f>
        <v>Adventure</v>
      </c>
      <c r="D115" s="254">
        <f ca="1">IFERROR(__xludf.DUMMYFUNCTION("""COMPUTED_VALUE"""),30)</f>
        <v>30</v>
      </c>
    </row>
    <row r="116" spans="1:4" ht="13.2">
      <c r="A116" s="16">
        <f ca="1">IFERROR(__xludf.DUMMYFUNCTION("""COMPUTED_VALUE"""),15)</f>
        <v>15</v>
      </c>
      <c r="B116" t="str">
        <f ca="1">IFERROR(__xludf.DUMMYFUNCTION("""COMPUTED_VALUE"""),"Chalk, 1 piece")</f>
        <v>Chalk, 1 piece</v>
      </c>
      <c r="C116" s="16" t="str">
        <f ca="1">IFERROR(__xludf.DUMMYFUNCTION("""COMPUTED_VALUE"""),"Adventure")</f>
        <v>Adventure</v>
      </c>
      <c r="D116" s="254">
        <f ca="1">IFERROR(__xludf.DUMMYFUNCTION("""COMPUTED_VALUE"""),0.01)</f>
        <v>0.01</v>
      </c>
    </row>
    <row r="117" spans="1:4" ht="13.2">
      <c r="A117" s="16">
        <f ca="1">IFERROR(__xludf.DUMMYFUNCTION("""COMPUTED_VALUE"""),16)</f>
        <v>16</v>
      </c>
      <c r="B117" t="str">
        <f ca="1">IFERROR(__xludf.DUMMYFUNCTION("""COMPUTED_VALUE"""),"Chest (empty)")</f>
        <v>Chest (empty)</v>
      </c>
      <c r="C117" s="16" t="str">
        <f ca="1">IFERROR(__xludf.DUMMYFUNCTION("""COMPUTED_VALUE"""),"Adventure")</f>
        <v>Adventure</v>
      </c>
      <c r="D117" s="254">
        <f ca="1">IFERROR(__xludf.DUMMYFUNCTION("""COMPUTED_VALUE"""),2)</f>
        <v>2</v>
      </c>
    </row>
    <row r="118" spans="1:4" ht="13.2">
      <c r="A118" s="16">
        <f ca="1">IFERROR(__xludf.DUMMYFUNCTION("""COMPUTED_VALUE"""),17)</f>
        <v>17</v>
      </c>
      <c r="B118" t="str">
        <f ca="1">IFERROR(__xludf.DUMMYFUNCTION("""COMPUTED_VALUE"""),"Crowbar")</f>
        <v>Crowbar</v>
      </c>
      <c r="C118" s="16" t="str">
        <f ca="1">IFERROR(__xludf.DUMMYFUNCTION("""COMPUTED_VALUE"""),"Adventure")</f>
        <v>Adventure</v>
      </c>
      <c r="D118" s="254">
        <f ca="1">IFERROR(__xludf.DUMMYFUNCTION("""COMPUTED_VALUE"""),2)</f>
        <v>2</v>
      </c>
    </row>
    <row r="119" spans="1:4" ht="13.2">
      <c r="A119" s="16">
        <f ca="1">IFERROR(__xludf.DUMMYFUNCTION("""COMPUTED_VALUE"""),18)</f>
        <v>18</v>
      </c>
      <c r="B119" t="str">
        <f ca="1">IFERROR(__xludf.DUMMYFUNCTION("""COMPUTED_VALUE"""),"Firewood (per day)")</f>
        <v>Firewood (per day)</v>
      </c>
      <c r="C119" s="16" t="str">
        <f ca="1">IFERROR(__xludf.DUMMYFUNCTION("""COMPUTED_VALUE"""),"Adventure")</f>
        <v>Adventure</v>
      </c>
      <c r="D119" s="254">
        <f ca="1">IFERROR(__xludf.DUMMYFUNCTION("""COMPUTED_VALUE"""),0.01)</f>
        <v>0.01</v>
      </c>
    </row>
    <row r="120" spans="1:4" ht="13.2">
      <c r="A120" s="16">
        <f ca="1">IFERROR(__xludf.DUMMYFUNCTION("""COMPUTED_VALUE"""),19)</f>
        <v>19</v>
      </c>
      <c r="B120" t="str">
        <f ca="1">IFERROR(__xludf.DUMMYFUNCTION("""COMPUTED_VALUE"""),"Fishhook")</f>
        <v>Fishhook</v>
      </c>
      <c r="C120" s="16" t="str">
        <f ca="1">IFERROR(__xludf.DUMMYFUNCTION("""COMPUTED_VALUE"""),"Adventure")</f>
        <v>Adventure</v>
      </c>
      <c r="D120" s="254">
        <f ca="1">IFERROR(__xludf.DUMMYFUNCTION("""COMPUTED_VALUE"""),0.1)</f>
        <v>0.1</v>
      </c>
    </row>
    <row r="121" spans="1:4" ht="13.2">
      <c r="A121" s="16">
        <f ca="1">IFERROR(__xludf.DUMMYFUNCTION("""COMPUTED_VALUE"""),20)</f>
        <v>20</v>
      </c>
      <c r="B121" t="str">
        <f ca="1">IFERROR(__xludf.DUMMYFUNCTION("""COMPUTED_VALUE"""),"Fishing net, 25 sq. ft.")</f>
        <v>Fishing net, 25 sq. ft.</v>
      </c>
      <c r="C121" s="16" t="str">
        <f ca="1">IFERROR(__xludf.DUMMYFUNCTION("""COMPUTED_VALUE"""),"Adventure")</f>
        <v>Adventure</v>
      </c>
      <c r="D121" s="254">
        <f ca="1">IFERROR(__xludf.DUMMYFUNCTION("""COMPUTED_VALUE"""),4)</f>
        <v>4</v>
      </c>
    </row>
    <row r="122" spans="1:4" ht="13.2">
      <c r="A122" s="16">
        <f ca="1">IFERROR(__xludf.DUMMYFUNCTION("""COMPUTED_VALUE"""),21)</f>
        <v>21</v>
      </c>
      <c r="B122" t="str">
        <f ca="1">IFERROR(__xludf.DUMMYFUNCTION("""COMPUTED_VALUE"""),"Flask (empty)")</f>
        <v>Flask (empty)</v>
      </c>
      <c r="C122" s="16" t="str">
        <f ca="1">IFERROR(__xludf.DUMMYFUNCTION("""COMPUTED_VALUE"""),"Adventure")</f>
        <v>Adventure</v>
      </c>
      <c r="D122" s="254">
        <f ca="1">IFERROR(__xludf.DUMMYFUNCTION("""COMPUTED_VALUE"""),0.03)</f>
        <v>0.03</v>
      </c>
    </row>
    <row r="123" spans="1:4" ht="13.2">
      <c r="A123" s="16">
        <f ca="1">IFERROR(__xludf.DUMMYFUNCTION("""COMPUTED_VALUE"""),22)</f>
        <v>22</v>
      </c>
      <c r="B123" t="str">
        <f ca="1">IFERROR(__xludf.DUMMYFUNCTION("""COMPUTED_VALUE"""),"Flint and steel")</f>
        <v>Flint and steel</v>
      </c>
      <c r="C123" s="16" t="str">
        <f ca="1">IFERROR(__xludf.DUMMYFUNCTION("""COMPUTED_VALUE"""),"Adventure")</f>
        <v>Adventure</v>
      </c>
      <c r="D123" s="254">
        <f ca="1">IFERROR(__xludf.DUMMYFUNCTION("""COMPUTED_VALUE"""),1)</f>
        <v>1</v>
      </c>
    </row>
    <row r="124" spans="1:4" ht="13.2">
      <c r="A124" s="16">
        <f ca="1">IFERROR(__xludf.DUMMYFUNCTION("""COMPUTED_VALUE"""),23)</f>
        <v>23</v>
      </c>
      <c r="B124" t="str">
        <f ca="1">IFERROR(__xludf.DUMMYFUNCTION("""COMPUTED_VALUE"""),"Grappling hook")</f>
        <v>Grappling hook</v>
      </c>
      <c r="C124" s="16" t="str">
        <f ca="1">IFERROR(__xludf.DUMMYFUNCTION("""COMPUTED_VALUE"""),"Adventure")</f>
        <v>Adventure</v>
      </c>
      <c r="D124" s="254">
        <f ca="1">IFERROR(__xludf.DUMMYFUNCTION("""COMPUTED_VALUE"""),1)</f>
        <v>1</v>
      </c>
    </row>
    <row r="125" spans="1:4" ht="13.2">
      <c r="A125" s="16">
        <f ca="1">IFERROR(__xludf.DUMMYFUNCTION("""COMPUTED_VALUE"""),24)</f>
        <v>24</v>
      </c>
      <c r="B125" t="str">
        <f ca="1">IFERROR(__xludf.DUMMYFUNCTION("""COMPUTED_VALUE"""),"Hammer")</f>
        <v>Hammer</v>
      </c>
      <c r="C125" s="16" t="str">
        <f ca="1">IFERROR(__xludf.DUMMYFUNCTION("""COMPUTED_VALUE"""),"Adventure")</f>
        <v>Adventure</v>
      </c>
      <c r="D125" s="254">
        <f ca="1">IFERROR(__xludf.DUMMYFUNCTION("""COMPUTED_VALUE"""),0.5)</f>
        <v>0.5</v>
      </c>
    </row>
    <row r="126" spans="1:4" ht="13.2">
      <c r="A126" s="16">
        <f ca="1">IFERROR(__xludf.DUMMYFUNCTION("""COMPUTED_VALUE"""),25)</f>
        <v>25</v>
      </c>
      <c r="B126" t="str">
        <f ca="1">IFERROR(__xludf.DUMMYFUNCTION("""COMPUTED_VALUE"""),"Ink (1 oz. vial)")</f>
        <v>Ink (1 oz. vial)</v>
      </c>
      <c r="C126" s="16" t="str">
        <f ca="1">IFERROR(__xludf.DUMMYFUNCTION("""COMPUTED_VALUE"""),"Adventure")</f>
        <v>Adventure</v>
      </c>
      <c r="D126" s="254">
        <f ca="1">IFERROR(__xludf.DUMMYFUNCTION("""COMPUTED_VALUE"""),8)</f>
        <v>8</v>
      </c>
    </row>
    <row r="127" spans="1:4" ht="13.2">
      <c r="A127" s="16">
        <f ca="1">IFERROR(__xludf.DUMMYFUNCTION("""COMPUTED_VALUE"""),26)</f>
        <v>26</v>
      </c>
      <c r="B127" t="str">
        <f ca="1">IFERROR(__xludf.DUMMYFUNCTION("""COMPUTED_VALUE"""),"Inkpen")</f>
        <v>Inkpen</v>
      </c>
      <c r="C127" s="16" t="str">
        <f ca="1">IFERROR(__xludf.DUMMYFUNCTION("""COMPUTED_VALUE"""),"Adventure")</f>
        <v>Adventure</v>
      </c>
      <c r="D127" s="254">
        <f ca="1">IFERROR(__xludf.DUMMYFUNCTION("""COMPUTED_VALUE"""),0.1)</f>
        <v>0.1</v>
      </c>
    </row>
    <row r="128" spans="1:4" ht="13.2">
      <c r="A128" s="16">
        <f ca="1">IFERROR(__xludf.DUMMYFUNCTION("""COMPUTED_VALUE"""),27)</f>
        <v>27</v>
      </c>
      <c r="B128" t="str">
        <f ca="1">IFERROR(__xludf.DUMMYFUNCTION("""COMPUTED_VALUE"""),"Jug, clay")</f>
        <v>Jug, clay</v>
      </c>
      <c r="C128" s="16" t="str">
        <f ca="1">IFERROR(__xludf.DUMMYFUNCTION("""COMPUTED_VALUE"""),"Adventure")</f>
        <v>Adventure</v>
      </c>
      <c r="D128" s="254">
        <f ca="1">IFERROR(__xludf.DUMMYFUNCTION("""COMPUTED_VALUE"""),0.04)</f>
        <v>0.04</v>
      </c>
    </row>
    <row r="129" spans="1:4" ht="13.2">
      <c r="A129" s="16">
        <f ca="1">IFERROR(__xludf.DUMMYFUNCTION("""COMPUTED_VALUE"""),28)</f>
        <v>28</v>
      </c>
      <c r="B129" t="str">
        <f ca="1">IFERROR(__xludf.DUMMYFUNCTION("""COMPUTED_VALUE"""),"Ladder, 10-foot")</f>
        <v>Ladder, 10-foot</v>
      </c>
      <c r="C129" s="16" t="str">
        <f ca="1">IFERROR(__xludf.DUMMYFUNCTION("""COMPUTED_VALUE"""),"Adventure")</f>
        <v>Adventure</v>
      </c>
      <c r="D129" s="254">
        <f ca="1">IFERROR(__xludf.DUMMYFUNCTION("""COMPUTED_VALUE"""),0.05)</f>
        <v>0.05</v>
      </c>
    </row>
    <row r="130" spans="1:4" ht="13.2">
      <c r="A130" s="16">
        <f ca="1">IFERROR(__xludf.DUMMYFUNCTION("""COMPUTED_VALUE"""),29)</f>
        <v>29</v>
      </c>
      <c r="B130" t="str">
        <f ca="1">IFERROR(__xludf.DUMMYFUNCTION("""COMPUTED_VALUE"""),"Lamp, common")</f>
        <v>Lamp, common</v>
      </c>
      <c r="C130" s="16" t="str">
        <f ca="1">IFERROR(__xludf.DUMMYFUNCTION("""COMPUTED_VALUE"""),"Adventure")</f>
        <v>Adventure</v>
      </c>
      <c r="D130" s="254">
        <f ca="1">IFERROR(__xludf.DUMMYFUNCTION("""COMPUTED_VALUE"""),0.1)</f>
        <v>0.1</v>
      </c>
    </row>
    <row r="131" spans="1:4" ht="13.2">
      <c r="A131" s="16">
        <f ca="1">IFERROR(__xludf.DUMMYFUNCTION("""COMPUTED_VALUE"""),30)</f>
        <v>30</v>
      </c>
      <c r="B131" t="str">
        <f ca="1">IFERROR(__xludf.DUMMYFUNCTION("""COMPUTED_VALUE"""),"Lantern, bullseye")</f>
        <v>Lantern, bullseye</v>
      </c>
      <c r="C131" s="16" t="str">
        <f ca="1">IFERROR(__xludf.DUMMYFUNCTION("""COMPUTED_VALUE"""),"Adventure")</f>
        <v>Adventure</v>
      </c>
      <c r="D131" s="254">
        <f ca="1">IFERROR(__xludf.DUMMYFUNCTION("""COMPUTED_VALUE"""),12)</f>
        <v>12</v>
      </c>
    </row>
    <row r="132" spans="1:4" ht="13.2">
      <c r="A132" s="16">
        <f ca="1">IFERROR(__xludf.DUMMYFUNCTION("""COMPUTED_VALUE"""),31)</f>
        <v>31</v>
      </c>
      <c r="B132" t="str">
        <f ca="1">IFERROR(__xludf.DUMMYFUNCTION("""COMPUTED_VALUE"""),"Lantern, hooded")</f>
        <v>Lantern, hooded</v>
      </c>
      <c r="C132" s="16" t="str">
        <f ca="1">IFERROR(__xludf.DUMMYFUNCTION("""COMPUTED_VALUE"""),"Adventure")</f>
        <v>Adventure</v>
      </c>
      <c r="D132" s="254">
        <f ca="1">IFERROR(__xludf.DUMMYFUNCTION("""COMPUTED_VALUE"""),7)</f>
        <v>7</v>
      </c>
    </row>
    <row r="133" spans="1:4" ht="13.2">
      <c r="A133" s="16">
        <f ca="1">IFERROR(__xludf.DUMMYFUNCTION("""COMPUTED_VALUE"""),33)</f>
        <v>33</v>
      </c>
      <c r="B133" t="str">
        <f ca="1">IFERROR(__xludf.DUMMYFUNCTION("""COMPUTED_VALUE"""),"Lock - Very simple")</f>
        <v>Lock - Very simple</v>
      </c>
      <c r="C133" s="16" t="str">
        <f ca="1">IFERROR(__xludf.DUMMYFUNCTION("""COMPUTED_VALUE"""),"Adventure")</f>
        <v>Adventure</v>
      </c>
      <c r="D133" s="254">
        <f ca="1">IFERROR(__xludf.DUMMYFUNCTION("""COMPUTED_VALUE"""),20)</f>
        <v>20</v>
      </c>
    </row>
    <row r="134" spans="1:4" ht="13.2">
      <c r="A134" s="16">
        <f ca="1">IFERROR(__xludf.DUMMYFUNCTION("""COMPUTED_VALUE"""),34)</f>
        <v>34</v>
      </c>
      <c r="B134" t="str">
        <f ca="1">IFERROR(__xludf.DUMMYFUNCTION("""COMPUTED_VALUE"""),"Lock - Average")</f>
        <v>Lock - Average</v>
      </c>
      <c r="C134" s="16" t="str">
        <f ca="1">IFERROR(__xludf.DUMMYFUNCTION("""COMPUTED_VALUE"""),"Adventure")</f>
        <v>Adventure</v>
      </c>
      <c r="D134" s="254">
        <f ca="1">IFERROR(__xludf.DUMMYFUNCTION("""COMPUTED_VALUE"""),40)</f>
        <v>40</v>
      </c>
    </row>
    <row r="135" spans="1:4" ht="13.2">
      <c r="A135" s="16">
        <f ca="1">IFERROR(__xludf.DUMMYFUNCTION("""COMPUTED_VALUE"""),35)</f>
        <v>35</v>
      </c>
      <c r="B135" t="str">
        <f ca="1">IFERROR(__xludf.DUMMYFUNCTION("""COMPUTED_VALUE"""),"Lock - Good")</f>
        <v>Lock - Good</v>
      </c>
      <c r="C135" s="16" t="str">
        <f ca="1">IFERROR(__xludf.DUMMYFUNCTION("""COMPUTED_VALUE"""),"Adventure")</f>
        <v>Adventure</v>
      </c>
      <c r="D135" s="254">
        <f ca="1">IFERROR(__xludf.DUMMYFUNCTION("""COMPUTED_VALUE"""),80)</f>
        <v>80</v>
      </c>
    </row>
    <row r="136" spans="1:4" ht="13.2">
      <c r="A136" s="16">
        <f ca="1">IFERROR(__xludf.DUMMYFUNCTION("""COMPUTED_VALUE"""),36)</f>
        <v>36</v>
      </c>
      <c r="B136" t="str">
        <f ca="1">IFERROR(__xludf.DUMMYFUNCTION("""COMPUTED_VALUE"""),"Lock - Amazing")</f>
        <v>Lock - Amazing</v>
      </c>
      <c r="C136" s="16" t="str">
        <f ca="1">IFERROR(__xludf.DUMMYFUNCTION("""COMPUTED_VALUE"""),"Adventure")</f>
        <v>Adventure</v>
      </c>
      <c r="D136" s="254">
        <f ca="1">IFERROR(__xludf.DUMMYFUNCTION("""COMPUTED_VALUE"""),150)</f>
        <v>150</v>
      </c>
    </row>
    <row r="137" spans="1:4" ht="13.2">
      <c r="A137" s="16">
        <f ca="1">IFERROR(__xludf.DUMMYFUNCTION("""COMPUTED_VALUE"""),37)</f>
        <v>37</v>
      </c>
      <c r="B137" t="str">
        <f ca="1">IFERROR(__xludf.DUMMYFUNCTION("""COMPUTED_VALUE"""),"Manacles")</f>
        <v>Manacles</v>
      </c>
      <c r="C137" s="16" t="str">
        <f ca="1">IFERROR(__xludf.DUMMYFUNCTION("""COMPUTED_VALUE"""),"Adventure")</f>
        <v>Adventure</v>
      </c>
      <c r="D137" s="254">
        <f ca="1">IFERROR(__xludf.DUMMYFUNCTION("""COMPUTED_VALUE"""),15)</f>
        <v>15</v>
      </c>
    </row>
    <row r="138" spans="1:4" ht="13.2">
      <c r="A138" s="16">
        <f ca="1">IFERROR(__xludf.DUMMYFUNCTION("""COMPUTED_VALUE"""),38)</f>
        <v>38</v>
      </c>
      <c r="B138" t="str">
        <f ca="1">IFERROR(__xludf.DUMMYFUNCTION("""COMPUTED_VALUE"""),"Manacles, masterwork")</f>
        <v>Manacles, masterwork</v>
      </c>
      <c r="C138" s="16" t="str">
        <f ca="1">IFERROR(__xludf.DUMMYFUNCTION("""COMPUTED_VALUE"""),"Adventure")</f>
        <v>Adventure</v>
      </c>
      <c r="D138" s="254">
        <f ca="1">IFERROR(__xludf.DUMMYFUNCTION("""COMPUTED_VALUE"""),50)</f>
        <v>50</v>
      </c>
    </row>
    <row r="139" spans="1:4" ht="13.2">
      <c r="A139" s="16">
        <f ca="1">IFERROR(__xludf.DUMMYFUNCTION("""COMPUTED_VALUE"""),39)</f>
        <v>39</v>
      </c>
      <c r="B139" t="str">
        <f ca="1">IFERROR(__xludf.DUMMYFUNCTION("""COMPUTED_VALUE"""),"Mirror, small steel")</f>
        <v>Mirror, small steel</v>
      </c>
      <c r="C139" s="16" t="str">
        <f ca="1">IFERROR(__xludf.DUMMYFUNCTION("""COMPUTED_VALUE"""),"Adventure")</f>
        <v>Adventure</v>
      </c>
      <c r="D139" s="254">
        <f ca="1">IFERROR(__xludf.DUMMYFUNCTION("""COMPUTED_VALUE"""),10)</f>
        <v>10</v>
      </c>
    </row>
    <row r="140" spans="1:4" ht="13.2">
      <c r="A140" s="16">
        <f ca="1">IFERROR(__xludf.DUMMYFUNCTION("""COMPUTED_VALUE"""),40)</f>
        <v>40</v>
      </c>
      <c r="B140" t="str">
        <f ca="1">IFERROR(__xludf.DUMMYFUNCTION("""COMPUTED_VALUE"""),"Mug/Tankard, clay")</f>
        <v>Mug/Tankard, clay</v>
      </c>
      <c r="C140" s="16" t="str">
        <f ca="1">IFERROR(__xludf.DUMMYFUNCTION("""COMPUTED_VALUE"""),"Adventure")</f>
        <v>Adventure</v>
      </c>
      <c r="D140" s="254">
        <f ca="1">IFERROR(__xludf.DUMMYFUNCTION("""COMPUTED_VALUE"""),0.002)</f>
        <v>2E-3</v>
      </c>
    </row>
    <row r="141" spans="1:4" ht="13.2">
      <c r="A141" s="16">
        <f ca="1">IFERROR(__xludf.DUMMYFUNCTION("""COMPUTED_VALUE"""),41)</f>
        <v>41</v>
      </c>
      <c r="B141" t="str">
        <f ca="1">IFERROR(__xludf.DUMMYFUNCTION("""COMPUTED_VALUE"""),"Oil (1-pint flask)")</f>
        <v>Oil (1-pint flask)</v>
      </c>
      <c r="C141" s="16" t="str">
        <f ca="1">IFERROR(__xludf.DUMMYFUNCTION("""COMPUTED_VALUE"""),"Adventure")</f>
        <v>Adventure</v>
      </c>
      <c r="D141" s="254">
        <f ca="1">IFERROR(__xludf.DUMMYFUNCTION("""COMPUTED_VALUE"""),0.1)</f>
        <v>0.1</v>
      </c>
    </row>
    <row r="142" spans="1:4" ht="13.2">
      <c r="A142" s="16">
        <f ca="1">IFERROR(__xludf.DUMMYFUNCTION("""COMPUTED_VALUE"""),42)</f>
        <v>42</v>
      </c>
      <c r="B142" t="str">
        <f ca="1">IFERROR(__xludf.DUMMYFUNCTION("""COMPUTED_VALUE"""),"Paper (sheet)")</f>
        <v>Paper (sheet)</v>
      </c>
      <c r="C142" s="16" t="str">
        <f ca="1">IFERROR(__xludf.DUMMYFUNCTION("""COMPUTED_VALUE"""),"Adventure")</f>
        <v>Adventure</v>
      </c>
      <c r="D142" s="254">
        <f ca="1">IFERROR(__xludf.DUMMYFUNCTION("""COMPUTED_VALUE"""),0.4)</f>
        <v>0.4</v>
      </c>
    </row>
    <row r="143" spans="1:4" ht="13.2">
      <c r="A143" s="16">
        <f ca="1">IFERROR(__xludf.DUMMYFUNCTION("""COMPUTED_VALUE"""),43)</f>
        <v>43</v>
      </c>
      <c r="B143" t="str">
        <f ca="1">IFERROR(__xludf.DUMMYFUNCTION("""COMPUTED_VALUE"""),"Parchment (sheet)")</f>
        <v>Parchment (sheet)</v>
      </c>
      <c r="C143" s="16" t="str">
        <f ca="1">IFERROR(__xludf.DUMMYFUNCTION("""COMPUTED_VALUE"""),"Adventure")</f>
        <v>Adventure</v>
      </c>
      <c r="D143" s="254">
        <f ca="1">IFERROR(__xludf.DUMMYFUNCTION("""COMPUTED_VALUE"""),0.2)</f>
        <v>0.2</v>
      </c>
    </row>
    <row r="144" spans="1:4" ht="13.2">
      <c r="A144" s="16">
        <f ca="1">IFERROR(__xludf.DUMMYFUNCTION("""COMPUTED_VALUE"""),44)</f>
        <v>44</v>
      </c>
      <c r="B144" t="str">
        <f ca="1">IFERROR(__xludf.DUMMYFUNCTION("""COMPUTED_VALUE"""),"Pick, miner’s")</f>
        <v>Pick, miner’s</v>
      </c>
      <c r="C144" s="16" t="str">
        <f ca="1">IFERROR(__xludf.DUMMYFUNCTION("""COMPUTED_VALUE"""),"Adventure")</f>
        <v>Adventure</v>
      </c>
      <c r="D144" s="254">
        <f ca="1">IFERROR(__xludf.DUMMYFUNCTION("""COMPUTED_VALUE"""),3)</f>
        <v>3</v>
      </c>
    </row>
    <row r="145" spans="1:4" ht="13.2">
      <c r="A145" s="16">
        <f ca="1">IFERROR(__xludf.DUMMYFUNCTION("""COMPUTED_VALUE"""),45)</f>
        <v>45</v>
      </c>
      <c r="B145" t="str">
        <f ca="1">IFERROR(__xludf.DUMMYFUNCTION("""COMPUTED_VALUE"""),"Pitcher, clay")</f>
        <v>Pitcher, clay</v>
      </c>
      <c r="C145" s="16" t="str">
        <f ca="1">IFERROR(__xludf.DUMMYFUNCTION("""COMPUTED_VALUE"""),"Adventure")</f>
        <v>Adventure</v>
      </c>
      <c r="D145" s="254">
        <f ca="1">IFERROR(__xludf.DUMMYFUNCTION("""COMPUTED_VALUE"""),0.002)</f>
        <v>2E-3</v>
      </c>
    </row>
    <row r="146" spans="1:4" ht="13.2">
      <c r="A146" s="16">
        <f ca="1">IFERROR(__xludf.DUMMYFUNCTION("""COMPUTED_VALUE"""),46)</f>
        <v>46</v>
      </c>
      <c r="B146" t="str">
        <f ca="1">IFERROR(__xludf.DUMMYFUNCTION("""COMPUTED_VALUE"""),"Piton")</f>
        <v>Piton</v>
      </c>
      <c r="C146" s="16" t="str">
        <f ca="1">IFERROR(__xludf.DUMMYFUNCTION("""COMPUTED_VALUE"""),"Adventure")</f>
        <v>Adventure</v>
      </c>
      <c r="D146" s="254">
        <f ca="1">IFERROR(__xludf.DUMMYFUNCTION("""COMPUTED_VALUE"""),0.1)</f>
        <v>0.1</v>
      </c>
    </row>
    <row r="147" spans="1:4" ht="13.2">
      <c r="A147" s="16">
        <f ca="1">IFERROR(__xludf.DUMMYFUNCTION("""COMPUTED_VALUE"""),47)</f>
        <v>47</v>
      </c>
      <c r="B147" t="str">
        <f ca="1">IFERROR(__xludf.DUMMYFUNCTION("""COMPUTED_VALUE"""),"Pole, 10-foot")</f>
        <v>Pole, 10-foot</v>
      </c>
      <c r="C147" s="16" t="str">
        <f ca="1">IFERROR(__xludf.DUMMYFUNCTION("""COMPUTED_VALUE"""),"Adventure")</f>
        <v>Adventure</v>
      </c>
      <c r="D147" s="254">
        <f ca="1">IFERROR(__xludf.DUMMYFUNCTION("""COMPUTED_VALUE"""),0.02)</f>
        <v>0.02</v>
      </c>
    </row>
    <row r="148" spans="1:4" ht="13.2">
      <c r="A148" s="16">
        <f ca="1">IFERROR(__xludf.DUMMYFUNCTION("""COMPUTED_VALUE"""),48)</f>
        <v>48</v>
      </c>
      <c r="B148" t="str">
        <f ca="1">IFERROR(__xludf.DUMMYFUNCTION("""COMPUTED_VALUE"""),"Pot, iron")</f>
        <v>Pot, iron</v>
      </c>
      <c r="C148" s="16" t="str">
        <f ca="1">IFERROR(__xludf.DUMMYFUNCTION("""COMPUTED_VALUE"""),"Adventure")</f>
        <v>Adventure</v>
      </c>
      <c r="D148" s="254">
        <f ca="1">IFERROR(__xludf.DUMMYFUNCTION("""COMPUTED_VALUE"""),0.05)</f>
        <v>0.05</v>
      </c>
    </row>
    <row r="149" spans="1:4" ht="13.2">
      <c r="A149" s="16">
        <f ca="1">IFERROR(__xludf.DUMMYFUNCTION("""COMPUTED_VALUE"""),49)</f>
        <v>49</v>
      </c>
      <c r="B149" t="str">
        <f ca="1">IFERROR(__xludf.DUMMYFUNCTION("""COMPUTED_VALUE"""),"Pouch, belt (empty)")</f>
        <v>Pouch, belt (empty)</v>
      </c>
      <c r="C149" s="16" t="str">
        <f ca="1">IFERROR(__xludf.DUMMYFUNCTION("""COMPUTED_VALUE"""),"Adventure")</f>
        <v>Adventure</v>
      </c>
      <c r="D149" s="254">
        <f ca="1">IFERROR(__xludf.DUMMYFUNCTION("""COMPUTED_VALUE"""),1)</f>
        <v>1</v>
      </c>
    </row>
    <row r="150" spans="1:4" ht="13.2">
      <c r="A150" s="16">
        <f ca="1">IFERROR(__xludf.DUMMYFUNCTION("""COMPUTED_VALUE"""),50)</f>
        <v>50</v>
      </c>
      <c r="B150" t="str">
        <f ca="1">IFERROR(__xludf.DUMMYFUNCTION("""COMPUTED_VALUE"""),"Ram, portable")</f>
        <v>Ram, portable</v>
      </c>
      <c r="C150" s="16" t="str">
        <f ca="1">IFERROR(__xludf.DUMMYFUNCTION("""COMPUTED_VALUE"""),"Adventure")</f>
        <v>Adventure</v>
      </c>
      <c r="D150" s="254">
        <f ca="1">IFERROR(__xludf.DUMMYFUNCTION("""COMPUTED_VALUE"""),10)</f>
        <v>10</v>
      </c>
    </row>
    <row r="151" spans="1:4" ht="13.2">
      <c r="A151" s="16">
        <f ca="1">IFERROR(__xludf.DUMMYFUNCTION("""COMPUTED_VALUE"""),51)</f>
        <v>51</v>
      </c>
      <c r="B151" t="str">
        <f ca="1">IFERROR(__xludf.DUMMYFUNCTION("""COMPUTED_VALUE"""),"Rations, trail (per day)")</f>
        <v>Rations, trail (per day)</v>
      </c>
      <c r="C151" s="16" t="str">
        <f ca="1">IFERROR(__xludf.DUMMYFUNCTION("""COMPUTED_VALUE"""),"Adventure")</f>
        <v>Adventure</v>
      </c>
      <c r="D151" s="254">
        <f ca="1">IFERROR(__xludf.DUMMYFUNCTION("""COMPUTED_VALUE"""),0.05)</f>
        <v>0.05</v>
      </c>
    </row>
    <row r="152" spans="1:4" ht="13.2">
      <c r="A152" s="16">
        <f ca="1">IFERROR(__xludf.DUMMYFUNCTION("""COMPUTED_VALUE"""),52)</f>
        <v>52</v>
      </c>
      <c r="B152" t="str">
        <f ca="1">IFERROR(__xludf.DUMMYFUNCTION("""COMPUTED_VALUE"""),"Rope, hempen (50 ft.)")</f>
        <v>Rope, hempen (50 ft.)</v>
      </c>
      <c r="C152" s="16" t="str">
        <f ca="1">IFERROR(__xludf.DUMMYFUNCTION("""COMPUTED_VALUE"""),"Adventure")</f>
        <v>Adventure</v>
      </c>
      <c r="D152" s="254">
        <f ca="1">IFERROR(__xludf.DUMMYFUNCTION("""COMPUTED_VALUE"""),1)</f>
        <v>1</v>
      </c>
    </row>
    <row r="153" spans="1:4" ht="13.2">
      <c r="A153" s="16">
        <f ca="1">IFERROR(__xludf.DUMMYFUNCTION("""COMPUTED_VALUE"""),53)</f>
        <v>53</v>
      </c>
      <c r="B153" t="str">
        <f ca="1">IFERROR(__xludf.DUMMYFUNCTION("""COMPUTED_VALUE"""),"Rope, silk (50 ft.)")</f>
        <v>Rope, silk (50 ft.)</v>
      </c>
      <c r="C153" s="16" t="str">
        <f ca="1">IFERROR(__xludf.DUMMYFUNCTION("""COMPUTED_VALUE"""),"Adventure")</f>
        <v>Adventure</v>
      </c>
      <c r="D153" s="254">
        <f ca="1">IFERROR(__xludf.DUMMYFUNCTION("""COMPUTED_VALUE"""),10)</f>
        <v>10</v>
      </c>
    </row>
    <row r="154" spans="1:4" ht="13.2">
      <c r="A154" s="16">
        <f ca="1">IFERROR(__xludf.DUMMYFUNCTION("""COMPUTED_VALUE"""),54)</f>
        <v>54</v>
      </c>
      <c r="B154" t="str">
        <f ca="1">IFERROR(__xludf.DUMMYFUNCTION("""COMPUTED_VALUE"""),"Sack (empty)")</f>
        <v>Sack (empty)</v>
      </c>
      <c r="C154" s="16" t="str">
        <f ca="1">IFERROR(__xludf.DUMMYFUNCTION("""COMPUTED_VALUE"""),"Adventure")</f>
        <v>Adventure</v>
      </c>
      <c r="D154" s="254">
        <f ca="1">IFERROR(__xludf.DUMMYFUNCTION("""COMPUTED_VALUE"""),0.01)</f>
        <v>0.01</v>
      </c>
    </row>
    <row r="155" spans="1:4" ht="13.2">
      <c r="A155" s="16">
        <f ca="1">IFERROR(__xludf.DUMMYFUNCTION("""COMPUTED_VALUE"""),55)</f>
        <v>55</v>
      </c>
      <c r="B155" t="str">
        <f ca="1">IFERROR(__xludf.DUMMYFUNCTION("""COMPUTED_VALUE"""),"Sealing wax")</f>
        <v>Sealing wax</v>
      </c>
      <c r="C155" s="16" t="str">
        <f ca="1">IFERROR(__xludf.DUMMYFUNCTION("""COMPUTED_VALUE"""),"Adventure")</f>
        <v>Adventure</v>
      </c>
      <c r="D155" s="254">
        <f ca="1">IFERROR(__xludf.DUMMYFUNCTION("""COMPUTED_VALUE"""),1)</f>
        <v>1</v>
      </c>
    </row>
    <row r="156" spans="1:4" ht="13.2">
      <c r="A156" s="16">
        <f ca="1">IFERROR(__xludf.DUMMYFUNCTION("""COMPUTED_VALUE"""),56)</f>
        <v>56</v>
      </c>
      <c r="B156" t="str">
        <f ca="1">IFERROR(__xludf.DUMMYFUNCTION("""COMPUTED_VALUE"""),"Sewing needle")</f>
        <v>Sewing needle</v>
      </c>
      <c r="C156" s="16" t="str">
        <f ca="1">IFERROR(__xludf.DUMMYFUNCTION("""COMPUTED_VALUE"""),"Adventure")</f>
        <v>Adventure</v>
      </c>
      <c r="D156" s="254">
        <f ca="1">IFERROR(__xludf.DUMMYFUNCTION("""COMPUTED_VALUE"""),0.05)</f>
        <v>0.05</v>
      </c>
    </row>
    <row r="157" spans="1:4" ht="13.2">
      <c r="A157" s="16">
        <f ca="1">IFERROR(__xludf.DUMMYFUNCTION("""COMPUTED_VALUE"""),57)</f>
        <v>57</v>
      </c>
      <c r="B157" t="str">
        <f ca="1">IFERROR(__xludf.DUMMYFUNCTION("""COMPUTED_VALUE"""),"Signal whistle")</f>
        <v>Signal whistle</v>
      </c>
      <c r="C157" s="16" t="str">
        <f ca="1">IFERROR(__xludf.DUMMYFUNCTION("""COMPUTED_VALUE"""),"Adventure")</f>
        <v>Adventure</v>
      </c>
      <c r="D157" s="254">
        <f ca="1">IFERROR(__xludf.DUMMYFUNCTION("""COMPUTED_VALUE"""),0.08)</f>
        <v>0.08</v>
      </c>
    </row>
    <row r="158" spans="1:4" ht="13.2">
      <c r="A158" s="16">
        <f ca="1">IFERROR(__xludf.DUMMYFUNCTION("""COMPUTED_VALUE"""),58)</f>
        <v>58</v>
      </c>
      <c r="B158" t="str">
        <f ca="1">IFERROR(__xludf.DUMMYFUNCTION("""COMPUTED_VALUE"""),"Signet ring")</f>
        <v>Signet ring</v>
      </c>
      <c r="C158" s="16" t="str">
        <f ca="1">IFERROR(__xludf.DUMMYFUNCTION("""COMPUTED_VALUE"""),"Adventure")</f>
        <v>Adventure</v>
      </c>
      <c r="D158" s="254">
        <f ca="1">IFERROR(__xludf.DUMMYFUNCTION("""COMPUTED_VALUE"""),5)</f>
        <v>5</v>
      </c>
    </row>
    <row r="159" spans="1:4" ht="13.2">
      <c r="A159" s="16">
        <f ca="1">IFERROR(__xludf.DUMMYFUNCTION("""COMPUTED_VALUE"""),59)</f>
        <v>59</v>
      </c>
      <c r="B159" t="str">
        <f ca="1">IFERROR(__xludf.DUMMYFUNCTION("""COMPUTED_VALUE"""),"Sledge")</f>
        <v>Sledge</v>
      </c>
      <c r="C159" s="16" t="str">
        <f ca="1">IFERROR(__xludf.DUMMYFUNCTION("""COMPUTED_VALUE"""),"Adventure")</f>
        <v>Adventure</v>
      </c>
      <c r="D159" s="254">
        <f ca="1">IFERROR(__xludf.DUMMYFUNCTION("""COMPUTED_VALUE"""),1)</f>
        <v>1</v>
      </c>
    </row>
    <row r="160" spans="1:4" ht="13.2">
      <c r="A160" s="16">
        <f ca="1">IFERROR(__xludf.DUMMYFUNCTION("""COMPUTED_VALUE"""),60)</f>
        <v>60</v>
      </c>
      <c r="B160" t="str">
        <f ca="1">IFERROR(__xludf.DUMMYFUNCTION("""COMPUTED_VALUE"""),"Soap (per lb.)")</f>
        <v>Soap (per lb.)</v>
      </c>
      <c r="C160" s="16" t="str">
        <f ca="1">IFERROR(__xludf.DUMMYFUNCTION("""COMPUTED_VALUE"""),"Adventure")</f>
        <v>Adventure</v>
      </c>
      <c r="D160" s="254">
        <f ca="1">IFERROR(__xludf.DUMMYFUNCTION("""COMPUTED_VALUE"""),0.05)</f>
        <v>0.05</v>
      </c>
    </row>
    <row r="161" spans="1:4" ht="13.2">
      <c r="A161" s="16">
        <f ca="1">IFERROR(__xludf.DUMMYFUNCTION("""COMPUTED_VALUE"""),61)</f>
        <v>61</v>
      </c>
      <c r="B161" t="str">
        <f ca="1">IFERROR(__xludf.DUMMYFUNCTION("""COMPUTED_VALUE"""),"Spade or shovel")</f>
        <v>Spade or shovel</v>
      </c>
      <c r="C161" s="16" t="str">
        <f ca="1">IFERROR(__xludf.DUMMYFUNCTION("""COMPUTED_VALUE"""),"Adventure")</f>
        <v>Adventure</v>
      </c>
      <c r="D161" s="254">
        <f ca="1">IFERROR(__xludf.DUMMYFUNCTION("""COMPUTED_VALUE"""),2)</f>
        <v>2</v>
      </c>
    </row>
    <row r="162" spans="1:4" ht="13.2">
      <c r="A162" s="16">
        <f ca="1">IFERROR(__xludf.DUMMYFUNCTION("""COMPUTED_VALUE"""),62)</f>
        <v>62</v>
      </c>
      <c r="B162" t="str">
        <f ca="1">IFERROR(__xludf.DUMMYFUNCTION("""COMPUTED_VALUE"""),"Spyglass")</f>
        <v>Spyglass</v>
      </c>
      <c r="C162" s="16" t="str">
        <f ca="1">IFERROR(__xludf.DUMMYFUNCTION("""COMPUTED_VALUE"""),"Adventure")</f>
        <v>Adventure</v>
      </c>
      <c r="D162" s="254">
        <f ca="1">IFERROR(__xludf.DUMMYFUNCTION("""COMPUTED_VALUE"""),1000)</f>
        <v>1000</v>
      </c>
    </row>
    <row r="163" spans="1:4" ht="13.2">
      <c r="A163" s="16">
        <f ca="1">IFERROR(__xludf.DUMMYFUNCTION("""COMPUTED_VALUE"""),63)</f>
        <v>63</v>
      </c>
      <c r="B163" t="str">
        <f ca="1">IFERROR(__xludf.DUMMYFUNCTION("""COMPUTED_VALUE"""),"Tent")</f>
        <v>Tent</v>
      </c>
      <c r="C163" s="16" t="str">
        <f ca="1">IFERROR(__xludf.DUMMYFUNCTION("""COMPUTED_VALUE"""),"Adventure")</f>
        <v>Adventure</v>
      </c>
      <c r="D163" s="254">
        <f ca="1">IFERROR(__xludf.DUMMYFUNCTION("""COMPUTED_VALUE"""),10)</f>
        <v>10</v>
      </c>
    </row>
    <row r="164" spans="1:4" ht="13.2">
      <c r="A164" s="16">
        <f ca="1">IFERROR(__xludf.DUMMYFUNCTION("""COMPUTED_VALUE"""),64)</f>
        <v>64</v>
      </c>
      <c r="B164" t="str">
        <f ca="1">IFERROR(__xludf.DUMMYFUNCTION("""COMPUTED_VALUE"""),"Torch")</f>
        <v>Torch</v>
      </c>
      <c r="C164" s="16" t="str">
        <f ca="1">IFERROR(__xludf.DUMMYFUNCTION("""COMPUTED_VALUE"""),"Adventure")</f>
        <v>Adventure</v>
      </c>
      <c r="D164" s="254">
        <f ca="1">IFERROR(__xludf.DUMMYFUNCTION("""COMPUTED_VALUE"""),0.001)</f>
        <v>1E-3</v>
      </c>
    </row>
    <row r="165" spans="1:4" ht="13.2">
      <c r="A165" s="16">
        <f ca="1">IFERROR(__xludf.DUMMYFUNCTION("""COMPUTED_VALUE"""),65)</f>
        <v>65</v>
      </c>
      <c r="B165" t="str">
        <f ca="1">IFERROR(__xludf.DUMMYFUNCTION("""COMPUTED_VALUE"""),"Vial, ink or potion")</f>
        <v>Vial, ink or potion</v>
      </c>
      <c r="C165" s="16" t="str">
        <f ca="1">IFERROR(__xludf.DUMMYFUNCTION("""COMPUTED_VALUE"""),"Adventure")</f>
        <v>Adventure</v>
      </c>
      <c r="D165" s="254">
        <f ca="1">IFERROR(__xludf.DUMMYFUNCTION("""COMPUTED_VALUE"""),1)</f>
        <v>1</v>
      </c>
    </row>
    <row r="166" spans="1:4" ht="13.2">
      <c r="A166" s="16">
        <f ca="1">IFERROR(__xludf.DUMMYFUNCTION("""COMPUTED_VALUE"""),66)</f>
        <v>66</v>
      </c>
      <c r="B166" t="str">
        <f ca="1">IFERROR(__xludf.DUMMYFUNCTION("""COMPUTED_VALUE"""),"Waterskin")</f>
        <v>Waterskin</v>
      </c>
      <c r="C166" s="16" t="str">
        <f ca="1">IFERROR(__xludf.DUMMYFUNCTION("""COMPUTED_VALUE"""),"Adventure")</f>
        <v>Adventure</v>
      </c>
      <c r="D166" s="254">
        <f ca="1">IFERROR(__xludf.DUMMYFUNCTION("""COMPUTED_VALUE"""),1)</f>
        <v>1</v>
      </c>
    </row>
    <row r="167" spans="1:4" ht="13.2">
      <c r="A167" s="16">
        <f ca="1">IFERROR(__xludf.DUMMYFUNCTION("""COMPUTED_VALUE"""),67)</f>
        <v>67</v>
      </c>
      <c r="B167" t="str">
        <f ca="1">IFERROR(__xludf.DUMMYFUNCTION("""COMPUTED_VALUE"""),"Whetstone")</f>
        <v>Whetstone</v>
      </c>
      <c r="C167" s="16" t="str">
        <f ca="1">IFERROR(__xludf.DUMMYFUNCTION("""COMPUTED_VALUE"""),"Adventure")</f>
        <v>Adventure</v>
      </c>
      <c r="D167" s="254">
        <f ca="1">IFERROR(__xludf.DUMMYFUNCTION("""COMPUTED_VALUE"""),0.002)</f>
        <v>2E-3</v>
      </c>
    </row>
    <row r="168" spans="1:4" ht="13.2">
      <c r="A168" s="16">
        <f ca="1">IFERROR(__xludf.DUMMYFUNCTION("""COMPUTED_VALUE"""),1)</f>
        <v>1</v>
      </c>
      <c r="B168" t="str">
        <f ca="1">IFERROR(__xludf.DUMMYFUNCTION("""COMPUTED_VALUE"""),"Adamantine armor")</f>
        <v>Adamantine armor</v>
      </c>
      <c r="C168" s="16" t="str">
        <f ca="1">IFERROR(__xludf.DUMMYFUNCTION("""COMPUTED_VALUE"""),"Magic")</f>
        <v>Magic</v>
      </c>
      <c r="D168" s="254">
        <f ca="1">IFERROR(__xludf.DUMMYFUNCTION("""COMPUTED_VALUE"""),378)</f>
        <v>378</v>
      </c>
    </row>
    <row r="169" spans="1:4" ht="13.2">
      <c r="A169" s="16">
        <f ca="1">IFERROR(__xludf.DUMMYFUNCTION("""COMPUTED_VALUE"""),2)</f>
        <v>2</v>
      </c>
      <c r="B169" t="str">
        <f ca="1">IFERROR(__xludf.DUMMYFUNCTION("""COMPUTED_VALUE"""),"Alchemy jug")</f>
        <v>Alchemy jug</v>
      </c>
      <c r="C169" s="16" t="str">
        <f ca="1">IFERROR(__xludf.DUMMYFUNCTION("""COMPUTED_VALUE"""),"Magic")</f>
        <v>Magic</v>
      </c>
      <c r="D169" s="254">
        <f ca="1">IFERROR(__xludf.DUMMYFUNCTION("""COMPUTED_VALUE"""),366)</f>
        <v>366</v>
      </c>
    </row>
    <row r="170" spans="1:4" ht="13.2">
      <c r="A170" s="16">
        <f ca="1">IFERROR(__xludf.DUMMYFUNCTION("""COMPUTED_VALUE"""),3)</f>
        <v>3</v>
      </c>
      <c r="B170" t="str">
        <f ca="1">IFERROR(__xludf.DUMMYFUNCTION("""COMPUTED_VALUE"""),"Ammunition +1")</f>
        <v>Ammunition +1</v>
      </c>
      <c r="C170" s="16" t="str">
        <f ca="1">IFERROR(__xludf.DUMMYFUNCTION("""COMPUTED_VALUE"""),"Magic")</f>
        <v>Magic</v>
      </c>
      <c r="D170" s="254">
        <f ca="1">IFERROR(__xludf.DUMMYFUNCTION("""COMPUTED_VALUE"""),378)</f>
        <v>378</v>
      </c>
    </row>
    <row r="171" spans="1:4" ht="13.2">
      <c r="A171" s="16">
        <f ca="1">IFERROR(__xludf.DUMMYFUNCTION("""COMPUTED_VALUE"""),4)</f>
        <v>4</v>
      </c>
      <c r="B171" t="str">
        <f ca="1">IFERROR(__xludf.DUMMYFUNCTION("""COMPUTED_VALUE"""),"Ammunition +2")</f>
        <v>Ammunition +2</v>
      </c>
      <c r="C171" s="16" t="str">
        <f ca="1">IFERROR(__xludf.DUMMYFUNCTION("""COMPUTED_VALUE"""),"Magic")</f>
        <v>Magic</v>
      </c>
      <c r="D171" s="254">
        <f ca="1">IFERROR(__xludf.DUMMYFUNCTION("""COMPUTED_VALUE"""),919)</f>
        <v>919</v>
      </c>
    </row>
    <row r="172" spans="1:4" ht="13.2">
      <c r="A172" s="16">
        <f ca="1">IFERROR(__xludf.DUMMYFUNCTION("""COMPUTED_VALUE"""),5)</f>
        <v>5</v>
      </c>
      <c r="B172" t="str">
        <f ca="1">IFERROR(__xludf.DUMMYFUNCTION("""COMPUTED_VALUE"""),"Ammunition +3")</f>
        <v>Ammunition +3</v>
      </c>
      <c r="C172" s="16" t="str">
        <f ca="1">IFERROR(__xludf.DUMMYFUNCTION("""COMPUTED_VALUE"""),"Magic")</f>
        <v>Magic</v>
      </c>
      <c r="D172" s="254">
        <f ca="1">IFERROR(__xludf.DUMMYFUNCTION("""COMPUTED_VALUE"""),1576)</f>
        <v>1576</v>
      </c>
    </row>
    <row r="173" spans="1:4" ht="13.2">
      <c r="A173" s="16">
        <f ca="1">IFERROR(__xludf.DUMMYFUNCTION("""COMPUTED_VALUE"""),6)</f>
        <v>6</v>
      </c>
      <c r="B173" t="str">
        <f ca="1">IFERROR(__xludf.DUMMYFUNCTION("""COMPUTED_VALUE"""),"Amulet of health")</f>
        <v>Amulet of health</v>
      </c>
      <c r="C173" s="16" t="str">
        <f ca="1">IFERROR(__xludf.DUMMYFUNCTION("""COMPUTED_VALUE"""),"Magic")</f>
        <v>Magic</v>
      </c>
      <c r="D173" s="254">
        <f ca="1">IFERROR(__xludf.DUMMYFUNCTION("""COMPUTED_VALUE"""),919)</f>
        <v>919</v>
      </c>
    </row>
    <row r="174" spans="1:4" ht="13.2">
      <c r="A174" s="16">
        <f ca="1">IFERROR(__xludf.DUMMYFUNCTION("""COMPUTED_VALUE"""),7)</f>
        <v>7</v>
      </c>
      <c r="B174" t="str">
        <f ca="1">IFERROR(__xludf.DUMMYFUNCTION("""COMPUTED_VALUE"""),"Amulet of proof against detection and location")</f>
        <v>Amulet of proof against detection and location</v>
      </c>
      <c r="C174" s="16" t="str">
        <f ca="1">IFERROR(__xludf.DUMMYFUNCTION("""COMPUTED_VALUE"""),"Magic")</f>
        <v>Magic</v>
      </c>
      <c r="D174" s="254">
        <f ca="1">IFERROR(__xludf.DUMMYFUNCTION("""COMPUTED_VALUE"""),380)</f>
        <v>380</v>
      </c>
    </row>
    <row r="175" spans="1:4" ht="13.2">
      <c r="A175" s="16">
        <f ca="1">IFERROR(__xludf.DUMMYFUNCTION("""COMPUTED_VALUE"""),8)</f>
        <v>8</v>
      </c>
      <c r="B175" t="str">
        <f ca="1">IFERROR(__xludf.DUMMYFUNCTION("""COMPUTED_VALUE"""),"Amulet of the planes")</f>
        <v>Amulet of the planes</v>
      </c>
      <c r="C175" s="16" t="str">
        <f ca="1">IFERROR(__xludf.DUMMYFUNCTION("""COMPUTED_VALUE"""),"Magic")</f>
        <v>Magic</v>
      </c>
      <c r="D175" s="254">
        <f ca="1">IFERROR(__xludf.DUMMYFUNCTION("""COMPUTED_VALUE"""),1556)</f>
        <v>1556</v>
      </c>
    </row>
    <row r="176" spans="1:4" ht="13.2">
      <c r="A176" s="16">
        <f ca="1">IFERROR(__xludf.DUMMYFUNCTION("""COMPUTED_VALUE"""),9)</f>
        <v>9</v>
      </c>
      <c r="B176" t="str">
        <f ca="1">IFERROR(__xludf.DUMMYFUNCTION("""COMPUTED_VALUE"""),"Animated shield")</f>
        <v>Animated shield</v>
      </c>
      <c r="C176" s="16" t="str">
        <f ca="1">IFERROR(__xludf.DUMMYFUNCTION("""COMPUTED_VALUE"""),"Magic")</f>
        <v>Magic</v>
      </c>
      <c r="D176" s="254">
        <f ca="1">IFERROR(__xludf.DUMMYFUNCTION("""COMPUTED_VALUE"""),1580)</f>
        <v>1580</v>
      </c>
    </row>
    <row r="177" spans="1:4" ht="13.2">
      <c r="A177" s="16">
        <f ca="1">IFERROR(__xludf.DUMMYFUNCTION("""COMPUTED_VALUE"""),10)</f>
        <v>10</v>
      </c>
      <c r="B177" t="str">
        <f ca="1">IFERROR(__xludf.DUMMYFUNCTION("""COMPUTED_VALUE"""),"Apparatus of Kwalish")</f>
        <v>Apparatus of Kwalish</v>
      </c>
      <c r="C177" s="16" t="str">
        <f ca="1">IFERROR(__xludf.DUMMYFUNCTION("""COMPUTED_VALUE"""),"Magic")</f>
        <v>Magic</v>
      </c>
      <c r="D177" s="254">
        <f ca="1">IFERROR(__xludf.DUMMYFUNCTION("""COMPUTED_VALUE"""),3020)</f>
        <v>3020</v>
      </c>
    </row>
    <row r="178" spans="1:4" ht="13.2">
      <c r="A178" s="16">
        <f ca="1">IFERROR(__xludf.DUMMYFUNCTION("""COMPUTED_VALUE"""),11)</f>
        <v>11</v>
      </c>
      <c r="B178" t="str">
        <f ca="1">IFERROR(__xludf.DUMMYFUNCTION("""COMPUTED_VALUE"""),"Armor +1")</f>
        <v>Armor +1</v>
      </c>
      <c r="C178" s="16" t="str">
        <f ca="1">IFERROR(__xludf.DUMMYFUNCTION("""COMPUTED_VALUE"""),"Magic")</f>
        <v>Magic</v>
      </c>
      <c r="D178" s="254">
        <f ca="1">IFERROR(__xludf.DUMMYFUNCTION("""COMPUTED_VALUE"""),940)</f>
        <v>940</v>
      </c>
    </row>
    <row r="179" spans="1:4" ht="13.2">
      <c r="A179" s="16">
        <f ca="1">IFERROR(__xludf.DUMMYFUNCTION("""COMPUTED_VALUE"""),12)</f>
        <v>12</v>
      </c>
      <c r="B179" t="str">
        <f ca="1">IFERROR(__xludf.DUMMYFUNCTION("""COMPUTED_VALUE"""),"Armor +2")</f>
        <v>Armor +2</v>
      </c>
      <c r="C179" s="16" t="str">
        <f ca="1">IFERROR(__xludf.DUMMYFUNCTION("""COMPUTED_VALUE"""),"Magic")</f>
        <v>Magic</v>
      </c>
      <c r="D179" s="254">
        <f ca="1">IFERROR(__xludf.DUMMYFUNCTION("""COMPUTED_VALUE"""),1556)</f>
        <v>1556</v>
      </c>
    </row>
    <row r="180" spans="1:4" ht="13.2">
      <c r="A180" s="16">
        <f ca="1">IFERROR(__xludf.DUMMYFUNCTION("""COMPUTED_VALUE"""),13)</f>
        <v>13</v>
      </c>
      <c r="B180" t="str">
        <f ca="1">IFERROR(__xludf.DUMMYFUNCTION("""COMPUTED_VALUE"""),"Armor +3")</f>
        <v>Armor +3</v>
      </c>
      <c r="C180" s="16" t="str">
        <f ca="1">IFERROR(__xludf.DUMMYFUNCTION("""COMPUTED_VALUE"""),"Magic")</f>
        <v>Magic</v>
      </c>
      <c r="D180" s="254">
        <f ca="1">IFERROR(__xludf.DUMMYFUNCTION("""COMPUTED_VALUE"""),3055)</f>
        <v>3055</v>
      </c>
    </row>
    <row r="181" spans="1:4" ht="13.2">
      <c r="A181" s="16">
        <f ca="1">IFERROR(__xludf.DUMMYFUNCTION("""COMPUTED_VALUE"""),14)</f>
        <v>14</v>
      </c>
      <c r="B181" t="str">
        <f ca="1">IFERROR(__xludf.DUMMYFUNCTION("""COMPUTED_VALUE"""),"Armor of invulnerability")</f>
        <v>Armor of invulnerability</v>
      </c>
      <c r="C181" s="16" t="str">
        <f ca="1">IFERROR(__xludf.DUMMYFUNCTION("""COMPUTED_VALUE"""),"Magic")</f>
        <v>Magic</v>
      </c>
      <c r="D181" s="254">
        <f ca="1">IFERROR(__xludf.DUMMYFUNCTION("""COMPUTED_VALUE"""),3025)</f>
        <v>3025</v>
      </c>
    </row>
    <row r="182" spans="1:4" ht="13.2">
      <c r="A182" s="16">
        <f ca="1">IFERROR(__xludf.DUMMYFUNCTION("""COMPUTED_VALUE"""),15)</f>
        <v>15</v>
      </c>
      <c r="B182" t="str">
        <f ca="1">IFERROR(__xludf.DUMMYFUNCTION("""COMPUTED_VALUE"""),"Armor of resistance")</f>
        <v>Armor of resistance</v>
      </c>
      <c r="C182" s="16" t="str">
        <f ca="1">IFERROR(__xludf.DUMMYFUNCTION("""COMPUTED_VALUE"""),"Magic")</f>
        <v>Magic</v>
      </c>
      <c r="D182" s="254">
        <f ca="1">IFERROR(__xludf.DUMMYFUNCTION("""COMPUTED_VALUE"""),943)</f>
        <v>943</v>
      </c>
    </row>
    <row r="183" spans="1:4" ht="13.2">
      <c r="A183" s="16">
        <f ca="1">IFERROR(__xludf.DUMMYFUNCTION("""COMPUTED_VALUE"""),16)</f>
        <v>16</v>
      </c>
      <c r="B183" t="str">
        <f ca="1">IFERROR(__xludf.DUMMYFUNCTION("""COMPUTED_VALUE"""),"Armor of vulnerability")</f>
        <v>Armor of vulnerability</v>
      </c>
      <c r="C183" s="16" t="str">
        <f ca="1">IFERROR(__xludf.DUMMYFUNCTION("""COMPUTED_VALUE"""),"Magic")</f>
        <v>Magic</v>
      </c>
      <c r="D183" s="254">
        <f ca="1">IFERROR(__xludf.DUMMYFUNCTION("""COMPUTED_VALUE"""),925)</f>
        <v>925</v>
      </c>
    </row>
    <row r="184" spans="1:4" ht="13.2">
      <c r="A184" s="16">
        <f ca="1">IFERROR(__xludf.DUMMYFUNCTION("""COMPUTED_VALUE"""),17)</f>
        <v>17</v>
      </c>
      <c r="B184" t="str">
        <f ca="1">IFERROR(__xludf.DUMMYFUNCTION("""COMPUTED_VALUE"""),"Arrow of slaying")</f>
        <v>Arrow of slaying</v>
      </c>
      <c r="C184" s="16" t="str">
        <f ca="1">IFERROR(__xludf.DUMMYFUNCTION("""COMPUTED_VALUE"""),"Magic")</f>
        <v>Magic</v>
      </c>
      <c r="D184" s="254">
        <f ca="1">IFERROR(__xludf.DUMMYFUNCTION("""COMPUTED_VALUE"""),1584)</f>
        <v>1584</v>
      </c>
    </row>
    <row r="185" spans="1:4" ht="13.2">
      <c r="A185" s="16">
        <f ca="1">IFERROR(__xludf.DUMMYFUNCTION("""COMPUTED_VALUE"""),18)</f>
        <v>18</v>
      </c>
      <c r="B185" t="str">
        <f ca="1">IFERROR(__xludf.DUMMYFUNCTION("""COMPUTED_VALUE"""),"Arrow-catching shield")</f>
        <v>Arrow-catching shield</v>
      </c>
      <c r="C185" s="16" t="str">
        <f ca="1">IFERROR(__xludf.DUMMYFUNCTION("""COMPUTED_VALUE"""),"Magic")</f>
        <v>Magic</v>
      </c>
      <c r="D185" s="254">
        <f ca="1">IFERROR(__xludf.DUMMYFUNCTION("""COMPUTED_VALUE"""),925)</f>
        <v>925</v>
      </c>
    </row>
    <row r="186" spans="1:4" ht="13.2">
      <c r="A186" s="16">
        <f ca="1">IFERROR(__xludf.DUMMYFUNCTION("""COMPUTED_VALUE"""),19)</f>
        <v>19</v>
      </c>
      <c r="B186" t="str">
        <f ca="1">IFERROR(__xludf.DUMMYFUNCTION("""COMPUTED_VALUE"""),"Bag of beans")</f>
        <v>Bag of beans</v>
      </c>
      <c r="C186" s="16" t="str">
        <f ca="1">IFERROR(__xludf.DUMMYFUNCTION("""COMPUTED_VALUE"""),"Magic")</f>
        <v>Magic</v>
      </c>
      <c r="D186" s="254">
        <f ca="1">IFERROR(__xludf.DUMMYFUNCTION("""COMPUTED_VALUE"""),946)</f>
        <v>946</v>
      </c>
    </row>
    <row r="187" spans="1:4" ht="13.2">
      <c r="A187" s="16">
        <f ca="1">IFERROR(__xludf.DUMMYFUNCTION("""COMPUTED_VALUE"""),20)</f>
        <v>20</v>
      </c>
      <c r="B187" t="str">
        <f ca="1">IFERROR(__xludf.DUMMYFUNCTION("""COMPUTED_VALUE"""),"Bag of devouring")</f>
        <v>Bag of devouring</v>
      </c>
      <c r="C187" s="16" t="str">
        <f ca="1">IFERROR(__xludf.DUMMYFUNCTION("""COMPUTED_VALUE"""),"Magic")</f>
        <v>Magic</v>
      </c>
      <c r="D187" s="254">
        <f ca="1">IFERROR(__xludf.DUMMYFUNCTION("""COMPUTED_VALUE"""),1564)</f>
        <v>1564</v>
      </c>
    </row>
    <row r="188" spans="1:4" ht="13.2">
      <c r="A188" s="16">
        <f ca="1">IFERROR(__xludf.DUMMYFUNCTION("""COMPUTED_VALUE"""),21)</f>
        <v>21</v>
      </c>
      <c r="B188" t="str">
        <f ca="1">IFERROR(__xludf.DUMMYFUNCTION("""COMPUTED_VALUE"""),"Bag of holding")</f>
        <v>Bag of holding</v>
      </c>
      <c r="C188" s="16" t="str">
        <f ca="1">IFERROR(__xludf.DUMMYFUNCTION("""COMPUTED_VALUE"""),"Magic")</f>
        <v>Magic</v>
      </c>
      <c r="D188" s="254">
        <f ca="1">IFERROR(__xludf.DUMMYFUNCTION("""COMPUTED_VALUE"""),384)</f>
        <v>384</v>
      </c>
    </row>
    <row r="189" spans="1:4" ht="13.2">
      <c r="A189" s="16">
        <f ca="1">IFERROR(__xludf.DUMMYFUNCTION("""COMPUTED_VALUE"""),22)</f>
        <v>22</v>
      </c>
      <c r="B189" t="str">
        <f ca="1">IFERROR(__xludf.DUMMYFUNCTION("""COMPUTED_VALUE"""),"Bag of tricks")</f>
        <v>Bag of tricks</v>
      </c>
      <c r="C189" s="16" t="str">
        <f ca="1">IFERROR(__xludf.DUMMYFUNCTION("""COMPUTED_VALUE"""),"Magic")</f>
        <v>Magic</v>
      </c>
      <c r="D189" s="254">
        <f ca="1">IFERROR(__xludf.DUMMYFUNCTION("""COMPUTED_VALUE"""),372)</f>
        <v>372</v>
      </c>
    </row>
    <row r="190" spans="1:4" ht="13.2">
      <c r="A190" s="16">
        <f ca="1">IFERROR(__xludf.DUMMYFUNCTION("""COMPUTED_VALUE"""),23)</f>
        <v>23</v>
      </c>
      <c r="B190" t="str">
        <f ca="1">IFERROR(__xludf.DUMMYFUNCTION("""COMPUTED_VALUE"""),"Bead of force")</f>
        <v>Bead of force</v>
      </c>
      <c r="C190" s="16" t="str">
        <f ca="1">IFERROR(__xludf.DUMMYFUNCTION("""COMPUTED_VALUE"""),"Magic")</f>
        <v>Magic</v>
      </c>
      <c r="D190" s="254">
        <f ca="1">IFERROR(__xludf.DUMMYFUNCTION("""COMPUTED_VALUE"""),946)</f>
        <v>946</v>
      </c>
    </row>
    <row r="191" spans="1:4" ht="13.2">
      <c r="A191" s="16">
        <f ca="1">IFERROR(__xludf.DUMMYFUNCTION("""COMPUTED_VALUE"""),24)</f>
        <v>24</v>
      </c>
      <c r="B191" t="str">
        <f ca="1">IFERROR(__xludf.DUMMYFUNCTION("""COMPUTED_VALUE"""),"Belt of dwarvenkind")</f>
        <v>Belt of dwarvenkind</v>
      </c>
      <c r="C191" s="16" t="str">
        <f ca="1">IFERROR(__xludf.DUMMYFUNCTION("""COMPUTED_VALUE"""),"Magic")</f>
        <v>Magic</v>
      </c>
      <c r="D191" s="254">
        <f ca="1">IFERROR(__xludf.DUMMYFUNCTION("""COMPUTED_VALUE"""),928)</f>
        <v>928</v>
      </c>
    </row>
    <row r="192" spans="1:4" ht="13.2">
      <c r="A192" s="16">
        <f ca="1">IFERROR(__xludf.DUMMYFUNCTION("""COMPUTED_VALUE"""),25)</f>
        <v>25</v>
      </c>
      <c r="B192" t="str">
        <f ca="1">IFERROR(__xludf.DUMMYFUNCTION("""COMPUTED_VALUE"""),"Belt of giant strength (cloud giant)")</f>
        <v>Belt of giant strength (cloud giant)</v>
      </c>
      <c r="C192" s="16" t="str">
        <f ca="1">IFERROR(__xludf.DUMMYFUNCTION("""COMPUTED_VALUE"""),"Magic")</f>
        <v>Magic</v>
      </c>
      <c r="D192" s="254">
        <f ca="1">IFERROR(__xludf.DUMMYFUNCTION("""COMPUTED_VALUE"""),3065)</f>
        <v>3065</v>
      </c>
    </row>
    <row r="193" spans="1:4" ht="13.2">
      <c r="A193" s="16">
        <f ca="1">IFERROR(__xludf.DUMMYFUNCTION("""COMPUTED_VALUE"""),26)</f>
        <v>26</v>
      </c>
      <c r="B193" t="str">
        <f ca="1">IFERROR(__xludf.DUMMYFUNCTION("""COMPUTED_VALUE"""),"Belt of giant strength (fire giant)")</f>
        <v>Belt of giant strength (fire giant)</v>
      </c>
      <c r="C193" s="16" t="str">
        <f ca="1">IFERROR(__xludf.DUMMYFUNCTION("""COMPUTED_VALUE"""),"Magic")</f>
        <v>Magic</v>
      </c>
      <c r="D193" s="254">
        <f ca="1">IFERROR(__xludf.DUMMYFUNCTION("""COMPUTED_VALUE"""),1568)</f>
        <v>1568</v>
      </c>
    </row>
    <row r="194" spans="1:4" ht="13.2">
      <c r="A194" s="16">
        <f ca="1">IFERROR(__xludf.DUMMYFUNCTION("""COMPUTED_VALUE"""),27)</f>
        <v>27</v>
      </c>
      <c r="B194" t="str">
        <f ca="1">IFERROR(__xludf.DUMMYFUNCTION("""COMPUTED_VALUE"""),"Belt of giant strength (frost or stone giant)")</f>
        <v>Belt of giant strength (frost or stone giant)</v>
      </c>
      <c r="C194" s="16" t="str">
        <f ca="1">IFERROR(__xludf.DUMMYFUNCTION("""COMPUTED_VALUE"""),"Magic")</f>
        <v>Magic</v>
      </c>
      <c r="D194" s="254">
        <f ca="1">IFERROR(__xludf.DUMMYFUNCTION("""COMPUTED_VALUE"""),1592)</f>
        <v>1592</v>
      </c>
    </row>
    <row r="195" spans="1:4" ht="13.2">
      <c r="A195" s="16">
        <f ca="1">IFERROR(__xludf.DUMMYFUNCTION("""COMPUTED_VALUE"""),28)</f>
        <v>28</v>
      </c>
      <c r="B195" t="str">
        <f ca="1">IFERROR(__xludf.DUMMYFUNCTION("""COMPUTED_VALUE"""),"Belt of giant strength (hill giant)")</f>
        <v>Belt of giant strength (hill giant)</v>
      </c>
      <c r="C195" s="16" t="str">
        <f ca="1">IFERROR(__xludf.DUMMYFUNCTION("""COMPUTED_VALUE"""),"Magic")</f>
        <v>Magic</v>
      </c>
      <c r="D195" s="254">
        <f ca="1">IFERROR(__xludf.DUMMYFUNCTION("""COMPUTED_VALUE"""),931)</f>
        <v>931</v>
      </c>
    </row>
    <row r="196" spans="1:4" ht="13.2">
      <c r="A196" s="16">
        <f ca="1">IFERROR(__xludf.DUMMYFUNCTION("""COMPUTED_VALUE"""),29)</f>
        <v>29</v>
      </c>
      <c r="B196" t="str">
        <f ca="1">IFERROR(__xludf.DUMMYFUNCTION("""COMPUTED_VALUE"""),"Belt of giant strength (storm giant)")</f>
        <v>Belt of giant strength (storm giant)</v>
      </c>
      <c r="C196" s="16" t="str">
        <f ca="1">IFERROR(__xludf.DUMMYFUNCTION("""COMPUTED_VALUE"""),"Magic")</f>
        <v>Magic</v>
      </c>
      <c r="D196" s="254">
        <f ca="1">IFERROR(__xludf.DUMMYFUNCTION("""COMPUTED_VALUE"""),3065)</f>
        <v>3065</v>
      </c>
    </row>
    <row r="197" spans="1:4" ht="13.2">
      <c r="A197" s="16">
        <f ca="1">IFERROR(__xludf.DUMMYFUNCTION("""COMPUTED_VALUE"""),30)</f>
        <v>30</v>
      </c>
      <c r="B197" t="str">
        <f ca="1">IFERROR(__xludf.DUMMYFUNCTION("""COMPUTED_VALUE"""),"Berserker axe")</f>
        <v>Berserker axe</v>
      </c>
      <c r="C197" s="16" t="str">
        <f ca="1">IFERROR(__xludf.DUMMYFUNCTION("""COMPUTED_VALUE"""),"Magic")</f>
        <v>Magic</v>
      </c>
      <c r="D197" s="254">
        <f ca="1">IFERROR(__xludf.DUMMYFUNCTION("""COMPUTED_VALUE"""),931)</f>
        <v>931</v>
      </c>
    </row>
    <row r="198" spans="1:4" ht="13.2">
      <c r="A198" s="16">
        <f ca="1">IFERROR(__xludf.DUMMYFUNCTION("""COMPUTED_VALUE"""),31)</f>
        <v>31</v>
      </c>
      <c r="B198" t="str">
        <f ca="1">IFERROR(__xludf.DUMMYFUNCTION("""COMPUTED_VALUE"""),"Boots of elvenkind")</f>
        <v>Boots of elvenkind</v>
      </c>
      <c r="C198" s="16" t="str">
        <f ca="1">IFERROR(__xludf.DUMMYFUNCTION("""COMPUTED_VALUE"""),"Magic")</f>
        <v>Magic</v>
      </c>
      <c r="D198" s="254">
        <f ca="1">IFERROR(__xludf.DUMMYFUNCTION("""COMPUTED_VALUE"""),388)</f>
        <v>388</v>
      </c>
    </row>
    <row r="199" spans="1:4" ht="13.2">
      <c r="A199" s="16">
        <f ca="1">IFERROR(__xludf.DUMMYFUNCTION("""COMPUTED_VALUE"""),32)</f>
        <v>32</v>
      </c>
      <c r="B199" t="str">
        <f ca="1">IFERROR(__xludf.DUMMYFUNCTION("""COMPUTED_VALUE"""),"Boots of levitation")</f>
        <v>Boots of levitation</v>
      </c>
      <c r="C199" s="16" t="str">
        <f ca="1">IFERROR(__xludf.DUMMYFUNCTION("""COMPUTED_VALUE"""),"Magic")</f>
        <v>Magic</v>
      </c>
      <c r="D199" s="254">
        <f ca="1">IFERROR(__xludf.DUMMYFUNCTION("""COMPUTED_VALUE"""),934)</f>
        <v>934</v>
      </c>
    </row>
    <row r="200" spans="1:4" ht="13.2">
      <c r="A200" s="16">
        <f ca="1">IFERROR(__xludf.DUMMYFUNCTION("""COMPUTED_VALUE"""),33)</f>
        <v>33</v>
      </c>
      <c r="B200" t="str">
        <f ca="1">IFERROR(__xludf.DUMMYFUNCTION("""COMPUTED_VALUE"""),"Boots of speed")</f>
        <v>Boots of speed</v>
      </c>
      <c r="C200" s="16" t="str">
        <f ca="1">IFERROR(__xludf.DUMMYFUNCTION("""COMPUTED_VALUE"""),"Magic")</f>
        <v>Magic</v>
      </c>
      <c r="D200" s="254">
        <f ca="1">IFERROR(__xludf.DUMMYFUNCTION("""COMPUTED_VALUE"""),952)</f>
        <v>952</v>
      </c>
    </row>
    <row r="201" spans="1:4" ht="13.2">
      <c r="A201" s="16">
        <f ca="1">IFERROR(__xludf.DUMMYFUNCTION("""COMPUTED_VALUE"""),34)</f>
        <v>34</v>
      </c>
      <c r="B201" t="str">
        <f ca="1">IFERROR(__xludf.DUMMYFUNCTION("""COMPUTED_VALUE"""),"Boots of striding and springing")</f>
        <v>Boots of striding and springing</v>
      </c>
      <c r="C201" s="16" t="str">
        <f ca="1">IFERROR(__xludf.DUMMYFUNCTION("""COMPUTED_VALUE"""),"Magic")</f>
        <v>Magic</v>
      </c>
      <c r="D201" s="254">
        <f ca="1">IFERROR(__xludf.DUMMYFUNCTION("""COMPUTED_VALUE"""),376)</f>
        <v>376</v>
      </c>
    </row>
    <row r="202" spans="1:4" ht="13.2">
      <c r="A202" s="16">
        <f ca="1">IFERROR(__xludf.DUMMYFUNCTION("""COMPUTED_VALUE"""),35)</f>
        <v>35</v>
      </c>
      <c r="B202" t="str">
        <f ca="1">IFERROR(__xludf.DUMMYFUNCTION("""COMPUTED_VALUE"""),"Boots of the winterlands")</f>
        <v>Boots of the winterlands</v>
      </c>
      <c r="C202" s="16" t="str">
        <f ca="1">IFERROR(__xludf.DUMMYFUNCTION("""COMPUTED_VALUE"""),"Magic")</f>
        <v>Magic</v>
      </c>
      <c r="D202" s="254">
        <f ca="1">IFERROR(__xludf.DUMMYFUNCTION("""COMPUTED_VALUE"""),388)</f>
        <v>388</v>
      </c>
    </row>
    <row r="203" spans="1:4" ht="13.2">
      <c r="A203" s="16">
        <f ca="1">IFERROR(__xludf.DUMMYFUNCTION("""COMPUTED_VALUE"""),36)</f>
        <v>36</v>
      </c>
      <c r="B203" t="str">
        <f ca="1">IFERROR(__xludf.DUMMYFUNCTION("""COMPUTED_VALUE"""),"Bowl of commanding water elementals")</f>
        <v>Bowl of commanding water elementals</v>
      </c>
      <c r="C203" s="16" t="str">
        <f ca="1">IFERROR(__xludf.DUMMYFUNCTION("""COMPUTED_VALUE"""),"Magic")</f>
        <v>Magic</v>
      </c>
      <c r="D203" s="254">
        <f ca="1">IFERROR(__xludf.DUMMYFUNCTION("""COMPUTED_VALUE"""),934)</f>
        <v>934</v>
      </c>
    </row>
    <row r="204" spans="1:4" ht="13.2">
      <c r="A204" s="16">
        <f ca="1">IFERROR(__xludf.DUMMYFUNCTION("""COMPUTED_VALUE"""),37)</f>
        <v>37</v>
      </c>
      <c r="B204" t="str">
        <f ca="1">IFERROR(__xludf.DUMMYFUNCTION("""COMPUTED_VALUE"""),"Bracers of archery")</f>
        <v>Bracers of archery</v>
      </c>
      <c r="C204" s="16" t="str">
        <f ca="1">IFERROR(__xludf.DUMMYFUNCTION("""COMPUTED_VALUE"""),"Magic")</f>
        <v>Magic</v>
      </c>
      <c r="D204" s="254">
        <f ca="1">IFERROR(__xludf.DUMMYFUNCTION("""COMPUTED_VALUE"""),366)</f>
        <v>366</v>
      </c>
    </row>
    <row r="205" spans="1:4" ht="13.2">
      <c r="A205" s="16">
        <f ca="1">IFERROR(__xludf.DUMMYFUNCTION("""COMPUTED_VALUE"""),38)</f>
        <v>38</v>
      </c>
      <c r="B205" t="str">
        <f ca="1">IFERROR(__xludf.DUMMYFUNCTION("""COMPUTED_VALUE"""),"Bracers of defense")</f>
        <v>Bracers of defense</v>
      </c>
      <c r="C205" s="16" t="str">
        <f ca="1">IFERROR(__xludf.DUMMYFUNCTION("""COMPUTED_VALUE"""),"Magic")</f>
        <v>Magic</v>
      </c>
      <c r="D205" s="254">
        <f ca="1">IFERROR(__xludf.DUMMYFUNCTION("""COMPUTED_VALUE"""),937)</f>
        <v>937</v>
      </c>
    </row>
    <row r="206" spans="1:4" ht="13.2">
      <c r="A206" s="16">
        <f ca="1">IFERROR(__xludf.DUMMYFUNCTION("""COMPUTED_VALUE"""),39)</f>
        <v>39</v>
      </c>
      <c r="B206" t="str">
        <f ca="1">IFERROR(__xludf.DUMMYFUNCTION("""COMPUTED_VALUE"""),"Brazier of commanding fire elementals")</f>
        <v>Brazier of commanding fire elementals</v>
      </c>
      <c r="C206" s="16" t="str">
        <f ca="1">IFERROR(__xludf.DUMMYFUNCTION("""COMPUTED_VALUE"""),"Magic")</f>
        <v>Magic</v>
      </c>
      <c r="D206" s="254">
        <f ca="1">IFERROR(__xludf.DUMMYFUNCTION("""COMPUTED_VALUE"""),919)</f>
        <v>919</v>
      </c>
    </row>
    <row r="207" spans="1:4" ht="13.2">
      <c r="A207" s="16">
        <f ca="1">IFERROR(__xludf.DUMMYFUNCTION("""COMPUTED_VALUE"""),40)</f>
        <v>40</v>
      </c>
      <c r="B207" t="str">
        <f ca="1">IFERROR(__xludf.DUMMYFUNCTION("""COMPUTED_VALUE"""),"Brooch of shielding")</f>
        <v>Brooch of shielding</v>
      </c>
      <c r="C207" s="16" t="str">
        <f ca="1">IFERROR(__xludf.DUMMYFUNCTION("""COMPUTED_VALUE"""),"Magic")</f>
        <v>Magic</v>
      </c>
      <c r="D207" s="254">
        <f ca="1">IFERROR(__xludf.DUMMYFUNCTION("""COMPUTED_VALUE"""),378)</f>
        <v>378</v>
      </c>
    </row>
    <row r="208" spans="1:4" ht="13.2">
      <c r="A208" s="16">
        <f ca="1">IFERROR(__xludf.DUMMYFUNCTION("""COMPUTED_VALUE"""),41)</f>
        <v>41</v>
      </c>
      <c r="B208" t="str">
        <f ca="1">IFERROR(__xludf.DUMMYFUNCTION("""COMPUTED_VALUE"""),"Broom of flying")</f>
        <v>Broom of flying</v>
      </c>
      <c r="C208" s="16" t="str">
        <f ca="1">IFERROR(__xludf.DUMMYFUNCTION("""COMPUTED_VALUE"""),"Magic")</f>
        <v>Magic</v>
      </c>
      <c r="D208" s="254">
        <f ca="1">IFERROR(__xludf.DUMMYFUNCTION("""COMPUTED_VALUE"""),366)</f>
        <v>366</v>
      </c>
    </row>
    <row r="209" spans="1:4" ht="13.2">
      <c r="A209" s="16">
        <f ca="1">IFERROR(__xludf.DUMMYFUNCTION("""COMPUTED_VALUE"""),42)</f>
        <v>42</v>
      </c>
      <c r="B209" t="str">
        <f ca="1">IFERROR(__xludf.DUMMYFUNCTION("""COMPUTED_VALUE"""),"Candle of invocation")</f>
        <v>Candle of invocation</v>
      </c>
      <c r="C209" s="16" t="str">
        <f ca="1">IFERROR(__xludf.DUMMYFUNCTION("""COMPUTED_VALUE"""),"Magic")</f>
        <v>Magic</v>
      </c>
      <c r="D209" s="254">
        <f ca="1">IFERROR(__xludf.DUMMYFUNCTION("""COMPUTED_VALUE"""),1576)</f>
        <v>1576</v>
      </c>
    </row>
    <row r="210" spans="1:4" ht="13.2">
      <c r="A210" s="16">
        <f ca="1">IFERROR(__xludf.DUMMYFUNCTION("""COMPUTED_VALUE"""),43)</f>
        <v>43</v>
      </c>
      <c r="B210" t="str">
        <f ca="1">IFERROR(__xludf.DUMMYFUNCTION("""COMPUTED_VALUE"""),"Cap of water breathing")</f>
        <v>Cap of water breathing</v>
      </c>
      <c r="C210" s="16" t="str">
        <f ca="1">IFERROR(__xludf.DUMMYFUNCTION("""COMPUTED_VALUE"""),"Magic")</f>
        <v>Magic</v>
      </c>
      <c r="D210" s="254">
        <f ca="1">IFERROR(__xludf.DUMMYFUNCTION("""COMPUTED_VALUE"""),368)</f>
        <v>368</v>
      </c>
    </row>
    <row r="211" spans="1:4" ht="13.2">
      <c r="A211" s="16">
        <f ca="1">IFERROR(__xludf.DUMMYFUNCTION("""COMPUTED_VALUE"""),44)</f>
        <v>44</v>
      </c>
      <c r="B211" t="str">
        <f ca="1">IFERROR(__xludf.DUMMYFUNCTION("""COMPUTED_VALUE"""),"Cape of the mountebank")</f>
        <v>Cape of the mountebank</v>
      </c>
      <c r="C211" s="16" t="str">
        <f ca="1">IFERROR(__xludf.DUMMYFUNCTION("""COMPUTED_VALUE"""),"Magic")</f>
        <v>Magic</v>
      </c>
      <c r="D211" s="254">
        <f ca="1">IFERROR(__xludf.DUMMYFUNCTION("""COMPUTED_VALUE"""),940)</f>
        <v>940</v>
      </c>
    </row>
    <row r="212" spans="1:4" ht="13.2">
      <c r="A212" s="16">
        <f ca="1">IFERROR(__xludf.DUMMYFUNCTION("""COMPUTED_VALUE"""),45)</f>
        <v>45</v>
      </c>
      <c r="B212" t="str">
        <f ca="1">IFERROR(__xludf.DUMMYFUNCTION("""COMPUTED_VALUE"""),"Carpet of flying")</f>
        <v>Carpet of flying</v>
      </c>
      <c r="C212" s="16" t="str">
        <f ca="1">IFERROR(__xludf.DUMMYFUNCTION("""COMPUTED_VALUE"""),"Magic")</f>
        <v>Magic</v>
      </c>
      <c r="D212" s="254">
        <f ca="1">IFERROR(__xludf.DUMMYFUNCTION("""COMPUTED_VALUE"""),1556)</f>
        <v>1556</v>
      </c>
    </row>
    <row r="213" spans="1:4" ht="13.2">
      <c r="A213" s="16">
        <f ca="1">IFERROR(__xludf.DUMMYFUNCTION("""COMPUTED_VALUE"""),46)</f>
        <v>46</v>
      </c>
      <c r="B213" t="str">
        <f ca="1">IFERROR(__xludf.DUMMYFUNCTION("""COMPUTED_VALUE"""),"Censer of controlling air elementals")</f>
        <v>Censer of controlling air elementals</v>
      </c>
      <c r="C213" s="16" t="str">
        <f ca="1">IFERROR(__xludf.DUMMYFUNCTION("""COMPUTED_VALUE"""),"Magic")</f>
        <v>Magic</v>
      </c>
      <c r="D213" s="254">
        <f ca="1">IFERROR(__xludf.DUMMYFUNCTION("""COMPUTED_VALUE"""),940)</f>
        <v>940</v>
      </c>
    </row>
    <row r="214" spans="1:4" ht="13.2">
      <c r="A214" s="16">
        <f ca="1">IFERROR(__xludf.DUMMYFUNCTION("""COMPUTED_VALUE"""),47)</f>
        <v>47</v>
      </c>
      <c r="B214" t="str">
        <f ca="1">IFERROR(__xludf.DUMMYFUNCTION("""COMPUTED_VALUE"""),"Chime of opening")</f>
        <v>Chime of opening</v>
      </c>
      <c r="C214" s="16" t="str">
        <f ca="1">IFERROR(__xludf.DUMMYFUNCTION("""COMPUTED_VALUE"""),"Magic")</f>
        <v>Magic</v>
      </c>
      <c r="D214" s="254">
        <f ca="1">IFERROR(__xludf.DUMMYFUNCTION("""COMPUTED_VALUE"""),922)</f>
        <v>922</v>
      </c>
    </row>
    <row r="215" spans="1:4" ht="13.2">
      <c r="A215" s="16">
        <f ca="1">IFERROR(__xludf.DUMMYFUNCTION("""COMPUTED_VALUE"""),48)</f>
        <v>48</v>
      </c>
      <c r="B215" t="str">
        <f ca="1">IFERROR(__xludf.DUMMYFUNCTION("""COMPUTED_VALUE"""),"Circlet of blasting")</f>
        <v>Circlet of blasting</v>
      </c>
      <c r="C215" s="16" t="str">
        <f ca="1">IFERROR(__xludf.DUMMYFUNCTION("""COMPUTED_VALUE"""),"Magic")</f>
        <v>Magic</v>
      </c>
      <c r="D215" s="254">
        <f ca="1">IFERROR(__xludf.DUMMYFUNCTION("""COMPUTED_VALUE"""),380)</f>
        <v>380</v>
      </c>
    </row>
    <row r="216" spans="1:4" ht="13.2">
      <c r="A216" s="16">
        <f ca="1">IFERROR(__xludf.DUMMYFUNCTION("""COMPUTED_VALUE"""),49)</f>
        <v>49</v>
      </c>
      <c r="B216" t="str">
        <f ca="1">IFERROR(__xludf.DUMMYFUNCTION("""COMPUTED_VALUE"""),"Cloak of arachnida")</f>
        <v>Cloak of arachnida</v>
      </c>
      <c r="C216" s="16" t="str">
        <f ca="1">IFERROR(__xludf.DUMMYFUNCTION("""COMPUTED_VALUE"""),"Magic")</f>
        <v>Magic</v>
      </c>
      <c r="D216" s="254">
        <f ca="1">IFERROR(__xludf.DUMMYFUNCTION("""COMPUTED_VALUE"""),1560)</f>
        <v>1560</v>
      </c>
    </row>
    <row r="217" spans="1:4" ht="13.2">
      <c r="A217" s="16">
        <f ca="1">IFERROR(__xludf.DUMMYFUNCTION("""COMPUTED_VALUE"""),50)</f>
        <v>50</v>
      </c>
      <c r="B217" t="str">
        <f ca="1">IFERROR(__xludf.DUMMYFUNCTION("""COMPUTED_VALUE"""),"Cloak of displacement")</f>
        <v>Cloak of displacement</v>
      </c>
      <c r="C217" s="16" t="str">
        <f ca="1">IFERROR(__xludf.DUMMYFUNCTION("""COMPUTED_VALUE"""),"Magic")</f>
        <v>Magic</v>
      </c>
      <c r="D217" s="254">
        <f ca="1">IFERROR(__xludf.DUMMYFUNCTION("""COMPUTED_VALUE"""),943)</f>
        <v>943</v>
      </c>
    </row>
    <row r="218" spans="1:4" ht="13.2">
      <c r="A218" s="16">
        <f ca="1">IFERROR(__xludf.DUMMYFUNCTION("""COMPUTED_VALUE"""),51)</f>
        <v>51</v>
      </c>
      <c r="B218" t="str">
        <f ca="1">IFERROR(__xludf.DUMMYFUNCTION("""COMPUTED_VALUE"""),"Cloak of elvenkind")</f>
        <v>Cloak of elvenkind</v>
      </c>
      <c r="C218" s="16" t="str">
        <f ca="1">IFERROR(__xludf.DUMMYFUNCTION("""COMPUTED_VALUE"""),"Magic")</f>
        <v>Magic</v>
      </c>
      <c r="D218" s="254">
        <f ca="1">IFERROR(__xludf.DUMMYFUNCTION("""COMPUTED_VALUE"""),370)</f>
        <v>370</v>
      </c>
    </row>
    <row r="219" spans="1:4" ht="13.2">
      <c r="A219" s="16">
        <f ca="1">IFERROR(__xludf.DUMMYFUNCTION("""COMPUTED_VALUE"""),52)</f>
        <v>52</v>
      </c>
      <c r="B219" t="str">
        <f ca="1">IFERROR(__xludf.DUMMYFUNCTION("""COMPUTED_VALUE"""),"Cloak of invisibility")</f>
        <v>Cloak of invisibility</v>
      </c>
      <c r="C219" s="16" t="str">
        <f ca="1">IFERROR(__xludf.DUMMYFUNCTION("""COMPUTED_VALUE"""),"Magic")</f>
        <v>Magic</v>
      </c>
      <c r="D219" s="254">
        <f ca="1">IFERROR(__xludf.DUMMYFUNCTION("""COMPUTED_VALUE"""),3055)</f>
        <v>3055</v>
      </c>
    </row>
    <row r="220" spans="1:4" ht="13.2">
      <c r="A220" s="16">
        <f ca="1">IFERROR(__xludf.DUMMYFUNCTION("""COMPUTED_VALUE"""),53)</f>
        <v>53</v>
      </c>
      <c r="B220" t="str">
        <f ca="1">IFERROR(__xludf.DUMMYFUNCTION("""COMPUTED_VALUE"""),"Cloak of protection")</f>
        <v>Cloak of protection</v>
      </c>
      <c r="C220" s="16" t="str">
        <f ca="1">IFERROR(__xludf.DUMMYFUNCTION("""COMPUTED_VALUE"""),"Magic")</f>
        <v>Magic</v>
      </c>
      <c r="D220" s="254">
        <f ca="1">IFERROR(__xludf.DUMMYFUNCTION("""COMPUTED_VALUE"""),370)</f>
        <v>370</v>
      </c>
    </row>
    <row r="221" spans="1:4" ht="13.2">
      <c r="A221" s="16">
        <f ca="1">IFERROR(__xludf.DUMMYFUNCTION("""COMPUTED_VALUE"""),54)</f>
        <v>54</v>
      </c>
      <c r="B221" t="str">
        <f ca="1">IFERROR(__xludf.DUMMYFUNCTION("""COMPUTED_VALUE"""),"Cloak of the bat")</f>
        <v>Cloak of the bat</v>
      </c>
      <c r="C221" s="16" t="str">
        <f ca="1">IFERROR(__xludf.DUMMYFUNCTION("""COMPUTED_VALUE"""),"Magic")</f>
        <v>Magic</v>
      </c>
      <c r="D221" s="254">
        <f ca="1">IFERROR(__xludf.DUMMYFUNCTION("""COMPUTED_VALUE"""),943)</f>
        <v>943</v>
      </c>
    </row>
    <row r="222" spans="1:4" ht="13.2">
      <c r="A222" s="16">
        <f ca="1">IFERROR(__xludf.DUMMYFUNCTION("""COMPUTED_VALUE"""),55)</f>
        <v>55</v>
      </c>
      <c r="B222" t="str">
        <f ca="1">IFERROR(__xludf.DUMMYFUNCTION("""COMPUTED_VALUE"""),"Cloak of the manta ray")</f>
        <v>Cloak of the manta ray</v>
      </c>
      <c r="C222" s="16" t="str">
        <f ca="1">IFERROR(__xludf.DUMMYFUNCTION("""COMPUTED_VALUE"""),"Magic")</f>
        <v>Magic</v>
      </c>
      <c r="D222" s="254">
        <f ca="1">IFERROR(__xludf.DUMMYFUNCTION("""COMPUTED_VALUE"""),372)</f>
        <v>372</v>
      </c>
    </row>
    <row r="223" spans="1:4" ht="13.2">
      <c r="A223" s="16">
        <f ca="1">IFERROR(__xludf.DUMMYFUNCTION("""COMPUTED_VALUE"""),56)</f>
        <v>56</v>
      </c>
      <c r="B223" t="str">
        <f ca="1">IFERROR(__xludf.DUMMYFUNCTION("""COMPUTED_VALUE"""),"Crystal ball")</f>
        <v>Crystal ball</v>
      </c>
      <c r="C223" s="16" t="str">
        <f ca="1">IFERROR(__xludf.DUMMYFUNCTION("""COMPUTED_VALUE"""),"Magic")</f>
        <v>Magic</v>
      </c>
      <c r="D223" s="254">
        <f ca="1">IFERROR(__xludf.DUMMYFUNCTION("""COMPUTED_VALUE"""),1588)</f>
        <v>1588</v>
      </c>
    </row>
    <row r="224" spans="1:4" ht="13.2">
      <c r="A224" s="16">
        <f ca="1">IFERROR(__xludf.DUMMYFUNCTION("""COMPUTED_VALUE"""),57)</f>
        <v>57</v>
      </c>
      <c r="B224" t="str">
        <f ca="1">IFERROR(__xludf.DUMMYFUNCTION("""COMPUTED_VALUE"""),"Crystal ball")</f>
        <v>Crystal ball</v>
      </c>
      <c r="C224" s="16" t="str">
        <f ca="1">IFERROR(__xludf.DUMMYFUNCTION("""COMPUTED_VALUE"""),"Magic")</f>
        <v>Magic</v>
      </c>
      <c r="D224" s="254">
        <f ca="1">IFERROR(__xludf.DUMMYFUNCTION("""COMPUTED_VALUE"""),3030)</f>
        <v>3030</v>
      </c>
    </row>
    <row r="225" spans="1:4" ht="13.2">
      <c r="A225" s="16">
        <f ca="1">IFERROR(__xludf.DUMMYFUNCTION("""COMPUTED_VALUE"""),58)</f>
        <v>58</v>
      </c>
      <c r="B225" t="str">
        <f ca="1">IFERROR(__xludf.DUMMYFUNCTION("""COMPUTED_VALUE"""),"Cube of force")</f>
        <v>Cube of force</v>
      </c>
      <c r="C225" s="16" t="str">
        <f ca="1">IFERROR(__xludf.DUMMYFUNCTION("""COMPUTED_VALUE"""),"Magic")</f>
        <v>Magic</v>
      </c>
      <c r="D225" s="254">
        <f ca="1">IFERROR(__xludf.DUMMYFUNCTION("""COMPUTED_VALUE"""),946)</f>
        <v>946</v>
      </c>
    </row>
    <row r="226" spans="1:4" ht="13.2">
      <c r="A226" s="16">
        <f ca="1">IFERROR(__xludf.DUMMYFUNCTION("""COMPUTED_VALUE"""),59)</f>
        <v>59</v>
      </c>
      <c r="B226" t="str">
        <f ca="1">IFERROR(__xludf.DUMMYFUNCTION("""COMPUTED_VALUE"""),"Cubic gate")</f>
        <v>Cubic gate</v>
      </c>
      <c r="C226" s="16" t="str">
        <f ca="1">IFERROR(__xludf.DUMMYFUNCTION("""COMPUTED_VALUE"""),"Magic")</f>
        <v>Magic</v>
      </c>
      <c r="D226" s="254">
        <f ca="1">IFERROR(__xludf.DUMMYFUNCTION("""COMPUTED_VALUE"""),3030)</f>
        <v>3030</v>
      </c>
    </row>
    <row r="227" spans="1:4" ht="13.2">
      <c r="A227" s="16">
        <f ca="1">IFERROR(__xludf.DUMMYFUNCTION("""COMPUTED_VALUE"""),60)</f>
        <v>60</v>
      </c>
      <c r="B227" t="str">
        <f ca="1">IFERROR(__xludf.DUMMYFUNCTION("""COMPUTED_VALUE"""),"Daern’s instant fortress")</f>
        <v>Daern’s instant fortress</v>
      </c>
      <c r="C227" s="16" t="str">
        <f ca="1">IFERROR(__xludf.DUMMYFUNCTION("""COMPUTED_VALUE"""),"Magic")</f>
        <v>Magic</v>
      </c>
      <c r="D227" s="254">
        <f ca="1">IFERROR(__xludf.DUMMYFUNCTION("""COMPUTED_VALUE"""),946)</f>
        <v>946</v>
      </c>
    </row>
    <row r="228" spans="1:4" ht="13.2">
      <c r="A228" s="16">
        <f ca="1">IFERROR(__xludf.DUMMYFUNCTION("""COMPUTED_VALUE"""),61)</f>
        <v>61</v>
      </c>
      <c r="B228" t="str">
        <f ca="1">IFERROR(__xludf.DUMMYFUNCTION("""COMPUTED_VALUE"""),"Dagger of venom")</f>
        <v>Dagger of venom</v>
      </c>
      <c r="C228" s="16" t="str">
        <f ca="1">IFERROR(__xludf.DUMMYFUNCTION("""COMPUTED_VALUE"""),"Magic")</f>
        <v>Magic</v>
      </c>
      <c r="D228" s="254">
        <f ca="1">IFERROR(__xludf.DUMMYFUNCTION("""COMPUTED_VALUE"""),931)</f>
        <v>931</v>
      </c>
    </row>
    <row r="229" spans="1:4" ht="13.2">
      <c r="A229" s="16">
        <f ca="1">IFERROR(__xludf.DUMMYFUNCTION("""COMPUTED_VALUE"""),62)</f>
        <v>62</v>
      </c>
      <c r="B229" t="str">
        <f ca="1">IFERROR(__xludf.DUMMYFUNCTION("""COMPUTED_VALUE"""),"Dancing sword")</f>
        <v>Dancing sword</v>
      </c>
      <c r="C229" s="16" t="str">
        <f ca="1">IFERROR(__xludf.DUMMYFUNCTION("""COMPUTED_VALUE"""),"Magic")</f>
        <v>Magic</v>
      </c>
      <c r="D229" s="254">
        <f ca="1">IFERROR(__xludf.DUMMYFUNCTION("""COMPUTED_VALUE"""),1592)</f>
        <v>1592</v>
      </c>
    </row>
    <row r="230" spans="1:4" ht="13.2">
      <c r="A230" s="16">
        <f ca="1">IFERROR(__xludf.DUMMYFUNCTION("""COMPUTED_VALUE"""),63)</f>
        <v>63</v>
      </c>
      <c r="B230" t="str">
        <f ca="1">IFERROR(__xludf.DUMMYFUNCTION("""COMPUTED_VALUE"""),"Decanter of endless water")</f>
        <v>Decanter of endless water</v>
      </c>
      <c r="C230" s="16" t="str">
        <f ca="1">IFERROR(__xludf.DUMMYFUNCTION("""COMPUTED_VALUE"""),"Magic")</f>
        <v>Magic</v>
      </c>
      <c r="D230" s="254">
        <f ca="1">IFERROR(__xludf.DUMMYFUNCTION("""COMPUTED_VALUE"""),374)</f>
        <v>374</v>
      </c>
    </row>
    <row r="231" spans="1:4" ht="13.2">
      <c r="A231" s="16">
        <f ca="1">IFERROR(__xludf.DUMMYFUNCTION("""COMPUTED_VALUE"""),64)</f>
        <v>64</v>
      </c>
      <c r="B231" t="str">
        <f ca="1">IFERROR(__xludf.DUMMYFUNCTION("""COMPUTED_VALUE"""),"Deck of illusions")</f>
        <v>Deck of illusions</v>
      </c>
      <c r="C231" s="16" t="str">
        <f ca="1">IFERROR(__xludf.DUMMYFUNCTION("""COMPUTED_VALUE"""),"Magic")</f>
        <v>Magic</v>
      </c>
      <c r="D231" s="254">
        <f ca="1">IFERROR(__xludf.DUMMYFUNCTION("""COMPUTED_VALUE"""),386)</f>
        <v>386</v>
      </c>
    </row>
    <row r="232" spans="1:4" ht="13.2">
      <c r="A232" s="16">
        <f ca="1">IFERROR(__xludf.DUMMYFUNCTION("""COMPUTED_VALUE"""),65)</f>
        <v>65</v>
      </c>
      <c r="B232" t="str">
        <f ca="1">IFERROR(__xludf.DUMMYFUNCTION("""COMPUTED_VALUE"""),"Deck of many things")</f>
        <v>Deck of many things</v>
      </c>
      <c r="C232" s="16" t="str">
        <f ca="1">IFERROR(__xludf.DUMMYFUNCTION("""COMPUTED_VALUE"""),"Magic")</f>
        <v>Magic</v>
      </c>
      <c r="D232" s="254">
        <f ca="1">IFERROR(__xludf.DUMMYFUNCTION("""COMPUTED_VALUE"""),3035)</f>
        <v>3035</v>
      </c>
    </row>
    <row r="233" spans="1:4" ht="13.2">
      <c r="A233" s="16">
        <f ca="1">IFERROR(__xludf.DUMMYFUNCTION("""COMPUTED_VALUE"""),66)</f>
        <v>66</v>
      </c>
      <c r="B233" t="str">
        <f ca="1">IFERROR(__xludf.DUMMYFUNCTION("""COMPUTED_VALUE"""),"Defender")</f>
        <v>Defender</v>
      </c>
      <c r="C233" s="16" t="str">
        <f ca="1">IFERROR(__xludf.DUMMYFUNCTION("""COMPUTED_VALUE"""),"Magic")</f>
        <v>Magic</v>
      </c>
      <c r="D233" s="254">
        <f ca="1">IFERROR(__xludf.DUMMYFUNCTION("""COMPUTED_VALUE"""),3065)</f>
        <v>3065</v>
      </c>
    </row>
    <row r="234" spans="1:4" ht="13.2">
      <c r="A234" s="16">
        <f ca="1">IFERROR(__xludf.DUMMYFUNCTION("""COMPUTED_VALUE"""),67)</f>
        <v>67</v>
      </c>
      <c r="B234" t="str">
        <f ca="1">IFERROR(__xludf.DUMMYFUNCTION("""COMPUTED_VALUE"""),"Demon armor")</f>
        <v>Demon armor</v>
      </c>
      <c r="C234" s="16" t="str">
        <f ca="1">IFERROR(__xludf.DUMMYFUNCTION("""COMPUTED_VALUE"""),"Magic")</f>
        <v>Magic</v>
      </c>
      <c r="D234" s="254">
        <f ca="1">IFERROR(__xludf.DUMMYFUNCTION("""COMPUTED_VALUE"""),1572)</f>
        <v>1572</v>
      </c>
    </row>
    <row r="235" spans="1:4" ht="13.2">
      <c r="A235" s="16">
        <f ca="1">IFERROR(__xludf.DUMMYFUNCTION("""COMPUTED_VALUE"""),68)</f>
        <v>68</v>
      </c>
      <c r="B235" t="str">
        <f ca="1">IFERROR(__xludf.DUMMYFUNCTION("""COMPUTED_VALUE"""),"Dimensional shackles")</f>
        <v>Dimensional shackles</v>
      </c>
      <c r="C235" s="16" t="str">
        <f ca="1">IFERROR(__xludf.DUMMYFUNCTION("""COMPUTED_VALUE"""),"Magic")</f>
        <v>Magic</v>
      </c>
      <c r="D235" s="254">
        <f ca="1">IFERROR(__xludf.DUMMYFUNCTION("""COMPUTED_VALUE"""),952)</f>
        <v>952</v>
      </c>
    </row>
    <row r="236" spans="1:4" ht="13.2">
      <c r="A236" s="16">
        <f ca="1">IFERROR(__xludf.DUMMYFUNCTION("""COMPUTED_VALUE"""),69)</f>
        <v>69</v>
      </c>
      <c r="B236" t="str">
        <f ca="1">IFERROR(__xludf.DUMMYFUNCTION("""COMPUTED_VALUE"""),"Dragon scale mail")</f>
        <v>Dragon scale mail</v>
      </c>
      <c r="C236" s="16" t="str">
        <f ca="1">IFERROR(__xludf.DUMMYFUNCTION("""COMPUTED_VALUE"""),"Magic")</f>
        <v>Magic</v>
      </c>
      <c r="D236" s="254">
        <f ca="1">IFERROR(__xludf.DUMMYFUNCTION("""COMPUTED_VALUE"""),1572)</f>
        <v>1572</v>
      </c>
    </row>
    <row r="237" spans="1:4" ht="13.2">
      <c r="A237" s="16">
        <f ca="1">IFERROR(__xludf.DUMMYFUNCTION("""COMPUTED_VALUE"""),70)</f>
        <v>70</v>
      </c>
      <c r="B237" t="str">
        <f ca="1">IFERROR(__xludf.DUMMYFUNCTION("""COMPUTED_VALUE"""),"Dragon slayer")</f>
        <v>Dragon slayer</v>
      </c>
      <c r="C237" s="16" t="str">
        <f ca="1">IFERROR(__xludf.DUMMYFUNCTION("""COMPUTED_VALUE"""),"Magic")</f>
        <v>Magic</v>
      </c>
      <c r="D237" s="254">
        <f ca="1">IFERROR(__xludf.DUMMYFUNCTION("""COMPUTED_VALUE"""),952)</f>
        <v>952</v>
      </c>
    </row>
    <row r="238" spans="1:4" ht="13.2">
      <c r="A238" s="16">
        <f ca="1">IFERROR(__xludf.DUMMYFUNCTION("""COMPUTED_VALUE"""),71)</f>
        <v>71</v>
      </c>
      <c r="B238" t="str">
        <f ca="1">IFERROR(__xludf.DUMMYFUNCTION("""COMPUTED_VALUE"""),"Driftglobe")</f>
        <v>Driftglobe</v>
      </c>
      <c r="C238" s="16" t="str">
        <f ca="1">IFERROR(__xludf.DUMMYFUNCTION("""COMPUTED_VALUE"""),"Magic")</f>
        <v>Magic</v>
      </c>
      <c r="D238" s="254">
        <f ca="1">IFERROR(__xludf.DUMMYFUNCTION("""COMPUTED_VALUE"""),376)</f>
        <v>376</v>
      </c>
    </row>
    <row r="239" spans="1:4" ht="13.2">
      <c r="A239" s="16">
        <f ca="1">IFERROR(__xludf.DUMMYFUNCTION("""COMPUTED_VALUE"""),72)</f>
        <v>72</v>
      </c>
      <c r="B239" t="str">
        <f ca="1">IFERROR(__xludf.DUMMYFUNCTION("""COMPUTED_VALUE"""),"Dust of disappearance")</f>
        <v>Dust of disappearance</v>
      </c>
      <c r="C239" s="16" t="str">
        <f ca="1">IFERROR(__xludf.DUMMYFUNCTION("""COMPUTED_VALUE"""),"Magic")</f>
        <v>Magic</v>
      </c>
      <c r="D239" s="254">
        <f ca="1">IFERROR(__xludf.DUMMYFUNCTION("""COMPUTED_VALUE"""),388)</f>
        <v>388</v>
      </c>
    </row>
    <row r="240" spans="1:4" ht="13.2">
      <c r="A240" s="16">
        <f ca="1">IFERROR(__xludf.DUMMYFUNCTION("""COMPUTED_VALUE"""),73)</f>
        <v>73</v>
      </c>
      <c r="B240" t="str">
        <f ca="1">IFERROR(__xludf.DUMMYFUNCTION("""COMPUTED_VALUE"""),"Dust of dryness")</f>
        <v>Dust of dryness</v>
      </c>
      <c r="C240" s="16" t="str">
        <f ca="1">IFERROR(__xludf.DUMMYFUNCTION("""COMPUTED_VALUE"""),"Magic")</f>
        <v>Magic</v>
      </c>
      <c r="D240" s="254">
        <f ca="1">IFERROR(__xludf.DUMMYFUNCTION("""COMPUTED_VALUE"""),378)</f>
        <v>378</v>
      </c>
    </row>
    <row r="241" spans="1:4" ht="13.2">
      <c r="A241" s="16">
        <f ca="1">IFERROR(__xludf.DUMMYFUNCTION("""COMPUTED_VALUE"""),74)</f>
        <v>74</v>
      </c>
      <c r="B241" t="str">
        <f ca="1">IFERROR(__xludf.DUMMYFUNCTION("""COMPUTED_VALUE"""),"Dust of sneezing and choking")</f>
        <v>Dust of sneezing and choking</v>
      </c>
      <c r="C241" s="16" t="str">
        <f ca="1">IFERROR(__xludf.DUMMYFUNCTION("""COMPUTED_VALUE"""),"Magic")</f>
        <v>Magic</v>
      </c>
      <c r="D241" s="254">
        <f ca="1">IFERROR(__xludf.DUMMYFUNCTION("""COMPUTED_VALUE"""),366)</f>
        <v>366</v>
      </c>
    </row>
    <row r="242" spans="1:4" ht="13.2">
      <c r="A242" s="16">
        <f ca="1">IFERROR(__xludf.DUMMYFUNCTION("""COMPUTED_VALUE"""),75)</f>
        <v>75</v>
      </c>
      <c r="B242" t="str">
        <f ca="1">IFERROR(__xludf.DUMMYFUNCTION("""COMPUTED_VALUE"""),"Dwarven plate")</f>
        <v>Dwarven plate</v>
      </c>
      <c r="C242" s="16" t="str">
        <f ca="1">IFERROR(__xludf.DUMMYFUNCTION("""COMPUTED_VALUE"""),"Magic")</f>
        <v>Magic</v>
      </c>
      <c r="D242" s="254">
        <f ca="1">IFERROR(__xludf.DUMMYFUNCTION("""COMPUTED_VALUE"""),1576)</f>
        <v>1576</v>
      </c>
    </row>
    <row r="243" spans="1:4" ht="13.2">
      <c r="A243" s="16">
        <f ca="1">IFERROR(__xludf.DUMMYFUNCTION("""COMPUTED_VALUE"""),76)</f>
        <v>76</v>
      </c>
      <c r="B243" t="str">
        <f ca="1">IFERROR(__xludf.DUMMYFUNCTION("""COMPUTED_VALUE"""),"Dwarven thrower")</f>
        <v>Dwarven thrower</v>
      </c>
      <c r="C243" s="16" t="str">
        <f ca="1">IFERROR(__xludf.DUMMYFUNCTION("""COMPUTED_VALUE"""),"Magic")</f>
        <v>Magic</v>
      </c>
      <c r="D243" s="254">
        <f ca="1">IFERROR(__xludf.DUMMYFUNCTION("""COMPUTED_VALUE"""),1552)</f>
        <v>1552</v>
      </c>
    </row>
    <row r="244" spans="1:4" ht="13.2">
      <c r="A244" s="16">
        <f ca="1">IFERROR(__xludf.DUMMYFUNCTION("""COMPUTED_VALUE"""),77)</f>
        <v>77</v>
      </c>
      <c r="B244" t="str">
        <f ca="1">IFERROR(__xludf.DUMMYFUNCTION("""COMPUTED_VALUE"""),"Efreeti bottle")</f>
        <v>Efreeti bottle</v>
      </c>
      <c r="C244" s="16" t="str">
        <f ca="1">IFERROR(__xludf.DUMMYFUNCTION("""COMPUTED_VALUE"""),"Magic")</f>
        <v>Magic</v>
      </c>
      <c r="D244" s="254">
        <f ca="1">IFERROR(__xludf.DUMMYFUNCTION("""COMPUTED_VALUE"""),1576)</f>
        <v>1576</v>
      </c>
    </row>
    <row r="245" spans="1:4" ht="13.2">
      <c r="A245" s="16">
        <f ca="1">IFERROR(__xludf.DUMMYFUNCTION("""COMPUTED_VALUE"""),78)</f>
        <v>78</v>
      </c>
      <c r="B245" t="str">
        <f ca="1">IFERROR(__xludf.DUMMYFUNCTION("""COMPUTED_VALUE"""),"Efreeti chain")</f>
        <v>Efreeti chain</v>
      </c>
      <c r="C245" s="16" t="str">
        <f ca="1">IFERROR(__xludf.DUMMYFUNCTION("""COMPUTED_VALUE"""),"Magic")</f>
        <v>Magic</v>
      </c>
      <c r="D245" s="254">
        <f ca="1">IFERROR(__xludf.DUMMYFUNCTION("""COMPUTED_VALUE"""),3015)</f>
        <v>3015</v>
      </c>
    </row>
    <row r="246" spans="1:4" ht="13.2">
      <c r="A246" s="16">
        <f ca="1">IFERROR(__xludf.DUMMYFUNCTION("""COMPUTED_VALUE"""),79)</f>
        <v>79</v>
      </c>
      <c r="B246" t="str">
        <f ca="1">IFERROR(__xludf.DUMMYFUNCTION("""COMPUTED_VALUE"""),"Elemental gem")</f>
        <v>Elemental gem</v>
      </c>
      <c r="C246" s="16" t="str">
        <f ca="1">IFERROR(__xludf.DUMMYFUNCTION("""COMPUTED_VALUE"""),"Magic")</f>
        <v>Magic</v>
      </c>
      <c r="D246" s="254">
        <f ca="1">IFERROR(__xludf.DUMMYFUNCTION("""COMPUTED_VALUE"""),380)</f>
        <v>380</v>
      </c>
    </row>
    <row r="247" spans="1:4" ht="13.2">
      <c r="A247" s="16">
        <f ca="1">IFERROR(__xludf.DUMMYFUNCTION("""COMPUTED_VALUE"""),80)</f>
        <v>80</v>
      </c>
      <c r="B247" t="str">
        <f ca="1">IFERROR(__xludf.DUMMYFUNCTION("""COMPUTED_VALUE"""),"Elixir of health")</f>
        <v>Elixir of health</v>
      </c>
      <c r="C247" s="16" t="str">
        <f ca="1">IFERROR(__xludf.DUMMYFUNCTION("""COMPUTED_VALUE"""),"Magic")</f>
        <v>Magic</v>
      </c>
      <c r="D247" s="254">
        <f ca="1">IFERROR(__xludf.DUMMYFUNCTION("""COMPUTED_VALUE"""),922)</f>
        <v>922</v>
      </c>
    </row>
    <row r="248" spans="1:4" ht="13.2">
      <c r="A248" s="16">
        <f ca="1">IFERROR(__xludf.DUMMYFUNCTION("""COMPUTED_VALUE"""),81)</f>
        <v>81</v>
      </c>
      <c r="B248" t="str">
        <f ca="1">IFERROR(__xludf.DUMMYFUNCTION("""COMPUTED_VALUE"""),"Elven chain")</f>
        <v>Elven chain</v>
      </c>
      <c r="C248" s="16" t="str">
        <f ca="1">IFERROR(__xludf.DUMMYFUNCTION("""COMPUTED_VALUE"""),"Magic")</f>
        <v>Magic</v>
      </c>
      <c r="D248" s="254">
        <f ca="1">IFERROR(__xludf.DUMMYFUNCTION("""COMPUTED_VALUE"""),940)</f>
        <v>940</v>
      </c>
    </row>
    <row r="249" spans="1:4" ht="13.2">
      <c r="A249" s="16">
        <f ca="1">IFERROR(__xludf.DUMMYFUNCTION("""COMPUTED_VALUE"""),82)</f>
        <v>82</v>
      </c>
      <c r="B249" t="str">
        <f ca="1">IFERROR(__xludf.DUMMYFUNCTION("""COMPUTED_VALUE"""),"Eversmoking bottle")</f>
        <v>Eversmoking bottle</v>
      </c>
      <c r="C249" s="16" t="str">
        <f ca="1">IFERROR(__xludf.DUMMYFUNCTION("""COMPUTED_VALUE"""),"Magic")</f>
        <v>Magic</v>
      </c>
      <c r="D249" s="254">
        <f ca="1">IFERROR(__xludf.DUMMYFUNCTION("""COMPUTED_VALUE"""),368)</f>
        <v>368</v>
      </c>
    </row>
    <row r="250" spans="1:4" ht="13.2">
      <c r="A250" s="16">
        <f ca="1">IFERROR(__xludf.DUMMYFUNCTION("""COMPUTED_VALUE"""),83)</f>
        <v>83</v>
      </c>
      <c r="B250" t="str">
        <f ca="1">IFERROR(__xludf.DUMMYFUNCTION("""COMPUTED_VALUE"""),"Eyes of charming")</f>
        <v>Eyes of charming</v>
      </c>
      <c r="C250" s="16" t="str">
        <f ca="1">IFERROR(__xludf.DUMMYFUNCTION("""COMPUTED_VALUE"""),"Magic")</f>
        <v>Magic</v>
      </c>
      <c r="D250" s="254">
        <f ca="1">IFERROR(__xludf.DUMMYFUNCTION("""COMPUTED_VALUE"""),380)</f>
        <v>380</v>
      </c>
    </row>
    <row r="251" spans="1:4" ht="13.2">
      <c r="A251" s="16">
        <f ca="1">IFERROR(__xludf.DUMMYFUNCTION("""COMPUTED_VALUE"""),84)</f>
        <v>84</v>
      </c>
      <c r="B251" t="str">
        <f ca="1">IFERROR(__xludf.DUMMYFUNCTION("""COMPUTED_VALUE"""),"Eyes of minute seeing")</f>
        <v>Eyes of minute seeing</v>
      </c>
      <c r="C251" s="16" t="str">
        <f ca="1">IFERROR(__xludf.DUMMYFUNCTION("""COMPUTED_VALUE"""),"Magic")</f>
        <v>Magic</v>
      </c>
      <c r="D251" s="254">
        <f ca="1">IFERROR(__xludf.DUMMYFUNCTION("""COMPUTED_VALUE"""),368)</f>
        <v>368</v>
      </c>
    </row>
    <row r="252" spans="1:4" ht="13.2">
      <c r="A252" s="16">
        <f ca="1">IFERROR(__xludf.DUMMYFUNCTION("""COMPUTED_VALUE"""),85)</f>
        <v>85</v>
      </c>
      <c r="B252" t="str">
        <f ca="1">IFERROR(__xludf.DUMMYFUNCTION("""COMPUTED_VALUE"""),"Eyes of the eagle")</f>
        <v>Eyes of the eagle</v>
      </c>
      <c r="C252" s="16" t="str">
        <f ca="1">IFERROR(__xludf.DUMMYFUNCTION("""COMPUTED_VALUE"""),"Magic")</f>
        <v>Magic</v>
      </c>
      <c r="D252" s="254">
        <f ca="1">IFERROR(__xludf.DUMMYFUNCTION("""COMPUTED_VALUE"""),382)</f>
        <v>382</v>
      </c>
    </row>
    <row r="253" spans="1:4" ht="13.2">
      <c r="A253" s="16">
        <f ca="1">IFERROR(__xludf.DUMMYFUNCTION("""COMPUTED_VALUE"""),86)</f>
        <v>86</v>
      </c>
      <c r="B253" t="str">
        <f ca="1">IFERROR(__xludf.DUMMYFUNCTION("""COMPUTED_VALUE"""),"Figurine of wondrous power (bronze griffon)")</f>
        <v>Figurine of wondrous power (bronze griffon)</v>
      </c>
      <c r="C253" s="16" t="str">
        <f ca="1">IFERROR(__xludf.DUMMYFUNCTION("""COMPUTED_VALUE"""),"Magic")</f>
        <v>Magic</v>
      </c>
      <c r="D253" s="254">
        <f ca="1">IFERROR(__xludf.DUMMYFUNCTION("""COMPUTED_VALUE"""),925)</f>
        <v>925</v>
      </c>
    </row>
    <row r="254" spans="1:4" ht="13.2">
      <c r="A254" s="16">
        <f ca="1">IFERROR(__xludf.DUMMYFUNCTION("""COMPUTED_VALUE"""),87)</f>
        <v>87</v>
      </c>
      <c r="B254" t="str">
        <f ca="1">IFERROR(__xludf.DUMMYFUNCTION("""COMPUTED_VALUE"""),"Figurine of wondrous power (ebony fly)")</f>
        <v>Figurine of wondrous power (ebony fly)</v>
      </c>
      <c r="C254" s="16" t="str">
        <f ca="1">IFERROR(__xludf.DUMMYFUNCTION("""COMPUTED_VALUE"""),"Magic")</f>
        <v>Magic</v>
      </c>
      <c r="D254" s="254">
        <f ca="1">IFERROR(__xludf.DUMMYFUNCTION("""COMPUTED_VALUE"""),943)</f>
        <v>943</v>
      </c>
    </row>
    <row r="255" spans="1:4" ht="13.2">
      <c r="A255" s="16">
        <f ca="1">IFERROR(__xludf.DUMMYFUNCTION("""COMPUTED_VALUE"""),88)</f>
        <v>88</v>
      </c>
      <c r="B255" t="str">
        <f ca="1">IFERROR(__xludf.DUMMYFUNCTION("""COMPUTED_VALUE"""),"Figurine of wondrous power (golden lions)")</f>
        <v>Figurine of wondrous power (golden lions)</v>
      </c>
      <c r="C255" s="16" t="str">
        <f ca="1">IFERROR(__xludf.DUMMYFUNCTION("""COMPUTED_VALUE"""),"Magic")</f>
        <v>Magic</v>
      </c>
      <c r="D255" s="254">
        <f ca="1">IFERROR(__xludf.DUMMYFUNCTION("""COMPUTED_VALUE"""),925)</f>
        <v>925</v>
      </c>
    </row>
    <row r="256" spans="1:4" ht="13.2">
      <c r="A256" s="16">
        <f ca="1">IFERROR(__xludf.DUMMYFUNCTION("""COMPUTED_VALUE"""),89)</f>
        <v>89</v>
      </c>
      <c r="B256" t="str">
        <f ca="1">IFERROR(__xludf.DUMMYFUNCTION("""COMPUTED_VALUE"""),"Figurine of wondrous power (ivory goats)")</f>
        <v>Figurine of wondrous power (ivory goats)</v>
      </c>
      <c r="C256" s="16" t="str">
        <f ca="1">IFERROR(__xludf.DUMMYFUNCTION("""COMPUTED_VALUE"""),"Magic")</f>
        <v>Magic</v>
      </c>
      <c r="D256" s="254">
        <f ca="1">IFERROR(__xludf.DUMMYFUNCTION("""COMPUTED_VALUE"""),943)</f>
        <v>943</v>
      </c>
    </row>
    <row r="257" spans="1:4" ht="13.2">
      <c r="A257" s="16">
        <f ca="1">IFERROR(__xludf.DUMMYFUNCTION("""COMPUTED_VALUE"""),90)</f>
        <v>90</v>
      </c>
      <c r="B257" t="str">
        <f ca="1">IFERROR(__xludf.DUMMYFUNCTION("""COMPUTED_VALUE"""),"Figurine of wondrous power (marble elephant)")</f>
        <v>Figurine of wondrous power (marble elephant)</v>
      </c>
      <c r="C257" s="16" t="str">
        <f ca="1">IFERROR(__xludf.DUMMYFUNCTION("""COMPUTED_VALUE"""),"Magic")</f>
        <v>Magic</v>
      </c>
      <c r="D257" s="254">
        <f ca="1">IFERROR(__xludf.DUMMYFUNCTION("""COMPUTED_VALUE"""),925)</f>
        <v>925</v>
      </c>
    </row>
    <row r="258" spans="1:4" ht="13.2">
      <c r="A258" s="16">
        <f ca="1">IFERROR(__xludf.DUMMYFUNCTION("""COMPUTED_VALUE"""),91)</f>
        <v>91</v>
      </c>
      <c r="B258" t="str">
        <f ca="1">IFERROR(__xludf.DUMMYFUNCTION("""COMPUTED_VALUE"""),"Figurine of wondrous power (obsidian steed)")</f>
        <v>Figurine of wondrous power (obsidian steed)</v>
      </c>
      <c r="C258" s="16" t="str">
        <f ca="1">IFERROR(__xludf.DUMMYFUNCTION("""COMPUTED_VALUE"""),"Magic")</f>
        <v>Magic</v>
      </c>
      <c r="D258" s="254">
        <f ca="1">IFERROR(__xludf.DUMMYFUNCTION("""COMPUTED_VALUE"""),1588)</f>
        <v>1588</v>
      </c>
    </row>
    <row r="259" spans="1:4" ht="13.2">
      <c r="A259" s="16">
        <f ca="1">IFERROR(__xludf.DUMMYFUNCTION("""COMPUTED_VALUE"""),92)</f>
        <v>92</v>
      </c>
      <c r="B259" t="str">
        <f ca="1">IFERROR(__xludf.DUMMYFUNCTION("""COMPUTED_VALUE"""),"Figurine of wondrous power (onyx dog)")</f>
        <v>Figurine of wondrous power (onyx dog)</v>
      </c>
      <c r="C259" s="16" t="str">
        <f ca="1">IFERROR(__xludf.DUMMYFUNCTION("""COMPUTED_VALUE"""),"Magic")</f>
        <v>Magic</v>
      </c>
      <c r="D259" s="254">
        <f ca="1">IFERROR(__xludf.DUMMYFUNCTION("""COMPUTED_VALUE"""),928)</f>
        <v>928</v>
      </c>
    </row>
    <row r="260" spans="1:4" ht="13.2">
      <c r="A260" s="16">
        <f ca="1">IFERROR(__xludf.DUMMYFUNCTION("""COMPUTED_VALUE"""),93)</f>
        <v>93</v>
      </c>
      <c r="B260" t="str">
        <f ca="1">IFERROR(__xludf.DUMMYFUNCTION("""COMPUTED_VALUE"""),"Figurine of wondrous power (serpentine owl)")</f>
        <v>Figurine of wondrous power (serpentine owl)</v>
      </c>
      <c r="C260" s="16" t="str">
        <f ca="1">IFERROR(__xludf.DUMMYFUNCTION("""COMPUTED_VALUE"""),"Magic")</f>
        <v>Magic</v>
      </c>
      <c r="D260" s="254">
        <f ca="1">IFERROR(__xludf.DUMMYFUNCTION("""COMPUTED_VALUE"""),946)</f>
        <v>946</v>
      </c>
    </row>
    <row r="261" spans="1:4" ht="13.2">
      <c r="A261" s="16">
        <f ca="1">IFERROR(__xludf.DUMMYFUNCTION("""COMPUTED_VALUE"""),94)</f>
        <v>94</v>
      </c>
      <c r="B261" t="str">
        <f ca="1">IFERROR(__xludf.DUMMYFUNCTION("""COMPUTED_VALUE"""),"Figurine of wondrous power (silver raven)")</f>
        <v>Figurine of wondrous power (silver raven)</v>
      </c>
      <c r="C261" s="16" t="str">
        <f ca="1">IFERROR(__xludf.DUMMYFUNCTION("""COMPUTED_VALUE"""),"Magic")</f>
        <v>Magic</v>
      </c>
      <c r="D261" s="254">
        <f ca="1">IFERROR(__xludf.DUMMYFUNCTION("""COMPUTED_VALUE"""),372)</f>
        <v>372</v>
      </c>
    </row>
    <row r="262" spans="1:4" ht="13.2">
      <c r="A262" s="16">
        <f ca="1">IFERROR(__xludf.DUMMYFUNCTION("""COMPUTED_VALUE"""),95)</f>
        <v>95</v>
      </c>
      <c r="B262" t="str">
        <f ca="1">IFERROR(__xludf.DUMMYFUNCTION("""COMPUTED_VALUE"""),"Flame tongue")</f>
        <v>Flame tongue</v>
      </c>
      <c r="C262" s="16" t="str">
        <f ca="1">IFERROR(__xludf.DUMMYFUNCTION("""COMPUTED_VALUE"""),"Magic")</f>
        <v>Magic</v>
      </c>
      <c r="D262" s="254">
        <f ca="1">IFERROR(__xludf.DUMMYFUNCTION("""COMPUTED_VALUE"""),946)</f>
        <v>946</v>
      </c>
    </row>
    <row r="263" spans="1:4" ht="13.2">
      <c r="A263" s="16">
        <f ca="1">IFERROR(__xludf.DUMMYFUNCTION("""COMPUTED_VALUE"""),96)</f>
        <v>96</v>
      </c>
      <c r="B263" t="str">
        <f ca="1">IFERROR(__xludf.DUMMYFUNCTION("""COMPUTED_VALUE"""),"Folding boat")</f>
        <v>Folding boat</v>
      </c>
      <c r="C263" s="16" t="str">
        <f ca="1">IFERROR(__xludf.DUMMYFUNCTION("""COMPUTED_VALUE"""),"Magic")</f>
        <v>Magic</v>
      </c>
      <c r="D263" s="254">
        <f ca="1">IFERROR(__xludf.DUMMYFUNCTION("""COMPUTED_VALUE"""),928)</f>
        <v>928</v>
      </c>
    </row>
    <row r="264" spans="1:4" ht="13.2">
      <c r="A264" s="16">
        <f ca="1">IFERROR(__xludf.DUMMYFUNCTION("""COMPUTED_VALUE"""),97)</f>
        <v>97</v>
      </c>
      <c r="B264" t="str">
        <f ca="1">IFERROR(__xludf.DUMMYFUNCTION("""COMPUTED_VALUE"""),"Frost brand")</f>
        <v>Frost brand</v>
      </c>
      <c r="C264" s="16" t="str">
        <f ca="1">IFERROR(__xludf.DUMMYFUNCTION("""COMPUTED_VALUE"""),"Magic")</f>
        <v>Magic</v>
      </c>
      <c r="D264" s="254">
        <f ca="1">IFERROR(__xludf.DUMMYFUNCTION("""COMPUTED_VALUE"""),1592)</f>
        <v>1592</v>
      </c>
    </row>
    <row r="265" spans="1:4" ht="13.2">
      <c r="A265" s="16">
        <f ca="1">IFERROR(__xludf.DUMMYFUNCTION("""COMPUTED_VALUE"""),98)</f>
        <v>98</v>
      </c>
      <c r="B265" t="str">
        <f ca="1">IFERROR(__xludf.DUMMYFUNCTION("""COMPUTED_VALUE"""),"Gauntlets of ogre power")</f>
        <v>Gauntlets of ogre power</v>
      </c>
      <c r="C265" s="16" t="str">
        <f ca="1">IFERROR(__xludf.DUMMYFUNCTION("""COMPUTED_VALUE"""),"Magic")</f>
        <v>Magic</v>
      </c>
      <c r="D265" s="254">
        <f ca="1">IFERROR(__xludf.DUMMYFUNCTION("""COMPUTED_VALUE"""),374)</f>
        <v>374</v>
      </c>
    </row>
    <row r="266" spans="1:4" ht="13.2">
      <c r="A266" s="16">
        <f ca="1">IFERROR(__xludf.DUMMYFUNCTION("""COMPUTED_VALUE"""),99)</f>
        <v>99</v>
      </c>
      <c r="B266" t="str">
        <f ca="1">IFERROR(__xludf.DUMMYFUNCTION("""COMPUTED_VALUE"""),"Gem of brightness")</f>
        <v>Gem of brightness</v>
      </c>
      <c r="C266" s="16" t="str">
        <f ca="1">IFERROR(__xludf.DUMMYFUNCTION("""COMPUTED_VALUE"""),"Magic")</f>
        <v>Magic</v>
      </c>
      <c r="D266" s="254">
        <f ca="1">IFERROR(__xludf.DUMMYFUNCTION("""COMPUTED_VALUE"""),386)</f>
        <v>386</v>
      </c>
    </row>
    <row r="267" spans="1:4" ht="13.2">
      <c r="A267" s="16">
        <f ca="1">IFERROR(__xludf.DUMMYFUNCTION("""COMPUTED_VALUE"""),100)</f>
        <v>100</v>
      </c>
      <c r="B267" t="str">
        <f ca="1">IFERROR(__xludf.DUMMYFUNCTION("""COMPUTED_VALUE"""),"Gem of seeing")</f>
        <v>Gem of seeing</v>
      </c>
      <c r="C267" s="16" t="str">
        <f ca="1">IFERROR(__xludf.DUMMYFUNCTION("""COMPUTED_VALUE"""),"Magic")</f>
        <v>Magic</v>
      </c>
      <c r="D267" s="254">
        <f ca="1">IFERROR(__xludf.DUMMYFUNCTION("""COMPUTED_VALUE"""),931)</f>
        <v>931</v>
      </c>
    </row>
    <row r="268" spans="1:4" ht="13.2">
      <c r="A268" s="16">
        <f ca="1">IFERROR(__xludf.DUMMYFUNCTION("""COMPUTED_VALUE"""),101)</f>
        <v>101</v>
      </c>
      <c r="B268" t="str">
        <f ca="1">IFERROR(__xludf.DUMMYFUNCTION("""COMPUTED_VALUE"""),"Giant slayer")</f>
        <v>Giant slayer</v>
      </c>
      <c r="C268" s="16" t="str">
        <f ca="1">IFERROR(__xludf.DUMMYFUNCTION("""COMPUTED_VALUE"""),"Magic")</f>
        <v>Magic</v>
      </c>
      <c r="D268" s="254">
        <f ca="1">IFERROR(__xludf.DUMMYFUNCTION("""COMPUTED_VALUE"""),949)</f>
        <v>949</v>
      </c>
    </row>
    <row r="269" spans="1:4" ht="13.2">
      <c r="A269" s="16">
        <f ca="1">IFERROR(__xludf.DUMMYFUNCTION("""COMPUTED_VALUE"""),102)</f>
        <v>102</v>
      </c>
      <c r="B269" t="str">
        <f ca="1">IFERROR(__xludf.DUMMYFUNCTION("""COMPUTED_VALUE"""),"Glamoured studded leather")</f>
        <v>Glamoured studded leather</v>
      </c>
      <c r="C269" s="16" t="str">
        <f ca="1">IFERROR(__xludf.DUMMYFUNCTION("""COMPUTED_VALUE"""),"Magic")</f>
        <v>Magic</v>
      </c>
      <c r="D269" s="254">
        <f ca="1">IFERROR(__xludf.DUMMYFUNCTION("""COMPUTED_VALUE"""),931)</f>
        <v>931</v>
      </c>
    </row>
    <row r="270" spans="1:4" ht="13.2">
      <c r="A270" s="16">
        <f ca="1">IFERROR(__xludf.DUMMYFUNCTION("""COMPUTED_VALUE"""),103)</f>
        <v>103</v>
      </c>
      <c r="B270" t="str">
        <f ca="1">IFERROR(__xludf.DUMMYFUNCTION("""COMPUTED_VALUE"""),"Gloves of missile snaring")</f>
        <v>Gloves of missile snaring</v>
      </c>
      <c r="C270" s="16" t="str">
        <f ca="1">IFERROR(__xludf.DUMMYFUNCTION("""COMPUTED_VALUE"""),"Magic")</f>
        <v>Magic</v>
      </c>
      <c r="D270" s="254">
        <f ca="1">IFERROR(__xludf.DUMMYFUNCTION("""COMPUTED_VALUE"""),388)</f>
        <v>388</v>
      </c>
    </row>
    <row r="271" spans="1:4" ht="13.2">
      <c r="A271" s="16">
        <f ca="1">IFERROR(__xludf.DUMMYFUNCTION("""COMPUTED_VALUE"""),104)</f>
        <v>104</v>
      </c>
      <c r="B271" t="str">
        <f ca="1">IFERROR(__xludf.DUMMYFUNCTION("""COMPUTED_VALUE"""),"Gloves of swimming and climbing")</f>
        <v>Gloves of swimming and climbing</v>
      </c>
      <c r="C271" s="16" t="str">
        <f ca="1">IFERROR(__xludf.DUMMYFUNCTION("""COMPUTED_VALUE"""),"Magic")</f>
        <v>Magic</v>
      </c>
      <c r="D271" s="254">
        <f ca="1">IFERROR(__xludf.DUMMYFUNCTION("""COMPUTED_VALUE"""),376)</f>
        <v>376</v>
      </c>
    </row>
    <row r="272" spans="1:4" ht="13.2">
      <c r="A272" s="16">
        <f ca="1">IFERROR(__xludf.DUMMYFUNCTION("""COMPUTED_VALUE"""),105)</f>
        <v>105</v>
      </c>
      <c r="B272" t="str">
        <f ca="1">IFERROR(__xludf.DUMMYFUNCTION("""COMPUTED_VALUE"""),"Gloves of thievery")</f>
        <v>Gloves of thievery</v>
      </c>
      <c r="C272" s="16" t="str">
        <f ca="1">IFERROR(__xludf.DUMMYFUNCTION("""COMPUTED_VALUE"""),"Magic")</f>
        <v>Magic</v>
      </c>
      <c r="D272" s="254">
        <f ca="1">IFERROR(__xludf.DUMMYFUNCTION("""COMPUTED_VALUE"""),388)</f>
        <v>388</v>
      </c>
    </row>
    <row r="273" spans="1:4" ht="13.2">
      <c r="A273" s="16">
        <f ca="1">IFERROR(__xludf.DUMMYFUNCTION("""COMPUTED_VALUE"""),106)</f>
        <v>106</v>
      </c>
      <c r="B273" t="str">
        <f ca="1">IFERROR(__xludf.DUMMYFUNCTION("""COMPUTED_VALUE"""),"Goggles of night")</f>
        <v>Goggles of night</v>
      </c>
      <c r="C273" s="16" t="str">
        <f ca="1">IFERROR(__xludf.DUMMYFUNCTION("""COMPUTED_VALUE"""),"Magic")</f>
        <v>Magic</v>
      </c>
      <c r="D273" s="254">
        <f ca="1">IFERROR(__xludf.DUMMYFUNCTION("""COMPUTED_VALUE"""),376)</f>
        <v>376</v>
      </c>
    </row>
    <row r="274" spans="1:4" ht="13.2">
      <c r="A274" s="16">
        <f ca="1">IFERROR(__xludf.DUMMYFUNCTION("""COMPUTED_VALUE"""),107)</f>
        <v>107</v>
      </c>
      <c r="B274" t="str">
        <f ca="1">IFERROR(__xludf.DUMMYFUNCTION("""COMPUTED_VALUE"""),"Hammer of thunderbolts")</f>
        <v>Hammer of thunderbolts</v>
      </c>
      <c r="C274" s="16" t="str">
        <f ca="1">IFERROR(__xludf.DUMMYFUNCTION("""COMPUTED_VALUE"""),"Magic")</f>
        <v>Magic</v>
      </c>
      <c r="D274" s="254">
        <f ca="1">IFERROR(__xludf.DUMMYFUNCTION("""COMPUTED_VALUE"""),3070)</f>
        <v>3070</v>
      </c>
    </row>
    <row r="275" spans="1:4" ht="13.2">
      <c r="A275" s="16">
        <f ca="1">IFERROR(__xludf.DUMMYFUNCTION("""COMPUTED_VALUE"""),108)</f>
        <v>108</v>
      </c>
      <c r="B275" t="str">
        <f ca="1">IFERROR(__xludf.DUMMYFUNCTION("""COMPUTED_VALUE"""),"Hat of disguise")</f>
        <v>Hat of disguise</v>
      </c>
      <c r="C275" s="16" t="str">
        <f ca="1">IFERROR(__xludf.DUMMYFUNCTION("""COMPUTED_VALUE"""),"Magic")</f>
        <v>Magic</v>
      </c>
      <c r="D275" s="254">
        <f ca="1">IFERROR(__xludf.DUMMYFUNCTION("""COMPUTED_VALUE"""),376)</f>
        <v>376</v>
      </c>
    </row>
    <row r="276" spans="1:4" ht="13.2">
      <c r="A276" s="16">
        <f ca="1">IFERROR(__xludf.DUMMYFUNCTION("""COMPUTED_VALUE"""),109)</f>
        <v>109</v>
      </c>
      <c r="B276" t="str">
        <f ca="1">IFERROR(__xludf.DUMMYFUNCTION("""COMPUTED_VALUE"""),"Headband of intellect")</f>
        <v>Headband of intellect</v>
      </c>
      <c r="C276" s="16" t="str">
        <f ca="1">IFERROR(__xludf.DUMMYFUNCTION("""COMPUTED_VALUE"""),"Magic")</f>
        <v>Magic</v>
      </c>
      <c r="D276" s="254">
        <f ca="1">IFERROR(__xludf.DUMMYFUNCTION("""COMPUTED_VALUE"""),366)</f>
        <v>366</v>
      </c>
    </row>
    <row r="277" spans="1:4" ht="13.2">
      <c r="A277" s="16">
        <f ca="1">IFERROR(__xludf.DUMMYFUNCTION("""COMPUTED_VALUE"""),110)</f>
        <v>110</v>
      </c>
      <c r="B277" t="str">
        <f ca="1">IFERROR(__xludf.DUMMYFUNCTION("""COMPUTED_VALUE"""),"Helm of brilliance")</f>
        <v>Helm of brilliance</v>
      </c>
      <c r="C277" s="16" t="str">
        <f ca="1">IFERROR(__xludf.DUMMYFUNCTION("""COMPUTED_VALUE"""),"Magic")</f>
        <v>Magic</v>
      </c>
      <c r="D277" s="254">
        <f ca="1">IFERROR(__xludf.DUMMYFUNCTION("""COMPUTED_VALUE"""),1576)</f>
        <v>1576</v>
      </c>
    </row>
    <row r="278" spans="1:4" ht="13.2">
      <c r="A278" s="16">
        <f ca="1">IFERROR(__xludf.DUMMYFUNCTION("""COMPUTED_VALUE"""),111)</f>
        <v>111</v>
      </c>
      <c r="B278" t="str">
        <f ca="1">IFERROR(__xludf.DUMMYFUNCTION("""COMPUTED_VALUE"""),"Helm of comprehending languages")</f>
        <v>Helm of comprehending languages</v>
      </c>
      <c r="C278" s="16" t="str">
        <f ca="1">IFERROR(__xludf.DUMMYFUNCTION("""COMPUTED_VALUE"""),"Magic")</f>
        <v>Magic</v>
      </c>
      <c r="D278" s="254">
        <f ca="1">IFERROR(__xludf.DUMMYFUNCTION("""COMPUTED_VALUE"""),366)</f>
        <v>366</v>
      </c>
    </row>
    <row r="279" spans="1:4" ht="13.2">
      <c r="A279" s="16">
        <f ca="1">IFERROR(__xludf.DUMMYFUNCTION("""COMPUTED_VALUE"""),112)</f>
        <v>112</v>
      </c>
      <c r="B279" t="str">
        <f ca="1">IFERROR(__xludf.DUMMYFUNCTION("""COMPUTED_VALUE"""),"Helm of telepathy")</f>
        <v>Helm of telepathy</v>
      </c>
      <c r="C279" s="16" t="str">
        <f ca="1">IFERROR(__xludf.DUMMYFUNCTION("""COMPUTED_VALUE"""),"Magic")</f>
        <v>Magic</v>
      </c>
      <c r="D279" s="254">
        <f ca="1">IFERROR(__xludf.DUMMYFUNCTION("""COMPUTED_VALUE"""),378)</f>
        <v>378</v>
      </c>
    </row>
    <row r="280" spans="1:4" ht="13.2">
      <c r="A280" s="16">
        <f ca="1">IFERROR(__xludf.DUMMYFUNCTION("""COMPUTED_VALUE"""),113)</f>
        <v>113</v>
      </c>
      <c r="B280" t="str">
        <f ca="1">IFERROR(__xludf.DUMMYFUNCTION("""COMPUTED_VALUE"""),"Helm of teleportation")</f>
        <v>Helm of teleportation</v>
      </c>
      <c r="C280" s="16" t="str">
        <f ca="1">IFERROR(__xludf.DUMMYFUNCTION("""COMPUTED_VALUE"""),"Magic")</f>
        <v>Magic</v>
      </c>
      <c r="D280" s="254">
        <f ca="1">IFERROR(__xludf.DUMMYFUNCTION("""COMPUTED_VALUE"""),919)</f>
        <v>919</v>
      </c>
    </row>
    <row r="281" spans="1:4" ht="13.2">
      <c r="A281" s="16">
        <f ca="1">IFERROR(__xludf.DUMMYFUNCTION("""COMPUTED_VALUE"""),114)</f>
        <v>114</v>
      </c>
      <c r="B281" t="str">
        <f ca="1">IFERROR(__xludf.DUMMYFUNCTION("""COMPUTED_VALUE"""),"Heward’s handy haversack")</f>
        <v>Heward’s handy haversack</v>
      </c>
      <c r="C281" s="16" t="str">
        <f ca="1">IFERROR(__xludf.DUMMYFUNCTION("""COMPUTED_VALUE"""),"Magic")</f>
        <v>Magic</v>
      </c>
      <c r="D281" s="254">
        <f ca="1">IFERROR(__xludf.DUMMYFUNCTION("""COMPUTED_VALUE"""),937)</f>
        <v>937</v>
      </c>
    </row>
    <row r="282" spans="1:4" ht="13.2">
      <c r="A282" s="16">
        <f ca="1">IFERROR(__xludf.DUMMYFUNCTION("""COMPUTED_VALUE"""),115)</f>
        <v>115</v>
      </c>
      <c r="B282" t="str">
        <f ca="1">IFERROR(__xludf.DUMMYFUNCTION("""COMPUTED_VALUE"""),"Holy avenger")</f>
        <v>Holy avenger</v>
      </c>
      <c r="C282" s="16" t="str">
        <f ca="1">IFERROR(__xludf.DUMMYFUNCTION("""COMPUTED_VALUE"""),"Magic")</f>
        <v>Magic</v>
      </c>
      <c r="D282" s="254">
        <f ca="1">IFERROR(__xludf.DUMMYFUNCTION("""COMPUTED_VALUE"""),3020)</f>
        <v>3020</v>
      </c>
    </row>
    <row r="283" spans="1:4" ht="13.2">
      <c r="A283" s="16">
        <f ca="1">IFERROR(__xludf.DUMMYFUNCTION("""COMPUTED_VALUE"""),116)</f>
        <v>116</v>
      </c>
      <c r="B283" t="str">
        <f ca="1">IFERROR(__xludf.DUMMYFUNCTION("""COMPUTED_VALUE"""),"Horn of blasting")</f>
        <v>Horn of blasting</v>
      </c>
      <c r="C283" s="16" t="str">
        <f ca="1">IFERROR(__xludf.DUMMYFUNCTION("""COMPUTED_VALUE"""),"Magic")</f>
        <v>Magic</v>
      </c>
      <c r="D283" s="254">
        <f ca="1">IFERROR(__xludf.DUMMYFUNCTION("""COMPUTED_VALUE"""),940)</f>
        <v>940</v>
      </c>
    </row>
    <row r="284" spans="1:4" ht="13.2">
      <c r="A284" s="16">
        <f ca="1">IFERROR(__xludf.DUMMYFUNCTION("""COMPUTED_VALUE"""),117)</f>
        <v>117</v>
      </c>
      <c r="B284" t="str">
        <f ca="1">IFERROR(__xludf.DUMMYFUNCTION("""COMPUTED_VALUE"""),"Horn of valhalla (bronze)")</f>
        <v>Horn of valhalla (bronze)</v>
      </c>
      <c r="C284" s="16" t="str">
        <f ca="1">IFERROR(__xludf.DUMMYFUNCTION("""COMPUTED_VALUE"""),"Magic")</f>
        <v>Magic</v>
      </c>
      <c r="D284" s="254">
        <f ca="1">IFERROR(__xludf.DUMMYFUNCTION("""COMPUTED_VALUE"""),1556)</f>
        <v>1556</v>
      </c>
    </row>
    <row r="285" spans="1:4" ht="13.2">
      <c r="A285" s="16">
        <f ca="1">IFERROR(__xludf.DUMMYFUNCTION("""COMPUTED_VALUE"""),118)</f>
        <v>118</v>
      </c>
      <c r="B285" t="str">
        <f ca="1">IFERROR(__xludf.DUMMYFUNCTION("""COMPUTED_VALUE"""),"Horn of valhalla (iron)")</f>
        <v>Horn of valhalla (iron)</v>
      </c>
      <c r="C285" s="16" t="str">
        <f ca="1">IFERROR(__xludf.DUMMYFUNCTION("""COMPUTED_VALUE"""),"Magic")</f>
        <v>Magic</v>
      </c>
      <c r="D285" s="254">
        <f ca="1">IFERROR(__xludf.DUMMYFUNCTION("""COMPUTED_VALUE"""),3050)</f>
        <v>3050</v>
      </c>
    </row>
    <row r="286" spans="1:4" ht="13.2">
      <c r="A286" s="16">
        <f ca="1">IFERROR(__xludf.DUMMYFUNCTION("""COMPUTED_VALUE"""),119)</f>
        <v>119</v>
      </c>
      <c r="B286" t="str">
        <f ca="1">IFERROR(__xludf.DUMMYFUNCTION("""COMPUTED_VALUE"""),"Horn of valhalla (silver or brass)")</f>
        <v>Horn of valhalla (silver or brass)</v>
      </c>
      <c r="C286" s="16" t="str">
        <f ca="1">IFERROR(__xludf.DUMMYFUNCTION("""COMPUTED_VALUE"""),"Magic")</f>
        <v>Magic</v>
      </c>
      <c r="D286" s="254">
        <f ca="1">IFERROR(__xludf.DUMMYFUNCTION("""COMPUTED_VALUE"""),922)</f>
        <v>922</v>
      </c>
    </row>
    <row r="287" spans="1:4" ht="13.2">
      <c r="A287" s="16">
        <f ca="1">IFERROR(__xludf.DUMMYFUNCTION("""COMPUTED_VALUE"""),120)</f>
        <v>120</v>
      </c>
      <c r="B287" t="str">
        <f ca="1">IFERROR(__xludf.DUMMYFUNCTION("""COMPUTED_VALUE"""),"Horseshoes of a zephyr")</f>
        <v>Horseshoes of a zephyr</v>
      </c>
      <c r="C287" s="16" t="str">
        <f ca="1">IFERROR(__xludf.DUMMYFUNCTION("""COMPUTED_VALUE"""),"Magic")</f>
        <v>Magic</v>
      </c>
      <c r="D287" s="254">
        <f ca="1">IFERROR(__xludf.DUMMYFUNCTION("""COMPUTED_VALUE"""),1580)</f>
        <v>1580</v>
      </c>
    </row>
    <row r="288" spans="1:4" ht="13.2">
      <c r="A288" s="16">
        <f ca="1">IFERROR(__xludf.DUMMYFUNCTION("""COMPUTED_VALUE"""),121)</f>
        <v>121</v>
      </c>
      <c r="B288" t="str">
        <f ca="1">IFERROR(__xludf.DUMMYFUNCTION("""COMPUTED_VALUE"""),"Horseshoes of speed")</f>
        <v>Horseshoes of speed</v>
      </c>
      <c r="C288" s="16" t="str">
        <f ca="1">IFERROR(__xludf.DUMMYFUNCTION("""COMPUTED_VALUE"""),"Magic")</f>
        <v>Magic</v>
      </c>
      <c r="D288" s="254">
        <f ca="1">IFERROR(__xludf.DUMMYFUNCTION("""COMPUTED_VALUE"""),925)</f>
        <v>925</v>
      </c>
    </row>
    <row r="289" spans="1:4" ht="13.2">
      <c r="A289" s="16">
        <f ca="1">IFERROR(__xludf.DUMMYFUNCTION("""COMPUTED_VALUE"""),122)</f>
        <v>122</v>
      </c>
      <c r="B289" t="str">
        <f ca="1">IFERROR(__xludf.DUMMYFUNCTION("""COMPUTED_VALUE"""),"Immovable rod")</f>
        <v>Immovable rod</v>
      </c>
      <c r="C289" s="16" t="str">
        <f ca="1">IFERROR(__xludf.DUMMYFUNCTION("""COMPUTED_VALUE"""),"Magic")</f>
        <v>Magic</v>
      </c>
      <c r="D289" s="254">
        <f ca="1">IFERROR(__xludf.DUMMYFUNCTION("""COMPUTED_VALUE"""),382)</f>
        <v>382</v>
      </c>
    </row>
    <row r="290" spans="1:4" ht="13.2">
      <c r="A290" s="16">
        <f ca="1">IFERROR(__xludf.DUMMYFUNCTION("""COMPUTED_VALUE"""),123)</f>
        <v>123</v>
      </c>
      <c r="B290" t="str">
        <f ca="1">IFERROR(__xludf.DUMMYFUNCTION("""COMPUTED_VALUE"""),"Instrument of the bard (Anstruth harp)")</f>
        <v>Instrument of the bard (Anstruth harp)</v>
      </c>
      <c r="C290" s="16" t="str">
        <f ca="1">IFERROR(__xludf.DUMMYFUNCTION("""COMPUTED_VALUE"""),"Magic")</f>
        <v>Magic</v>
      </c>
      <c r="D290" s="254">
        <f ca="1">IFERROR(__xludf.DUMMYFUNCTION("""COMPUTED_VALUE"""),1560)</f>
        <v>1560</v>
      </c>
    </row>
    <row r="291" spans="1:4" ht="13.2">
      <c r="A291" s="16">
        <f ca="1">IFERROR(__xludf.DUMMYFUNCTION("""COMPUTED_VALUE"""),124)</f>
        <v>124</v>
      </c>
      <c r="B291" t="str">
        <f ca="1">IFERROR(__xludf.DUMMYFUNCTION("""COMPUTED_VALUE"""),"Instrument of the bard (Canaith mandolin)")</f>
        <v>Instrument of the bard (Canaith mandolin)</v>
      </c>
      <c r="C291" s="16" t="str">
        <f ca="1">IFERROR(__xludf.DUMMYFUNCTION("""COMPUTED_VALUE"""),"Magic")</f>
        <v>Magic</v>
      </c>
      <c r="D291" s="254">
        <f ca="1">IFERROR(__xludf.DUMMYFUNCTION("""COMPUTED_VALUE"""),943)</f>
        <v>943</v>
      </c>
    </row>
    <row r="292" spans="1:4" ht="13.2">
      <c r="A292" s="16">
        <f ca="1">IFERROR(__xludf.DUMMYFUNCTION("""COMPUTED_VALUE"""),125)</f>
        <v>125</v>
      </c>
      <c r="B292" t="str">
        <f ca="1">IFERROR(__xludf.DUMMYFUNCTION("""COMPUTED_VALUE"""),"Instrument of the bard (Cli lyre)")</f>
        <v>Instrument of the bard (Cli lyre)</v>
      </c>
      <c r="C292" s="16" t="str">
        <f ca="1">IFERROR(__xludf.DUMMYFUNCTION("""COMPUTED_VALUE"""),"Magic")</f>
        <v>Magic</v>
      </c>
      <c r="D292" s="254">
        <f ca="1">IFERROR(__xludf.DUMMYFUNCTION("""COMPUTED_VALUE"""),925)</f>
        <v>925</v>
      </c>
    </row>
    <row r="293" spans="1:4" ht="13.2">
      <c r="A293" s="16">
        <f ca="1">IFERROR(__xludf.DUMMYFUNCTION("""COMPUTED_VALUE"""),126)</f>
        <v>126</v>
      </c>
      <c r="B293" t="str">
        <f ca="1">IFERROR(__xludf.DUMMYFUNCTION("""COMPUTED_VALUE"""),"Instrument of the bard (Doss lute)")</f>
        <v>Instrument of the bard (Doss lute)</v>
      </c>
      <c r="C293" s="16" t="str">
        <f ca="1">IFERROR(__xludf.DUMMYFUNCTION("""COMPUTED_VALUE"""),"Magic")</f>
        <v>Magic</v>
      </c>
      <c r="D293" s="254">
        <f ca="1">IFERROR(__xludf.DUMMYFUNCTION("""COMPUTED_VALUE"""),382)</f>
        <v>382</v>
      </c>
    </row>
    <row r="294" spans="1:4" ht="13.2">
      <c r="A294" s="16">
        <f ca="1">IFERROR(__xludf.DUMMYFUNCTION("""COMPUTED_VALUE"""),127)</f>
        <v>127</v>
      </c>
      <c r="B294" t="str">
        <f ca="1">IFERROR(__xludf.DUMMYFUNCTION("""COMPUTED_VALUE"""),"Instrument of the bard (Fochlucan bandore)")</f>
        <v>Instrument of the bard (Fochlucan bandore)</v>
      </c>
      <c r="C294" s="16" t="str">
        <f ca="1">IFERROR(__xludf.DUMMYFUNCTION("""COMPUTED_VALUE"""),"Magic")</f>
        <v>Magic</v>
      </c>
      <c r="D294" s="254">
        <f ca="1">IFERROR(__xludf.DUMMYFUNCTION("""COMPUTED_VALUE"""),372)</f>
        <v>372</v>
      </c>
    </row>
    <row r="295" spans="1:4" ht="13.2">
      <c r="A295" s="16">
        <f ca="1">IFERROR(__xludf.DUMMYFUNCTION("""COMPUTED_VALUE"""),128)</f>
        <v>128</v>
      </c>
      <c r="B295" t="str">
        <f ca="1">IFERROR(__xludf.DUMMYFUNCTION("""COMPUTED_VALUE"""),"Instrument of the bard (Mac-Fuirmidh cittern)")</f>
        <v>Instrument of the bard (Mac-Fuirmidh cittern)</v>
      </c>
      <c r="C295" s="16" t="str">
        <f ca="1">IFERROR(__xludf.DUMMYFUNCTION("""COMPUTED_VALUE"""),"Magic")</f>
        <v>Magic</v>
      </c>
      <c r="D295" s="254">
        <f ca="1">IFERROR(__xludf.DUMMYFUNCTION("""COMPUTED_VALUE"""),384)</f>
        <v>384</v>
      </c>
    </row>
    <row r="296" spans="1:4" ht="13.2">
      <c r="A296" s="16">
        <f ca="1">IFERROR(__xludf.DUMMYFUNCTION("""COMPUTED_VALUE"""),129)</f>
        <v>129</v>
      </c>
      <c r="B296" t="str">
        <f ca="1">IFERROR(__xludf.DUMMYFUNCTION("""COMPUTED_VALUE"""),"Instrument of the bard (Ollamh harp)")</f>
        <v>Instrument of the bard (Ollamh harp)</v>
      </c>
      <c r="C296" s="16" t="str">
        <f ca="1">IFERROR(__xludf.DUMMYFUNCTION("""COMPUTED_VALUE"""),"Magic")</f>
        <v>Magic</v>
      </c>
      <c r="D296" s="254">
        <f ca="1">IFERROR(__xludf.DUMMYFUNCTION("""COMPUTED_VALUE"""),3030)</f>
        <v>3030</v>
      </c>
    </row>
    <row r="297" spans="1:4" ht="13.2">
      <c r="A297" s="16">
        <f ca="1">IFERROR(__xludf.DUMMYFUNCTION("""COMPUTED_VALUE"""),130)</f>
        <v>130</v>
      </c>
      <c r="B297" t="str">
        <f ca="1">IFERROR(__xludf.DUMMYFUNCTION("""COMPUTED_VALUE"""),"Ioun stone (absorption)")</f>
        <v>Ioun stone (absorption)</v>
      </c>
      <c r="C297" s="16" t="str">
        <f ca="1">IFERROR(__xludf.DUMMYFUNCTION("""COMPUTED_VALUE"""),"Magic")</f>
        <v>Magic</v>
      </c>
      <c r="D297" s="254">
        <f ca="1">IFERROR(__xludf.DUMMYFUNCTION("""COMPUTED_VALUE"""),1588)</f>
        <v>1588</v>
      </c>
    </row>
    <row r="298" spans="1:4" ht="13.2">
      <c r="A298" s="16">
        <f ca="1">IFERROR(__xludf.DUMMYFUNCTION("""COMPUTED_VALUE"""),131)</f>
        <v>131</v>
      </c>
      <c r="B298" t="str">
        <f ca="1">IFERROR(__xludf.DUMMYFUNCTION("""COMPUTED_VALUE"""),"Ioun stone (agility)")</f>
        <v>Ioun stone (agility)</v>
      </c>
      <c r="C298" s="16" t="str">
        <f ca="1">IFERROR(__xludf.DUMMYFUNCTION("""COMPUTED_VALUE"""),"Magic")</f>
        <v>Magic</v>
      </c>
      <c r="D298" s="254">
        <f ca="1">IFERROR(__xludf.DUMMYFUNCTION("""COMPUTED_VALUE"""),1564)</f>
        <v>1564</v>
      </c>
    </row>
    <row r="299" spans="1:4" ht="13.2">
      <c r="A299" s="16">
        <f ca="1">IFERROR(__xludf.DUMMYFUNCTION("""COMPUTED_VALUE"""),132)</f>
        <v>132</v>
      </c>
      <c r="B299" t="str">
        <f ca="1">IFERROR(__xludf.DUMMYFUNCTION("""COMPUTED_VALUE"""),"Ioun stone (awareness)")</f>
        <v>Ioun stone (awareness)</v>
      </c>
      <c r="C299" s="16" t="str">
        <f ca="1">IFERROR(__xludf.DUMMYFUNCTION("""COMPUTED_VALUE"""),"Magic")</f>
        <v>Magic</v>
      </c>
      <c r="D299" s="254">
        <f ca="1">IFERROR(__xludf.DUMMYFUNCTION("""COMPUTED_VALUE"""),946)</f>
        <v>946</v>
      </c>
    </row>
    <row r="300" spans="1:4" ht="13.2">
      <c r="A300" s="16">
        <f ca="1">IFERROR(__xludf.DUMMYFUNCTION("""COMPUTED_VALUE"""),133)</f>
        <v>133</v>
      </c>
      <c r="B300" t="str">
        <f ca="1">IFERROR(__xludf.DUMMYFUNCTION("""COMPUTED_VALUE"""),"Ioun stone (fortitude)")</f>
        <v>Ioun stone (fortitude)</v>
      </c>
      <c r="C300" s="16" t="str">
        <f ca="1">IFERROR(__xludf.DUMMYFUNCTION("""COMPUTED_VALUE"""),"Magic")</f>
        <v>Magic</v>
      </c>
      <c r="D300" s="254">
        <f ca="1">IFERROR(__xludf.DUMMYFUNCTION("""COMPUTED_VALUE"""),1568)</f>
        <v>1568</v>
      </c>
    </row>
    <row r="301" spans="1:4" ht="13.2">
      <c r="A301" s="16">
        <f ca="1">IFERROR(__xludf.DUMMYFUNCTION("""COMPUTED_VALUE"""),134)</f>
        <v>134</v>
      </c>
      <c r="B301" t="str">
        <f ca="1">IFERROR(__xludf.DUMMYFUNCTION("""COMPUTED_VALUE"""),"Ioun stone (greater absorption)")</f>
        <v>Ioun stone (greater absorption)</v>
      </c>
      <c r="C301" s="16" t="str">
        <f ca="1">IFERROR(__xludf.DUMMYFUNCTION("""COMPUTED_VALUE"""),"Magic")</f>
        <v>Magic</v>
      </c>
      <c r="D301" s="254">
        <f ca="1">IFERROR(__xludf.DUMMYFUNCTION("""COMPUTED_VALUE"""),3065)</f>
        <v>3065</v>
      </c>
    </row>
    <row r="302" spans="1:4" ht="13.2">
      <c r="A302" s="16">
        <f ca="1">IFERROR(__xludf.DUMMYFUNCTION("""COMPUTED_VALUE"""),135)</f>
        <v>135</v>
      </c>
      <c r="B302" t="str">
        <f ca="1">IFERROR(__xludf.DUMMYFUNCTION("""COMPUTED_VALUE"""),"Ioun stone (insight)")</f>
        <v>Ioun stone (insight)</v>
      </c>
      <c r="C302" s="16" t="str">
        <f ca="1">IFERROR(__xludf.DUMMYFUNCTION("""COMPUTED_VALUE"""),"Magic")</f>
        <v>Magic</v>
      </c>
      <c r="D302" s="254">
        <f ca="1">IFERROR(__xludf.DUMMYFUNCTION("""COMPUTED_VALUE"""),1568)</f>
        <v>1568</v>
      </c>
    </row>
    <row r="303" spans="1:4" ht="13.2">
      <c r="A303" s="16">
        <f ca="1">IFERROR(__xludf.DUMMYFUNCTION("""COMPUTED_VALUE"""),136)</f>
        <v>136</v>
      </c>
      <c r="B303" t="str">
        <f ca="1">IFERROR(__xludf.DUMMYFUNCTION("""COMPUTED_VALUE"""),"Ioun stone (intellect)")</f>
        <v>Ioun stone (intellect)</v>
      </c>
      <c r="C303" s="16" t="str">
        <f ca="1">IFERROR(__xludf.DUMMYFUNCTION("""COMPUTED_VALUE"""),"Magic")</f>
        <v>Magic</v>
      </c>
      <c r="D303" s="254">
        <f ca="1">IFERROR(__xludf.DUMMYFUNCTION("""COMPUTED_VALUE"""),1592)</f>
        <v>1592</v>
      </c>
    </row>
    <row r="304" spans="1:4" ht="13.2">
      <c r="A304" s="16">
        <f ca="1">IFERROR(__xludf.DUMMYFUNCTION("""COMPUTED_VALUE"""),137)</f>
        <v>137</v>
      </c>
      <c r="B304" t="str">
        <f ca="1">IFERROR(__xludf.DUMMYFUNCTION("""COMPUTED_VALUE"""),"Ioun stone (leadership)")</f>
        <v>Ioun stone (leadership)</v>
      </c>
      <c r="C304" s="16" t="str">
        <f ca="1">IFERROR(__xludf.DUMMYFUNCTION("""COMPUTED_VALUE"""),"Magic")</f>
        <v>Magic</v>
      </c>
      <c r="D304" s="254">
        <f ca="1">IFERROR(__xludf.DUMMYFUNCTION("""COMPUTED_VALUE"""),1568)</f>
        <v>1568</v>
      </c>
    </row>
    <row r="305" spans="1:4" ht="13.2">
      <c r="A305" s="16">
        <f ca="1">IFERROR(__xludf.DUMMYFUNCTION("""COMPUTED_VALUE"""),138)</f>
        <v>138</v>
      </c>
      <c r="B305" t="str">
        <f ca="1">IFERROR(__xludf.DUMMYFUNCTION("""COMPUTED_VALUE"""),"Ioun stone (mastery)")</f>
        <v>Ioun stone (mastery)</v>
      </c>
      <c r="C305" s="16" t="str">
        <f ca="1">IFERROR(__xludf.DUMMYFUNCTION("""COMPUTED_VALUE"""),"Magic")</f>
        <v>Magic</v>
      </c>
      <c r="D305" s="254">
        <f ca="1">IFERROR(__xludf.DUMMYFUNCTION("""COMPUTED_VALUE"""),3065)</f>
        <v>3065</v>
      </c>
    </row>
    <row r="306" spans="1:4" ht="13.2">
      <c r="A306" s="16">
        <f ca="1">IFERROR(__xludf.DUMMYFUNCTION("""COMPUTED_VALUE"""),139)</f>
        <v>139</v>
      </c>
      <c r="B306" t="str">
        <f ca="1">IFERROR(__xludf.DUMMYFUNCTION("""COMPUTED_VALUE"""),"Ioun stone (protection)")</f>
        <v>Ioun stone (protection)</v>
      </c>
      <c r="C306" s="16" t="str">
        <f ca="1">IFERROR(__xludf.DUMMYFUNCTION("""COMPUTED_VALUE"""),"Magic")</f>
        <v>Magic</v>
      </c>
      <c r="D306" s="254">
        <f ca="1">IFERROR(__xludf.DUMMYFUNCTION("""COMPUTED_VALUE"""),934)</f>
        <v>934</v>
      </c>
    </row>
    <row r="307" spans="1:4" ht="13.2">
      <c r="A307" s="16">
        <f ca="1">IFERROR(__xludf.DUMMYFUNCTION("""COMPUTED_VALUE"""),140)</f>
        <v>140</v>
      </c>
      <c r="B307" t="str">
        <f ca="1">IFERROR(__xludf.DUMMYFUNCTION("""COMPUTED_VALUE"""),"Ioun stone (regeneration)")</f>
        <v>Ioun stone (regeneration)</v>
      </c>
      <c r="C307" s="16" t="str">
        <f ca="1">IFERROR(__xludf.DUMMYFUNCTION("""COMPUTED_VALUE"""),"Magic")</f>
        <v>Magic</v>
      </c>
      <c r="D307" s="254">
        <f ca="1">IFERROR(__xludf.DUMMYFUNCTION("""COMPUTED_VALUE"""),3070)</f>
        <v>3070</v>
      </c>
    </row>
    <row r="308" spans="1:4" ht="13.2">
      <c r="A308" s="16">
        <f ca="1">IFERROR(__xludf.DUMMYFUNCTION("""COMPUTED_VALUE"""),141)</f>
        <v>141</v>
      </c>
      <c r="B308" t="str">
        <f ca="1">IFERROR(__xludf.DUMMYFUNCTION("""COMPUTED_VALUE"""),"Ioun stone (reserve)")</f>
        <v>Ioun stone (reserve)</v>
      </c>
      <c r="C308" s="16" t="str">
        <f ca="1">IFERROR(__xludf.DUMMYFUNCTION("""COMPUTED_VALUE"""),"Magic")</f>
        <v>Magic</v>
      </c>
      <c r="D308" s="254">
        <f ca="1">IFERROR(__xludf.DUMMYFUNCTION("""COMPUTED_VALUE"""),934)</f>
        <v>934</v>
      </c>
    </row>
    <row r="309" spans="1:4" ht="13.2">
      <c r="A309" s="16">
        <f ca="1">IFERROR(__xludf.DUMMYFUNCTION("""COMPUTED_VALUE"""),142)</f>
        <v>142</v>
      </c>
      <c r="B309" t="str">
        <f ca="1">IFERROR(__xludf.DUMMYFUNCTION("""COMPUTED_VALUE"""),"Ioun stone (strength)")</f>
        <v>Ioun stone (strength)</v>
      </c>
      <c r="C309" s="16" t="str">
        <f ca="1">IFERROR(__xludf.DUMMYFUNCTION("""COMPUTED_VALUE"""),"Magic")</f>
        <v>Magic</v>
      </c>
      <c r="D309" s="254">
        <f ca="1">IFERROR(__xludf.DUMMYFUNCTION("""COMPUTED_VALUE"""),1596)</f>
        <v>1596</v>
      </c>
    </row>
    <row r="310" spans="1:4" ht="13.2">
      <c r="A310" s="16">
        <f ca="1">IFERROR(__xludf.DUMMYFUNCTION("""COMPUTED_VALUE"""),143)</f>
        <v>143</v>
      </c>
      <c r="B310" t="str">
        <f ca="1">IFERROR(__xludf.DUMMYFUNCTION("""COMPUTED_VALUE"""),"Ioun stone (sustenance)")</f>
        <v>Ioun stone (sustenance)</v>
      </c>
      <c r="C310" s="16" t="str">
        <f ca="1">IFERROR(__xludf.DUMMYFUNCTION("""COMPUTED_VALUE"""),"Magic")</f>
        <v>Magic</v>
      </c>
      <c r="D310" s="254">
        <f ca="1">IFERROR(__xludf.DUMMYFUNCTION("""COMPUTED_VALUE"""),934)</f>
        <v>934</v>
      </c>
    </row>
    <row r="311" spans="1:4" ht="13.2">
      <c r="A311" s="16">
        <f ca="1">IFERROR(__xludf.DUMMYFUNCTION("""COMPUTED_VALUE"""),144)</f>
        <v>144</v>
      </c>
      <c r="B311" t="str">
        <f ca="1">IFERROR(__xludf.DUMMYFUNCTION("""COMPUTED_VALUE"""),"Iron bands of bilarro")</f>
        <v>Iron bands of bilarro</v>
      </c>
      <c r="C311" s="16" t="str">
        <f ca="1">IFERROR(__xludf.DUMMYFUNCTION("""COMPUTED_VALUE"""),"Magic")</f>
        <v>Magic</v>
      </c>
      <c r="D311" s="254">
        <f ca="1">IFERROR(__xludf.DUMMYFUNCTION("""COMPUTED_VALUE"""),952)</f>
        <v>952</v>
      </c>
    </row>
    <row r="312" spans="1:4" ht="13.2">
      <c r="A312" s="16">
        <f ca="1">IFERROR(__xludf.DUMMYFUNCTION("""COMPUTED_VALUE"""),145)</f>
        <v>145</v>
      </c>
      <c r="B312" t="str">
        <f ca="1">IFERROR(__xludf.DUMMYFUNCTION("""COMPUTED_VALUE"""),"Iron flask")</f>
        <v>Iron flask</v>
      </c>
      <c r="C312" s="16" t="str">
        <f ca="1">IFERROR(__xludf.DUMMYFUNCTION("""COMPUTED_VALUE"""),"Magic")</f>
        <v>Magic</v>
      </c>
      <c r="D312" s="254">
        <f ca="1">IFERROR(__xludf.DUMMYFUNCTION("""COMPUTED_VALUE"""),3045)</f>
        <v>3045</v>
      </c>
    </row>
    <row r="313" spans="1:4" ht="13.2">
      <c r="A313" s="16">
        <f ca="1">IFERROR(__xludf.DUMMYFUNCTION("""COMPUTED_VALUE"""),146)</f>
        <v>146</v>
      </c>
      <c r="B313" t="str">
        <f ca="1">IFERROR(__xludf.DUMMYFUNCTION("""COMPUTED_VALUE"""),"Javelin of lightning")</f>
        <v>Javelin of lightning</v>
      </c>
      <c r="C313" s="16" t="str">
        <f ca="1">IFERROR(__xludf.DUMMYFUNCTION("""COMPUTED_VALUE"""),"Magic")</f>
        <v>Magic</v>
      </c>
      <c r="D313" s="254">
        <f ca="1">IFERROR(__xludf.DUMMYFUNCTION("""COMPUTED_VALUE"""),366)</f>
        <v>366</v>
      </c>
    </row>
    <row r="314" spans="1:4" ht="13.2">
      <c r="A314" s="16">
        <f ca="1">IFERROR(__xludf.DUMMYFUNCTION("""COMPUTED_VALUE"""),147)</f>
        <v>147</v>
      </c>
      <c r="B314" t="str">
        <f ca="1">IFERROR(__xludf.DUMMYFUNCTION("""COMPUTED_VALUE"""),"Keoghtom’s ointment")</f>
        <v>Keoghtom’s ointment</v>
      </c>
      <c r="C314" s="16" t="str">
        <f ca="1">IFERROR(__xludf.DUMMYFUNCTION("""COMPUTED_VALUE"""),"Magic")</f>
        <v>Magic</v>
      </c>
      <c r="D314" s="254">
        <f ca="1">IFERROR(__xludf.DUMMYFUNCTION("""COMPUTED_VALUE"""),378)</f>
        <v>378</v>
      </c>
    </row>
    <row r="315" spans="1:4" ht="13.2">
      <c r="A315" s="16">
        <f ca="1">IFERROR(__xludf.DUMMYFUNCTION("""COMPUTED_VALUE"""),148)</f>
        <v>148</v>
      </c>
      <c r="B315" t="str">
        <f ca="1">IFERROR(__xludf.DUMMYFUNCTION("""COMPUTED_VALUE"""),"Lantern of revealing")</f>
        <v>Lantern of revealing</v>
      </c>
      <c r="C315" s="16" t="str">
        <f ca="1">IFERROR(__xludf.DUMMYFUNCTION("""COMPUTED_VALUE"""),"Magic")</f>
        <v>Magic</v>
      </c>
      <c r="D315" s="254">
        <f ca="1">IFERROR(__xludf.DUMMYFUNCTION("""COMPUTED_VALUE"""),366)</f>
        <v>366</v>
      </c>
    </row>
    <row r="316" spans="1:4" ht="13.2">
      <c r="A316" s="16">
        <f ca="1">IFERROR(__xludf.DUMMYFUNCTION("""COMPUTED_VALUE"""),149)</f>
        <v>149</v>
      </c>
      <c r="B316" t="str">
        <f ca="1">IFERROR(__xludf.DUMMYFUNCTION("""COMPUTED_VALUE"""),"Luck blade")</f>
        <v>Luck blade</v>
      </c>
      <c r="C316" s="16" t="str">
        <f ca="1">IFERROR(__xludf.DUMMYFUNCTION("""COMPUTED_VALUE"""),"Magic")</f>
        <v>Magic</v>
      </c>
      <c r="D316" s="254">
        <f ca="1">IFERROR(__xludf.DUMMYFUNCTION("""COMPUTED_VALUE"""),3045)</f>
        <v>3045</v>
      </c>
    </row>
    <row r="317" spans="1:4" ht="13.2">
      <c r="A317" s="16">
        <f ca="1">IFERROR(__xludf.DUMMYFUNCTION("""COMPUTED_VALUE"""),150)</f>
        <v>150</v>
      </c>
      <c r="B317" t="str">
        <f ca="1">IFERROR(__xludf.DUMMYFUNCTION("""COMPUTED_VALUE"""),"Mace of disruption")</f>
        <v>Mace of disruption</v>
      </c>
      <c r="C317" s="16" t="str">
        <f ca="1">IFERROR(__xludf.DUMMYFUNCTION("""COMPUTED_VALUE"""),"Magic")</f>
        <v>Magic</v>
      </c>
      <c r="D317" s="254">
        <f ca="1">IFERROR(__xludf.DUMMYFUNCTION("""COMPUTED_VALUE"""),919)</f>
        <v>919</v>
      </c>
    </row>
    <row r="318" spans="1:4" ht="13.2">
      <c r="A318" s="16">
        <f ca="1">IFERROR(__xludf.DUMMYFUNCTION("""COMPUTED_VALUE"""),151)</f>
        <v>151</v>
      </c>
      <c r="B318" t="str">
        <f ca="1">IFERROR(__xludf.DUMMYFUNCTION("""COMPUTED_VALUE"""),"Mace of smiting")</f>
        <v>Mace of smiting</v>
      </c>
      <c r="C318" s="16" t="str">
        <f ca="1">IFERROR(__xludf.DUMMYFUNCTION("""COMPUTED_VALUE"""),"Magic")</f>
        <v>Magic</v>
      </c>
      <c r="D318" s="254">
        <f ca="1">IFERROR(__xludf.DUMMYFUNCTION("""COMPUTED_VALUE"""),940)</f>
        <v>940</v>
      </c>
    </row>
    <row r="319" spans="1:4" ht="13.2">
      <c r="A319" s="16">
        <f ca="1">IFERROR(__xludf.DUMMYFUNCTION("""COMPUTED_VALUE"""),152)</f>
        <v>152</v>
      </c>
      <c r="B319" t="str">
        <f ca="1">IFERROR(__xludf.DUMMYFUNCTION("""COMPUTED_VALUE"""),"Mace of terror")</f>
        <v>Mace of terror</v>
      </c>
      <c r="C319" s="16" t="str">
        <f ca="1">IFERROR(__xludf.DUMMYFUNCTION("""COMPUTED_VALUE"""),"Magic")</f>
        <v>Magic</v>
      </c>
      <c r="D319" s="254">
        <f ca="1">IFERROR(__xludf.DUMMYFUNCTION("""COMPUTED_VALUE"""),922)</f>
        <v>922</v>
      </c>
    </row>
    <row r="320" spans="1:4" ht="13.2">
      <c r="A320" s="16">
        <f ca="1">IFERROR(__xludf.DUMMYFUNCTION("""COMPUTED_VALUE"""),153)</f>
        <v>153</v>
      </c>
      <c r="B320" t="str">
        <f ca="1">IFERROR(__xludf.DUMMYFUNCTION("""COMPUTED_VALUE"""),"Mantle of spell resistance")</f>
        <v>Mantle of spell resistance</v>
      </c>
      <c r="C320" s="16" t="str">
        <f ca="1">IFERROR(__xludf.DUMMYFUNCTION("""COMPUTED_VALUE"""),"Magic")</f>
        <v>Magic</v>
      </c>
      <c r="D320" s="254">
        <f ca="1">IFERROR(__xludf.DUMMYFUNCTION("""COMPUTED_VALUE"""),940)</f>
        <v>940</v>
      </c>
    </row>
    <row r="321" spans="1:4" ht="13.2">
      <c r="A321" s="16">
        <f ca="1">IFERROR(__xludf.DUMMYFUNCTION("""COMPUTED_VALUE"""),154)</f>
        <v>154</v>
      </c>
      <c r="B321" t="str">
        <f ca="1">IFERROR(__xludf.DUMMYFUNCTION("""COMPUTED_VALUE"""),"Manual of bodily health")</f>
        <v>Manual of bodily health</v>
      </c>
      <c r="C321" s="16" t="str">
        <f ca="1">IFERROR(__xludf.DUMMYFUNCTION("""COMPUTED_VALUE"""),"Magic")</f>
        <v>Magic</v>
      </c>
      <c r="D321" s="254">
        <f ca="1">IFERROR(__xludf.DUMMYFUNCTION("""COMPUTED_VALUE"""),1556)</f>
        <v>1556</v>
      </c>
    </row>
    <row r="322" spans="1:4" ht="13.2">
      <c r="A322" s="16">
        <f ca="1">IFERROR(__xludf.DUMMYFUNCTION("""COMPUTED_VALUE"""),155)</f>
        <v>155</v>
      </c>
      <c r="B322" t="str">
        <f ca="1">IFERROR(__xludf.DUMMYFUNCTION("""COMPUTED_VALUE"""),"Manual of gainful exercise")</f>
        <v>Manual of gainful exercise</v>
      </c>
      <c r="C322" s="16" t="str">
        <f ca="1">IFERROR(__xludf.DUMMYFUNCTION("""COMPUTED_VALUE"""),"Magic")</f>
        <v>Magic</v>
      </c>
      <c r="D322" s="254">
        <f ca="1">IFERROR(__xludf.DUMMYFUNCTION("""COMPUTED_VALUE"""),1580)</f>
        <v>1580</v>
      </c>
    </row>
    <row r="323" spans="1:4" ht="13.2">
      <c r="A323" s="16">
        <f ca="1">IFERROR(__xludf.DUMMYFUNCTION("""COMPUTED_VALUE"""),156)</f>
        <v>156</v>
      </c>
      <c r="B323" t="str">
        <f ca="1">IFERROR(__xludf.DUMMYFUNCTION("""COMPUTED_VALUE"""),"Manual of golems")</f>
        <v>Manual of golems</v>
      </c>
      <c r="C323" s="16" t="str">
        <f ca="1">IFERROR(__xludf.DUMMYFUNCTION("""COMPUTED_VALUE"""),"Magic")</f>
        <v>Magic</v>
      </c>
      <c r="D323" s="254">
        <f ca="1">IFERROR(__xludf.DUMMYFUNCTION("""COMPUTED_VALUE"""),1556)</f>
        <v>1556</v>
      </c>
    </row>
    <row r="324" spans="1:4" ht="13.2">
      <c r="A324" s="16">
        <f ca="1">IFERROR(__xludf.DUMMYFUNCTION("""COMPUTED_VALUE"""),157)</f>
        <v>157</v>
      </c>
      <c r="B324" t="str">
        <f ca="1">IFERROR(__xludf.DUMMYFUNCTION("""COMPUTED_VALUE"""),"Manual of quickness of action")</f>
        <v>Manual of quickness of action</v>
      </c>
      <c r="C324" s="16" t="str">
        <f ca="1">IFERROR(__xludf.DUMMYFUNCTION("""COMPUTED_VALUE"""),"Magic")</f>
        <v>Magic</v>
      </c>
      <c r="D324" s="254">
        <f ca="1">IFERROR(__xludf.DUMMYFUNCTION("""COMPUTED_VALUE"""),1584)</f>
        <v>1584</v>
      </c>
    </row>
    <row r="325" spans="1:4" ht="13.2">
      <c r="A325" s="16">
        <f ca="1">IFERROR(__xludf.DUMMYFUNCTION("""COMPUTED_VALUE"""),158)</f>
        <v>158</v>
      </c>
      <c r="B325" t="str">
        <f ca="1">IFERROR(__xludf.DUMMYFUNCTION("""COMPUTED_VALUE"""),"Mariner’s armor")</f>
        <v>Mariner’s armor</v>
      </c>
      <c r="C325" s="16" t="str">
        <f ca="1">IFERROR(__xludf.DUMMYFUNCTION("""COMPUTED_VALUE"""),"Magic")</f>
        <v>Magic</v>
      </c>
      <c r="D325" s="254">
        <f ca="1">IFERROR(__xludf.DUMMYFUNCTION("""COMPUTED_VALUE"""),370)</f>
        <v>370</v>
      </c>
    </row>
    <row r="326" spans="1:4" ht="13.2">
      <c r="A326" s="16">
        <f ca="1">IFERROR(__xludf.DUMMYFUNCTION("""COMPUTED_VALUE"""),159)</f>
        <v>159</v>
      </c>
      <c r="B326" t="str">
        <f ca="1">IFERROR(__xludf.DUMMYFUNCTION("""COMPUTED_VALUE"""),"Medallion of thoughts")</f>
        <v>Medallion of thoughts</v>
      </c>
      <c r="C326" s="16" t="str">
        <f ca="1">IFERROR(__xludf.DUMMYFUNCTION("""COMPUTED_VALUE"""),"Magic")</f>
        <v>Magic</v>
      </c>
      <c r="D326" s="254">
        <f ca="1">IFERROR(__xludf.DUMMYFUNCTION("""COMPUTED_VALUE"""),382)</f>
        <v>382</v>
      </c>
    </row>
    <row r="327" spans="1:4" ht="13.2">
      <c r="A327" s="16">
        <f ca="1">IFERROR(__xludf.DUMMYFUNCTION("""COMPUTED_VALUE"""),160)</f>
        <v>160</v>
      </c>
      <c r="B327" t="str">
        <f ca="1">IFERROR(__xludf.DUMMYFUNCTION("""COMPUTED_VALUE"""),"Mirror of life trapping")</f>
        <v>Mirror of life trapping</v>
      </c>
      <c r="C327" s="16" t="str">
        <f ca="1">IFERROR(__xludf.DUMMYFUNCTION("""COMPUTED_VALUE"""),"Magic")</f>
        <v>Magic</v>
      </c>
      <c r="D327" s="254">
        <f ca="1">IFERROR(__xludf.DUMMYFUNCTION("""COMPUTED_VALUE"""),1560)</f>
        <v>1560</v>
      </c>
    </row>
    <row r="328" spans="1:4" ht="13.2">
      <c r="A328" s="16">
        <f ca="1">IFERROR(__xludf.DUMMYFUNCTION("""COMPUTED_VALUE"""),161)</f>
        <v>161</v>
      </c>
      <c r="B328" t="str">
        <f ca="1">IFERROR(__xludf.DUMMYFUNCTION("""COMPUTED_VALUE"""),"Mithral armor")</f>
        <v>Mithral armor</v>
      </c>
      <c r="C328" s="16" t="str">
        <f ca="1">IFERROR(__xludf.DUMMYFUNCTION("""COMPUTED_VALUE"""),"Magic")</f>
        <v>Magic</v>
      </c>
      <c r="D328" s="254">
        <f ca="1">IFERROR(__xludf.DUMMYFUNCTION("""COMPUTED_VALUE"""),382)</f>
        <v>382</v>
      </c>
    </row>
    <row r="329" spans="1:4" ht="13.2">
      <c r="A329" s="16">
        <f ca="1">IFERROR(__xludf.DUMMYFUNCTION("""COMPUTED_VALUE"""),162)</f>
        <v>162</v>
      </c>
      <c r="B329" t="str">
        <f ca="1">IFERROR(__xludf.DUMMYFUNCTION("""COMPUTED_VALUE"""),"Necklace of adaptation")</f>
        <v>Necklace of adaptation</v>
      </c>
      <c r="C329" s="16" t="str">
        <f ca="1">IFERROR(__xludf.DUMMYFUNCTION("""COMPUTED_VALUE"""),"Magic")</f>
        <v>Magic</v>
      </c>
      <c r="D329" s="254">
        <f ca="1">IFERROR(__xludf.DUMMYFUNCTION("""COMPUTED_VALUE"""),370)</f>
        <v>370</v>
      </c>
    </row>
    <row r="330" spans="1:4" ht="13.2">
      <c r="A330" s="16">
        <f ca="1">IFERROR(__xludf.DUMMYFUNCTION("""COMPUTED_VALUE"""),163)</f>
        <v>163</v>
      </c>
      <c r="B330" t="str">
        <f ca="1">IFERROR(__xludf.DUMMYFUNCTION("""COMPUTED_VALUE"""),"Necklace of fireballs")</f>
        <v>Necklace of fireballs</v>
      </c>
      <c r="C330" s="16" t="str">
        <f ca="1">IFERROR(__xludf.DUMMYFUNCTION("""COMPUTED_VALUE"""),"Magic")</f>
        <v>Magic</v>
      </c>
      <c r="D330" s="254">
        <f ca="1">IFERROR(__xludf.DUMMYFUNCTION("""COMPUTED_VALUE"""),946)</f>
        <v>946</v>
      </c>
    </row>
    <row r="331" spans="1:4" ht="13.2">
      <c r="A331" s="16">
        <f ca="1">IFERROR(__xludf.DUMMYFUNCTION("""COMPUTED_VALUE"""),164)</f>
        <v>164</v>
      </c>
      <c r="B331" t="str">
        <f ca="1">IFERROR(__xludf.DUMMYFUNCTION("""COMPUTED_VALUE"""),"Necklace of prayer beads")</f>
        <v>Necklace of prayer beads</v>
      </c>
      <c r="C331" s="16" t="str">
        <f ca="1">IFERROR(__xludf.DUMMYFUNCTION("""COMPUTED_VALUE"""),"Magic")</f>
        <v>Magic</v>
      </c>
      <c r="D331" s="254">
        <f ca="1">IFERROR(__xludf.DUMMYFUNCTION("""COMPUTED_VALUE"""),928)</f>
        <v>928</v>
      </c>
    </row>
    <row r="332" spans="1:4" ht="13.2">
      <c r="A332" s="16">
        <f ca="1">IFERROR(__xludf.DUMMYFUNCTION("""COMPUTED_VALUE"""),165)</f>
        <v>165</v>
      </c>
      <c r="B332" t="str">
        <f ca="1">IFERROR(__xludf.DUMMYFUNCTION("""COMPUTED_VALUE"""),"Nine lives stealer")</f>
        <v>Nine lives stealer</v>
      </c>
      <c r="C332" s="16" t="str">
        <f ca="1">IFERROR(__xludf.DUMMYFUNCTION("""COMPUTED_VALUE"""),"Magic")</f>
        <v>Magic</v>
      </c>
      <c r="D332" s="254">
        <f ca="1">IFERROR(__xludf.DUMMYFUNCTION("""COMPUTED_VALUE"""),1588)</f>
        <v>1588</v>
      </c>
    </row>
    <row r="333" spans="1:4" ht="13.2">
      <c r="A333" s="16">
        <f ca="1">IFERROR(__xludf.DUMMYFUNCTION("""COMPUTED_VALUE"""),166)</f>
        <v>166</v>
      </c>
      <c r="B333" t="str">
        <f ca="1">IFERROR(__xludf.DUMMYFUNCTION("""COMPUTED_VALUE"""),"Nolzur’s marvelous pigments")</f>
        <v>Nolzur’s marvelous pigments</v>
      </c>
      <c r="C333" s="16" t="str">
        <f ca="1">IFERROR(__xludf.DUMMYFUNCTION("""COMPUTED_VALUE"""),"Magic")</f>
        <v>Magic</v>
      </c>
      <c r="D333" s="254">
        <f ca="1">IFERROR(__xludf.DUMMYFUNCTION("""COMPUTED_VALUE"""),1564)</f>
        <v>1564</v>
      </c>
    </row>
    <row r="334" spans="1:4" ht="13.2">
      <c r="A334" s="16">
        <f ca="1">IFERROR(__xludf.DUMMYFUNCTION("""COMPUTED_VALUE"""),167)</f>
        <v>167</v>
      </c>
      <c r="B334" t="str">
        <f ca="1">IFERROR(__xludf.DUMMYFUNCTION("""COMPUTED_VALUE"""),"Oathbow")</f>
        <v>Oathbow</v>
      </c>
      <c r="C334" s="16" t="str">
        <f ca="1">IFERROR(__xludf.DUMMYFUNCTION("""COMPUTED_VALUE"""),"Magic")</f>
        <v>Magic</v>
      </c>
      <c r="D334" s="254">
        <f ca="1">IFERROR(__xludf.DUMMYFUNCTION("""COMPUTED_VALUE"""),1588)</f>
        <v>1588</v>
      </c>
    </row>
    <row r="335" spans="1:4" ht="13.2">
      <c r="A335" s="16">
        <f ca="1">IFERROR(__xludf.DUMMYFUNCTION("""COMPUTED_VALUE"""),168)</f>
        <v>168</v>
      </c>
      <c r="B335" t="str">
        <f ca="1">IFERROR(__xludf.DUMMYFUNCTION("""COMPUTED_VALUE"""),"Oil of etherealness")</f>
        <v>Oil of etherealness</v>
      </c>
      <c r="C335" s="16" t="str">
        <f ca="1">IFERROR(__xludf.DUMMYFUNCTION("""COMPUTED_VALUE"""),"Magic")</f>
        <v>Magic</v>
      </c>
      <c r="D335" s="254">
        <f ca="1">IFERROR(__xludf.DUMMYFUNCTION("""COMPUTED_VALUE"""),928)</f>
        <v>928</v>
      </c>
    </row>
    <row r="336" spans="1:4" ht="13.2">
      <c r="A336" s="16">
        <f ca="1">IFERROR(__xludf.DUMMYFUNCTION("""COMPUTED_VALUE"""),169)</f>
        <v>169</v>
      </c>
      <c r="B336" t="str">
        <f ca="1">IFERROR(__xludf.DUMMYFUNCTION("""COMPUTED_VALUE"""),"Oil of sharpness")</f>
        <v>Oil of sharpness</v>
      </c>
      <c r="C336" s="16" t="str">
        <f ca="1">IFERROR(__xludf.DUMMYFUNCTION("""COMPUTED_VALUE"""),"Magic")</f>
        <v>Magic</v>
      </c>
      <c r="D336" s="254">
        <f ca="1">IFERROR(__xludf.DUMMYFUNCTION("""COMPUTED_VALUE"""),1592)</f>
        <v>1592</v>
      </c>
    </row>
    <row r="337" spans="1:4" ht="13.2">
      <c r="A337" s="16">
        <f ca="1">IFERROR(__xludf.DUMMYFUNCTION("""COMPUTED_VALUE"""),170)</f>
        <v>170</v>
      </c>
      <c r="B337" t="str">
        <f ca="1">IFERROR(__xludf.DUMMYFUNCTION("""COMPUTED_VALUE"""),"Oil of slipperiness")</f>
        <v>Oil of slipperiness</v>
      </c>
      <c r="C337" s="16" t="str">
        <f ca="1">IFERROR(__xludf.DUMMYFUNCTION("""COMPUTED_VALUE"""),"Magic")</f>
        <v>Magic</v>
      </c>
      <c r="D337" s="254">
        <f ca="1">IFERROR(__xludf.DUMMYFUNCTION("""COMPUTED_VALUE"""),374)</f>
        <v>374</v>
      </c>
    </row>
    <row r="338" spans="1:4" ht="13.2">
      <c r="A338" s="16">
        <f ca="1">IFERROR(__xludf.DUMMYFUNCTION("""COMPUTED_VALUE"""),171)</f>
        <v>171</v>
      </c>
      <c r="B338" t="str">
        <f ca="1">IFERROR(__xludf.DUMMYFUNCTION("""COMPUTED_VALUE"""),"Pearl of power")</f>
        <v>Pearl of power</v>
      </c>
      <c r="C338" s="16" t="str">
        <f ca="1">IFERROR(__xludf.DUMMYFUNCTION("""COMPUTED_VALUE"""),"Magic")</f>
        <v>Magic</v>
      </c>
      <c r="D338" s="254">
        <f ca="1">IFERROR(__xludf.DUMMYFUNCTION("""COMPUTED_VALUE"""),386)</f>
        <v>386</v>
      </c>
    </row>
    <row r="339" spans="1:4" ht="13.2">
      <c r="A339" s="16">
        <f ca="1">IFERROR(__xludf.DUMMYFUNCTION("""COMPUTED_VALUE"""),172)</f>
        <v>172</v>
      </c>
      <c r="B339" t="str">
        <f ca="1">IFERROR(__xludf.DUMMYFUNCTION("""COMPUTED_VALUE"""),"Periapt of health")</f>
        <v>Periapt of health</v>
      </c>
      <c r="C339" s="16" t="str">
        <f ca="1">IFERROR(__xludf.DUMMYFUNCTION("""COMPUTED_VALUE"""),"Magic")</f>
        <v>Magic</v>
      </c>
      <c r="D339" s="254">
        <f ca="1">IFERROR(__xludf.DUMMYFUNCTION("""COMPUTED_VALUE"""),374)</f>
        <v>374</v>
      </c>
    </row>
    <row r="340" spans="1:4" ht="13.2">
      <c r="A340" s="16">
        <f ca="1">IFERROR(__xludf.DUMMYFUNCTION("""COMPUTED_VALUE"""),173)</f>
        <v>173</v>
      </c>
      <c r="B340" t="str">
        <f ca="1">IFERROR(__xludf.DUMMYFUNCTION("""COMPUTED_VALUE"""),"Periapt of proof against poison")</f>
        <v>Periapt of proof against poison</v>
      </c>
      <c r="C340" s="16" t="str">
        <f ca="1">IFERROR(__xludf.DUMMYFUNCTION("""COMPUTED_VALUE"""),"Magic")</f>
        <v>Magic</v>
      </c>
      <c r="D340" s="254">
        <f ca="1">IFERROR(__xludf.DUMMYFUNCTION("""COMPUTED_VALUE"""),949)</f>
        <v>949</v>
      </c>
    </row>
    <row r="341" spans="1:4" ht="13.2">
      <c r="A341" s="16">
        <f ca="1">IFERROR(__xludf.DUMMYFUNCTION("""COMPUTED_VALUE"""),174)</f>
        <v>174</v>
      </c>
      <c r="B341" t="str">
        <f ca="1">IFERROR(__xludf.DUMMYFUNCTION("""COMPUTED_VALUE"""),"Periapt of wound closure")</f>
        <v>Periapt of wound closure</v>
      </c>
      <c r="C341" s="16" t="str">
        <f ca="1">IFERROR(__xludf.DUMMYFUNCTION("""COMPUTED_VALUE"""),"Magic")</f>
        <v>Magic</v>
      </c>
      <c r="D341" s="254">
        <f ca="1">IFERROR(__xludf.DUMMYFUNCTION("""COMPUTED_VALUE"""),374)</f>
        <v>374</v>
      </c>
    </row>
    <row r="342" spans="1:4" ht="13.2">
      <c r="A342" s="16">
        <f ca="1">IFERROR(__xludf.DUMMYFUNCTION("""COMPUTED_VALUE"""),175)</f>
        <v>175</v>
      </c>
      <c r="B342" t="str">
        <f ca="1">IFERROR(__xludf.DUMMYFUNCTION("""COMPUTED_VALUE"""),"Philter of love")</f>
        <v>Philter of love</v>
      </c>
      <c r="C342" s="16" t="str">
        <f ca="1">IFERROR(__xludf.DUMMYFUNCTION("""COMPUTED_VALUE"""),"Magic")</f>
        <v>Magic</v>
      </c>
      <c r="D342" s="254">
        <f ca="1">IFERROR(__xludf.DUMMYFUNCTION("""COMPUTED_VALUE"""),388)</f>
        <v>388</v>
      </c>
    </row>
    <row r="343" spans="1:4" ht="13.2">
      <c r="A343" s="16">
        <f ca="1">IFERROR(__xludf.DUMMYFUNCTION("""COMPUTED_VALUE"""),176)</f>
        <v>176</v>
      </c>
      <c r="B343" t="str">
        <f ca="1">IFERROR(__xludf.DUMMYFUNCTION("""COMPUTED_VALUE"""),"Pipes of haunting")</f>
        <v>Pipes of haunting</v>
      </c>
      <c r="C343" s="16" t="str">
        <f ca="1">IFERROR(__xludf.DUMMYFUNCTION("""COMPUTED_VALUE"""),"Magic")</f>
        <v>Magic</v>
      </c>
      <c r="D343" s="254">
        <f ca="1">IFERROR(__xludf.DUMMYFUNCTION("""COMPUTED_VALUE"""),376)</f>
        <v>376</v>
      </c>
    </row>
    <row r="344" spans="1:4" ht="13.2">
      <c r="A344" s="16">
        <f ca="1">IFERROR(__xludf.DUMMYFUNCTION("""COMPUTED_VALUE"""),177)</f>
        <v>177</v>
      </c>
      <c r="B344" t="str">
        <f ca="1">IFERROR(__xludf.DUMMYFUNCTION("""COMPUTED_VALUE"""),"Pipes of the sewers")</f>
        <v>Pipes of the sewers</v>
      </c>
      <c r="C344" s="16" t="str">
        <f ca="1">IFERROR(__xludf.DUMMYFUNCTION("""COMPUTED_VALUE"""),"Magic")</f>
        <v>Magic</v>
      </c>
      <c r="D344" s="254">
        <f ca="1">IFERROR(__xludf.DUMMYFUNCTION("""COMPUTED_VALUE"""),388)</f>
        <v>388</v>
      </c>
    </row>
    <row r="345" spans="1:4" ht="13.2">
      <c r="A345" s="16">
        <f ca="1">IFERROR(__xludf.DUMMYFUNCTION("""COMPUTED_VALUE"""),178)</f>
        <v>178</v>
      </c>
      <c r="B345" t="str">
        <f ca="1">IFERROR(__xludf.DUMMYFUNCTION("""COMPUTED_VALUE"""),"Plate armor of etherealness")</f>
        <v>Plate armor of etherealness</v>
      </c>
      <c r="C345" s="16" t="str">
        <f ca="1">IFERROR(__xludf.DUMMYFUNCTION("""COMPUTED_VALUE"""),"Magic")</f>
        <v>Magic</v>
      </c>
      <c r="D345" s="254">
        <f ca="1">IFERROR(__xludf.DUMMYFUNCTION("""COMPUTED_VALUE"""),3040)</f>
        <v>3040</v>
      </c>
    </row>
    <row r="346" spans="1:4" ht="13.2">
      <c r="A346" s="16">
        <f ca="1">IFERROR(__xludf.DUMMYFUNCTION("""COMPUTED_VALUE"""),179)</f>
        <v>179</v>
      </c>
      <c r="B346" t="str">
        <f ca="1">IFERROR(__xludf.DUMMYFUNCTION("""COMPUTED_VALUE"""),"Portable hole")</f>
        <v>Portable hole</v>
      </c>
      <c r="C346" s="16" t="str">
        <f ca="1">IFERROR(__xludf.DUMMYFUNCTION("""COMPUTED_VALUE"""),"Magic")</f>
        <v>Magic</v>
      </c>
      <c r="D346" s="254">
        <f ca="1">IFERROR(__xludf.DUMMYFUNCTION("""COMPUTED_VALUE"""),952)</f>
        <v>952</v>
      </c>
    </row>
    <row r="347" spans="1:4" ht="13.2">
      <c r="A347" s="16">
        <f ca="1">IFERROR(__xludf.DUMMYFUNCTION("""COMPUTED_VALUE"""),180)</f>
        <v>180</v>
      </c>
      <c r="B347" t="str">
        <f ca="1">IFERROR(__xludf.DUMMYFUNCTION("""COMPUTED_VALUE"""),"Potion of animal friendship")</f>
        <v>Potion of animal friendship</v>
      </c>
      <c r="C347" s="16" t="str">
        <f ca="1">IFERROR(__xludf.DUMMYFUNCTION("""COMPUTED_VALUE"""),"Magic")</f>
        <v>Magic</v>
      </c>
      <c r="D347" s="254">
        <f ca="1">IFERROR(__xludf.DUMMYFUNCTION("""COMPUTED_VALUE"""),376)</f>
        <v>376</v>
      </c>
    </row>
    <row r="348" spans="1:4" ht="13.2">
      <c r="A348" s="16">
        <f ca="1">IFERROR(__xludf.DUMMYFUNCTION("""COMPUTED_VALUE"""),181)</f>
        <v>181</v>
      </c>
      <c r="B348" t="str">
        <f ca="1">IFERROR(__xludf.DUMMYFUNCTION("""COMPUTED_VALUE"""),"Potion of clairvoyance")</f>
        <v>Potion of clairvoyance</v>
      </c>
      <c r="C348" s="16" t="str">
        <f ca="1">IFERROR(__xludf.DUMMYFUNCTION("""COMPUTED_VALUE"""),"Magic")</f>
        <v>Magic</v>
      </c>
      <c r="D348" s="254">
        <f ca="1">IFERROR(__xludf.DUMMYFUNCTION("""COMPUTED_VALUE"""),919)</f>
        <v>919</v>
      </c>
    </row>
    <row r="349" spans="1:4" ht="13.2">
      <c r="A349" s="16">
        <f ca="1">IFERROR(__xludf.DUMMYFUNCTION("""COMPUTED_VALUE"""),182)</f>
        <v>182</v>
      </c>
      <c r="B349" t="str">
        <f ca="1">IFERROR(__xludf.DUMMYFUNCTION("""COMPUTED_VALUE"""),"Potion of climbing")</f>
        <v>Potion of climbing</v>
      </c>
      <c r="C349" s="16" t="str">
        <f ca="1">IFERROR(__xludf.DUMMYFUNCTION("""COMPUTED_VALUE"""),"Magic")</f>
        <v>Magic</v>
      </c>
      <c r="D349" s="254">
        <f ca="1">IFERROR(__xludf.DUMMYFUNCTION("""COMPUTED_VALUE"""),119)</f>
        <v>119</v>
      </c>
    </row>
    <row r="350" spans="1:4" ht="13.2">
      <c r="A350" s="16">
        <f ca="1">IFERROR(__xludf.DUMMYFUNCTION("""COMPUTED_VALUE"""),183)</f>
        <v>183</v>
      </c>
      <c r="B350" t="str">
        <f ca="1">IFERROR(__xludf.DUMMYFUNCTION("""COMPUTED_VALUE"""),"Potion of diminution")</f>
        <v>Potion of diminution</v>
      </c>
      <c r="C350" s="16" t="str">
        <f ca="1">IFERROR(__xludf.DUMMYFUNCTION("""COMPUTED_VALUE"""),"Magic")</f>
        <v>Magic</v>
      </c>
      <c r="D350" s="254">
        <f ca="1">IFERROR(__xludf.DUMMYFUNCTION("""COMPUTED_VALUE"""),919)</f>
        <v>919</v>
      </c>
    </row>
    <row r="351" spans="1:4" ht="13.2">
      <c r="A351" s="16">
        <f ca="1">IFERROR(__xludf.DUMMYFUNCTION("""COMPUTED_VALUE"""),184)</f>
        <v>184</v>
      </c>
      <c r="B351" t="str">
        <f ca="1">IFERROR(__xludf.DUMMYFUNCTION("""COMPUTED_VALUE"""),"Potion of fire breath")</f>
        <v>Potion of fire breath</v>
      </c>
      <c r="C351" s="16" t="str">
        <f ca="1">IFERROR(__xludf.DUMMYFUNCTION("""COMPUTED_VALUE"""),"Magic")</f>
        <v>Magic</v>
      </c>
      <c r="D351" s="254">
        <f ca="1">IFERROR(__xludf.DUMMYFUNCTION("""COMPUTED_VALUE"""),378)</f>
        <v>378</v>
      </c>
    </row>
    <row r="352" spans="1:4" ht="13.2">
      <c r="A352" s="16">
        <f ca="1">IFERROR(__xludf.DUMMYFUNCTION("""COMPUTED_VALUE"""),185)</f>
        <v>185</v>
      </c>
      <c r="B352" t="str">
        <f ca="1">IFERROR(__xludf.DUMMYFUNCTION("""COMPUTED_VALUE"""),"Potion of flying")</f>
        <v>Potion of flying</v>
      </c>
      <c r="C352" s="16" t="str">
        <f ca="1">IFERROR(__xludf.DUMMYFUNCTION("""COMPUTED_VALUE"""),"Magic")</f>
        <v>Magic</v>
      </c>
      <c r="D352" s="254">
        <f ca="1">IFERROR(__xludf.DUMMYFUNCTION("""COMPUTED_VALUE"""),1552)</f>
        <v>1552</v>
      </c>
    </row>
    <row r="353" spans="1:4" ht="13.2">
      <c r="A353" s="16">
        <f ca="1">IFERROR(__xludf.DUMMYFUNCTION("""COMPUTED_VALUE"""),186)</f>
        <v>186</v>
      </c>
      <c r="B353" t="str">
        <f ca="1">IFERROR(__xludf.DUMMYFUNCTION("""COMPUTED_VALUE"""),"Potion of gaseous form")</f>
        <v>Potion of gaseous form</v>
      </c>
      <c r="C353" s="16" t="str">
        <f ca="1">IFERROR(__xludf.DUMMYFUNCTION("""COMPUTED_VALUE"""),"Magic")</f>
        <v>Magic</v>
      </c>
      <c r="D353" s="254">
        <f ca="1">IFERROR(__xludf.DUMMYFUNCTION("""COMPUTED_VALUE"""),937)</f>
        <v>937</v>
      </c>
    </row>
    <row r="354" spans="1:4" ht="13.2">
      <c r="A354" s="16">
        <f ca="1">IFERROR(__xludf.DUMMYFUNCTION("""COMPUTED_VALUE"""),187)</f>
        <v>187</v>
      </c>
      <c r="B354" t="str">
        <f ca="1">IFERROR(__xludf.DUMMYFUNCTION("""COMPUTED_VALUE"""),"Potion of giant strength (cloud giant)")</f>
        <v>Potion of giant strength (cloud giant)</v>
      </c>
      <c r="C354" s="16" t="str">
        <f ca="1">IFERROR(__xludf.DUMMYFUNCTION("""COMPUTED_VALUE"""),"Magic")</f>
        <v>Magic</v>
      </c>
      <c r="D354" s="254">
        <f ca="1">IFERROR(__xludf.DUMMYFUNCTION("""COMPUTED_VALUE"""),1556)</f>
        <v>1556</v>
      </c>
    </row>
    <row r="355" spans="1:4" ht="13.2">
      <c r="A355" s="16">
        <f ca="1">IFERROR(__xludf.DUMMYFUNCTION("""COMPUTED_VALUE"""),188)</f>
        <v>188</v>
      </c>
      <c r="B355" t="str">
        <f ca="1">IFERROR(__xludf.DUMMYFUNCTION("""COMPUTED_VALUE"""),"Potion of giant strength (fire giant)")</f>
        <v>Potion of giant strength (fire giant)</v>
      </c>
      <c r="C355" s="16" t="str">
        <f ca="1">IFERROR(__xludf.DUMMYFUNCTION("""COMPUTED_VALUE"""),"Magic")</f>
        <v>Magic</v>
      </c>
      <c r="D355" s="254">
        <f ca="1">IFERROR(__xludf.DUMMYFUNCTION("""COMPUTED_VALUE"""),940)</f>
        <v>940</v>
      </c>
    </row>
    <row r="356" spans="1:4" ht="13.2">
      <c r="A356" s="16">
        <f ca="1">IFERROR(__xludf.DUMMYFUNCTION("""COMPUTED_VALUE"""),189)</f>
        <v>189</v>
      </c>
      <c r="B356" t="str">
        <f ca="1">IFERROR(__xludf.DUMMYFUNCTION("""COMPUTED_VALUE"""),"Potion of giant strength (frost or stone giant)")</f>
        <v>Potion of giant strength (frost or stone giant)</v>
      </c>
      <c r="C356" s="16" t="str">
        <f ca="1">IFERROR(__xludf.DUMMYFUNCTION("""COMPUTED_VALUE"""),"Magic")</f>
        <v>Magic</v>
      </c>
      <c r="D356" s="254">
        <f ca="1">IFERROR(__xludf.DUMMYFUNCTION("""COMPUTED_VALUE"""),922)</f>
        <v>922</v>
      </c>
    </row>
    <row r="357" spans="1:4" ht="13.2">
      <c r="A357" s="16">
        <f ca="1">IFERROR(__xludf.DUMMYFUNCTION("""COMPUTED_VALUE"""),190)</f>
        <v>190</v>
      </c>
      <c r="B357" t="str">
        <f ca="1">IFERROR(__xludf.DUMMYFUNCTION("""COMPUTED_VALUE"""),"Potion of giant strength (hill giant)")</f>
        <v>Potion of giant strength (hill giant)</v>
      </c>
      <c r="C357" s="16" t="str">
        <f ca="1">IFERROR(__xludf.DUMMYFUNCTION("""COMPUTED_VALUE"""),"Magic")</f>
        <v>Magic</v>
      </c>
      <c r="D357" s="254">
        <f ca="1">IFERROR(__xludf.DUMMYFUNCTION("""COMPUTED_VALUE"""),380)</f>
        <v>380</v>
      </c>
    </row>
    <row r="358" spans="1:4" ht="13.2">
      <c r="A358" s="16">
        <f ca="1">IFERROR(__xludf.DUMMYFUNCTION("""COMPUTED_VALUE"""),191)</f>
        <v>191</v>
      </c>
      <c r="B358" t="str">
        <f ca="1">IFERROR(__xludf.DUMMYFUNCTION("""COMPUTED_VALUE"""),"Potion of giant strength (storm giant)")</f>
        <v>Potion of giant strength (storm giant)</v>
      </c>
      <c r="C358" s="16" t="str">
        <f ca="1">IFERROR(__xludf.DUMMYFUNCTION("""COMPUTED_VALUE"""),"Magic")</f>
        <v>Magic</v>
      </c>
      <c r="D358" s="254">
        <f ca="1">IFERROR(__xludf.DUMMYFUNCTION("""COMPUTED_VALUE"""),3020)</f>
        <v>3020</v>
      </c>
    </row>
    <row r="359" spans="1:4" ht="13.2">
      <c r="A359" s="16">
        <f ca="1">IFERROR(__xludf.DUMMYFUNCTION("""COMPUTED_VALUE"""),192)</f>
        <v>192</v>
      </c>
      <c r="B359" t="str">
        <f ca="1">IFERROR(__xludf.DUMMYFUNCTION("""COMPUTED_VALUE"""),"Potion of greater healing")</f>
        <v>Potion of greater healing</v>
      </c>
      <c r="C359" s="16" t="str">
        <f ca="1">IFERROR(__xludf.DUMMYFUNCTION("""COMPUTED_VALUE"""),"Magic")</f>
        <v>Magic</v>
      </c>
      <c r="D359" s="254">
        <f ca="1">IFERROR(__xludf.DUMMYFUNCTION("""COMPUTED_VALUE"""),380)</f>
        <v>380</v>
      </c>
    </row>
    <row r="360" spans="1:4" ht="13.2">
      <c r="A360" s="16">
        <f ca="1">IFERROR(__xludf.DUMMYFUNCTION("""COMPUTED_VALUE"""),193)</f>
        <v>193</v>
      </c>
      <c r="B360" t="str">
        <f ca="1">IFERROR(__xludf.DUMMYFUNCTION("""COMPUTED_VALUE"""),"Potion of growth")</f>
        <v>Potion of growth</v>
      </c>
      <c r="C360" s="16" t="str">
        <f ca="1">IFERROR(__xludf.DUMMYFUNCTION("""COMPUTED_VALUE"""),"Magic")</f>
        <v>Magic</v>
      </c>
      <c r="D360" s="254">
        <f ca="1">IFERROR(__xludf.DUMMYFUNCTION("""COMPUTED_VALUE"""),370)</f>
        <v>370</v>
      </c>
    </row>
    <row r="361" spans="1:4" ht="13.2">
      <c r="A361" s="16">
        <f ca="1">IFERROR(__xludf.DUMMYFUNCTION("""COMPUTED_VALUE"""),194)</f>
        <v>194</v>
      </c>
      <c r="B361" t="str">
        <f ca="1">IFERROR(__xludf.DUMMYFUNCTION("""COMPUTED_VALUE"""),"Potion of healing")</f>
        <v>Potion of healing</v>
      </c>
      <c r="C361" s="16" t="str">
        <f ca="1">IFERROR(__xludf.DUMMYFUNCTION("""COMPUTED_VALUE"""),"Magic")</f>
        <v>Magic</v>
      </c>
      <c r="D361" s="254">
        <f ca="1">IFERROR(__xludf.DUMMYFUNCTION("""COMPUTED_VALUE"""),121)</f>
        <v>121</v>
      </c>
    </row>
    <row r="362" spans="1:4" ht="13.2">
      <c r="A362" s="16">
        <f ca="1">IFERROR(__xludf.DUMMYFUNCTION("""COMPUTED_VALUE"""),195)</f>
        <v>195</v>
      </c>
      <c r="B362" t="str">
        <f ca="1">IFERROR(__xludf.DUMMYFUNCTION("""COMPUTED_VALUE"""),"Potion of superior healing")</f>
        <v>Potion of superior healing</v>
      </c>
      <c r="C362" s="16" t="str">
        <f ca="1">IFERROR(__xludf.DUMMYFUNCTION("""COMPUTED_VALUE"""),"Magic")</f>
        <v>Magic</v>
      </c>
      <c r="D362" s="254">
        <f ca="1">IFERROR(__xludf.DUMMYFUNCTION("""COMPUTED_VALUE"""),925)</f>
        <v>925</v>
      </c>
    </row>
    <row r="363" spans="1:4" ht="13.2">
      <c r="A363" s="16">
        <f ca="1">IFERROR(__xludf.DUMMYFUNCTION("""COMPUTED_VALUE"""),196)</f>
        <v>196</v>
      </c>
      <c r="B363" t="str">
        <f ca="1">IFERROR(__xludf.DUMMYFUNCTION("""COMPUTED_VALUE"""),"Potion of supreme healing")</f>
        <v>Potion of supreme healing</v>
      </c>
      <c r="C363" s="16" t="str">
        <f ca="1">IFERROR(__xludf.DUMMYFUNCTION("""COMPUTED_VALUE"""),"Magic")</f>
        <v>Magic</v>
      </c>
      <c r="D363" s="254">
        <f ca="1">IFERROR(__xludf.DUMMYFUNCTION("""COMPUTED_VALUE"""),1584)</f>
        <v>1584</v>
      </c>
    </row>
    <row r="364" spans="1:4" ht="13.2">
      <c r="A364" s="16">
        <f ca="1">IFERROR(__xludf.DUMMYFUNCTION("""COMPUTED_VALUE"""),197)</f>
        <v>197</v>
      </c>
      <c r="B364" t="str">
        <f ca="1">IFERROR(__xludf.DUMMYFUNCTION("""COMPUTED_VALUE"""),"Potion of heroism")</f>
        <v>Potion of heroism</v>
      </c>
      <c r="C364" s="16" t="str">
        <f ca="1">IFERROR(__xludf.DUMMYFUNCTION("""COMPUTED_VALUE"""),"Magic")</f>
        <v>Magic</v>
      </c>
      <c r="D364" s="254">
        <f ca="1">IFERROR(__xludf.DUMMYFUNCTION("""COMPUTED_VALUE"""),925)</f>
        <v>925</v>
      </c>
    </row>
    <row r="365" spans="1:4" ht="13.2">
      <c r="A365" s="16">
        <f ca="1">IFERROR(__xludf.DUMMYFUNCTION("""COMPUTED_VALUE"""),198)</f>
        <v>198</v>
      </c>
      <c r="B365" t="str">
        <f ca="1">IFERROR(__xludf.DUMMYFUNCTION("""COMPUTED_VALUE"""),"Potion of invisibility")</f>
        <v>Potion of invisibility</v>
      </c>
      <c r="C365" s="16" t="str">
        <f ca="1">IFERROR(__xludf.DUMMYFUNCTION("""COMPUTED_VALUE"""),"Magic")</f>
        <v>Magic</v>
      </c>
      <c r="D365" s="254">
        <f ca="1">IFERROR(__xludf.DUMMYFUNCTION("""COMPUTED_VALUE"""),1584)</f>
        <v>1584</v>
      </c>
    </row>
    <row r="366" spans="1:4" ht="13.2">
      <c r="A366" s="16">
        <f ca="1">IFERROR(__xludf.DUMMYFUNCTION("""COMPUTED_VALUE"""),199)</f>
        <v>199</v>
      </c>
      <c r="B366" t="str">
        <f ca="1">IFERROR(__xludf.DUMMYFUNCTION("""COMPUTED_VALUE"""),"Potion of invulnerability")</f>
        <v>Potion of invulnerability</v>
      </c>
      <c r="C366" s="16" t="str">
        <f ca="1">IFERROR(__xludf.DUMMYFUNCTION("""COMPUTED_VALUE"""),"Magic")</f>
        <v>Magic</v>
      </c>
      <c r="D366" s="254">
        <f ca="1">IFERROR(__xludf.DUMMYFUNCTION("""COMPUTED_VALUE"""),928)</f>
        <v>928</v>
      </c>
    </row>
    <row r="367" spans="1:4" ht="13.2">
      <c r="A367" s="16">
        <f ca="1">IFERROR(__xludf.DUMMYFUNCTION("""COMPUTED_VALUE"""),200)</f>
        <v>200</v>
      </c>
      <c r="B367" t="str">
        <f ca="1">IFERROR(__xludf.DUMMYFUNCTION("""COMPUTED_VALUE"""),"Potion of longevity")</f>
        <v>Potion of longevity</v>
      </c>
      <c r="C367" s="16" t="str">
        <f ca="1">IFERROR(__xludf.DUMMYFUNCTION("""COMPUTED_VALUE"""),"Magic")</f>
        <v>Magic</v>
      </c>
      <c r="D367" s="254">
        <f ca="1">IFERROR(__xludf.DUMMYFUNCTION("""COMPUTED_VALUE"""),1588)</f>
        <v>1588</v>
      </c>
    </row>
    <row r="368" spans="1:4" ht="13.2">
      <c r="A368" s="16">
        <f ca="1">IFERROR(__xludf.DUMMYFUNCTION("""COMPUTED_VALUE"""),201)</f>
        <v>201</v>
      </c>
      <c r="B368" t="str">
        <f ca="1">IFERROR(__xludf.DUMMYFUNCTION("""COMPUTED_VALUE"""),"Potion of mind reading")</f>
        <v>Potion of mind reading</v>
      </c>
      <c r="C368" s="16" t="str">
        <f ca="1">IFERROR(__xludf.DUMMYFUNCTION("""COMPUTED_VALUE"""),"Magic")</f>
        <v>Magic</v>
      </c>
      <c r="D368" s="254">
        <f ca="1">IFERROR(__xludf.DUMMYFUNCTION("""COMPUTED_VALUE"""),928)</f>
        <v>928</v>
      </c>
    </row>
    <row r="369" spans="1:4" ht="13.2">
      <c r="A369" s="16">
        <f ca="1">IFERROR(__xludf.DUMMYFUNCTION("""COMPUTED_VALUE"""),202)</f>
        <v>202</v>
      </c>
      <c r="B369" t="str">
        <f ca="1">IFERROR(__xludf.DUMMYFUNCTION("""COMPUTED_VALUE"""),"Potion of poison")</f>
        <v>Potion of poison</v>
      </c>
      <c r="C369" s="16" t="str">
        <f ca="1">IFERROR(__xludf.DUMMYFUNCTION("""COMPUTED_VALUE"""),"Magic")</f>
        <v>Magic</v>
      </c>
      <c r="D369" s="254">
        <f ca="1">IFERROR(__xludf.DUMMYFUNCTION("""COMPUTED_VALUE"""),384)</f>
        <v>384</v>
      </c>
    </row>
    <row r="370" spans="1:4" ht="13.2">
      <c r="A370" s="16">
        <f ca="1">IFERROR(__xludf.DUMMYFUNCTION("""COMPUTED_VALUE"""),203)</f>
        <v>203</v>
      </c>
      <c r="B370" t="str">
        <f ca="1">IFERROR(__xludf.DUMMYFUNCTION("""COMPUTED_VALUE"""),"Potion of resistance")</f>
        <v>Potion of resistance</v>
      </c>
      <c r="C370" s="16" t="str">
        <f ca="1">IFERROR(__xludf.DUMMYFUNCTION("""COMPUTED_VALUE"""),"Magic")</f>
        <v>Magic</v>
      </c>
      <c r="D370" s="254">
        <f ca="1">IFERROR(__xludf.DUMMYFUNCTION("""COMPUTED_VALUE"""),372)</f>
        <v>372</v>
      </c>
    </row>
    <row r="371" spans="1:4" ht="13.2">
      <c r="A371" s="16">
        <f ca="1">IFERROR(__xludf.DUMMYFUNCTION("""COMPUTED_VALUE"""),204)</f>
        <v>204</v>
      </c>
      <c r="B371" t="str">
        <f ca="1">IFERROR(__xludf.DUMMYFUNCTION("""COMPUTED_VALUE"""),"Potion of speed")</f>
        <v>Potion of speed</v>
      </c>
      <c r="C371" s="16" t="str">
        <f ca="1">IFERROR(__xludf.DUMMYFUNCTION("""COMPUTED_VALUE"""),"Magic")</f>
        <v>Magic</v>
      </c>
      <c r="D371" s="254">
        <f ca="1">IFERROR(__xludf.DUMMYFUNCTION("""COMPUTED_VALUE"""),1588)</f>
        <v>1588</v>
      </c>
    </row>
    <row r="372" spans="1:4" ht="13.2">
      <c r="A372" s="16">
        <f ca="1">IFERROR(__xludf.DUMMYFUNCTION("""COMPUTED_VALUE"""),205)</f>
        <v>205</v>
      </c>
      <c r="B372" t="str">
        <f ca="1">IFERROR(__xludf.DUMMYFUNCTION("""COMPUTED_VALUE"""),"Potion of vitality")</f>
        <v>Potion of vitality</v>
      </c>
      <c r="C372" s="16" t="str">
        <f ca="1">IFERROR(__xludf.DUMMYFUNCTION("""COMPUTED_VALUE"""),"Magic")</f>
        <v>Magic</v>
      </c>
      <c r="D372" s="254">
        <f ca="1">IFERROR(__xludf.DUMMYFUNCTION("""COMPUTED_VALUE"""),1568)</f>
        <v>1568</v>
      </c>
    </row>
    <row r="373" spans="1:4" ht="13.2">
      <c r="A373" s="16">
        <f ca="1">IFERROR(__xludf.DUMMYFUNCTION("""COMPUTED_VALUE"""),206)</f>
        <v>206</v>
      </c>
      <c r="B373" t="str">
        <f ca="1">IFERROR(__xludf.DUMMYFUNCTION("""COMPUTED_VALUE"""),"Potion of water breathing")</f>
        <v>Potion of water breathing</v>
      </c>
      <c r="C373" s="16" t="str">
        <f ca="1">IFERROR(__xludf.DUMMYFUNCTION("""COMPUTED_VALUE"""),"Magic")</f>
        <v>Magic</v>
      </c>
      <c r="D373" s="254">
        <f ca="1">IFERROR(__xludf.DUMMYFUNCTION("""COMPUTED_VALUE"""),386)</f>
        <v>386</v>
      </c>
    </row>
    <row r="374" spans="1:4" ht="13.2">
      <c r="A374" s="16">
        <f ca="1">IFERROR(__xludf.DUMMYFUNCTION("""COMPUTED_VALUE"""),207)</f>
        <v>207</v>
      </c>
      <c r="B374" t="str">
        <f ca="1">IFERROR(__xludf.DUMMYFUNCTION("""COMPUTED_VALUE"""),"Quaal’s feather token")</f>
        <v>Quaal’s feather token</v>
      </c>
      <c r="C374" s="16" t="str">
        <f ca="1">IFERROR(__xludf.DUMMYFUNCTION("""COMPUTED_VALUE"""),"Magic")</f>
        <v>Magic</v>
      </c>
      <c r="D374" s="254">
        <f ca="1">IFERROR(__xludf.DUMMYFUNCTION("""COMPUTED_VALUE"""),931)</f>
        <v>931</v>
      </c>
    </row>
    <row r="375" spans="1:4" ht="13.2">
      <c r="A375" s="16">
        <f ca="1">IFERROR(__xludf.DUMMYFUNCTION("""COMPUTED_VALUE"""),208)</f>
        <v>208</v>
      </c>
      <c r="B375" t="str">
        <f ca="1">IFERROR(__xludf.DUMMYFUNCTION("""COMPUTED_VALUE"""),"Quiver of Ehlonna")</f>
        <v>Quiver of Ehlonna</v>
      </c>
      <c r="C375" s="16" t="str">
        <f ca="1">IFERROR(__xludf.DUMMYFUNCTION("""COMPUTED_VALUE"""),"Magic")</f>
        <v>Magic</v>
      </c>
      <c r="D375" s="254">
        <f ca="1">IFERROR(__xludf.DUMMYFUNCTION("""COMPUTED_VALUE"""),386)</f>
        <v>386</v>
      </c>
    </row>
    <row r="376" spans="1:4" ht="13.2">
      <c r="A376" s="16">
        <f ca="1">IFERROR(__xludf.DUMMYFUNCTION("""COMPUTED_VALUE"""),209)</f>
        <v>209</v>
      </c>
      <c r="B376" t="str">
        <f ca="1">IFERROR(__xludf.DUMMYFUNCTION("""COMPUTED_VALUE"""),"Ring of animal influence")</f>
        <v>Ring of animal influence</v>
      </c>
      <c r="C376" s="16" t="str">
        <f ca="1">IFERROR(__xludf.DUMMYFUNCTION("""COMPUTED_VALUE"""),"Magic")</f>
        <v>Magic</v>
      </c>
      <c r="D376" s="254">
        <f ca="1">IFERROR(__xludf.DUMMYFUNCTION("""COMPUTED_VALUE"""),931)</f>
        <v>931</v>
      </c>
    </row>
    <row r="377" spans="1:4" ht="13.2">
      <c r="A377" s="16">
        <f ca="1">IFERROR(__xludf.DUMMYFUNCTION("""COMPUTED_VALUE"""),210)</f>
        <v>210</v>
      </c>
      <c r="B377" t="str">
        <f ca="1">IFERROR(__xludf.DUMMYFUNCTION("""COMPUTED_VALUE"""),"Ring of djinni summoning")</f>
        <v>Ring of djinni summoning</v>
      </c>
      <c r="C377" s="16" t="str">
        <f ca="1">IFERROR(__xludf.DUMMYFUNCTION("""COMPUTED_VALUE"""),"Magic")</f>
        <v>Magic</v>
      </c>
      <c r="D377" s="254">
        <f ca="1">IFERROR(__xludf.DUMMYFUNCTION("""COMPUTED_VALUE"""),3065)</f>
        <v>3065</v>
      </c>
    </row>
    <row r="378" spans="1:4" ht="13.2">
      <c r="A378" s="16">
        <f ca="1">IFERROR(__xludf.DUMMYFUNCTION("""COMPUTED_VALUE"""),211)</f>
        <v>211</v>
      </c>
      <c r="B378" t="str">
        <f ca="1">IFERROR(__xludf.DUMMYFUNCTION("""COMPUTED_VALUE"""),"Ring of elemental command")</f>
        <v>Ring of elemental command</v>
      </c>
      <c r="C378" s="16" t="str">
        <f ca="1">IFERROR(__xludf.DUMMYFUNCTION("""COMPUTED_VALUE"""),"Magic")</f>
        <v>Magic</v>
      </c>
      <c r="D378" s="254">
        <f ca="1">IFERROR(__xludf.DUMMYFUNCTION("""COMPUTED_VALUE"""),3040)</f>
        <v>3040</v>
      </c>
    </row>
    <row r="379" spans="1:4" ht="13.2">
      <c r="A379" s="16">
        <f ca="1">IFERROR(__xludf.DUMMYFUNCTION("""COMPUTED_VALUE"""),212)</f>
        <v>212</v>
      </c>
      <c r="B379" t="str">
        <f ca="1">IFERROR(__xludf.DUMMYFUNCTION("""COMPUTED_VALUE"""),"Ring of evasion")</f>
        <v>Ring of evasion</v>
      </c>
      <c r="C379" s="16" t="str">
        <f ca="1">IFERROR(__xludf.DUMMYFUNCTION("""COMPUTED_VALUE"""),"Magic")</f>
        <v>Magic</v>
      </c>
      <c r="D379" s="254">
        <f ca="1">IFERROR(__xludf.DUMMYFUNCTION("""COMPUTED_VALUE"""),952)</f>
        <v>952</v>
      </c>
    </row>
    <row r="380" spans="1:4" ht="13.2">
      <c r="A380" s="16">
        <f ca="1">IFERROR(__xludf.DUMMYFUNCTION("""COMPUTED_VALUE"""),213)</f>
        <v>213</v>
      </c>
      <c r="B380" t="str">
        <f ca="1">IFERROR(__xludf.DUMMYFUNCTION("""COMPUTED_VALUE"""),"Ring of feather falling")</f>
        <v>Ring of feather falling</v>
      </c>
      <c r="C380" s="16" t="str">
        <f ca="1">IFERROR(__xludf.DUMMYFUNCTION("""COMPUTED_VALUE"""),"Magic")</f>
        <v>Magic</v>
      </c>
      <c r="D380" s="254">
        <f ca="1">IFERROR(__xludf.DUMMYFUNCTION("""COMPUTED_VALUE"""),934)</f>
        <v>934</v>
      </c>
    </row>
    <row r="381" spans="1:4" ht="13.2">
      <c r="A381" s="16">
        <f ca="1">IFERROR(__xludf.DUMMYFUNCTION("""COMPUTED_VALUE"""),214)</f>
        <v>214</v>
      </c>
      <c r="B381" t="str">
        <f ca="1">IFERROR(__xludf.DUMMYFUNCTION("""COMPUTED_VALUE"""),"Ring of free action")</f>
        <v>Ring of free action</v>
      </c>
      <c r="C381" s="16" t="str">
        <f ca="1">IFERROR(__xludf.DUMMYFUNCTION("""COMPUTED_VALUE"""),"Magic")</f>
        <v>Magic</v>
      </c>
      <c r="D381" s="254">
        <f ca="1">IFERROR(__xludf.DUMMYFUNCTION("""COMPUTED_VALUE"""),952)</f>
        <v>952</v>
      </c>
    </row>
    <row r="382" spans="1:4" ht="13.2">
      <c r="A382" s="16">
        <f ca="1">IFERROR(__xludf.DUMMYFUNCTION("""COMPUTED_VALUE"""),215)</f>
        <v>215</v>
      </c>
      <c r="B382" t="str">
        <f ca="1">IFERROR(__xludf.DUMMYFUNCTION("""COMPUTED_VALUE"""),"Ring of invisibility")</f>
        <v>Ring of invisibility</v>
      </c>
      <c r="C382" s="16" t="str">
        <f ca="1">IFERROR(__xludf.DUMMYFUNCTION("""COMPUTED_VALUE"""),"Magic")</f>
        <v>Magic</v>
      </c>
      <c r="D382" s="254">
        <f ca="1">IFERROR(__xludf.DUMMYFUNCTION("""COMPUTED_VALUE"""),3040)</f>
        <v>3040</v>
      </c>
    </row>
    <row r="383" spans="1:4" ht="13.2">
      <c r="A383" s="16">
        <f ca="1">IFERROR(__xludf.DUMMYFUNCTION("""COMPUTED_VALUE"""),216)</f>
        <v>216</v>
      </c>
      <c r="B383" t="str">
        <f ca="1">IFERROR(__xludf.DUMMYFUNCTION("""COMPUTED_VALUE"""),"Ring of jumping")</f>
        <v>Ring of jumping</v>
      </c>
      <c r="C383" s="16" t="str">
        <f ca="1">IFERROR(__xludf.DUMMYFUNCTION("""COMPUTED_VALUE"""),"Magic")</f>
        <v>Magic</v>
      </c>
      <c r="D383" s="254">
        <f ca="1">IFERROR(__xludf.DUMMYFUNCTION("""COMPUTED_VALUE"""),388)</f>
        <v>388</v>
      </c>
    </row>
    <row r="384" spans="1:4" ht="13.2">
      <c r="A384" s="16">
        <f ca="1">IFERROR(__xludf.DUMMYFUNCTION("""COMPUTED_VALUE"""),217)</f>
        <v>217</v>
      </c>
      <c r="B384" t="str">
        <f ca="1">IFERROR(__xludf.DUMMYFUNCTION("""COMPUTED_VALUE"""),"Ring of mind shielding")</f>
        <v>Ring of mind shielding</v>
      </c>
      <c r="C384" s="16" t="str">
        <f ca="1">IFERROR(__xludf.DUMMYFUNCTION("""COMPUTED_VALUE"""),"Magic")</f>
        <v>Magic</v>
      </c>
      <c r="D384" s="254">
        <f ca="1">IFERROR(__xludf.DUMMYFUNCTION("""COMPUTED_VALUE"""),378)</f>
        <v>378</v>
      </c>
    </row>
    <row r="385" spans="1:4" ht="13.2">
      <c r="A385" s="16">
        <f ca="1">IFERROR(__xludf.DUMMYFUNCTION("""COMPUTED_VALUE"""),218)</f>
        <v>218</v>
      </c>
      <c r="B385" t="str">
        <f ca="1">IFERROR(__xludf.DUMMYFUNCTION("""COMPUTED_VALUE"""),"Ring of protection")</f>
        <v>Ring of protection</v>
      </c>
      <c r="C385" s="16" t="str">
        <f ca="1">IFERROR(__xludf.DUMMYFUNCTION("""COMPUTED_VALUE"""),"Magic")</f>
        <v>Magic</v>
      </c>
      <c r="D385" s="254">
        <f ca="1">IFERROR(__xludf.DUMMYFUNCTION("""COMPUTED_VALUE"""),919)</f>
        <v>919</v>
      </c>
    </row>
    <row r="386" spans="1:4" ht="13.2">
      <c r="A386" s="16">
        <f ca="1">IFERROR(__xludf.DUMMYFUNCTION("""COMPUTED_VALUE"""),219)</f>
        <v>219</v>
      </c>
      <c r="B386" t="str">
        <f ca="1">IFERROR(__xludf.DUMMYFUNCTION("""COMPUTED_VALUE"""),"Ring of regeneration")</f>
        <v>Ring of regeneration</v>
      </c>
      <c r="C386" s="16" t="str">
        <f ca="1">IFERROR(__xludf.DUMMYFUNCTION("""COMPUTED_VALUE"""),"Magic")</f>
        <v>Magic</v>
      </c>
      <c r="D386" s="254">
        <f ca="1">IFERROR(__xludf.DUMMYFUNCTION("""COMPUTED_VALUE"""),1576)</f>
        <v>1576</v>
      </c>
    </row>
    <row r="387" spans="1:4" ht="13.2">
      <c r="A387" s="16">
        <f ca="1">IFERROR(__xludf.DUMMYFUNCTION("""COMPUTED_VALUE"""),220)</f>
        <v>220</v>
      </c>
      <c r="B387" t="str">
        <f ca="1">IFERROR(__xludf.DUMMYFUNCTION("""COMPUTED_VALUE"""),"Ring of resistance")</f>
        <v>Ring of resistance</v>
      </c>
      <c r="C387" s="16" t="str">
        <f ca="1">IFERROR(__xludf.DUMMYFUNCTION("""COMPUTED_VALUE"""),"Magic")</f>
        <v>Magic</v>
      </c>
      <c r="D387" s="254">
        <f ca="1">IFERROR(__xludf.DUMMYFUNCTION("""COMPUTED_VALUE"""),919)</f>
        <v>919</v>
      </c>
    </row>
    <row r="388" spans="1:4" ht="13.2">
      <c r="A388" s="16">
        <f ca="1">IFERROR(__xludf.DUMMYFUNCTION("""COMPUTED_VALUE"""),221)</f>
        <v>221</v>
      </c>
      <c r="B388" t="str">
        <f ca="1">IFERROR(__xludf.DUMMYFUNCTION("""COMPUTED_VALUE"""),"Ring of shooting stars")</f>
        <v>Ring of shooting stars</v>
      </c>
      <c r="C388" s="16" t="str">
        <f ca="1">IFERROR(__xludf.DUMMYFUNCTION("""COMPUTED_VALUE"""),"Magic")</f>
        <v>Magic</v>
      </c>
      <c r="D388" s="254">
        <f ca="1">IFERROR(__xludf.DUMMYFUNCTION("""COMPUTED_VALUE"""),1576)</f>
        <v>1576</v>
      </c>
    </row>
    <row r="389" spans="1:4" ht="13.2">
      <c r="A389" s="16">
        <f ca="1">IFERROR(__xludf.DUMMYFUNCTION("""COMPUTED_VALUE"""),222)</f>
        <v>222</v>
      </c>
      <c r="B389" t="str">
        <f ca="1">IFERROR(__xludf.DUMMYFUNCTION("""COMPUTED_VALUE"""),"Ring of spell storing")</f>
        <v>Ring of spell storing</v>
      </c>
      <c r="C389" s="16" t="str">
        <f ca="1">IFERROR(__xludf.DUMMYFUNCTION("""COMPUTED_VALUE"""),"Magic")</f>
        <v>Magic</v>
      </c>
      <c r="D389" s="254">
        <f ca="1">IFERROR(__xludf.DUMMYFUNCTION("""COMPUTED_VALUE"""),919)</f>
        <v>919</v>
      </c>
    </row>
    <row r="390" spans="1:4" ht="13.2">
      <c r="A390" s="16">
        <f ca="1">IFERROR(__xludf.DUMMYFUNCTION("""COMPUTED_VALUE"""),223)</f>
        <v>223</v>
      </c>
      <c r="B390" t="str">
        <f ca="1">IFERROR(__xludf.DUMMYFUNCTION("""COMPUTED_VALUE"""),"Ring of spell turning")</f>
        <v>Ring of spell turning</v>
      </c>
      <c r="C390" s="16" t="str">
        <f ca="1">IFERROR(__xludf.DUMMYFUNCTION("""COMPUTED_VALUE"""),"Magic")</f>
        <v>Magic</v>
      </c>
      <c r="D390" s="254">
        <f ca="1">IFERROR(__xludf.DUMMYFUNCTION("""COMPUTED_VALUE"""),3050)</f>
        <v>3050</v>
      </c>
    </row>
    <row r="391" spans="1:4" ht="13.2">
      <c r="A391" s="16">
        <f ca="1">IFERROR(__xludf.DUMMYFUNCTION("""COMPUTED_VALUE"""),224)</f>
        <v>224</v>
      </c>
      <c r="B391" t="str">
        <f ca="1">IFERROR(__xludf.DUMMYFUNCTION("""COMPUTED_VALUE"""),"Ring of swimming")</f>
        <v>Ring of swimming</v>
      </c>
      <c r="C391" s="16" t="str">
        <f ca="1">IFERROR(__xludf.DUMMYFUNCTION("""COMPUTED_VALUE"""),"Magic")</f>
        <v>Magic</v>
      </c>
      <c r="D391" s="254">
        <f ca="1">IFERROR(__xludf.DUMMYFUNCTION("""COMPUTED_VALUE"""),368)</f>
        <v>368</v>
      </c>
    </row>
    <row r="392" spans="1:4" ht="13.2">
      <c r="A392" s="16">
        <f ca="1">IFERROR(__xludf.DUMMYFUNCTION("""COMPUTED_VALUE"""),225)</f>
        <v>225</v>
      </c>
      <c r="B392" t="str">
        <f ca="1">IFERROR(__xludf.DUMMYFUNCTION("""COMPUTED_VALUE"""),"Ring of telekinesis")</f>
        <v>Ring of telekinesis</v>
      </c>
      <c r="C392" s="16" t="str">
        <f ca="1">IFERROR(__xludf.DUMMYFUNCTION("""COMPUTED_VALUE"""),"Magic")</f>
        <v>Magic</v>
      </c>
      <c r="D392" s="254">
        <f ca="1">IFERROR(__xludf.DUMMYFUNCTION("""COMPUTED_VALUE"""),1580)</f>
        <v>1580</v>
      </c>
    </row>
    <row r="393" spans="1:4" ht="13.2">
      <c r="A393" s="16">
        <f ca="1">IFERROR(__xludf.DUMMYFUNCTION("""COMPUTED_VALUE"""),226)</f>
        <v>226</v>
      </c>
      <c r="B393" t="str">
        <f ca="1">IFERROR(__xludf.DUMMYFUNCTION("""COMPUTED_VALUE"""),"Ring of the ram")</f>
        <v>Ring of the ram</v>
      </c>
      <c r="C393" s="16" t="str">
        <f ca="1">IFERROR(__xludf.DUMMYFUNCTION("""COMPUTED_VALUE"""),"Magic")</f>
        <v>Magic</v>
      </c>
      <c r="D393" s="254">
        <f ca="1">IFERROR(__xludf.DUMMYFUNCTION("""COMPUTED_VALUE"""),922)</f>
        <v>922</v>
      </c>
    </row>
    <row r="394" spans="1:4" ht="13.2">
      <c r="A394" s="16">
        <f ca="1">IFERROR(__xludf.DUMMYFUNCTION("""COMPUTED_VALUE"""),227)</f>
        <v>227</v>
      </c>
      <c r="B394" t="str">
        <f ca="1">IFERROR(__xludf.DUMMYFUNCTION("""COMPUTED_VALUE"""),"Ring of three wishes")</f>
        <v>Ring of three wishes</v>
      </c>
      <c r="C394" s="16" t="str">
        <f ca="1">IFERROR(__xludf.DUMMYFUNCTION("""COMPUTED_VALUE"""),"Magic")</f>
        <v>Magic</v>
      </c>
      <c r="D394" s="254">
        <f ca="1">IFERROR(__xludf.DUMMYFUNCTION("""COMPUTED_VALUE"""),3050)</f>
        <v>3050</v>
      </c>
    </row>
    <row r="395" spans="1:4" ht="13.2">
      <c r="A395" s="16">
        <f ca="1">IFERROR(__xludf.DUMMYFUNCTION("""COMPUTED_VALUE"""),228)</f>
        <v>228</v>
      </c>
      <c r="B395" t="str">
        <f ca="1">IFERROR(__xludf.DUMMYFUNCTION("""COMPUTED_VALUE"""),"Ring of warmth")</f>
        <v>Ring of warmth</v>
      </c>
      <c r="C395" s="16" t="str">
        <f ca="1">IFERROR(__xludf.DUMMYFUNCTION("""COMPUTED_VALUE"""),"Magic")</f>
        <v>Magic</v>
      </c>
      <c r="D395" s="254">
        <f ca="1">IFERROR(__xludf.DUMMYFUNCTION("""COMPUTED_VALUE"""),368)</f>
        <v>368</v>
      </c>
    </row>
    <row r="396" spans="1:4" ht="13.2">
      <c r="A396" s="16">
        <f ca="1">IFERROR(__xludf.DUMMYFUNCTION("""COMPUTED_VALUE"""),229)</f>
        <v>229</v>
      </c>
      <c r="B396" t="str">
        <f ca="1">IFERROR(__xludf.DUMMYFUNCTION("""COMPUTED_VALUE"""),"Ring of water walking")</f>
        <v>Ring of water walking</v>
      </c>
      <c r="C396" s="16" t="str">
        <f ca="1">IFERROR(__xludf.DUMMYFUNCTION("""COMPUTED_VALUE"""),"Magic")</f>
        <v>Magic</v>
      </c>
      <c r="D396" s="254">
        <f ca="1">IFERROR(__xludf.DUMMYFUNCTION("""COMPUTED_VALUE"""),382)</f>
        <v>382</v>
      </c>
    </row>
    <row r="397" spans="1:4" ht="13.2">
      <c r="A397" s="16">
        <f ca="1">IFERROR(__xludf.DUMMYFUNCTION("""COMPUTED_VALUE"""),230)</f>
        <v>230</v>
      </c>
      <c r="B397" t="str">
        <f ca="1">IFERROR(__xludf.DUMMYFUNCTION("""COMPUTED_VALUE"""),"Ring of x-ray vision")</f>
        <v>Ring of x-ray vision</v>
      </c>
      <c r="C397" s="16" t="str">
        <f ca="1">IFERROR(__xludf.DUMMYFUNCTION("""COMPUTED_VALUE"""),"Magic")</f>
        <v>Magic</v>
      </c>
      <c r="D397" s="254">
        <f ca="1">IFERROR(__xludf.DUMMYFUNCTION("""COMPUTED_VALUE"""),925)</f>
        <v>925</v>
      </c>
    </row>
    <row r="398" spans="1:4" ht="13.2">
      <c r="A398" s="16">
        <f ca="1">IFERROR(__xludf.DUMMYFUNCTION("""COMPUTED_VALUE"""),231)</f>
        <v>231</v>
      </c>
      <c r="B398" t="str">
        <f ca="1">IFERROR(__xludf.DUMMYFUNCTION("""COMPUTED_VALUE"""),"Robe of eyes")</f>
        <v>Robe of eyes</v>
      </c>
      <c r="C398" s="16" t="str">
        <f ca="1">IFERROR(__xludf.DUMMYFUNCTION("""COMPUTED_VALUE"""),"Magic")</f>
        <v>Magic</v>
      </c>
      <c r="D398" s="254">
        <f ca="1">IFERROR(__xludf.DUMMYFUNCTION("""COMPUTED_VALUE"""),943)</f>
        <v>943</v>
      </c>
    </row>
    <row r="399" spans="1:4" ht="13.2">
      <c r="A399" s="16">
        <f ca="1">IFERROR(__xludf.DUMMYFUNCTION("""COMPUTED_VALUE"""),232)</f>
        <v>232</v>
      </c>
      <c r="B399" t="str">
        <f ca="1">IFERROR(__xludf.DUMMYFUNCTION("""COMPUTED_VALUE"""),"Robe of scintillating colors")</f>
        <v>Robe of scintillating colors</v>
      </c>
      <c r="C399" s="16" t="str">
        <f ca="1">IFERROR(__xludf.DUMMYFUNCTION("""COMPUTED_VALUE"""),"Magic")</f>
        <v>Magic</v>
      </c>
      <c r="D399" s="254">
        <f ca="1">IFERROR(__xludf.DUMMYFUNCTION("""COMPUTED_VALUE"""),1560)</f>
        <v>1560</v>
      </c>
    </row>
    <row r="400" spans="1:4" ht="13.2">
      <c r="A400" s="16">
        <f ca="1">IFERROR(__xludf.DUMMYFUNCTION("""COMPUTED_VALUE"""),233)</f>
        <v>233</v>
      </c>
      <c r="B400" t="str">
        <f ca="1">IFERROR(__xludf.DUMMYFUNCTION("""COMPUTED_VALUE"""),"Robe of stars")</f>
        <v>Robe of stars</v>
      </c>
      <c r="C400" s="16" t="str">
        <f ca="1">IFERROR(__xludf.DUMMYFUNCTION("""COMPUTED_VALUE"""),"Magic")</f>
        <v>Magic</v>
      </c>
      <c r="D400" s="254">
        <f ca="1">IFERROR(__xludf.DUMMYFUNCTION("""COMPUTED_VALUE"""),1584)</f>
        <v>1584</v>
      </c>
    </row>
    <row r="401" spans="1:4" ht="13.2">
      <c r="A401" s="16">
        <f ca="1">IFERROR(__xludf.DUMMYFUNCTION("""COMPUTED_VALUE"""),234)</f>
        <v>234</v>
      </c>
      <c r="B401" t="str">
        <f ca="1">IFERROR(__xludf.DUMMYFUNCTION("""COMPUTED_VALUE"""),"Robe of the archmagi")</f>
        <v>Robe of the archmagi</v>
      </c>
      <c r="C401" s="16" t="str">
        <f ca="1">IFERROR(__xludf.DUMMYFUNCTION("""COMPUTED_VALUE"""),"Magic")</f>
        <v>Magic</v>
      </c>
      <c r="D401" s="254">
        <f ca="1">IFERROR(__xludf.DUMMYFUNCTION("""COMPUTED_VALUE"""),3025)</f>
        <v>3025</v>
      </c>
    </row>
    <row r="402" spans="1:4" ht="13.2">
      <c r="A402" s="16">
        <f ca="1">IFERROR(__xludf.DUMMYFUNCTION("""COMPUTED_VALUE"""),235)</f>
        <v>235</v>
      </c>
      <c r="B402" t="str">
        <f ca="1">IFERROR(__xludf.DUMMYFUNCTION("""COMPUTED_VALUE"""),"Robe of useful items")</f>
        <v>Robe of useful items</v>
      </c>
      <c r="C402" s="16" t="str">
        <f ca="1">IFERROR(__xludf.DUMMYFUNCTION("""COMPUTED_VALUE"""),"Magic")</f>
        <v>Magic</v>
      </c>
      <c r="D402" s="254">
        <f ca="1">IFERROR(__xludf.DUMMYFUNCTION("""COMPUTED_VALUE"""),384)</f>
        <v>384</v>
      </c>
    </row>
    <row r="403" spans="1:4" ht="13.2">
      <c r="A403" s="16">
        <f ca="1">IFERROR(__xludf.DUMMYFUNCTION("""COMPUTED_VALUE"""),236)</f>
        <v>236</v>
      </c>
      <c r="B403" t="str">
        <f ca="1">IFERROR(__xludf.DUMMYFUNCTION("""COMPUTED_VALUE"""),"Rod of absorption")</f>
        <v>Rod of absorption</v>
      </c>
      <c r="C403" s="16" t="str">
        <f ca="1">IFERROR(__xludf.DUMMYFUNCTION("""COMPUTED_VALUE"""),"Magic")</f>
        <v>Magic</v>
      </c>
      <c r="D403" s="254">
        <f ca="1">IFERROR(__xludf.DUMMYFUNCTION("""COMPUTED_VALUE"""),1564)</f>
        <v>1564</v>
      </c>
    </row>
    <row r="404" spans="1:4" ht="13.2">
      <c r="A404" s="16">
        <f ca="1">IFERROR(__xludf.DUMMYFUNCTION("""COMPUTED_VALUE"""),237)</f>
        <v>237</v>
      </c>
      <c r="B404" t="str">
        <f ca="1">IFERROR(__xludf.DUMMYFUNCTION("""COMPUTED_VALUE"""),"Rod of alertness")</f>
        <v>Rod of alertness</v>
      </c>
      <c r="C404" s="16" t="str">
        <f ca="1">IFERROR(__xludf.DUMMYFUNCTION("""COMPUTED_VALUE"""),"Magic")</f>
        <v>Magic</v>
      </c>
      <c r="D404" s="254">
        <f ca="1">IFERROR(__xludf.DUMMYFUNCTION("""COMPUTED_VALUE"""),1588)</f>
        <v>1588</v>
      </c>
    </row>
    <row r="405" spans="1:4" ht="13.2">
      <c r="A405" s="16">
        <f ca="1">IFERROR(__xludf.DUMMYFUNCTION("""COMPUTED_VALUE"""),238)</f>
        <v>238</v>
      </c>
      <c r="B405" t="str">
        <f ca="1">IFERROR(__xludf.DUMMYFUNCTION("""COMPUTED_VALUE"""),"Rod of lordly might")</f>
        <v>Rod of lordly might</v>
      </c>
      <c r="C405" s="16" t="str">
        <f ca="1">IFERROR(__xludf.DUMMYFUNCTION("""COMPUTED_VALUE"""),"Magic")</f>
        <v>Magic</v>
      </c>
      <c r="D405" s="254">
        <f ca="1">IFERROR(__xludf.DUMMYFUNCTION("""COMPUTED_VALUE"""),3030)</f>
        <v>3030</v>
      </c>
    </row>
    <row r="406" spans="1:4" ht="13.2">
      <c r="A406" s="16">
        <f ca="1">IFERROR(__xludf.DUMMYFUNCTION("""COMPUTED_VALUE"""),239)</f>
        <v>239</v>
      </c>
      <c r="B406" t="str">
        <f ca="1">IFERROR(__xludf.DUMMYFUNCTION("""COMPUTED_VALUE"""),"Rod of resurrection")</f>
        <v>Rod of resurrection</v>
      </c>
      <c r="C406" s="16" t="str">
        <f ca="1">IFERROR(__xludf.DUMMYFUNCTION("""COMPUTED_VALUE"""),"Magic")</f>
        <v>Magic</v>
      </c>
      <c r="D406" s="254">
        <f ca="1">IFERROR(__xludf.DUMMYFUNCTION("""COMPUTED_VALUE"""),3060)</f>
        <v>3060</v>
      </c>
    </row>
    <row r="407" spans="1:4" ht="13.2">
      <c r="A407" s="16">
        <f ca="1">IFERROR(__xludf.DUMMYFUNCTION("""COMPUTED_VALUE"""),240)</f>
        <v>240</v>
      </c>
      <c r="B407" t="str">
        <f ca="1">IFERROR(__xludf.DUMMYFUNCTION("""COMPUTED_VALUE"""),"Rod of rulership")</f>
        <v>Rod of rulership</v>
      </c>
      <c r="C407" s="16" t="str">
        <f ca="1">IFERROR(__xludf.DUMMYFUNCTION("""COMPUTED_VALUE"""),"Magic")</f>
        <v>Magic</v>
      </c>
      <c r="D407" s="254">
        <f ca="1">IFERROR(__xludf.DUMMYFUNCTION("""COMPUTED_VALUE"""),928)</f>
        <v>928</v>
      </c>
    </row>
    <row r="408" spans="1:4" ht="13.2">
      <c r="A408" s="16">
        <f ca="1">IFERROR(__xludf.DUMMYFUNCTION("""COMPUTED_VALUE"""),241)</f>
        <v>241</v>
      </c>
      <c r="B408" t="str">
        <f ca="1">IFERROR(__xludf.DUMMYFUNCTION("""COMPUTED_VALUE"""),"Rod of security")</f>
        <v>Rod of security</v>
      </c>
      <c r="C408" s="16" t="str">
        <f ca="1">IFERROR(__xludf.DUMMYFUNCTION("""COMPUTED_VALUE"""),"Magic")</f>
        <v>Magic</v>
      </c>
      <c r="D408" s="254">
        <f ca="1">IFERROR(__xludf.DUMMYFUNCTION("""COMPUTED_VALUE"""),1592)</f>
        <v>1592</v>
      </c>
    </row>
    <row r="409" spans="1:4" ht="13.2">
      <c r="A409" s="16">
        <f ca="1">IFERROR(__xludf.DUMMYFUNCTION("""COMPUTED_VALUE"""),242)</f>
        <v>242</v>
      </c>
      <c r="B409" t="str">
        <f ca="1">IFERROR(__xludf.DUMMYFUNCTION("""COMPUTED_VALUE"""),"Rod of the pact keeper +1")</f>
        <v>Rod of the pact keeper +1</v>
      </c>
      <c r="C409" s="16" t="str">
        <f ca="1">IFERROR(__xludf.DUMMYFUNCTION("""COMPUTED_VALUE"""),"Magic")</f>
        <v>Magic</v>
      </c>
      <c r="D409" s="254">
        <f ca="1">IFERROR(__xludf.DUMMYFUNCTION("""COMPUTED_VALUE"""),374)</f>
        <v>374</v>
      </c>
    </row>
    <row r="410" spans="1:4" ht="13.2">
      <c r="A410" s="16">
        <f ca="1">IFERROR(__xludf.DUMMYFUNCTION("""COMPUTED_VALUE"""),243)</f>
        <v>243</v>
      </c>
      <c r="B410" t="str">
        <f ca="1">IFERROR(__xludf.DUMMYFUNCTION("""COMPUTED_VALUE"""),"Rod of the pact keeper +2")</f>
        <v>Rod of the pact keeper +2</v>
      </c>
      <c r="C410" s="16" t="str">
        <f ca="1">IFERROR(__xludf.DUMMYFUNCTION("""COMPUTED_VALUE"""),"Magic")</f>
        <v>Magic</v>
      </c>
      <c r="D410" s="254">
        <f ca="1">IFERROR(__xludf.DUMMYFUNCTION("""COMPUTED_VALUE"""),949)</f>
        <v>949</v>
      </c>
    </row>
    <row r="411" spans="1:4" ht="13.2">
      <c r="A411" s="16">
        <f ca="1">IFERROR(__xludf.DUMMYFUNCTION("""COMPUTED_VALUE"""),244)</f>
        <v>244</v>
      </c>
      <c r="B411" t="str">
        <f ca="1">IFERROR(__xludf.DUMMYFUNCTION("""COMPUTED_VALUE"""),"Rod of the pact keeper +3")</f>
        <v>Rod of the pact keeper +3</v>
      </c>
      <c r="C411" s="16" t="str">
        <f ca="1">IFERROR(__xludf.DUMMYFUNCTION("""COMPUTED_VALUE"""),"Magic")</f>
        <v>Magic</v>
      </c>
      <c r="D411" s="254">
        <f ca="1">IFERROR(__xludf.DUMMYFUNCTION("""COMPUTED_VALUE"""),1568)</f>
        <v>1568</v>
      </c>
    </row>
    <row r="412" spans="1:4" ht="13.2">
      <c r="A412" s="16">
        <f ca="1">IFERROR(__xludf.DUMMYFUNCTION("""COMPUTED_VALUE"""),245)</f>
        <v>245</v>
      </c>
      <c r="B412" t="str">
        <f ca="1">IFERROR(__xludf.DUMMYFUNCTION("""COMPUTED_VALUE"""),"Rope of climbing")</f>
        <v>Rope of climbing</v>
      </c>
      <c r="C412" s="16" t="str">
        <f ca="1">IFERROR(__xludf.DUMMYFUNCTION("""COMPUTED_VALUE"""),"Magic")</f>
        <v>Magic</v>
      </c>
      <c r="D412" s="254">
        <f ca="1">IFERROR(__xludf.DUMMYFUNCTION("""COMPUTED_VALUE"""),386)</f>
        <v>386</v>
      </c>
    </row>
    <row r="413" spans="1:4" ht="13.2">
      <c r="A413" s="16">
        <f ca="1">IFERROR(__xludf.DUMMYFUNCTION("""COMPUTED_VALUE"""),246)</f>
        <v>246</v>
      </c>
      <c r="B413" t="str">
        <f ca="1">IFERROR(__xludf.DUMMYFUNCTION("""COMPUTED_VALUE"""),"Rope of entanglement")</f>
        <v>Rope of entanglement</v>
      </c>
      <c r="C413" s="16" t="str">
        <f ca="1">IFERROR(__xludf.DUMMYFUNCTION("""COMPUTED_VALUE"""),"Magic")</f>
        <v>Magic</v>
      </c>
      <c r="D413" s="254">
        <f ca="1">IFERROR(__xludf.DUMMYFUNCTION("""COMPUTED_VALUE"""),931)</f>
        <v>931</v>
      </c>
    </row>
    <row r="414" spans="1:4" ht="13.2">
      <c r="A414" s="16">
        <f ca="1">IFERROR(__xludf.DUMMYFUNCTION("""COMPUTED_VALUE"""),247)</f>
        <v>247</v>
      </c>
      <c r="B414" t="str">
        <f ca="1">IFERROR(__xludf.DUMMYFUNCTION("""COMPUTED_VALUE"""),"Saddle of the cavalier")</f>
        <v>Saddle of the cavalier</v>
      </c>
      <c r="C414" s="16" t="str">
        <f ca="1">IFERROR(__xludf.DUMMYFUNCTION("""COMPUTED_VALUE"""),"Magic")</f>
        <v>Magic</v>
      </c>
      <c r="D414" s="254">
        <f ca="1">IFERROR(__xludf.DUMMYFUNCTION("""COMPUTED_VALUE"""),388)</f>
        <v>388</v>
      </c>
    </row>
    <row r="415" spans="1:4" ht="13.2">
      <c r="A415" s="16">
        <f ca="1">IFERROR(__xludf.DUMMYFUNCTION("""COMPUTED_VALUE"""),248)</f>
        <v>248</v>
      </c>
      <c r="B415" t="str">
        <f ca="1">IFERROR(__xludf.DUMMYFUNCTION("""COMPUTED_VALUE"""),"Scarab of protection")</f>
        <v>Scarab of protection</v>
      </c>
      <c r="C415" s="16" t="str">
        <f ca="1">IFERROR(__xludf.DUMMYFUNCTION("""COMPUTED_VALUE"""),"Magic")</f>
        <v>Magic</v>
      </c>
      <c r="D415" s="254">
        <f ca="1">IFERROR(__xludf.DUMMYFUNCTION("""COMPUTED_VALUE"""),3040)</f>
        <v>3040</v>
      </c>
    </row>
    <row r="416" spans="1:4" ht="13.2">
      <c r="A416" s="16">
        <f ca="1">IFERROR(__xludf.DUMMYFUNCTION("""COMPUTED_VALUE"""),249)</f>
        <v>249</v>
      </c>
      <c r="B416" t="str">
        <f ca="1">IFERROR(__xludf.DUMMYFUNCTION("""COMPUTED_VALUE"""),"Scimitar of speed")</f>
        <v>Scimitar of speed</v>
      </c>
      <c r="C416" s="16" t="str">
        <f ca="1">IFERROR(__xludf.DUMMYFUNCTION("""COMPUTED_VALUE"""),"Magic")</f>
        <v>Magic</v>
      </c>
      <c r="D416" s="254">
        <f ca="1">IFERROR(__xludf.DUMMYFUNCTION("""COMPUTED_VALUE"""),1596)</f>
        <v>1596</v>
      </c>
    </row>
    <row r="417" spans="1:4" ht="13.2">
      <c r="A417" s="16">
        <f ca="1">IFERROR(__xludf.DUMMYFUNCTION("""COMPUTED_VALUE"""),250)</f>
        <v>250</v>
      </c>
      <c r="B417" t="str">
        <f ca="1">IFERROR(__xludf.DUMMYFUNCTION("""COMPUTED_VALUE"""),"Scroll of protection")</f>
        <v>Scroll of protection</v>
      </c>
      <c r="C417" s="16" t="str">
        <f ca="1">IFERROR(__xludf.DUMMYFUNCTION("""COMPUTED_VALUE"""),"Magic")</f>
        <v>Magic</v>
      </c>
      <c r="D417" s="254">
        <f ca="1">IFERROR(__xludf.DUMMYFUNCTION("""COMPUTED_VALUE"""),934)</f>
        <v>934</v>
      </c>
    </row>
    <row r="418" spans="1:4" ht="13.2">
      <c r="A418" s="16">
        <f ca="1">IFERROR(__xludf.DUMMYFUNCTION("""COMPUTED_VALUE"""),251)</f>
        <v>251</v>
      </c>
      <c r="B418" t="str">
        <f ca="1">IFERROR(__xludf.DUMMYFUNCTION("""COMPUTED_VALUE"""),"Sending stones")</f>
        <v>Sending stones</v>
      </c>
      <c r="C418" s="16" t="str">
        <f ca="1">IFERROR(__xludf.DUMMYFUNCTION("""COMPUTED_VALUE"""),"Magic")</f>
        <v>Magic</v>
      </c>
      <c r="D418" s="254">
        <f ca="1">IFERROR(__xludf.DUMMYFUNCTION("""COMPUTED_VALUE"""),388)</f>
        <v>388</v>
      </c>
    </row>
    <row r="419" spans="1:4" ht="13.2">
      <c r="A419" s="16">
        <f ca="1">IFERROR(__xludf.DUMMYFUNCTION("""COMPUTED_VALUE"""),252)</f>
        <v>252</v>
      </c>
      <c r="B419" t="str">
        <f ca="1">IFERROR(__xludf.DUMMYFUNCTION("""COMPUTED_VALUE"""),"Sentinel shield")</f>
        <v>Sentinel shield</v>
      </c>
      <c r="C419" s="16" t="str">
        <f ca="1">IFERROR(__xludf.DUMMYFUNCTION("""COMPUTED_VALUE"""),"Magic")</f>
        <v>Magic</v>
      </c>
      <c r="D419" s="254">
        <f ca="1">IFERROR(__xludf.DUMMYFUNCTION("""COMPUTED_VALUE"""),376)</f>
        <v>376</v>
      </c>
    </row>
    <row r="420" spans="1:4" ht="13.2">
      <c r="A420" s="16">
        <f ca="1">IFERROR(__xludf.DUMMYFUNCTION("""COMPUTED_VALUE"""),253)</f>
        <v>253</v>
      </c>
      <c r="B420" t="str">
        <f ca="1">IFERROR(__xludf.DUMMYFUNCTION("""COMPUTED_VALUE"""),"Shield +1")</f>
        <v>Shield +1</v>
      </c>
      <c r="C420" s="16" t="str">
        <f ca="1">IFERROR(__xludf.DUMMYFUNCTION("""COMPUTED_VALUE"""),"Magic")</f>
        <v>Magic</v>
      </c>
      <c r="D420" s="254">
        <f ca="1">IFERROR(__xludf.DUMMYFUNCTION("""COMPUTED_VALUE"""),366)</f>
        <v>366</v>
      </c>
    </row>
    <row r="421" spans="1:4" ht="13.2">
      <c r="A421" s="16">
        <f ca="1">IFERROR(__xludf.DUMMYFUNCTION("""COMPUTED_VALUE"""),254)</f>
        <v>254</v>
      </c>
      <c r="B421" t="str">
        <f ca="1">IFERROR(__xludf.DUMMYFUNCTION("""COMPUTED_VALUE"""),"Shield +2")</f>
        <v>Shield +2</v>
      </c>
      <c r="C421" s="16" t="str">
        <f ca="1">IFERROR(__xludf.DUMMYFUNCTION("""COMPUTED_VALUE"""),"Magic")</f>
        <v>Magic</v>
      </c>
      <c r="D421" s="254">
        <f ca="1">IFERROR(__xludf.DUMMYFUNCTION("""COMPUTED_VALUE"""),937)</f>
        <v>937</v>
      </c>
    </row>
    <row r="422" spans="1:4" ht="13.2">
      <c r="A422" s="16">
        <f ca="1">IFERROR(__xludf.DUMMYFUNCTION("""COMPUTED_VALUE"""),255)</f>
        <v>255</v>
      </c>
      <c r="B422" t="str">
        <f ca="1">IFERROR(__xludf.DUMMYFUNCTION("""COMPUTED_VALUE"""),"Shield +3")</f>
        <v>Shield +3</v>
      </c>
      <c r="C422" s="16" t="str">
        <f ca="1">IFERROR(__xludf.DUMMYFUNCTION("""COMPUTED_VALUE"""),"Magic")</f>
        <v>Magic</v>
      </c>
      <c r="D422" s="254">
        <f ca="1">IFERROR(__xludf.DUMMYFUNCTION("""COMPUTED_VALUE"""),1552)</f>
        <v>1552</v>
      </c>
    </row>
    <row r="423" spans="1:4" ht="13.2">
      <c r="A423" s="16">
        <f ca="1">IFERROR(__xludf.DUMMYFUNCTION("""COMPUTED_VALUE"""),256)</f>
        <v>256</v>
      </c>
      <c r="B423" t="str">
        <f ca="1">IFERROR(__xludf.DUMMYFUNCTION("""COMPUTED_VALUE"""),"Shield of missile attraction")</f>
        <v>Shield of missile attraction</v>
      </c>
      <c r="C423" s="16" t="str">
        <f ca="1">IFERROR(__xludf.DUMMYFUNCTION("""COMPUTED_VALUE"""),"Magic")</f>
        <v>Magic</v>
      </c>
      <c r="D423" s="254">
        <f ca="1">IFERROR(__xludf.DUMMYFUNCTION("""COMPUTED_VALUE"""),937)</f>
        <v>937</v>
      </c>
    </row>
    <row r="424" spans="1:4" ht="13.2">
      <c r="A424" s="16">
        <f ca="1">IFERROR(__xludf.DUMMYFUNCTION("""COMPUTED_VALUE"""),257)</f>
        <v>257</v>
      </c>
      <c r="B424" t="str">
        <f ca="1">IFERROR(__xludf.DUMMYFUNCTION("""COMPUTED_VALUE"""),"Slippers of spider climbing")</f>
        <v>Slippers of spider climbing</v>
      </c>
      <c r="C424" s="16" t="str">
        <f ca="1">IFERROR(__xludf.DUMMYFUNCTION("""COMPUTED_VALUE"""),"Magic")</f>
        <v>Magic</v>
      </c>
      <c r="D424" s="254">
        <f ca="1">IFERROR(__xludf.DUMMYFUNCTION("""COMPUTED_VALUE"""),366)</f>
        <v>366</v>
      </c>
    </row>
    <row r="425" spans="1:4" ht="13.2">
      <c r="A425" s="16">
        <f ca="1">IFERROR(__xludf.DUMMYFUNCTION("""COMPUTED_VALUE"""),258)</f>
        <v>258</v>
      </c>
      <c r="B425" t="str">
        <f ca="1">IFERROR(__xludf.DUMMYFUNCTION("""COMPUTED_VALUE"""),"Sovereign glue")</f>
        <v>Sovereign glue</v>
      </c>
      <c r="C425" s="16" t="str">
        <f ca="1">IFERROR(__xludf.DUMMYFUNCTION("""COMPUTED_VALUE"""),"Magic")</f>
        <v>Magic</v>
      </c>
      <c r="D425" s="254">
        <f ca="1">IFERROR(__xludf.DUMMYFUNCTION("""COMPUTED_VALUE"""),3045)</f>
        <v>3045</v>
      </c>
    </row>
    <row r="426" spans="1:4" ht="13.2">
      <c r="A426" s="16">
        <f ca="1">IFERROR(__xludf.DUMMYFUNCTION("""COMPUTED_VALUE"""),259)</f>
        <v>259</v>
      </c>
      <c r="B426" t="str">
        <f ca="1">IFERROR(__xludf.DUMMYFUNCTION("""COMPUTED_VALUE"""),"Spell scroll (1st level)")</f>
        <v>Spell scroll (1st level)</v>
      </c>
      <c r="C426" s="16" t="str">
        <f ca="1">IFERROR(__xludf.DUMMYFUNCTION("""COMPUTED_VALUE"""),"Magic")</f>
        <v>Magic</v>
      </c>
      <c r="D426" s="254">
        <f ca="1">IFERROR(__xludf.DUMMYFUNCTION("""COMPUTED_VALUE"""),114)</f>
        <v>114</v>
      </c>
    </row>
    <row r="427" spans="1:4" ht="13.2">
      <c r="A427" s="16">
        <f ca="1">IFERROR(__xludf.DUMMYFUNCTION("""COMPUTED_VALUE"""),260)</f>
        <v>260</v>
      </c>
      <c r="B427" t="str">
        <f ca="1">IFERROR(__xludf.DUMMYFUNCTION("""COMPUTED_VALUE"""),"Spell scroll (2nd level)")</f>
        <v>Spell scroll (2nd level)</v>
      </c>
      <c r="C427" s="16" t="str">
        <f ca="1">IFERROR(__xludf.DUMMYFUNCTION("""COMPUTED_VALUE"""),"Magic")</f>
        <v>Magic</v>
      </c>
      <c r="D427" s="254">
        <f ca="1">IFERROR(__xludf.DUMMYFUNCTION("""COMPUTED_VALUE"""),380)</f>
        <v>380</v>
      </c>
    </row>
    <row r="428" spans="1:4" ht="13.2">
      <c r="A428" s="16">
        <f ca="1">IFERROR(__xludf.DUMMYFUNCTION("""COMPUTED_VALUE"""),261)</f>
        <v>261</v>
      </c>
      <c r="B428" t="str">
        <f ca="1">IFERROR(__xludf.DUMMYFUNCTION("""COMPUTED_VALUE"""),"Spell scroll (3rd level)")</f>
        <v>Spell scroll (3rd level)</v>
      </c>
      <c r="C428" s="16" t="str">
        <f ca="1">IFERROR(__xludf.DUMMYFUNCTION("""COMPUTED_VALUE"""),"Magic")</f>
        <v>Magic</v>
      </c>
      <c r="D428" s="254">
        <f ca="1">IFERROR(__xludf.DUMMYFUNCTION("""COMPUTED_VALUE"""),368)</f>
        <v>368</v>
      </c>
    </row>
    <row r="429" spans="1:4" ht="13.2">
      <c r="A429" s="16">
        <f ca="1">IFERROR(__xludf.DUMMYFUNCTION("""COMPUTED_VALUE"""),262)</f>
        <v>262</v>
      </c>
      <c r="B429" t="str">
        <f ca="1">IFERROR(__xludf.DUMMYFUNCTION("""COMPUTED_VALUE"""),"Spell scroll (4th level)")</f>
        <v>Spell scroll (4th level)</v>
      </c>
      <c r="C429" s="16" t="str">
        <f ca="1">IFERROR(__xludf.DUMMYFUNCTION("""COMPUTED_VALUE"""),"Magic")</f>
        <v>Magic</v>
      </c>
      <c r="D429" s="254">
        <f ca="1">IFERROR(__xludf.DUMMYFUNCTION("""COMPUTED_VALUE"""),940)</f>
        <v>940</v>
      </c>
    </row>
    <row r="430" spans="1:4" ht="13.2">
      <c r="A430" s="16">
        <f ca="1">IFERROR(__xludf.DUMMYFUNCTION("""COMPUTED_VALUE"""),263)</f>
        <v>263</v>
      </c>
      <c r="B430" t="str">
        <f ca="1">IFERROR(__xludf.DUMMYFUNCTION("""COMPUTED_VALUE"""),"Spell scroll (5th level)")</f>
        <v>Spell scroll (5th level)</v>
      </c>
      <c r="C430" s="16" t="str">
        <f ca="1">IFERROR(__xludf.DUMMYFUNCTION("""COMPUTED_VALUE"""),"Magic")</f>
        <v>Magic</v>
      </c>
      <c r="D430" s="254">
        <f ca="1">IFERROR(__xludf.DUMMYFUNCTION("""COMPUTED_VALUE"""),922)</f>
        <v>922</v>
      </c>
    </row>
    <row r="431" spans="1:4" ht="13.2">
      <c r="A431" s="16">
        <f ca="1">IFERROR(__xludf.DUMMYFUNCTION("""COMPUTED_VALUE"""),264)</f>
        <v>264</v>
      </c>
      <c r="B431" t="str">
        <f ca="1">IFERROR(__xludf.DUMMYFUNCTION("""COMPUTED_VALUE"""),"Spell scroll (6th level)")</f>
        <v>Spell scroll (6th level)</v>
      </c>
      <c r="C431" s="16" t="str">
        <f ca="1">IFERROR(__xludf.DUMMYFUNCTION("""COMPUTED_VALUE"""),"Magic")</f>
        <v>Magic</v>
      </c>
      <c r="D431" s="254">
        <f ca="1">IFERROR(__xludf.DUMMYFUNCTION("""COMPUTED_VALUE"""),1580)</f>
        <v>1580</v>
      </c>
    </row>
    <row r="432" spans="1:4" ht="13.2">
      <c r="A432" s="16">
        <f ca="1">IFERROR(__xludf.DUMMYFUNCTION("""COMPUTED_VALUE"""),265)</f>
        <v>265</v>
      </c>
      <c r="B432" t="str">
        <f ca="1">IFERROR(__xludf.DUMMYFUNCTION("""COMPUTED_VALUE"""),"Spell scroll (7th level)")</f>
        <v>Spell scroll (7th level)</v>
      </c>
      <c r="C432" s="16" t="str">
        <f ca="1">IFERROR(__xludf.DUMMYFUNCTION("""COMPUTED_VALUE"""),"Magic")</f>
        <v>Magic</v>
      </c>
      <c r="D432" s="254">
        <f ca="1">IFERROR(__xludf.DUMMYFUNCTION("""COMPUTED_VALUE"""),1560)</f>
        <v>1560</v>
      </c>
    </row>
    <row r="433" spans="1:4" ht="13.2">
      <c r="A433" s="16">
        <f ca="1">IFERROR(__xludf.DUMMYFUNCTION("""COMPUTED_VALUE"""),266)</f>
        <v>266</v>
      </c>
      <c r="B433" t="str">
        <f ca="1">IFERROR(__xludf.DUMMYFUNCTION("""COMPUTED_VALUE"""),"Spell scroll (8th level)")</f>
        <v>Spell scroll (8th level)</v>
      </c>
      <c r="C433" s="16" t="str">
        <f ca="1">IFERROR(__xludf.DUMMYFUNCTION("""COMPUTED_VALUE"""),"Magic")</f>
        <v>Magic</v>
      </c>
      <c r="D433" s="254">
        <f ca="1">IFERROR(__xludf.DUMMYFUNCTION("""COMPUTED_VALUE"""),1584)</f>
        <v>1584</v>
      </c>
    </row>
    <row r="434" spans="1:4" ht="13.2">
      <c r="A434" s="16">
        <f ca="1">IFERROR(__xludf.DUMMYFUNCTION("""COMPUTED_VALUE"""),267)</f>
        <v>267</v>
      </c>
      <c r="B434" t="str">
        <f ca="1">IFERROR(__xludf.DUMMYFUNCTION("""COMPUTED_VALUE"""),"Spell scroll (9th level)")</f>
        <v>Spell scroll (9th level)</v>
      </c>
      <c r="C434" s="16" t="str">
        <f ca="1">IFERROR(__xludf.DUMMYFUNCTION("""COMPUTED_VALUE"""),"Magic")</f>
        <v>Magic</v>
      </c>
      <c r="D434" s="254">
        <f ca="1">IFERROR(__xludf.DUMMYFUNCTION("""COMPUTED_VALUE"""),3025)</f>
        <v>3025</v>
      </c>
    </row>
    <row r="435" spans="1:4" ht="13.2">
      <c r="A435" s="16">
        <f ca="1">IFERROR(__xludf.DUMMYFUNCTION("""COMPUTED_VALUE"""),268)</f>
        <v>268</v>
      </c>
      <c r="B435" t="str">
        <f ca="1">IFERROR(__xludf.DUMMYFUNCTION("""COMPUTED_VALUE"""),"Spell scroll (cantrip)")</f>
        <v>Spell scroll (cantrip)</v>
      </c>
      <c r="C435" s="16" t="str">
        <f ca="1">IFERROR(__xludf.DUMMYFUNCTION("""COMPUTED_VALUE"""),"Magic")</f>
        <v>Magic</v>
      </c>
      <c r="D435" s="254">
        <f ca="1">IFERROR(__xludf.DUMMYFUNCTION("""COMPUTED_VALUE"""),121)</f>
        <v>121</v>
      </c>
    </row>
    <row r="436" spans="1:4" ht="13.2">
      <c r="A436" s="16">
        <f ca="1">IFERROR(__xludf.DUMMYFUNCTION("""COMPUTED_VALUE"""),269)</f>
        <v>269</v>
      </c>
      <c r="B436" t="str">
        <f ca="1">IFERROR(__xludf.DUMMYFUNCTION("""COMPUTED_VALUE"""),"Spellguard shield")</f>
        <v>Spellguard shield</v>
      </c>
      <c r="C436" s="16" t="str">
        <f ca="1">IFERROR(__xludf.DUMMYFUNCTION("""COMPUTED_VALUE"""),"Magic")</f>
        <v>Magic</v>
      </c>
      <c r="D436" s="254">
        <f ca="1">IFERROR(__xludf.DUMMYFUNCTION("""COMPUTED_VALUE"""),1560)</f>
        <v>1560</v>
      </c>
    </row>
    <row r="437" spans="1:4" ht="13.2">
      <c r="A437" s="16">
        <f ca="1">IFERROR(__xludf.DUMMYFUNCTION("""COMPUTED_VALUE"""),270)</f>
        <v>270</v>
      </c>
      <c r="B437" t="str">
        <f ca="1">IFERROR(__xludf.DUMMYFUNCTION("""COMPUTED_VALUE"""),"Sphere of annihilation")</f>
        <v>Sphere of annihilation</v>
      </c>
      <c r="C437" s="16" t="str">
        <f ca="1">IFERROR(__xludf.DUMMYFUNCTION("""COMPUTED_VALUE"""),"Magic")</f>
        <v>Magic</v>
      </c>
      <c r="D437" s="254">
        <f ca="1">IFERROR(__xludf.DUMMYFUNCTION("""COMPUTED_VALUE"""),3055)</f>
        <v>3055</v>
      </c>
    </row>
    <row r="438" spans="1:4" ht="13.2">
      <c r="A438" s="16">
        <f ca="1">IFERROR(__xludf.DUMMYFUNCTION("""COMPUTED_VALUE"""),271)</f>
        <v>271</v>
      </c>
      <c r="B438" t="str">
        <f ca="1">IFERROR(__xludf.DUMMYFUNCTION("""COMPUTED_VALUE"""),"Staff of charming")</f>
        <v>Staff of charming</v>
      </c>
      <c r="C438" s="16" t="str">
        <f ca="1">IFERROR(__xludf.DUMMYFUNCTION("""COMPUTED_VALUE"""),"Magic")</f>
        <v>Magic</v>
      </c>
      <c r="D438" s="254">
        <f ca="1">IFERROR(__xludf.DUMMYFUNCTION("""COMPUTED_VALUE"""),928)</f>
        <v>928</v>
      </c>
    </row>
    <row r="439" spans="1:4" ht="13.2">
      <c r="A439" s="16">
        <f ca="1">IFERROR(__xludf.DUMMYFUNCTION("""COMPUTED_VALUE"""),272)</f>
        <v>272</v>
      </c>
      <c r="B439" t="str">
        <f ca="1">IFERROR(__xludf.DUMMYFUNCTION("""COMPUTED_VALUE"""),"Staff of fire")</f>
        <v>Staff of fire</v>
      </c>
      <c r="C439" s="16" t="str">
        <f ca="1">IFERROR(__xludf.DUMMYFUNCTION("""COMPUTED_VALUE"""),"Magic")</f>
        <v>Magic</v>
      </c>
      <c r="D439" s="254">
        <f ca="1">IFERROR(__xludf.DUMMYFUNCTION("""COMPUTED_VALUE"""),1588)</f>
        <v>1588</v>
      </c>
    </row>
    <row r="440" spans="1:4" ht="13.2">
      <c r="A440" s="16">
        <f ca="1">IFERROR(__xludf.DUMMYFUNCTION("""COMPUTED_VALUE"""),273)</f>
        <v>273</v>
      </c>
      <c r="B440" t="str">
        <f ca="1">IFERROR(__xludf.DUMMYFUNCTION("""COMPUTED_VALUE"""),"Staff of frost")</f>
        <v>Staff of frost</v>
      </c>
      <c r="C440" s="16" t="str">
        <f ca="1">IFERROR(__xludf.DUMMYFUNCTION("""COMPUTED_VALUE"""),"Magic")</f>
        <v>Magic</v>
      </c>
      <c r="D440" s="254">
        <f ca="1">IFERROR(__xludf.DUMMYFUNCTION("""COMPUTED_VALUE"""),1564)</f>
        <v>1564</v>
      </c>
    </row>
    <row r="441" spans="1:4" ht="13.2">
      <c r="A441" s="16">
        <f ca="1">IFERROR(__xludf.DUMMYFUNCTION("""COMPUTED_VALUE"""),274)</f>
        <v>274</v>
      </c>
      <c r="B441" t="str">
        <f ca="1">IFERROR(__xludf.DUMMYFUNCTION("""COMPUTED_VALUE"""),"Staff of healing")</f>
        <v>Staff of healing</v>
      </c>
      <c r="C441" s="16" t="str">
        <f ca="1">IFERROR(__xludf.DUMMYFUNCTION("""COMPUTED_VALUE"""),"Magic")</f>
        <v>Magic</v>
      </c>
      <c r="D441" s="254">
        <f ca="1">IFERROR(__xludf.DUMMYFUNCTION("""COMPUTED_VALUE"""),946)</f>
        <v>946</v>
      </c>
    </row>
    <row r="442" spans="1:4" ht="13.2">
      <c r="A442" s="16">
        <f ca="1">IFERROR(__xludf.DUMMYFUNCTION("""COMPUTED_VALUE"""),275)</f>
        <v>275</v>
      </c>
      <c r="B442" t="str">
        <f ca="1">IFERROR(__xludf.DUMMYFUNCTION("""COMPUTED_VALUE"""),"Staff of power")</f>
        <v>Staff of power</v>
      </c>
      <c r="C442" s="16" t="str">
        <f ca="1">IFERROR(__xludf.DUMMYFUNCTION("""COMPUTED_VALUE"""),"Magic")</f>
        <v>Magic</v>
      </c>
      <c r="D442" s="254">
        <f ca="1">IFERROR(__xludf.DUMMYFUNCTION("""COMPUTED_VALUE"""),1564)</f>
        <v>1564</v>
      </c>
    </row>
    <row r="443" spans="1:4" ht="13.2">
      <c r="A443" s="16">
        <f ca="1">IFERROR(__xludf.DUMMYFUNCTION("""COMPUTED_VALUE"""),276)</f>
        <v>276</v>
      </c>
      <c r="B443" t="str">
        <f ca="1">IFERROR(__xludf.DUMMYFUNCTION("""COMPUTED_VALUE"""),"Staff of striking")</f>
        <v>Staff of striking</v>
      </c>
      <c r="C443" s="16" t="str">
        <f ca="1">IFERROR(__xludf.DUMMYFUNCTION("""COMPUTED_VALUE"""),"Magic")</f>
        <v>Magic</v>
      </c>
      <c r="D443" s="254">
        <f ca="1">IFERROR(__xludf.DUMMYFUNCTION("""COMPUTED_VALUE"""),1588)</f>
        <v>1588</v>
      </c>
    </row>
    <row r="444" spans="1:4" ht="13.2">
      <c r="A444" s="16">
        <f ca="1">IFERROR(__xludf.DUMMYFUNCTION("""COMPUTED_VALUE"""),277)</f>
        <v>277</v>
      </c>
      <c r="B444" t="str">
        <f ca="1">IFERROR(__xludf.DUMMYFUNCTION("""COMPUTED_VALUE"""),"Staff of swarming insects")</f>
        <v>Staff of swarming insects</v>
      </c>
      <c r="C444" s="16" t="str">
        <f ca="1">IFERROR(__xludf.DUMMYFUNCTION("""COMPUTED_VALUE"""),"Magic")</f>
        <v>Magic</v>
      </c>
      <c r="D444" s="254">
        <f ca="1">IFERROR(__xludf.DUMMYFUNCTION("""COMPUTED_VALUE"""),931)</f>
        <v>931</v>
      </c>
    </row>
    <row r="445" spans="1:4" ht="13.2">
      <c r="A445" s="16">
        <f ca="1">IFERROR(__xludf.DUMMYFUNCTION("""COMPUTED_VALUE"""),278)</f>
        <v>278</v>
      </c>
      <c r="B445" t="str">
        <f ca="1">IFERROR(__xludf.DUMMYFUNCTION("""COMPUTED_VALUE"""),"Staff of the adder")</f>
        <v>Staff of the adder</v>
      </c>
      <c r="C445" s="16" t="str">
        <f ca="1">IFERROR(__xludf.DUMMYFUNCTION("""COMPUTED_VALUE"""),"Magic")</f>
        <v>Magic</v>
      </c>
      <c r="D445" s="254">
        <f ca="1">IFERROR(__xludf.DUMMYFUNCTION("""COMPUTED_VALUE"""),386)</f>
        <v>386</v>
      </c>
    </row>
    <row r="446" spans="1:4" ht="13.2">
      <c r="A446" s="16">
        <f ca="1">IFERROR(__xludf.DUMMYFUNCTION("""COMPUTED_VALUE"""),279)</f>
        <v>279</v>
      </c>
      <c r="B446" t="str">
        <f ca="1">IFERROR(__xludf.DUMMYFUNCTION("""COMPUTED_VALUE"""),"Staff of the magi")</f>
        <v>Staff of the magi</v>
      </c>
      <c r="C446" s="16" t="str">
        <f ca="1">IFERROR(__xludf.DUMMYFUNCTION("""COMPUTED_VALUE"""),"Magic")</f>
        <v>Magic</v>
      </c>
      <c r="D446" s="254">
        <f ca="1">IFERROR(__xludf.DUMMYFUNCTION("""COMPUTED_VALUE"""),3035)</f>
        <v>3035</v>
      </c>
    </row>
    <row r="447" spans="1:4" ht="13.2">
      <c r="A447" s="16">
        <f ca="1">IFERROR(__xludf.DUMMYFUNCTION("""COMPUTED_VALUE"""),280)</f>
        <v>280</v>
      </c>
      <c r="B447" t="str">
        <f ca="1">IFERROR(__xludf.DUMMYFUNCTION("""COMPUTED_VALUE"""),"Staff of the python")</f>
        <v>Staff of the python</v>
      </c>
      <c r="C447" s="16" t="str">
        <f ca="1">IFERROR(__xludf.DUMMYFUNCTION("""COMPUTED_VALUE"""),"Magic")</f>
        <v>Magic</v>
      </c>
      <c r="D447" s="254">
        <f ca="1">IFERROR(__xludf.DUMMYFUNCTION("""COMPUTED_VALUE"""),386)</f>
        <v>386</v>
      </c>
    </row>
    <row r="448" spans="1:4" ht="13.2">
      <c r="A448" s="16">
        <f ca="1">IFERROR(__xludf.DUMMYFUNCTION("""COMPUTED_VALUE"""),281)</f>
        <v>281</v>
      </c>
      <c r="B448" t="str">
        <f ca="1">IFERROR(__xludf.DUMMYFUNCTION("""COMPUTED_VALUE"""),"Staff of the woodlands")</f>
        <v>Staff of the woodlands</v>
      </c>
      <c r="C448" s="16" t="str">
        <f ca="1">IFERROR(__xludf.DUMMYFUNCTION("""COMPUTED_VALUE"""),"Magic")</f>
        <v>Magic</v>
      </c>
      <c r="D448" s="254">
        <f ca="1">IFERROR(__xludf.DUMMYFUNCTION("""COMPUTED_VALUE"""),931)</f>
        <v>931</v>
      </c>
    </row>
    <row r="449" spans="1:4" ht="13.2">
      <c r="A449" s="16">
        <f ca="1">IFERROR(__xludf.DUMMYFUNCTION("""COMPUTED_VALUE"""),282)</f>
        <v>282</v>
      </c>
      <c r="B449" t="str">
        <f ca="1">IFERROR(__xludf.DUMMYFUNCTION("""COMPUTED_VALUE"""),"Staff of thunder and lightning")</f>
        <v>Staff of thunder and lightning</v>
      </c>
      <c r="C449" s="16" t="str">
        <f ca="1">IFERROR(__xludf.DUMMYFUNCTION("""COMPUTED_VALUE"""),"Magic")</f>
        <v>Magic</v>
      </c>
      <c r="D449" s="254">
        <f ca="1">IFERROR(__xludf.DUMMYFUNCTION("""COMPUTED_VALUE"""),1592)</f>
        <v>1592</v>
      </c>
    </row>
    <row r="450" spans="1:4" ht="13.2">
      <c r="A450" s="16">
        <f ca="1">IFERROR(__xludf.DUMMYFUNCTION("""COMPUTED_VALUE"""),283)</f>
        <v>283</v>
      </c>
      <c r="B450" t="str">
        <f ca="1">IFERROR(__xludf.DUMMYFUNCTION("""COMPUTED_VALUE"""),"Staff of withering")</f>
        <v>Staff of withering</v>
      </c>
      <c r="C450" s="16" t="str">
        <f ca="1">IFERROR(__xludf.DUMMYFUNCTION("""COMPUTED_VALUE"""),"Magic")</f>
        <v>Magic</v>
      </c>
      <c r="D450" s="254">
        <f ca="1">IFERROR(__xludf.DUMMYFUNCTION("""COMPUTED_VALUE"""),934)</f>
        <v>934</v>
      </c>
    </row>
    <row r="451" spans="1:4" ht="13.2">
      <c r="A451" s="16">
        <f ca="1">IFERROR(__xludf.DUMMYFUNCTION("""COMPUTED_VALUE"""),284)</f>
        <v>284</v>
      </c>
      <c r="B451" t="str">
        <f ca="1">IFERROR(__xludf.DUMMYFUNCTION("""COMPUTED_VALUE"""),"Stone of controlling earth elementals")</f>
        <v>Stone of controlling earth elementals</v>
      </c>
      <c r="C451" s="16" t="str">
        <f ca="1">IFERROR(__xludf.DUMMYFUNCTION("""COMPUTED_VALUE"""),"Magic")</f>
        <v>Magic</v>
      </c>
      <c r="D451" s="254">
        <f ca="1">IFERROR(__xludf.DUMMYFUNCTION("""COMPUTED_VALUE"""),952)</f>
        <v>952</v>
      </c>
    </row>
    <row r="452" spans="1:4" ht="13.2">
      <c r="A452" s="16">
        <f ca="1">IFERROR(__xludf.DUMMYFUNCTION("""COMPUTED_VALUE"""),285)</f>
        <v>285</v>
      </c>
      <c r="B452" t="str">
        <f ca="1">IFERROR(__xludf.DUMMYFUNCTION("""COMPUTED_VALUE"""),"Stone of good luck (luckstone)")</f>
        <v>Stone of good luck (luckstone)</v>
      </c>
      <c r="C452" s="16" t="str">
        <f ca="1">IFERROR(__xludf.DUMMYFUNCTION("""COMPUTED_VALUE"""),"Magic")</f>
        <v>Magic</v>
      </c>
      <c r="D452" s="254">
        <f ca="1">IFERROR(__xludf.DUMMYFUNCTION("""COMPUTED_VALUE"""),376)</f>
        <v>376</v>
      </c>
    </row>
    <row r="453" spans="1:4" ht="13.2">
      <c r="A453" s="16">
        <f ca="1">IFERROR(__xludf.DUMMYFUNCTION("""COMPUTED_VALUE"""),286)</f>
        <v>286</v>
      </c>
      <c r="B453" t="str">
        <f ca="1">IFERROR(__xludf.DUMMYFUNCTION("""COMPUTED_VALUE"""),"Sun blade")</f>
        <v>Sun blade</v>
      </c>
      <c r="C453" s="16" t="str">
        <f ca="1">IFERROR(__xludf.DUMMYFUNCTION("""COMPUTED_VALUE"""),"Magic")</f>
        <v>Magic</v>
      </c>
      <c r="D453" s="254">
        <f ca="1">IFERROR(__xludf.DUMMYFUNCTION("""COMPUTED_VALUE"""),952)</f>
        <v>952</v>
      </c>
    </row>
    <row r="454" spans="1:4" ht="13.2">
      <c r="A454" s="16">
        <f ca="1">IFERROR(__xludf.DUMMYFUNCTION("""COMPUTED_VALUE"""),287)</f>
        <v>287</v>
      </c>
      <c r="B454" t="str">
        <f ca="1">IFERROR(__xludf.DUMMYFUNCTION("""COMPUTED_VALUE"""),"Sword of answering")</f>
        <v>Sword of answering</v>
      </c>
      <c r="C454" s="16" t="str">
        <f ca="1">IFERROR(__xludf.DUMMYFUNCTION("""COMPUTED_VALUE"""),"Magic")</f>
        <v>Magic</v>
      </c>
      <c r="D454" s="254">
        <f ca="1">IFERROR(__xludf.DUMMYFUNCTION("""COMPUTED_VALUE"""),3040)</f>
        <v>3040</v>
      </c>
    </row>
    <row r="455" spans="1:4" ht="13.2">
      <c r="A455" s="16">
        <f ca="1">IFERROR(__xludf.DUMMYFUNCTION("""COMPUTED_VALUE"""),288)</f>
        <v>288</v>
      </c>
      <c r="B455" t="str">
        <f ca="1">IFERROR(__xludf.DUMMYFUNCTION("""COMPUTED_VALUE"""),"Sword of life stealing")</f>
        <v>Sword of life stealing</v>
      </c>
      <c r="C455" s="16" t="str">
        <f ca="1">IFERROR(__xludf.DUMMYFUNCTION("""COMPUTED_VALUE"""),"Magic")</f>
        <v>Magic</v>
      </c>
      <c r="D455" s="254">
        <f ca="1">IFERROR(__xludf.DUMMYFUNCTION("""COMPUTED_VALUE"""),952)</f>
        <v>952</v>
      </c>
    </row>
    <row r="456" spans="1:4" ht="13.2">
      <c r="A456" s="16">
        <f ca="1">IFERROR(__xludf.DUMMYFUNCTION("""COMPUTED_VALUE"""),289)</f>
        <v>289</v>
      </c>
      <c r="B456" t="str">
        <f ca="1">IFERROR(__xludf.DUMMYFUNCTION("""COMPUTED_VALUE"""),"Sword of sharpness")</f>
        <v>Sword of sharpness</v>
      </c>
      <c r="C456" s="16" t="str">
        <f ca="1">IFERROR(__xludf.DUMMYFUNCTION("""COMPUTED_VALUE"""),"Magic")</f>
        <v>Magic</v>
      </c>
      <c r="D456" s="254">
        <f ca="1">IFERROR(__xludf.DUMMYFUNCTION("""COMPUTED_VALUE"""),1576)</f>
        <v>1576</v>
      </c>
    </row>
    <row r="457" spans="1:4" ht="13.2">
      <c r="A457" s="16">
        <f ca="1">IFERROR(__xludf.DUMMYFUNCTION("""COMPUTED_VALUE"""),290)</f>
        <v>290</v>
      </c>
      <c r="B457" t="str">
        <f ca="1">IFERROR(__xludf.DUMMYFUNCTION("""COMPUTED_VALUE"""),"Sword of vengeance")</f>
        <v>Sword of vengeance</v>
      </c>
      <c r="C457" s="16" t="str">
        <f ca="1">IFERROR(__xludf.DUMMYFUNCTION("""COMPUTED_VALUE"""),"Magic")</f>
        <v>Magic</v>
      </c>
      <c r="D457" s="254">
        <f ca="1">IFERROR(__xludf.DUMMYFUNCTION("""COMPUTED_VALUE"""),366)</f>
        <v>366</v>
      </c>
    </row>
    <row r="458" spans="1:4" ht="13.2">
      <c r="A458" s="16">
        <f ca="1">IFERROR(__xludf.DUMMYFUNCTION("""COMPUTED_VALUE"""),291)</f>
        <v>291</v>
      </c>
      <c r="B458" t="str">
        <f ca="1">IFERROR(__xludf.DUMMYFUNCTION("""COMPUTED_VALUE"""),"Sword of wounding")</f>
        <v>Sword of wounding</v>
      </c>
      <c r="C458" s="16" t="str">
        <f ca="1">IFERROR(__xludf.DUMMYFUNCTION("""COMPUTED_VALUE"""),"Magic")</f>
        <v>Magic</v>
      </c>
      <c r="D458" s="254">
        <f ca="1">IFERROR(__xludf.DUMMYFUNCTION("""COMPUTED_VALUE"""),937)</f>
        <v>937</v>
      </c>
    </row>
    <row r="459" spans="1:4" ht="13.2">
      <c r="A459" s="16">
        <f ca="1">IFERROR(__xludf.DUMMYFUNCTION("""COMPUTED_VALUE"""),292)</f>
        <v>292</v>
      </c>
      <c r="B459" t="str">
        <f ca="1">IFERROR(__xludf.DUMMYFUNCTION("""COMPUTED_VALUE"""),"Talisman of pure good")</f>
        <v>Talisman of pure good</v>
      </c>
      <c r="C459" s="16" t="str">
        <f ca="1">IFERROR(__xludf.DUMMYFUNCTION("""COMPUTED_VALUE"""),"Magic")</f>
        <v>Magic</v>
      </c>
      <c r="D459" s="254">
        <f ca="1">IFERROR(__xludf.DUMMYFUNCTION("""COMPUTED_VALUE"""),3015)</f>
        <v>3015</v>
      </c>
    </row>
    <row r="460" spans="1:4" ht="13.2">
      <c r="A460" s="16">
        <f ca="1">IFERROR(__xludf.DUMMYFUNCTION("""COMPUTED_VALUE"""),293)</f>
        <v>293</v>
      </c>
      <c r="B460" t="str">
        <f ca="1">IFERROR(__xludf.DUMMYFUNCTION("""COMPUTED_VALUE"""),"Talisman of the sphere")</f>
        <v>Talisman of the sphere</v>
      </c>
      <c r="C460" s="16" t="str">
        <f ca="1">IFERROR(__xludf.DUMMYFUNCTION("""COMPUTED_VALUE"""),"Magic")</f>
        <v>Magic</v>
      </c>
      <c r="D460" s="254">
        <f ca="1">IFERROR(__xludf.DUMMYFUNCTION("""COMPUTED_VALUE"""),3045)</f>
        <v>3045</v>
      </c>
    </row>
    <row r="461" spans="1:4" ht="13.2">
      <c r="A461" s="16">
        <f ca="1">IFERROR(__xludf.DUMMYFUNCTION("""COMPUTED_VALUE"""),294)</f>
        <v>294</v>
      </c>
      <c r="B461" t="str">
        <f ca="1">IFERROR(__xludf.DUMMYFUNCTION("""COMPUTED_VALUE"""),"Talisman of ultimate evil")</f>
        <v>Talisman of ultimate evil</v>
      </c>
      <c r="C461" s="16" t="str">
        <f ca="1">IFERROR(__xludf.DUMMYFUNCTION("""COMPUTED_VALUE"""),"Magic")</f>
        <v>Magic</v>
      </c>
      <c r="D461" s="254">
        <f ca="1">IFERROR(__xludf.DUMMYFUNCTION("""COMPUTED_VALUE"""),3015)</f>
        <v>3015</v>
      </c>
    </row>
    <row r="462" spans="1:4" ht="13.2">
      <c r="A462" s="16">
        <f ca="1">IFERROR(__xludf.DUMMYFUNCTION("""COMPUTED_VALUE"""),295)</f>
        <v>295</v>
      </c>
      <c r="B462" t="str">
        <f ca="1">IFERROR(__xludf.DUMMYFUNCTION("""COMPUTED_VALUE"""),"Tentacle rod")</f>
        <v>Tentacle rod</v>
      </c>
      <c r="C462" s="16" t="str">
        <f ca="1">IFERROR(__xludf.DUMMYFUNCTION("""COMPUTED_VALUE"""),"Magic")</f>
        <v>Magic</v>
      </c>
      <c r="D462" s="254">
        <f ca="1">IFERROR(__xludf.DUMMYFUNCTION("""COMPUTED_VALUE"""),940)</f>
        <v>940</v>
      </c>
    </row>
    <row r="463" spans="1:4" ht="13.2">
      <c r="A463" s="16">
        <f ca="1">IFERROR(__xludf.DUMMYFUNCTION("""COMPUTED_VALUE"""),296)</f>
        <v>296</v>
      </c>
      <c r="B463" t="str">
        <f ca="1">IFERROR(__xludf.DUMMYFUNCTION("""COMPUTED_VALUE"""),"Tome of clear thought")</f>
        <v>Tome of clear thought</v>
      </c>
      <c r="C463" s="16" t="str">
        <f ca="1">IFERROR(__xludf.DUMMYFUNCTION("""COMPUTED_VALUE"""),"Magic")</f>
        <v>Magic</v>
      </c>
      <c r="D463" s="254">
        <f ca="1">IFERROR(__xludf.DUMMYFUNCTION("""COMPUTED_VALUE"""),1556)</f>
        <v>1556</v>
      </c>
    </row>
    <row r="464" spans="1:4" ht="13.2">
      <c r="A464" s="16">
        <f ca="1">IFERROR(__xludf.DUMMYFUNCTION("""COMPUTED_VALUE"""),297)</f>
        <v>297</v>
      </c>
      <c r="B464" t="str">
        <f ca="1">IFERROR(__xludf.DUMMYFUNCTION("""COMPUTED_VALUE"""),"Tome of leadership and influence")</f>
        <v>Tome of leadership and influence</v>
      </c>
      <c r="C464" s="16" t="str">
        <f ca="1">IFERROR(__xludf.DUMMYFUNCTION("""COMPUTED_VALUE"""),"Magic")</f>
        <v>Magic</v>
      </c>
      <c r="D464" s="254">
        <f ca="1">IFERROR(__xludf.DUMMYFUNCTION("""COMPUTED_VALUE"""),1580)</f>
        <v>1580</v>
      </c>
    </row>
    <row r="465" spans="1:4" ht="13.2">
      <c r="A465" s="16">
        <f ca="1">IFERROR(__xludf.DUMMYFUNCTION("""COMPUTED_VALUE"""),298)</f>
        <v>298</v>
      </c>
      <c r="B465" t="str">
        <f ca="1">IFERROR(__xludf.DUMMYFUNCTION("""COMPUTED_VALUE"""),"Tome of the stilled tongue")</f>
        <v>Tome of the stilled tongue</v>
      </c>
      <c r="C465" s="16" t="str">
        <f ca="1">IFERROR(__xludf.DUMMYFUNCTION("""COMPUTED_VALUE"""),"Magic")</f>
        <v>Magic</v>
      </c>
      <c r="D465" s="254">
        <f ca="1">IFERROR(__xludf.DUMMYFUNCTION("""COMPUTED_VALUE"""),3020)</f>
        <v>3020</v>
      </c>
    </row>
    <row r="466" spans="1:4" ht="13.2">
      <c r="A466" s="16">
        <f ca="1">IFERROR(__xludf.DUMMYFUNCTION("""COMPUTED_VALUE"""),299)</f>
        <v>299</v>
      </c>
      <c r="B466" t="str">
        <f ca="1">IFERROR(__xludf.DUMMYFUNCTION("""COMPUTED_VALUE"""),"Tome of understanding")</f>
        <v>Tome of understanding</v>
      </c>
      <c r="C466" s="16" t="str">
        <f ca="1">IFERROR(__xludf.DUMMYFUNCTION("""COMPUTED_VALUE"""),"Magic")</f>
        <v>Magic</v>
      </c>
      <c r="D466" s="254">
        <f ca="1">IFERROR(__xludf.DUMMYFUNCTION("""COMPUTED_VALUE"""),1580)</f>
        <v>1580</v>
      </c>
    </row>
    <row r="467" spans="1:4" ht="13.2">
      <c r="A467" s="16">
        <f ca="1">IFERROR(__xludf.DUMMYFUNCTION("""COMPUTED_VALUE"""),300)</f>
        <v>300</v>
      </c>
      <c r="B467" t="str">
        <f ca="1">IFERROR(__xludf.DUMMYFUNCTION("""COMPUTED_VALUE"""),"Trident of fish command")</f>
        <v>Trident of fish command</v>
      </c>
      <c r="C467" s="16" t="str">
        <f ca="1">IFERROR(__xludf.DUMMYFUNCTION("""COMPUTED_VALUE"""),"Magic")</f>
        <v>Magic</v>
      </c>
      <c r="D467" s="254">
        <f ca="1">IFERROR(__xludf.DUMMYFUNCTION("""COMPUTED_VALUE"""),368)</f>
        <v>368</v>
      </c>
    </row>
    <row r="468" spans="1:4" ht="13.2">
      <c r="A468" s="16">
        <f ca="1">IFERROR(__xludf.DUMMYFUNCTION("""COMPUTED_VALUE"""),301)</f>
        <v>301</v>
      </c>
      <c r="B468" t="str">
        <f ca="1">IFERROR(__xludf.DUMMYFUNCTION("""COMPUTED_VALUE"""),"Universal solvent")</f>
        <v>Universal solvent</v>
      </c>
      <c r="C468" s="16" t="str">
        <f ca="1">IFERROR(__xludf.DUMMYFUNCTION("""COMPUTED_VALUE"""),"Magic")</f>
        <v>Magic</v>
      </c>
      <c r="D468" s="254">
        <f ca="1">IFERROR(__xludf.DUMMYFUNCTION("""COMPUTED_VALUE"""),3055)</f>
        <v>3055</v>
      </c>
    </row>
    <row r="469" spans="1:4" ht="13.2">
      <c r="A469" s="16">
        <f ca="1">IFERROR(__xludf.DUMMYFUNCTION("""COMPUTED_VALUE"""),302)</f>
        <v>302</v>
      </c>
      <c r="B469" t="str">
        <f ca="1">IFERROR(__xludf.DUMMYFUNCTION("""COMPUTED_VALUE"""),"Vicious weapon")</f>
        <v>Vicious weapon</v>
      </c>
      <c r="C469" s="16" t="str">
        <f ca="1">IFERROR(__xludf.DUMMYFUNCTION("""COMPUTED_VALUE"""),"Magic")</f>
        <v>Magic</v>
      </c>
      <c r="D469" s="254">
        <f ca="1">IFERROR(__xludf.DUMMYFUNCTION("""COMPUTED_VALUE"""),925)</f>
        <v>925</v>
      </c>
    </row>
    <row r="470" spans="1:4" ht="13.2">
      <c r="A470" s="16">
        <f ca="1">IFERROR(__xludf.DUMMYFUNCTION("""COMPUTED_VALUE"""),303)</f>
        <v>303</v>
      </c>
      <c r="B470" t="str">
        <f ca="1">IFERROR(__xludf.DUMMYFUNCTION("""COMPUTED_VALUE"""),"Vorpal sword")</f>
        <v>Vorpal sword</v>
      </c>
      <c r="C470" s="16" t="str">
        <f ca="1">IFERROR(__xludf.DUMMYFUNCTION("""COMPUTED_VALUE"""),"Magic")</f>
        <v>Magic</v>
      </c>
      <c r="D470" s="254">
        <f ca="1">IFERROR(__xludf.DUMMYFUNCTION("""COMPUTED_VALUE"""),3055)</f>
        <v>3055</v>
      </c>
    </row>
    <row r="471" spans="1:4" ht="13.2">
      <c r="A471" s="16">
        <f ca="1">IFERROR(__xludf.DUMMYFUNCTION("""COMPUTED_VALUE"""),304)</f>
        <v>304</v>
      </c>
      <c r="B471" t="str">
        <f ca="1">IFERROR(__xludf.DUMMYFUNCTION("""COMPUTED_VALUE"""),"Wand of binding")</f>
        <v>Wand of binding</v>
      </c>
      <c r="C471" s="16" t="str">
        <f ca="1">IFERROR(__xludf.DUMMYFUNCTION("""COMPUTED_VALUE"""),"Magic")</f>
        <v>Magic</v>
      </c>
      <c r="D471" s="254">
        <f ca="1">IFERROR(__xludf.DUMMYFUNCTION("""COMPUTED_VALUE"""),925)</f>
        <v>925</v>
      </c>
    </row>
    <row r="472" spans="1:4" ht="13.2">
      <c r="A472" s="16">
        <f ca="1">IFERROR(__xludf.DUMMYFUNCTION("""COMPUTED_VALUE"""),305)</f>
        <v>305</v>
      </c>
      <c r="B472" t="str">
        <f ca="1">IFERROR(__xludf.DUMMYFUNCTION("""COMPUTED_VALUE"""),"Wand of enemy detection")</f>
        <v>Wand of enemy detection</v>
      </c>
      <c r="C472" s="16" t="str">
        <f ca="1">IFERROR(__xludf.DUMMYFUNCTION("""COMPUTED_VALUE"""),"Magic")</f>
        <v>Magic</v>
      </c>
      <c r="D472" s="254">
        <f ca="1">IFERROR(__xludf.DUMMYFUNCTION("""COMPUTED_VALUE"""),943)</f>
        <v>943</v>
      </c>
    </row>
    <row r="473" spans="1:4" ht="13.2">
      <c r="A473" s="16">
        <f ca="1">IFERROR(__xludf.DUMMYFUNCTION("""COMPUTED_VALUE"""),306)</f>
        <v>306</v>
      </c>
      <c r="B473" t="str">
        <f ca="1">IFERROR(__xludf.DUMMYFUNCTION("""COMPUTED_VALUE"""),"Wand of fear")</f>
        <v>Wand of fear</v>
      </c>
      <c r="C473" s="16" t="str">
        <f ca="1">IFERROR(__xludf.DUMMYFUNCTION("""COMPUTED_VALUE"""),"Magic")</f>
        <v>Magic</v>
      </c>
      <c r="D473" s="254">
        <f ca="1">IFERROR(__xludf.DUMMYFUNCTION("""COMPUTED_VALUE"""),925)</f>
        <v>925</v>
      </c>
    </row>
    <row r="474" spans="1:4" ht="13.2">
      <c r="A474" s="16">
        <f ca="1">IFERROR(__xludf.DUMMYFUNCTION("""COMPUTED_VALUE"""),307)</f>
        <v>307</v>
      </c>
      <c r="B474" t="str">
        <f ca="1">IFERROR(__xludf.DUMMYFUNCTION("""COMPUTED_VALUE"""),"Wand of fireballs")</f>
        <v>Wand of fireballs</v>
      </c>
      <c r="C474" s="16" t="str">
        <f ca="1">IFERROR(__xludf.DUMMYFUNCTION("""COMPUTED_VALUE"""),"Magic")</f>
        <v>Magic</v>
      </c>
      <c r="D474" s="254">
        <f ca="1">IFERROR(__xludf.DUMMYFUNCTION("""COMPUTED_VALUE"""),946)</f>
        <v>946</v>
      </c>
    </row>
    <row r="475" spans="1:4" ht="13.2">
      <c r="A475" s="16">
        <f ca="1">IFERROR(__xludf.DUMMYFUNCTION("""COMPUTED_VALUE"""),308)</f>
        <v>308</v>
      </c>
      <c r="B475" t="str">
        <f ca="1">IFERROR(__xludf.DUMMYFUNCTION("""COMPUTED_VALUE"""),"Wand of lightning bolts")</f>
        <v>Wand of lightning bolts</v>
      </c>
      <c r="C475" s="16" t="str">
        <f ca="1">IFERROR(__xludf.DUMMYFUNCTION("""COMPUTED_VALUE"""),"Magic")</f>
        <v>Magic</v>
      </c>
      <c r="D475" s="254">
        <f ca="1">IFERROR(__xludf.DUMMYFUNCTION("""COMPUTED_VALUE"""),928)</f>
        <v>928</v>
      </c>
    </row>
    <row r="476" spans="1:4" ht="13.2">
      <c r="A476" s="16">
        <f ca="1">IFERROR(__xludf.DUMMYFUNCTION("""COMPUTED_VALUE"""),309)</f>
        <v>309</v>
      </c>
      <c r="B476" t="str">
        <f ca="1">IFERROR(__xludf.DUMMYFUNCTION("""COMPUTED_VALUE"""),"Wand of magic detection")</f>
        <v>Wand of magic detection</v>
      </c>
      <c r="C476" s="16" t="str">
        <f ca="1">IFERROR(__xludf.DUMMYFUNCTION("""COMPUTED_VALUE"""),"Magic")</f>
        <v>Magic</v>
      </c>
      <c r="D476" s="254">
        <f ca="1">IFERROR(__xludf.DUMMYFUNCTION("""COMPUTED_VALUE"""),384)</f>
        <v>384</v>
      </c>
    </row>
    <row r="477" spans="1:4" ht="13.2">
      <c r="A477" s="16">
        <f ca="1">IFERROR(__xludf.DUMMYFUNCTION("""COMPUTED_VALUE"""),310)</f>
        <v>310</v>
      </c>
      <c r="B477" t="str">
        <f ca="1">IFERROR(__xludf.DUMMYFUNCTION("""COMPUTED_VALUE"""),"Wand of magic missiles")</f>
        <v>Wand of magic missiles</v>
      </c>
      <c r="C477" s="16" t="str">
        <f ca="1">IFERROR(__xludf.DUMMYFUNCTION("""COMPUTED_VALUE"""),"Magic")</f>
        <v>Magic</v>
      </c>
      <c r="D477" s="254">
        <f ca="1">IFERROR(__xludf.DUMMYFUNCTION("""COMPUTED_VALUE"""),372)</f>
        <v>372</v>
      </c>
    </row>
    <row r="478" spans="1:4" ht="13.2">
      <c r="A478" s="16">
        <f ca="1">IFERROR(__xludf.DUMMYFUNCTION("""COMPUTED_VALUE"""),311)</f>
        <v>311</v>
      </c>
      <c r="B478" t="str">
        <f ca="1">IFERROR(__xludf.DUMMYFUNCTION("""COMPUTED_VALUE"""),"Wand of paralysis")</f>
        <v>Wand of paralysis</v>
      </c>
      <c r="C478" s="16" t="str">
        <f ca="1">IFERROR(__xludf.DUMMYFUNCTION("""COMPUTED_VALUE"""),"Magic")</f>
        <v>Magic</v>
      </c>
      <c r="D478" s="254">
        <f ca="1">IFERROR(__xludf.DUMMYFUNCTION("""COMPUTED_VALUE"""),946)</f>
        <v>946</v>
      </c>
    </row>
    <row r="479" spans="1:4" ht="13.2">
      <c r="A479" s="16">
        <f ca="1">IFERROR(__xludf.DUMMYFUNCTION("""COMPUTED_VALUE"""),312)</f>
        <v>312</v>
      </c>
      <c r="B479" t="str">
        <f ca="1">IFERROR(__xludf.DUMMYFUNCTION("""COMPUTED_VALUE"""),"Wand of polymorph")</f>
        <v>Wand of polymorph</v>
      </c>
      <c r="C479" s="16" t="str">
        <f ca="1">IFERROR(__xludf.DUMMYFUNCTION("""COMPUTED_VALUE"""),"Magic")</f>
        <v>Magic</v>
      </c>
      <c r="D479" s="254">
        <f ca="1">IFERROR(__xludf.DUMMYFUNCTION("""COMPUTED_VALUE"""),1564)</f>
        <v>1564</v>
      </c>
    </row>
    <row r="480" spans="1:4" ht="13.2">
      <c r="A480" s="16">
        <f ca="1">IFERROR(__xludf.DUMMYFUNCTION("""COMPUTED_VALUE"""),313)</f>
        <v>313</v>
      </c>
      <c r="B480" t="str">
        <f ca="1">IFERROR(__xludf.DUMMYFUNCTION("""COMPUTED_VALUE"""),"Wand of secrets")</f>
        <v>Wand of secrets</v>
      </c>
      <c r="C480" s="16" t="str">
        <f ca="1">IFERROR(__xludf.DUMMYFUNCTION("""COMPUTED_VALUE"""),"Magic")</f>
        <v>Magic</v>
      </c>
      <c r="D480" s="254">
        <f ca="1">IFERROR(__xludf.DUMMYFUNCTION("""COMPUTED_VALUE"""),386)</f>
        <v>386</v>
      </c>
    </row>
    <row r="481" spans="1:4" ht="13.2">
      <c r="A481" s="16">
        <f ca="1">IFERROR(__xludf.DUMMYFUNCTION("""COMPUTED_VALUE"""),314)</f>
        <v>314</v>
      </c>
      <c r="B481" t="str">
        <f ca="1">IFERROR(__xludf.DUMMYFUNCTION("""COMPUTED_VALUE"""),"Wand of the war mage +1")</f>
        <v>Wand of the war mage +1</v>
      </c>
      <c r="C481" s="16" t="str">
        <f ca="1">IFERROR(__xludf.DUMMYFUNCTION("""COMPUTED_VALUE"""),"Magic")</f>
        <v>Magic</v>
      </c>
      <c r="D481" s="254">
        <f ca="1">IFERROR(__xludf.DUMMYFUNCTION("""COMPUTED_VALUE"""),374)</f>
        <v>374</v>
      </c>
    </row>
    <row r="482" spans="1:4" ht="13.2">
      <c r="A482" s="16">
        <f ca="1">IFERROR(__xludf.DUMMYFUNCTION("""COMPUTED_VALUE"""),315)</f>
        <v>315</v>
      </c>
      <c r="B482" t="str">
        <f ca="1">IFERROR(__xludf.DUMMYFUNCTION("""COMPUTED_VALUE"""),"Wand of the war mage +2")</f>
        <v>Wand of the war mage +2</v>
      </c>
      <c r="C482" s="16" t="str">
        <f ca="1">IFERROR(__xludf.DUMMYFUNCTION("""COMPUTED_VALUE"""),"Magic")</f>
        <v>Magic</v>
      </c>
      <c r="D482" s="254">
        <f ca="1">IFERROR(__xludf.DUMMYFUNCTION("""COMPUTED_VALUE"""),949)</f>
        <v>949</v>
      </c>
    </row>
    <row r="483" spans="1:4" ht="13.2">
      <c r="A483" s="16">
        <f ca="1">IFERROR(__xludf.DUMMYFUNCTION("""COMPUTED_VALUE"""),316)</f>
        <v>316</v>
      </c>
      <c r="B483" t="str">
        <f ca="1">IFERROR(__xludf.DUMMYFUNCTION("""COMPUTED_VALUE"""),"Wand of the war mage +3")</f>
        <v>Wand of the war mage +3</v>
      </c>
      <c r="C483" s="16" t="str">
        <f ca="1">IFERROR(__xludf.DUMMYFUNCTION("""COMPUTED_VALUE"""),"Magic")</f>
        <v>Magic</v>
      </c>
      <c r="D483" s="254">
        <f ca="1">IFERROR(__xludf.DUMMYFUNCTION("""COMPUTED_VALUE"""),1568)</f>
        <v>1568</v>
      </c>
    </row>
    <row r="484" spans="1:4" ht="13.2">
      <c r="A484" s="16">
        <f ca="1">IFERROR(__xludf.DUMMYFUNCTION("""COMPUTED_VALUE"""),317)</f>
        <v>317</v>
      </c>
      <c r="B484" t="str">
        <f ca="1">IFERROR(__xludf.DUMMYFUNCTION("""COMPUTED_VALUE"""),"Wand of web")</f>
        <v>Wand of web</v>
      </c>
      <c r="C484" s="16" t="str">
        <f ca="1">IFERROR(__xludf.DUMMYFUNCTION("""COMPUTED_VALUE"""),"Magic")</f>
        <v>Magic</v>
      </c>
      <c r="D484" s="254">
        <f ca="1">IFERROR(__xludf.DUMMYFUNCTION("""COMPUTED_VALUE"""),386)</f>
        <v>386</v>
      </c>
    </row>
    <row r="485" spans="1:4" ht="13.2">
      <c r="A485" s="16">
        <f ca="1">IFERROR(__xludf.DUMMYFUNCTION("""COMPUTED_VALUE"""),318)</f>
        <v>318</v>
      </c>
      <c r="B485" t="str">
        <f ca="1">IFERROR(__xludf.DUMMYFUNCTION("""COMPUTED_VALUE"""),"Wand of wonder")</f>
        <v>Wand of wonder</v>
      </c>
      <c r="C485" s="16" t="str">
        <f ca="1">IFERROR(__xludf.DUMMYFUNCTION("""COMPUTED_VALUE"""),"Magic")</f>
        <v>Magic</v>
      </c>
      <c r="D485" s="254">
        <f ca="1">IFERROR(__xludf.DUMMYFUNCTION("""COMPUTED_VALUE"""),931)</f>
        <v>931</v>
      </c>
    </row>
    <row r="486" spans="1:4" ht="13.2">
      <c r="A486" s="16">
        <f ca="1">IFERROR(__xludf.DUMMYFUNCTION("""COMPUTED_VALUE"""),319)</f>
        <v>319</v>
      </c>
      <c r="B486" t="str">
        <f ca="1">IFERROR(__xludf.DUMMYFUNCTION("""COMPUTED_VALUE"""),"Weapon +1")</f>
        <v>Weapon +1</v>
      </c>
      <c r="C486" s="16" t="str">
        <f ca="1">IFERROR(__xludf.DUMMYFUNCTION("""COMPUTED_VALUE"""),"Magic")</f>
        <v>Magic</v>
      </c>
      <c r="D486" s="254">
        <f ca="1">IFERROR(__xludf.DUMMYFUNCTION("""COMPUTED_VALUE"""),388)</f>
        <v>388</v>
      </c>
    </row>
    <row r="487" spans="1:4" ht="13.2">
      <c r="A487" s="16">
        <f ca="1">IFERROR(__xludf.DUMMYFUNCTION("""COMPUTED_VALUE"""),320)</f>
        <v>320</v>
      </c>
      <c r="B487" t="str">
        <f ca="1">IFERROR(__xludf.DUMMYFUNCTION("""COMPUTED_VALUE"""),"Weapon +2")</f>
        <v>Weapon +2</v>
      </c>
      <c r="C487" s="16" t="str">
        <f ca="1">IFERROR(__xludf.DUMMYFUNCTION("""COMPUTED_VALUE"""),"Magic")</f>
        <v>Magic</v>
      </c>
      <c r="D487" s="254">
        <f ca="1">IFERROR(__xludf.DUMMYFUNCTION("""COMPUTED_VALUE"""),934)</f>
        <v>934</v>
      </c>
    </row>
    <row r="488" spans="1:4" ht="13.2">
      <c r="A488" s="16">
        <f ca="1">IFERROR(__xludf.DUMMYFUNCTION("""COMPUTED_VALUE"""),321)</f>
        <v>321</v>
      </c>
      <c r="B488" t="str">
        <f ca="1">IFERROR(__xludf.DUMMYFUNCTION("""COMPUTED_VALUE"""),"Weapon +3")</f>
        <v>Weapon +3</v>
      </c>
      <c r="C488" s="16" t="str">
        <f ca="1">IFERROR(__xludf.DUMMYFUNCTION("""COMPUTED_VALUE"""),"Magic")</f>
        <v>Magic</v>
      </c>
      <c r="D488" s="254">
        <f ca="1">IFERROR(__xludf.DUMMYFUNCTION("""COMPUTED_VALUE"""),1596)</f>
        <v>1596</v>
      </c>
    </row>
    <row r="489" spans="1:4" ht="13.2">
      <c r="A489" s="16">
        <f ca="1">IFERROR(__xludf.DUMMYFUNCTION("""COMPUTED_VALUE"""),322)</f>
        <v>322</v>
      </c>
      <c r="B489" t="str">
        <f ca="1">IFERROR(__xludf.DUMMYFUNCTION("""COMPUTED_VALUE"""),"Weapon of warning")</f>
        <v>Weapon of warning</v>
      </c>
      <c r="C489" s="16" t="str">
        <f ca="1">IFERROR(__xludf.DUMMYFUNCTION("""COMPUTED_VALUE"""),"Magic")</f>
        <v>Magic</v>
      </c>
      <c r="D489" s="254">
        <f ca="1">IFERROR(__xludf.DUMMYFUNCTION("""COMPUTED_VALUE"""),376)</f>
        <v>376</v>
      </c>
    </row>
    <row r="490" spans="1:4" ht="13.2">
      <c r="A490" s="16">
        <f ca="1">IFERROR(__xludf.DUMMYFUNCTION("""COMPUTED_VALUE"""),323)</f>
        <v>323</v>
      </c>
      <c r="B490" t="str">
        <f ca="1">IFERROR(__xludf.DUMMYFUNCTION("""COMPUTED_VALUE"""),"Well of many worlds")</f>
        <v>Well of many worlds</v>
      </c>
      <c r="C490" s="16" t="str">
        <f ca="1">IFERROR(__xludf.DUMMYFUNCTION("""COMPUTED_VALUE"""),"Magic")</f>
        <v>Magic</v>
      </c>
      <c r="D490" s="254">
        <f ca="1">IFERROR(__xludf.DUMMYFUNCTION("""COMPUTED_VALUE"""),3070)</f>
        <v>3070</v>
      </c>
    </row>
    <row r="491" spans="1:4" ht="13.2">
      <c r="A491" s="16">
        <f ca="1">IFERROR(__xludf.DUMMYFUNCTION("""COMPUTED_VALUE"""),324)</f>
        <v>324</v>
      </c>
      <c r="B491" t="str">
        <f ca="1">IFERROR(__xludf.DUMMYFUNCTION("""COMPUTED_VALUE"""),"Wind fan")</f>
        <v>Wind fan</v>
      </c>
      <c r="C491" s="16" t="str">
        <f ca="1">IFERROR(__xludf.DUMMYFUNCTION("""COMPUTED_VALUE"""),"Magic")</f>
        <v>Magic</v>
      </c>
      <c r="D491" s="254">
        <f ca="1">IFERROR(__xludf.DUMMYFUNCTION("""COMPUTED_VALUE"""),376)</f>
        <v>376</v>
      </c>
    </row>
    <row r="492" spans="1:4" ht="13.2">
      <c r="A492" s="16">
        <f ca="1">IFERROR(__xludf.DUMMYFUNCTION("""COMPUTED_VALUE"""),325)</f>
        <v>325</v>
      </c>
      <c r="B492" t="str">
        <f ca="1">IFERROR(__xludf.DUMMYFUNCTION("""COMPUTED_VALUE"""),"Winged boots")</f>
        <v>Winged boots</v>
      </c>
      <c r="C492" s="16" t="str">
        <f ca="1">IFERROR(__xludf.DUMMYFUNCTION("""COMPUTED_VALUE"""),"Magic")</f>
        <v>Magic</v>
      </c>
      <c r="D492" s="254">
        <f ca="1">IFERROR(__xludf.DUMMYFUNCTION("""COMPUTED_VALUE"""),366)</f>
        <v>366</v>
      </c>
    </row>
    <row r="493" spans="1:4" ht="13.2">
      <c r="A493" s="16">
        <f ca="1">IFERROR(__xludf.DUMMYFUNCTION("""COMPUTED_VALUE"""),326)</f>
        <v>326</v>
      </c>
      <c r="B493" t="str">
        <f ca="1">IFERROR(__xludf.DUMMYFUNCTION("""COMPUTED_VALUE"""),"Wings of flying")</f>
        <v>Wings of flying</v>
      </c>
      <c r="C493" s="16" t="str">
        <f ca="1">IFERROR(__xludf.DUMMYFUNCTION("""COMPUTED_VALUE"""),"Magic")</f>
        <v>Magic</v>
      </c>
      <c r="D493" s="254">
        <f ca="1">IFERROR(__xludf.DUMMYFUNCTION("""COMPUTED_VALUE"""),937)</f>
        <v>937</v>
      </c>
    </row>
    <row r="494" spans="1:4" ht="13.2">
      <c r="A494" s="16">
        <f ca="1">IFERROR(__xludf.DUMMYFUNCTION("""COMPUTED_VALUE"""),327)</f>
        <v>327</v>
      </c>
      <c r="B494" t="str">
        <f ca="1">IFERROR(__xludf.DUMMYFUNCTION("""COMPUTED_VALUE"""),"Blackrazor")</f>
        <v>Blackrazor</v>
      </c>
      <c r="C494" s="16" t="str">
        <f ca="1">IFERROR(__xludf.DUMMYFUNCTION("""COMPUTED_VALUE"""),"Magic")</f>
        <v>Magic</v>
      </c>
      <c r="D494" s="254">
        <f ca="1">IFERROR(__xludf.DUMMYFUNCTION("""COMPUTED_VALUE"""),18)</f>
        <v>18</v>
      </c>
    </row>
    <row r="495" spans="1:4" ht="13.2">
      <c r="A495" s="16">
        <f ca="1">IFERROR(__xludf.DUMMYFUNCTION("""COMPUTED_VALUE"""),328)</f>
        <v>328</v>
      </c>
      <c r="B495" t="str">
        <f ca="1">IFERROR(__xludf.DUMMYFUNCTION("""COMPUTED_VALUE"""),"Moonblade")</f>
        <v>Moonblade</v>
      </c>
      <c r="C495" s="16" t="str">
        <f ca="1">IFERROR(__xludf.DUMMYFUNCTION("""COMPUTED_VALUE"""),"Magic")</f>
        <v>Magic</v>
      </c>
      <c r="D495" s="254">
        <f ca="1">IFERROR(__xludf.DUMMYFUNCTION("""COMPUTED_VALUE"""),54)</f>
        <v>54</v>
      </c>
    </row>
    <row r="496" spans="1:4" ht="13.2">
      <c r="A496" s="16">
        <f ca="1">IFERROR(__xludf.DUMMYFUNCTION("""COMPUTED_VALUE"""),329)</f>
        <v>329</v>
      </c>
      <c r="B496" t="str">
        <f ca="1">IFERROR(__xludf.DUMMYFUNCTION("""COMPUTED_VALUE"""),"Wave")</f>
        <v>Wave</v>
      </c>
      <c r="C496" s="16" t="str">
        <f ca="1">IFERROR(__xludf.DUMMYFUNCTION("""COMPUTED_VALUE"""),"Magic")</f>
        <v>Magic</v>
      </c>
      <c r="D496" s="254">
        <f ca="1">IFERROR(__xludf.DUMMYFUNCTION("""COMPUTED_VALUE"""),18)</f>
        <v>18</v>
      </c>
    </row>
    <row r="497" spans="1:4" ht="13.2">
      <c r="A497" s="16">
        <f ca="1">IFERROR(__xludf.DUMMYFUNCTION("""COMPUTED_VALUE"""),330)</f>
        <v>330</v>
      </c>
      <c r="B497" t="str">
        <f ca="1">IFERROR(__xludf.DUMMYFUNCTION("""COMPUTED_VALUE"""),"Whelm")</f>
        <v>Whelm</v>
      </c>
      <c r="C497" s="16" t="str">
        <f ca="1">IFERROR(__xludf.DUMMYFUNCTION("""COMPUTED_VALUE"""),"Magic")</f>
        <v>Magic</v>
      </c>
      <c r="D497" s="254">
        <f ca="1">IFERROR(__xludf.DUMMYFUNCTION("""COMPUTED_VALUE"""),54)</f>
        <v>54</v>
      </c>
    </row>
    <row r="498" spans="1:4" ht="13.2">
      <c r="A498" s="16">
        <f ca="1">IFERROR(__xludf.DUMMYFUNCTION("""COMPUTED_VALUE"""),331)</f>
        <v>331</v>
      </c>
      <c r="B498" t="str">
        <f ca="1">IFERROR(__xludf.DUMMYFUNCTION("""COMPUTED_VALUE"""),"Axe of the Dwarvish Lords")</f>
        <v>Axe of the Dwarvish Lords</v>
      </c>
      <c r="C498" s="16" t="str">
        <f ca="1">IFERROR(__xludf.DUMMYFUNCTION("""COMPUTED_VALUE"""),"Magic")</f>
        <v>Magic</v>
      </c>
      <c r="D498" s="254">
        <f ca="1">IFERROR(__xludf.DUMMYFUNCTION("""COMPUTED_VALUE"""),28)</f>
        <v>28</v>
      </c>
    </row>
    <row r="499" spans="1:4" ht="13.2">
      <c r="A499" s="16">
        <f ca="1">IFERROR(__xludf.DUMMYFUNCTION("""COMPUTED_VALUE"""),332)</f>
        <v>332</v>
      </c>
      <c r="B499" t="str">
        <f ca="1">IFERROR(__xludf.DUMMYFUNCTION("""COMPUTED_VALUE"""),"Book of Exalted Deeds")</f>
        <v>Book of Exalted Deeds</v>
      </c>
      <c r="C499" s="16" t="str">
        <f ca="1">IFERROR(__xludf.DUMMYFUNCTION("""COMPUTED_VALUE"""),"Magic")</f>
        <v>Magic</v>
      </c>
      <c r="D499" s="254">
        <f ca="1">IFERROR(__xludf.DUMMYFUNCTION("""COMPUTED_VALUE"""),70)</f>
        <v>70</v>
      </c>
    </row>
    <row r="500" spans="1:4" ht="13.2">
      <c r="A500" s="16">
        <f ca="1">IFERROR(__xludf.DUMMYFUNCTION("""COMPUTED_VALUE"""),333)</f>
        <v>333</v>
      </c>
      <c r="B500" t="str">
        <f ca="1">IFERROR(__xludf.DUMMYFUNCTION("""COMPUTED_VALUE"""),"Book of Vile Darkness")</f>
        <v>Book of Vile Darkness</v>
      </c>
      <c r="C500" s="16" t="str">
        <f ca="1">IFERROR(__xludf.DUMMYFUNCTION("""COMPUTED_VALUE"""),"Magic")</f>
        <v>Magic</v>
      </c>
      <c r="D500" s="254">
        <f ca="1">IFERROR(__xludf.DUMMYFUNCTION("""COMPUTED_VALUE"""),28)</f>
        <v>28</v>
      </c>
    </row>
    <row r="501" spans="1:4" ht="13.2">
      <c r="A501" s="16">
        <f ca="1">IFERROR(__xludf.DUMMYFUNCTION("""COMPUTED_VALUE"""),334)</f>
        <v>334</v>
      </c>
      <c r="B501" t="str">
        <f ca="1">IFERROR(__xludf.DUMMYFUNCTION("""COMPUTED_VALUE"""),"Eye and Hand of Vecna")</f>
        <v>Eye and Hand of Vecna</v>
      </c>
      <c r="C501" s="16" t="str">
        <f ca="1">IFERROR(__xludf.DUMMYFUNCTION("""COMPUTED_VALUE"""),"Magic")</f>
        <v>Magic</v>
      </c>
      <c r="D501" s="254">
        <f ca="1">IFERROR(__xludf.DUMMYFUNCTION("""COMPUTED_VALUE"""),70)</f>
        <v>70</v>
      </c>
    </row>
    <row r="502" spans="1:4" ht="13.2">
      <c r="A502" s="16">
        <f ca="1">IFERROR(__xludf.DUMMYFUNCTION("""COMPUTED_VALUE"""),335)</f>
        <v>335</v>
      </c>
      <c r="B502" t="str">
        <f ca="1">IFERROR(__xludf.DUMMYFUNCTION("""COMPUTED_VALUE"""),"Orb of Dragonkind")</f>
        <v>Orb of Dragonkind</v>
      </c>
      <c r="C502" s="16" t="str">
        <f ca="1">IFERROR(__xludf.DUMMYFUNCTION("""COMPUTED_VALUE"""),"Magic")</f>
        <v>Magic</v>
      </c>
      <c r="D502" s="254">
        <f ca="1">IFERROR(__xludf.DUMMYFUNCTION("""COMPUTED_VALUE"""),28)</f>
        <v>28</v>
      </c>
    </row>
    <row r="503" spans="1:4" ht="13.2">
      <c r="A503" s="16">
        <f ca="1">IFERROR(__xludf.DUMMYFUNCTION("""COMPUTED_VALUE"""),336)</f>
        <v>336</v>
      </c>
      <c r="B503" t="str">
        <f ca="1">IFERROR(__xludf.DUMMYFUNCTION("""COMPUTED_VALUE"""),"Sword of Kas")</f>
        <v>Sword of Kas</v>
      </c>
      <c r="C503" s="16" t="str">
        <f ca="1">IFERROR(__xludf.DUMMYFUNCTION("""COMPUTED_VALUE"""),"Magic")</f>
        <v>Magic</v>
      </c>
      <c r="D503" s="254">
        <f ca="1">IFERROR(__xludf.DUMMYFUNCTION("""COMPUTED_VALUE"""),70)</f>
        <v>70</v>
      </c>
    </row>
    <row r="504" spans="1:4" ht="13.2">
      <c r="A504" s="16">
        <f ca="1">IFERROR(__xludf.DUMMYFUNCTION("""COMPUTED_VALUE"""),337)</f>
        <v>337</v>
      </c>
      <c r="B504" t="str">
        <f ca="1">IFERROR(__xludf.DUMMYFUNCTION("""COMPUTED_VALUE"""),"Wand of Orcus")</f>
        <v>Wand of Orcus</v>
      </c>
      <c r="C504" s="16" t="str">
        <f ca="1">IFERROR(__xludf.DUMMYFUNCTION("""COMPUTED_VALUE"""),"Magic")</f>
        <v>Magic</v>
      </c>
      <c r="D504" s="254">
        <f ca="1">IFERROR(__xludf.DUMMYFUNCTION("""COMPUTED_VALUE"""),35)</f>
        <v>35</v>
      </c>
    </row>
    <row r="505" spans="1:4" ht="13.2">
      <c r="A505" s="16"/>
      <c r="C505" s="16"/>
      <c r="D505" s="254">
        <f ca="1">IFERROR(__xludf.DUMMYFUNCTION("""COMPUTED_VALUE"""),0)</f>
        <v>0</v>
      </c>
    </row>
    <row r="506" spans="1:4" ht="13.2">
      <c r="A506" s="16"/>
      <c r="C506" s="16"/>
      <c r="D506" s="254">
        <f ca="1">IFERROR(__xludf.DUMMYFUNCTION("""COMPUTED_VALUE"""),0)</f>
        <v>0</v>
      </c>
    </row>
    <row r="507" spans="1:4" ht="13.2">
      <c r="A507" s="16"/>
      <c r="C507" s="16"/>
      <c r="D507" s="254">
        <f ca="1">IFERROR(__xludf.DUMMYFUNCTION("""COMPUTED_VALUE"""),0)</f>
        <v>0</v>
      </c>
    </row>
    <row r="508" spans="1:4" ht="13.2">
      <c r="A508" s="16"/>
      <c r="C508" s="16"/>
      <c r="D508" s="254">
        <f ca="1">IFERROR(__xludf.DUMMYFUNCTION("""COMPUTED_VALUE"""),0)</f>
        <v>0</v>
      </c>
    </row>
    <row r="509" spans="1:4" ht="13.2">
      <c r="A509" s="16"/>
      <c r="C509" s="16"/>
      <c r="D509" s="254">
        <f ca="1">IFERROR(__xludf.DUMMYFUNCTION("""COMPUTED_VALUE"""),0)</f>
        <v>0</v>
      </c>
    </row>
    <row r="510" spans="1:4" ht="13.2">
      <c r="A510" s="16"/>
      <c r="C510" s="16"/>
      <c r="D510" s="254">
        <f ca="1">IFERROR(__xludf.DUMMYFUNCTION("""COMPUTED_VALUE"""),0)</f>
        <v>0</v>
      </c>
    </row>
    <row r="511" spans="1:4" ht="13.2">
      <c r="A511" s="16"/>
      <c r="C511" s="16"/>
      <c r="D511" s="254">
        <f ca="1">IFERROR(__xludf.DUMMYFUNCTION("""COMPUTED_VALUE"""),0)</f>
        <v>0</v>
      </c>
    </row>
    <row r="512" spans="1:4" ht="13.2">
      <c r="A512" s="16"/>
      <c r="C512" s="16"/>
      <c r="D512" s="254">
        <f ca="1">IFERROR(__xludf.DUMMYFUNCTION("""COMPUTED_VALUE"""),0)</f>
        <v>0</v>
      </c>
    </row>
    <row r="513" spans="1:4" ht="13.2">
      <c r="A513" s="16"/>
      <c r="C513" s="16"/>
      <c r="D513" s="254">
        <f ca="1">IFERROR(__xludf.DUMMYFUNCTION("""COMPUTED_VALUE"""),0)</f>
        <v>0</v>
      </c>
    </row>
    <row r="514" spans="1:4" ht="13.2">
      <c r="A514" s="16"/>
      <c r="C514" s="16"/>
      <c r="D514" s="254">
        <f ca="1">IFERROR(__xludf.DUMMYFUNCTION("""COMPUTED_VALUE"""),0)</f>
        <v>0</v>
      </c>
    </row>
    <row r="515" spans="1:4" ht="13.2">
      <c r="A515" s="16"/>
      <c r="C515" s="16"/>
      <c r="D515" s="254">
        <f ca="1">IFERROR(__xludf.DUMMYFUNCTION("""COMPUTED_VALUE"""),0)</f>
        <v>0</v>
      </c>
    </row>
    <row r="516" spans="1:4" ht="13.2">
      <c r="A516" s="16"/>
      <c r="C516" s="16"/>
      <c r="D516" s="254">
        <f ca="1">IFERROR(__xludf.DUMMYFUNCTION("""COMPUTED_VALUE"""),0)</f>
        <v>0</v>
      </c>
    </row>
    <row r="517" spans="1:4" ht="13.2">
      <c r="A517" s="16"/>
      <c r="C517" s="16"/>
      <c r="D517" s="254">
        <f ca="1">IFERROR(__xludf.DUMMYFUNCTION("""COMPUTED_VALUE"""),0)</f>
        <v>0</v>
      </c>
    </row>
    <row r="518" spans="1:4" ht="13.2">
      <c r="A518" s="16"/>
      <c r="C518" s="16"/>
      <c r="D518" s="254">
        <f ca="1">IFERROR(__xludf.DUMMYFUNCTION("""COMPUTED_VALUE"""),0)</f>
        <v>0</v>
      </c>
    </row>
    <row r="519" spans="1:4" ht="13.2">
      <c r="A519" s="16"/>
      <c r="C519" s="16"/>
      <c r="D519" s="254">
        <f ca="1">IFERROR(__xludf.DUMMYFUNCTION("""COMPUTED_VALUE"""),0)</f>
        <v>0</v>
      </c>
    </row>
    <row r="520" spans="1:4" ht="13.2">
      <c r="A520" s="16"/>
      <c r="C520" s="16"/>
      <c r="D520" s="254">
        <f ca="1">IFERROR(__xludf.DUMMYFUNCTION("""COMPUTED_VALUE"""),0)</f>
        <v>0</v>
      </c>
    </row>
    <row r="521" spans="1:4" ht="13.2">
      <c r="A521" s="16"/>
      <c r="C521" s="16"/>
      <c r="D521" s="254">
        <f ca="1">IFERROR(__xludf.DUMMYFUNCTION("""COMPUTED_VALUE"""),0)</f>
        <v>0</v>
      </c>
    </row>
    <row r="522" spans="1:4" ht="13.2">
      <c r="A522" s="16"/>
      <c r="C522" s="16"/>
      <c r="D522" s="254">
        <f ca="1">IFERROR(__xludf.DUMMYFUNCTION("""COMPUTED_VALUE"""),0)</f>
        <v>0</v>
      </c>
    </row>
    <row r="523" spans="1:4" ht="13.2">
      <c r="A523" s="16"/>
      <c r="C523" s="16"/>
      <c r="D523" s="254">
        <f ca="1">IFERROR(__xludf.DUMMYFUNCTION("""COMPUTED_VALUE"""),0)</f>
        <v>0</v>
      </c>
    </row>
    <row r="524" spans="1:4" ht="13.2">
      <c r="A524" s="16"/>
      <c r="C524" s="16"/>
      <c r="D524" s="254">
        <f ca="1">IFERROR(__xludf.DUMMYFUNCTION("""COMPUTED_VALUE"""),0)</f>
        <v>0</v>
      </c>
    </row>
    <row r="525" spans="1:4" ht="13.2">
      <c r="A525" s="16"/>
      <c r="C525" s="16"/>
      <c r="D525" s="254">
        <f ca="1">IFERROR(__xludf.DUMMYFUNCTION("""COMPUTED_VALUE"""),0)</f>
        <v>0</v>
      </c>
    </row>
    <row r="526" spans="1:4" ht="13.2">
      <c r="A526" s="16"/>
      <c r="C526" s="16"/>
      <c r="D526" s="254">
        <f ca="1">IFERROR(__xludf.DUMMYFUNCTION("""COMPUTED_VALUE"""),0)</f>
        <v>0</v>
      </c>
    </row>
    <row r="527" spans="1:4" ht="13.2">
      <c r="A527" s="16"/>
      <c r="C527" s="16"/>
      <c r="D527" s="254">
        <f ca="1">IFERROR(__xludf.DUMMYFUNCTION("""COMPUTED_VALUE"""),0)</f>
        <v>0</v>
      </c>
    </row>
    <row r="528" spans="1:4" ht="13.2">
      <c r="A528" s="16"/>
      <c r="C528" s="16"/>
      <c r="D528" s="254">
        <f ca="1">IFERROR(__xludf.DUMMYFUNCTION("""COMPUTED_VALUE"""),0)</f>
        <v>0</v>
      </c>
    </row>
    <row r="529" spans="1:4" ht="13.2">
      <c r="A529" s="16"/>
      <c r="C529" s="16"/>
      <c r="D529" s="254">
        <f ca="1">IFERROR(__xludf.DUMMYFUNCTION("""COMPUTED_VALUE"""),0)</f>
        <v>0</v>
      </c>
    </row>
    <row r="530" spans="1:4" ht="13.2">
      <c r="A530" s="16"/>
      <c r="C530" s="16"/>
      <c r="D530" s="254">
        <f ca="1">IFERROR(__xludf.DUMMYFUNCTION("""COMPUTED_VALUE"""),0)</f>
        <v>0</v>
      </c>
    </row>
    <row r="531" spans="1:4" ht="13.2">
      <c r="A531" s="16"/>
      <c r="C531" s="16"/>
      <c r="D531" s="254">
        <f ca="1">IFERROR(__xludf.DUMMYFUNCTION("""COMPUTED_VALUE"""),0)</f>
        <v>0</v>
      </c>
    </row>
    <row r="532" spans="1:4" ht="13.2">
      <c r="A532" s="16"/>
      <c r="C532" s="16"/>
      <c r="D532" s="254">
        <f ca="1">IFERROR(__xludf.DUMMYFUNCTION("""COMPUTED_VALUE"""),0)</f>
        <v>0</v>
      </c>
    </row>
    <row r="533" spans="1:4" ht="13.2">
      <c r="A533" s="16"/>
      <c r="C533" s="16"/>
      <c r="D533" s="254">
        <f ca="1">IFERROR(__xludf.DUMMYFUNCTION("""COMPUTED_VALUE"""),0)</f>
        <v>0</v>
      </c>
    </row>
    <row r="534" spans="1:4" ht="13.2">
      <c r="A534" s="16"/>
      <c r="C534" s="16"/>
      <c r="D534" s="254">
        <f ca="1">IFERROR(__xludf.DUMMYFUNCTION("""COMPUTED_VALUE"""),0)</f>
        <v>0</v>
      </c>
    </row>
    <row r="535" spans="1:4" ht="13.2">
      <c r="A535" s="16"/>
      <c r="C535" s="16"/>
      <c r="D535" s="254">
        <f ca="1">IFERROR(__xludf.DUMMYFUNCTION("""COMPUTED_VALUE"""),0)</f>
        <v>0</v>
      </c>
    </row>
    <row r="536" spans="1:4" ht="13.2">
      <c r="A536" s="16"/>
      <c r="C536" s="16"/>
      <c r="D536" s="254">
        <f ca="1">IFERROR(__xludf.DUMMYFUNCTION("""COMPUTED_VALUE"""),0)</f>
        <v>0</v>
      </c>
    </row>
    <row r="537" spans="1:4" ht="13.2">
      <c r="A537" s="16"/>
      <c r="C537" s="16"/>
      <c r="D537" s="254">
        <f ca="1">IFERROR(__xludf.DUMMYFUNCTION("""COMPUTED_VALUE"""),0)</f>
        <v>0</v>
      </c>
    </row>
    <row r="538" spans="1:4" ht="13.2">
      <c r="A538" s="16"/>
      <c r="C538" s="16"/>
      <c r="D538" s="254">
        <f ca="1">IFERROR(__xludf.DUMMYFUNCTION("""COMPUTED_VALUE"""),0)</f>
        <v>0</v>
      </c>
    </row>
    <row r="539" spans="1:4" ht="13.2">
      <c r="A539" s="16"/>
      <c r="C539" s="16"/>
      <c r="D539" s="254">
        <f ca="1">IFERROR(__xludf.DUMMYFUNCTION("""COMPUTED_VALUE"""),0)</f>
        <v>0</v>
      </c>
    </row>
    <row r="540" spans="1:4" ht="13.2">
      <c r="A540" s="16"/>
      <c r="C540" s="16"/>
      <c r="D540" s="254">
        <f ca="1">IFERROR(__xludf.DUMMYFUNCTION("""COMPUTED_VALUE"""),0)</f>
        <v>0</v>
      </c>
    </row>
    <row r="541" spans="1:4" ht="13.2">
      <c r="A541" s="16"/>
      <c r="C541" s="16"/>
      <c r="D541" s="254">
        <f ca="1">IFERROR(__xludf.DUMMYFUNCTION("""COMPUTED_VALUE"""),0)</f>
        <v>0</v>
      </c>
    </row>
    <row r="542" spans="1:4" ht="13.2">
      <c r="A542" s="16"/>
      <c r="C542" s="16"/>
      <c r="D542" s="254">
        <f ca="1">IFERROR(__xludf.DUMMYFUNCTION("""COMPUTED_VALUE"""),0)</f>
        <v>0</v>
      </c>
    </row>
    <row r="543" spans="1:4" ht="13.2">
      <c r="A543" s="16"/>
      <c r="C543" s="16"/>
      <c r="D543" s="254">
        <f ca="1">IFERROR(__xludf.DUMMYFUNCTION("""COMPUTED_VALUE"""),0)</f>
        <v>0</v>
      </c>
    </row>
    <row r="544" spans="1:4" ht="13.2">
      <c r="A544" s="16"/>
      <c r="C544" s="16"/>
      <c r="D544" s="254">
        <f ca="1">IFERROR(__xludf.DUMMYFUNCTION("""COMPUTED_VALUE"""),0)</f>
        <v>0</v>
      </c>
    </row>
    <row r="545" spans="1:4" ht="13.2">
      <c r="A545" s="16"/>
      <c r="C545" s="16"/>
      <c r="D545" s="254">
        <f ca="1">IFERROR(__xludf.DUMMYFUNCTION("""COMPUTED_VALUE"""),0)</f>
        <v>0</v>
      </c>
    </row>
    <row r="546" spans="1:4" ht="13.2">
      <c r="A546" s="16"/>
      <c r="C546" s="16"/>
      <c r="D546" s="254">
        <f ca="1">IFERROR(__xludf.DUMMYFUNCTION("""COMPUTED_VALUE"""),0)</f>
        <v>0</v>
      </c>
    </row>
    <row r="547" spans="1:4" ht="13.2">
      <c r="A547" s="16"/>
      <c r="C547" s="16"/>
      <c r="D547" s="254">
        <f ca="1">IFERROR(__xludf.DUMMYFUNCTION("""COMPUTED_VALUE"""),0)</f>
        <v>0</v>
      </c>
    </row>
    <row r="548" spans="1:4" ht="13.2">
      <c r="A548" s="16"/>
      <c r="C548" s="16"/>
      <c r="D548" s="254">
        <f ca="1">IFERROR(__xludf.DUMMYFUNCTION("""COMPUTED_VALUE"""),0)</f>
        <v>0</v>
      </c>
    </row>
    <row r="549" spans="1:4" ht="13.2">
      <c r="A549" s="16"/>
      <c r="C549" s="16"/>
      <c r="D549" s="254">
        <f ca="1">IFERROR(__xludf.DUMMYFUNCTION("""COMPUTED_VALUE"""),0)</f>
        <v>0</v>
      </c>
    </row>
    <row r="550" spans="1:4" ht="13.2">
      <c r="A550" s="16"/>
      <c r="C550" s="16"/>
      <c r="D550" s="254">
        <f ca="1">IFERROR(__xludf.DUMMYFUNCTION("""COMPUTED_VALUE"""),0)</f>
        <v>0</v>
      </c>
    </row>
    <row r="551" spans="1:4" ht="13.2">
      <c r="A551" s="16"/>
      <c r="C551" s="16"/>
      <c r="D551" s="254">
        <f ca="1">IFERROR(__xludf.DUMMYFUNCTION("""COMPUTED_VALUE"""),0)</f>
        <v>0</v>
      </c>
    </row>
    <row r="552" spans="1:4" ht="13.2">
      <c r="A552" s="16"/>
      <c r="C552" s="16"/>
      <c r="D552" s="254">
        <f ca="1">IFERROR(__xludf.DUMMYFUNCTION("""COMPUTED_VALUE"""),0)</f>
        <v>0</v>
      </c>
    </row>
    <row r="553" spans="1:4" ht="13.2">
      <c r="A553" s="16"/>
      <c r="C553" s="16"/>
      <c r="D553" s="254">
        <f ca="1">IFERROR(__xludf.DUMMYFUNCTION("""COMPUTED_VALUE"""),0)</f>
        <v>0</v>
      </c>
    </row>
    <row r="554" spans="1:4" ht="13.2">
      <c r="A554" s="16"/>
      <c r="C554" s="16"/>
      <c r="D554" s="254">
        <f ca="1">IFERROR(__xludf.DUMMYFUNCTION("""COMPUTED_VALUE"""),0)</f>
        <v>0</v>
      </c>
    </row>
    <row r="555" spans="1:4" ht="13.2">
      <c r="A555" s="16"/>
      <c r="C555" s="16"/>
      <c r="D555" s="254">
        <f ca="1">IFERROR(__xludf.DUMMYFUNCTION("""COMPUTED_VALUE"""),0)</f>
        <v>0</v>
      </c>
    </row>
    <row r="556" spans="1:4" ht="13.2">
      <c r="A556" s="16"/>
      <c r="C556" s="16"/>
      <c r="D556" s="254">
        <f ca="1">IFERROR(__xludf.DUMMYFUNCTION("""COMPUTED_VALUE"""),0)</f>
        <v>0</v>
      </c>
    </row>
    <row r="557" spans="1:4" ht="13.2">
      <c r="A557" s="16"/>
      <c r="C557" s="16"/>
      <c r="D557" s="254">
        <f ca="1">IFERROR(__xludf.DUMMYFUNCTION("""COMPUTED_VALUE"""),0)</f>
        <v>0</v>
      </c>
    </row>
    <row r="558" spans="1:4" ht="13.2">
      <c r="A558" s="16"/>
      <c r="C558" s="16"/>
      <c r="D558" s="254">
        <f ca="1">IFERROR(__xludf.DUMMYFUNCTION("""COMPUTED_VALUE"""),0)</f>
        <v>0</v>
      </c>
    </row>
    <row r="559" spans="1:4" ht="13.2">
      <c r="A559" s="16"/>
      <c r="C559" s="16"/>
      <c r="D559" s="254">
        <f ca="1">IFERROR(__xludf.DUMMYFUNCTION("""COMPUTED_VALUE"""),0)</f>
        <v>0</v>
      </c>
    </row>
    <row r="560" spans="1:4" ht="13.2">
      <c r="A560" s="16"/>
      <c r="C560" s="16"/>
      <c r="D560" s="254">
        <f ca="1">IFERROR(__xludf.DUMMYFUNCTION("""COMPUTED_VALUE"""),0)</f>
        <v>0</v>
      </c>
    </row>
    <row r="561" spans="1:4" ht="13.2">
      <c r="A561" s="16"/>
      <c r="C561" s="16"/>
      <c r="D561" s="254">
        <f ca="1">IFERROR(__xludf.DUMMYFUNCTION("""COMPUTED_VALUE"""),0)</f>
        <v>0</v>
      </c>
    </row>
    <row r="562" spans="1:4" ht="13.2">
      <c r="A562" s="16"/>
      <c r="C562" s="16"/>
      <c r="D562" s="254">
        <f ca="1">IFERROR(__xludf.DUMMYFUNCTION("""COMPUTED_VALUE"""),0)</f>
        <v>0</v>
      </c>
    </row>
    <row r="563" spans="1:4" ht="13.2">
      <c r="A563" s="16"/>
      <c r="C563" s="16"/>
      <c r="D563" s="254">
        <f ca="1">IFERROR(__xludf.DUMMYFUNCTION("""COMPUTED_VALUE"""),0)</f>
        <v>0</v>
      </c>
    </row>
    <row r="564" spans="1:4" ht="13.2">
      <c r="A564" s="16"/>
      <c r="C564" s="16"/>
      <c r="D564" s="254">
        <f ca="1">IFERROR(__xludf.DUMMYFUNCTION("""COMPUTED_VALUE"""),0)</f>
        <v>0</v>
      </c>
    </row>
    <row r="565" spans="1:4" ht="13.2">
      <c r="A565" s="16"/>
      <c r="C565" s="16"/>
      <c r="D565" s="254">
        <f ca="1">IFERROR(__xludf.DUMMYFUNCTION("""COMPUTED_VALUE"""),0)</f>
        <v>0</v>
      </c>
    </row>
    <row r="566" spans="1:4" ht="13.2">
      <c r="A566" s="16"/>
      <c r="C566" s="16"/>
      <c r="D566" s="254">
        <f ca="1">IFERROR(__xludf.DUMMYFUNCTION("""COMPUTED_VALUE"""),0)</f>
        <v>0</v>
      </c>
    </row>
    <row r="567" spans="1:4" ht="13.2">
      <c r="A567" s="16"/>
      <c r="C567" s="16"/>
      <c r="D567" s="254">
        <f ca="1">IFERROR(__xludf.DUMMYFUNCTION("""COMPUTED_VALUE"""),0)</f>
        <v>0</v>
      </c>
    </row>
    <row r="568" spans="1:4" ht="13.2">
      <c r="A568" s="16"/>
      <c r="C568" s="16"/>
      <c r="D568" s="254">
        <f ca="1">IFERROR(__xludf.DUMMYFUNCTION("""COMPUTED_VALUE"""),0)</f>
        <v>0</v>
      </c>
    </row>
    <row r="569" spans="1:4" ht="13.2">
      <c r="A569" s="16"/>
      <c r="C569" s="16"/>
      <c r="D569" s="254">
        <f ca="1">IFERROR(__xludf.DUMMYFUNCTION("""COMPUTED_VALUE"""),0)</f>
        <v>0</v>
      </c>
    </row>
    <row r="570" spans="1:4" ht="13.2">
      <c r="A570" s="16"/>
      <c r="C570" s="16"/>
      <c r="D570" s="254">
        <f ca="1">IFERROR(__xludf.DUMMYFUNCTION("""COMPUTED_VALUE"""),0)</f>
        <v>0</v>
      </c>
    </row>
    <row r="571" spans="1:4" ht="13.2">
      <c r="A571" s="16"/>
      <c r="C571" s="16"/>
      <c r="D571" s="254">
        <f ca="1">IFERROR(__xludf.DUMMYFUNCTION("""COMPUTED_VALUE"""),0)</f>
        <v>0</v>
      </c>
    </row>
    <row r="572" spans="1:4" ht="13.2">
      <c r="A572" s="16"/>
      <c r="C572" s="16"/>
      <c r="D572" s="254">
        <f ca="1">IFERROR(__xludf.DUMMYFUNCTION("""COMPUTED_VALUE"""),0)</f>
        <v>0</v>
      </c>
    </row>
    <row r="573" spans="1:4" ht="13.2">
      <c r="A573" s="16"/>
      <c r="C573" s="16"/>
      <c r="D573" s="254">
        <f ca="1">IFERROR(__xludf.DUMMYFUNCTION("""COMPUTED_VALUE"""),0)</f>
        <v>0</v>
      </c>
    </row>
    <row r="574" spans="1:4" ht="13.2">
      <c r="A574" s="16"/>
      <c r="C574" s="16"/>
      <c r="D574" s="254">
        <f ca="1">IFERROR(__xludf.DUMMYFUNCTION("""COMPUTED_VALUE"""),0)</f>
        <v>0</v>
      </c>
    </row>
    <row r="575" spans="1:4" ht="13.2">
      <c r="A575" s="16"/>
      <c r="C575" s="16"/>
      <c r="D575" s="254">
        <f ca="1">IFERROR(__xludf.DUMMYFUNCTION("""COMPUTED_VALUE"""),0)</f>
        <v>0</v>
      </c>
    </row>
    <row r="576" spans="1:4" ht="13.2">
      <c r="A576" s="16"/>
      <c r="C576" s="16"/>
      <c r="D576" s="254">
        <f ca="1">IFERROR(__xludf.DUMMYFUNCTION("""COMPUTED_VALUE"""),0)</f>
        <v>0</v>
      </c>
    </row>
    <row r="577" spans="1:4" ht="13.2">
      <c r="A577" s="16"/>
      <c r="C577" s="16"/>
      <c r="D577" s="254">
        <f ca="1">IFERROR(__xludf.DUMMYFUNCTION("""COMPUTED_VALUE"""),0)</f>
        <v>0</v>
      </c>
    </row>
    <row r="578" spans="1:4" ht="13.2">
      <c r="A578" s="16"/>
      <c r="C578" s="16"/>
      <c r="D578" s="254">
        <f ca="1">IFERROR(__xludf.DUMMYFUNCTION("""COMPUTED_VALUE"""),0)</f>
        <v>0</v>
      </c>
    </row>
    <row r="579" spans="1:4" ht="13.2">
      <c r="A579" s="16"/>
      <c r="C579" s="16"/>
      <c r="D579" s="254">
        <f ca="1">IFERROR(__xludf.DUMMYFUNCTION("""COMPUTED_VALUE"""),0)</f>
        <v>0</v>
      </c>
    </row>
    <row r="580" spans="1:4" ht="13.2">
      <c r="A580" s="16"/>
      <c r="C580" s="16"/>
      <c r="D580" s="254">
        <f ca="1">IFERROR(__xludf.DUMMYFUNCTION("""COMPUTED_VALUE"""),0)</f>
        <v>0</v>
      </c>
    </row>
    <row r="581" spans="1:4" ht="13.2">
      <c r="A581" s="16"/>
      <c r="C581" s="16"/>
      <c r="D581" s="254">
        <f ca="1">IFERROR(__xludf.DUMMYFUNCTION("""COMPUTED_VALUE"""),0)</f>
        <v>0</v>
      </c>
    </row>
    <row r="582" spans="1:4" ht="13.2">
      <c r="A582" s="16"/>
      <c r="C582" s="16"/>
      <c r="D582" s="254">
        <f ca="1">IFERROR(__xludf.DUMMYFUNCTION("""COMPUTED_VALUE"""),0)</f>
        <v>0</v>
      </c>
    </row>
    <row r="583" spans="1:4" ht="13.2">
      <c r="A583" s="16"/>
      <c r="C583" s="16"/>
      <c r="D583" s="254">
        <f ca="1">IFERROR(__xludf.DUMMYFUNCTION("""COMPUTED_VALUE"""),0)</f>
        <v>0</v>
      </c>
    </row>
    <row r="584" spans="1:4" ht="13.2">
      <c r="A584" s="16"/>
      <c r="C584" s="16"/>
      <c r="D584" s="254">
        <f ca="1">IFERROR(__xludf.DUMMYFUNCTION("""COMPUTED_VALUE"""),0)</f>
        <v>0</v>
      </c>
    </row>
    <row r="585" spans="1:4" ht="13.2">
      <c r="A585" s="16"/>
      <c r="C585" s="16"/>
      <c r="D585" s="254">
        <f ca="1">IFERROR(__xludf.DUMMYFUNCTION("""COMPUTED_VALUE"""),0)</f>
        <v>0</v>
      </c>
    </row>
    <row r="586" spans="1:4" ht="13.2">
      <c r="A586" s="16"/>
      <c r="C586" s="16"/>
      <c r="D586" s="254">
        <f ca="1">IFERROR(__xludf.DUMMYFUNCTION("""COMPUTED_VALUE"""),0)</f>
        <v>0</v>
      </c>
    </row>
    <row r="587" spans="1:4" ht="13.2">
      <c r="A587" s="16"/>
      <c r="C587" s="16"/>
      <c r="D587" s="254">
        <f ca="1">IFERROR(__xludf.DUMMYFUNCTION("""COMPUTED_VALUE"""),0)</f>
        <v>0</v>
      </c>
    </row>
    <row r="588" spans="1:4" ht="13.2">
      <c r="A588" s="16"/>
      <c r="C588" s="16"/>
      <c r="D588" s="254">
        <f ca="1">IFERROR(__xludf.DUMMYFUNCTION("""COMPUTED_VALUE"""),0)</f>
        <v>0</v>
      </c>
    </row>
    <row r="589" spans="1:4" ht="13.2">
      <c r="A589" s="16"/>
      <c r="C589" s="16"/>
      <c r="D589" s="254">
        <f ca="1">IFERROR(__xludf.DUMMYFUNCTION("""COMPUTED_VALUE"""),0)</f>
        <v>0</v>
      </c>
    </row>
    <row r="590" spans="1:4" ht="13.2">
      <c r="A590" s="16"/>
      <c r="C590" s="16"/>
      <c r="D590" s="254">
        <f ca="1">IFERROR(__xludf.DUMMYFUNCTION("""COMPUTED_VALUE"""),0)</f>
        <v>0</v>
      </c>
    </row>
    <row r="591" spans="1:4" ht="13.2">
      <c r="A591" s="16"/>
      <c r="C591" s="16"/>
      <c r="D591" s="254">
        <f ca="1">IFERROR(__xludf.DUMMYFUNCTION("""COMPUTED_VALUE"""),0)</f>
        <v>0</v>
      </c>
    </row>
    <row r="592" spans="1:4" ht="13.2">
      <c r="A592" s="16"/>
      <c r="C592" s="16"/>
      <c r="D592" s="254">
        <f ca="1">IFERROR(__xludf.DUMMYFUNCTION("""COMPUTED_VALUE"""),0)</f>
        <v>0</v>
      </c>
    </row>
    <row r="593" spans="1:4" ht="13.2">
      <c r="A593" s="16"/>
      <c r="C593" s="16"/>
      <c r="D593" s="254">
        <f ca="1">IFERROR(__xludf.DUMMYFUNCTION("""COMPUTED_VALUE"""),0)</f>
        <v>0</v>
      </c>
    </row>
    <row r="594" spans="1:4" ht="13.2">
      <c r="A594" s="16"/>
      <c r="C594" s="16"/>
      <c r="D594" s="254">
        <f ca="1">IFERROR(__xludf.DUMMYFUNCTION("""COMPUTED_VALUE"""),0)</f>
        <v>0</v>
      </c>
    </row>
    <row r="595" spans="1:4" ht="13.2">
      <c r="A595" s="16"/>
      <c r="C595" s="16"/>
      <c r="D595" s="254">
        <f ca="1">IFERROR(__xludf.DUMMYFUNCTION("""COMPUTED_VALUE"""),0)</f>
        <v>0</v>
      </c>
    </row>
    <row r="596" spans="1:4" ht="13.2">
      <c r="A596" s="16"/>
      <c r="C596" s="16"/>
      <c r="D596" s="254">
        <f ca="1">IFERROR(__xludf.DUMMYFUNCTION("""COMPUTED_VALUE"""),0)</f>
        <v>0</v>
      </c>
    </row>
    <row r="597" spans="1:4" ht="13.2">
      <c r="A597" s="16"/>
      <c r="C597" s="16"/>
      <c r="D597" s="254">
        <f ca="1">IFERROR(__xludf.DUMMYFUNCTION("""COMPUTED_VALUE"""),0)</f>
        <v>0</v>
      </c>
    </row>
    <row r="598" spans="1:4" ht="13.2">
      <c r="A598" s="16"/>
      <c r="C598" s="16"/>
      <c r="D598" s="254">
        <f ca="1">IFERROR(__xludf.DUMMYFUNCTION("""COMPUTED_VALUE"""),0)</f>
        <v>0</v>
      </c>
    </row>
    <row r="599" spans="1:4" ht="13.2">
      <c r="A599" s="16"/>
      <c r="C599" s="16"/>
      <c r="D599" s="254">
        <f ca="1">IFERROR(__xludf.DUMMYFUNCTION("""COMPUTED_VALUE"""),0)</f>
        <v>0</v>
      </c>
    </row>
    <row r="600" spans="1:4" ht="13.2">
      <c r="A600" s="16"/>
      <c r="C600" s="16"/>
      <c r="D600" s="254">
        <f ca="1">IFERROR(__xludf.DUMMYFUNCTION("""COMPUTED_VALUE"""),0)</f>
        <v>0</v>
      </c>
    </row>
    <row r="601" spans="1:4" ht="13.2">
      <c r="A601" s="16"/>
      <c r="C601" s="16"/>
      <c r="D601" s="254">
        <f ca="1">IFERROR(__xludf.DUMMYFUNCTION("""COMPUTED_VALUE"""),0)</f>
        <v>0</v>
      </c>
    </row>
    <row r="602" spans="1:4" ht="13.2">
      <c r="A602" s="16"/>
      <c r="C602" s="16"/>
      <c r="D602" s="254">
        <f ca="1">IFERROR(__xludf.DUMMYFUNCTION("""COMPUTED_VALUE"""),0)</f>
        <v>0</v>
      </c>
    </row>
    <row r="603" spans="1:4" ht="13.2">
      <c r="A603" s="16"/>
      <c r="C603" s="16"/>
      <c r="D603" s="254">
        <f ca="1">IFERROR(__xludf.DUMMYFUNCTION("""COMPUTED_VALUE"""),0)</f>
        <v>0</v>
      </c>
    </row>
    <row r="604" spans="1:4" ht="13.2">
      <c r="A604" s="16"/>
      <c r="C604" s="16"/>
      <c r="D604" s="254">
        <f ca="1">IFERROR(__xludf.DUMMYFUNCTION("""COMPUTED_VALUE"""),0)</f>
        <v>0</v>
      </c>
    </row>
    <row r="605" spans="1:4" ht="13.2">
      <c r="A605" s="16"/>
      <c r="C605" s="16"/>
      <c r="D605" s="254">
        <f ca="1">IFERROR(__xludf.DUMMYFUNCTION("""COMPUTED_VALUE"""),0)</f>
        <v>0</v>
      </c>
    </row>
    <row r="606" spans="1:4" ht="13.2">
      <c r="A606" s="16"/>
      <c r="C606" s="16"/>
      <c r="D606" s="254">
        <f ca="1">IFERROR(__xludf.DUMMYFUNCTION("""COMPUTED_VALUE"""),0)</f>
        <v>0</v>
      </c>
    </row>
    <row r="607" spans="1:4" ht="13.2">
      <c r="A607" s="16"/>
      <c r="C607" s="16"/>
      <c r="D607" s="254">
        <f ca="1">IFERROR(__xludf.DUMMYFUNCTION("""COMPUTED_VALUE"""),0)</f>
        <v>0</v>
      </c>
    </row>
    <row r="608" spans="1:4" ht="13.2">
      <c r="A608" s="16"/>
      <c r="C608" s="16"/>
      <c r="D608" s="254">
        <f ca="1">IFERROR(__xludf.DUMMYFUNCTION("""COMPUTED_VALUE"""),0)</f>
        <v>0</v>
      </c>
    </row>
    <row r="609" spans="1:4" ht="13.2">
      <c r="A609" s="16"/>
      <c r="C609" s="16"/>
      <c r="D609" s="254">
        <f ca="1">IFERROR(__xludf.DUMMYFUNCTION("""COMPUTED_VALUE"""),0)</f>
        <v>0</v>
      </c>
    </row>
    <row r="610" spans="1:4" ht="13.2">
      <c r="A610" s="16"/>
      <c r="C610" s="16"/>
      <c r="D610" s="254">
        <f ca="1">IFERROR(__xludf.DUMMYFUNCTION("""COMPUTED_VALUE"""),0)</f>
        <v>0</v>
      </c>
    </row>
    <row r="611" spans="1:4" ht="13.2">
      <c r="A611" s="16"/>
      <c r="C611" s="16"/>
      <c r="D611" s="254">
        <f ca="1">IFERROR(__xludf.DUMMYFUNCTION("""COMPUTED_VALUE"""),0)</f>
        <v>0</v>
      </c>
    </row>
    <row r="612" spans="1:4" ht="13.2">
      <c r="A612" s="16"/>
      <c r="C612" s="16"/>
      <c r="D612" s="254">
        <f ca="1">IFERROR(__xludf.DUMMYFUNCTION("""COMPUTED_VALUE"""),0)</f>
        <v>0</v>
      </c>
    </row>
    <row r="613" spans="1:4" ht="13.2">
      <c r="A613" s="16"/>
      <c r="C613" s="16"/>
      <c r="D613" s="254">
        <f ca="1">IFERROR(__xludf.DUMMYFUNCTION("""COMPUTED_VALUE"""),0)</f>
        <v>0</v>
      </c>
    </row>
    <row r="614" spans="1:4" ht="13.2">
      <c r="A614" s="16"/>
      <c r="C614" s="16"/>
      <c r="D614" s="254">
        <f ca="1">IFERROR(__xludf.DUMMYFUNCTION("""COMPUTED_VALUE"""),0)</f>
        <v>0</v>
      </c>
    </row>
    <row r="615" spans="1:4" ht="13.2">
      <c r="A615" s="16"/>
      <c r="C615" s="16"/>
      <c r="D615" s="254">
        <f ca="1">IFERROR(__xludf.DUMMYFUNCTION("""COMPUTED_VALUE"""),0)</f>
        <v>0</v>
      </c>
    </row>
    <row r="616" spans="1:4" ht="13.2">
      <c r="A616" s="16"/>
      <c r="C616" s="16"/>
      <c r="D616" s="254">
        <f ca="1">IFERROR(__xludf.DUMMYFUNCTION("""COMPUTED_VALUE"""),0)</f>
        <v>0</v>
      </c>
    </row>
    <row r="617" spans="1:4" ht="13.2">
      <c r="A617" s="16"/>
      <c r="C617" s="16"/>
      <c r="D617" s="254">
        <f ca="1">IFERROR(__xludf.DUMMYFUNCTION("""COMPUTED_VALUE"""),0)</f>
        <v>0</v>
      </c>
    </row>
    <row r="618" spans="1:4" ht="13.2">
      <c r="A618" s="16"/>
      <c r="C618" s="16"/>
      <c r="D618" s="254">
        <f ca="1">IFERROR(__xludf.DUMMYFUNCTION("""COMPUTED_VALUE"""),0)</f>
        <v>0</v>
      </c>
    </row>
    <row r="619" spans="1:4" ht="13.2">
      <c r="A619" s="16"/>
      <c r="C619" s="16"/>
      <c r="D619" s="254">
        <f ca="1">IFERROR(__xludf.DUMMYFUNCTION("""COMPUTED_VALUE"""),0)</f>
        <v>0</v>
      </c>
    </row>
    <row r="620" spans="1:4" ht="13.2">
      <c r="A620" s="16"/>
      <c r="C620" s="16"/>
      <c r="D620" s="254">
        <f ca="1">IFERROR(__xludf.DUMMYFUNCTION("""COMPUTED_VALUE"""),0)</f>
        <v>0</v>
      </c>
    </row>
    <row r="621" spans="1:4" ht="13.2">
      <c r="A621" s="16"/>
      <c r="C621" s="16"/>
      <c r="D621" s="254">
        <f ca="1">IFERROR(__xludf.DUMMYFUNCTION("""COMPUTED_VALUE"""),0)</f>
        <v>0</v>
      </c>
    </row>
    <row r="622" spans="1:4" ht="13.2">
      <c r="A622" s="16"/>
      <c r="C622" s="16"/>
      <c r="D622" s="254">
        <f ca="1">IFERROR(__xludf.DUMMYFUNCTION("""COMPUTED_VALUE"""),0)</f>
        <v>0</v>
      </c>
    </row>
    <row r="623" spans="1:4" ht="13.2">
      <c r="A623" s="16"/>
      <c r="C623" s="16"/>
      <c r="D623" s="254">
        <f ca="1">IFERROR(__xludf.DUMMYFUNCTION("""COMPUTED_VALUE"""),0)</f>
        <v>0</v>
      </c>
    </row>
    <row r="624" spans="1:4" ht="13.2">
      <c r="A624" s="16"/>
      <c r="C624" s="16"/>
      <c r="D624" s="254">
        <f ca="1">IFERROR(__xludf.DUMMYFUNCTION("""COMPUTED_VALUE"""),0)</f>
        <v>0</v>
      </c>
    </row>
    <row r="625" spans="1:4" ht="13.2">
      <c r="A625" s="16"/>
      <c r="C625" s="16"/>
      <c r="D625" s="254">
        <f ca="1">IFERROR(__xludf.DUMMYFUNCTION("""COMPUTED_VALUE"""),0)</f>
        <v>0</v>
      </c>
    </row>
    <row r="626" spans="1:4" ht="13.2">
      <c r="A626" s="16"/>
      <c r="C626" s="16"/>
      <c r="D626" s="254">
        <f ca="1">IFERROR(__xludf.DUMMYFUNCTION("""COMPUTED_VALUE"""),0)</f>
        <v>0</v>
      </c>
    </row>
    <row r="627" spans="1:4" ht="13.2">
      <c r="A627" s="16"/>
      <c r="C627" s="16"/>
      <c r="D627" s="254">
        <f ca="1">IFERROR(__xludf.DUMMYFUNCTION("""COMPUTED_VALUE"""),0)</f>
        <v>0</v>
      </c>
    </row>
    <row r="628" spans="1:4" ht="13.2">
      <c r="A628" s="16"/>
      <c r="C628" s="16"/>
      <c r="D628" s="254">
        <f ca="1">IFERROR(__xludf.DUMMYFUNCTION("""COMPUTED_VALUE"""),0)</f>
        <v>0</v>
      </c>
    </row>
    <row r="629" spans="1:4" ht="13.2">
      <c r="A629" s="16"/>
      <c r="C629" s="16"/>
      <c r="D629" s="254">
        <f ca="1">IFERROR(__xludf.DUMMYFUNCTION("""COMPUTED_VALUE"""),0)</f>
        <v>0</v>
      </c>
    </row>
    <row r="630" spans="1:4" ht="13.2">
      <c r="A630" s="16"/>
      <c r="C630" s="16"/>
      <c r="D630" s="254">
        <f ca="1">IFERROR(__xludf.DUMMYFUNCTION("""COMPUTED_VALUE"""),0)</f>
        <v>0</v>
      </c>
    </row>
    <row r="631" spans="1:4" ht="13.2">
      <c r="A631" s="16"/>
      <c r="C631" s="16"/>
      <c r="D631" s="254">
        <f ca="1">IFERROR(__xludf.DUMMYFUNCTION("""COMPUTED_VALUE"""),0)</f>
        <v>0</v>
      </c>
    </row>
    <row r="632" spans="1:4" ht="13.2">
      <c r="A632" s="16"/>
      <c r="C632" s="16"/>
      <c r="D632" s="254">
        <f ca="1">IFERROR(__xludf.DUMMYFUNCTION("""COMPUTED_VALUE"""),0)</f>
        <v>0</v>
      </c>
    </row>
    <row r="633" spans="1:4" ht="13.2">
      <c r="A633" s="16"/>
      <c r="C633" s="16"/>
      <c r="D633" s="254">
        <f ca="1">IFERROR(__xludf.DUMMYFUNCTION("""COMPUTED_VALUE"""),0)</f>
        <v>0</v>
      </c>
    </row>
    <row r="634" spans="1:4" ht="13.2">
      <c r="A634" s="16"/>
      <c r="C634" s="16"/>
      <c r="D634" s="254">
        <f ca="1">IFERROR(__xludf.DUMMYFUNCTION("""COMPUTED_VALUE"""),0)</f>
        <v>0</v>
      </c>
    </row>
    <row r="635" spans="1:4" ht="13.2">
      <c r="A635" s="16"/>
      <c r="C635" s="16"/>
      <c r="D635" s="254">
        <f ca="1">IFERROR(__xludf.DUMMYFUNCTION("""COMPUTED_VALUE"""),0)</f>
        <v>0</v>
      </c>
    </row>
    <row r="636" spans="1:4" ht="13.2">
      <c r="A636" s="16"/>
      <c r="C636" s="16"/>
      <c r="D636" s="254">
        <f ca="1">IFERROR(__xludf.DUMMYFUNCTION("""COMPUTED_VALUE"""),0)</f>
        <v>0</v>
      </c>
    </row>
    <row r="637" spans="1:4" ht="13.2">
      <c r="A637" s="16"/>
      <c r="C637" s="16"/>
      <c r="D637" s="254">
        <f ca="1">IFERROR(__xludf.DUMMYFUNCTION("""COMPUTED_VALUE"""),0)</f>
        <v>0</v>
      </c>
    </row>
    <row r="638" spans="1:4" ht="13.2">
      <c r="A638" s="16"/>
      <c r="C638" s="16"/>
      <c r="D638" s="254">
        <f ca="1">IFERROR(__xludf.DUMMYFUNCTION("""COMPUTED_VALUE"""),0)</f>
        <v>0</v>
      </c>
    </row>
    <row r="639" spans="1:4" ht="13.2">
      <c r="A639" s="16"/>
      <c r="C639" s="16"/>
      <c r="D639" s="254">
        <f ca="1">IFERROR(__xludf.DUMMYFUNCTION("""COMPUTED_VALUE"""),0)</f>
        <v>0</v>
      </c>
    </row>
    <row r="640" spans="1:4" ht="13.2">
      <c r="A640" s="16"/>
      <c r="C640" s="16"/>
      <c r="D640" s="254">
        <f ca="1">IFERROR(__xludf.DUMMYFUNCTION("""COMPUTED_VALUE"""),0)</f>
        <v>0</v>
      </c>
    </row>
    <row r="641" spans="1:4" ht="13.2">
      <c r="A641" s="16"/>
      <c r="C641" s="16"/>
      <c r="D641" s="254">
        <f ca="1">IFERROR(__xludf.DUMMYFUNCTION("""COMPUTED_VALUE"""),0)</f>
        <v>0</v>
      </c>
    </row>
    <row r="642" spans="1:4" ht="13.2">
      <c r="A642" s="16"/>
      <c r="C642" s="16"/>
      <c r="D642" s="254">
        <f ca="1">IFERROR(__xludf.DUMMYFUNCTION("""COMPUTED_VALUE"""),0)</f>
        <v>0</v>
      </c>
    </row>
    <row r="643" spans="1:4" ht="13.2">
      <c r="A643" s="16"/>
      <c r="C643" s="16"/>
      <c r="D643" s="254">
        <f ca="1">IFERROR(__xludf.DUMMYFUNCTION("""COMPUTED_VALUE"""),0)</f>
        <v>0</v>
      </c>
    </row>
    <row r="644" spans="1:4" ht="13.2">
      <c r="A644" s="16"/>
      <c r="C644" s="16"/>
      <c r="D644" s="254">
        <f ca="1">IFERROR(__xludf.DUMMYFUNCTION("""COMPUTED_VALUE"""),0)</f>
        <v>0</v>
      </c>
    </row>
    <row r="645" spans="1:4" ht="13.2">
      <c r="A645" s="16"/>
      <c r="C645" s="16"/>
      <c r="D645" s="254">
        <f ca="1">IFERROR(__xludf.DUMMYFUNCTION("""COMPUTED_VALUE"""),0)</f>
        <v>0</v>
      </c>
    </row>
    <row r="646" spans="1:4" ht="13.2">
      <c r="A646" s="16"/>
      <c r="C646" s="16"/>
      <c r="D646" s="254">
        <f ca="1">IFERROR(__xludf.DUMMYFUNCTION("""COMPUTED_VALUE"""),0)</f>
        <v>0</v>
      </c>
    </row>
    <row r="647" spans="1:4" ht="13.2">
      <c r="A647" s="16"/>
      <c r="C647" s="16"/>
      <c r="D647" s="254">
        <f ca="1">IFERROR(__xludf.DUMMYFUNCTION("""COMPUTED_VALUE"""),0)</f>
        <v>0</v>
      </c>
    </row>
    <row r="648" spans="1:4" ht="13.2">
      <c r="A648" s="16"/>
      <c r="C648" s="16"/>
      <c r="D648" s="254">
        <f ca="1">IFERROR(__xludf.DUMMYFUNCTION("""COMPUTED_VALUE"""),0)</f>
        <v>0</v>
      </c>
    </row>
    <row r="649" spans="1:4" ht="13.2">
      <c r="A649" s="16"/>
      <c r="C649" s="16"/>
      <c r="D649" s="254">
        <f ca="1">IFERROR(__xludf.DUMMYFUNCTION("""COMPUTED_VALUE"""),0)</f>
        <v>0</v>
      </c>
    </row>
    <row r="650" spans="1:4" ht="13.2">
      <c r="A650" s="16"/>
      <c r="C650" s="16"/>
      <c r="D650" s="254">
        <f ca="1">IFERROR(__xludf.DUMMYFUNCTION("""COMPUTED_VALUE"""),0)</f>
        <v>0</v>
      </c>
    </row>
    <row r="651" spans="1:4" ht="13.2">
      <c r="A651" s="16"/>
      <c r="C651" s="16"/>
      <c r="D651" s="254">
        <f ca="1">IFERROR(__xludf.DUMMYFUNCTION("""COMPUTED_VALUE"""),0)</f>
        <v>0</v>
      </c>
    </row>
    <row r="652" spans="1:4" ht="13.2">
      <c r="A652" s="16"/>
      <c r="C652" s="16"/>
      <c r="D652" s="254">
        <f ca="1">IFERROR(__xludf.DUMMYFUNCTION("""COMPUTED_VALUE"""),0)</f>
        <v>0</v>
      </c>
    </row>
    <row r="653" spans="1:4" ht="13.2">
      <c r="A653" s="16"/>
      <c r="C653" s="16"/>
      <c r="D653" s="254">
        <f ca="1">IFERROR(__xludf.DUMMYFUNCTION("""COMPUTED_VALUE"""),0)</f>
        <v>0</v>
      </c>
    </row>
    <row r="654" spans="1:4" ht="13.2">
      <c r="A654" s="16"/>
      <c r="C654" s="16"/>
      <c r="D654" s="254">
        <f ca="1">IFERROR(__xludf.DUMMYFUNCTION("""COMPUTED_VALUE"""),0)</f>
        <v>0</v>
      </c>
    </row>
    <row r="655" spans="1:4" ht="13.2">
      <c r="A655" s="16"/>
      <c r="C655" s="16"/>
      <c r="D655" s="254">
        <f ca="1">IFERROR(__xludf.DUMMYFUNCTION("""COMPUTED_VALUE"""),0)</f>
        <v>0</v>
      </c>
    </row>
    <row r="656" spans="1:4" ht="13.2">
      <c r="A656" s="16"/>
      <c r="C656" s="16"/>
      <c r="D656" s="254">
        <f ca="1">IFERROR(__xludf.DUMMYFUNCTION("""COMPUTED_VALUE"""),0)</f>
        <v>0</v>
      </c>
    </row>
    <row r="657" spans="1:4" ht="13.2">
      <c r="A657" s="16"/>
      <c r="C657" s="16"/>
      <c r="D657" s="254">
        <f ca="1">IFERROR(__xludf.DUMMYFUNCTION("""COMPUTED_VALUE"""),0)</f>
        <v>0</v>
      </c>
    </row>
    <row r="658" spans="1:4" ht="13.2">
      <c r="A658" s="16"/>
      <c r="C658" s="16"/>
      <c r="D658" s="254">
        <f ca="1">IFERROR(__xludf.DUMMYFUNCTION("""COMPUTED_VALUE"""),0)</f>
        <v>0</v>
      </c>
    </row>
    <row r="659" spans="1:4" ht="13.2">
      <c r="A659" s="16"/>
      <c r="C659" s="16"/>
      <c r="D659" s="254">
        <f ca="1">IFERROR(__xludf.DUMMYFUNCTION("""COMPUTED_VALUE"""),0)</f>
        <v>0</v>
      </c>
    </row>
    <row r="660" spans="1:4" ht="13.2">
      <c r="A660" s="16"/>
      <c r="C660" s="16"/>
      <c r="D660" s="254">
        <f ca="1">IFERROR(__xludf.DUMMYFUNCTION("""COMPUTED_VALUE"""),0)</f>
        <v>0</v>
      </c>
    </row>
    <row r="661" spans="1:4" ht="13.2">
      <c r="A661" s="16"/>
      <c r="C661" s="16"/>
      <c r="D661" s="254">
        <f ca="1">IFERROR(__xludf.DUMMYFUNCTION("""COMPUTED_VALUE"""),0)</f>
        <v>0</v>
      </c>
    </row>
    <row r="662" spans="1:4" ht="13.2">
      <c r="A662" s="16"/>
      <c r="C662" s="16"/>
      <c r="D662" s="254">
        <f ca="1">IFERROR(__xludf.DUMMYFUNCTION("""COMPUTED_VALUE"""),0)</f>
        <v>0</v>
      </c>
    </row>
    <row r="663" spans="1:4" ht="13.2">
      <c r="A663" s="16"/>
      <c r="C663" s="16"/>
      <c r="D663" s="254">
        <f ca="1">IFERROR(__xludf.DUMMYFUNCTION("""COMPUTED_VALUE"""),0)</f>
        <v>0</v>
      </c>
    </row>
    <row r="664" spans="1:4" ht="13.2">
      <c r="A664" s="16"/>
      <c r="C664" s="16"/>
      <c r="D664" s="254">
        <f ca="1">IFERROR(__xludf.DUMMYFUNCTION("""COMPUTED_VALUE"""),0)</f>
        <v>0</v>
      </c>
    </row>
    <row r="665" spans="1:4" ht="13.2">
      <c r="A665" s="16"/>
      <c r="C665" s="16"/>
      <c r="D665" s="254">
        <f ca="1">IFERROR(__xludf.DUMMYFUNCTION("""COMPUTED_VALUE"""),0)</f>
        <v>0</v>
      </c>
    </row>
    <row r="666" spans="1:4" ht="13.2">
      <c r="A666" s="16"/>
      <c r="C666" s="16"/>
      <c r="D666" s="254">
        <f ca="1">IFERROR(__xludf.DUMMYFUNCTION("""COMPUTED_VALUE"""),0)</f>
        <v>0</v>
      </c>
    </row>
    <row r="667" spans="1:4" ht="13.2">
      <c r="A667" s="16"/>
      <c r="C667" s="16"/>
      <c r="D667" s="254">
        <f ca="1">IFERROR(__xludf.DUMMYFUNCTION("""COMPUTED_VALUE"""),0)</f>
        <v>0</v>
      </c>
    </row>
    <row r="668" spans="1:4" ht="13.2">
      <c r="A668" s="16"/>
      <c r="C668" s="16"/>
      <c r="D668" s="254">
        <f ca="1">IFERROR(__xludf.DUMMYFUNCTION("""COMPUTED_VALUE"""),0)</f>
        <v>0</v>
      </c>
    </row>
    <row r="669" spans="1:4" ht="13.2">
      <c r="A669" s="16"/>
      <c r="C669" s="16"/>
      <c r="D669" s="254">
        <f ca="1">IFERROR(__xludf.DUMMYFUNCTION("""COMPUTED_VALUE"""),0)</f>
        <v>0</v>
      </c>
    </row>
    <row r="670" spans="1:4" ht="13.2">
      <c r="A670" s="16"/>
      <c r="C670" s="16"/>
      <c r="D670" s="254">
        <f ca="1">IFERROR(__xludf.DUMMYFUNCTION("""COMPUTED_VALUE"""),0)</f>
        <v>0</v>
      </c>
    </row>
    <row r="671" spans="1:4" ht="13.2">
      <c r="A671" s="16"/>
      <c r="C671" s="16"/>
      <c r="D671" s="254">
        <f ca="1">IFERROR(__xludf.DUMMYFUNCTION("""COMPUTED_VALUE"""),0)</f>
        <v>0</v>
      </c>
    </row>
    <row r="672" spans="1:4" ht="13.2">
      <c r="A672" s="16"/>
      <c r="C672" s="16"/>
      <c r="D672" s="254">
        <f ca="1">IFERROR(__xludf.DUMMYFUNCTION("""COMPUTED_VALUE"""),0)</f>
        <v>0</v>
      </c>
    </row>
    <row r="673" spans="1:4" ht="13.2">
      <c r="A673" s="16"/>
      <c r="C673" s="16"/>
      <c r="D673" s="254">
        <f ca="1">IFERROR(__xludf.DUMMYFUNCTION("""COMPUTED_VALUE"""),0)</f>
        <v>0</v>
      </c>
    </row>
    <row r="674" spans="1:4" ht="13.2">
      <c r="A674" s="16"/>
      <c r="C674" s="16"/>
      <c r="D674" s="254">
        <f ca="1">IFERROR(__xludf.DUMMYFUNCTION("""COMPUTED_VALUE"""),0)</f>
        <v>0</v>
      </c>
    </row>
    <row r="675" spans="1:4" ht="13.2">
      <c r="A675" s="16"/>
      <c r="C675" s="16"/>
      <c r="D675" s="254">
        <f ca="1">IFERROR(__xludf.DUMMYFUNCTION("""COMPUTED_VALUE"""),0)</f>
        <v>0</v>
      </c>
    </row>
    <row r="676" spans="1:4" ht="13.2">
      <c r="A676" s="16"/>
      <c r="C676" s="16"/>
      <c r="D676" s="254">
        <f ca="1">IFERROR(__xludf.DUMMYFUNCTION("""COMPUTED_VALUE"""),0)</f>
        <v>0</v>
      </c>
    </row>
    <row r="677" spans="1:4" ht="13.2">
      <c r="A677" s="16"/>
      <c r="C677" s="16"/>
      <c r="D677" s="254">
        <f ca="1">IFERROR(__xludf.DUMMYFUNCTION("""COMPUTED_VALUE"""),0)</f>
        <v>0</v>
      </c>
    </row>
    <row r="678" spans="1:4" ht="13.2">
      <c r="A678" s="16"/>
      <c r="C678" s="16"/>
      <c r="D678" s="254">
        <f ca="1">IFERROR(__xludf.DUMMYFUNCTION("""COMPUTED_VALUE"""),0)</f>
        <v>0</v>
      </c>
    </row>
    <row r="679" spans="1:4" ht="13.2">
      <c r="A679" s="16"/>
      <c r="C679" s="16"/>
      <c r="D679" s="254">
        <f ca="1">IFERROR(__xludf.DUMMYFUNCTION("""COMPUTED_VALUE"""),0)</f>
        <v>0</v>
      </c>
    </row>
    <row r="680" spans="1:4" ht="13.2">
      <c r="A680" s="16"/>
      <c r="C680" s="16"/>
      <c r="D680" s="254">
        <f ca="1">IFERROR(__xludf.DUMMYFUNCTION("""COMPUTED_VALUE"""),0)</f>
        <v>0</v>
      </c>
    </row>
    <row r="681" spans="1:4" ht="13.2">
      <c r="A681" s="16"/>
      <c r="C681" s="16"/>
      <c r="D681" s="254">
        <f ca="1">IFERROR(__xludf.DUMMYFUNCTION("""COMPUTED_VALUE"""),0)</f>
        <v>0</v>
      </c>
    </row>
    <row r="682" spans="1:4" ht="13.2">
      <c r="A682" s="16"/>
      <c r="C682" s="16"/>
      <c r="D682" s="254">
        <f ca="1">IFERROR(__xludf.DUMMYFUNCTION("""COMPUTED_VALUE"""),0)</f>
        <v>0</v>
      </c>
    </row>
    <row r="683" spans="1:4" ht="13.2">
      <c r="A683" s="16"/>
      <c r="C683" s="16"/>
      <c r="D683" s="254">
        <f ca="1">IFERROR(__xludf.DUMMYFUNCTION("""COMPUTED_VALUE"""),0)</f>
        <v>0</v>
      </c>
    </row>
    <row r="684" spans="1:4" ht="13.2">
      <c r="A684" s="16"/>
      <c r="C684" s="16"/>
      <c r="D684" s="254">
        <f ca="1">IFERROR(__xludf.DUMMYFUNCTION("""COMPUTED_VALUE"""),0)</f>
        <v>0</v>
      </c>
    </row>
    <row r="685" spans="1:4" ht="13.2">
      <c r="A685" s="16"/>
      <c r="C685" s="16"/>
      <c r="D685" s="254">
        <f ca="1">IFERROR(__xludf.DUMMYFUNCTION("""COMPUTED_VALUE"""),0)</f>
        <v>0</v>
      </c>
    </row>
    <row r="686" spans="1:4" ht="13.2">
      <c r="A686" s="16"/>
      <c r="C686" s="16"/>
      <c r="D686" s="254">
        <f ca="1">IFERROR(__xludf.DUMMYFUNCTION("""COMPUTED_VALUE"""),0)</f>
        <v>0</v>
      </c>
    </row>
    <row r="687" spans="1:4" ht="13.2">
      <c r="A687" s="16"/>
      <c r="C687" s="16"/>
      <c r="D687" s="254">
        <f ca="1">IFERROR(__xludf.DUMMYFUNCTION("""COMPUTED_VALUE"""),0)</f>
        <v>0</v>
      </c>
    </row>
    <row r="688" spans="1:4" ht="13.2">
      <c r="A688" s="16"/>
      <c r="C688" s="16"/>
      <c r="D688" s="254">
        <f ca="1">IFERROR(__xludf.DUMMYFUNCTION("""COMPUTED_VALUE"""),0)</f>
        <v>0</v>
      </c>
    </row>
    <row r="689" spans="1:4" ht="13.2">
      <c r="A689" s="16"/>
      <c r="C689" s="16"/>
      <c r="D689" s="254">
        <f ca="1">IFERROR(__xludf.DUMMYFUNCTION("""COMPUTED_VALUE"""),0)</f>
        <v>0</v>
      </c>
    </row>
    <row r="690" spans="1:4" ht="13.2">
      <c r="A690" s="16"/>
      <c r="C690" s="16"/>
      <c r="D690" s="254">
        <f ca="1">IFERROR(__xludf.DUMMYFUNCTION("""COMPUTED_VALUE"""),0)</f>
        <v>0</v>
      </c>
    </row>
    <row r="691" spans="1:4" ht="13.2">
      <c r="A691" s="16"/>
      <c r="C691" s="16"/>
      <c r="D691" s="254">
        <f ca="1">IFERROR(__xludf.DUMMYFUNCTION("""COMPUTED_VALUE"""),0)</f>
        <v>0</v>
      </c>
    </row>
    <row r="692" spans="1:4" ht="13.2">
      <c r="A692" s="16"/>
      <c r="C692" s="16"/>
      <c r="D692" s="254">
        <f ca="1">IFERROR(__xludf.DUMMYFUNCTION("""COMPUTED_VALUE"""),0)</f>
        <v>0</v>
      </c>
    </row>
    <row r="693" spans="1:4" ht="13.2">
      <c r="A693" s="16"/>
      <c r="C693" s="16"/>
      <c r="D693" s="254">
        <f ca="1">IFERROR(__xludf.DUMMYFUNCTION("""COMPUTED_VALUE"""),0)</f>
        <v>0</v>
      </c>
    </row>
    <row r="694" spans="1:4" ht="13.2">
      <c r="A694" s="16"/>
      <c r="C694" s="16"/>
      <c r="D694" s="254">
        <f ca="1">IFERROR(__xludf.DUMMYFUNCTION("""COMPUTED_VALUE"""),0)</f>
        <v>0</v>
      </c>
    </row>
    <row r="695" spans="1:4" ht="13.2">
      <c r="A695" s="16"/>
      <c r="C695" s="16"/>
      <c r="D695" s="254">
        <f ca="1">IFERROR(__xludf.DUMMYFUNCTION("""COMPUTED_VALUE"""),0)</f>
        <v>0</v>
      </c>
    </row>
    <row r="696" spans="1:4" ht="13.2">
      <c r="A696" s="16"/>
      <c r="C696" s="16"/>
      <c r="D696" s="254">
        <f ca="1">IFERROR(__xludf.DUMMYFUNCTION("""COMPUTED_VALUE"""),0)</f>
        <v>0</v>
      </c>
    </row>
    <row r="697" spans="1:4" ht="13.2">
      <c r="A697" s="16"/>
      <c r="C697" s="16"/>
      <c r="D697" s="254">
        <f ca="1">IFERROR(__xludf.DUMMYFUNCTION("""COMPUTED_VALUE"""),0)</f>
        <v>0</v>
      </c>
    </row>
    <row r="698" spans="1:4" ht="13.2">
      <c r="A698" s="16"/>
      <c r="C698" s="16"/>
      <c r="D698" s="254">
        <f ca="1">IFERROR(__xludf.DUMMYFUNCTION("""COMPUTED_VALUE"""),0)</f>
        <v>0</v>
      </c>
    </row>
    <row r="699" spans="1:4" ht="13.2">
      <c r="A699" s="16"/>
      <c r="C699" s="16"/>
      <c r="D699" s="254">
        <f ca="1">IFERROR(__xludf.DUMMYFUNCTION("""COMPUTED_VALUE"""),0)</f>
        <v>0</v>
      </c>
    </row>
    <row r="700" spans="1:4" ht="13.2">
      <c r="A700" s="16"/>
      <c r="C700" s="16"/>
      <c r="D700" s="254">
        <f ca="1">IFERROR(__xludf.DUMMYFUNCTION("""COMPUTED_VALUE"""),0)</f>
        <v>0</v>
      </c>
    </row>
    <row r="701" spans="1:4" ht="13.2">
      <c r="A701" s="16"/>
      <c r="C701" s="16"/>
      <c r="D701" s="254">
        <f ca="1">IFERROR(__xludf.DUMMYFUNCTION("""COMPUTED_VALUE"""),0)</f>
        <v>0</v>
      </c>
    </row>
    <row r="702" spans="1:4" ht="13.2">
      <c r="A702" s="16"/>
      <c r="C702" s="16"/>
      <c r="D702" s="254">
        <f ca="1">IFERROR(__xludf.DUMMYFUNCTION("""COMPUTED_VALUE"""),0)</f>
        <v>0</v>
      </c>
    </row>
    <row r="703" spans="1:4" ht="13.2">
      <c r="A703" s="16"/>
      <c r="C703" s="16"/>
      <c r="D703" s="254">
        <f ca="1">IFERROR(__xludf.DUMMYFUNCTION("""COMPUTED_VALUE"""),0)</f>
        <v>0</v>
      </c>
    </row>
    <row r="704" spans="1:4" ht="13.2">
      <c r="A704" s="16"/>
      <c r="C704" s="16"/>
      <c r="D704" s="254">
        <f ca="1">IFERROR(__xludf.DUMMYFUNCTION("""COMPUTED_VALUE"""),0)</f>
        <v>0</v>
      </c>
    </row>
    <row r="705" spans="1:4" ht="13.2">
      <c r="A705" s="16"/>
      <c r="C705" s="16"/>
      <c r="D705" s="254">
        <f ca="1">IFERROR(__xludf.DUMMYFUNCTION("""COMPUTED_VALUE"""),0)</f>
        <v>0</v>
      </c>
    </row>
    <row r="706" spans="1:4" ht="13.2">
      <c r="A706" s="16"/>
      <c r="C706" s="16"/>
      <c r="D706" s="254">
        <f ca="1">IFERROR(__xludf.DUMMYFUNCTION("""COMPUTED_VALUE"""),0)</f>
        <v>0</v>
      </c>
    </row>
    <row r="707" spans="1:4" ht="13.2">
      <c r="A707" s="16"/>
      <c r="C707" s="16"/>
      <c r="D707" s="254">
        <f ca="1">IFERROR(__xludf.DUMMYFUNCTION("""COMPUTED_VALUE"""),0)</f>
        <v>0</v>
      </c>
    </row>
    <row r="708" spans="1:4" ht="13.2">
      <c r="A708" s="16"/>
      <c r="C708" s="16"/>
      <c r="D708" s="254">
        <f ca="1">IFERROR(__xludf.DUMMYFUNCTION("""COMPUTED_VALUE"""),0)</f>
        <v>0</v>
      </c>
    </row>
    <row r="709" spans="1:4" ht="13.2">
      <c r="A709" s="16"/>
      <c r="C709" s="16"/>
      <c r="D709" s="254">
        <f ca="1">IFERROR(__xludf.DUMMYFUNCTION("""COMPUTED_VALUE"""),0)</f>
        <v>0</v>
      </c>
    </row>
    <row r="710" spans="1:4" ht="13.2">
      <c r="A710" s="16"/>
      <c r="C710" s="16"/>
      <c r="D710" s="254">
        <f ca="1">IFERROR(__xludf.DUMMYFUNCTION("""COMPUTED_VALUE"""),0)</f>
        <v>0</v>
      </c>
    </row>
    <row r="711" spans="1:4" ht="13.2">
      <c r="A711" s="16"/>
      <c r="C711" s="16"/>
      <c r="D711" s="254">
        <f ca="1">IFERROR(__xludf.DUMMYFUNCTION("""COMPUTED_VALUE"""),0)</f>
        <v>0</v>
      </c>
    </row>
    <row r="712" spans="1:4" ht="13.2">
      <c r="A712" s="16"/>
      <c r="C712" s="16"/>
      <c r="D712" s="254">
        <f ca="1">IFERROR(__xludf.DUMMYFUNCTION("""COMPUTED_VALUE"""),0)</f>
        <v>0</v>
      </c>
    </row>
    <row r="713" spans="1:4" ht="13.2">
      <c r="A713" s="16"/>
      <c r="C713" s="16"/>
      <c r="D713" s="254">
        <f ca="1">IFERROR(__xludf.DUMMYFUNCTION("""COMPUTED_VALUE"""),0)</f>
        <v>0</v>
      </c>
    </row>
    <row r="714" spans="1:4" ht="13.2">
      <c r="A714" s="16"/>
      <c r="C714" s="16"/>
      <c r="D714" s="254">
        <f ca="1">IFERROR(__xludf.DUMMYFUNCTION("""COMPUTED_VALUE"""),0)</f>
        <v>0</v>
      </c>
    </row>
    <row r="715" spans="1:4" ht="13.2">
      <c r="A715" s="16"/>
      <c r="C715" s="16"/>
      <c r="D715" s="254">
        <f ca="1">IFERROR(__xludf.DUMMYFUNCTION("""COMPUTED_VALUE"""),0)</f>
        <v>0</v>
      </c>
    </row>
    <row r="716" spans="1:4" ht="13.2">
      <c r="A716" s="16"/>
      <c r="C716" s="16"/>
      <c r="D716" s="254">
        <f ca="1">IFERROR(__xludf.DUMMYFUNCTION("""COMPUTED_VALUE"""),0)</f>
        <v>0</v>
      </c>
    </row>
    <row r="717" spans="1:4" ht="13.2">
      <c r="A717" s="16"/>
      <c r="C717" s="16"/>
      <c r="D717" s="254">
        <f ca="1">IFERROR(__xludf.DUMMYFUNCTION("""COMPUTED_VALUE"""),0)</f>
        <v>0</v>
      </c>
    </row>
    <row r="718" spans="1:4" ht="13.2">
      <c r="A718" s="16"/>
      <c r="C718" s="16"/>
      <c r="D718" s="254">
        <f ca="1">IFERROR(__xludf.DUMMYFUNCTION("""COMPUTED_VALUE"""),0)</f>
        <v>0</v>
      </c>
    </row>
    <row r="719" spans="1:4" ht="13.2">
      <c r="A719" s="16"/>
      <c r="C719" s="16"/>
      <c r="D719" s="254">
        <f ca="1">IFERROR(__xludf.DUMMYFUNCTION("""COMPUTED_VALUE"""),0)</f>
        <v>0</v>
      </c>
    </row>
    <row r="720" spans="1:4" ht="13.2">
      <c r="A720" s="16"/>
      <c r="C720" s="16"/>
      <c r="D720" s="254">
        <f ca="1">IFERROR(__xludf.DUMMYFUNCTION("""COMPUTED_VALUE"""),0)</f>
        <v>0</v>
      </c>
    </row>
    <row r="721" spans="1:4" ht="13.2">
      <c r="A721" s="16"/>
      <c r="C721" s="16"/>
      <c r="D721" s="254">
        <f ca="1">IFERROR(__xludf.DUMMYFUNCTION("""COMPUTED_VALUE"""),0)</f>
        <v>0</v>
      </c>
    </row>
    <row r="722" spans="1:4" ht="13.2">
      <c r="A722" s="16"/>
      <c r="C722" s="16"/>
      <c r="D722" s="254">
        <f ca="1">IFERROR(__xludf.DUMMYFUNCTION("""COMPUTED_VALUE"""),0)</f>
        <v>0</v>
      </c>
    </row>
    <row r="723" spans="1:4" ht="13.2">
      <c r="A723" s="16"/>
      <c r="C723" s="16"/>
      <c r="D723" s="254">
        <f ca="1">IFERROR(__xludf.DUMMYFUNCTION("""COMPUTED_VALUE"""),0)</f>
        <v>0</v>
      </c>
    </row>
    <row r="724" spans="1:4" ht="13.2">
      <c r="A724" s="16"/>
      <c r="C724" s="16"/>
      <c r="D724" s="254">
        <f ca="1">IFERROR(__xludf.DUMMYFUNCTION("""COMPUTED_VALUE"""),0)</f>
        <v>0</v>
      </c>
    </row>
    <row r="725" spans="1:4" ht="13.2">
      <c r="A725" s="16"/>
      <c r="C725" s="16"/>
      <c r="D725" s="254">
        <f ca="1">IFERROR(__xludf.DUMMYFUNCTION("""COMPUTED_VALUE"""),0)</f>
        <v>0</v>
      </c>
    </row>
    <row r="726" spans="1:4" ht="13.2">
      <c r="A726" s="16"/>
      <c r="C726" s="16"/>
      <c r="D726" s="254">
        <f ca="1">IFERROR(__xludf.DUMMYFUNCTION("""COMPUTED_VALUE"""),0)</f>
        <v>0</v>
      </c>
    </row>
    <row r="727" spans="1:4" ht="13.2">
      <c r="A727" s="16"/>
      <c r="C727" s="16"/>
      <c r="D727" s="254">
        <f ca="1">IFERROR(__xludf.DUMMYFUNCTION("""COMPUTED_VALUE"""),0)</f>
        <v>0</v>
      </c>
    </row>
    <row r="728" spans="1:4" ht="13.2">
      <c r="A728" s="16"/>
      <c r="C728" s="16"/>
      <c r="D728" s="254">
        <f ca="1">IFERROR(__xludf.DUMMYFUNCTION("""COMPUTED_VALUE"""),0)</f>
        <v>0</v>
      </c>
    </row>
    <row r="729" spans="1:4" ht="13.2">
      <c r="A729" s="16"/>
      <c r="C729" s="16"/>
      <c r="D729" s="254">
        <f ca="1">IFERROR(__xludf.DUMMYFUNCTION("""COMPUTED_VALUE"""),0)</f>
        <v>0</v>
      </c>
    </row>
    <row r="730" spans="1:4" ht="13.2">
      <c r="A730" s="16"/>
      <c r="C730" s="16"/>
      <c r="D730" s="254">
        <f ca="1">IFERROR(__xludf.DUMMYFUNCTION("""COMPUTED_VALUE"""),0)</f>
        <v>0</v>
      </c>
    </row>
    <row r="731" spans="1:4" ht="13.2">
      <c r="A731" s="16"/>
      <c r="C731" s="16"/>
      <c r="D731" s="254">
        <f ca="1">IFERROR(__xludf.DUMMYFUNCTION("""COMPUTED_VALUE"""),0)</f>
        <v>0</v>
      </c>
    </row>
    <row r="732" spans="1:4" ht="13.2">
      <c r="A732" s="16"/>
      <c r="C732" s="16"/>
      <c r="D732" s="254">
        <f ca="1">IFERROR(__xludf.DUMMYFUNCTION("""COMPUTED_VALUE"""),0)</f>
        <v>0</v>
      </c>
    </row>
    <row r="733" spans="1:4" ht="13.2">
      <c r="A733" s="16"/>
      <c r="C733" s="16"/>
      <c r="D733" s="254">
        <f ca="1">IFERROR(__xludf.DUMMYFUNCTION("""COMPUTED_VALUE"""),0)</f>
        <v>0</v>
      </c>
    </row>
    <row r="734" spans="1:4" ht="13.2">
      <c r="A734" s="16"/>
      <c r="C734" s="16"/>
      <c r="D734" s="254">
        <f ca="1">IFERROR(__xludf.DUMMYFUNCTION("""COMPUTED_VALUE"""),0)</f>
        <v>0</v>
      </c>
    </row>
    <row r="735" spans="1:4" ht="13.2">
      <c r="A735" s="16"/>
      <c r="C735" s="16"/>
      <c r="D735" s="254">
        <f ca="1">IFERROR(__xludf.DUMMYFUNCTION("""COMPUTED_VALUE"""),0)</f>
        <v>0</v>
      </c>
    </row>
    <row r="736" spans="1:4" ht="13.2">
      <c r="A736" s="16"/>
      <c r="C736" s="16"/>
      <c r="D736" s="254">
        <f ca="1">IFERROR(__xludf.DUMMYFUNCTION("""COMPUTED_VALUE"""),0)</f>
        <v>0</v>
      </c>
    </row>
    <row r="737" spans="1:4" ht="13.2">
      <c r="A737" s="16"/>
      <c r="C737" s="16"/>
      <c r="D737" s="254">
        <f ca="1">IFERROR(__xludf.DUMMYFUNCTION("""COMPUTED_VALUE"""),0)</f>
        <v>0</v>
      </c>
    </row>
    <row r="738" spans="1:4" ht="13.2">
      <c r="A738" s="16"/>
      <c r="C738" s="16"/>
      <c r="D738" s="254">
        <f ca="1">IFERROR(__xludf.DUMMYFUNCTION("""COMPUTED_VALUE"""),0)</f>
        <v>0</v>
      </c>
    </row>
    <row r="739" spans="1:4" ht="13.2">
      <c r="A739" s="16"/>
      <c r="C739" s="16"/>
      <c r="D739" s="254">
        <f ca="1">IFERROR(__xludf.DUMMYFUNCTION("""COMPUTED_VALUE"""),0)</f>
        <v>0</v>
      </c>
    </row>
    <row r="740" spans="1:4" ht="13.2">
      <c r="A740" s="16"/>
      <c r="C740" s="16"/>
      <c r="D740" s="254">
        <f ca="1">IFERROR(__xludf.DUMMYFUNCTION("""COMPUTED_VALUE"""),0)</f>
        <v>0</v>
      </c>
    </row>
    <row r="741" spans="1:4" ht="13.2">
      <c r="A741" s="16"/>
      <c r="C741" s="16"/>
      <c r="D741" s="254">
        <f ca="1">IFERROR(__xludf.DUMMYFUNCTION("""COMPUTED_VALUE"""),0)</f>
        <v>0</v>
      </c>
    </row>
    <row r="742" spans="1:4" ht="13.2">
      <c r="A742" s="16"/>
      <c r="C742" s="16"/>
      <c r="D742" s="254">
        <f ca="1">IFERROR(__xludf.DUMMYFUNCTION("""COMPUTED_VALUE"""),0)</f>
        <v>0</v>
      </c>
    </row>
    <row r="743" spans="1:4" ht="13.2">
      <c r="A743" s="16"/>
      <c r="C743" s="16"/>
      <c r="D743" s="254">
        <f ca="1">IFERROR(__xludf.DUMMYFUNCTION("""COMPUTED_VALUE"""),0)</f>
        <v>0</v>
      </c>
    </row>
    <row r="744" spans="1:4" ht="13.2">
      <c r="A744" s="16"/>
      <c r="C744" s="16"/>
      <c r="D744" s="254">
        <f ca="1">IFERROR(__xludf.DUMMYFUNCTION("""COMPUTED_VALUE"""),0)</f>
        <v>0</v>
      </c>
    </row>
    <row r="745" spans="1:4" ht="13.2">
      <c r="A745" s="16"/>
      <c r="C745" s="16"/>
      <c r="D745" s="254">
        <f ca="1">IFERROR(__xludf.DUMMYFUNCTION("""COMPUTED_VALUE"""),0)</f>
        <v>0</v>
      </c>
    </row>
    <row r="746" spans="1:4" ht="13.2">
      <c r="A746" s="16"/>
      <c r="C746" s="16"/>
      <c r="D746" s="254">
        <f ca="1">IFERROR(__xludf.DUMMYFUNCTION("""COMPUTED_VALUE"""),0)</f>
        <v>0</v>
      </c>
    </row>
    <row r="747" spans="1:4" ht="13.2">
      <c r="A747" s="16"/>
      <c r="C747" s="16"/>
      <c r="D747" s="254">
        <f ca="1">IFERROR(__xludf.DUMMYFUNCTION("""COMPUTED_VALUE"""),0)</f>
        <v>0</v>
      </c>
    </row>
    <row r="748" spans="1:4" ht="13.2">
      <c r="A748" s="16"/>
      <c r="C748" s="16"/>
      <c r="D748" s="254">
        <f ca="1">IFERROR(__xludf.DUMMYFUNCTION("""COMPUTED_VALUE"""),0)</f>
        <v>0</v>
      </c>
    </row>
    <row r="749" spans="1:4" ht="13.2">
      <c r="A749" s="16"/>
      <c r="C749" s="16"/>
      <c r="D749" s="254">
        <f ca="1">IFERROR(__xludf.DUMMYFUNCTION("""COMPUTED_VALUE"""),0)</f>
        <v>0</v>
      </c>
    </row>
    <row r="750" spans="1:4" ht="13.2">
      <c r="A750" s="16"/>
      <c r="C750" s="16"/>
      <c r="D750" s="254">
        <f ca="1">IFERROR(__xludf.DUMMYFUNCTION("""COMPUTED_VALUE"""),0)</f>
        <v>0</v>
      </c>
    </row>
    <row r="751" spans="1:4" ht="13.2">
      <c r="A751" s="16"/>
      <c r="C751" s="16"/>
      <c r="D751" s="254">
        <f ca="1">IFERROR(__xludf.DUMMYFUNCTION("""COMPUTED_VALUE"""),0)</f>
        <v>0</v>
      </c>
    </row>
    <row r="752" spans="1:4" ht="13.2">
      <c r="A752" s="16"/>
      <c r="C752" s="16"/>
      <c r="D752" s="254">
        <f ca="1">IFERROR(__xludf.DUMMYFUNCTION("""COMPUTED_VALUE"""),0)</f>
        <v>0</v>
      </c>
    </row>
    <row r="753" spans="1:4" ht="13.2">
      <c r="A753" s="16"/>
      <c r="C753" s="16"/>
      <c r="D753" s="254">
        <f ca="1">IFERROR(__xludf.DUMMYFUNCTION("""COMPUTED_VALUE"""),0)</f>
        <v>0</v>
      </c>
    </row>
    <row r="754" spans="1:4" ht="13.2">
      <c r="A754" s="16"/>
      <c r="C754" s="16"/>
      <c r="D754" s="254">
        <f ca="1">IFERROR(__xludf.DUMMYFUNCTION("""COMPUTED_VALUE"""),0)</f>
        <v>0</v>
      </c>
    </row>
    <row r="755" spans="1:4" ht="13.2">
      <c r="A755" s="16"/>
      <c r="C755" s="16"/>
      <c r="D755" s="254">
        <f ca="1">IFERROR(__xludf.DUMMYFUNCTION("""COMPUTED_VALUE"""),0)</f>
        <v>0</v>
      </c>
    </row>
    <row r="756" spans="1:4" ht="13.2">
      <c r="A756" s="16"/>
      <c r="C756" s="16"/>
      <c r="D756" s="254">
        <f ca="1">IFERROR(__xludf.DUMMYFUNCTION("""COMPUTED_VALUE"""),0)</f>
        <v>0</v>
      </c>
    </row>
    <row r="757" spans="1:4" ht="13.2">
      <c r="A757" s="16"/>
      <c r="C757" s="16"/>
      <c r="D757" s="254">
        <f ca="1">IFERROR(__xludf.DUMMYFUNCTION("""COMPUTED_VALUE"""),0)</f>
        <v>0</v>
      </c>
    </row>
    <row r="758" spans="1:4" ht="13.2">
      <c r="A758" s="16"/>
      <c r="C758" s="16"/>
      <c r="D758" s="254">
        <f ca="1">IFERROR(__xludf.DUMMYFUNCTION("""COMPUTED_VALUE"""),0)</f>
        <v>0</v>
      </c>
    </row>
    <row r="759" spans="1:4" ht="13.2">
      <c r="A759" s="16"/>
      <c r="C759" s="16"/>
      <c r="D759" s="254">
        <f ca="1">IFERROR(__xludf.DUMMYFUNCTION("""COMPUTED_VALUE"""),0)</f>
        <v>0</v>
      </c>
    </row>
    <row r="760" spans="1:4" ht="13.2">
      <c r="A760" s="16"/>
      <c r="C760" s="16"/>
      <c r="D760" s="254">
        <f ca="1">IFERROR(__xludf.DUMMYFUNCTION("""COMPUTED_VALUE"""),0)</f>
        <v>0</v>
      </c>
    </row>
    <row r="761" spans="1:4" ht="13.2">
      <c r="A761" s="16"/>
      <c r="C761" s="16"/>
      <c r="D761" s="254">
        <f ca="1">IFERROR(__xludf.DUMMYFUNCTION("""COMPUTED_VALUE"""),0)</f>
        <v>0</v>
      </c>
    </row>
    <row r="762" spans="1:4" ht="13.2">
      <c r="A762" s="16"/>
      <c r="C762" s="16"/>
      <c r="D762" s="254">
        <f ca="1">IFERROR(__xludf.DUMMYFUNCTION("""COMPUTED_VALUE"""),0)</f>
        <v>0</v>
      </c>
    </row>
    <row r="763" spans="1:4" ht="13.2">
      <c r="A763" s="16"/>
      <c r="C763" s="16"/>
      <c r="D763" s="254">
        <f ca="1">IFERROR(__xludf.DUMMYFUNCTION("""COMPUTED_VALUE"""),0)</f>
        <v>0</v>
      </c>
    </row>
    <row r="764" spans="1:4" ht="13.2">
      <c r="A764" s="16"/>
      <c r="C764" s="16"/>
      <c r="D764" s="254">
        <f ca="1">IFERROR(__xludf.DUMMYFUNCTION("""COMPUTED_VALUE"""),0)</f>
        <v>0</v>
      </c>
    </row>
    <row r="765" spans="1:4" ht="13.2">
      <c r="A765" s="16"/>
      <c r="C765" s="16"/>
      <c r="D765" s="254">
        <f ca="1">IFERROR(__xludf.DUMMYFUNCTION("""COMPUTED_VALUE"""),0)</f>
        <v>0</v>
      </c>
    </row>
    <row r="766" spans="1:4" ht="13.2">
      <c r="A766" s="16"/>
      <c r="C766" s="16"/>
      <c r="D766" s="254">
        <f ca="1">IFERROR(__xludf.DUMMYFUNCTION("""COMPUTED_VALUE"""),0)</f>
        <v>0</v>
      </c>
    </row>
    <row r="767" spans="1:4" ht="13.2">
      <c r="A767" s="16"/>
      <c r="C767" s="16"/>
      <c r="D767" s="254">
        <f ca="1">IFERROR(__xludf.DUMMYFUNCTION("""COMPUTED_VALUE"""),0)</f>
        <v>0</v>
      </c>
    </row>
    <row r="768" spans="1:4" ht="13.2">
      <c r="A768" s="16"/>
      <c r="C768" s="16"/>
      <c r="D768" s="254">
        <f ca="1">IFERROR(__xludf.DUMMYFUNCTION("""COMPUTED_VALUE"""),0)</f>
        <v>0</v>
      </c>
    </row>
    <row r="769" spans="1:4" ht="13.2">
      <c r="A769" s="16"/>
      <c r="C769" s="16"/>
      <c r="D769" s="254">
        <f ca="1">IFERROR(__xludf.DUMMYFUNCTION("""COMPUTED_VALUE"""),0)</f>
        <v>0</v>
      </c>
    </row>
    <row r="770" spans="1:4" ht="13.2">
      <c r="A770" s="16"/>
      <c r="C770" s="16"/>
      <c r="D770" s="254">
        <f ca="1">IFERROR(__xludf.DUMMYFUNCTION("""COMPUTED_VALUE"""),0)</f>
        <v>0</v>
      </c>
    </row>
    <row r="771" spans="1:4" ht="13.2">
      <c r="A771" s="16"/>
      <c r="C771" s="16"/>
      <c r="D771" s="254">
        <f ca="1">IFERROR(__xludf.DUMMYFUNCTION("""COMPUTED_VALUE"""),0)</f>
        <v>0</v>
      </c>
    </row>
    <row r="772" spans="1:4" ht="13.2">
      <c r="A772" s="16"/>
      <c r="C772" s="16"/>
      <c r="D772" s="254">
        <f ca="1">IFERROR(__xludf.DUMMYFUNCTION("""COMPUTED_VALUE"""),0)</f>
        <v>0</v>
      </c>
    </row>
    <row r="773" spans="1:4" ht="13.2">
      <c r="A773" s="16"/>
      <c r="C773" s="16"/>
      <c r="D773" s="254">
        <f ca="1">IFERROR(__xludf.DUMMYFUNCTION("""COMPUTED_VALUE"""),0)</f>
        <v>0</v>
      </c>
    </row>
    <row r="774" spans="1:4" ht="13.2">
      <c r="A774" s="16"/>
      <c r="C774" s="16"/>
      <c r="D774" s="254">
        <f ca="1">IFERROR(__xludf.DUMMYFUNCTION("""COMPUTED_VALUE"""),0)</f>
        <v>0</v>
      </c>
    </row>
    <row r="775" spans="1:4" ht="13.2">
      <c r="A775" s="16"/>
      <c r="C775" s="16"/>
      <c r="D775" s="254">
        <f ca="1">IFERROR(__xludf.DUMMYFUNCTION("""COMPUTED_VALUE"""),0)</f>
        <v>0</v>
      </c>
    </row>
    <row r="776" spans="1:4" ht="13.2">
      <c r="A776" s="16"/>
      <c r="C776" s="16"/>
      <c r="D776" s="254">
        <f ca="1">IFERROR(__xludf.DUMMYFUNCTION("""COMPUTED_VALUE"""),0)</f>
        <v>0</v>
      </c>
    </row>
    <row r="777" spans="1:4" ht="13.2">
      <c r="A777" s="16"/>
      <c r="C777" s="16"/>
      <c r="D777" s="254">
        <f ca="1">IFERROR(__xludf.DUMMYFUNCTION("""COMPUTED_VALUE"""),0)</f>
        <v>0</v>
      </c>
    </row>
    <row r="778" spans="1:4" ht="13.2">
      <c r="A778" s="16"/>
      <c r="C778" s="16"/>
      <c r="D778" s="254">
        <f ca="1">IFERROR(__xludf.DUMMYFUNCTION("""COMPUTED_VALUE"""),0)</f>
        <v>0</v>
      </c>
    </row>
    <row r="779" spans="1:4" ht="13.2">
      <c r="A779" s="16"/>
      <c r="C779" s="16"/>
      <c r="D779" s="254">
        <f ca="1">IFERROR(__xludf.DUMMYFUNCTION("""COMPUTED_VALUE"""),0)</f>
        <v>0</v>
      </c>
    </row>
    <row r="780" spans="1:4" ht="13.2">
      <c r="A780" s="16"/>
      <c r="C780" s="16"/>
      <c r="D780" s="254">
        <f ca="1">IFERROR(__xludf.DUMMYFUNCTION("""COMPUTED_VALUE"""),0)</f>
        <v>0</v>
      </c>
    </row>
    <row r="781" spans="1:4" ht="13.2">
      <c r="A781" s="16"/>
      <c r="C781" s="16"/>
      <c r="D781" s="254">
        <f ca="1">IFERROR(__xludf.DUMMYFUNCTION("""COMPUTED_VALUE"""),0)</f>
        <v>0</v>
      </c>
    </row>
    <row r="782" spans="1:4" ht="13.2">
      <c r="A782" s="16"/>
      <c r="C782" s="16"/>
      <c r="D782" s="254">
        <f ca="1">IFERROR(__xludf.DUMMYFUNCTION("""COMPUTED_VALUE"""),0)</f>
        <v>0</v>
      </c>
    </row>
    <row r="783" spans="1:4" ht="13.2">
      <c r="A783" s="16"/>
      <c r="C783" s="16"/>
      <c r="D783" s="254">
        <f ca="1">IFERROR(__xludf.DUMMYFUNCTION("""COMPUTED_VALUE"""),0)</f>
        <v>0</v>
      </c>
    </row>
    <row r="784" spans="1:4" ht="13.2">
      <c r="A784" s="16"/>
      <c r="C784" s="16"/>
      <c r="D784" s="254">
        <f ca="1">IFERROR(__xludf.DUMMYFUNCTION("""COMPUTED_VALUE"""),0)</f>
        <v>0</v>
      </c>
    </row>
    <row r="785" spans="1:4" ht="13.2">
      <c r="A785" s="16"/>
      <c r="C785" s="16"/>
      <c r="D785" s="254">
        <f ca="1">IFERROR(__xludf.DUMMYFUNCTION("""COMPUTED_VALUE"""),0)</f>
        <v>0</v>
      </c>
    </row>
    <row r="786" spans="1:4" ht="13.2">
      <c r="A786" s="16"/>
      <c r="C786" s="16"/>
      <c r="D786" s="254">
        <f ca="1">IFERROR(__xludf.DUMMYFUNCTION("""COMPUTED_VALUE"""),0)</f>
        <v>0</v>
      </c>
    </row>
    <row r="787" spans="1:4" ht="13.2">
      <c r="A787" s="16"/>
      <c r="C787" s="16"/>
      <c r="D787" s="254">
        <f ca="1">IFERROR(__xludf.DUMMYFUNCTION("""COMPUTED_VALUE"""),0)</f>
        <v>0</v>
      </c>
    </row>
    <row r="788" spans="1:4" ht="13.2">
      <c r="A788" s="16"/>
      <c r="C788" s="16"/>
      <c r="D788" s="254">
        <f ca="1">IFERROR(__xludf.DUMMYFUNCTION("""COMPUTED_VALUE"""),0)</f>
        <v>0</v>
      </c>
    </row>
    <row r="789" spans="1:4" ht="13.2">
      <c r="A789" s="16"/>
      <c r="C789" s="16"/>
      <c r="D789" s="254">
        <f ca="1">IFERROR(__xludf.DUMMYFUNCTION("""COMPUTED_VALUE"""),0)</f>
        <v>0</v>
      </c>
    </row>
    <row r="790" spans="1:4" ht="13.2">
      <c r="A790" s="16"/>
      <c r="C790" s="16"/>
      <c r="D790" s="254">
        <f ca="1">IFERROR(__xludf.DUMMYFUNCTION("""COMPUTED_VALUE"""),0)</f>
        <v>0</v>
      </c>
    </row>
    <row r="791" spans="1:4" ht="13.2">
      <c r="A791" s="16"/>
      <c r="C791" s="16"/>
      <c r="D791" s="254">
        <f ca="1">IFERROR(__xludf.DUMMYFUNCTION("""COMPUTED_VALUE"""),0)</f>
        <v>0</v>
      </c>
    </row>
    <row r="792" spans="1:4" ht="13.2">
      <c r="A792" s="16"/>
      <c r="C792" s="16"/>
      <c r="D792" s="254">
        <f ca="1">IFERROR(__xludf.DUMMYFUNCTION("""COMPUTED_VALUE"""),0)</f>
        <v>0</v>
      </c>
    </row>
    <row r="793" spans="1:4" ht="13.2">
      <c r="A793" s="16"/>
      <c r="C793" s="16"/>
      <c r="D793" s="254">
        <f ca="1">IFERROR(__xludf.DUMMYFUNCTION("""COMPUTED_VALUE"""),0)</f>
        <v>0</v>
      </c>
    </row>
    <row r="794" spans="1:4" ht="13.2">
      <c r="A794" s="16"/>
      <c r="C794" s="16"/>
      <c r="D794" s="254">
        <f ca="1">IFERROR(__xludf.DUMMYFUNCTION("""COMPUTED_VALUE"""),0)</f>
        <v>0</v>
      </c>
    </row>
    <row r="795" spans="1:4" ht="13.2">
      <c r="A795" s="16"/>
      <c r="C795" s="16"/>
      <c r="D795" s="254">
        <f ca="1">IFERROR(__xludf.DUMMYFUNCTION("""COMPUTED_VALUE"""),0)</f>
        <v>0</v>
      </c>
    </row>
    <row r="796" spans="1:4" ht="13.2">
      <c r="A796" s="16"/>
      <c r="C796" s="16"/>
      <c r="D796" s="254">
        <f ca="1">IFERROR(__xludf.DUMMYFUNCTION("""COMPUTED_VALUE"""),0)</f>
        <v>0</v>
      </c>
    </row>
    <row r="797" spans="1:4" ht="13.2">
      <c r="A797" s="16"/>
      <c r="C797" s="16"/>
      <c r="D797" s="254">
        <f ca="1">IFERROR(__xludf.DUMMYFUNCTION("""COMPUTED_VALUE"""),0)</f>
        <v>0</v>
      </c>
    </row>
    <row r="798" spans="1:4" ht="13.2">
      <c r="A798" s="16"/>
      <c r="C798" s="16"/>
      <c r="D798" s="254">
        <f ca="1">IFERROR(__xludf.DUMMYFUNCTION("""COMPUTED_VALUE"""),0)</f>
        <v>0</v>
      </c>
    </row>
    <row r="799" spans="1:4" ht="13.2">
      <c r="A799" s="16"/>
      <c r="C799" s="16"/>
      <c r="D799" s="254">
        <f ca="1">IFERROR(__xludf.DUMMYFUNCTION("""COMPUTED_VALUE"""),0)</f>
        <v>0</v>
      </c>
    </row>
    <row r="800" spans="1:4" ht="13.2">
      <c r="A800" s="16"/>
      <c r="C800" s="16"/>
      <c r="D800" s="254">
        <f ca="1">IFERROR(__xludf.DUMMYFUNCTION("""COMPUTED_VALUE"""),0)</f>
        <v>0</v>
      </c>
    </row>
    <row r="801" spans="1:4" ht="13.2">
      <c r="A801" s="16"/>
      <c r="C801" s="16"/>
      <c r="D801" s="254">
        <f ca="1">IFERROR(__xludf.DUMMYFUNCTION("""COMPUTED_VALUE"""),0)</f>
        <v>0</v>
      </c>
    </row>
    <row r="802" spans="1:4" ht="13.2">
      <c r="A802" s="16"/>
      <c r="C802" s="16"/>
      <c r="D802" s="254">
        <f ca="1">IFERROR(__xludf.DUMMYFUNCTION("""COMPUTED_VALUE"""),0)</f>
        <v>0</v>
      </c>
    </row>
    <row r="803" spans="1:4" ht="13.2">
      <c r="A803" s="16"/>
      <c r="C803" s="16"/>
      <c r="D803" s="254">
        <f ca="1">IFERROR(__xludf.DUMMYFUNCTION("""COMPUTED_VALUE"""),0)</f>
        <v>0</v>
      </c>
    </row>
    <row r="804" spans="1:4" ht="13.2">
      <c r="A804" s="16"/>
      <c r="C804" s="16"/>
      <c r="D804" s="254">
        <f ca="1">IFERROR(__xludf.DUMMYFUNCTION("""COMPUTED_VALUE"""),0)</f>
        <v>0</v>
      </c>
    </row>
    <row r="805" spans="1:4" ht="13.2">
      <c r="A805" s="16"/>
      <c r="C805" s="16"/>
      <c r="D805" s="254">
        <f ca="1">IFERROR(__xludf.DUMMYFUNCTION("""COMPUTED_VALUE"""),0)</f>
        <v>0</v>
      </c>
    </row>
    <row r="806" spans="1:4" ht="13.2">
      <c r="A806" s="16"/>
      <c r="C806" s="16"/>
      <c r="D806" s="254">
        <f ca="1">IFERROR(__xludf.DUMMYFUNCTION("""COMPUTED_VALUE"""),0)</f>
        <v>0</v>
      </c>
    </row>
    <row r="807" spans="1:4" ht="13.2">
      <c r="A807" s="16"/>
      <c r="C807" s="16"/>
      <c r="D807" s="254">
        <f ca="1">IFERROR(__xludf.DUMMYFUNCTION("""COMPUTED_VALUE"""),0)</f>
        <v>0</v>
      </c>
    </row>
    <row r="808" spans="1:4" ht="13.2">
      <c r="A808" s="16"/>
      <c r="C808" s="16"/>
      <c r="D808" s="254">
        <f ca="1">IFERROR(__xludf.DUMMYFUNCTION("""COMPUTED_VALUE"""),0)</f>
        <v>0</v>
      </c>
    </row>
    <row r="809" spans="1:4" ht="13.2">
      <c r="A809" s="16"/>
      <c r="C809" s="16"/>
      <c r="D809" s="254">
        <f ca="1">IFERROR(__xludf.DUMMYFUNCTION("""COMPUTED_VALUE"""),0)</f>
        <v>0</v>
      </c>
    </row>
    <row r="810" spans="1:4" ht="13.2">
      <c r="A810" s="16"/>
      <c r="C810" s="16"/>
      <c r="D810" s="254">
        <f ca="1">IFERROR(__xludf.DUMMYFUNCTION("""COMPUTED_VALUE"""),0)</f>
        <v>0</v>
      </c>
    </row>
    <row r="811" spans="1:4" ht="13.2">
      <c r="A811" s="16"/>
      <c r="C811" s="16"/>
      <c r="D811" s="254">
        <f ca="1">IFERROR(__xludf.DUMMYFUNCTION("""COMPUTED_VALUE"""),0)</f>
        <v>0</v>
      </c>
    </row>
    <row r="812" spans="1:4" ht="13.2">
      <c r="A812" s="16"/>
      <c r="C812" s="16"/>
      <c r="D812" s="254">
        <f ca="1">IFERROR(__xludf.DUMMYFUNCTION("""COMPUTED_VALUE"""),0)</f>
        <v>0</v>
      </c>
    </row>
    <row r="813" spans="1:4" ht="13.2">
      <c r="A813" s="16"/>
      <c r="C813" s="16"/>
      <c r="D813" s="254">
        <f ca="1">IFERROR(__xludf.DUMMYFUNCTION("""COMPUTED_VALUE"""),0)</f>
        <v>0</v>
      </c>
    </row>
    <row r="814" spans="1:4" ht="13.2">
      <c r="A814" s="16"/>
      <c r="C814" s="16"/>
      <c r="D814" s="254">
        <f ca="1">IFERROR(__xludf.DUMMYFUNCTION("""COMPUTED_VALUE"""),0)</f>
        <v>0</v>
      </c>
    </row>
    <row r="815" spans="1:4" ht="13.2">
      <c r="A815" s="16"/>
      <c r="C815" s="16"/>
      <c r="D815" s="254">
        <f ca="1">IFERROR(__xludf.DUMMYFUNCTION("""COMPUTED_VALUE"""),0)</f>
        <v>0</v>
      </c>
    </row>
    <row r="816" spans="1:4" ht="13.2">
      <c r="A816" s="16"/>
      <c r="C816" s="16"/>
      <c r="D816" s="254">
        <f ca="1">IFERROR(__xludf.DUMMYFUNCTION("""COMPUTED_VALUE"""),0)</f>
        <v>0</v>
      </c>
    </row>
    <row r="817" spans="1:4" ht="13.2">
      <c r="A817" s="16"/>
      <c r="C817" s="16"/>
      <c r="D817" s="254">
        <f ca="1">IFERROR(__xludf.DUMMYFUNCTION("""COMPUTED_VALUE"""),0)</f>
        <v>0</v>
      </c>
    </row>
    <row r="818" spans="1:4" ht="13.2">
      <c r="A818" s="16"/>
      <c r="C818" s="16"/>
      <c r="D818" s="254">
        <f ca="1">IFERROR(__xludf.DUMMYFUNCTION("""COMPUTED_VALUE"""),0)</f>
        <v>0</v>
      </c>
    </row>
    <row r="819" spans="1:4" ht="13.2">
      <c r="A819" s="16"/>
      <c r="C819" s="16"/>
      <c r="D819" s="254">
        <f ca="1">IFERROR(__xludf.DUMMYFUNCTION("""COMPUTED_VALUE"""),0)</f>
        <v>0</v>
      </c>
    </row>
    <row r="820" spans="1:4" ht="13.2">
      <c r="A820" s="16"/>
      <c r="C820" s="16"/>
      <c r="D820" s="254">
        <f ca="1">IFERROR(__xludf.DUMMYFUNCTION("""COMPUTED_VALUE"""),0)</f>
        <v>0</v>
      </c>
    </row>
    <row r="821" spans="1:4" ht="13.2">
      <c r="A821" s="16"/>
      <c r="C821" s="16"/>
      <c r="D821" s="254">
        <f ca="1">IFERROR(__xludf.DUMMYFUNCTION("""COMPUTED_VALUE"""),0)</f>
        <v>0</v>
      </c>
    </row>
    <row r="822" spans="1:4" ht="13.2">
      <c r="A822" s="16"/>
      <c r="C822" s="16"/>
      <c r="D822" s="254">
        <f ca="1">IFERROR(__xludf.DUMMYFUNCTION("""COMPUTED_VALUE"""),0)</f>
        <v>0</v>
      </c>
    </row>
    <row r="823" spans="1:4" ht="13.2">
      <c r="A823" s="16"/>
      <c r="C823" s="16"/>
      <c r="D823" s="254">
        <f ca="1">IFERROR(__xludf.DUMMYFUNCTION("""COMPUTED_VALUE"""),0)</f>
        <v>0</v>
      </c>
    </row>
    <row r="824" spans="1:4" ht="13.2">
      <c r="A824" s="16"/>
      <c r="C824" s="16"/>
      <c r="D824" s="254">
        <f ca="1">IFERROR(__xludf.DUMMYFUNCTION("""COMPUTED_VALUE"""),0)</f>
        <v>0</v>
      </c>
    </row>
    <row r="825" spans="1:4" ht="13.2">
      <c r="A825" s="16"/>
      <c r="C825" s="16"/>
      <c r="D825" s="254">
        <f ca="1">IFERROR(__xludf.DUMMYFUNCTION("""COMPUTED_VALUE"""),0)</f>
        <v>0</v>
      </c>
    </row>
    <row r="826" spans="1:4" ht="13.2">
      <c r="A826" s="16"/>
      <c r="C826" s="16"/>
      <c r="D826" s="254">
        <f ca="1">IFERROR(__xludf.DUMMYFUNCTION("""COMPUTED_VALUE"""),0)</f>
        <v>0</v>
      </c>
    </row>
    <row r="827" spans="1:4" ht="13.2">
      <c r="A827" s="16"/>
      <c r="C827" s="16"/>
      <c r="D827" s="254">
        <f ca="1">IFERROR(__xludf.DUMMYFUNCTION("""COMPUTED_VALUE"""),0)</f>
        <v>0</v>
      </c>
    </row>
    <row r="828" spans="1:4" ht="13.2">
      <c r="A828" s="16"/>
      <c r="C828" s="16"/>
      <c r="D828" s="254">
        <f ca="1">IFERROR(__xludf.DUMMYFUNCTION("""COMPUTED_VALUE"""),0)</f>
        <v>0</v>
      </c>
    </row>
    <row r="829" spans="1:4" ht="13.2">
      <c r="A829" s="16"/>
      <c r="C829" s="16"/>
      <c r="D829" s="254">
        <f ca="1">IFERROR(__xludf.DUMMYFUNCTION("""COMPUTED_VALUE"""),0)</f>
        <v>0</v>
      </c>
    </row>
    <row r="830" spans="1:4" ht="13.2">
      <c r="A830" s="16"/>
      <c r="C830" s="16"/>
      <c r="D830" s="254">
        <f ca="1">IFERROR(__xludf.DUMMYFUNCTION("""COMPUTED_VALUE"""),0)</f>
        <v>0</v>
      </c>
    </row>
    <row r="831" spans="1:4" ht="13.2">
      <c r="A831" s="16"/>
      <c r="C831" s="16"/>
      <c r="D831" s="254">
        <f ca="1">IFERROR(__xludf.DUMMYFUNCTION("""COMPUTED_VALUE"""),0)</f>
        <v>0</v>
      </c>
    </row>
    <row r="832" spans="1:4" ht="13.2">
      <c r="A832" s="16"/>
      <c r="C832" s="16"/>
      <c r="D832" s="254">
        <f ca="1">IFERROR(__xludf.DUMMYFUNCTION("""COMPUTED_VALUE"""),0)</f>
        <v>0</v>
      </c>
    </row>
    <row r="833" spans="1:4" ht="13.2">
      <c r="A833" s="16"/>
      <c r="C833" s="16"/>
      <c r="D833" s="254">
        <f ca="1">IFERROR(__xludf.DUMMYFUNCTION("""COMPUTED_VALUE"""),0)</f>
        <v>0</v>
      </c>
    </row>
    <row r="834" spans="1:4" ht="13.2">
      <c r="A834" s="16"/>
      <c r="C834" s="16"/>
      <c r="D834" s="254">
        <f ca="1">IFERROR(__xludf.DUMMYFUNCTION("""COMPUTED_VALUE"""),0)</f>
        <v>0</v>
      </c>
    </row>
    <row r="835" spans="1:4" ht="13.2">
      <c r="A835" s="16"/>
      <c r="C835" s="16"/>
      <c r="D835" s="254">
        <f ca="1">IFERROR(__xludf.DUMMYFUNCTION("""COMPUTED_VALUE"""),0)</f>
        <v>0</v>
      </c>
    </row>
    <row r="836" spans="1:4" ht="13.2">
      <c r="A836" s="16"/>
      <c r="C836" s="16"/>
      <c r="D836" s="254">
        <f ca="1">IFERROR(__xludf.DUMMYFUNCTION("""COMPUTED_VALUE"""),0)</f>
        <v>0</v>
      </c>
    </row>
    <row r="837" spans="1:4" ht="13.2">
      <c r="A837" s="16"/>
      <c r="C837" s="16"/>
      <c r="D837" s="254">
        <f ca="1">IFERROR(__xludf.DUMMYFUNCTION("""COMPUTED_VALUE"""),0)</f>
        <v>0</v>
      </c>
    </row>
    <row r="838" spans="1:4" ht="13.2">
      <c r="A838" s="16"/>
      <c r="C838" s="16"/>
      <c r="D838" s="254">
        <f ca="1">IFERROR(__xludf.DUMMYFUNCTION("""COMPUTED_VALUE"""),0)</f>
        <v>0</v>
      </c>
    </row>
    <row r="839" spans="1:4" ht="13.2">
      <c r="A839" s="16"/>
      <c r="C839" s="16"/>
      <c r="D839" s="254">
        <f ca="1">IFERROR(__xludf.DUMMYFUNCTION("""COMPUTED_VALUE"""),0)</f>
        <v>0</v>
      </c>
    </row>
    <row r="840" spans="1:4" ht="13.2">
      <c r="A840" s="16"/>
      <c r="C840" s="16"/>
      <c r="D840" s="254">
        <f ca="1">IFERROR(__xludf.DUMMYFUNCTION("""COMPUTED_VALUE"""),0)</f>
        <v>0</v>
      </c>
    </row>
    <row r="841" spans="1:4" ht="13.2">
      <c r="A841" s="16"/>
      <c r="C841" s="16"/>
      <c r="D841" s="254">
        <f ca="1">IFERROR(__xludf.DUMMYFUNCTION("""COMPUTED_VALUE"""),0)</f>
        <v>0</v>
      </c>
    </row>
    <row r="842" spans="1:4" ht="13.2">
      <c r="A842" s="16"/>
      <c r="C842" s="16"/>
      <c r="D842" s="254">
        <f ca="1">IFERROR(__xludf.DUMMYFUNCTION("""COMPUTED_VALUE"""),0)</f>
        <v>0</v>
      </c>
    </row>
    <row r="843" spans="1:4" ht="13.2">
      <c r="A843" s="16"/>
      <c r="C843" s="16"/>
      <c r="D843" s="254">
        <f ca="1">IFERROR(__xludf.DUMMYFUNCTION("""COMPUTED_VALUE"""),0)</f>
        <v>0</v>
      </c>
    </row>
    <row r="844" spans="1:4" ht="13.2">
      <c r="A844" s="16"/>
      <c r="C844" s="16"/>
      <c r="D844" s="254">
        <f ca="1">IFERROR(__xludf.DUMMYFUNCTION("""COMPUTED_VALUE"""),0)</f>
        <v>0</v>
      </c>
    </row>
    <row r="845" spans="1:4" ht="13.2">
      <c r="A845" s="16"/>
      <c r="C845" s="16"/>
      <c r="D845" s="254">
        <f ca="1">IFERROR(__xludf.DUMMYFUNCTION("""COMPUTED_VALUE"""),0)</f>
        <v>0</v>
      </c>
    </row>
    <row r="846" spans="1:4" ht="13.2">
      <c r="A846" s="16"/>
      <c r="C846" s="16"/>
      <c r="D846" s="254">
        <f ca="1">IFERROR(__xludf.DUMMYFUNCTION("""COMPUTED_VALUE"""),0)</f>
        <v>0</v>
      </c>
    </row>
    <row r="847" spans="1:4" ht="13.2">
      <c r="A847" s="16"/>
      <c r="C847" s="16"/>
      <c r="D847" s="254">
        <f ca="1">IFERROR(__xludf.DUMMYFUNCTION("""COMPUTED_VALUE"""),0)</f>
        <v>0</v>
      </c>
    </row>
    <row r="848" spans="1:4" ht="13.2">
      <c r="A848" s="16"/>
      <c r="C848" s="16"/>
      <c r="D848" s="254">
        <f ca="1">IFERROR(__xludf.DUMMYFUNCTION("""COMPUTED_VALUE"""),0)</f>
        <v>0</v>
      </c>
    </row>
    <row r="849" spans="1:4" ht="13.2">
      <c r="A849" s="16"/>
      <c r="C849" s="16"/>
      <c r="D849" s="254">
        <f ca="1">IFERROR(__xludf.DUMMYFUNCTION("""COMPUTED_VALUE"""),0)</f>
        <v>0</v>
      </c>
    </row>
    <row r="850" spans="1:4" ht="13.2">
      <c r="A850" s="16"/>
      <c r="C850" s="16"/>
      <c r="D850" s="254">
        <f ca="1">IFERROR(__xludf.DUMMYFUNCTION("""COMPUTED_VALUE"""),0)</f>
        <v>0</v>
      </c>
    </row>
    <row r="851" spans="1:4" ht="13.2">
      <c r="A851" s="16"/>
      <c r="C851" s="16"/>
      <c r="D851" s="254">
        <f ca="1">IFERROR(__xludf.DUMMYFUNCTION("""COMPUTED_VALUE"""),0)</f>
        <v>0</v>
      </c>
    </row>
    <row r="852" spans="1:4" ht="13.2">
      <c r="A852" s="16"/>
      <c r="C852" s="16"/>
      <c r="D852" s="254">
        <f ca="1">IFERROR(__xludf.DUMMYFUNCTION("""COMPUTED_VALUE"""),0)</f>
        <v>0</v>
      </c>
    </row>
    <row r="853" spans="1:4" ht="13.2">
      <c r="A853" s="16"/>
      <c r="C853" s="16"/>
      <c r="D853" s="254">
        <f ca="1">IFERROR(__xludf.DUMMYFUNCTION("""COMPUTED_VALUE"""),0)</f>
        <v>0</v>
      </c>
    </row>
    <row r="854" spans="1:4" ht="13.2">
      <c r="A854" s="16"/>
      <c r="C854" s="16"/>
      <c r="D854" s="254">
        <f ca="1">IFERROR(__xludf.DUMMYFUNCTION("""COMPUTED_VALUE"""),0)</f>
        <v>0</v>
      </c>
    </row>
    <row r="855" spans="1:4" ht="13.2">
      <c r="A855" s="16"/>
      <c r="C855" s="16"/>
      <c r="D855" s="254">
        <f ca="1">IFERROR(__xludf.DUMMYFUNCTION("""COMPUTED_VALUE"""),0)</f>
        <v>0</v>
      </c>
    </row>
    <row r="856" spans="1:4" ht="13.2">
      <c r="A856" s="16"/>
      <c r="C856" s="16"/>
      <c r="D856" s="254">
        <f ca="1">IFERROR(__xludf.DUMMYFUNCTION("""COMPUTED_VALUE"""),0)</f>
        <v>0</v>
      </c>
    </row>
    <row r="857" spans="1:4" ht="13.2">
      <c r="A857" s="16"/>
      <c r="C857" s="16"/>
      <c r="D857" s="254">
        <f ca="1">IFERROR(__xludf.DUMMYFUNCTION("""COMPUTED_VALUE"""),0)</f>
        <v>0</v>
      </c>
    </row>
    <row r="858" spans="1:4" ht="13.2">
      <c r="A858" s="16"/>
      <c r="C858" s="16"/>
      <c r="D858" s="254">
        <f ca="1">IFERROR(__xludf.DUMMYFUNCTION("""COMPUTED_VALUE"""),0)</f>
        <v>0</v>
      </c>
    </row>
    <row r="859" spans="1:4" ht="13.2">
      <c r="A859" s="16"/>
      <c r="C859" s="16"/>
      <c r="D859" s="254">
        <f ca="1">IFERROR(__xludf.DUMMYFUNCTION("""COMPUTED_VALUE"""),0)</f>
        <v>0</v>
      </c>
    </row>
    <row r="860" spans="1:4" ht="13.2">
      <c r="A860" s="16"/>
      <c r="C860" s="16"/>
      <c r="D860" s="254">
        <f ca="1">IFERROR(__xludf.DUMMYFUNCTION("""COMPUTED_VALUE"""),0)</f>
        <v>0</v>
      </c>
    </row>
    <row r="861" spans="1:4" ht="13.2">
      <c r="A861" s="16"/>
      <c r="C861" s="16"/>
      <c r="D861" s="254">
        <f ca="1">IFERROR(__xludf.DUMMYFUNCTION("""COMPUTED_VALUE"""),0)</f>
        <v>0</v>
      </c>
    </row>
    <row r="862" spans="1:4" ht="13.2">
      <c r="A862" s="16"/>
      <c r="C862" s="16"/>
      <c r="D862" s="254">
        <f ca="1">IFERROR(__xludf.DUMMYFUNCTION("""COMPUTED_VALUE"""),0)</f>
        <v>0</v>
      </c>
    </row>
    <row r="863" spans="1:4" ht="13.2">
      <c r="A863" s="16"/>
      <c r="C863" s="16"/>
      <c r="D863" s="254">
        <f ca="1">IFERROR(__xludf.DUMMYFUNCTION("""COMPUTED_VALUE"""),0)</f>
        <v>0</v>
      </c>
    </row>
    <row r="864" spans="1:4" ht="13.2">
      <c r="A864" s="16"/>
      <c r="C864" s="16"/>
      <c r="D864" s="254">
        <f ca="1">IFERROR(__xludf.DUMMYFUNCTION("""COMPUTED_VALUE"""),0)</f>
        <v>0</v>
      </c>
    </row>
    <row r="865" spans="1:4" ht="13.2">
      <c r="A865" s="16"/>
      <c r="C865" s="16"/>
      <c r="D865" s="254">
        <f ca="1">IFERROR(__xludf.DUMMYFUNCTION("""COMPUTED_VALUE"""),0)</f>
        <v>0</v>
      </c>
    </row>
    <row r="866" spans="1:4" ht="13.2">
      <c r="A866" s="16"/>
      <c r="C866" s="16"/>
      <c r="D866" s="254">
        <f ca="1">IFERROR(__xludf.DUMMYFUNCTION("""COMPUTED_VALUE"""),0)</f>
        <v>0</v>
      </c>
    </row>
    <row r="867" spans="1:4" ht="13.2">
      <c r="A867" s="16"/>
      <c r="C867" s="16"/>
      <c r="D867" s="254">
        <f ca="1">IFERROR(__xludf.DUMMYFUNCTION("""COMPUTED_VALUE"""),0)</f>
        <v>0</v>
      </c>
    </row>
    <row r="868" spans="1:4" ht="13.2">
      <c r="A868" s="16"/>
      <c r="C868" s="16"/>
      <c r="D868" s="254">
        <f ca="1">IFERROR(__xludf.DUMMYFUNCTION("""COMPUTED_VALUE"""),0)</f>
        <v>0</v>
      </c>
    </row>
    <row r="869" spans="1:4" ht="13.2">
      <c r="A869" s="16"/>
      <c r="C869" s="16"/>
      <c r="D869" s="254">
        <f ca="1">IFERROR(__xludf.DUMMYFUNCTION("""COMPUTED_VALUE"""),0)</f>
        <v>0</v>
      </c>
    </row>
    <row r="870" spans="1:4" ht="13.2">
      <c r="A870" s="16"/>
      <c r="C870" s="16"/>
      <c r="D870" s="254">
        <f ca="1">IFERROR(__xludf.DUMMYFUNCTION("""COMPUTED_VALUE"""),0)</f>
        <v>0</v>
      </c>
    </row>
    <row r="871" spans="1:4" ht="13.2">
      <c r="A871" s="16"/>
      <c r="C871" s="16"/>
      <c r="D871" s="254">
        <f ca="1">IFERROR(__xludf.DUMMYFUNCTION("""COMPUTED_VALUE"""),0)</f>
        <v>0</v>
      </c>
    </row>
    <row r="872" spans="1:4" ht="13.2">
      <c r="A872" s="16"/>
      <c r="C872" s="16"/>
      <c r="D872" s="254">
        <f ca="1">IFERROR(__xludf.DUMMYFUNCTION("""COMPUTED_VALUE"""),0)</f>
        <v>0</v>
      </c>
    </row>
    <row r="873" spans="1:4" ht="13.2">
      <c r="A873" s="16"/>
      <c r="C873" s="16"/>
      <c r="D873" s="254">
        <f ca="1">IFERROR(__xludf.DUMMYFUNCTION("""COMPUTED_VALUE"""),0)</f>
        <v>0</v>
      </c>
    </row>
    <row r="874" spans="1:4" ht="13.2">
      <c r="A874" s="16"/>
      <c r="C874" s="16"/>
      <c r="D874" s="254">
        <f ca="1">IFERROR(__xludf.DUMMYFUNCTION("""COMPUTED_VALUE"""),0)</f>
        <v>0</v>
      </c>
    </row>
    <row r="875" spans="1:4" ht="13.2">
      <c r="A875" s="16"/>
      <c r="C875" s="16"/>
      <c r="D875" s="254">
        <f ca="1">IFERROR(__xludf.DUMMYFUNCTION("""COMPUTED_VALUE"""),0)</f>
        <v>0</v>
      </c>
    </row>
    <row r="876" spans="1:4" ht="13.2">
      <c r="A876" s="16"/>
      <c r="C876" s="16"/>
      <c r="D876" s="254">
        <f ca="1">IFERROR(__xludf.DUMMYFUNCTION("""COMPUTED_VALUE"""),0)</f>
        <v>0</v>
      </c>
    </row>
    <row r="877" spans="1:4" ht="13.2">
      <c r="A877" s="16"/>
      <c r="C877" s="16"/>
      <c r="D877" s="254">
        <f ca="1">IFERROR(__xludf.DUMMYFUNCTION("""COMPUTED_VALUE"""),0)</f>
        <v>0</v>
      </c>
    </row>
    <row r="878" spans="1:4" ht="13.2">
      <c r="A878" s="16"/>
      <c r="C878" s="16"/>
      <c r="D878" s="254">
        <f ca="1">IFERROR(__xludf.DUMMYFUNCTION("""COMPUTED_VALUE"""),0)</f>
        <v>0</v>
      </c>
    </row>
    <row r="879" spans="1:4" ht="13.2">
      <c r="A879" s="16"/>
      <c r="C879" s="16"/>
      <c r="D879" s="254">
        <f ca="1">IFERROR(__xludf.DUMMYFUNCTION("""COMPUTED_VALUE"""),0)</f>
        <v>0</v>
      </c>
    </row>
    <row r="880" spans="1:4" ht="13.2">
      <c r="A880" s="16"/>
      <c r="C880" s="16"/>
      <c r="D880" s="254">
        <f ca="1">IFERROR(__xludf.DUMMYFUNCTION("""COMPUTED_VALUE"""),0)</f>
        <v>0</v>
      </c>
    </row>
    <row r="881" spans="1:4" ht="13.2">
      <c r="A881" s="16"/>
      <c r="C881" s="16"/>
      <c r="D881" s="254">
        <f ca="1">IFERROR(__xludf.DUMMYFUNCTION("""COMPUTED_VALUE"""),0)</f>
        <v>0</v>
      </c>
    </row>
    <row r="882" spans="1:4" ht="13.2">
      <c r="A882" s="16"/>
      <c r="C882" s="16"/>
      <c r="D882" s="254">
        <f ca="1">IFERROR(__xludf.DUMMYFUNCTION("""COMPUTED_VALUE"""),0)</f>
        <v>0</v>
      </c>
    </row>
    <row r="883" spans="1:4" ht="13.2">
      <c r="A883" s="16"/>
      <c r="C883" s="16"/>
      <c r="D883" s="254">
        <f ca="1">IFERROR(__xludf.DUMMYFUNCTION("""COMPUTED_VALUE"""),0)</f>
        <v>0</v>
      </c>
    </row>
    <row r="884" spans="1:4" ht="13.2">
      <c r="A884" s="16"/>
      <c r="C884" s="16"/>
      <c r="D884" s="254">
        <f ca="1">IFERROR(__xludf.DUMMYFUNCTION("""COMPUTED_VALUE"""),0)</f>
        <v>0</v>
      </c>
    </row>
    <row r="885" spans="1:4" ht="13.2">
      <c r="A885" s="16"/>
      <c r="C885" s="16"/>
      <c r="D885" s="254">
        <f ca="1">IFERROR(__xludf.DUMMYFUNCTION("""COMPUTED_VALUE"""),0)</f>
        <v>0</v>
      </c>
    </row>
    <row r="886" spans="1:4" ht="13.2">
      <c r="A886" s="16"/>
      <c r="C886" s="16"/>
      <c r="D886" s="254">
        <f ca="1">IFERROR(__xludf.DUMMYFUNCTION("""COMPUTED_VALUE"""),0)</f>
        <v>0</v>
      </c>
    </row>
    <row r="887" spans="1:4" ht="13.2">
      <c r="A887" s="16"/>
      <c r="C887" s="16"/>
      <c r="D887" s="254">
        <f ca="1">IFERROR(__xludf.DUMMYFUNCTION("""COMPUTED_VALUE"""),0)</f>
        <v>0</v>
      </c>
    </row>
    <row r="888" spans="1:4" ht="13.2">
      <c r="A888" s="16"/>
      <c r="C888" s="16"/>
      <c r="D888" s="254">
        <f ca="1">IFERROR(__xludf.DUMMYFUNCTION("""COMPUTED_VALUE"""),0)</f>
        <v>0</v>
      </c>
    </row>
    <row r="889" spans="1:4" ht="13.2">
      <c r="A889" s="16"/>
      <c r="C889" s="16"/>
      <c r="D889" s="254">
        <f ca="1">IFERROR(__xludf.DUMMYFUNCTION("""COMPUTED_VALUE"""),0)</f>
        <v>0</v>
      </c>
    </row>
    <row r="890" spans="1:4" ht="13.2">
      <c r="A890" s="16"/>
      <c r="C890" s="16"/>
      <c r="D890" s="254">
        <f ca="1">IFERROR(__xludf.DUMMYFUNCTION("""COMPUTED_VALUE"""),0)</f>
        <v>0</v>
      </c>
    </row>
    <row r="891" spans="1:4" ht="13.2">
      <c r="A891" s="16"/>
      <c r="C891" s="16"/>
      <c r="D891" s="254">
        <f ca="1">IFERROR(__xludf.DUMMYFUNCTION("""COMPUTED_VALUE"""),0)</f>
        <v>0</v>
      </c>
    </row>
    <row r="892" spans="1:4" ht="13.2">
      <c r="A892" s="16"/>
      <c r="C892" s="16"/>
      <c r="D892" s="254">
        <f ca="1">IFERROR(__xludf.DUMMYFUNCTION("""COMPUTED_VALUE"""),0)</f>
        <v>0</v>
      </c>
    </row>
    <row r="893" spans="1:4" ht="13.2">
      <c r="A893" s="16"/>
      <c r="C893" s="16"/>
      <c r="D893" s="254">
        <f ca="1">IFERROR(__xludf.DUMMYFUNCTION("""COMPUTED_VALUE"""),0)</f>
        <v>0</v>
      </c>
    </row>
    <row r="894" spans="1:4" ht="13.2">
      <c r="A894" s="16"/>
      <c r="C894" s="16"/>
      <c r="D894" s="254">
        <f ca="1">IFERROR(__xludf.DUMMYFUNCTION("""COMPUTED_VALUE"""),0)</f>
        <v>0</v>
      </c>
    </row>
    <row r="895" spans="1:4" ht="13.2">
      <c r="A895" s="16"/>
      <c r="C895" s="16"/>
      <c r="D895" s="254">
        <f ca="1">IFERROR(__xludf.DUMMYFUNCTION("""COMPUTED_VALUE"""),0)</f>
        <v>0</v>
      </c>
    </row>
    <row r="896" spans="1:4" ht="13.2">
      <c r="A896" s="16"/>
      <c r="C896" s="16"/>
      <c r="D896" s="254">
        <f ca="1">IFERROR(__xludf.DUMMYFUNCTION("""COMPUTED_VALUE"""),0)</f>
        <v>0</v>
      </c>
    </row>
    <row r="897" spans="1:4" ht="13.2">
      <c r="A897" s="16"/>
      <c r="C897" s="16"/>
      <c r="D897" s="254">
        <f ca="1">IFERROR(__xludf.DUMMYFUNCTION("""COMPUTED_VALUE"""),0)</f>
        <v>0</v>
      </c>
    </row>
    <row r="898" spans="1:4" ht="13.2">
      <c r="A898" s="16"/>
      <c r="C898" s="16"/>
      <c r="D898" s="254">
        <f ca="1">IFERROR(__xludf.DUMMYFUNCTION("""COMPUTED_VALUE"""),0)</f>
        <v>0</v>
      </c>
    </row>
    <row r="899" spans="1:4" ht="13.2">
      <c r="A899" s="16"/>
      <c r="C899" s="16"/>
      <c r="D899" s="254">
        <f ca="1">IFERROR(__xludf.DUMMYFUNCTION("""COMPUTED_VALUE"""),0)</f>
        <v>0</v>
      </c>
    </row>
    <row r="900" spans="1:4" ht="13.2">
      <c r="A900" s="16"/>
      <c r="C900" s="16"/>
      <c r="D900" s="254">
        <f ca="1">IFERROR(__xludf.DUMMYFUNCTION("""COMPUTED_VALUE"""),0)</f>
        <v>0</v>
      </c>
    </row>
    <row r="901" spans="1:4" ht="13.2">
      <c r="A901" s="16"/>
      <c r="C901" s="16"/>
      <c r="D901" s="254">
        <f ca="1">IFERROR(__xludf.DUMMYFUNCTION("""COMPUTED_VALUE"""),0)</f>
        <v>0</v>
      </c>
    </row>
    <row r="902" spans="1:4" ht="13.2">
      <c r="A902" s="16"/>
      <c r="C902" s="16"/>
      <c r="D902" s="254">
        <f ca="1">IFERROR(__xludf.DUMMYFUNCTION("""COMPUTED_VALUE"""),0)</f>
        <v>0</v>
      </c>
    </row>
    <row r="903" spans="1:4" ht="13.2">
      <c r="A903" s="16"/>
      <c r="C903" s="16"/>
      <c r="D903" s="254">
        <f ca="1">IFERROR(__xludf.DUMMYFUNCTION("""COMPUTED_VALUE"""),0)</f>
        <v>0</v>
      </c>
    </row>
    <row r="904" spans="1:4" ht="13.2">
      <c r="A904" s="16"/>
      <c r="C904" s="16"/>
      <c r="D904" s="254">
        <f ca="1">IFERROR(__xludf.DUMMYFUNCTION("""COMPUTED_VALUE"""),0)</f>
        <v>0</v>
      </c>
    </row>
    <row r="905" spans="1:4" ht="13.2">
      <c r="A905" s="16"/>
      <c r="C905" s="16"/>
      <c r="D905" s="254">
        <f ca="1">IFERROR(__xludf.DUMMYFUNCTION("""COMPUTED_VALUE"""),0)</f>
        <v>0</v>
      </c>
    </row>
    <row r="906" spans="1:4" ht="13.2">
      <c r="A906" s="16"/>
      <c r="C906" s="16"/>
      <c r="D906" s="254">
        <f ca="1">IFERROR(__xludf.DUMMYFUNCTION("""COMPUTED_VALUE"""),0)</f>
        <v>0</v>
      </c>
    </row>
    <row r="907" spans="1:4" ht="13.2">
      <c r="A907" s="16"/>
      <c r="C907" s="16"/>
      <c r="D907" s="254">
        <f ca="1">IFERROR(__xludf.DUMMYFUNCTION("""COMPUTED_VALUE"""),0)</f>
        <v>0</v>
      </c>
    </row>
    <row r="908" spans="1:4" ht="13.2">
      <c r="A908" s="16"/>
      <c r="C908" s="16"/>
      <c r="D908" s="254">
        <f ca="1">IFERROR(__xludf.DUMMYFUNCTION("""COMPUTED_VALUE"""),0)</f>
        <v>0</v>
      </c>
    </row>
    <row r="909" spans="1:4" ht="13.2">
      <c r="A909" s="16"/>
      <c r="C909" s="16"/>
      <c r="D909" s="254">
        <f ca="1">IFERROR(__xludf.DUMMYFUNCTION("""COMPUTED_VALUE"""),0)</f>
        <v>0</v>
      </c>
    </row>
    <row r="910" spans="1:4" ht="13.2">
      <c r="A910" s="16"/>
      <c r="C910" s="16"/>
      <c r="D910" s="254">
        <f ca="1">IFERROR(__xludf.DUMMYFUNCTION("""COMPUTED_VALUE"""),0)</f>
        <v>0</v>
      </c>
    </row>
    <row r="911" spans="1:4" ht="13.2">
      <c r="A911" s="16"/>
      <c r="C911" s="16"/>
      <c r="D911" s="254">
        <f ca="1">IFERROR(__xludf.DUMMYFUNCTION("""COMPUTED_VALUE"""),0)</f>
        <v>0</v>
      </c>
    </row>
    <row r="912" spans="1:4" ht="13.2">
      <c r="A912" s="16"/>
      <c r="C912" s="16"/>
      <c r="D912" s="254">
        <f ca="1">IFERROR(__xludf.DUMMYFUNCTION("""COMPUTED_VALUE"""),0)</f>
        <v>0</v>
      </c>
    </row>
    <row r="913" spans="1:4" ht="13.2">
      <c r="A913" s="16"/>
      <c r="C913" s="16"/>
      <c r="D913" s="254">
        <f ca="1">IFERROR(__xludf.DUMMYFUNCTION("""COMPUTED_VALUE"""),0)</f>
        <v>0</v>
      </c>
    </row>
    <row r="914" spans="1:4" ht="13.2">
      <c r="A914" s="16"/>
      <c r="C914" s="16"/>
      <c r="D914" s="254">
        <f ca="1">IFERROR(__xludf.DUMMYFUNCTION("""COMPUTED_VALUE"""),0)</f>
        <v>0</v>
      </c>
    </row>
    <row r="915" spans="1:4" ht="13.2">
      <c r="A915" s="16"/>
      <c r="C915" s="16"/>
      <c r="D915" s="254">
        <f ca="1">IFERROR(__xludf.DUMMYFUNCTION("""COMPUTED_VALUE"""),0)</f>
        <v>0</v>
      </c>
    </row>
    <row r="916" spans="1:4" ht="13.2">
      <c r="A916" s="16"/>
      <c r="C916" s="16"/>
      <c r="D916" s="254">
        <f ca="1">IFERROR(__xludf.DUMMYFUNCTION("""COMPUTED_VALUE"""),0)</f>
        <v>0</v>
      </c>
    </row>
    <row r="917" spans="1:4" ht="13.2">
      <c r="A917" s="16"/>
      <c r="C917" s="16"/>
      <c r="D917" s="254">
        <f ca="1">IFERROR(__xludf.DUMMYFUNCTION("""COMPUTED_VALUE"""),0)</f>
        <v>0</v>
      </c>
    </row>
    <row r="918" spans="1:4" ht="13.2">
      <c r="A918" s="16"/>
      <c r="C918" s="16"/>
      <c r="D918" s="254">
        <f ca="1">IFERROR(__xludf.DUMMYFUNCTION("""COMPUTED_VALUE"""),0)</f>
        <v>0</v>
      </c>
    </row>
    <row r="919" spans="1:4" ht="13.2">
      <c r="A919" s="16"/>
      <c r="C919" s="16"/>
      <c r="D919" s="254">
        <f ca="1">IFERROR(__xludf.DUMMYFUNCTION("""COMPUTED_VALUE"""),0)</f>
        <v>0</v>
      </c>
    </row>
    <row r="920" spans="1:4" ht="13.2">
      <c r="A920" s="16"/>
      <c r="C920" s="16"/>
      <c r="D920" s="254">
        <f ca="1">IFERROR(__xludf.DUMMYFUNCTION("""COMPUTED_VALUE"""),0)</f>
        <v>0</v>
      </c>
    </row>
    <row r="921" spans="1:4" ht="13.2">
      <c r="A921" s="16"/>
      <c r="C921" s="16"/>
      <c r="D921" s="254">
        <f ca="1">IFERROR(__xludf.DUMMYFUNCTION("""COMPUTED_VALUE"""),0)</f>
        <v>0</v>
      </c>
    </row>
    <row r="922" spans="1:4" ht="13.2">
      <c r="A922" s="16"/>
      <c r="C922" s="16"/>
      <c r="D922" s="254">
        <f ca="1">IFERROR(__xludf.DUMMYFUNCTION("""COMPUTED_VALUE"""),0)</f>
        <v>0</v>
      </c>
    </row>
    <row r="923" spans="1:4" ht="13.2">
      <c r="A923" s="16"/>
      <c r="C923" s="16"/>
      <c r="D923" s="254">
        <f ca="1">IFERROR(__xludf.DUMMYFUNCTION("""COMPUTED_VALUE"""),0)</f>
        <v>0</v>
      </c>
    </row>
    <row r="924" spans="1:4" ht="13.2">
      <c r="A924" s="16"/>
      <c r="C924" s="16"/>
      <c r="D924" s="254">
        <f ca="1">IFERROR(__xludf.DUMMYFUNCTION("""COMPUTED_VALUE"""),0)</f>
        <v>0</v>
      </c>
    </row>
    <row r="925" spans="1:4" ht="13.2">
      <c r="A925" s="16"/>
      <c r="C925" s="16"/>
      <c r="D925" s="254">
        <f ca="1">IFERROR(__xludf.DUMMYFUNCTION("""COMPUTED_VALUE"""),0)</f>
        <v>0</v>
      </c>
    </row>
    <row r="926" spans="1:4" ht="13.2">
      <c r="A926" s="16"/>
      <c r="C926" s="16"/>
      <c r="D926" s="254">
        <f ca="1">IFERROR(__xludf.DUMMYFUNCTION("""COMPUTED_VALUE"""),0)</f>
        <v>0</v>
      </c>
    </row>
    <row r="927" spans="1:4" ht="13.2">
      <c r="A927" s="16"/>
      <c r="C927" s="16"/>
      <c r="D927" s="254">
        <f ca="1">IFERROR(__xludf.DUMMYFUNCTION("""COMPUTED_VALUE"""),0)</f>
        <v>0</v>
      </c>
    </row>
    <row r="928" spans="1:4" ht="13.2">
      <c r="A928" s="16"/>
      <c r="C928" s="16"/>
      <c r="D928" s="254">
        <f ca="1">IFERROR(__xludf.DUMMYFUNCTION("""COMPUTED_VALUE"""),0)</f>
        <v>0</v>
      </c>
    </row>
    <row r="929" spans="1:4" ht="13.2">
      <c r="A929" s="16"/>
      <c r="C929" s="16"/>
      <c r="D929" s="254">
        <f ca="1">IFERROR(__xludf.DUMMYFUNCTION("""COMPUTED_VALUE"""),0)</f>
        <v>0</v>
      </c>
    </row>
    <row r="930" spans="1:4" ht="13.2">
      <c r="A930" s="16"/>
      <c r="C930" s="16"/>
      <c r="D930" s="254">
        <f ca="1">IFERROR(__xludf.DUMMYFUNCTION("""COMPUTED_VALUE"""),0)</f>
        <v>0</v>
      </c>
    </row>
    <row r="931" spans="1:4" ht="13.2">
      <c r="A931" s="16"/>
      <c r="C931" s="16"/>
      <c r="D931" s="254">
        <f ca="1">IFERROR(__xludf.DUMMYFUNCTION("""COMPUTED_VALUE"""),0)</f>
        <v>0</v>
      </c>
    </row>
    <row r="932" spans="1:4" ht="13.2">
      <c r="A932" s="16"/>
      <c r="C932" s="16"/>
      <c r="D932" s="254">
        <f ca="1">IFERROR(__xludf.DUMMYFUNCTION("""COMPUTED_VALUE"""),0)</f>
        <v>0</v>
      </c>
    </row>
    <row r="933" spans="1:4" ht="13.2">
      <c r="A933" s="16"/>
      <c r="C933" s="16"/>
      <c r="D933" s="254">
        <f ca="1">IFERROR(__xludf.DUMMYFUNCTION("""COMPUTED_VALUE"""),0)</f>
        <v>0</v>
      </c>
    </row>
    <row r="934" spans="1:4" ht="13.2">
      <c r="A934" s="16"/>
      <c r="C934" s="16"/>
      <c r="D934" s="254">
        <f ca="1">IFERROR(__xludf.DUMMYFUNCTION("""COMPUTED_VALUE"""),0)</f>
        <v>0</v>
      </c>
    </row>
    <row r="935" spans="1:4" ht="13.2">
      <c r="A935" s="16"/>
      <c r="C935" s="16"/>
      <c r="D935" s="254">
        <f ca="1">IFERROR(__xludf.DUMMYFUNCTION("""COMPUTED_VALUE"""),0)</f>
        <v>0</v>
      </c>
    </row>
    <row r="936" spans="1:4" ht="13.2">
      <c r="A936" s="16"/>
      <c r="C936" s="16"/>
      <c r="D936" s="254">
        <f ca="1">IFERROR(__xludf.DUMMYFUNCTION("""COMPUTED_VALUE"""),0)</f>
        <v>0</v>
      </c>
    </row>
    <row r="937" spans="1:4" ht="13.2">
      <c r="A937" s="16"/>
      <c r="C937" s="16"/>
      <c r="D937" s="254">
        <f ca="1">IFERROR(__xludf.DUMMYFUNCTION("""COMPUTED_VALUE"""),0)</f>
        <v>0</v>
      </c>
    </row>
    <row r="938" spans="1:4" ht="13.2">
      <c r="A938" s="16"/>
      <c r="C938" s="16"/>
      <c r="D938" s="254">
        <f ca="1">IFERROR(__xludf.DUMMYFUNCTION("""COMPUTED_VALUE"""),0)</f>
        <v>0</v>
      </c>
    </row>
    <row r="939" spans="1:4" ht="13.2">
      <c r="A939" s="16"/>
      <c r="C939" s="16"/>
      <c r="D939" s="254">
        <f ca="1">IFERROR(__xludf.DUMMYFUNCTION("""COMPUTED_VALUE"""),0)</f>
        <v>0</v>
      </c>
    </row>
    <row r="940" spans="1:4" ht="13.2">
      <c r="A940" s="16"/>
      <c r="C940" s="16"/>
      <c r="D940" s="254">
        <f ca="1">IFERROR(__xludf.DUMMYFUNCTION("""COMPUTED_VALUE"""),0)</f>
        <v>0</v>
      </c>
    </row>
    <row r="941" spans="1:4" ht="13.2">
      <c r="A941" s="16"/>
      <c r="C941" s="16"/>
      <c r="D941" s="254">
        <f ca="1">IFERROR(__xludf.DUMMYFUNCTION("""COMPUTED_VALUE"""),0)</f>
        <v>0</v>
      </c>
    </row>
    <row r="942" spans="1:4" ht="13.2">
      <c r="A942" s="16"/>
      <c r="C942" s="16"/>
      <c r="D942" s="254">
        <f ca="1">IFERROR(__xludf.DUMMYFUNCTION("""COMPUTED_VALUE"""),0)</f>
        <v>0</v>
      </c>
    </row>
    <row r="943" spans="1:4" ht="13.2">
      <c r="A943" s="16"/>
      <c r="C943" s="16"/>
      <c r="D943" s="254">
        <f ca="1">IFERROR(__xludf.DUMMYFUNCTION("""COMPUTED_VALUE"""),0)</f>
        <v>0</v>
      </c>
    </row>
    <row r="944" spans="1:4" ht="13.2">
      <c r="A944" s="16"/>
      <c r="C944" s="16"/>
      <c r="D944" s="254">
        <f ca="1">IFERROR(__xludf.DUMMYFUNCTION("""COMPUTED_VALUE"""),0)</f>
        <v>0</v>
      </c>
    </row>
    <row r="945" spans="1:4" ht="13.2">
      <c r="A945" s="16"/>
      <c r="C945" s="16"/>
      <c r="D945" s="254">
        <f ca="1">IFERROR(__xludf.DUMMYFUNCTION("""COMPUTED_VALUE"""),0)</f>
        <v>0</v>
      </c>
    </row>
    <row r="946" spans="1:4" ht="13.2">
      <c r="A946" s="16"/>
      <c r="C946" s="16"/>
      <c r="D946" s="254">
        <f ca="1">IFERROR(__xludf.DUMMYFUNCTION("""COMPUTED_VALUE"""),0)</f>
        <v>0</v>
      </c>
    </row>
    <row r="947" spans="1:4" ht="13.2">
      <c r="A947" s="16"/>
      <c r="C947" s="16"/>
      <c r="D947" s="254">
        <f ca="1">IFERROR(__xludf.DUMMYFUNCTION("""COMPUTED_VALUE"""),0)</f>
        <v>0</v>
      </c>
    </row>
    <row r="948" spans="1:4" ht="13.2">
      <c r="A948" s="16"/>
      <c r="C948" s="16"/>
      <c r="D948" s="254">
        <f ca="1">IFERROR(__xludf.DUMMYFUNCTION("""COMPUTED_VALUE"""),0)</f>
        <v>0</v>
      </c>
    </row>
    <row r="949" spans="1:4" ht="13.2">
      <c r="A949" s="16"/>
      <c r="C949" s="16"/>
      <c r="D949" s="254">
        <f ca="1">IFERROR(__xludf.DUMMYFUNCTION("""COMPUTED_VALUE"""),0)</f>
        <v>0</v>
      </c>
    </row>
    <row r="950" spans="1:4" ht="13.2">
      <c r="A950" s="16"/>
      <c r="C950" s="16"/>
      <c r="D950" s="254">
        <f ca="1">IFERROR(__xludf.DUMMYFUNCTION("""COMPUTED_VALUE"""),0)</f>
        <v>0</v>
      </c>
    </row>
    <row r="951" spans="1:4" ht="13.2">
      <c r="A951" s="16"/>
      <c r="C951" s="16"/>
      <c r="D951" s="254">
        <f ca="1">IFERROR(__xludf.DUMMYFUNCTION("""COMPUTED_VALUE"""),0)</f>
        <v>0</v>
      </c>
    </row>
    <row r="952" spans="1:4" ht="13.2">
      <c r="A952" s="16"/>
      <c r="C952" s="16"/>
      <c r="D952" s="254">
        <f ca="1">IFERROR(__xludf.DUMMYFUNCTION("""COMPUTED_VALUE"""),0)</f>
        <v>0</v>
      </c>
    </row>
    <row r="953" spans="1:4" ht="13.2">
      <c r="A953" s="16"/>
      <c r="C953" s="16"/>
      <c r="D953" s="254">
        <f ca="1">IFERROR(__xludf.DUMMYFUNCTION("""COMPUTED_VALUE"""),0)</f>
        <v>0</v>
      </c>
    </row>
    <row r="954" spans="1:4" ht="13.2">
      <c r="A954" s="16"/>
      <c r="C954" s="16"/>
      <c r="D954" s="254">
        <f ca="1">IFERROR(__xludf.DUMMYFUNCTION("""COMPUTED_VALUE"""),0)</f>
        <v>0</v>
      </c>
    </row>
    <row r="955" spans="1:4" ht="13.2">
      <c r="A955" s="16"/>
      <c r="C955" s="16"/>
      <c r="D955" s="254">
        <f ca="1">IFERROR(__xludf.DUMMYFUNCTION("""COMPUTED_VALUE"""),0)</f>
        <v>0</v>
      </c>
    </row>
    <row r="956" spans="1:4" ht="13.2">
      <c r="A956" s="16"/>
      <c r="C956" s="16"/>
      <c r="D956" s="254">
        <f ca="1">IFERROR(__xludf.DUMMYFUNCTION("""COMPUTED_VALUE"""),0)</f>
        <v>0</v>
      </c>
    </row>
    <row r="957" spans="1:4" ht="13.2">
      <c r="A957" s="16"/>
      <c r="C957" s="16"/>
      <c r="D957" s="254">
        <f ca="1">IFERROR(__xludf.DUMMYFUNCTION("""COMPUTED_VALUE"""),0)</f>
        <v>0</v>
      </c>
    </row>
    <row r="958" spans="1:4" ht="13.2">
      <c r="A958" s="16"/>
      <c r="C958" s="16"/>
      <c r="D958" s="254">
        <f ca="1">IFERROR(__xludf.DUMMYFUNCTION("""COMPUTED_VALUE"""),0)</f>
        <v>0</v>
      </c>
    </row>
    <row r="959" spans="1:4" ht="13.2">
      <c r="A959" s="16"/>
      <c r="C959" s="16"/>
      <c r="D959" s="254">
        <f ca="1">IFERROR(__xludf.DUMMYFUNCTION("""COMPUTED_VALUE"""),0)</f>
        <v>0</v>
      </c>
    </row>
    <row r="960" spans="1:4" ht="13.2">
      <c r="A960" s="16"/>
      <c r="C960" s="16"/>
      <c r="D960" s="254">
        <f ca="1">IFERROR(__xludf.DUMMYFUNCTION("""COMPUTED_VALUE"""),0)</f>
        <v>0</v>
      </c>
    </row>
    <row r="961" spans="1:4" ht="13.2">
      <c r="A961" s="16"/>
      <c r="C961" s="16"/>
      <c r="D961" s="254">
        <f ca="1">IFERROR(__xludf.DUMMYFUNCTION("""COMPUTED_VALUE"""),0)</f>
        <v>0</v>
      </c>
    </row>
    <row r="962" spans="1:4" ht="13.2">
      <c r="A962" s="16"/>
      <c r="C962" s="16"/>
      <c r="D962" s="254">
        <f ca="1">IFERROR(__xludf.DUMMYFUNCTION("""COMPUTED_VALUE"""),0)</f>
        <v>0</v>
      </c>
    </row>
    <row r="963" spans="1:4" ht="13.2">
      <c r="A963" s="16"/>
      <c r="C963" s="16"/>
      <c r="D963" s="254">
        <f ca="1">IFERROR(__xludf.DUMMYFUNCTION("""COMPUTED_VALUE"""),0)</f>
        <v>0</v>
      </c>
    </row>
    <row r="964" spans="1:4" ht="13.2">
      <c r="A964" s="16"/>
      <c r="C964" s="16"/>
      <c r="D964" s="254">
        <f ca="1">IFERROR(__xludf.DUMMYFUNCTION("""COMPUTED_VALUE"""),0)</f>
        <v>0</v>
      </c>
    </row>
    <row r="965" spans="1:4" ht="13.2">
      <c r="A965" s="16"/>
      <c r="C965" s="16"/>
      <c r="D965" s="254">
        <f ca="1">IFERROR(__xludf.DUMMYFUNCTION("""COMPUTED_VALUE"""),0)</f>
        <v>0</v>
      </c>
    </row>
    <row r="966" spans="1:4" ht="13.2">
      <c r="A966" s="16"/>
      <c r="C966" s="16"/>
      <c r="D966" s="254">
        <f ca="1">IFERROR(__xludf.DUMMYFUNCTION("""COMPUTED_VALUE"""),0)</f>
        <v>0</v>
      </c>
    </row>
    <row r="967" spans="1:4" ht="13.2">
      <c r="A967" s="16"/>
      <c r="C967" s="16"/>
      <c r="D967" s="254">
        <f ca="1">IFERROR(__xludf.DUMMYFUNCTION("""COMPUTED_VALUE"""),0)</f>
        <v>0</v>
      </c>
    </row>
    <row r="968" spans="1:4" ht="13.2">
      <c r="A968" s="16"/>
      <c r="C968" s="16"/>
      <c r="D968" s="254">
        <f ca="1">IFERROR(__xludf.DUMMYFUNCTION("""COMPUTED_VALUE"""),0)</f>
        <v>0</v>
      </c>
    </row>
    <row r="969" spans="1:4" ht="13.2">
      <c r="A969" s="16"/>
      <c r="C969" s="16"/>
      <c r="D969" s="254">
        <f ca="1">IFERROR(__xludf.DUMMYFUNCTION("""COMPUTED_VALUE"""),0)</f>
        <v>0</v>
      </c>
    </row>
    <row r="970" spans="1:4" ht="13.2">
      <c r="A970" s="16"/>
      <c r="C970" s="16"/>
      <c r="D970" s="254">
        <f ca="1">IFERROR(__xludf.DUMMYFUNCTION("""COMPUTED_VALUE"""),0)</f>
        <v>0</v>
      </c>
    </row>
    <row r="971" spans="1:4" ht="13.2">
      <c r="A971" s="16"/>
      <c r="C971" s="16"/>
      <c r="D971" s="254">
        <f ca="1">IFERROR(__xludf.DUMMYFUNCTION("""COMPUTED_VALUE"""),0)</f>
        <v>0</v>
      </c>
    </row>
    <row r="972" spans="1:4" ht="13.2">
      <c r="A972" s="16"/>
      <c r="C972" s="16"/>
      <c r="D972" s="254">
        <f ca="1">IFERROR(__xludf.DUMMYFUNCTION("""COMPUTED_VALUE"""),0)</f>
        <v>0</v>
      </c>
    </row>
    <row r="973" spans="1:4" ht="13.2">
      <c r="A973" s="16"/>
      <c r="C973" s="16"/>
      <c r="D973" s="254">
        <f ca="1">IFERROR(__xludf.DUMMYFUNCTION("""COMPUTED_VALUE"""),0)</f>
        <v>0</v>
      </c>
    </row>
    <row r="974" spans="1:4" ht="13.2">
      <c r="A974" s="16"/>
      <c r="C974" s="16"/>
      <c r="D974" s="254">
        <f ca="1">IFERROR(__xludf.DUMMYFUNCTION("""COMPUTED_VALUE"""),0)</f>
        <v>0</v>
      </c>
    </row>
    <row r="975" spans="1:4" ht="13.2">
      <c r="A975" s="16"/>
      <c r="C975" s="16"/>
      <c r="D975" s="254">
        <f ca="1">IFERROR(__xludf.DUMMYFUNCTION("""COMPUTED_VALUE"""),0)</f>
        <v>0</v>
      </c>
    </row>
    <row r="976" spans="1:4" ht="13.2">
      <c r="A976" s="16"/>
      <c r="C976" s="16"/>
      <c r="D976" s="254">
        <f ca="1">IFERROR(__xludf.DUMMYFUNCTION("""COMPUTED_VALUE"""),0)</f>
        <v>0</v>
      </c>
    </row>
    <row r="977" spans="1:4" ht="13.2">
      <c r="A977" s="16"/>
      <c r="C977" s="16"/>
      <c r="D977" s="254">
        <f ca="1">IFERROR(__xludf.DUMMYFUNCTION("""COMPUTED_VALUE"""),0)</f>
        <v>0</v>
      </c>
    </row>
    <row r="978" spans="1:4" ht="13.2">
      <c r="A978" s="16"/>
      <c r="C978" s="16"/>
      <c r="D978" s="254">
        <f ca="1">IFERROR(__xludf.DUMMYFUNCTION("""COMPUTED_VALUE"""),0)</f>
        <v>0</v>
      </c>
    </row>
    <row r="979" spans="1:4" ht="13.2">
      <c r="A979" s="16"/>
      <c r="C979" s="16"/>
      <c r="D979" s="254">
        <f ca="1">IFERROR(__xludf.DUMMYFUNCTION("""COMPUTED_VALUE"""),0)</f>
        <v>0</v>
      </c>
    </row>
    <row r="980" spans="1:4" ht="13.2">
      <c r="A980" s="16"/>
      <c r="C980" s="16"/>
      <c r="D980" s="254">
        <f ca="1">IFERROR(__xludf.DUMMYFUNCTION("""COMPUTED_VALUE"""),0)</f>
        <v>0</v>
      </c>
    </row>
    <row r="981" spans="1:4" ht="13.2">
      <c r="A981" s="16"/>
      <c r="C981" s="16"/>
      <c r="D981" s="254">
        <f ca="1">IFERROR(__xludf.DUMMYFUNCTION("""COMPUTED_VALUE"""),0)</f>
        <v>0</v>
      </c>
    </row>
    <row r="982" spans="1:4" ht="13.2">
      <c r="A982" s="16"/>
      <c r="C982" s="16"/>
      <c r="D982" s="254">
        <f ca="1">IFERROR(__xludf.DUMMYFUNCTION("""COMPUTED_VALUE"""),0)</f>
        <v>0</v>
      </c>
    </row>
    <row r="983" spans="1:4" ht="13.2">
      <c r="A983" s="16"/>
      <c r="C983" s="16"/>
      <c r="D983" s="254">
        <f ca="1">IFERROR(__xludf.DUMMYFUNCTION("""COMPUTED_VALUE"""),0)</f>
        <v>0</v>
      </c>
    </row>
    <row r="984" spans="1:4" ht="13.2">
      <c r="A984" s="16"/>
      <c r="C984" s="16"/>
      <c r="D984" s="254">
        <f ca="1">IFERROR(__xludf.DUMMYFUNCTION("""COMPUTED_VALUE"""),0)</f>
        <v>0</v>
      </c>
    </row>
    <row r="985" spans="1:4" ht="13.2">
      <c r="A985" s="16"/>
      <c r="C985" s="16"/>
      <c r="D985" s="254">
        <f ca="1">IFERROR(__xludf.DUMMYFUNCTION("""COMPUTED_VALUE"""),0)</f>
        <v>0</v>
      </c>
    </row>
    <row r="986" spans="1:4" ht="13.2">
      <c r="A986" s="16"/>
      <c r="C986" s="16"/>
      <c r="D986" s="254">
        <f ca="1">IFERROR(__xludf.DUMMYFUNCTION("""COMPUTED_VALUE"""),0)</f>
        <v>0</v>
      </c>
    </row>
    <row r="987" spans="1:4" ht="13.2">
      <c r="A987" s="16"/>
      <c r="C987" s="16"/>
      <c r="D987" s="254">
        <f ca="1">IFERROR(__xludf.DUMMYFUNCTION("""COMPUTED_VALUE"""),0)</f>
        <v>0</v>
      </c>
    </row>
    <row r="988" spans="1:4" ht="13.2">
      <c r="A988" s="16"/>
      <c r="C988" s="16"/>
      <c r="D988" s="254">
        <f ca="1">IFERROR(__xludf.DUMMYFUNCTION("""COMPUTED_VALUE"""),0)</f>
        <v>0</v>
      </c>
    </row>
    <row r="989" spans="1:4" ht="13.2">
      <c r="A989" s="16"/>
      <c r="C989" s="16"/>
      <c r="D989" s="254">
        <f ca="1">IFERROR(__xludf.DUMMYFUNCTION("""COMPUTED_VALUE"""),0)</f>
        <v>0</v>
      </c>
    </row>
    <row r="990" spans="1:4" ht="13.2">
      <c r="A990" s="16"/>
      <c r="C990" s="16"/>
      <c r="D990" s="254">
        <f ca="1">IFERROR(__xludf.DUMMYFUNCTION("""COMPUTED_VALUE"""),0)</f>
        <v>0</v>
      </c>
    </row>
    <row r="991" spans="1:4" ht="13.2">
      <c r="A991" s="16"/>
      <c r="C991" s="16"/>
      <c r="D991" s="254">
        <f ca="1">IFERROR(__xludf.DUMMYFUNCTION("""COMPUTED_VALUE"""),0)</f>
        <v>0</v>
      </c>
    </row>
    <row r="992" spans="1:4" ht="13.2">
      <c r="A992" s="16"/>
      <c r="C992" s="16"/>
      <c r="D992" s="254">
        <f ca="1">IFERROR(__xludf.DUMMYFUNCTION("""COMPUTED_VALUE"""),0)</f>
        <v>0</v>
      </c>
    </row>
    <row r="993" spans="1:4" ht="13.2">
      <c r="A993" s="16"/>
      <c r="C993" s="16"/>
      <c r="D993" s="254">
        <f ca="1">IFERROR(__xludf.DUMMYFUNCTION("""COMPUTED_VALUE"""),0)</f>
        <v>0</v>
      </c>
    </row>
    <row r="994" spans="1:4" ht="13.2">
      <c r="A994" s="16"/>
      <c r="C994" s="16"/>
      <c r="D994" s="254">
        <f ca="1">IFERROR(__xludf.DUMMYFUNCTION("""COMPUTED_VALUE"""),0)</f>
        <v>0</v>
      </c>
    </row>
    <row r="995" spans="1:4" ht="13.2">
      <c r="A995" s="16"/>
      <c r="C995" s="16"/>
      <c r="D995" s="254">
        <f ca="1">IFERROR(__xludf.DUMMYFUNCTION("""COMPUTED_VALUE"""),0)</f>
        <v>0</v>
      </c>
    </row>
    <row r="996" spans="1:4" ht="13.2">
      <c r="A996" s="16"/>
      <c r="C996" s="16"/>
      <c r="D996" s="254">
        <f ca="1">IFERROR(__xludf.DUMMYFUNCTION("""COMPUTED_VALUE"""),0)</f>
        <v>0</v>
      </c>
    </row>
    <row r="997" spans="1:4" ht="13.2">
      <c r="A997" s="16"/>
      <c r="C997" s="16"/>
      <c r="D997" s="254">
        <f ca="1">IFERROR(__xludf.DUMMYFUNCTION("""COMPUTED_VALUE"""),0)</f>
        <v>0</v>
      </c>
    </row>
    <row r="998" spans="1:4" ht="13.2">
      <c r="A998" s="16"/>
      <c r="C998" s="16"/>
      <c r="D998" s="254">
        <f ca="1">IFERROR(__xludf.DUMMYFUNCTION("""COMPUTED_VALUE"""),0)</f>
        <v>0</v>
      </c>
    </row>
    <row r="999" spans="1:4" ht="13.2">
      <c r="A999" s="16"/>
      <c r="C999" s="16"/>
      <c r="D999" s="254">
        <f ca="1">IFERROR(__xludf.DUMMYFUNCTION("""COMPUTED_VALUE"""),0)</f>
        <v>0</v>
      </c>
    </row>
    <row r="1000" spans="1:4" ht="13.2">
      <c r="A1000" s="16"/>
      <c r="C1000" s="16"/>
      <c r="D1000" s="254">
        <f ca="1">IFERROR(__xludf.DUMMYFUNCTION("""COMPUTED_VALUE"""),0)</f>
        <v>0</v>
      </c>
    </row>
    <row r="1001" spans="1:4" ht="13.2">
      <c r="A1001" s="16"/>
      <c r="C1001" s="16"/>
      <c r="D1001" s="254">
        <f ca="1">IFERROR(__xludf.DUMMYFUNCTION("""COMPUTED_VALUE"""),0)</f>
        <v>0</v>
      </c>
    </row>
    <row r="1002" spans="1:4" ht="13.2">
      <c r="A1002" s="16"/>
      <c r="C1002" s="16"/>
      <c r="D1002" s="254">
        <f ca="1">IFERROR(__xludf.DUMMYFUNCTION("""COMPUTED_VALUE"""),0)</f>
        <v>0</v>
      </c>
    </row>
    <row r="1003" spans="1:4" ht="13.2">
      <c r="A1003" s="16"/>
      <c r="C1003" s="16"/>
      <c r="D1003" s="254">
        <f ca="1">IFERROR(__xludf.DUMMYFUNCTION("""COMPUTED_VALUE"""),0)</f>
        <v>0</v>
      </c>
    </row>
    <row r="1004" spans="1:4" ht="13.2">
      <c r="A1004" s="16"/>
      <c r="C1004" s="16"/>
      <c r="D1004" s="254">
        <f ca="1">IFERROR(__xludf.DUMMYFUNCTION("""COMPUTED_VALUE"""),0)</f>
        <v>0</v>
      </c>
    </row>
    <row r="1005" spans="1:4" ht="13.2">
      <c r="A1005" s="16"/>
      <c r="C1005" s="16"/>
      <c r="D1005" s="254">
        <f ca="1">IFERROR(__xludf.DUMMYFUNCTION("""COMPUTED_VALUE"""),0)</f>
        <v>0</v>
      </c>
    </row>
    <row r="1006" spans="1:4" ht="13.2">
      <c r="A1006" s="16"/>
      <c r="C1006" s="16"/>
      <c r="D1006" s="254">
        <f ca="1">IFERROR(__xludf.DUMMYFUNCTION("""COMPUTED_VALUE"""),0)</f>
        <v>0</v>
      </c>
    </row>
    <row r="1007" spans="1:4" ht="13.2">
      <c r="A1007" s="16"/>
      <c r="C1007" s="16"/>
      <c r="D1007" s="254">
        <f ca="1">IFERROR(__xludf.DUMMYFUNCTION("""COMPUTED_VALUE"""),0)</f>
        <v>0</v>
      </c>
    </row>
    <row r="1008" spans="1:4" ht="13.2">
      <c r="A1008" s="16"/>
      <c r="C1008" s="16"/>
      <c r="D1008" s="254">
        <f ca="1">IFERROR(__xludf.DUMMYFUNCTION("""COMPUTED_VALUE"""),0)</f>
        <v>0</v>
      </c>
    </row>
    <row r="1009" spans="1:4" ht="13.2">
      <c r="A1009" s="16"/>
      <c r="C1009" s="16"/>
      <c r="D1009" s="254">
        <f ca="1">IFERROR(__xludf.DUMMYFUNCTION("""COMPUTED_VALUE"""),0)</f>
        <v>0</v>
      </c>
    </row>
    <row r="1010" spans="1:4" ht="13.2">
      <c r="A1010" s="16"/>
      <c r="C1010" s="16"/>
      <c r="D1010" s="254">
        <f ca="1">IFERROR(__xludf.DUMMYFUNCTION("""COMPUTED_VALUE"""),0)</f>
        <v>0</v>
      </c>
    </row>
    <row r="1011" spans="1:4" ht="13.2">
      <c r="A1011" s="16"/>
      <c r="C1011" s="16"/>
      <c r="D1011" s="254">
        <f ca="1">IFERROR(__xludf.DUMMYFUNCTION("""COMPUTED_VALUE"""),0)</f>
        <v>0</v>
      </c>
    </row>
    <row r="1012" spans="1:4" ht="13.2">
      <c r="A1012" s="16"/>
      <c r="C1012" s="16"/>
      <c r="D1012" s="254">
        <f ca="1">IFERROR(__xludf.DUMMYFUNCTION("""COMPUTED_VALUE"""),0)</f>
        <v>0</v>
      </c>
    </row>
    <row r="1013" spans="1:4" ht="13.2">
      <c r="A1013" s="16"/>
      <c r="C1013" s="16"/>
      <c r="D1013" s="254">
        <f ca="1">IFERROR(__xludf.DUMMYFUNCTION("""COMPUTED_VALUE"""),0)</f>
        <v>0</v>
      </c>
    </row>
    <row r="1014" spans="1:4" ht="13.2">
      <c r="A1014" s="16"/>
      <c r="C1014" s="16"/>
      <c r="D1014" s="254">
        <f ca="1">IFERROR(__xludf.DUMMYFUNCTION("""COMPUTED_VALUE"""),0)</f>
        <v>0</v>
      </c>
    </row>
    <row r="1015" spans="1:4" ht="13.2">
      <c r="A1015" s="16"/>
      <c r="C1015" s="16"/>
      <c r="D1015" s="254">
        <f ca="1">IFERROR(__xludf.DUMMYFUNCTION("""COMPUTED_VALUE"""),0)</f>
        <v>0</v>
      </c>
    </row>
    <row r="1016" spans="1:4" ht="13.2">
      <c r="A1016" s="16"/>
      <c r="C1016" s="16"/>
      <c r="D1016" s="254">
        <f ca="1">IFERROR(__xludf.DUMMYFUNCTION("""COMPUTED_VALUE"""),0)</f>
        <v>0</v>
      </c>
    </row>
    <row r="1017" spans="1:4" ht="13.2">
      <c r="A1017" s="16"/>
      <c r="C1017" s="16"/>
      <c r="D1017" s="254">
        <f ca="1">IFERROR(__xludf.DUMMYFUNCTION("""COMPUTED_VALUE"""),0)</f>
        <v>0</v>
      </c>
    </row>
    <row r="1018" spans="1:4" ht="13.2">
      <c r="A1018" s="16"/>
      <c r="C1018" s="16"/>
      <c r="D1018" s="254">
        <f ca="1">IFERROR(__xludf.DUMMYFUNCTION("""COMPUTED_VALUE"""),0)</f>
        <v>0</v>
      </c>
    </row>
    <row r="1019" spans="1:4" ht="13.2">
      <c r="A1019" s="16"/>
      <c r="C1019" s="16"/>
      <c r="D1019" s="254">
        <f ca="1">IFERROR(__xludf.DUMMYFUNCTION("""COMPUTED_VALUE"""),0)</f>
        <v>0</v>
      </c>
    </row>
    <row r="1020" spans="1:4" ht="13.2">
      <c r="A1020" s="16"/>
      <c r="C1020" s="16"/>
      <c r="D1020" s="254">
        <f ca="1">IFERROR(__xludf.DUMMYFUNCTION("""COMPUTED_VALUE"""),0)</f>
        <v>0</v>
      </c>
    </row>
    <row r="1021" spans="1:4" ht="13.2">
      <c r="A1021" s="16"/>
      <c r="C1021" s="16"/>
      <c r="D1021" s="254">
        <f ca="1">IFERROR(__xludf.DUMMYFUNCTION("""COMPUTED_VALUE"""),0)</f>
        <v>0</v>
      </c>
    </row>
    <row r="1022" spans="1:4" ht="13.2">
      <c r="A1022" s="16"/>
      <c r="C1022" s="16"/>
      <c r="D1022" s="254">
        <f ca="1">IFERROR(__xludf.DUMMYFUNCTION("""COMPUTED_VALUE"""),0)</f>
        <v>0</v>
      </c>
    </row>
    <row r="1023" spans="1:4" ht="13.2">
      <c r="A1023" s="16"/>
      <c r="C1023" s="16"/>
      <c r="D1023" s="254">
        <f ca="1">IFERROR(__xludf.DUMMYFUNCTION("""COMPUTED_VALUE"""),0)</f>
        <v>0</v>
      </c>
    </row>
    <row r="1024" spans="1:4" ht="13.2">
      <c r="A1024" s="16"/>
      <c r="C1024" s="16"/>
      <c r="D1024" s="254">
        <f ca="1">IFERROR(__xludf.DUMMYFUNCTION("""COMPUTED_VALUE"""),0)</f>
        <v>0</v>
      </c>
    </row>
    <row r="1025" spans="1:4" ht="13.2">
      <c r="A1025" s="16"/>
      <c r="C1025" s="16"/>
      <c r="D1025" s="254">
        <f ca="1">IFERROR(__xludf.DUMMYFUNCTION("""COMPUTED_VALUE"""),0)</f>
        <v>0</v>
      </c>
    </row>
    <row r="1026" spans="1:4" ht="13.2">
      <c r="A1026" s="16"/>
      <c r="C1026" s="16"/>
      <c r="D1026" s="254">
        <f ca="1">IFERROR(__xludf.DUMMYFUNCTION("""COMPUTED_VALUE"""),0)</f>
        <v>0</v>
      </c>
    </row>
    <row r="1027" spans="1:4" ht="13.2">
      <c r="A1027" s="16"/>
      <c r="C1027" s="16"/>
      <c r="D1027" s="254">
        <f ca="1">IFERROR(__xludf.DUMMYFUNCTION("""COMPUTED_VALUE"""),0)</f>
        <v>0</v>
      </c>
    </row>
    <row r="1028" spans="1:4" ht="13.2">
      <c r="A1028" s="16"/>
      <c r="C1028" s="16"/>
      <c r="D1028" s="254">
        <f ca="1">IFERROR(__xludf.DUMMYFUNCTION("""COMPUTED_VALUE"""),0)</f>
        <v>0</v>
      </c>
    </row>
    <row r="1029" spans="1:4" ht="13.2">
      <c r="A1029" s="16"/>
      <c r="C1029" s="16"/>
      <c r="D1029" s="254">
        <f ca="1">IFERROR(__xludf.DUMMYFUNCTION("""COMPUTED_VALUE"""),0)</f>
        <v>0</v>
      </c>
    </row>
    <row r="1030" spans="1:4" ht="13.2">
      <c r="A1030" s="16"/>
      <c r="C1030" s="16"/>
      <c r="D1030" s="254">
        <f ca="1">IFERROR(__xludf.DUMMYFUNCTION("""COMPUTED_VALUE"""),0)</f>
        <v>0</v>
      </c>
    </row>
    <row r="1031" spans="1:4" ht="13.2">
      <c r="A1031" s="16"/>
      <c r="C1031" s="16"/>
      <c r="D1031" s="254">
        <f ca="1">IFERROR(__xludf.DUMMYFUNCTION("""COMPUTED_VALUE"""),0)</f>
        <v>0</v>
      </c>
    </row>
    <row r="1032" spans="1:4" ht="13.2">
      <c r="A1032" s="16"/>
      <c r="C1032" s="16"/>
      <c r="D1032" s="254">
        <f ca="1">IFERROR(__xludf.DUMMYFUNCTION("""COMPUTED_VALUE"""),0)</f>
        <v>0</v>
      </c>
    </row>
    <row r="1033" spans="1:4" ht="13.2">
      <c r="A1033" s="16"/>
      <c r="C1033" s="16"/>
      <c r="D1033" s="254">
        <f ca="1">IFERROR(__xludf.DUMMYFUNCTION("""COMPUTED_VALUE"""),0)</f>
        <v>0</v>
      </c>
    </row>
    <row r="1034" spans="1:4" ht="13.2">
      <c r="A1034" s="16"/>
      <c r="C1034" s="16"/>
      <c r="D1034" s="254">
        <f ca="1">IFERROR(__xludf.DUMMYFUNCTION("""COMPUTED_VALUE"""),0)</f>
        <v>0</v>
      </c>
    </row>
    <row r="1035" spans="1:4" ht="13.2">
      <c r="A1035" s="16"/>
      <c r="C1035" s="16"/>
      <c r="D1035" s="254">
        <f ca="1">IFERROR(__xludf.DUMMYFUNCTION("""COMPUTED_VALUE"""),0)</f>
        <v>0</v>
      </c>
    </row>
    <row r="1036" spans="1:4" ht="13.2">
      <c r="A1036" s="16"/>
      <c r="C1036" s="16"/>
      <c r="D1036" s="254">
        <f ca="1">IFERROR(__xludf.DUMMYFUNCTION("""COMPUTED_VALUE"""),0)</f>
        <v>0</v>
      </c>
    </row>
    <row r="1037" spans="1:4" ht="13.2">
      <c r="A1037" s="16"/>
      <c r="C1037" s="16"/>
      <c r="D1037" s="254">
        <f ca="1">IFERROR(__xludf.DUMMYFUNCTION("""COMPUTED_VALUE"""),0)</f>
        <v>0</v>
      </c>
    </row>
    <row r="1038" spans="1:4" ht="13.2">
      <c r="A1038" s="16"/>
      <c r="C1038" s="16"/>
      <c r="D1038" s="254">
        <f ca="1">IFERROR(__xludf.DUMMYFUNCTION("""COMPUTED_VALUE"""),0)</f>
        <v>0</v>
      </c>
    </row>
    <row r="1039" spans="1:4" ht="13.2">
      <c r="A1039" s="16"/>
      <c r="C1039" s="16"/>
      <c r="D1039" s="254">
        <f ca="1">IFERROR(__xludf.DUMMYFUNCTION("""COMPUTED_VALUE"""),0)</f>
        <v>0</v>
      </c>
    </row>
    <row r="1040" spans="1:4" ht="13.2">
      <c r="A1040" s="16"/>
      <c r="C1040" s="16"/>
      <c r="D1040" s="254">
        <f ca="1">IFERROR(__xludf.DUMMYFUNCTION("""COMPUTED_VALUE"""),0)</f>
        <v>0</v>
      </c>
    </row>
    <row r="1041" spans="1:4" ht="13.2">
      <c r="A1041" s="16"/>
      <c r="C1041" s="16"/>
      <c r="D1041" s="254">
        <f ca="1">IFERROR(__xludf.DUMMYFUNCTION("""COMPUTED_VALUE"""),0)</f>
        <v>0</v>
      </c>
    </row>
    <row r="1042" spans="1:4" ht="13.2">
      <c r="A1042" s="16"/>
      <c r="C1042" s="16"/>
      <c r="D1042" s="254">
        <f ca="1">IFERROR(__xludf.DUMMYFUNCTION("""COMPUTED_VALUE"""),0)</f>
        <v>0</v>
      </c>
    </row>
    <row r="1043" spans="1:4" ht="13.2">
      <c r="A1043" s="16"/>
      <c r="C1043" s="16"/>
      <c r="D1043" s="254">
        <f ca="1">IFERROR(__xludf.DUMMYFUNCTION("""COMPUTED_VALUE"""),0)</f>
        <v>0</v>
      </c>
    </row>
    <row r="1044" spans="1:4" ht="13.2">
      <c r="A1044" s="16"/>
      <c r="C1044" s="16"/>
      <c r="D1044" s="254">
        <f ca="1">IFERROR(__xludf.DUMMYFUNCTION("""COMPUTED_VALUE"""),0)</f>
        <v>0</v>
      </c>
    </row>
    <row r="1045" spans="1:4" ht="13.2">
      <c r="A1045" s="16"/>
      <c r="C1045" s="16"/>
      <c r="D1045" s="254">
        <f ca="1">IFERROR(__xludf.DUMMYFUNCTION("""COMPUTED_VALUE"""),0)</f>
        <v>0</v>
      </c>
    </row>
    <row r="1046" spans="1:4" ht="13.2">
      <c r="A1046" s="16"/>
      <c r="C1046" s="16"/>
      <c r="D1046" s="254">
        <f ca="1">IFERROR(__xludf.DUMMYFUNCTION("""COMPUTED_VALUE"""),0)</f>
        <v>0</v>
      </c>
    </row>
    <row r="1047" spans="1:4" ht="13.2">
      <c r="A1047" s="16"/>
      <c r="C1047" s="16"/>
      <c r="D1047" s="254">
        <f ca="1">IFERROR(__xludf.DUMMYFUNCTION("""COMPUTED_VALUE"""),0)</f>
        <v>0</v>
      </c>
    </row>
    <row r="1048" spans="1:4" ht="13.2">
      <c r="A1048" s="16"/>
      <c r="C1048" s="16"/>
      <c r="D1048" s="254">
        <f ca="1">IFERROR(__xludf.DUMMYFUNCTION("""COMPUTED_VALUE"""),0)</f>
        <v>0</v>
      </c>
    </row>
    <row r="1049" spans="1:4" ht="13.2">
      <c r="A1049" s="16"/>
      <c r="C1049" s="16"/>
      <c r="D1049" s="254">
        <f ca="1">IFERROR(__xludf.DUMMYFUNCTION("""COMPUTED_VALUE"""),0)</f>
        <v>0</v>
      </c>
    </row>
    <row r="1050" spans="1:4" ht="13.2">
      <c r="A1050" s="16"/>
      <c r="C1050" s="16"/>
      <c r="D1050" s="254">
        <f ca="1">IFERROR(__xludf.DUMMYFUNCTION("""COMPUTED_VALUE"""),0)</f>
        <v>0</v>
      </c>
    </row>
    <row r="1051" spans="1:4" ht="13.2">
      <c r="A1051" s="16"/>
      <c r="C1051" s="16"/>
      <c r="D1051" s="254">
        <f ca="1">IFERROR(__xludf.DUMMYFUNCTION("""COMPUTED_VALUE"""),0)</f>
        <v>0</v>
      </c>
    </row>
    <row r="1052" spans="1:4" ht="13.2">
      <c r="A1052" s="16"/>
      <c r="C1052" s="16"/>
      <c r="D1052" s="254">
        <f ca="1">IFERROR(__xludf.DUMMYFUNCTION("""COMPUTED_VALUE"""),0)</f>
        <v>0</v>
      </c>
    </row>
    <row r="1053" spans="1:4" ht="13.2">
      <c r="A1053" s="16"/>
      <c r="C1053" s="16"/>
      <c r="D1053" s="254">
        <f ca="1">IFERROR(__xludf.DUMMYFUNCTION("""COMPUTED_VALUE"""),0)</f>
        <v>0</v>
      </c>
    </row>
    <row r="1054" spans="1:4" ht="13.2">
      <c r="A1054" s="16"/>
      <c r="C1054" s="16"/>
      <c r="D1054" s="254">
        <f ca="1">IFERROR(__xludf.DUMMYFUNCTION("""COMPUTED_VALUE"""),0)</f>
        <v>0</v>
      </c>
    </row>
    <row r="1055" spans="1:4" ht="13.2">
      <c r="A1055" s="16"/>
      <c r="C1055" s="16"/>
      <c r="D1055" s="254">
        <f ca="1">IFERROR(__xludf.DUMMYFUNCTION("""COMPUTED_VALUE"""),0)</f>
        <v>0</v>
      </c>
    </row>
    <row r="1056" spans="1:4" ht="13.2">
      <c r="A1056" s="16"/>
      <c r="C1056" s="16"/>
      <c r="D1056" s="254">
        <f ca="1">IFERROR(__xludf.DUMMYFUNCTION("""COMPUTED_VALUE"""),0)</f>
        <v>0</v>
      </c>
    </row>
    <row r="1057" spans="1:4" ht="13.2">
      <c r="A1057" s="16"/>
      <c r="C1057" s="16"/>
      <c r="D1057" s="254">
        <f ca="1">IFERROR(__xludf.DUMMYFUNCTION("""COMPUTED_VALUE"""),0)</f>
        <v>0</v>
      </c>
    </row>
    <row r="1058" spans="1:4" ht="13.2">
      <c r="A1058" s="16"/>
      <c r="C1058" s="16"/>
      <c r="D1058" s="254">
        <f ca="1">IFERROR(__xludf.DUMMYFUNCTION("""COMPUTED_VALUE"""),0)</f>
        <v>0</v>
      </c>
    </row>
    <row r="1059" spans="1:4" ht="13.2">
      <c r="A1059" s="16"/>
      <c r="C1059" s="16"/>
      <c r="D1059" s="254">
        <f ca="1">IFERROR(__xludf.DUMMYFUNCTION("""COMPUTED_VALUE"""),0)</f>
        <v>0</v>
      </c>
    </row>
    <row r="1060" spans="1:4" ht="13.2">
      <c r="A1060" s="16"/>
      <c r="C1060" s="16"/>
      <c r="D1060" s="254">
        <f ca="1">IFERROR(__xludf.DUMMYFUNCTION("""COMPUTED_VALUE"""),0)</f>
        <v>0</v>
      </c>
    </row>
    <row r="1061" spans="1:4" ht="13.2">
      <c r="A1061" s="16"/>
      <c r="C1061" s="16"/>
      <c r="D1061" s="254">
        <f ca="1">IFERROR(__xludf.DUMMYFUNCTION("""COMPUTED_VALUE"""),0)</f>
        <v>0</v>
      </c>
    </row>
    <row r="1062" spans="1:4" ht="13.2">
      <c r="A1062" s="16"/>
      <c r="C1062" s="16"/>
      <c r="D1062" s="254">
        <f ca="1">IFERROR(__xludf.DUMMYFUNCTION("""COMPUTED_VALUE"""),0)</f>
        <v>0</v>
      </c>
    </row>
    <row r="1063" spans="1:4" ht="13.2">
      <c r="A1063" s="16"/>
      <c r="C1063" s="16"/>
      <c r="D1063" s="254">
        <f ca="1">IFERROR(__xludf.DUMMYFUNCTION("""COMPUTED_VALUE"""),0)</f>
        <v>0</v>
      </c>
    </row>
    <row r="1064" spans="1:4" ht="13.2">
      <c r="A1064" s="16"/>
      <c r="C1064" s="16"/>
      <c r="D1064" s="254">
        <f ca="1">IFERROR(__xludf.DUMMYFUNCTION("""COMPUTED_VALUE"""),0)</f>
        <v>0</v>
      </c>
    </row>
    <row r="1065" spans="1:4" ht="13.2">
      <c r="A1065" s="16"/>
      <c r="C1065" s="16"/>
      <c r="D1065" s="254">
        <f ca="1">IFERROR(__xludf.DUMMYFUNCTION("""COMPUTED_VALUE"""),0)</f>
        <v>0</v>
      </c>
    </row>
    <row r="1066" spans="1:4" ht="13.2">
      <c r="A1066" s="16"/>
      <c r="C1066" s="16"/>
      <c r="D1066" s="254">
        <f ca="1">IFERROR(__xludf.DUMMYFUNCTION("""COMPUTED_VALUE"""),0)</f>
        <v>0</v>
      </c>
    </row>
    <row r="1067" spans="1:4" ht="13.2">
      <c r="A1067" s="16"/>
      <c r="C1067" s="16"/>
      <c r="D1067" s="254">
        <f ca="1">IFERROR(__xludf.DUMMYFUNCTION("""COMPUTED_VALUE"""),0)</f>
        <v>0</v>
      </c>
    </row>
    <row r="1068" spans="1:4" ht="13.2">
      <c r="A1068" s="16"/>
      <c r="C1068" s="16"/>
      <c r="D1068" s="254">
        <f ca="1">IFERROR(__xludf.DUMMYFUNCTION("""COMPUTED_VALUE"""),0)</f>
        <v>0</v>
      </c>
    </row>
    <row r="1069" spans="1:4" ht="13.2">
      <c r="A1069" s="16"/>
      <c r="C1069" s="16"/>
      <c r="D1069" s="254">
        <f ca="1">IFERROR(__xludf.DUMMYFUNCTION("""COMPUTED_VALUE"""),0)</f>
        <v>0</v>
      </c>
    </row>
    <row r="1070" spans="1:4" ht="13.2">
      <c r="A1070" s="16"/>
      <c r="C1070" s="16"/>
      <c r="D1070" s="254">
        <f ca="1">IFERROR(__xludf.DUMMYFUNCTION("""COMPUTED_VALUE"""),0)</f>
        <v>0</v>
      </c>
    </row>
    <row r="1071" spans="1:4" ht="13.2">
      <c r="A1071" s="16"/>
      <c r="C1071" s="16"/>
      <c r="D1071" s="254">
        <f ca="1">IFERROR(__xludf.DUMMYFUNCTION("""COMPUTED_VALUE"""),0)</f>
        <v>0</v>
      </c>
    </row>
    <row r="1072" spans="1:4" ht="13.2">
      <c r="A1072" s="16"/>
      <c r="C1072" s="16"/>
      <c r="D1072" s="254">
        <f ca="1">IFERROR(__xludf.DUMMYFUNCTION("""COMPUTED_VALUE"""),0)</f>
        <v>0</v>
      </c>
    </row>
    <row r="1073" spans="1:4" ht="13.2">
      <c r="A1073" s="16"/>
      <c r="C1073" s="16"/>
      <c r="D1073" s="254">
        <f ca="1">IFERROR(__xludf.DUMMYFUNCTION("""COMPUTED_VALUE"""),0)</f>
        <v>0</v>
      </c>
    </row>
    <row r="1074" spans="1:4" ht="13.2">
      <c r="A1074" s="16"/>
      <c r="C1074" s="16"/>
      <c r="D1074" s="254">
        <f ca="1">IFERROR(__xludf.DUMMYFUNCTION("""COMPUTED_VALUE"""),0)</f>
        <v>0</v>
      </c>
    </row>
    <row r="1075" spans="1:4" ht="13.2">
      <c r="A1075" s="16"/>
      <c r="C1075" s="16"/>
      <c r="D1075" s="254">
        <f ca="1">IFERROR(__xludf.DUMMYFUNCTION("""COMPUTED_VALUE"""),0)</f>
        <v>0</v>
      </c>
    </row>
    <row r="1076" spans="1:4" ht="13.2">
      <c r="A1076" s="16"/>
      <c r="C1076" s="16"/>
      <c r="D1076" s="254">
        <f ca="1">IFERROR(__xludf.DUMMYFUNCTION("""COMPUTED_VALUE"""),0)</f>
        <v>0</v>
      </c>
    </row>
    <row r="1077" spans="1:4" ht="13.2">
      <c r="A1077" s="16"/>
      <c r="C1077" s="16"/>
      <c r="D1077" s="254">
        <f ca="1">IFERROR(__xludf.DUMMYFUNCTION("""COMPUTED_VALUE"""),0)</f>
        <v>0</v>
      </c>
    </row>
    <row r="1078" spans="1:4" ht="13.2">
      <c r="A1078" s="16"/>
      <c r="C1078" s="16"/>
      <c r="D1078" s="254">
        <f ca="1">IFERROR(__xludf.DUMMYFUNCTION("""COMPUTED_VALUE"""),0)</f>
        <v>0</v>
      </c>
    </row>
    <row r="1079" spans="1:4" ht="13.2">
      <c r="A1079" s="16"/>
      <c r="C1079" s="16"/>
      <c r="D1079" s="254">
        <f ca="1">IFERROR(__xludf.DUMMYFUNCTION("""COMPUTED_VALUE"""),0)</f>
        <v>0</v>
      </c>
    </row>
    <row r="1080" spans="1:4" ht="13.2">
      <c r="A1080" s="16"/>
      <c r="C1080" s="16"/>
      <c r="D1080" s="254">
        <f ca="1">IFERROR(__xludf.DUMMYFUNCTION("""COMPUTED_VALUE"""),0)</f>
        <v>0</v>
      </c>
    </row>
    <row r="1081" spans="1:4" ht="13.2">
      <c r="A1081" s="16"/>
      <c r="C1081" s="16"/>
      <c r="D1081" s="254">
        <f ca="1">IFERROR(__xludf.DUMMYFUNCTION("""COMPUTED_VALUE"""),0)</f>
        <v>0</v>
      </c>
    </row>
    <row r="1082" spans="1:4" ht="13.2">
      <c r="A1082" s="16"/>
      <c r="C1082" s="16"/>
      <c r="D1082" s="254">
        <f ca="1">IFERROR(__xludf.DUMMYFUNCTION("""COMPUTED_VALUE"""),0)</f>
        <v>0</v>
      </c>
    </row>
    <row r="1083" spans="1:4" ht="13.2">
      <c r="A1083" s="16"/>
      <c r="C1083" s="16"/>
      <c r="D1083" s="254">
        <f ca="1">IFERROR(__xludf.DUMMYFUNCTION("""COMPUTED_VALUE"""),0)</f>
        <v>0</v>
      </c>
    </row>
    <row r="1084" spans="1:4" ht="13.2">
      <c r="A1084" s="16"/>
      <c r="C1084" s="16"/>
      <c r="D1084" s="254">
        <f ca="1">IFERROR(__xludf.DUMMYFUNCTION("""COMPUTED_VALUE"""),0)</f>
        <v>0</v>
      </c>
    </row>
    <row r="1085" spans="1:4" ht="13.2">
      <c r="A1085" s="16"/>
      <c r="C1085" s="16"/>
      <c r="D1085" s="254">
        <f ca="1">IFERROR(__xludf.DUMMYFUNCTION("""COMPUTED_VALUE"""),0)</f>
        <v>0</v>
      </c>
    </row>
    <row r="1086" spans="1:4" ht="13.2">
      <c r="A1086" s="16"/>
      <c r="C1086" s="16"/>
      <c r="D1086" s="254">
        <f ca="1">IFERROR(__xludf.DUMMYFUNCTION("""COMPUTED_VALUE"""),0)</f>
        <v>0</v>
      </c>
    </row>
    <row r="1087" spans="1:4" ht="13.2">
      <c r="A1087" s="16"/>
      <c r="C1087" s="16"/>
      <c r="D1087" s="254">
        <f ca="1">IFERROR(__xludf.DUMMYFUNCTION("""COMPUTED_VALUE"""),0)</f>
        <v>0</v>
      </c>
    </row>
    <row r="1088" spans="1:4" ht="13.2">
      <c r="A1088" s="16"/>
      <c r="C1088" s="16"/>
      <c r="D1088" s="254">
        <f ca="1">IFERROR(__xludf.DUMMYFUNCTION("""COMPUTED_VALUE"""),0)</f>
        <v>0</v>
      </c>
    </row>
    <row r="1089" spans="1:4" ht="13.2">
      <c r="A1089" s="16"/>
      <c r="C1089" s="16"/>
      <c r="D1089" s="254">
        <f ca="1">IFERROR(__xludf.DUMMYFUNCTION("""COMPUTED_VALUE"""),0)</f>
        <v>0</v>
      </c>
    </row>
    <row r="1090" spans="1:4" ht="13.2">
      <c r="A1090" s="16"/>
      <c r="C1090" s="16"/>
      <c r="D1090" s="254">
        <f ca="1">IFERROR(__xludf.DUMMYFUNCTION("""COMPUTED_VALUE"""),0)</f>
        <v>0</v>
      </c>
    </row>
    <row r="1091" spans="1:4" ht="13.2">
      <c r="A1091" s="16"/>
      <c r="C1091" s="16"/>
      <c r="D1091" s="254">
        <f ca="1">IFERROR(__xludf.DUMMYFUNCTION("""COMPUTED_VALUE"""),0)</f>
        <v>0</v>
      </c>
    </row>
    <row r="1092" spans="1:4" ht="13.2">
      <c r="A1092" s="16"/>
      <c r="C1092" s="16"/>
      <c r="D1092" s="254">
        <f ca="1">IFERROR(__xludf.DUMMYFUNCTION("""COMPUTED_VALUE"""),0)</f>
        <v>0</v>
      </c>
    </row>
    <row r="1093" spans="1:4" ht="13.2">
      <c r="A1093" s="16"/>
      <c r="C1093" s="16"/>
      <c r="D1093" s="254">
        <f ca="1">IFERROR(__xludf.DUMMYFUNCTION("""COMPUTED_VALUE"""),0)</f>
        <v>0</v>
      </c>
    </row>
    <row r="1094" spans="1:4" ht="13.2">
      <c r="A1094" s="16"/>
      <c r="C1094" s="16"/>
      <c r="D1094" s="254">
        <f ca="1">IFERROR(__xludf.DUMMYFUNCTION("""COMPUTED_VALUE"""),0)</f>
        <v>0</v>
      </c>
    </row>
    <row r="1095" spans="1:4" ht="13.2">
      <c r="A1095" s="16"/>
      <c r="C1095" s="16"/>
      <c r="D1095" s="254">
        <f ca="1">IFERROR(__xludf.DUMMYFUNCTION("""COMPUTED_VALUE"""),0)</f>
        <v>0</v>
      </c>
    </row>
    <row r="1096" spans="1:4" ht="13.2">
      <c r="A1096" s="16"/>
      <c r="C1096" s="16"/>
      <c r="D1096" s="254">
        <f ca="1">IFERROR(__xludf.DUMMYFUNCTION("""COMPUTED_VALUE"""),0)</f>
        <v>0</v>
      </c>
    </row>
    <row r="1097" spans="1:4" ht="13.2">
      <c r="A1097" s="16"/>
      <c r="C1097" s="16"/>
      <c r="D1097" s="254">
        <f ca="1">IFERROR(__xludf.DUMMYFUNCTION("""COMPUTED_VALUE"""),0)</f>
        <v>0</v>
      </c>
    </row>
    <row r="1098" spans="1:4" ht="13.2">
      <c r="A1098" s="16"/>
      <c r="C1098" s="16"/>
      <c r="D1098" s="254">
        <f ca="1">IFERROR(__xludf.DUMMYFUNCTION("""COMPUTED_VALUE"""),0)</f>
        <v>0</v>
      </c>
    </row>
    <row r="1099" spans="1:4" ht="13.2">
      <c r="A1099" s="16"/>
      <c r="C1099" s="16"/>
      <c r="D1099" s="254">
        <f ca="1">IFERROR(__xludf.DUMMYFUNCTION("""COMPUTED_VALUE"""),0)</f>
        <v>0</v>
      </c>
    </row>
    <row r="1100" spans="1:4" ht="13.2">
      <c r="A1100" s="16"/>
      <c r="C1100" s="16"/>
      <c r="D1100" s="254">
        <f ca="1">IFERROR(__xludf.DUMMYFUNCTION("""COMPUTED_VALUE"""),0)</f>
        <v>0</v>
      </c>
    </row>
    <row r="1101" spans="1:4" ht="13.2">
      <c r="A1101" s="16"/>
      <c r="C1101" s="16"/>
      <c r="D1101" s="254">
        <f ca="1">IFERROR(__xludf.DUMMYFUNCTION("""COMPUTED_VALUE"""),0)</f>
        <v>0</v>
      </c>
    </row>
    <row r="1102" spans="1:4" ht="13.2">
      <c r="A1102" s="16"/>
      <c r="C1102" s="16"/>
      <c r="D1102" s="254">
        <f ca="1">IFERROR(__xludf.DUMMYFUNCTION("""COMPUTED_VALUE"""),0)</f>
        <v>0</v>
      </c>
    </row>
    <row r="1103" spans="1:4" ht="13.2">
      <c r="A1103" s="16"/>
      <c r="C1103" s="16"/>
      <c r="D1103" s="254">
        <f ca="1">IFERROR(__xludf.DUMMYFUNCTION("""COMPUTED_VALUE"""),0)</f>
        <v>0</v>
      </c>
    </row>
    <row r="1104" spans="1:4" ht="13.2">
      <c r="A1104" s="16"/>
      <c r="C1104" s="16"/>
      <c r="D1104" s="254">
        <f ca="1">IFERROR(__xludf.DUMMYFUNCTION("""COMPUTED_VALUE"""),0)</f>
        <v>0</v>
      </c>
    </row>
    <row r="1105" spans="1:4" ht="13.2">
      <c r="A1105" s="16"/>
      <c r="C1105" s="16"/>
      <c r="D1105" s="254">
        <f ca="1">IFERROR(__xludf.DUMMYFUNCTION("""COMPUTED_VALUE"""),0)</f>
        <v>0</v>
      </c>
    </row>
    <row r="1106" spans="1:4" ht="13.2">
      <c r="A1106" s="16"/>
      <c r="C1106" s="16"/>
      <c r="D1106" s="254">
        <f ca="1">IFERROR(__xludf.DUMMYFUNCTION("""COMPUTED_VALUE"""),0)</f>
        <v>0</v>
      </c>
    </row>
    <row r="1107" spans="1:4" ht="13.2">
      <c r="A1107" s="16"/>
      <c r="C1107" s="16"/>
      <c r="D1107" s="254">
        <f ca="1">IFERROR(__xludf.DUMMYFUNCTION("""COMPUTED_VALUE"""),0)</f>
        <v>0</v>
      </c>
    </row>
    <row r="1108" spans="1:4" ht="13.2">
      <c r="A1108" s="16"/>
      <c r="C1108" s="16"/>
      <c r="D1108" s="254">
        <f ca="1">IFERROR(__xludf.DUMMYFUNCTION("""COMPUTED_VALUE"""),0)</f>
        <v>0</v>
      </c>
    </row>
    <row r="1109" spans="1:4" ht="13.2">
      <c r="A1109" s="16"/>
      <c r="C1109" s="16"/>
      <c r="D1109" s="254">
        <f ca="1">IFERROR(__xludf.DUMMYFUNCTION("""COMPUTED_VALUE"""),0)</f>
        <v>0</v>
      </c>
    </row>
    <row r="1110" spans="1:4" ht="13.2">
      <c r="A1110" s="16"/>
      <c r="C1110" s="16"/>
      <c r="D1110" s="254">
        <f ca="1">IFERROR(__xludf.DUMMYFUNCTION("""COMPUTED_VALUE"""),0)</f>
        <v>0</v>
      </c>
    </row>
    <row r="1111" spans="1:4" ht="13.2">
      <c r="A1111" s="16"/>
      <c r="C1111" s="16"/>
      <c r="D1111" s="254">
        <f ca="1">IFERROR(__xludf.DUMMYFUNCTION("""COMPUTED_VALUE"""),0)</f>
        <v>0</v>
      </c>
    </row>
    <row r="1112" spans="1:4" ht="13.2">
      <c r="A1112" s="16"/>
      <c r="C1112" s="16"/>
      <c r="D1112" s="254">
        <f ca="1">IFERROR(__xludf.DUMMYFUNCTION("""COMPUTED_VALUE"""),0)</f>
        <v>0</v>
      </c>
    </row>
    <row r="1113" spans="1:4" ht="13.2">
      <c r="A1113" s="16"/>
      <c r="C1113" s="16"/>
      <c r="D1113" s="254">
        <f ca="1">IFERROR(__xludf.DUMMYFUNCTION("""COMPUTED_VALUE"""),0)</f>
        <v>0</v>
      </c>
    </row>
    <row r="1114" spans="1:4" ht="13.2">
      <c r="A1114" s="16"/>
      <c r="C1114" s="16"/>
      <c r="D1114" s="254">
        <f ca="1">IFERROR(__xludf.DUMMYFUNCTION("""COMPUTED_VALUE"""),0)</f>
        <v>0</v>
      </c>
    </row>
    <row r="1115" spans="1:4" ht="13.2">
      <c r="A1115" s="16"/>
      <c r="C1115" s="16"/>
      <c r="D1115" s="254">
        <f ca="1">IFERROR(__xludf.DUMMYFUNCTION("""COMPUTED_VALUE"""),0)</f>
        <v>0</v>
      </c>
    </row>
    <row r="1116" spans="1:4" ht="13.2">
      <c r="A1116" s="16"/>
      <c r="C1116" s="16"/>
      <c r="D1116" s="254">
        <f ca="1">IFERROR(__xludf.DUMMYFUNCTION("""COMPUTED_VALUE"""),0)</f>
        <v>0</v>
      </c>
    </row>
    <row r="1117" spans="1:4" ht="13.2">
      <c r="A1117" s="16"/>
      <c r="C1117" s="16"/>
      <c r="D1117" s="254">
        <f ca="1">IFERROR(__xludf.DUMMYFUNCTION("""COMPUTED_VALUE"""),0)</f>
        <v>0</v>
      </c>
    </row>
    <row r="1118" spans="1:4" ht="13.2">
      <c r="A1118" s="16"/>
      <c r="C1118" s="16"/>
      <c r="D1118" s="254">
        <f ca="1">IFERROR(__xludf.DUMMYFUNCTION("""COMPUTED_VALUE"""),0)</f>
        <v>0</v>
      </c>
    </row>
    <row r="1119" spans="1:4" ht="13.2">
      <c r="A1119" s="16"/>
      <c r="C1119" s="16"/>
      <c r="D1119" s="254">
        <f ca="1">IFERROR(__xludf.DUMMYFUNCTION("""COMPUTED_VALUE"""),0)</f>
        <v>0</v>
      </c>
    </row>
    <row r="1120" spans="1:4" ht="13.2">
      <c r="A1120" s="16"/>
      <c r="C1120" s="16"/>
      <c r="D1120" s="254">
        <f ca="1">IFERROR(__xludf.DUMMYFUNCTION("""COMPUTED_VALUE"""),0)</f>
        <v>0</v>
      </c>
    </row>
    <row r="1121" spans="1:4" ht="13.2">
      <c r="A1121" s="16"/>
      <c r="C1121" s="16"/>
      <c r="D1121" s="254">
        <f ca="1">IFERROR(__xludf.DUMMYFUNCTION("""COMPUTED_VALUE"""),0)</f>
        <v>0</v>
      </c>
    </row>
    <row r="1122" spans="1:4" ht="13.2">
      <c r="A1122" s="16"/>
      <c r="C1122" s="16"/>
      <c r="D1122" s="254">
        <f ca="1">IFERROR(__xludf.DUMMYFUNCTION("""COMPUTED_VALUE"""),0)</f>
        <v>0</v>
      </c>
    </row>
    <row r="1123" spans="1:4" ht="13.2">
      <c r="A1123" s="16"/>
      <c r="C1123" s="16"/>
      <c r="D1123" s="254">
        <f ca="1">IFERROR(__xludf.DUMMYFUNCTION("""COMPUTED_VALUE"""),0)</f>
        <v>0</v>
      </c>
    </row>
    <row r="1124" spans="1:4" ht="13.2">
      <c r="A1124" s="16"/>
      <c r="C1124" s="16"/>
      <c r="D1124" s="254">
        <f ca="1">IFERROR(__xludf.DUMMYFUNCTION("""COMPUTED_VALUE"""),0)</f>
        <v>0</v>
      </c>
    </row>
    <row r="1125" spans="1:4" ht="13.2">
      <c r="A1125" s="16"/>
      <c r="C1125" s="16"/>
      <c r="D1125" s="254">
        <f ca="1">IFERROR(__xludf.DUMMYFUNCTION("""COMPUTED_VALUE"""),0)</f>
        <v>0</v>
      </c>
    </row>
    <row r="1126" spans="1:4" ht="13.2">
      <c r="A1126" s="16"/>
      <c r="C1126" s="16"/>
      <c r="D1126" s="254">
        <f ca="1">IFERROR(__xludf.DUMMYFUNCTION("""COMPUTED_VALUE"""),0)</f>
        <v>0</v>
      </c>
    </row>
    <row r="1127" spans="1:4" ht="13.2">
      <c r="A1127" s="16"/>
      <c r="C1127" s="16"/>
      <c r="D1127" s="254">
        <f ca="1">IFERROR(__xludf.DUMMYFUNCTION("""COMPUTED_VALUE"""),0)</f>
        <v>0</v>
      </c>
    </row>
    <row r="1128" spans="1:4" ht="13.2">
      <c r="A1128" s="16"/>
      <c r="C1128" s="16"/>
      <c r="D1128" s="254">
        <f ca="1">IFERROR(__xludf.DUMMYFUNCTION("""COMPUTED_VALUE"""),0)</f>
        <v>0</v>
      </c>
    </row>
    <row r="1129" spans="1:4" ht="13.2">
      <c r="A1129" s="16"/>
      <c r="C1129" s="16"/>
      <c r="D1129" s="254">
        <f ca="1">IFERROR(__xludf.DUMMYFUNCTION("""COMPUTED_VALUE"""),0)</f>
        <v>0</v>
      </c>
    </row>
    <row r="1130" spans="1:4" ht="13.2">
      <c r="A1130" s="16"/>
      <c r="C1130" s="16"/>
      <c r="D1130" s="254">
        <f ca="1">IFERROR(__xludf.DUMMYFUNCTION("""COMPUTED_VALUE"""),0)</f>
        <v>0</v>
      </c>
    </row>
    <row r="1131" spans="1:4" ht="13.2">
      <c r="A1131" s="16"/>
      <c r="C1131" s="16"/>
      <c r="D1131" s="254">
        <f ca="1">IFERROR(__xludf.DUMMYFUNCTION("""COMPUTED_VALUE"""),0)</f>
        <v>0</v>
      </c>
    </row>
    <row r="1132" spans="1:4" ht="13.2">
      <c r="A1132" s="16"/>
      <c r="C1132" s="16"/>
      <c r="D1132" s="254">
        <f ca="1">IFERROR(__xludf.DUMMYFUNCTION("""COMPUTED_VALUE"""),0)</f>
        <v>0</v>
      </c>
    </row>
    <row r="1133" spans="1:4" ht="13.2">
      <c r="A1133" s="16"/>
      <c r="C1133" s="16"/>
      <c r="D1133" s="254">
        <f ca="1">IFERROR(__xludf.DUMMYFUNCTION("""COMPUTED_VALUE"""),0)</f>
        <v>0</v>
      </c>
    </row>
    <row r="1134" spans="1:4" ht="13.2">
      <c r="A1134" s="16"/>
      <c r="C1134" s="16"/>
      <c r="D1134" s="254">
        <f ca="1">IFERROR(__xludf.DUMMYFUNCTION("""COMPUTED_VALUE"""),0)</f>
        <v>0</v>
      </c>
    </row>
    <row r="1135" spans="1:4" ht="13.2">
      <c r="A1135" s="16"/>
      <c r="C1135" s="16"/>
      <c r="D1135" s="254">
        <f ca="1">IFERROR(__xludf.DUMMYFUNCTION("""COMPUTED_VALUE"""),0)</f>
        <v>0</v>
      </c>
    </row>
    <row r="1136" spans="1:4" ht="13.2">
      <c r="A1136" s="16"/>
      <c r="C1136" s="16"/>
      <c r="D1136" s="254">
        <f ca="1">IFERROR(__xludf.DUMMYFUNCTION("""COMPUTED_VALUE"""),0)</f>
        <v>0</v>
      </c>
    </row>
    <row r="1137" spans="1:4" ht="13.2">
      <c r="A1137" s="16"/>
      <c r="C1137" s="16"/>
      <c r="D1137" s="254">
        <f ca="1">IFERROR(__xludf.DUMMYFUNCTION("""COMPUTED_VALUE"""),0)</f>
        <v>0</v>
      </c>
    </row>
    <row r="1138" spans="1:4" ht="13.2">
      <c r="A1138" s="16"/>
      <c r="C1138" s="16"/>
      <c r="D1138" s="254">
        <f ca="1">IFERROR(__xludf.DUMMYFUNCTION("""COMPUTED_VALUE"""),0)</f>
        <v>0</v>
      </c>
    </row>
    <row r="1139" spans="1:4" ht="13.2">
      <c r="A1139" s="16"/>
      <c r="C1139" s="16"/>
      <c r="D1139" s="254">
        <f ca="1">IFERROR(__xludf.DUMMYFUNCTION("""COMPUTED_VALUE"""),0)</f>
        <v>0</v>
      </c>
    </row>
    <row r="1140" spans="1:4" ht="13.2">
      <c r="A1140" s="16"/>
      <c r="C1140" s="16"/>
      <c r="D1140" s="254">
        <f ca="1">IFERROR(__xludf.DUMMYFUNCTION("""COMPUTED_VALUE"""),0)</f>
        <v>0</v>
      </c>
    </row>
    <row r="1141" spans="1:4" ht="13.2">
      <c r="A1141" s="16"/>
      <c r="C1141" s="16"/>
      <c r="D1141" s="254">
        <f ca="1">IFERROR(__xludf.DUMMYFUNCTION("""COMPUTED_VALUE"""),0)</f>
        <v>0</v>
      </c>
    </row>
    <row r="1142" spans="1:4" ht="13.2">
      <c r="A1142" s="16"/>
      <c r="C1142" s="16"/>
      <c r="D1142" s="254">
        <f ca="1">IFERROR(__xludf.DUMMYFUNCTION("""COMPUTED_VALUE"""),0)</f>
        <v>0</v>
      </c>
    </row>
    <row r="1143" spans="1:4" ht="13.2">
      <c r="A1143" s="16"/>
      <c r="C1143" s="16"/>
      <c r="D1143" s="254">
        <f ca="1">IFERROR(__xludf.DUMMYFUNCTION("""COMPUTED_VALUE"""),0)</f>
        <v>0</v>
      </c>
    </row>
    <row r="1144" spans="1:4" ht="13.2">
      <c r="A1144" s="16"/>
      <c r="C1144" s="16"/>
      <c r="D1144" s="254">
        <f ca="1">IFERROR(__xludf.DUMMYFUNCTION("""COMPUTED_VALUE"""),0)</f>
        <v>0</v>
      </c>
    </row>
    <row r="1145" spans="1:4" ht="13.2">
      <c r="A1145" s="16"/>
      <c r="C1145" s="16"/>
      <c r="D1145" s="254">
        <f ca="1">IFERROR(__xludf.DUMMYFUNCTION("""COMPUTED_VALUE"""),0)</f>
        <v>0</v>
      </c>
    </row>
    <row r="1146" spans="1:4" ht="13.2">
      <c r="A1146" s="16"/>
      <c r="C1146" s="16"/>
      <c r="D1146" s="254">
        <f ca="1">IFERROR(__xludf.DUMMYFUNCTION("""COMPUTED_VALUE"""),0)</f>
        <v>0</v>
      </c>
    </row>
    <row r="1147" spans="1:4" ht="13.2">
      <c r="A1147" s="16"/>
      <c r="C1147" s="16"/>
      <c r="D1147" s="254">
        <f ca="1">IFERROR(__xludf.DUMMYFUNCTION("""COMPUTED_VALUE"""),0)</f>
        <v>0</v>
      </c>
    </row>
    <row r="1148" spans="1:4" ht="13.2">
      <c r="A1148" s="16"/>
      <c r="C1148" s="16"/>
      <c r="D1148" s="254">
        <f ca="1">IFERROR(__xludf.DUMMYFUNCTION("""COMPUTED_VALUE"""),0)</f>
        <v>0</v>
      </c>
    </row>
    <row r="1149" spans="1:4" ht="13.2">
      <c r="A1149" s="16"/>
      <c r="C1149" s="16"/>
      <c r="D1149" s="254">
        <f ca="1">IFERROR(__xludf.DUMMYFUNCTION("""COMPUTED_VALUE"""),0)</f>
        <v>0</v>
      </c>
    </row>
    <row r="1150" spans="1:4" ht="13.2">
      <c r="A1150" s="16"/>
      <c r="C1150" s="16"/>
      <c r="D1150" s="254">
        <f ca="1">IFERROR(__xludf.DUMMYFUNCTION("""COMPUTED_VALUE"""),0)</f>
        <v>0</v>
      </c>
    </row>
    <row r="1151" spans="1:4" ht="13.2">
      <c r="A1151" s="16"/>
      <c r="C1151" s="16"/>
      <c r="D1151" s="254">
        <f ca="1">IFERROR(__xludf.DUMMYFUNCTION("""COMPUTED_VALUE"""),0)</f>
        <v>0</v>
      </c>
    </row>
    <row r="1152" spans="1:4" ht="13.2">
      <c r="A1152" s="16"/>
      <c r="C1152" s="16"/>
      <c r="D1152" s="254">
        <f ca="1">IFERROR(__xludf.DUMMYFUNCTION("""COMPUTED_VALUE"""),0)</f>
        <v>0</v>
      </c>
    </row>
    <row r="1153" spans="1:4" ht="13.2">
      <c r="A1153" s="16"/>
      <c r="C1153" s="16"/>
      <c r="D1153" s="254">
        <f ca="1">IFERROR(__xludf.DUMMYFUNCTION("""COMPUTED_VALUE"""),0)</f>
        <v>0</v>
      </c>
    </row>
    <row r="1154" spans="1:4" ht="13.2">
      <c r="A1154" s="16"/>
      <c r="C1154" s="16"/>
      <c r="D1154" s="254">
        <f ca="1">IFERROR(__xludf.DUMMYFUNCTION("""COMPUTED_VALUE"""),0)</f>
        <v>0</v>
      </c>
    </row>
    <row r="1155" spans="1:4" ht="13.2">
      <c r="A1155" s="16"/>
      <c r="C1155" s="16"/>
      <c r="D1155" s="254">
        <f ca="1">IFERROR(__xludf.DUMMYFUNCTION("""COMPUTED_VALUE"""),0)</f>
        <v>0</v>
      </c>
    </row>
    <row r="1156" spans="1:4" ht="13.2">
      <c r="A1156" s="16"/>
      <c r="C1156" s="16"/>
      <c r="D1156" s="254">
        <f ca="1">IFERROR(__xludf.DUMMYFUNCTION("""COMPUTED_VALUE"""),0)</f>
        <v>0</v>
      </c>
    </row>
    <row r="1157" spans="1:4" ht="13.2">
      <c r="A1157" s="16"/>
      <c r="C1157" s="16"/>
      <c r="D1157" s="254">
        <f ca="1">IFERROR(__xludf.DUMMYFUNCTION("""COMPUTED_VALUE"""),0)</f>
        <v>0</v>
      </c>
    </row>
    <row r="1158" spans="1:4" ht="13.2">
      <c r="A1158" s="16"/>
      <c r="C1158" s="16"/>
      <c r="D1158" s="254">
        <f ca="1">IFERROR(__xludf.DUMMYFUNCTION("""COMPUTED_VALUE"""),0)</f>
        <v>0</v>
      </c>
    </row>
    <row r="1159" spans="1:4" ht="13.2">
      <c r="A1159" s="16"/>
      <c r="C1159" s="16"/>
      <c r="D1159" s="254">
        <f ca="1">IFERROR(__xludf.DUMMYFUNCTION("""COMPUTED_VALUE"""),0)</f>
        <v>0</v>
      </c>
    </row>
    <row r="1160" spans="1:4" ht="13.2">
      <c r="A1160" s="16"/>
      <c r="C1160" s="16"/>
      <c r="D1160" s="254">
        <f ca="1">IFERROR(__xludf.DUMMYFUNCTION("""COMPUTED_VALUE"""),0)</f>
        <v>0</v>
      </c>
    </row>
    <row r="1161" spans="1:4" ht="13.2">
      <c r="A1161" s="16"/>
      <c r="C1161" s="16"/>
      <c r="D1161" s="254">
        <f ca="1">IFERROR(__xludf.DUMMYFUNCTION("""COMPUTED_VALUE"""),0)</f>
        <v>0</v>
      </c>
    </row>
    <row r="1162" spans="1:4" ht="13.2">
      <c r="A1162" s="16"/>
      <c r="C1162" s="16"/>
      <c r="D1162" s="254">
        <f ca="1">IFERROR(__xludf.DUMMYFUNCTION("""COMPUTED_VALUE"""),0)</f>
        <v>0</v>
      </c>
    </row>
    <row r="1163" spans="1:4" ht="13.2">
      <c r="A1163" s="16"/>
      <c r="C1163" s="16"/>
      <c r="D1163" s="254">
        <f ca="1">IFERROR(__xludf.DUMMYFUNCTION("""COMPUTED_VALUE"""),0)</f>
        <v>0</v>
      </c>
    </row>
    <row r="1164" spans="1:4" ht="13.2">
      <c r="A1164" s="16"/>
      <c r="C1164" s="16"/>
      <c r="D1164" s="254">
        <f ca="1">IFERROR(__xludf.DUMMYFUNCTION("""COMPUTED_VALUE"""),0)</f>
        <v>0</v>
      </c>
    </row>
    <row r="1165" spans="1:4" ht="13.2">
      <c r="A1165" s="16"/>
      <c r="C1165" s="16"/>
      <c r="D1165" s="254">
        <f ca="1">IFERROR(__xludf.DUMMYFUNCTION("""COMPUTED_VALUE"""),0)</f>
        <v>0</v>
      </c>
    </row>
    <row r="1166" spans="1:4" ht="13.2">
      <c r="A1166" s="16"/>
      <c r="C1166" s="16"/>
      <c r="D1166" s="254">
        <f ca="1">IFERROR(__xludf.DUMMYFUNCTION("""COMPUTED_VALUE"""),0)</f>
        <v>0</v>
      </c>
    </row>
    <row r="1167" spans="1:4" ht="13.2">
      <c r="A1167" s="16"/>
      <c r="C1167" s="16"/>
      <c r="D1167" s="254"/>
    </row>
    <row r="1168" spans="1:4" ht="13.2">
      <c r="A1168" s="16"/>
      <c r="C1168" s="16"/>
      <c r="D1168" s="254"/>
    </row>
    <row r="1169" spans="1:4" ht="13.2">
      <c r="A1169" s="16"/>
      <c r="C1169" s="16"/>
      <c r="D1169" s="254"/>
    </row>
    <row r="1170" spans="1:4" ht="13.2">
      <c r="A1170" s="16"/>
      <c r="C1170" s="16"/>
      <c r="D1170" s="254"/>
    </row>
    <row r="1171" spans="1:4" ht="13.2">
      <c r="A1171" s="16"/>
      <c r="C1171" s="16"/>
      <c r="D1171" s="254"/>
    </row>
    <row r="1172" spans="1:4" ht="13.2">
      <c r="A1172" s="16"/>
      <c r="C1172" s="16"/>
      <c r="D1172" s="254"/>
    </row>
    <row r="1173" spans="1:4" ht="13.2">
      <c r="A1173" s="16"/>
      <c r="C1173" s="16"/>
      <c r="D1173" s="254"/>
    </row>
    <row r="1174" spans="1:4" ht="13.2">
      <c r="A1174" s="16"/>
      <c r="C1174" s="16"/>
      <c r="D1174" s="254"/>
    </row>
    <row r="1175" spans="1:4" ht="13.2">
      <c r="A1175" s="16"/>
      <c r="C1175" s="16"/>
      <c r="D1175" s="254"/>
    </row>
    <row r="1176" spans="1:4" ht="13.2">
      <c r="A1176" s="16"/>
      <c r="C1176" s="16"/>
      <c r="D1176" s="254"/>
    </row>
    <row r="1177" spans="1:4" ht="13.2">
      <c r="A1177" s="16"/>
      <c r="C1177" s="16"/>
      <c r="D1177" s="254"/>
    </row>
    <row r="1178" spans="1:4" ht="13.2">
      <c r="A1178" s="16"/>
      <c r="C1178" s="16"/>
      <c r="D1178" s="254"/>
    </row>
    <row r="1179" spans="1:4" ht="13.2">
      <c r="A1179" s="16"/>
      <c r="C1179" s="16"/>
      <c r="D1179" s="254"/>
    </row>
    <row r="1180" spans="1:4" ht="13.2">
      <c r="A1180" s="16"/>
      <c r="C1180" s="16"/>
      <c r="D1180" s="254"/>
    </row>
    <row r="1181" spans="1:4" ht="13.2">
      <c r="A1181" s="16"/>
      <c r="C1181" s="16"/>
      <c r="D1181" s="254"/>
    </row>
    <row r="1182" spans="1:4" ht="13.2">
      <c r="A1182" s="16"/>
      <c r="C1182" s="16"/>
      <c r="D1182" s="254"/>
    </row>
    <row r="1183" spans="1:4" ht="13.2">
      <c r="A1183" s="16"/>
      <c r="C1183" s="16"/>
      <c r="D1183" s="254"/>
    </row>
    <row r="1184" spans="1:4" ht="13.2">
      <c r="A1184" s="16"/>
      <c r="C1184" s="16"/>
      <c r="D1184" s="254"/>
    </row>
    <row r="1185" spans="1:4" ht="13.2">
      <c r="A1185" s="16"/>
      <c r="C1185" s="16"/>
      <c r="D1185" s="254"/>
    </row>
    <row r="1186" spans="1:4" ht="13.2">
      <c r="A1186" s="16"/>
      <c r="C1186" s="16"/>
      <c r="D1186" s="254"/>
    </row>
    <row r="1187" spans="1:4" ht="13.2">
      <c r="A1187" s="16"/>
      <c r="C1187" s="16"/>
      <c r="D1187" s="254"/>
    </row>
    <row r="1188" spans="1:4" ht="13.2">
      <c r="A1188" s="16"/>
      <c r="C1188" s="16"/>
      <c r="D1188" s="254"/>
    </row>
    <row r="1189" spans="1:4" ht="13.2">
      <c r="A1189" s="16"/>
      <c r="C1189" s="16"/>
      <c r="D1189" s="254"/>
    </row>
    <row r="1190" spans="1:4" ht="13.2">
      <c r="A1190" s="16"/>
      <c r="C1190" s="16"/>
      <c r="D1190" s="254"/>
    </row>
    <row r="1191" spans="1:4" ht="13.2">
      <c r="A1191" s="16"/>
      <c r="C1191" s="16"/>
      <c r="D1191" s="254"/>
    </row>
    <row r="1192" spans="1:4" ht="13.2">
      <c r="A1192" s="16"/>
      <c r="C1192" s="16"/>
      <c r="D1192" s="254"/>
    </row>
    <row r="1193" spans="1:4" ht="13.2">
      <c r="A1193" s="16"/>
      <c r="C1193" s="16"/>
      <c r="D1193" s="254"/>
    </row>
    <row r="1194" spans="1:4" ht="13.2">
      <c r="A1194" s="16"/>
      <c r="C1194" s="16"/>
      <c r="D1194" s="254"/>
    </row>
    <row r="1195" spans="1:4" ht="13.2">
      <c r="A1195" s="16"/>
      <c r="C1195" s="16"/>
      <c r="D1195" s="254"/>
    </row>
    <row r="1196" spans="1:4" ht="13.2">
      <c r="A1196" s="16"/>
      <c r="C1196" s="16"/>
      <c r="D1196" s="254"/>
    </row>
    <row r="1197" spans="1:4" ht="13.2">
      <c r="A1197" s="16"/>
      <c r="C1197" s="16"/>
      <c r="D1197" s="254"/>
    </row>
    <row r="1198" spans="1:4" ht="13.2">
      <c r="A1198" s="16"/>
      <c r="C1198" s="16"/>
      <c r="D1198" s="254"/>
    </row>
    <row r="1199" spans="1:4" ht="13.2">
      <c r="A1199" s="16"/>
      <c r="C1199" s="16"/>
      <c r="D1199" s="254"/>
    </row>
    <row r="1200" spans="1:4" ht="13.2">
      <c r="A1200" s="16"/>
      <c r="C1200" s="16"/>
      <c r="D1200" s="254"/>
    </row>
    <row r="1201" spans="1:4" ht="13.2">
      <c r="A1201" s="16"/>
      <c r="C1201" s="16"/>
      <c r="D1201" s="254"/>
    </row>
    <row r="1202" spans="1:4" ht="13.2">
      <c r="A1202" s="16"/>
      <c r="C1202" s="16"/>
      <c r="D1202" s="254"/>
    </row>
    <row r="1203" spans="1:4" ht="13.2">
      <c r="A1203" s="16"/>
      <c r="C1203" s="16"/>
      <c r="D1203" s="254"/>
    </row>
    <row r="1204" spans="1:4" ht="13.2">
      <c r="A1204" s="16"/>
      <c r="C1204" s="16"/>
      <c r="D1204" s="254"/>
    </row>
    <row r="1205" spans="1:4" ht="13.2">
      <c r="A1205" s="16"/>
      <c r="C1205" s="16"/>
      <c r="D1205" s="254"/>
    </row>
    <row r="1206" spans="1:4" ht="13.2">
      <c r="A1206" s="16"/>
      <c r="C1206" s="16"/>
      <c r="D1206" s="254"/>
    </row>
    <row r="1207" spans="1:4" ht="13.2">
      <c r="A1207" s="16"/>
      <c r="C1207" s="16"/>
      <c r="D1207" s="254"/>
    </row>
    <row r="1208" spans="1:4" ht="13.2">
      <c r="A1208" s="16"/>
      <c r="C1208" s="16"/>
      <c r="D1208" s="254"/>
    </row>
    <row r="1209" spans="1:4" ht="13.2">
      <c r="A1209" s="16"/>
      <c r="C1209" s="16"/>
      <c r="D1209" s="254"/>
    </row>
    <row r="1210" spans="1:4" ht="13.2">
      <c r="A1210" s="16"/>
      <c r="C1210" s="16"/>
      <c r="D1210" s="254"/>
    </row>
    <row r="1211" spans="1:4" ht="13.2">
      <c r="A1211" s="16"/>
      <c r="C1211" s="16"/>
      <c r="D1211" s="254"/>
    </row>
    <row r="1212" spans="1:4" ht="13.2">
      <c r="A1212" s="16"/>
      <c r="C1212" s="16"/>
      <c r="D1212" s="254"/>
    </row>
    <row r="1213" spans="1:4" ht="13.2">
      <c r="A1213" s="16"/>
      <c r="C1213" s="16"/>
      <c r="D1213" s="254"/>
    </row>
    <row r="1214" spans="1:4" ht="13.2">
      <c r="A1214" s="16"/>
      <c r="C1214" s="16"/>
      <c r="D1214" s="254"/>
    </row>
    <row r="1215" spans="1:4" ht="13.2">
      <c r="A1215" s="16"/>
      <c r="C1215" s="16"/>
      <c r="D1215" s="254"/>
    </row>
    <row r="1216" spans="1:4" ht="13.2">
      <c r="A1216" s="16"/>
      <c r="C1216" s="16"/>
      <c r="D1216" s="254"/>
    </row>
    <row r="1217" spans="1:4" ht="13.2">
      <c r="A1217" s="16"/>
      <c r="C1217" s="16"/>
      <c r="D1217" s="254"/>
    </row>
    <row r="1218" spans="1:4" ht="13.2">
      <c r="A1218" s="16"/>
      <c r="C1218" s="16"/>
      <c r="D1218" s="254"/>
    </row>
    <row r="1219" spans="1:4" ht="13.2">
      <c r="A1219" s="16"/>
      <c r="C1219" s="16"/>
      <c r="D1219" s="254"/>
    </row>
    <row r="1220" spans="1:4" ht="13.2">
      <c r="A1220" s="16"/>
      <c r="C1220" s="16"/>
      <c r="D1220" s="254"/>
    </row>
    <row r="1221" spans="1:4" ht="13.2">
      <c r="A1221" s="16"/>
      <c r="C1221" s="16"/>
      <c r="D1221" s="254"/>
    </row>
    <row r="1222" spans="1:4" ht="13.2">
      <c r="A1222" s="16"/>
      <c r="C1222" s="16"/>
      <c r="D1222" s="254"/>
    </row>
    <row r="1223" spans="1:4" ht="13.2">
      <c r="A1223" s="16"/>
      <c r="C1223" s="16"/>
      <c r="D1223" s="254"/>
    </row>
    <row r="1224" spans="1:4" ht="13.2">
      <c r="A1224" s="16"/>
      <c r="C1224" s="16"/>
      <c r="D1224" s="254"/>
    </row>
    <row r="1225" spans="1:4" ht="13.2">
      <c r="A1225" s="16"/>
      <c r="C1225" s="16"/>
      <c r="D1225" s="254"/>
    </row>
    <row r="1226" spans="1:4" ht="13.2">
      <c r="A1226" s="16"/>
      <c r="C1226" s="16"/>
      <c r="D1226" s="254"/>
    </row>
    <row r="1227" spans="1:4" ht="13.2">
      <c r="A1227" s="16"/>
      <c r="C1227" s="16"/>
      <c r="D1227" s="254"/>
    </row>
    <row r="1228" spans="1:4" ht="13.2">
      <c r="A1228" s="16"/>
      <c r="C1228" s="16"/>
      <c r="D1228" s="254"/>
    </row>
    <row r="1229" spans="1:4" ht="13.2">
      <c r="A1229" s="16"/>
      <c r="C1229" s="16"/>
      <c r="D1229" s="254"/>
    </row>
    <row r="1230" spans="1:4" ht="13.2">
      <c r="A1230" s="16"/>
      <c r="C1230" s="16"/>
      <c r="D1230" s="254"/>
    </row>
    <row r="1231" spans="1:4" ht="13.2">
      <c r="A1231" s="16"/>
      <c r="C1231" s="16"/>
      <c r="D1231" s="254"/>
    </row>
    <row r="1232" spans="1:4" ht="13.2">
      <c r="A1232" s="16"/>
      <c r="C1232" s="16"/>
      <c r="D1232" s="254"/>
    </row>
    <row r="1233" spans="1:4" ht="13.2">
      <c r="A1233" s="16"/>
      <c r="C1233" s="16"/>
      <c r="D1233" s="254"/>
    </row>
    <row r="1234" spans="1:4" ht="13.2">
      <c r="A1234" s="16"/>
      <c r="C1234" s="16"/>
      <c r="D1234" s="254"/>
    </row>
    <row r="1235" spans="1:4" ht="13.2">
      <c r="A1235" s="16"/>
      <c r="C1235" s="16"/>
      <c r="D1235" s="254"/>
    </row>
    <row r="1236" spans="1:4" ht="13.2">
      <c r="A1236" s="16"/>
      <c r="C1236" s="16"/>
      <c r="D1236" s="254"/>
    </row>
    <row r="1237" spans="1:4" ht="13.2">
      <c r="A1237" s="16"/>
      <c r="C1237" s="16"/>
      <c r="D1237" s="254"/>
    </row>
    <row r="1238" spans="1:4" ht="13.2">
      <c r="A1238" s="16"/>
      <c r="C1238" s="16"/>
      <c r="D1238" s="254"/>
    </row>
    <row r="1239" spans="1:4" ht="13.2">
      <c r="A1239" s="16"/>
      <c r="C1239" s="16"/>
      <c r="D1239" s="254"/>
    </row>
    <row r="1240" spans="1:4" ht="13.2">
      <c r="A1240" s="16"/>
      <c r="C1240" s="16"/>
      <c r="D1240" s="254"/>
    </row>
    <row r="1241" spans="1:4" ht="13.2">
      <c r="A1241" s="16"/>
      <c r="C1241" s="16"/>
      <c r="D1241" s="254"/>
    </row>
    <row r="1242" spans="1:4" ht="13.2">
      <c r="A1242" s="16"/>
      <c r="C1242" s="16"/>
      <c r="D1242" s="254"/>
    </row>
    <row r="1243" spans="1:4" ht="13.2">
      <c r="A1243" s="16"/>
      <c r="C1243" s="16"/>
      <c r="D1243" s="254"/>
    </row>
    <row r="1244" spans="1:4" ht="13.2">
      <c r="A1244" s="16"/>
      <c r="C1244" s="16"/>
      <c r="D1244" s="254"/>
    </row>
    <row r="1245" spans="1:4" ht="13.2">
      <c r="A1245" s="16"/>
      <c r="C1245" s="16"/>
      <c r="D1245" s="254"/>
    </row>
    <row r="1246" spans="1:4" ht="13.2">
      <c r="A1246" s="16"/>
      <c r="C1246" s="16"/>
      <c r="D1246" s="254"/>
    </row>
    <row r="1247" spans="1:4" ht="13.2">
      <c r="A1247" s="16"/>
      <c r="C1247" s="16"/>
      <c r="D1247" s="254"/>
    </row>
    <row r="1248" spans="1:4" ht="13.2">
      <c r="A1248" s="16"/>
      <c r="C1248" s="16"/>
      <c r="D1248" s="254"/>
    </row>
    <row r="1249" spans="1:4" ht="13.2">
      <c r="A1249" s="16"/>
      <c r="C1249" s="16"/>
      <c r="D1249" s="254"/>
    </row>
    <row r="1250" spans="1:4" ht="13.2">
      <c r="A1250" s="16"/>
      <c r="C1250" s="16"/>
      <c r="D1250" s="254"/>
    </row>
    <row r="1251" spans="1:4" ht="13.2">
      <c r="A1251" s="16"/>
      <c r="C1251" s="16"/>
      <c r="D1251" s="254"/>
    </row>
    <row r="1252" spans="1:4" ht="13.2">
      <c r="A1252" s="16"/>
      <c r="C1252" s="16"/>
      <c r="D1252" s="254"/>
    </row>
    <row r="1253" spans="1:4" ht="13.2">
      <c r="A1253" s="16"/>
      <c r="C1253" s="16"/>
      <c r="D1253" s="254"/>
    </row>
    <row r="1254" spans="1:4" ht="13.2">
      <c r="A1254" s="16"/>
      <c r="C1254" s="16"/>
      <c r="D1254" s="254"/>
    </row>
    <row r="1255" spans="1:4" ht="13.2">
      <c r="A1255" s="16"/>
      <c r="C1255" s="16"/>
      <c r="D1255" s="254"/>
    </row>
    <row r="1256" spans="1:4" ht="13.2">
      <c r="A1256" s="16"/>
      <c r="C1256" s="16"/>
      <c r="D1256" s="254"/>
    </row>
    <row r="1257" spans="1:4" ht="13.2">
      <c r="A1257" s="16"/>
      <c r="C1257" s="16"/>
      <c r="D1257" s="254"/>
    </row>
    <row r="1258" spans="1:4" ht="13.2">
      <c r="A1258" s="16"/>
      <c r="C1258" s="16"/>
      <c r="D1258" s="254"/>
    </row>
    <row r="1259" spans="1:4" ht="13.2">
      <c r="A1259" s="16"/>
      <c r="C1259" s="16"/>
      <c r="D1259" s="254"/>
    </row>
    <row r="1260" spans="1:4" ht="13.2">
      <c r="A1260" s="16"/>
      <c r="C1260" s="16"/>
      <c r="D1260" s="254"/>
    </row>
    <row r="1261" spans="1:4" ht="13.2">
      <c r="A1261" s="16"/>
      <c r="C1261" s="16"/>
      <c r="D1261" s="254"/>
    </row>
    <row r="1262" spans="1:4" ht="13.2">
      <c r="A1262" s="16"/>
      <c r="C1262" s="16"/>
      <c r="D1262" s="254"/>
    </row>
    <row r="1263" spans="1:4" ht="13.2">
      <c r="A1263" s="16"/>
      <c r="C1263" s="16"/>
      <c r="D1263" s="254"/>
    </row>
    <row r="1264" spans="1:4" ht="13.2">
      <c r="A1264" s="16"/>
      <c r="C1264" s="16"/>
      <c r="D1264" s="254"/>
    </row>
    <row r="1265" spans="1:4" ht="13.2">
      <c r="A1265" s="16"/>
      <c r="C1265" s="16"/>
      <c r="D1265" s="254"/>
    </row>
    <row r="1266" spans="1:4" ht="13.2">
      <c r="A1266" s="16"/>
      <c r="C1266" s="16"/>
      <c r="D1266" s="254"/>
    </row>
    <row r="1267" spans="1:4" ht="13.2">
      <c r="A1267" s="16"/>
      <c r="C1267" s="16"/>
      <c r="D1267" s="254"/>
    </row>
    <row r="1268" spans="1:4" ht="13.2">
      <c r="A1268" s="16"/>
      <c r="C1268" s="16"/>
      <c r="D1268" s="254"/>
    </row>
    <row r="1269" spans="1:4" ht="13.2">
      <c r="A1269" s="16"/>
      <c r="C1269" s="16"/>
      <c r="D1269" s="254"/>
    </row>
    <row r="1270" spans="1:4" ht="13.2">
      <c r="A1270" s="16"/>
      <c r="C1270" s="16"/>
      <c r="D1270" s="254"/>
    </row>
    <row r="1271" spans="1:4" ht="13.2">
      <c r="A1271" s="16"/>
      <c r="C1271" s="16"/>
      <c r="D1271" s="254"/>
    </row>
    <row r="1272" spans="1:4" ht="13.2">
      <c r="A1272" s="16"/>
      <c r="C1272" s="16"/>
      <c r="D1272" s="254"/>
    </row>
    <row r="1273" spans="1:4" ht="13.2">
      <c r="A1273" s="16"/>
      <c r="C1273" s="16"/>
      <c r="D1273" s="254"/>
    </row>
    <row r="1274" spans="1:4" ht="13.2">
      <c r="A1274" s="16"/>
      <c r="C1274" s="16"/>
      <c r="D1274" s="254"/>
    </row>
    <row r="1275" spans="1:4" ht="13.2">
      <c r="A1275" s="16"/>
      <c r="C1275" s="16"/>
      <c r="D1275" s="254"/>
    </row>
    <row r="1276" spans="1:4" ht="13.2">
      <c r="A1276" s="16"/>
      <c r="C1276" s="16"/>
      <c r="D1276" s="254"/>
    </row>
    <row r="1277" spans="1:4" ht="13.2">
      <c r="A1277" s="16"/>
      <c r="C1277" s="16"/>
      <c r="D1277" s="254"/>
    </row>
    <row r="1278" spans="1:4" ht="13.2">
      <c r="A1278" s="16"/>
      <c r="C1278" s="16"/>
      <c r="D1278" s="254"/>
    </row>
    <row r="1279" spans="1:4" ht="13.2">
      <c r="A1279" s="16"/>
      <c r="C1279" s="16"/>
      <c r="D1279" s="254"/>
    </row>
    <row r="1280" spans="1:4" ht="13.2">
      <c r="A1280" s="16"/>
      <c r="C1280" s="16"/>
      <c r="D1280" s="254"/>
    </row>
    <row r="1281" spans="1:4" ht="13.2">
      <c r="A1281" s="16"/>
      <c r="C1281" s="16"/>
      <c r="D1281" s="254"/>
    </row>
    <row r="1282" spans="1:4" ht="13.2">
      <c r="A1282" s="16"/>
      <c r="C1282" s="16"/>
      <c r="D1282" s="254"/>
    </row>
    <row r="1283" spans="1:4" ht="13.2">
      <c r="A1283" s="16"/>
      <c r="C1283" s="16"/>
      <c r="D1283" s="254"/>
    </row>
    <row r="1284" spans="1:4" ht="13.2">
      <c r="A1284" s="16"/>
      <c r="C1284" s="16"/>
      <c r="D1284" s="254"/>
    </row>
    <row r="1285" spans="1:4" ht="13.2">
      <c r="A1285" s="16"/>
      <c r="C1285" s="16"/>
      <c r="D1285" s="254"/>
    </row>
    <row r="1286" spans="1:4" ht="13.2">
      <c r="A1286" s="16"/>
      <c r="C1286" s="16"/>
      <c r="D1286" s="254"/>
    </row>
    <row r="1287" spans="1:4" ht="13.2">
      <c r="A1287" s="16"/>
      <c r="C1287" s="16"/>
      <c r="D1287" s="254"/>
    </row>
    <row r="1288" spans="1:4" ht="13.2">
      <c r="A1288" s="16"/>
      <c r="C1288" s="16"/>
      <c r="D1288" s="254"/>
    </row>
    <row r="1289" spans="1:4" ht="13.2">
      <c r="A1289" s="16"/>
      <c r="C1289" s="16"/>
      <c r="D1289" s="254"/>
    </row>
    <row r="1290" spans="1:4" ht="13.2">
      <c r="A1290" s="16"/>
      <c r="C1290" s="16"/>
      <c r="D1290" s="254"/>
    </row>
    <row r="1291" spans="1:4" ht="13.2">
      <c r="A1291" s="16"/>
      <c r="C1291" s="16"/>
      <c r="D1291" s="254"/>
    </row>
    <row r="1292" spans="1:4" ht="13.2">
      <c r="A1292" s="16"/>
      <c r="C1292" s="16"/>
      <c r="D1292" s="254"/>
    </row>
    <row r="1293" spans="1:4" ht="13.2">
      <c r="A1293" s="16"/>
      <c r="C1293" s="16"/>
      <c r="D1293" s="254"/>
    </row>
    <row r="1294" spans="1:4" ht="13.2">
      <c r="A1294" s="16"/>
      <c r="C1294" s="16"/>
      <c r="D1294" s="254"/>
    </row>
    <row r="1295" spans="1:4" ht="13.2">
      <c r="A1295" s="16"/>
      <c r="C1295" s="16"/>
      <c r="D1295" s="254"/>
    </row>
    <row r="1296" spans="1:4" ht="13.2">
      <c r="A1296" s="16"/>
      <c r="C1296" s="16"/>
      <c r="D1296" s="254"/>
    </row>
    <row r="1297" spans="1:4" ht="13.2">
      <c r="A1297" s="16"/>
      <c r="C1297" s="16"/>
      <c r="D1297" s="254"/>
    </row>
    <row r="1298" spans="1:4" ht="13.2">
      <c r="A1298" s="16"/>
      <c r="C1298" s="16"/>
      <c r="D1298" s="254"/>
    </row>
    <row r="1299" spans="1:4" ht="13.2">
      <c r="A1299" s="16"/>
      <c r="C1299" s="16"/>
      <c r="D1299" s="254"/>
    </row>
    <row r="1300" spans="1:4" ht="13.2">
      <c r="A1300" s="16"/>
      <c r="C1300" s="16"/>
      <c r="D1300" s="254"/>
    </row>
    <row r="1301" spans="1:4" ht="13.2">
      <c r="A1301" s="16"/>
      <c r="C1301" s="16"/>
      <c r="D1301" s="254"/>
    </row>
    <row r="1302" spans="1:4" ht="13.2">
      <c r="A1302" s="16"/>
      <c r="C1302" s="16"/>
      <c r="D1302" s="254"/>
    </row>
    <row r="1303" spans="1:4" ht="13.2">
      <c r="A1303" s="16"/>
      <c r="C1303" s="16"/>
      <c r="D1303" s="254"/>
    </row>
    <row r="1304" spans="1:4" ht="13.2">
      <c r="A1304" s="16"/>
      <c r="C1304" s="16"/>
      <c r="D1304" s="254"/>
    </row>
    <row r="1305" spans="1:4" ht="13.2">
      <c r="A1305" s="16"/>
      <c r="C1305" s="16"/>
      <c r="D1305" s="254"/>
    </row>
    <row r="1306" spans="1:4" ht="13.2">
      <c r="A1306" s="16"/>
      <c r="C1306" s="16"/>
      <c r="D1306" s="254"/>
    </row>
    <row r="1307" spans="1:4" ht="13.2">
      <c r="A1307" s="16"/>
      <c r="C1307" s="16"/>
      <c r="D1307" s="254"/>
    </row>
    <row r="1308" spans="1:4" ht="13.2">
      <c r="A1308" s="16"/>
      <c r="C1308" s="16"/>
      <c r="D1308" s="254"/>
    </row>
    <row r="1309" spans="1:4" ht="13.2">
      <c r="A1309" s="16"/>
      <c r="C1309" s="16"/>
      <c r="D1309" s="254"/>
    </row>
    <row r="1310" spans="1:4" ht="13.2">
      <c r="A1310" s="16"/>
      <c r="C1310" s="16"/>
      <c r="D1310" s="254"/>
    </row>
    <row r="1311" spans="1:4" ht="13.2">
      <c r="A1311" s="16"/>
      <c r="C1311" s="16"/>
      <c r="D1311" s="254"/>
    </row>
    <row r="1312" spans="1:4" ht="13.2">
      <c r="A1312" s="16"/>
      <c r="C1312" s="16"/>
      <c r="D1312" s="254"/>
    </row>
    <row r="1313" spans="1:4" ht="13.2">
      <c r="A1313" s="16"/>
      <c r="C1313" s="16"/>
      <c r="D1313" s="254"/>
    </row>
    <row r="1314" spans="1:4" ht="13.2">
      <c r="A1314" s="16"/>
      <c r="C1314" s="16"/>
      <c r="D1314" s="254"/>
    </row>
    <row r="1315" spans="1:4" ht="13.2">
      <c r="A1315" s="16"/>
      <c r="C1315" s="16"/>
      <c r="D1315" s="254"/>
    </row>
    <row r="1316" spans="1:4" ht="13.2">
      <c r="A1316" s="16"/>
      <c r="C1316" s="16"/>
      <c r="D1316" s="254"/>
    </row>
    <row r="1317" spans="1:4" ht="13.2">
      <c r="A1317" s="16"/>
      <c r="C1317" s="16"/>
      <c r="D1317" s="254"/>
    </row>
    <row r="1318" spans="1:4" ht="13.2">
      <c r="A1318" s="16"/>
      <c r="C1318" s="16"/>
      <c r="D1318" s="254"/>
    </row>
    <row r="1319" spans="1:4" ht="13.2">
      <c r="A1319" s="16"/>
      <c r="C1319" s="16"/>
      <c r="D1319" s="254"/>
    </row>
    <row r="1320" spans="1:4" ht="13.2">
      <c r="A1320" s="16"/>
      <c r="C1320" s="16"/>
      <c r="D1320" s="254"/>
    </row>
    <row r="1321" spans="1:4" ht="13.2">
      <c r="A1321" s="16"/>
      <c r="C1321" s="16"/>
      <c r="D1321" s="254"/>
    </row>
    <row r="1322" spans="1:4" ht="13.2">
      <c r="A1322" s="16"/>
      <c r="C1322" s="16"/>
      <c r="D1322" s="254"/>
    </row>
    <row r="1323" spans="1:4" ht="13.2">
      <c r="A1323" s="16"/>
      <c r="C1323" s="16"/>
      <c r="D1323" s="254"/>
    </row>
    <row r="1324" spans="1:4" ht="13.2">
      <c r="A1324" s="16"/>
      <c r="C1324" s="16"/>
      <c r="D1324" s="254"/>
    </row>
    <row r="1325" spans="1:4" ht="13.2">
      <c r="A1325" s="16"/>
      <c r="C1325" s="16"/>
      <c r="D1325" s="254"/>
    </row>
    <row r="1326" spans="1:4" ht="13.2">
      <c r="A1326" s="16"/>
      <c r="C1326" s="16"/>
      <c r="D1326" s="254"/>
    </row>
    <row r="1327" spans="1:4" ht="13.2">
      <c r="A1327" s="16"/>
      <c r="C1327" s="16"/>
      <c r="D1327" s="254"/>
    </row>
    <row r="1328" spans="1:4" ht="13.2">
      <c r="A1328" s="16"/>
      <c r="C1328" s="16"/>
      <c r="D1328" s="254"/>
    </row>
    <row r="1329" spans="1:4" ht="13.2">
      <c r="A1329" s="16"/>
      <c r="C1329" s="16"/>
      <c r="D1329" s="254"/>
    </row>
    <row r="1330" spans="1:4" ht="13.2">
      <c r="A1330" s="16"/>
      <c r="C1330" s="16"/>
      <c r="D1330" s="254"/>
    </row>
    <row r="1331" spans="1:4" ht="13.2">
      <c r="A1331" s="16"/>
      <c r="C1331" s="16"/>
      <c r="D1331" s="254"/>
    </row>
    <row r="1332" spans="1:4" ht="13.2">
      <c r="A1332" s="16"/>
      <c r="C1332" s="16"/>
      <c r="D1332" s="254"/>
    </row>
    <row r="1333" spans="1:4" ht="13.2">
      <c r="A1333" s="16"/>
      <c r="C1333" s="16"/>
      <c r="D1333" s="254"/>
    </row>
    <row r="1334" spans="1:4" ht="13.2">
      <c r="A1334" s="16"/>
      <c r="C1334" s="16"/>
      <c r="D1334" s="254"/>
    </row>
    <row r="1335" spans="1:4" ht="13.2">
      <c r="A1335" s="16"/>
      <c r="C1335" s="16"/>
      <c r="D1335" s="254"/>
    </row>
    <row r="1336" spans="1:4" ht="13.2">
      <c r="A1336" s="16"/>
      <c r="C1336" s="16"/>
      <c r="D1336" s="254"/>
    </row>
    <row r="1337" spans="1:4" ht="13.2">
      <c r="A1337" s="16"/>
      <c r="C1337" s="16"/>
      <c r="D1337" s="254"/>
    </row>
    <row r="1338" spans="1:4" ht="13.2">
      <c r="A1338" s="16"/>
      <c r="C1338" s="16"/>
      <c r="D1338" s="254"/>
    </row>
    <row r="1339" spans="1:4" ht="13.2">
      <c r="A1339" s="16"/>
      <c r="C1339" s="16"/>
      <c r="D1339" s="254"/>
    </row>
    <row r="1340" spans="1:4" ht="13.2">
      <c r="A1340" s="16"/>
      <c r="C1340" s="16"/>
      <c r="D1340" s="254"/>
    </row>
    <row r="1341" spans="1:4" ht="13.2">
      <c r="A1341" s="16"/>
      <c r="C1341" s="16"/>
      <c r="D1341" s="254"/>
    </row>
    <row r="1342" spans="1:4" ht="13.2">
      <c r="A1342" s="16"/>
      <c r="C1342" s="16"/>
      <c r="D1342" s="254"/>
    </row>
    <row r="1343" spans="1:4" ht="13.2">
      <c r="A1343" s="16"/>
      <c r="C1343" s="16"/>
      <c r="D1343" s="254"/>
    </row>
    <row r="1344" spans="1:4" ht="13.2">
      <c r="A1344" s="16"/>
      <c r="C1344" s="16"/>
      <c r="D1344" s="254"/>
    </row>
    <row r="1345" spans="1:4" ht="13.2">
      <c r="A1345" s="16"/>
      <c r="C1345" s="16"/>
      <c r="D1345" s="254"/>
    </row>
    <row r="1346" spans="1:4" ht="13.2">
      <c r="A1346" s="16"/>
      <c r="C1346" s="16"/>
      <c r="D1346" s="254"/>
    </row>
    <row r="1347" spans="1:4" ht="13.2">
      <c r="A1347" s="16"/>
      <c r="C1347" s="16"/>
      <c r="D1347" s="254"/>
    </row>
    <row r="1348" spans="1:4" ht="13.2">
      <c r="A1348" s="16"/>
      <c r="C1348" s="16"/>
      <c r="D1348" s="254"/>
    </row>
    <row r="1349" spans="1:4" ht="13.2">
      <c r="A1349" s="16"/>
      <c r="C1349" s="16"/>
      <c r="D1349" s="254"/>
    </row>
    <row r="1350" spans="1:4" ht="13.2">
      <c r="A1350" s="16"/>
      <c r="C1350" s="16"/>
      <c r="D1350" s="254"/>
    </row>
    <row r="1351" spans="1:4" ht="13.2">
      <c r="A1351" s="16"/>
      <c r="C1351" s="16"/>
      <c r="D1351" s="254"/>
    </row>
    <row r="1352" spans="1:4" ht="13.2">
      <c r="A1352" s="16"/>
      <c r="C1352" s="16"/>
      <c r="D1352" s="254"/>
    </row>
    <row r="1353" spans="1:4" ht="13.2">
      <c r="A1353" s="16"/>
      <c r="C1353" s="16"/>
      <c r="D1353" s="254"/>
    </row>
    <row r="1354" spans="1:4" ht="13.2">
      <c r="A1354" s="16"/>
      <c r="C1354" s="16"/>
      <c r="D1354" s="254"/>
    </row>
    <row r="1355" spans="1:4" ht="13.2">
      <c r="A1355" s="16"/>
      <c r="C1355" s="16"/>
      <c r="D1355" s="254"/>
    </row>
    <row r="1356" spans="1:4" ht="13.2">
      <c r="A1356" s="16"/>
      <c r="C1356" s="16"/>
      <c r="D1356" s="254"/>
    </row>
    <row r="1357" spans="1:4" ht="13.2">
      <c r="A1357" s="16"/>
      <c r="C1357" s="16"/>
      <c r="D1357" s="254"/>
    </row>
    <row r="1358" spans="1:4" ht="13.2">
      <c r="A1358" s="16"/>
      <c r="C1358" s="16"/>
      <c r="D1358" s="254"/>
    </row>
    <row r="1359" spans="1:4" ht="13.2">
      <c r="A1359" s="16"/>
      <c r="C1359" s="16"/>
      <c r="D1359" s="254"/>
    </row>
    <row r="1360" spans="1:4" ht="13.2">
      <c r="A1360" s="16"/>
      <c r="C1360" s="16"/>
      <c r="D1360" s="254"/>
    </row>
    <row r="1361" spans="1:4" ht="13.2">
      <c r="A1361" s="16"/>
      <c r="C1361" s="16"/>
      <c r="D1361" s="254"/>
    </row>
    <row r="1362" spans="1:4" ht="13.2">
      <c r="A1362" s="16"/>
      <c r="C1362" s="16"/>
      <c r="D1362" s="254"/>
    </row>
    <row r="1363" spans="1:4" ht="13.2">
      <c r="A1363" s="16"/>
      <c r="C1363" s="16"/>
      <c r="D1363" s="254"/>
    </row>
    <row r="1364" spans="1:4" ht="13.2">
      <c r="A1364" s="16"/>
      <c r="C1364" s="16"/>
      <c r="D1364" s="254"/>
    </row>
    <row r="1365" spans="1:4" ht="13.2">
      <c r="A1365" s="16"/>
      <c r="C1365" s="16"/>
      <c r="D1365" s="254"/>
    </row>
    <row r="1366" spans="1:4" ht="13.2">
      <c r="A1366" s="16"/>
      <c r="C1366" s="16"/>
      <c r="D1366" s="254"/>
    </row>
    <row r="1367" spans="1:4" ht="13.2">
      <c r="A1367" s="16"/>
      <c r="C1367" s="16"/>
      <c r="D1367" s="254"/>
    </row>
    <row r="1368" spans="1:4" ht="13.2">
      <c r="A1368" s="16"/>
      <c r="C1368" s="16"/>
      <c r="D1368" s="254"/>
    </row>
    <row r="1369" spans="1:4" ht="13.2">
      <c r="A1369" s="16"/>
      <c r="C1369" s="16"/>
      <c r="D1369" s="254"/>
    </row>
    <row r="1370" spans="1:4" ht="13.2">
      <c r="A1370" s="16"/>
      <c r="C1370" s="16"/>
      <c r="D1370" s="254"/>
    </row>
    <row r="1371" spans="1:4" ht="13.2">
      <c r="A1371" s="16"/>
      <c r="C1371" s="16"/>
      <c r="D1371" s="254"/>
    </row>
    <row r="1372" spans="1:4" ht="13.2">
      <c r="A1372" s="16"/>
      <c r="C1372" s="16"/>
      <c r="D1372" s="254"/>
    </row>
    <row r="1373" spans="1:4" ht="13.2">
      <c r="A1373" s="16"/>
      <c r="C1373" s="16"/>
      <c r="D1373" s="254"/>
    </row>
    <row r="1374" spans="1:4" ht="13.2">
      <c r="A1374" s="16"/>
      <c r="C1374" s="16"/>
      <c r="D1374" s="254"/>
    </row>
    <row r="1375" spans="1:4" ht="13.2">
      <c r="A1375" s="16"/>
      <c r="C1375" s="16"/>
      <c r="D1375" s="254"/>
    </row>
    <row r="1376" spans="1:4" ht="13.2">
      <c r="A1376" s="16"/>
      <c r="C1376" s="16"/>
      <c r="D1376" s="254"/>
    </row>
    <row r="1377" spans="1:4" ht="13.2">
      <c r="A1377" s="16"/>
      <c r="C1377" s="16"/>
      <c r="D1377" s="254"/>
    </row>
    <row r="1378" spans="1:4" ht="13.2">
      <c r="A1378" s="16"/>
      <c r="C1378" s="16"/>
      <c r="D1378" s="254"/>
    </row>
    <row r="1379" spans="1:4" ht="13.2">
      <c r="A1379" s="16"/>
      <c r="C1379" s="16"/>
      <c r="D1379" s="254"/>
    </row>
    <row r="1380" spans="1:4" ht="13.2">
      <c r="A1380" s="16"/>
      <c r="C1380" s="16"/>
      <c r="D1380" s="254"/>
    </row>
    <row r="1381" spans="1:4" ht="13.2">
      <c r="A1381" s="16"/>
      <c r="C1381" s="16"/>
      <c r="D1381" s="254"/>
    </row>
    <row r="1382" spans="1:4" ht="13.2">
      <c r="A1382" s="16"/>
      <c r="C1382" s="16"/>
      <c r="D1382" s="254"/>
    </row>
    <row r="1383" spans="1:4" ht="13.2">
      <c r="A1383" s="16"/>
      <c r="C1383" s="16"/>
      <c r="D1383" s="254"/>
    </row>
    <row r="1384" spans="1:4" ht="13.2">
      <c r="A1384" s="16"/>
      <c r="C1384" s="16"/>
      <c r="D1384" s="254"/>
    </row>
    <row r="1385" spans="1:4" ht="13.2">
      <c r="A1385" s="16"/>
      <c r="C1385" s="16"/>
      <c r="D1385" s="254"/>
    </row>
    <row r="1386" spans="1:4" ht="13.2">
      <c r="A1386" s="16"/>
      <c r="C1386" s="16"/>
      <c r="D1386" s="254"/>
    </row>
    <row r="1387" spans="1:4" ht="13.2">
      <c r="A1387" s="16"/>
      <c r="C1387" s="16"/>
      <c r="D1387" s="254"/>
    </row>
    <row r="1388" spans="1:4" ht="13.2">
      <c r="A1388" s="16"/>
      <c r="C1388" s="16"/>
      <c r="D1388" s="254"/>
    </row>
    <row r="1389" spans="1:4" ht="13.2">
      <c r="A1389" s="16"/>
      <c r="C1389" s="16"/>
      <c r="D1389" s="254"/>
    </row>
    <row r="1390" spans="1:4" ht="13.2">
      <c r="A1390" s="16"/>
      <c r="C1390" s="16"/>
      <c r="D1390" s="254"/>
    </row>
    <row r="1391" spans="1:4" ht="13.2">
      <c r="A1391" s="16"/>
      <c r="C1391" s="16"/>
      <c r="D1391" s="254"/>
    </row>
    <row r="1392" spans="1:4" ht="13.2">
      <c r="A1392" s="16"/>
      <c r="C1392" s="16"/>
      <c r="D1392" s="254"/>
    </row>
    <row r="1393" spans="1:4" ht="13.2">
      <c r="A1393" s="16"/>
      <c r="C1393" s="16"/>
      <c r="D1393" s="254"/>
    </row>
    <row r="1394" spans="1:4" ht="13.2">
      <c r="A1394" s="16"/>
      <c r="C1394" s="16"/>
      <c r="D1394" s="254"/>
    </row>
    <row r="1395" spans="1:4" ht="13.2">
      <c r="A1395" s="16"/>
      <c r="C1395" s="16"/>
      <c r="D1395" s="254"/>
    </row>
    <row r="1396" spans="1:4" ht="13.2">
      <c r="A1396" s="16"/>
      <c r="C1396" s="16"/>
      <c r="D1396" s="254"/>
    </row>
    <row r="1397" spans="1:4" ht="13.2">
      <c r="A1397" s="16"/>
      <c r="C1397" s="16"/>
      <c r="D1397" s="254"/>
    </row>
    <row r="1398" spans="1:4" ht="13.2">
      <c r="A1398" s="16"/>
      <c r="C1398" s="16"/>
      <c r="D1398" s="254"/>
    </row>
    <row r="1399" spans="1:4" ht="13.2">
      <c r="A1399" s="16"/>
      <c r="C1399" s="16"/>
      <c r="D1399" s="254"/>
    </row>
    <row r="1400" spans="1:4" ht="13.2">
      <c r="A1400" s="16"/>
      <c r="C1400" s="16"/>
      <c r="D1400" s="254"/>
    </row>
    <row r="1401" spans="1:4" ht="13.2">
      <c r="A1401" s="16"/>
      <c r="C1401" s="16"/>
      <c r="D1401" s="254"/>
    </row>
    <row r="1402" spans="1:4" ht="13.2">
      <c r="A1402" s="16"/>
      <c r="C1402" s="16"/>
      <c r="D1402" s="254"/>
    </row>
    <row r="1403" spans="1:4" ht="13.2">
      <c r="A1403" s="16"/>
      <c r="C1403" s="16"/>
      <c r="D1403" s="254"/>
    </row>
    <row r="1404" spans="1:4" ht="13.2">
      <c r="A1404" s="16"/>
      <c r="C1404" s="16"/>
      <c r="D1404" s="254"/>
    </row>
    <row r="1405" spans="1:4" ht="13.2">
      <c r="A1405" s="16"/>
      <c r="C1405" s="16"/>
      <c r="D1405" s="254"/>
    </row>
    <row r="1406" spans="1:4" ht="13.2">
      <c r="A1406" s="16"/>
      <c r="C1406" s="16"/>
      <c r="D1406" s="254"/>
    </row>
    <row r="1407" spans="1:4" ht="13.2">
      <c r="A1407" s="16"/>
      <c r="C1407" s="16"/>
      <c r="D1407" s="254"/>
    </row>
    <row r="1408" spans="1:4" ht="13.2">
      <c r="A1408" s="16"/>
      <c r="C1408" s="16"/>
      <c r="D1408" s="254"/>
    </row>
    <row r="1409" spans="1:4" ht="13.2">
      <c r="A1409" s="16"/>
      <c r="C1409" s="16"/>
      <c r="D1409" s="254"/>
    </row>
    <row r="1410" spans="1:4" ht="13.2">
      <c r="A1410" s="16"/>
      <c r="C1410" s="16"/>
      <c r="D1410" s="254"/>
    </row>
    <row r="1411" spans="1:4" ht="13.2">
      <c r="A1411" s="16"/>
      <c r="C1411" s="16"/>
      <c r="D1411" s="254"/>
    </row>
    <row r="1412" spans="1:4" ht="13.2">
      <c r="A1412" s="16"/>
      <c r="C1412" s="16"/>
      <c r="D1412" s="254"/>
    </row>
    <row r="1413" spans="1:4" ht="13.2">
      <c r="A1413" s="16"/>
      <c r="C1413" s="16"/>
      <c r="D1413" s="254"/>
    </row>
    <row r="1414" spans="1:4" ht="13.2">
      <c r="A1414" s="16"/>
      <c r="C1414" s="16"/>
      <c r="D1414" s="254"/>
    </row>
    <row r="1415" spans="1:4" ht="13.2">
      <c r="A1415" s="16"/>
      <c r="C1415" s="16"/>
      <c r="D1415" s="254"/>
    </row>
    <row r="1416" spans="1:4" ht="13.2">
      <c r="A1416" s="16"/>
      <c r="C1416" s="16"/>
      <c r="D1416" s="254"/>
    </row>
    <row r="1417" spans="1:4" ht="13.2">
      <c r="A1417" s="16"/>
      <c r="C1417" s="16"/>
      <c r="D1417" s="254"/>
    </row>
    <row r="1418" spans="1:4" ht="13.2">
      <c r="A1418" s="16"/>
      <c r="C1418" s="16"/>
      <c r="D1418" s="254"/>
    </row>
    <row r="1419" spans="1:4" ht="13.2">
      <c r="A1419" s="16"/>
      <c r="C1419" s="16"/>
      <c r="D1419" s="254"/>
    </row>
    <row r="1420" spans="1:4" ht="13.2">
      <c r="A1420" s="16"/>
      <c r="C1420" s="16"/>
      <c r="D1420" s="254"/>
    </row>
    <row r="1421" spans="1:4" ht="13.2">
      <c r="A1421" s="16"/>
      <c r="C1421" s="16"/>
      <c r="D1421" s="254"/>
    </row>
    <row r="1422" spans="1:4" ht="13.2">
      <c r="A1422" s="16"/>
      <c r="C1422" s="16"/>
      <c r="D1422" s="254"/>
    </row>
    <row r="1423" spans="1:4" ht="13.2">
      <c r="A1423" s="16"/>
      <c r="C1423" s="16"/>
      <c r="D1423" s="254"/>
    </row>
    <row r="1424" spans="1:4" ht="13.2">
      <c r="A1424" s="16"/>
      <c r="C1424" s="16"/>
      <c r="D1424" s="254"/>
    </row>
    <row r="1425" spans="1:4" ht="13.2">
      <c r="A1425" s="16"/>
      <c r="C1425" s="16"/>
      <c r="D1425" s="254"/>
    </row>
    <row r="1426" spans="1:4" ht="13.2">
      <c r="A1426" s="16"/>
      <c r="C1426" s="16"/>
      <c r="D1426" s="254"/>
    </row>
    <row r="1427" spans="1:4" ht="13.2">
      <c r="A1427" s="16"/>
      <c r="C1427" s="16"/>
      <c r="D1427" s="254"/>
    </row>
    <row r="1428" spans="1:4" ht="13.2">
      <c r="A1428" s="16"/>
      <c r="C1428" s="16"/>
      <c r="D1428" s="254"/>
    </row>
    <row r="1429" spans="1:4" ht="13.2">
      <c r="A1429" s="16"/>
      <c r="C1429" s="16"/>
      <c r="D1429" s="254"/>
    </row>
    <row r="1430" spans="1:4" ht="13.2">
      <c r="A1430" s="16"/>
      <c r="C1430" s="16"/>
      <c r="D1430" s="254"/>
    </row>
    <row r="1431" spans="1:4" ht="13.2">
      <c r="A1431" s="16"/>
      <c r="C1431" s="16"/>
      <c r="D1431" s="254"/>
    </row>
    <row r="1432" spans="1:4" ht="13.2">
      <c r="A1432" s="16"/>
      <c r="C1432" s="16"/>
      <c r="D1432" s="254"/>
    </row>
    <row r="1433" spans="1:4" ht="13.2">
      <c r="A1433" s="16"/>
      <c r="C1433" s="16"/>
      <c r="D1433" s="254"/>
    </row>
    <row r="1434" spans="1:4" ht="13.2">
      <c r="A1434" s="16"/>
      <c r="C1434" s="16"/>
      <c r="D1434" s="254"/>
    </row>
    <row r="1435" spans="1:4" ht="13.2">
      <c r="A1435" s="16"/>
      <c r="C1435" s="16"/>
      <c r="D1435" s="254"/>
    </row>
    <row r="1436" spans="1:4" ht="13.2">
      <c r="A1436" s="16"/>
      <c r="C1436" s="16"/>
      <c r="D1436" s="254"/>
    </row>
    <row r="1437" spans="1:4" ht="13.2">
      <c r="A1437" s="16"/>
      <c r="C1437" s="16"/>
      <c r="D1437" s="254"/>
    </row>
    <row r="1438" spans="1:4" ht="13.2">
      <c r="A1438" s="16"/>
      <c r="C1438" s="16"/>
      <c r="D1438" s="254"/>
    </row>
    <row r="1439" spans="1:4" ht="13.2">
      <c r="A1439" s="16"/>
      <c r="C1439" s="16"/>
      <c r="D1439" s="254"/>
    </row>
    <row r="1440" spans="1:4" ht="13.2">
      <c r="A1440" s="16"/>
      <c r="C1440" s="16"/>
      <c r="D1440" s="254"/>
    </row>
    <row r="1441" spans="1:4" ht="13.2">
      <c r="A1441" s="16"/>
      <c r="C1441" s="16"/>
      <c r="D1441" s="254"/>
    </row>
    <row r="1442" spans="1:4" ht="13.2">
      <c r="A1442" s="16"/>
      <c r="C1442" s="16"/>
      <c r="D1442" s="254"/>
    </row>
    <row r="1443" spans="1:4" ht="13.2">
      <c r="A1443" s="16"/>
      <c r="C1443" s="16"/>
      <c r="D1443" s="254"/>
    </row>
    <row r="1444" spans="1:4" ht="13.2">
      <c r="A1444" s="16"/>
      <c r="C1444" s="16"/>
      <c r="D1444" s="254"/>
    </row>
    <row r="1445" spans="1:4" ht="13.2">
      <c r="A1445" s="16"/>
      <c r="C1445" s="16"/>
      <c r="D1445" s="254"/>
    </row>
    <row r="1446" spans="1:4" ht="13.2">
      <c r="A1446" s="16"/>
      <c r="C1446" s="16"/>
      <c r="D1446" s="254"/>
    </row>
    <row r="1447" spans="1:4" ht="13.2">
      <c r="A1447" s="16"/>
      <c r="C1447" s="16"/>
      <c r="D1447" s="254"/>
    </row>
    <row r="1448" spans="1:4" ht="13.2">
      <c r="A1448" s="16"/>
      <c r="C1448" s="16"/>
      <c r="D1448" s="254"/>
    </row>
    <row r="1449" spans="1:4" ht="13.2">
      <c r="A1449" s="16"/>
      <c r="C1449" s="16"/>
      <c r="D1449" s="254"/>
    </row>
    <row r="1450" spans="1:4" ht="13.2">
      <c r="A1450" s="16"/>
      <c r="C1450" s="16"/>
      <c r="D1450" s="254"/>
    </row>
    <row r="1451" spans="1:4" ht="13.2">
      <c r="A1451" s="16"/>
      <c r="C1451" s="16"/>
      <c r="D1451" s="254"/>
    </row>
    <row r="1452" spans="1:4" ht="13.2">
      <c r="A1452" s="16"/>
      <c r="C1452" s="16"/>
      <c r="D1452" s="254"/>
    </row>
    <row r="1453" spans="1:4" ht="13.2">
      <c r="A1453" s="16"/>
      <c r="C1453" s="16"/>
      <c r="D1453" s="254"/>
    </row>
    <row r="1454" spans="1:4" ht="13.2">
      <c r="A1454" s="16"/>
      <c r="C1454" s="16"/>
      <c r="D1454" s="254"/>
    </row>
    <row r="1455" spans="1:4" ht="13.2">
      <c r="A1455" s="16"/>
      <c r="C1455" s="16"/>
      <c r="D1455" s="254"/>
    </row>
    <row r="1456" spans="1:4" ht="13.2">
      <c r="A1456" s="16"/>
      <c r="C1456" s="16"/>
      <c r="D1456" s="254"/>
    </row>
    <row r="1457" spans="1:4" ht="13.2">
      <c r="A1457" s="16"/>
      <c r="C1457" s="16"/>
      <c r="D1457" s="254"/>
    </row>
    <row r="1458" spans="1:4" ht="13.2">
      <c r="A1458" s="16"/>
      <c r="C1458" s="16"/>
      <c r="D1458" s="254"/>
    </row>
    <row r="1459" spans="1:4" ht="13.2">
      <c r="A1459" s="16"/>
      <c r="C1459" s="16"/>
      <c r="D1459" s="254"/>
    </row>
    <row r="1460" spans="1:4" ht="13.2">
      <c r="A1460" s="16"/>
      <c r="C1460" s="16"/>
      <c r="D1460" s="254"/>
    </row>
    <row r="1461" spans="1:4" ht="13.2">
      <c r="A1461" s="16"/>
      <c r="C1461" s="16"/>
      <c r="D1461" s="254"/>
    </row>
    <row r="1462" spans="1:4" ht="13.2">
      <c r="A1462" s="16"/>
      <c r="C1462" s="16"/>
      <c r="D1462" s="254"/>
    </row>
    <row r="1463" spans="1:4" ht="13.2">
      <c r="A1463" s="16"/>
      <c r="C1463" s="16"/>
      <c r="D1463" s="254"/>
    </row>
    <row r="1464" spans="1:4" ht="13.2">
      <c r="A1464" s="16"/>
      <c r="C1464" s="16"/>
      <c r="D1464" s="254"/>
    </row>
    <row r="1465" spans="1:4" ht="13.2">
      <c r="A1465" s="16"/>
      <c r="C1465" s="16"/>
      <c r="D1465" s="254"/>
    </row>
    <row r="1466" spans="1:4" ht="13.2">
      <c r="A1466" s="16"/>
      <c r="C1466" s="16"/>
      <c r="D1466" s="254"/>
    </row>
    <row r="1467" spans="1:4" ht="13.2">
      <c r="A1467" s="16"/>
      <c r="C1467" s="16"/>
      <c r="D1467" s="254"/>
    </row>
    <row r="1468" spans="1:4" ht="13.2">
      <c r="A1468" s="16"/>
      <c r="C1468" s="16"/>
      <c r="D1468" s="254"/>
    </row>
    <row r="1469" spans="1:4" ht="13.2">
      <c r="A1469" s="16"/>
      <c r="C1469" s="16"/>
      <c r="D1469" s="254"/>
    </row>
    <row r="1470" spans="1:4" ht="13.2">
      <c r="A1470" s="16"/>
      <c r="C1470" s="16"/>
      <c r="D1470" s="254"/>
    </row>
    <row r="1471" spans="1:4" ht="13.2">
      <c r="A1471" s="16"/>
      <c r="C1471" s="16"/>
      <c r="D1471" s="254"/>
    </row>
    <row r="1472" spans="1:4" ht="13.2">
      <c r="A1472" s="16"/>
      <c r="C1472" s="16"/>
      <c r="D1472" s="254"/>
    </row>
    <row r="1473" spans="1:4" ht="13.2">
      <c r="A1473" s="16"/>
      <c r="C1473" s="16"/>
      <c r="D1473" s="254"/>
    </row>
    <row r="1474" spans="1:4" ht="13.2">
      <c r="A1474" s="16"/>
      <c r="C1474" s="16"/>
      <c r="D1474" s="254"/>
    </row>
    <row r="1475" spans="1:4" ht="13.2">
      <c r="A1475" s="16"/>
      <c r="C1475" s="16"/>
      <c r="D1475" s="254"/>
    </row>
    <row r="1476" spans="1:4" ht="13.2">
      <c r="A1476" s="16"/>
      <c r="C1476" s="16"/>
      <c r="D1476" s="254"/>
    </row>
    <row r="1477" spans="1:4" ht="13.2">
      <c r="A1477" s="16"/>
      <c r="C1477" s="16"/>
      <c r="D1477" s="254"/>
    </row>
    <row r="1478" spans="1:4" ht="13.2">
      <c r="A1478" s="16"/>
      <c r="C1478" s="16"/>
      <c r="D1478" s="254"/>
    </row>
    <row r="1479" spans="1:4" ht="13.2">
      <c r="A1479" s="16"/>
      <c r="C1479" s="16"/>
      <c r="D1479" s="254"/>
    </row>
    <row r="1480" spans="1:4" ht="13.2">
      <c r="A1480" s="16"/>
      <c r="C1480" s="16"/>
      <c r="D1480" s="254"/>
    </row>
    <row r="1481" spans="1:4" ht="13.2">
      <c r="A1481" s="16"/>
      <c r="C1481" s="16"/>
      <c r="D1481" s="254"/>
    </row>
    <row r="1482" spans="1:4" ht="13.2">
      <c r="A1482" s="16"/>
      <c r="C1482" s="16"/>
      <c r="D1482" s="254"/>
    </row>
    <row r="1483" spans="1:4" ht="13.2">
      <c r="A1483" s="16"/>
      <c r="C1483" s="16"/>
      <c r="D1483" s="254"/>
    </row>
    <row r="1484" spans="1:4" ht="13.2">
      <c r="A1484" s="16"/>
      <c r="C1484" s="16"/>
      <c r="D1484" s="254"/>
    </row>
    <row r="1485" spans="1:4" ht="13.2">
      <c r="A1485" s="16"/>
      <c r="C1485" s="16"/>
      <c r="D1485" s="254"/>
    </row>
    <row r="1486" spans="1:4" ht="13.2">
      <c r="A1486" s="16"/>
      <c r="C1486" s="16"/>
      <c r="D1486" s="254"/>
    </row>
    <row r="1487" spans="1:4" ht="13.2">
      <c r="A1487" s="16"/>
      <c r="C1487" s="16"/>
      <c r="D1487" s="254"/>
    </row>
    <row r="1488" spans="1:4" ht="13.2">
      <c r="A1488" s="16"/>
      <c r="C1488" s="16"/>
      <c r="D1488" s="254"/>
    </row>
    <row r="1489" spans="1:4" ht="13.2">
      <c r="A1489" s="16"/>
      <c r="C1489" s="16"/>
      <c r="D1489" s="254"/>
    </row>
    <row r="1490" spans="1:4" ht="13.2">
      <c r="A1490" s="16"/>
      <c r="C1490" s="16"/>
      <c r="D1490" s="254"/>
    </row>
    <row r="1491" spans="1:4" ht="13.2">
      <c r="A1491" s="16"/>
      <c r="C1491" s="16"/>
      <c r="D1491" s="254"/>
    </row>
    <row r="1492" spans="1:4" ht="13.2">
      <c r="A1492" s="16"/>
      <c r="C1492" s="16"/>
      <c r="D1492" s="254"/>
    </row>
    <row r="1493" spans="1:4" ht="13.2">
      <c r="A1493" s="16"/>
      <c r="C1493" s="16"/>
      <c r="D1493" s="254"/>
    </row>
    <row r="1494" spans="1:4" ht="13.2">
      <c r="A1494" s="16"/>
      <c r="C1494" s="16"/>
      <c r="D1494" s="254"/>
    </row>
    <row r="1495" spans="1:4" ht="13.2">
      <c r="A1495" s="16"/>
      <c r="C1495" s="16"/>
      <c r="D1495" s="254"/>
    </row>
    <row r="1496" spans="1:4" ht="13.2">
      <c r="A1496" s="16"/>
      <c r="C1496" s="16"/>
      <c r="D1496" s="254"/>
    </row>
    <row r="1497" spans="1:4" ht="13.2">
      <c r="A1497" s="16"/>
      <c r="C1497" s="16"/>
      <c r="D1497" s="254"/>
    </row>
    <row r="1498" spans="1:4" ht="13.2">
      <c r="A1498" s="16"/>
      <c r="C1498" s="16"/>
      <c r="D1498" s="254"/>
    </row>
    <row r="1499" spans="1:4" ht="13.2">
      <c r="A1499" s="16"/>
      <c r="C1499" s="16"/>
      <c r="D1499" s="254"/>
    </row>
    <row r="1500" spans="1:4" ht="13.2">
      <c r="A1500" s="16"/>
      <c r="C1500" s="16"/>
      <c r="D1500" s="254"/>
    </row>
    <row r="1501" spans="1:4" ht="13.2">
      <c r="A1501" s="16"/>
      <c r="C1501" s="16"/>
      <c r="D1501" s="254"/>
    </row>
    <row r="1502" spans="1:4" ht="13.2">
      <c r="A1502" s="16"/>
      <c r="C1502" s="16"/>
      <c r="D1502" s="254"/>
    </row>
    <row r="1503" spans="1:4" ht="13.2">
      <c r="A1503" s="16"/>
      <c r="C1503" s="16"/>
      <c r="D1503" s="254"/>
    </row>
    <row r="1504" spans="1:4" ht="13.2">
      <c r="A1504" s="16"/>
      <c r="C1504" s="16"/>
      <c r="D1504" s="254"/>
    </row>
    <row r="1505" spans="1:4" ht="13.2">
      <c r="A1505" s="16"/>
      <c r="C1505" s="16"/>
      <c r="D1505" s="254"/>
    </row>
    <row r="1506" spans="1:4" ht="13.2">
      <c r="A1506" s="16"/>
      <c r="C1506" s="16"/>
      <c r="D1506" s="254"/>
    </row>
    <row r="1507" spans="1:4" ht="13.2">
      <c r="A1507" s="16"/>
      <c r="C1507" s="16"/>
      <c r="D1507" s="254"/>
    </row>
    <row r="1508" spans="1:4" ht="13.2">
      <c r="A1508" s="16"/>
      <c r="C1508" s="16"/>
      <c r="D1508" s="254"/>
    </row>
    <row r="1509" spans="1:4" ht="13.2">
      <c r="A1509" s="16"/>
      <c r="C1509" s="16"/>
      <c r="D1509" s="254"/>
    </row>
    <row r="1510" spans="1:4" ht="13.2">
      <c r="A1510" s="16"/>
      <c r="C1510" s="16"/>
      <c r="D1510" s="254"/>
    </row>
    <row r="1511" spans="1:4" ht="13.2">
      <c r="A1511" s="16"/>
      <c r="C1511" s="16"/>
      <c r="D1511" s="254"/>
    </row>
    <row r="1512" spans="1:4" ht="13.2">
      <c r="A1512" s="16"/>
      <c r="C1512" s="16"/>
      <c r="D1512" s="254"/>
    </row>
    <row r="1513" spans="1:4" ht="13.2">
      <c r="A1513" s="16"/>
      <c r="C1513" s="16"/>
      <c r="D1513" s="254"/>
    </row>
    <row r="1514" spans="1:4" ht="13.2">
      <c r="A1514" s="16"/>
      <c r="C1514" s="16"/>
      <c r="D1514" s="254"/>
    </row>
    <row r="1515" spans="1:4" ht="13.2">
      <c r="A1515" s="16"/>
      <c r="C1515" s="16"/>
      <c r="D1515" s="254"/>
    </row>
    <row r="1516" spans="1:4" ht="13.2">
      <c r="A1516" s="16"/>
      <c r="C1516" s="16"/>
      <c r="D1516" s="254"/>
    </row>
    <row r="1517" spans="1:4" ht="13.2">
      <c r="A1517" s="16"/>
      <c r="C1517" s="16"/>
      <c r="D1517" s="254"/>
    </row>
    <row r="1518" spans="1:4" ht="13.2">
      <c r="A1518" s="16"/>
      <c r="C1518" s="16"/>
      <c r="D1518" s="254"/>
    </row>
    <row r="1519" spans="1:4" ht="13.2">
      <c r="A1519" s="16"/>
      <c r="C1519" s="16"/>
      <c r="D1519" s="254"/>
    </row>
    <row r="1520" spans="1:4" ht="13.2">
      <c r="A1520" s="16"/>
      <c r="C1520" s="16"/>
      <c r="D1520" s="254"/>
    </row>
    <row r="1521" spans="1:4" ht="13.2">
      <c r="A1521" s="16"/>
      <c r="C1521" s="16"/>
      <c r="D1521" s="254"/>
    </row>
    <row r="1522" spans="1:4" ht="13.2">
      <c r="A1522" s="16"/>
      <c r="C1522" s="16"/>
      <c r="D1522" s="254"/>
    </row>
    <row r="1523" spans="1:4" ht="13.2">
      <c r="A1523" s="16"/>
      <c r="C1523" s="16"/>
      <c r="D1523" s="254"/>
    </row>
    <row r="1524" spans="1:4" ht="13.2">
      <c r="A1524" s="16"/>
      <c r="C1524" s="16"/>
      <c r="D1524" s="254"/>
    </row>
    <row r="1525" spans="1:4" ht="13.2">
      <c r="A1525" s="16"/>
      <c r="C1525" s="16"/>
      <c r="D1525" s="254"/>
    </row>
    <row r="1526" spans="1:4" ht="13.2">
      <c r="A1526" s="16"/>
      <c r="C1526" s="16"/>
      <c r="D1526" s="254"/>
    </row>
    <row r="1527" spans="1:4" ht="13.2">
      <c r="A1527" s="16"/>
      <c r="C1527" s="16"/>
      <c r="D1527" s="254"/>
    </row>
    <row r="1528" spans="1:4" ht="13.2">
      <c r="A1528" s="16"/>
      <c r="C1528" s="16"/>
      <c r="D1528" s="254"/>
    </row>
    <row r="1529" spans="1:4" ht="13.2">
      <c r="A1529" s="16"/>
      <c r="C1529" s="16"/>
      <c r="D1529" s="254"/>
    </row>
    <row r="1530" spans="1:4" ht="13.2">
      <c r="A1530" s="16"/>
      <c r="C1530" s="16"/>
      <c r="D1530" s="254"/>
    </row>
    <row r="1531" spans="1:4" ht="13.2">
      <c r="A1531" s="16"/>
      <c r="C1531" s="16"/>
      <c r="D1531" s="254"/>
    </row>
    <row r="1532" spans="1:4" ht="13.2">
      <c r="A1532" s="16"/>
      <c r="C1532" s="16"/>
      <c r="D1532" s="254"/>
    </row>
    <row r="1533" spans="1:4" ht="13.2">
      <c r="A1533" s="16"/>
      <c r="C1533" s="16"/>
      <c r="D1533" s="254"/>
    </row>
    <row r="1534" spans="1:4" ht="13.2">
      <c r="A1534" s="16"/>
      <c r="C1534" s="16"/>
      <c r="D1534" s="254"/>
    </row>
    <row r="1535" spans="1:4" ht="13.2">
      <c r="A1535" s="16"/>
      <c r="C1535" s="16"/>
      <c r="D1535" s="254"/>
    </row>
    <row r="1536" spans="1:4" ht="13.2">
      <c r="A1536" s="16"/>
      <c r="C1536" s="16"/>
      <c r="D1536" s="254"/>
    </row>
    <row r="1537" spans="1:4" ht="13.2">
      <c r="A1537" s="16"/>
      <c r="C1537" s="16"/>
      <c r="D1537" s="254"/>
    </row>
    <row r="1538" spans="1:4" ht="13.2">
      <c r="A1538" s="16"/>
      <c r="C1538" s="16"/>
      <c r="D1538" s="254"/>
    </row>
    <row r="1539" spans="1:4" ht="13.2">
      <c r="A1539" s="16"/>
      <c r="C1539" s="16"/>
      <c r="D1539" s="254"/>
    </row>
    <row r="1540" spans="1:4" ht="13.2">
      <c r="A1540" s="16"/>
      <c r="C1540" s="16"/>
      <c r="D1540" s="254"/>
    </row>
    <row r="1541" spans="1:4" ht="13.2">
      <c r="A1541" s="16"/>
      <c r="C1541" s="16"/>
      <c r="D1541" s="254"/>
    </row>
    <row r="1542" spans="1:4" ht="13.2">
      <c r="A1542" s="16"/>
      <c r="C1542" s="16"/>
      <c r="D1542" s="254"/>
    </row>
    <row r="1543" spans="1:4" ht="13.2">
      <c r="A1543" s="16"/>
      <c r="C1543" s="16"/>
      <c r="D1543" s="254"/>
    </row>
    <row r="1544" spans="1:4" ht="13.2">
      <c r="A1544" s="16"/>
      <c r="C1544" s="16"/>
      <c r="D1544" s="254"/>
    </row>
    <row r="1545" spans="1:4" ht="13.2">
      <c r="A1545" s="16"/>
      <c r="C1545" s="16"/>
      <c r="D1545" s="254"/>
    </row>
    <row r="1546" spans="1:4" ht="13.2">
      <c r="A1546" s="16"/>
      <c r="C1546" s="16"/>
      <c r="D1546" s="254"/>
    </row>
    <row r="1547" spans="1:4" ht="13.2">
      <c r="A1547" s="16"/>
      <c r="C1547" s="16"/>
      <c r="D1547" s="254"/>
    </row>
    <row r="1548" spans="1:4" ht="13.2">
      <c r="A1548" s="16"/>
      <c r="C1548" s="16"/>
      <c r="D1548" s="254"/>
    </row>
    <row r="1549" spans="1:4" ht="13.2">
      <c r="A1549" s="16"/>
      <c r="C1549" s="16"/>
      <c r="D1549" s="254"/>
    </row>
    <row r="1550" spans="1:4" ht="13.2">
      <c r="A1550" s="16"/>
      <c r="C1550" s="16"/>
      <c r="D1550" s="254"/>
    </row>
    <row r="1551" spans="1:4" ht="13.2">
      <c r="A1551" s="16"/>
      <c r="C1551" s="16"/>
      <c r="D1551" s="254"/>
    </row>
    <row r="1552" spans="1:4" ht="13.2">
      <c r="A1552" s="16"/>
      <c r="C1552" s="16"/>
      <c r="D1552" s="254"/>
    </row>
    <row r="1553" spans="1:4" ht="13.2">
      <c r="A1553" s="16"/>
      <c r="C1553" s="16"/>
      <c r="D1553" s="254"/>
    </row>
    <row r="1554" spans="1:4" ht="13.2">
      <c r="A1554" s="16"/>
      <c r="C1554" s="16"/>
      <c r="D1554" s="254"/>
    </row>
    <row r="1555" spans="1:4" ht="13.2">
      <c r="A1555" s="16"/>
      <c r="C1555" s="16"/>
      <c r="D1555" s="254"/>
    </row>
    <row r="1556" spans="1:4" ht="13.2">
      <c r="A1556" s="16"/>
      <c r="C1556" s="16"/>
      <c r="D1556" s="254"/>
    </row>
    <row r="1557" spans="1:4" ht="13.2">
      <c r="A1557" s="16"/>
      <c r="C1557" s="16"/>
      <c r="D1557" s="254"/>
    </row>
    <row r="1558" spans="1:4" ht="13.2">
      <c r="A1558" s="16"/>
      <c r="C1558" s="16"/>
      <c r="D1558" s="254"/>
    </row>
    <row r="1559" spans="1:4" ht="13.2">
      <c r="A1559" s="16"/>
      <c r="C1559" s="16"/>
      <c r="D1559" s="254"/>
    </row>
    <row r="1560" spans="1:4" ht="13.2">
      <c r="A1560" s="16"/>
      <c r="C1560" s="16"/>
      <c r="D1560" s="254"/>
    </row>
    <row r="1561" spans="1:4" ht="13.2">
      <c r="A1561" s="16"/>
      <c r="C1561" s="16"/>
      <c r="D1561" s="254"/>
    </row>
    <row r="1562" spans="1:4" ht="13.2">
      <c r="A1562" s="16"/>
      <c r="C1562" s="16"/>
      <c r="D1562" s="254"/>
    </row>
    <row r="1563" spans="1:4" ht="13.2">
      <c r="A1563" s="16"/>
      <c r="C1563" s="16"/>
      <c r="D1563" s="254"/>
    </row>
    <row r="1564" spans="1:4" ht="13.2">
      <c r="A1564" s="16"/>
      <c r="C1564" s="16"/>
      <c r="D1564" s="254"/>
    </row>
    <row r="1565" spans="1:4" ht="13.2">
      <c r="A1565" s="16"/>
      <c r="C1565" s="16"/>
      <c r="D1565" s="254"/>
    </row>
    <row r="1566" spans="1:4" ht="13.2">
      <c r="A1566" s="16"/>
      <c r="C1566" s="16"/>
      <c r="D1566" s="254"/>
    </row>
    <row r="1567" spans="1:4" ht="13.2">
      <c r="A1567" s="16"/>
      <c r="C1567" s="16"/>
      <c r="D1567" s="254"/>
    </row>
    <row r="1568" spans="1:4" ht="13.2">
      <c r="A1568" s="16"/>
      <c r="C1568" s="16"/>
      <c r="D1568" s="254"/>
    </row>
    <row r="1569" spans="1:4" ht="13.2">
      <c r="A1569" s="16"/>
      <c r="C1569" s="16"/>
      <c r="D1569" s="254"/>
    </row>
    <row r="1570" spans="1:4" ht="13.2">
      <c r="A1570" s="16"/>
      <c r="C1570" s="16"/>
      <c r="D1570" s="254"/>
    </row>
    <row r="1571" spans="1:4" ht="13.2">
      <c r="A1571" s="16"/>
      <c r="C1571" s="16"/>
      <c r="D1571" s="254"/>
    </row>
    <row r="1572" spans="1:4" ht="13.2">
      <c r="A1572" s="16"/>
      <c r="C1572" s="16"/>
      <c r="D1572" s="254"/>
    </row>
    <row r="1573" spans="1:4" ht="13.2">
      <c r="A1573" s="16"/>
      <c r="C1573" s="16"/>
      <c r="D1573" s="254"/>
    </row>
    <row r="1574" spans="1:4" ht="13.2">
      <c r="A1574" s="16"/>
      <c r="C1574" s="16"/>
      <c r="D1574" s="254"/>
    </row>
    <row r="1575" spans="1:4" ht="13.2">
      <c r="A1575" s="16"/>
      <c r="C1575" s="16"/>
      <c r="D1575" s="254"/>
    </row>
    <row r="1576" spans="1:4" ht="13.2">
      <c r="A1576" s="16"/>
      <c r="C1576" s="16"/>
      <c r="D1576" s="254"/>
    </row>
    <row r="1577" spans="1:4" ht="13.2">
      <c r="A1577" s="16"/>
      <c r="C1577" s="16"/>
      <c r="D1577" s="254"/>
    </row>
    <row r="1578" spans="1:4" ht="13.2">
      <c r="A1578" s="16"/>
      <c r="C1578" s="16"/>
      <c r="D1578" s="254"/>
    </row>
    <row r="1579" spans="1:4" ht="13.2">
      <c r="A1579" s="16"/>
      <c r="C1579" s="16"/>
      <c r="D1579" s="254"/>
    </row>
    <row r="1580" spans="1:4" ht="13.2">
      <c r="A1580" s="16"/>
      <c r="C1580" s="16"/>
      <c r="D1580" s="254"/>
    </row>
    <row r="1581" spans="1:4" ht="13.2">
      <c r="A1581" s="16"/>
      <c r="C1581" s="16"/>
      <c r="D1581" s="254"/>
    </row>
    <row r="1582" spans="1:4" ht="13.2">
      <c r="A1582" s="16"/>
      <c r="C1582" s="16"/>
      <c r="D1582" s="254"/>
    </row>
    <row r="1583" spans="1:4" ht="13.2">
      <c r="A1583" s="16"/>
      <c r="C1583" s="16"/>
      <c r="D1583" s="254"/>
    </row>
    <row r="1584" spans="1:4" ht="13.2">
      <c r="A1584" s="16"/>
      <c r="C1584" s="16"/>
      <c r="D1584" s="254"/>
    </row>
    <row r="1585" spans="1:4" ht="13.2">
      <c r="A1585" s="16"/>
      <c r="C1585" s="16"/>
      <c r="D1585" s="254"/>
    </row>
    <row r="1586" spans="1:4" ht="13.2">
      <c r="A1586" s="16"/>
      <c r="C1586" s="16"/>
      <c r="D1586" s="254"/>
    </row>
    <row r="1587" spans="1:4" ht="13.2">
      <c r="A1587" s="16"/>
      <c r="C1587" s="16"/>
      <c r="D1587" s="254"/>
    </row>
    <row r="1588" spans="1:4" ht="13.2">
      <c r="A1588" s="16"/>
      <c r="C1588" s="16"/>
      <c r="D1588" s="254"/>
    </row>
    <row r="1589" spans="1:4" ht="13.2">
      <c r="A1589" s="16"/>
      <c r="C1589" s="16"/>
      <c r="D1589" s="254"/>
    </row>
    <row r="1590" spans="1:4" ht="13.2">
      <c r="A1590" s="16"/>
      <c r="C1590" s="16"/>
      <c r="D1590" s="254"/>
    </row>
    <row r="1591" spans="1:4" ht="13.2">
      <c r="A1591" s="16"/>
      <c r="C1591" s="16"/>
      <c r="D1591" s="254"/>
    </row>
    <row r="1592" spans="1:4" ht="13.2">
      <c r="A1592" s="16"/>
      <c r="C1592" s="16"/>
      <c r="D1592" s="254"/>
    </row>
    <row r="1593" spans="1:4" ht="13.2">
      <c r="A1593" s="16"/>
      <c r="C1593" s="16"/>
      <c r="D1593" s="254"/>
    </row>
    <row r="1594" spans="1:4" ht="13.2">
      <c r="A1594" s="16"/>
      <c r="C1594" s="16"/>
      <c r="D1594" s="254"/>
    </row>
    <row r="1595" spans="1:4" ht="13.2">
      <c r="A1595" s="16"/>
      <c r="C1595" s="16"/>
      <c r="D1595" s="254"/>
    </row>
    <row r="1596" spans="1:4" ht="13.2">
      <c r="A1596" s="16"/>
      <c r="C1596" s="16"/>
      <c r="D1596" s="254"/>
    </row>
    <row r="1597" spans="1:4" ht="13.2">
      <c r="A1597" s="16"/>
      <c r="C1597" s="16"/>
      <c r="D1597" s="254"/>
    </row>
    <row r="1598" spans="1:4" ht="13.2">
      <c r="A1598" s="16"/>
      <c r="C1598" s="16"/>
      <c r="D1598" s="254"/>
    </row>
    <row r="1599" spans="1:4" ht="13.2">
      <c r="A1599" s="16"/>
      <c r="C1599" s="16"/>
      <c r="D1599" s="254"/>
    </row>
    <row r="1600" spans="1:4" ht="13.2">
      <c r="A1600" s="16"/>
      <c r="C1600" s="16"/>
      <c r="D1600" s="254"/>
    </row>
    <row r="1601" spans="1:4" ht="13.2">
      <c r="A1601" s="16"/>
      <c r="C1601" s="16"/>
      <c r="D1601" s="254"/>
    </row>
    <row r="1602" spans="1:4" ht="13.2">
      <c r="A1602" s="16"/>
      <c r="C1602" s="16"/>
      <c r="D1602" s="254"/>
    </row>
    <row r="1603" spans="1:4" ht="13.2">
      <c r="A1603" s="16"/>
      <c r="C1603" s="16"/>
      <c r="D1603" s="254"/>
    </row>
    <row r="1604" spans="1:4" ht="13.2">
      <c r="A1604" s="16"/>
      <c r="C1604" s="16"/>
      <c r="D1604" s="254"/>
    </row>
    <row r="1605" spans="1:4" ht="13.2">
      <c r="A1605" s="16"/>
      <c r="C1605" s="16"/>
      <c r="D1605" s="254"/>
    </row>
    <row r="1606" spans="1:4" ht="13.2">
      <c r="A1606" s="16"/>
      <c r="C1606" s="16"/>
      <c r="D1606" s="254"/>
    </row>
    <row r="1607" spans="1:4" ht="13.2">
      <c r="A1607" s="16"/>
      <c r="C1607" s="16"/>
      <c r="D1607" s="254"/>
    </row>
    <row r="1608" spans="1:4" ht="13.2">
      <c r="A1608" s="16"/>
      <c r="C1608" s="16"/>
      <c r="D1608" s="254"/>
    </row>
    <row r="1609" spans="1:4" ht="13.2">
      <c r="A1609" s="16"/>
      <c r="C1609" s="16"/>
      <c r="D1609" s="254"/>
    </row>
    <row r="1610" spans="1:4" ht="13.2">
      <c r="A1610" s="16"/>
      <c r="C1610" s="16"/>
      <c r="D1610" s="254"/>
    </row>
    <row r="1611" spans="1:4" ht="13.2">
      <c r="A1611" s="16"/>
      <c r="C1611" s="16"/>
      <c r="D1611" s="254"/>
    </row>
    <row r="1612" spans="1:4" ht="13.2">
      <c r="A1612" s="16"/>
      <c r="C1612" s="16"/>
      <c r="D1612" s="254"/>
    </row>
    <row r="1613" spans="1:4" ht="13.2">
      <c r="A1613" s="16"/>
      <c r="C1613" s="16"/>
      <c r="D1613" s="254"/>
    </row>
    <row r="1614" spans="1:4" ht="13.2">
      <c r="A1614" s="16"/>
      <c r="C1614" s="16"/>
      <c r="D1614" s="254"/>
    </row>
    <row r="1615" spans="1:4" ht="13.2">
      <c r="A1615" s="16"/>
      <c r="C1615" s="16"/>
      <c r="D1615" s="254"/>
    </row>
    <row r="1616" spans="1:4" ht="13.2">
      <c r="A1616" s="16"/>
      <c r="C1616" s="16"/>
      <c r="D1616" s="254"/>
    </row>
    <row r="1617" spans="1:4" ht="13.2">
      <c r="A1617" s="16"/>
      <c r="C1617" s="16"/>
      <c r="D1617" s="254"/>
    </row>
    <row r="1618" spans="1:4" ht="13.2">
      <c r="A1618" s="16"/>
      <c r="C1618" s="16"/>
      <c r="D1618" s="254"/>
    </row>
    <row r="1619" spans="1:4" ht="13.2">
      <c r="A1619" s="16"/>
      <c r="C1619" s="16"/>
      <c r="D1619" s="254"/>
    </row>
    <row r="1620" spans="1:4" ht="13.2">
      <c r="A1620" s="16"/>
      <c r="C1620" s="16"/>
      <c r="D1620" s="254"/>
    </row>
    <row r="1621" spans="1:4" ht="13.2">
      <c r="A1621" s="16"/>
      <c r="C1621" s="16"/>
      <c r="D1621" s="254"/>
    </row>
    <row r="1622" spans="1:4" ht="13.2">
      <c r="A1622" s="16"/>
      <c r="C1622" s="16"/>
      <c r="D1622" s="254"/>
    </row>
    <row r="1623" spans="1:4" ht="13.2">
      <c r="A1623" s="16"/>
      <c r="C1623" s="16"/>
      <c r="D1623" s="254"/>
    </row>
    <row r="1624" spans="1:4" ht="13.2">
      <c r="A1624" s="16"/>
      <c r="C1624" s="16"/>
      <c r="D1624" s="254"/>
    </row>
    <row r="1625" spans="1:4" ht="13.2">
      <c r="A1625" s="16"/>
      <c r="C1625" s="16"/>
      <c r="D1625" s="254"/>
    </row>
    <row r="1626" spans="1:4" ht="13.2">
      <c r="A1626" s="16"/>
      <c r="C1626" s="16"/>
      <c r="D1626" s="254"/>
    </row>
    <row r="1627" spans="1:4" ht="13.2">
      <c r="A1627" s="16"/>
      <c r="C1627" s="16"/>
      <c r="D1627" s="254"/>
    </row>
    <row r="1628" spans="1:4" ht="13.2">
      <c r="A1628" s="16"/>
      <c r="C1628" s="16"/>
      <c r="D1628" s="254"/>
    </row>
    <row r="1629" spans="1:4" ht="13.2">
      <c r="A1629" s="16"/>
      <c r="C1629" s="16"/>
      <c r="D1629" s="254"/>
    </row>
    <row r="1630" spans="1:4" ht="13.2">
      <c r="A1630" s="16"/>
      <c r="C1630" s="16"/>
      <c r="D1630" s="254"/>
    </row>
    <row r="1631" spans="1:4" ht="13.2">
      <c r="A1631" s="16"/>
      <c r="C1631" s="16"/>
      <c r="D1631" s="254"/>
    </row>
    <row r="1632" spans="1:4" ht="13.2">
      <c r="A1632" s="16"/>
      <c r="C1632" s="16"/>
      <c r="D1632" s="254"/>
    </row>
    <row r="1633" spans="1:4" ht="13.2">
      <c r="A1633" s="16"/>
      <c r="C1633" s="16"/>
      <c r="D1633" s="254"/>
    </row>
    <row r="1634" spans="1:4" ht="13.2">
      <c r="A1634" s="16"/>
      <c r="C1634" s="16"/>
      <c r="D1634" s="254"/>
    </row>
    <row r="1635" spans="1:4" ht="13.2">
      <c r="A1635" s="16"/>
      <c r="C1635" s="16"/>
      <c r="D1635" s="254"/>
    </row>
    <row r="1636" spans="1:4" ht="13.2">
      <c r="A1636" s="16"/>
      <c r="C1636" s="16"/>
      <c r="D1636" s="254"/>
    </row>
    <row r="1637" spans="1:4" ht="13.2">
      <c r="A1637" s="16"/>
      <c r="C1637" s="16"/>
      <c r="D1637" s="254"/>
    </row>
    <row r="1638" spans="1:4" ht="13.2">
      <c r="A1638" s="16"/>
      <c r="C1638" s="16"/>
      <c r="D1638" s="254"/>
    </row>
    <row r="1639" spans="1:4" ht="13.2">
      <c r="A1639" s="16"/>
      <c r="C1639" s="16"/>
      <c r="D1639" s="254"/>
    </row>
    <row r="1640" spans="1:4" ht="13.2">
      <c r="A1640" s="16"/>
      <c r="C1640" s="16"/>
      <c r="D1640" s="254"/>
    </row>
    <row r="1641" spans="1:4" ht="13.2">
      <c r="A1641" s="16"/>
      <c r="C1641" s="16"/>
      <c r="D1641" s="254"/>
    </row>
    <row r="1642" spans="1:4" ht="13.2">
      <c r="A1642" s="16"/>
      <c r="C1642" s="16"/>
      <c r="D1642" s="254"/>
    </row>
    <row r="1643" spans="1:4" ht="13.2">
      <c r="A1643" s="16"/>
      <c r="C1643" s="16"/>
      <c r="D1643" s="254"/>
    </row>
    <row r="1644" spans="1:4" ht="13.2">
      <c r="A1644" s="16"/>
      <c r="C1644" s="16"/>
      <c r="D1644" s="254"/>
    </row>
    <row r="1645" spans="1:4" ht="13.2">
      <c r="A1645" s="16"/>
      <c r="C1645" s="16"/>
      <c r="D1645" s="254"/>
    </row>
    <row r="1646" spans="1:4" ht="13.2">
      <c r="A1646" s="16"/>
      <c r="C1646" s="16"/>
      <c r="D1646" s="254"/>
    </row>
    <row r="1647" spans="1:4" ht="13.2">
      <c r="A1647" s="16"/>
      <c r="C1647" s="16"/>
      <c r="D1647" s="254"/>
    </row>
    <row r="1648" spans="1:4" ht="13.2">
      <c r="A1648" s="16"/>
      <c r="C1648" s="16"/>
      <c r="D1648" s="254"/>
    </row>
    <row r="1649" spans="1:4" ht="13.2">
      <c r="A1649" s="16"/>
      <c r="C1649" s="16"/>
      <c r="D1649" s="254"/>
    </row>
    <row r="1650" spans="1:4" ht="13.2">
      <c r="A1650" s="16"/>
      <c r="C1650" s="16"/>
      <c r="D1650" s="254"/>
    </row>
    <row r="1651" spans="1:4" ht="13.2">
      <c r="A1651" s="16"/>
      <c r="C1651" s="16"/>
      <c r="D1651" s="254"/>
    </row>
    <row r="1652" spans="1:4" ht="13.2">
      <c r="A1652" s="16"/>
      <c r="C1652" s="16"/>
      <c r="D1652" s="254"/>
    </row>
    <row r="1653" spans="1:4" ht="13.2">
      <c r="A1653" s="16"/>
      <c r="C1653" s="16"/>
      <c r="D1653" s="254"/>
    </row>
    <row r="1654" spans="1:4" ht="13.2">
      <c r="A1654" s="16"/>
      <c r="C1654" s="16"/>
      <c r="D1654" s="254"/>
    </row>
    <row r="1655" spans="1:4" ht="13.2">
      <c r="A1655" s="16"/>
      <c r="C1655" s="16"/>
      <c r="D1655" s="254"/>
    </row>
    <row r="1656" spans="1:4" ht="13.2">
      <c r="A1656" s="16"/>
      <c r="C1656" s="16"/>
      <c r="D1656" s="254"/>
    </row>
    <row r="1657" spans="1:4" ht="13.2">
      <c r="A1657" s="16"/>
      <c r="C1657" s="16"/>
      <c r="D1657" s="254"/>
    </row>
    <row r="1658" spans="1:4" ht="13.2">
      <c r="A1658" s="16"/>
      <c r="C1658" s="16"/>
      <c r="D1658" s="254"/>
    </row>
    <row r="1659" spans="1:4" ht="13.2">
      <c r="A1659" s="16"/>
      <c r="C1659" s="16"/>
      <c r="D1659" s="254"/>
    </row>
    <row r="1660" spans="1:4" ht="13.2">
      <c r="A1660" s="16"/>
      <c r="C1660" s="16"/>
      <c r="D1660" s="254"/>
    </row>
    <row r="1661" spans="1:4" ht="13.2">
      <c r="A1661" s="16"/>
      <c r="C1661" s="16"/>
      <c r="D1661" s="254"/>
    </row>
    <row r="1662" spans="1:4" ht="13.2">
      <c r="A1662" s="16"/>
      <c r="C1662" s="16"/>
      <c r="D1662" s="254"/>
    </row>
    <row r="1663" spans="1:4" ht="13.2">
      <c r="A1663" s="16"/>
      <c r="C1663" s="16"/>
      <c r="D1663" s="254"/>
    </row>
    <row r="1664" spans="1:4" ht="13.2">
      <c r="A1664" s="16"/>
      <c r="C1664" s="16"/>
      <c r="D1664" s="254"/>
    </row>
    <row r="1665" spans="1:4" ht="13.2">
      <c r="A1665" s="16"/>
      <c r="C1665" s="16"/>
      <c r="D1665" s="254"/>
    </row>
    <row r="1666" spans="1:4" ht="13.2">
      <c r="A1666" s="16"/>
      <c r="C1666" s="16"/>
      <c r="D1666" s="254"/>
    </row>
  </sheetData>
  <autoFilter ref="A1:Z1666"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3E974-5BBE-45CF-9235-76E7AB2EEE81}">
  <sheetPr>
    <outlinePr summaryBelow="0" summaryRight="0"/>
  </sheetPr>
  <dimension ref="A1:AA978"/>
  <sheetViews>
    <sheetView workbookViewId="0">
      <pane ySplit="1" topLeftCell="A2" activePane="bottomLeft" state="frozen"/>
      <selection pane="bottomLeft"/>
    </sheetView>
  </sheetViews>
  <sheetFormatPr defaultColWidth="12.6640625" defaultRowHeight="15.75" customHeight="1"/>
  <cols>
    <col min="1" max="1" width="7.44140625" customWidth="1"/>
    <col min="2" max="2" width="24.88671875" customWidth="1"/>
    <col min="3" max="3" width="19.6640625" customWidth="1"/>
    <col min="7" max="7" width="17.77734375" customWidth="1"/>
    <col min="9" max="9" width="26.88671875" customWidth="1"/>
  </cols>
  <sheetData>
    <row r="1" spans="1:27" ht="15.75" customHeight="1">
      <c r="A1" s="255" t="s">
        <v>72</v>
      </c>
      <c r="B1" s="255" t="s">
        <v>48</v>
      </c>
      <c r="C1" s="256" t="s">
        <v>49</v>
      </c>
      <c r="D1" s="255" t="s">
        <v>854</v>
      </c>
      <c r="E1" s="255" t="s">
        <v>855</v>
      </c>
      <c r="F1" s="255" t="s">
        <v>856</v>
      </c>
      <c r="G1" s="255" t="s">
        <v>857</v>
      </c>
      <c r="H1" s="255" t="s">
        <v>858</v>
      </c>
      <c r="I1" s="257" t="s">
        <v>859</v>
      </c>
      <c r="J1" s="53"/>
      <c r="K1" s="53"/>
      <c r="L1" s="53"/>
      <c r="M1" s="53"/>
      <c r="N1" s="53"/>
      <c r="O1" s="53"/>
      <c r="P1" s="53"/>
      <c r="Q1" s="53"/>
      <c r="R1" s="53"/>
      <c r="S1" s="53"/>
      <c r="T1" s="53"/>
      <c r="U1" s="53"/>
      <c r="V1" s="53"/>
      <c r="W1" s="53"/>
      <c r="X1" s="53"/>
      <c r="Y1" s="53"/>
      <c r="Z1" s="53"/>
      <c r="AA1" s="53"/>
    </row>
    <row r="2" spans="1:27" ht="15.75" customHeight="1">
      <c r="A2" s="258">
        <v>1</v>
      </c>
      <c r="B2" s="259" t="s">
        <v>860</v>
      </c>
      <c r="C2" s="260">
        <v>2</v>
      </c>
      <c r="D2" s="261" t="s">
        <v>861</v>
      </c>
      <c r="E2" s="261" t="s">
        <v>862</v>
      </c>
      <c r="F2" s="261" t="s">
        <v>863</v>
      </c>
      <c r="G2" s="261" t="s">
        <v>864</v>
      </c>
      <c r="H2" s="261" t="s">
        <v>865</v>
      </c>
      <c r="I2" s="261" t="s">
        <v>866</v>
      </c>
    </row>
    <row r="3" spans="1:27" ht="15.75" customHeight="1">
      <c r="A3" s="258">
        <f t="shared" ref="A3:A66" si="0">A2+1</f>
        <v>2</v>
      </c>
      <c r="B3" s="259" t="s">
        <v>867</v>
      </c>
      <c r="C3" s="260">
        <v>1E-3</v>
      </c>
      <c r="D3" s="262" t="s">
        <v>868</v>
      </c>
      <c r="E3" s="262" t="s">
        <v>869</v>
      </c>
      <c r="F3" s="261" t="s">
        <v>863</v>
      </c>
      <c r="G3" s="261" t="s">
        <v>864</v>
      </c>
      <c r="H3" s="261" t="s">
        <v>864</v>
      </c>
      <c r="I3" s="261" t="s">
        <v>866</v>
      </c>
    </row>
    <row r="4" spans="1:27" ht="15.75" customHeight="1">
      <c r="A4" s="258">
        <f t="shared" si="0"/>
        <v>3</v>
      </c>
      <c r="B4" s="259" t="s">
        <v>870</v>
      </c>
      <c r="C4" s="260">
        <v>2</v>
      </c>
      <c r="D4" s="261" t="s">
        <v>862</v>
      </c>
      <c r="E4" s="261" t="s">
        <v>871</v>
      </c>
      <c r="F4" s="261" t="s">
        <v>872</v>
      </c>
      <c r="G4" s="261" t="s">
        <v>873</v>
      </c>
      <c r="H4" s="261" t="s">
        <v>865</v>
      </c>
      <c r="I4" s="261" t="s">
        <v>874</v>
      </c>
    </row>
    <row r="5" spans="1:27" ht="15.75" customHeight="1">
      <c r="A5" s="258">
        <f t="shared" si="0"/>
        <v>4</v>
      </c>
      <c r="B5" s="259" t="s">
        <v>875</v>
      </c>
      <c r="C5" s="260">
        <v>2</v>
      </c>
      <c r="D5" s="261" t="s">
        <v>862</v>
      </c>
      <c r="E5" s="261" t="s">
        <v>871</v>
      </c>
      <c r="F5" s="261" t="s">
        <v>876</v>
      </c>
      <c r="G5" s="261" t="s">
        <v>864</v>
      </c>
      <c r="H5" s="261" t="s">
        <v>865</v>
      </c>
      <c r="I5" s="261" t="s">
        <v>877</v>
      </c>
    </row>
    <row r="6" spans="1:27" ht="15.75" customHeight="1">
      <c r="A6" s="258">
        <f t="shared" si="0"/>
        <v>5</v>
      </c>
      <c r="B6" s="259" t="s">
        <v>878</v>
      </c>
      <c r="C6" s="260">
        <v>5</v>
      </c>
      <c r="D6" s="261" t="s">
        <v>862</v>
      </c>
      <c r="E6" s="261" t="s">
        <v>871</v>
      </c>
      <c r="F6" s="261" t="s">
        <v>863</v>
      </c>
      <c r="G6" s="261" t="s">
        <v>864</v>
      </c>
      <c r="H6" s="261" t="s">
        <v>865</v>
      </c>
      <c r="I6" s="261" t="s">
        <v>877</v>
      </c>
    </row>
    <row r="7" spans="1:27" ht="15.75" customHeight="1">
      <c r="A7" s="258">
        <f t="shared" si="0"/>
        <v>6</v>
      </c>
      <c r="B7" s="259" t="s">
        <v>879</v>
      </c>
      <c r="C7" s="260">
        <v>5</v>
      </c>
      <c r="D7" s="261" t="s">
        <v>871</v>
      </c>
      <c r="E7" s="261" t="s">
        <v>880</v>
      </c>
      <c r="F7" s="261" t="s">
        <v>863</v>
      </c>
      <c r="G7" s="261" t="s">
        <v>864</v>
      </c>
      <c r="H7" s="261" t="s">
        <v>881</v>
      </c>
      <c r="I7" s="261" t="s">
        <v>866</v>
      </c>
    </row>
    <row r="8" spans="1:27" ht="15.75" customHeight="1">
      <c r="A8" s="258">
        <f t="shared" si="0"/>
        <v>7</v>
      </c>
      <c r="B8" s="259" t="s">
        <v>882</v>
      </c>
      <c r="C8" s="260">
        <v>6</v>
      </c>
      <c r="D8" s="261" t="s">
        <v>871</v>
      </c>
      <c r="E8" s="261" t="s">
        <v>880</v>
      </c>
      <c r="F8" s="261" t="s">
        <v>863</v>
      </c>
      <c r="G8" s="261" t="s">
        <v>864</v>
      </c>
      <c r="H8" s="261" t="s">
        <v>883</v>
      </c>
      <c r="I8" s="261" t="s">
        <v>884</v>
      </c>
    </row>
    <row r="9" spans="1:27" ht="15.75" customHeight="1">
      <c r="A9" s="258">
        <f t="shared" si="0"/>
        <v>8</v>
      </c>
      <c r="B9" s="259" t="s">
        <v>885</v>
      </c>
      <c r="C9" s="260">
        <v>1E-3</v>
      </c>
      <c r="D9" s="261" t="s">
        <v>871</v>
      </c>
      <c r="E9" s="261" t="s">
        <v>880</v>
      </c>
      <c r="F9" s="261" t="s">
        <v>863</v>
      </c>
      <c r="G9" s="261" t="s">
        <v>873</v>
      </c>
      <c r="H9" s="261" t="s">
        <v>886</v>
      </c>
      <c r="I9" s="261" t="s">
        <v>866</v>
      </c>
    </row>
    <row r="10" spans="1:27" ht="15.75" customHeight="1">
      <c r="A10" s="258">
        <f t="shared" si="0"/>
        <v>9</v>
      </c>
      <c r="B10" s="259" t="s">
        <v>887</v>
      </c>
      <c r="C10" s="260">
        <v>12</v>
      </c>
      <c r="D10" s="261" t="s">
        <v>880</v>
      </c>
      <c r="E10" s="261" t="s">
        <v>888</v>
      </c>
      <c r="F10" s="261" t="s">
        <v>863</v>
      </c>
      <c r="G10" s="261" t="s">
        <v>864</v>
      </c>
      <c r="H10" s="261" t="s">
        <v>889</v>
      </c>
      <c r="I10" s="261" t="s">
        <v>866</v>
      </c>
    </row>
    <row r="11" spans="1:27" ht="15.75" customHeight="1">
      <c r="A11" s="258">
        <f t="shared" si="0"/>
        <v>10</v>
      </c>
      <c r="B11" s="259" t="s">
        <v>890</v>
      </c>
      <c r="C11" s="260">
        <v>8</v>
      </c>
      <c r="D11" s="261" t="s">
        <v>880</v>
      </c>
      <c r="E11" s="261" t="s">
        <v>888</v>
      </c>
      <c r="F11" s="261" t="s">
        <v>863</v>
      </c>
      <c r="G11" s="261" t="s">
        <v>864</v>
      </c>
      <c r="H11" s="261" t="s">
        <v>891</v>
      </c>
      <c r="I11" s="261" t="s">
        <v>892</v>
      </c>
    </row>
    <row r="12" spans="1:27" ht="15.75" customHeight="1">
      <c r="A12" s="258">
        <f t="shared" si="0"/>
        <v>11</v>
      </c>
      <c r="B12" s="259" t="s">
        <v>893</v>
      </c>
      <c r="C12" s="260">
        <v>1</v>
      </c>
      <c r="D12" s="261" t="s">
        <v>871</v>
      </c>
      <c r="E12" s="261" t="s">
        <v>880</v>
      </c>
      <c r="F12" s="261" t="s">
        <v>863</v>
      </c>
      <c r="G12" s="261" t="s">
        <v>894</v>
      </c>
      <c r="H12" s="261" t="s">
        <v>886</v>
      </c>
      <c r="I12" s="261" t="s">
        <v>877</v>
      </c>
    </row>
    <row r="13" spans="1:27" ht="15.75" customHeight="1">
      <c r="A13" s="258">
        <f t="shared" si="0"/>
        <v>12</v>
      </c>
      <c r="B13" s="263" t="s">
        <v>895</v>
      </c>
      <c r="C13" s="260">
        <v>5</v>
      </c>
      <c r="D13" s="261" t="s">
        <v>880</v>
      </c>
      <c r="E13" s="261" t="s">
        <v>888</v>
      </c>
      <c r="F13" s="261" t="s">
        <v>876</v>
      </c>
      <c r="G13" s="261" t="s">
        <v>864</v>
      </c>
      <c r="H13" s="261" t="s">
        <v>896</v>
      </c>
      <c r="I13" s="261" t="s">
        <v>877</v>
      </c>
    </row>
    <row r="14" spans="1:27" ht="15.75" customHeight="1">
      <c r="A14" s="258">
        <f t="shared" si="0"/>
        <v>13</v>
      </c>
      <c r="B14" s="263" t="s">
        <v>897</v>
      </c>
      <c r="C14" s="260">
        <v>0.1</v>
      </c>
      <c r="D14" s="261" t="s">
        <v>898</v>
      </c>
      <c r="E14" s="261" t="s">
        <v>899</v>
      </c>
      <c r="F14" s="261" t="s">
        <v>863</v>
      </c>
      <c r="G14" s="261" t="s">
        <v>864</v>
      </c>
      <c r="H14" s="261" t="s">
        <v>881</v>
      </c>
      <c r="I14" s="261" t="s">
        <v>866</v>
      </c>
    </row>
    <row r="15" spans="1:27" ht="15.75" customHeight="1">
      <c r="A15" s="258">
        <f t="shared" si="0"/>
        <v>14</v>
      </c>
      <c r="B15" s="259" t="s">
        <v>900</v>
      </c>
      <c r="C15" s="260">
        <v>2</v>
      </c>
      <c r="D15" s="261" t="s">
        <v>880</v>
      </c>
      <c r="E15" s="261" t="s">
        <v>888</v>
      </c>
      <c r="F15" s="261" t="s">
        <v>876</v>
      </c>
      <c r="G15" s="261" t="s">
        <v>894</v>
      </c>
      <c r="H15" s="261" t="s">
        <v>891</v>
      </c>
      <c r="I15" s="261" t="s">
        <v>877</v>
      </c>
    </row>
    <row r="16" spans="1:27" ht="15.75" customHeight="1">
      <c r="A16" s="258">
        <f t="shared" si="0"/>
        <v>15</v>
      </c>
      <c r="B16" s="259" t="s">
        <v>901</v>
      </c>
      <c r="C16" s="260">
        <v>50</v>
      </c>
      <c r="D16" s="261" t="s">
        <v>888</v>
      </c>
      <c r="E16" s="261" t="s">
        <v>902</v>
      </c>
      <c r="F16" s="261" t="s">
        <v>872</v>
      </c>
      <c r="G16" s="261" t="s">
        <v>903</v>
      </c>
      <c r="H16" s="261" t="s">
        <v>889</v>
      </c>
      <c r="I16" s="261" t="s">
        <v>877</v>
      </c>
    </row>
    <row r="17" spans="1:9" ht="15.75" customHeight="1">
      <c r="A17" s="258">
        <f t="shared" si="0"/>
        <v>16</v>
      </c>
      <c r="B17" s="259" t="s">
        <v>904</v>
      </c>
      <c r="C17" s="260">
        <v>1</v>
      </c>
      <c r="D17" s="261" t="s">
        <v>864</v>
      </c>
      <c r="E17" s="261" t="s">
        <v>864</v>
      </c>
      <c r="F17" s="261" t="s">
        <v>864</v>
      </c>
      <c r="G17" s="261" t="s">
        <v>864</v>
      </c>
      <c r="H17" s="261" t="s">
        <v>865</v>
      </c>
      <c r="I17" s="261" t="s">
        <v>864</v>
      </c>
    </row>
    <row r="18" spans="1:9" ht="15.75" customHeight="1">
      <c r="A18" s="258">
        <f t="shared" si="0"/>
        <v>17</v>
      </c>
      <c r="B18" s="259" t="s">
        <v>905</v>
      </c>
      <c r="C18" s="260">
        <v>35</v>
      </c>
      <c r="D18" s="261" t="s">
        <v>880</v>
      </c>
      <c r="E18" s="261" t="s">
        <v>888</v>
      </c>
      <c r="F18" s="261" t="s">
        <v>872</v>
      </c>
      <c r="G18" s="261" t="s">
        <v>906</v>
      </c>
      <c r="H18" s="261" t="s">
        <v>881</v>
      </c>
      <c r="I18" s="261" t="s">
        <v>877</v>
      </c>
    </row>
    <row r="19" spans="1:9" ht="15.75" customHeight="1">
      <c r="A19" s="258">
        <f t="shared" si="0"/>
        <v>18</v>
      </c>
      <c r="B19" s="259" t="s">
        <v>907</v>
      </c>
      <c r="C19" s="260">
        <v>0.05</v>
      </c>
      <c r="D19" s="261" t="s">
        <v>862</v>
      </c>
      <c r="E19" s="261" t="s">
        <v>871</v>
      </c>
      <c r="F19" s="261" t="s">
        <v>863</v>
      </c>
      <c r="G19" s="261" t="s">
        <v>894</v>
      </c>
      <c r="H19" s="261" t="s">
        <v>908</v>
      </c>
      <c r="I19" s="261" t="s">
        <v>877</v>
      </c>
    </row>
    <row r="20" spans="1:9" ht="15.75" customHeight="1">
      <c r="A20" s="258">
        <f t="shared" si="0"/>
        <v>19</v>
      </c>
      <c r="B20" s="259" t="s">
        <v>909</v>
      </c>
      <c r="C20" s="260">
        <v>1</v>
      </c>
      <c r="D20" s="261" t="s">
        <v>871</v>
      </c>
      <c r="E20" s="261" t="s">
        <v>880</v>
      </c>
      <c r="F20" s="261" t="s">
        <v>863</v>
      </c>
      <c r="G20" s="261" t="s">
        <v>910</v>
      </c>
      <c r="H20" s="261" t="s">
        <v>883</v>
      </c>
      <c r="I20" s="261" t="s">
        <v>877</v>
      </c>
    </row>
    <row r="21" spans="1:9" ht="15.75" customHeight="1">
      <c r="A21" s="258">
        <f t="shared" si="0"/>
        <v>20</v>
      </c>
      <c r="B21" s="259" t="s">
        <v>911</v>
      </c>
      <c r="C21" s="260">
        <v>0.01</v>
      </c>
      <c r="D21" s="261" t="s">
        <v>862</v>
      </c>
      <c r="E21" s="261" t="s">
        <v>871</v>
      </c>
      <c r="F21" s="261" t="s">
        <v>863</v>
      </c>
      <c r="G21" s="261" t="s">
        <v>912</v>
      </c>
      <c r="H21" s="261" t="s">
        <v>913</v>
      </c>
      <c r="I21" s="261" t="s">
        <v>866</v>
      </c>
    </row>
    <row r="22" spans="1:9" ht="15.75" customHeight="1">
      <c r="A22" s="258">
        <f t="shared" si="0"/>
        <v>21</v>
      </c>
      <c r="B22" s="259" t="s">
        <v>914</v>
      </c>
      <c r="C22" s="260">
        <v>0.01</v>
      </c>
      <c r="D22" s="261" t="s">
        <v>864</v>
      </c>
      <c r="E22" s="261" t="s">
        <v>864</v>
      </c>
      <c r="F22" s="261" t="s">
        <v>864</v>
      </c>
      <c r="G22" s="261" t="s">
        <v>864</v>
      </c>
      <c r="H22" s="261" t="s">
        <v>915</v>
      </c>
      <c r="I22" s="261" t="s">
        <v>864</v>
      </c>
    </row>
    <row r="23" spans="1:9" ht="15.75" customHeight="1">
      <c r="A23" s="258">
        <f t="shared" si="0"/>
        <v>22</v>
      </c>
      <c r="B23" s="259" t="s">
        <v>916</v>
      </c>
      <c r="C23" s="260">
        <v>8</v>
      </c>
      <c r="D23" s="261" t="s">
        <v>871</v>
      </c>
      <c r="E23" s="261" t="s">
        <v>880</v>
      </c>
      <c r="F23" s="261" t="s">
        <v>863</v>
      </c>
      <c r="G23" s="261" t="s">
        <v>873</v>
      </c>
      <c r="H23" s="261" t="s">
        <v>883</v>
      </c>
      <c r="I23" s="261" t="s">
        <v>884</v>
      </c>
    </row>
    <row r="24" spans="1:9" ht="15.75" customHeight="1">
      <c r="A24" s="258">
        <f t="shared" si="0"/>
        <v>23</v>
      </c>
      <c r="B24" s="259" t="s">
        <v>917</v>
      </c>
      <c r="C24" s="260">
        <v>1</v>
      </c>
      <c r="D24" s="261" t="s">
        <v>862</v>
      </c>
      <c r="E24" s="261" t="s">
        <v>871</v>
      </c>
      <c r="F24" s="261" t="s">
        <v>863</v>
      </c>
      <c r="G24" s="261" t="s">
        <v>894</v>
      </c>
      <c r="H24" s="261" t="s">
        <v>883</v>
      </c>
      <c r="I24" s="261" t="s">
        <v>866</v>
      </c>
    </row>
    <row r="25" spans="1:9" ht="15.75" customHeight="1">
      <c r="A25" s="258">
        <f t="shared" si="0"/>
        <v>24</v>
      </c>
      <c r="B25" s="259" t="s">
        <v>918</v>
      </c>
      <c r="C25" s="260">
        <v>6</v>
      </c>
      <c r="D25" s="261" t="s">
        <v>871</v>
      </c>
      <c r="E25" s="261" t="s">
        <v>880</v>
      </c>
      <c r="F25" s="261" t="s">
        <v>876</v>
      </c>
      <c r="G25" s="261" t="s">
        <v>864</v>
      </c>
      <c r="H25" s="261" t="s">
        <v>886</v>
      </c>
      <c r="I25" s="261" t="s">
        <v>884</v>
      </c>
    </row>
    <row r="26" spans="1:9" ht="15.75" customHeight="1">
      <c r="A26" s="258">
        <f t="shared" si="0"/>
        <v>25</v>
      </c>
      <c r="B26" s="259" t="s">
        <v>919</v>
      </c>
      <c r="C26" s="260">
        <v>8</v>
      </c>
      <c r="D26" s="261" t="s">
        <v>862</v>
      </c>
      <c r="E26" s="261" t="s">
        <v>871</v>
      </c>
      <c r="F26" s="261" t="s">
        <v>920</v>
      </c>
      <c r="G26" s="261" t="s">
        <v>864</v>
      </c>
      <c r="H26" s="261" t="s">
        <v>883</v>
      </c>
      <c r="I26" s="261" t="s">
        <v>884</v>
      </c>
    </row>
    <row r="27" spans="1:9" ht="15.75" customHeight="1">
      <c r="A27" s="258">
        <f t="shared" si="0"/>
        <v>26</v>
      </c>
      <c r="B27" s="259" t="s">
        <v>921</v>
      </c>
      <c r="C27" s="260">
        <v>4</v>
      </c>
      <c r="D27" s="261" t="s">
        <v>862</v>
      </c>
      <c r="E27" s="261" t="s">
        <v>871</v>
      </c>
      <c r="F27" s="261" t="s">
        <v>922</v>
      </c>
      <c r="G27" s="261" t="s">
        <v>864</v>
      </c>
      <c r="H27" s="261" t="s">
        <v>886</v>
      </c>
      <c r="I27" s="261" t="s">
        <v>877</v>
      </c>
    </row>
    <row r="28" spans="1:9" ht="15.75" customHeight="1">
      <c r="A28" s="258">
        <f t="shared" si="0"/>
        <v>27</v>
      </c>
      <c r="B28" s="259" t="s">
        <v>923</v>
      </c>
      <c r="C28" s="260">
        <v>1</v>
      </c>
      <c r="D28" s="262" t="s">
        <v>924</v>
      </c>
      <c r="E28" s="262" t="s">
        <v>925</v>
      </c>
      <c r="F28" s="261" t="s">
        <v>863</v>
      </c>
      <c r="G28" s="261" t="s">
        <v>864</v>
      </c>
      <c r="H28" s="261" t="s">
        <v>883</v>
      </c>
      <c r="I28" s="261" t="s">
        <v>866</v>
      </c>
    </row>
    <row r="29" spans="1:9" ht="13.2">
      <c r="A29" s="258">
        <f t="shared" si="0"/>
        <v>28</v>
      </c>
      <c r="B29" s="259" t="s">
        <v>926</v>
      </c>
      <c r="C29" s="260">
        <v>10</v>
      </c>
      <c r="D29" s="261" t="s">
        <v>861</v>
      </c>
      <c r="E29" s="261" t="s">
        <v>862</v>
      </c>
      <c r="F29" s="261" t="s">
        <v>863</v>
      </c>
      <c r="G29" s="261" t="s">
        <v>864</v>
      </c>
      <c r="H29" s="261" t="s">
        <v>927</v>
      </c>
      <c r="I29" s="261" t="s">
        <v>866</v>
      </c>
    </row>
    <row r="30" spans="1:9" ht="13.2">
      <c r="A30" s="258">
        <f t="shared" si="0"/>
        <v>29</v>
      </c>
      <c r="B30" s="259" t="s">
        <v>928</v>
      </c>
      <c r="C30" s="260">
        <v>20</v>
      </c>
      <c r="D30" s="261" t="s">
        <v>871</v>
      </c>
      <c r="E30" s="261" t="s">
        <v>880</v>
      </c>
      <c r="F30" s="261" t="s">
        <v>863</v>
      </c>
      <c r="G30" s="261" t="s">
        <v>864</v>
      </c>
      <c r="H30" s="261" t="s">
        <v>927</v>
      </c>
      <c r="I30" s="261" t="s">
        <v>877</v>
      </c>
    </row>
    <row r="31" spans="1:9" ht="13.2">
      <c r="A31" s="258">
        <f t="shared" si="0"/>
        <v>30</v>
      </c>
      <c r="B31" s="259" t="s">
        <v>929</v>
      </c>
      <c r="C31" s="260">
        <v>30</v>
      </c>
      <c r="D31" s="261" t="s">
        <v>862</v>
      </c>
      <c r="E31" s="261" t="s">
        <v>871</v>
      </c>
      <c r="F31" s="261" t="s">
        <v>863</v>
      </c>
      <c r="G31" s="261" t="s">
        <v>864</v>
      </c>
      <c r="H31" s="261" t="s">
        <v>927</v>
      </c>
      <c r="I31" s="261" t="s">
        <v>877</v>
      </c>
    </row>
    <row r="32" spans="1:9" ht="13.2">
      <c r="A32" s="258">
        <f t="shared" si="0"/>
        <v>31</v>
      </c>
      <c r="B32" s="259" t="s">
        <v>930</v>
      </c>
      <c r="C32" s="260">
        <v>10</v>
      </c>
      <c r="D32" s="261" t="s">
        <v>871</v>
      </c>
      <c r="E32" s="261" t="s">
        <v>880</v>
      </c>
      <c r="F32" s="261" t="s">
        <v>872</v>
      </c>
      <c r="G32" s="261" t="s">
        <v>864</v>
      </c>
      <c r="H32" s="261" t="s">
        <v>883</v>
      </c>
      <c r="I32" s="261" t="s">
        <v>877</v>
      </c>
    </row>
    <row r="33" spans="1:9" ht="13.2">
      <c r="A33" s="258">
        <f t="shared" si="0"/>
        <v>32</v>
      </c>
      <c r="B33" s="259" t="s">
        <v>931</v>
      </c>
      <c r="C33" s="260">
        <v>10</v>
      </c>
      <c r="D33" s="261" t="s">
        <v>880</v>
      </c>
      <c r="E33" s="261" t="s">
        <v>888</v>
      </c>
      <c r="F33" s="261" t="s">
        <v>876</v>
      </c>
      <c r="G33" s="261" t="s">
        <v>864</v>
      </c>
      <c r="H33" s="261" t="s">
        <v>891</v>
      </c>
      <c r="I33" s="261" t="s">
        <v>884</v>
      </c>
    </row>
    <row r="34" spans="1:9" ht="13.2">
      <c r="A34" s="258">
        <f t="shared" si="0"/>
        <v>33</v>
      </c>
      <c r="B34" s="259" t="s">
        <v>932</v>
      </c>
      <c r="C34" s="260">
        <v>8</v>
      </c>
      <c r="D34" s="261" t="s">
        <v>880</v>
      </c>
      <c r="E34" s="261" t="s">
        <v>888</v>
      </c>
      <c r="F34" s="261" t="s">
        <v>863</v>
      </c>
      <c r="G34" s="261" t="s">
        <v>864</v>
      </c>
      <c r="H34" s="261" t="s">
        <v>915</v>
      </c>
      <c r="I34" s="261" t="s">
        <v>866</v>
      </c>
    </row>
    <row r="35" spans="1:9" ht="13.2">
      <c r="A35" s="258">
        <f t="shared" si="0"/>
        <v>34</v>
      </c>
      <c r="B35" s="259" t="s">
        <v>933</v>
      </c>
      <c r="C35" s="260">
        <v>15</v>
      </c>
      <c r="D35" s="261" t="s">
        <v>880</v>
      </c>
      <c r="E35" s="261" t="s">
        <v>888</v>
      </c>
      <c r="F35" s="261" t="s">
        <v>872</v>
      </c>
      <c r="G35" s="261" t="s">
        <v>864</v>
      </c>
      <c r="H35" s="261" t="s">
        <v>881</v>
      </c>
      <c r="I35" s="261" t="s">
        <v>884</v>
      </c>
    </row>
    <row r="36" spans="1:9" ht="13.2">
      <c r="A36" s="258">
        <f t="shared" si="0"/>
        <v>35</v>
      </c>
      <c r="B36" s="259" t="s">
        <v>934</v>
      </c>
      <c r="C36" s="260">
        <v>8</v>
      </c>
      <c r="D36" s="261" t="s">
        <v>871</v>
      </c>
      <c r="E36" s="261" t="s">
        <v>880</v>
      </c>
      <c r="F36" s="261" t="s">
        <v>922</v>
      </c>
      <c r="G36" s="261" t="s">
        <v>864</v>
      </c>
      <c r="H36" s="261" t="s">
        <v>891</v>
      </c>
      <c r="I36" s="261" t="s">
        <v>877</v>
      </c>
    </row>
    <row r="37" spans="1:9" ht="13.2">
      <c r="A37" s="258">
        <f t="shared" si="0"/>
        <v>36</v>
      </c>
      <c r="B37" s="259" t="s">
        <v>935</v>
      </c>
      <c r="C37" s="260">
        <v>20</v>
      </c>
      <c r="D37" s="261" t="s">
        <v>871</v>
      </c>
      <c r="E37" s="261" t="s">
        <v>880</v>
      </c>
      <c r="F37" s="261" t="s">
        <v>920</v>
      </c>
      <c r="G37" s="261" t="s">
        <v>864</v>
      </c>
      <c r="H37" s="261" t="s">
        <v>883</v>
      </c>
      <c r="I37" s="261" t="s">
        <v>877</v>
      </c>
    </row>
    <row r="38" spans="1:9" ht="13.2">
      <c r="A38" s="258">
        <f t="shared" si="0"/>
        <v>37</v>
      </c>
      <c r="B38" s="259" t="s">
        <v>936</v>
      </c>
      <c r="C38" s="260">
        <v>15</v>
      </c>
      <c r="D38" s="261" t="s">
        <v>871</v>
      </c>
      <c r="E38" s="261" t="s">
        <v>880</v>
      </c>
      <c r="F38" s="261" t="s">
        <v>920</v>
      </c>
      <c r="G38" s="261" t="s">
        <v>864</v>
      </c>
      <c r="H38" s="261" t="s">
        <v>881</v>
      </c>
      <c r="I38" s="261" t="s">
        <v>884</v>
      </c>
    </row>
    <row r="39" spans="1:9" ht="13.2">
      <c r="A39" s="258">
        <f t="shared" si="0"/>
        <v>38</v>
      </c>
      <c r="B39" s="259" t="s">
        <v>937</v>
      </c>
      <c r="C39" s="260">
        <v>50</v>
      </c>
      <c r="D39" s="261" t="s">
        <v>862</v>
      </c>
      <c r="E39" s="261" t="s">
        <v>871</v>
      </c>
      <c r="F39" s="261" t="s">
        <v>863</v>
      </c>
      <c r="G39" s="261" t="s">
        <v>864</v>
      </c>
      <c r="H39" s="261" t="s">
        <v>927</v>
      </c>
      <c r="I39" s="261" t="s">
        <v>866</v>
      </c>
    </row>
    <row r="40" spans="1:9" ht="13.2">
      <c r="A40" s="258">
        <f t="shared" si="0"/>
        <v>39</v>
      </c>
      <c r="B40" s="259" t="s">
        <v>938</v>
      </c>
      <c r="C40" s="260">
        <v>60</v>
      </c>
      <c r="D40" s="261" t="s">
        <v>871</v>
      </c>
      <c r="E40" s="261" t="s">
        <v>880</v>
      </c>
      <c r="F40" s="261" t="s">
        <v>863</v>
      </c>
      <c r="G40" s="261" t="s">
        <v>864</v>
      </c>
      <c r="H40" s="261" t="s">
        <v>927</v>
      </c>
      <c r="I40" s="261" t="s">
        <v>877</v>
      </c>
    </row>
    <row r="41" spans="1:9" ht="13.2">
      <c r="A41" s="258">
        <f t="shared" si="0"/>
        <v>40</v>
      </c>
      <c r="B41" s="259" t="s">
        <v>939</v>
      </c>
      <c r="C41" s="260">
        <v>15</v>
      </c>
      <c r="D41" s="261" t="s">
        <v>880</v>
      </c>
      <c r="E41" s="261" t="s">
        <v>888</v>
      </c>
      <c r="F41" s="261" t="s">
        <v>863</v>
      </c>
      <c r="G41" s="261" t="s">
        <v>873</v>
      </c>
      <c r="H41" s="261" t="s">
        <v>881</v>
      </c>
      <c r="I41" s="261" t="s">
        <v>877</v>
      </c>
    </row>
    <row r="42" spans="1:9" ht="13.2">
      <c r="A42" s="258">
        <f t="shared" si="0"/>
        <v>41</v>
      </c>
      <c r="B42" s="259" t="s">
        <v>940</v>
      </c>
      <c r="C42" s="260">
        <v>12</v>
      </c>
      <c r="D42" s="261" t="s">
        <v>880</v>
      </c>
      <c r="E42" s="261" t="s">
        <v>888</v>
      </c>
      <c r="F42" s="261" t="s">
        <v>876</v>
      </c>
      <c r="G42" s="261" t="s">
        <v>864</v>
      </c>
      <c r="H42" s="261" t="s">
        <v>915</v>
      </c>
      <c r="I42" s="261" t="s">
        <v>866</v>
      </c>
    </row>
    <row r="43" spans="1:9" ht="13.2">
      <c r="A43" s="258">
        <f t="shared" si="0"/>
        <v>42</v>
      </c>
      <c r="B43" s="259" t="s">
        <v>941</v>
      </c>
      <c r="C43" s="260">
        <v>75</v>
      </c>
      <c r="D43" s="261" t="s">
        <v>880</v>
      </c>
      <c r="E43" s="261" t="s">
        <v>942</v>
      </c>
      <c r="F43" s="261" t="s">
        <v>920</v>
      </c>
      <c r="G43" s="261" t="s">
        <v>864</v>
      </c>
      <c r="H43" s="261" t="s">
        <v>889</v>
      </c>
      <c r="I43" s="261" t="s">
        <v>884</v>
      </c>
    </row>
    <row r="44" spans="1:9" ht="13.2">
      <c r="A44" s="258">
        <f t="shared" si="0"/>
        <v>43</v>
      </c>
      <c r="B44" s="263" t="s">
        <v>943</v>
      </c>
      <c r="C44" s="260">
        <v>8</v>
      </c>
      <c r="D44" s="261" t="s">
        <v>888</v>
      </c>
      <c r="E44" s="261" t="s">
        <v>902</v>
      </c>
      <c r="F44" s="261" t="s">
        <v>876</v>
      </c>
      <c r="G44" s="261" t="s">
        <v>864</v>
      </c>
      <c r="H44" s="261" t="s">
        <v>944</v>
      </c>
      <c r="I44" s="261" t="s">
        <v>884</v>
      </c>
    </row>
    <row r="45" spans="1:9" ht="13.2">
      <c r="A45" s="258">
        <f t="shared" si="0"/>
        <v>44</v>
      </c>
      <c r="B45" s="259" t="s">
        <v>945</v>
      </c>
      <c r="C45" s="260">
        <v>20</v>
      </c>
      <c r="D45" s="261" t="s">
        <v>902</v>
      </c>
      <c r="E45" s="261" t="s">
        <v>946</v>
      </c>
      <c r="F45" s="261" t="s">
        <v>876</v>
      </c>
      <c r="G45" s="261" t="s">
        <v>864</v>
      </c>
      <c r="H45" s="261" t="s">
        <v>947</v>
      </c>
      <c r="I45" s="261" t="s">
        <v>884</v>
      </c>
    </row>
    <row r="46" spans="1:9" ht="13.2">
      <c r="A46" s="258">
        <f t="shared" si="0"/>
        <v>45</v>
      </c>
      <c r="B46" s="259" t="s">
        <v>948</v>
      </c>
      <c r="C46" s="260">
        <v>5</v>
      </c>
      <c r="D46" s="261" t="s">
        <v>888</v>
      </c>
      <c r="E46" s="261" t="s">
        <v>902</v>
      </c>
      <c r="F46" s="261" t="s">
        <v>863</v>
      </c>
      <c r="G46" s="261" t="s">
        <v>864</v>
      </c>
      <c r="H46" s="261" t="s">
        <v>889</v>
      </c>
      <c r="I46" s="261" t="s">
        <v>866</v>
      </c>
    </row>
    <row r="47" spans="1:9" ht="13.2">
      <c r="A47" s="258">
        <f t="shared" si="0"/>
        <v>46</v>
      </c>
      <c r="B47" s="259" t="s">
        <v>949</v>
      </c>
      <c r="C47" s="260">
        <v>15</v>
      </c>
      <c r="D47" s="261" t="s">
        <v>888</v>
      </c>
      <c r="E47" s="261" t="s">
        <v>902</v>
      </c>
      <c r="F47" s="261" t="s">
        <v>872</v>
      </c>
      <c r="G47" s="261" t="s">
        <v>864</v>
      </c>
      <c r="H47" s="261" t="s">
        <v>944</v>
      </c>
      <c r="I47" s="261" t="s">
        <v>866</v>
      </c>
    </row>
    <row r="48" spans="1:9" ht="13.2">
      <c r="A48" s="258">
        <f t="shared" si="0"/>
        <v>47</v>
      </c>
      <c r="B48" s="259" t="s">
        <v>950</v>
      </c>
      <c r="C48" s="260">
        <v>50</v>
      </c>
      <c r="D48" s="261" t="s">
        <v>902</v>
      </c>
      <c r="E48" s="261" t="s">
        <v>951</v>
      </c>
      <c r="F48" s="261" t="s">
        <v>872</v>
      </c>
      <c r="G48" s="261" t="s">
        <v>864</v>
      </c>
      <c r="H48" s="261" t="s">
        <v>889</v>
      </c>
      <c r="I48" s="261" t="s">
        <v>884</v>
      </c>
    </row>
    <row r="49" spans="1:9" ht="13.2">
      <c r="A49" s="258">
        <f t="shared" si="0"/>
        <v>48</v>
      </c>
      <c r="B49" s="263" t="s">
        <v>952</v>
      </c>
      <c r="C49" s="260">
        <v>9</v>
      </c>
      <c r="D49" s="261" t="s">
        <v>880</v>
      </c>
      <c r="E49" s="261" t="s">
        <v>942</v>
      </c>
      <c r="F49" s="261" t="s">
        <v>876</v>
      </c>
      <c r="G49" s="261" t="s">
        <v>864</v>
      </c>
      <c r="H49" s="261" t="s">
        <v>947</v>
      </c>
      <c r="I49" s="261" t="s">
        <v>884</v>
      </c>
    </row>
    <row r="50" spans="1:9" ht="13.2">
      <c r="A50" s="258">
        <f t="shared" si="0"/>
        <v>49</v>
      </c>
      <c r="B50" s="259" t="s">
        <v>953</v>
      </c>
      <c r="C50" s="260">
        <v>10</v>
      </c>
      <c r="D50" s="261" t="s">
        <v>888</v>
      </c>
      <c r="E50" s="261" t="s">
        <v>902</v>
      </c>
      <c r="F50" s="261" t="s">
        <v>876</v>
      </c>
      <c r="G50" s="261" t="s">
        <v>864</v>
      </c>
      <c r="H50" s="261" t="s">
        <v>947</v>
      </c>
      <c r="I50" s="261" t="s">
        <v>874</v>
      </c>
    </row>
    <row r="51" spans="1:9" ht="13.2">
      <c r="A51" s="258">
        <f t="shared" si="0"/>
        <v>50</v>
      </c>
      <c r="B51" s="263" t="s">
        <v>954</v>
      </c>
      <c r="C51" s="260">
        <v>10</v>
      </c>
      <c r="D51" s="261" t="s">
        <v>880</v>
      </c>
      <c r="E51" s="261" t="s">
        <v>888</v>
      </c>
      <c r="F51" s="261" t="s">
        <v>876</v>
      </c>
      <c r="G51" s="261" t="s">
        <v>864</v>
      </c>
      <c r="H51" s="261" t="s">
        <v>944</v>
      </c>
      <c r="I51" s="261" t="s">
        <v>877</v>
      </c>
    </row>
    <row r="52" spans="1:9" ht="13.2">
      <c r="A52" s="258">
        <f t="shared" si="0"/>
        <v>51</v>
      </c>
      <c r="B52" s="263" t="s">
        <v>955</v>
      </c>
      <c r="C52" s="260">
        <v>10</v>
      </c>
      <c r="D52" s="261" t="s">
        <v>880</v>
      </c>
      <c r="E52" s="261" t="s">
        <v>942</v>
      </c>
      <c r="F52" s="261" t="s">
        <v>876</v>
      </c>
      <c r="G52" s="261" t="s">
        <v>864</v>
      </c>
      <c r="H52" s="261" t="s">
        <v>947</v>
      </c>
      <c r="I52" s="261" t="s">
        <v>877</v>
      </c>
    </row>
    <row r="53" spans="1:9" ht="13.2">
      <c r="A53" s="258">
        <f t="shared" si="0"/>
        <v>52</v>
      </c>
      <c r="B53" s="259" t="s">
        <v>568</v>
      </c>
      <c r="C53" s="260">
        <v>18</v>
      </c>
      <c r="D53" s="261" t="s">
        <v>880</v>
      </c>
      <c r="E53" s="261" t="s">
        <v>942</v>
      </c>
      <c r="F53" s="261" t="s">
        <v>922</v>
      </c>
      <c r="G53" s="261" t="s">
        <v>864</v>
      </c>
      <c r="H53" s="261" t="s">
        <v>944</v>
      </c>
      <c r="I53" s="261" t="s">
        <v>874</v>
      </c>
    </row>
    <row r="54" spans="1:9" ht="13.2">
      <c r="A54" s="258">
        <f t="shared" si="0"/>
        <v>53</v>
      </c>
      <c r="B54" s="259" t="s">
        <v>956</v>
      </c>
      <c r="C54" s="260">
        <v>75</v>
      </c>
      <c r="D54" s="261" t="s">
        <v>880</v>
      </c>
      <c r="E54" s="261" t="s">
        <v>888</v>
      </c>
      <c r="F54" s="261" t="s">
        <v>876</v>
      </c>
      <c r="G54" s="261" t="s">
        <v>957</v>
      </c>
      <c r="H54" s="261" t="s">
        <v>886</v>
      </c>
      <c r="I54" s="261" t="s">
        <v>877</v>
      </c>
    </row>
    <row r="55" spans="1:9" ht="13.2">
      <c r="A55" s="258">
        <f t="shared" si="0"/>
        <v>54</v>
      </c>
      <c r="B55" s="259" t="s">
        <v>958</v>
      </c>
      <c r="C55" s="260">
        <v>100</v>
      </c>
      <c r="D55" s="261" t="s">
        <v>880</v>
      </c>
      <c r="E55" s="261" t="s">
        <v>888</v>
      </c>
      <c r="F55" s="261" t="s">
        <v>876</v>
      </c>
      <c r="G55" s="261" t="s">
        <v>959</v>
      </c>
      <c r="H55" s="261" t="s">
        <v>886</v>
      </c>
      <c r="I55" s="261" t="s">
        <v>877</v>
      </c>
    </row>
    <row r="56" spans="1:9" ht="13.2">
      <c r="A56" s="258">
        <f t="shared" si="0"/>
        <v>55</v>
      </c>
      <c r="B56" s="259" t="s">
        <v>960</v>
      </c>
      <c r="C56" s="260">
        <v>30</v>
      </c>
      <c r="D56" s="261" t="s">
        <v>871</v>
      </c>
      <c r="E56" s="261" t="s">
        <v>880</v>
      </c>
      <c r="F56" s="261" t="s">
        <v>876</v>
      </c>
      <c r="G56" s="261" t="s">
        <v>961</v>
      </c>
      <c r="H56" s="261" t="s">
        <v>883</v>
      </c>
      <c r="I56" s="261" t="s">
        <v>877</v>
      </c>
    </row>
    <row r="57" spans="1:9" ht="13.2">
      <c r="A57" s="258">
        <f t="shared" si="0"/>
        <v>56</v>
      </c>
      <c r="B57" s="259" t="s">
        <v>962</v>
      </c>
      <c r="C57" s="260">
        <v>75</v>
      </c>
      <c r="D57" s="261" t="s">
        <v>871</v>
      </c>
      <c r="E57" s="261" t="s">
        <v>880</v>
      </c>
      <c r="F57" s="261" t="s">
        <v>876</v>
      </c>
      <c r="G57" s="261" t="s">
        <v>963</v>
      </c>
      <c r="H57" s="261" t="s">
        <v>883</v>
      </c>
      <c r="I57" s="261" t="s">
        <v>877</v>
      </c>
    </row>
    <row r="58" spans="1:9" ht="13.2">
      <c r="A58" s="258">
        <f t="shared" si="0"/>
        <v>57</v>
      </c>
      <c r="B58" s="259" t="s">
        <v>964</v>
      </c>
      <c r="C58" s="260">
        <v>1</v>
      </c>
      <c r="D58" s="261" t="s">
        <v>864</v>
      </c>
      <c r="E58" s="261" t="s">
        <v>864</v>
      </c>
      <c r="F58" s="261" t="s">
        <v>864</v>
      </c>
      <c r="G58" s="261" t="s">
        <v>864</v>
      </c>
      <c r="H58" s="261" t="s">
        <v>886</v>
      </c>
      <c r="I58" s="261" t="s">
        <v>864</v>
      </c>
    </row>
    <row r="59" spans="1:9" ht="13.2">
      <c r="A59" s="258">
        <f t="shared" si="0"/>
        <v>58</v>
      </c>
      <c r="B59" s="259" t="s">
        <v>965</v>
      </c>
      <c r="C59" s="260">
        <v>2</v>
      </c>
      <c r="D59" s="261" t="s">
        <v>871</v>
      </c>
      <c r="E59" s="261" t="s">
        <v>880</v>
      </c>
      <c r="F59" s="261" t="s">
        <v>863</v>
      </c>
      <c r="G59" s="261" t="s">
        <v>864</v>
      </c>
      <c r="H59" s="261" t="s">
        <v>883</v>
      </c>
      <c r="I59" s="261" t="s">
        <v>884</v>
      </c>
    </row>
    <row r="60" spans="1:9" ht="13.2">
      <c r="A60" s="258">
        <f t="shared" si="0"/>
        <v>59</v>
      </c>
      <c r="B60" s="259" t="s">
        <v>966</v>
      </c>
      <c r="C60" s="260">
        <v>2</v>
      </c>
      <c r="D60" s="261" t="s">
        <v>871</v>
      </c>
      <c r="E60" s="261" t="s">
        <v>880</v>
      </c>
      <c r="F60" s="261" t="s">
        <v>863</v>
      </c>
      <c r="G60" s="261" t="s">
        <v>864</v>
      </c>
      <c r="H60" s="261" t="s">
        <v>883</v>
      </c>
      <c r="I60" s="261" t="s">
        <v>866</v>
      </c>
    </row>
    <row r="61" spans="1:9" ht="13.2">
      <c r="A61" s="258">
        <f t="shared" si="0"/>
        <v>60</v>
      </c>
      <c r="B61" s="259" t="s">
        <v>967</v>
      </c>
      <c r="C61" s="260">
        <v>1</v>
      </c>
      <c r="D61" s="261" t="s">
        <v>862</v>
      </c>
      <c r="E61" s="261" t="s">
        <v>871</v>
      </c>
      <c r="F61" s="261" t="s">
        <v>863</v>
      </c>
      <c r="G61" s="261" t="s">
        <v>873</v>
      </c>
      <c r="H61" s="261" t="s">
        <v>865</v>
      </c>
      <c r="I61" s="261" t="s">
        <v>866</v>
      </c>
    </row>
    <row r="62" spans="1:9" ht="13.2">
      <c r="A62" s="258">
        <f t="shared" si="0"/>
        <v>61</v>
      </c>
      <c r="B62" s="259" t="s">
        <v>968</v>
      </c>
      <c r="C62" s="260">
        <v>3</v>
      </c>
      <c r="D62" s="261" t="s">
        <v>871</v>
      </c>
      <c r="E62" s="261" t="s">
        <v>880</v>
      </c>
      <c r="F62" s="261" t="s">
        <v>863</v>
      </c>
      <c r="G62" s="261" t="s">
        <v>864</v>
      </c>
      <c r="H62" s="261" t="s">
        <v>865</v>
      </c>
      <c r="I62" s="261" t="s">
        <v>877</v>
      </c>
    </row>
    <row r="63" spans="1:9" ht="13.2">
      <c r="A63" s="258">
        <f t="shared" si="0"/>
        <v>62</v>
      </c>
      <c r="B63" s="259" t="s">
        <v>969</v>
      </c>
      <c r="C63" s="260">
        <v>35</v>
      </c>
      <c r="D63" s="261" t="s">
        <v>888</v>
      </c>
      <c r="E63" s="261" t="s">
        <v>902</v>
      </c>
      <c r="F63" s="261" t="s">
        <v>872</v>
      </c>
      <c r="G63" s="261" t="s">
        <v>864</v>
      </c>
      <c r="H63" s="261" t="s">
        <v>891</v>
      </c>
      <c r="I63" s="261" t="s">
        <v>884</v>
      </c>
    </row>
    <row r="64" spans="1:9" ht="13.2">
      <c r="A64" s="258">
        <f t="shared" si="0"/>
        <v>63</v>
      </c>
      <c r="B64" s="259" t="s">
        <v>970</v>
      </c>
      <c r="C64" s="260">
        <v>30</v>
      </c>
      <c r="D64" s="261" t="s">
        <v>888</v>
      </c>
      <c r="E64" s="261" t="s">
        <v>902</v>
      </c>
      <c r="F64" s="261" t="s">
        <v>876</v>
      </c>
      <c r="G64" s="261" t="s">
        <v>864</v>
      </c>
      <c r="H64" s="261" t="s">
        <v>889</v>
      </c>
      <c r="I64" s="261" t="s">
        <v>884</v>
      </c>
    </row>
    <row r="65" spans="1:9" ht="13.2">
      <c r="A65" s="258">
        <f t="shared" si="0"/>
        <v>64</v>
      </c>
      <c r="B65" s="263" t="s">
        <v>971</v>
      </c>
      <c r="C65" s="260">
        <v>1</v>
      </c>
      <c r="D65" s="262" t="s">
        <v>868</v>
      </c>
      <c r="E65" s="262" t="s">
        <v>869</v>
      </c>
      <c r="F65" s="261" t="s">
        <v>863</v>
      </c>
      <c r="G65" s="261" t="s">
        <v>864</v>
      </c>
      <c r="H65" s="261" t="s">
        <v>883</v>
      </c>
      <c r="I65" s="261" t="s">
        <v>884</v>
      </c>
    </row>
    <row r="66" spans="1:9" ht="13.2">
      <c r="A66" s="258">
        <f t="shared" si="0"/>
        <v>65</v>
      </c>
      <c r="B66" s="263" t="s">
        <v>972</v>
      </c>
      <c r="C66" s="260">
        <v>60</v>
      </c>
      <c r="D66" s="261" t="s">
        <v>899</v>
      </c>
      <c r="E66" s="261" t="s">
        <v>973</v>
      </c>
      <c r="F66" s="261" t="s">
        <v>876</v>
      </c>
      <c r="G66" s="261" t="s">
        <v>864</v>
      </c>
      <c r="H66" s="261" t="s">
        <v>974</v>
      </c>
      <c r="I66" s="261" t="s">
        <v>884</v>
      </c>
    </row>
    <row r="67" spans="1:9" ht="13.2">
      <c r="A67" s="258">
        <f t="shared" ref="A67:A80" si="1">A66+1</f>
        <v>66</v>
      </c>
      <c r="B67" s="263" t="s">
        <v>975</v>
      </c>
      <c r="C67" s="260">
        <v>25</v>
      </c>
      <c r="D67" s="261" t="s">
        <v>880</v>
      </c>
      <c r="E67" s="261" t="s">
        <v>942</v>
      </c>
      <c r="F67" s="261" t="s">
        <v>863</v>
      </c>
      <c r="G67" s="261" t="s">
        <v>864</v>
      </c>
      <c r="H67" s="261" t="s">
        <v>944</v>
      </c>
      <c r="I67" s="261" t="s">
        <v>877</v>
      </c>
    </row>
    <row r="68" spans="1:9" ht="13.2">
      <c r="A68" s="258">
        <f t="shared" si="1"/>
        <v>67</v>
      </c>
      <c r="B68" s="263" t="s">
        <v>976</v>
      </c>
      <c r="C68" s="260">
        <v>90</v>
      </c>
      <c r="D68" s="261" t="s">
        <v>899</v>
      </c>
      <c r="E68" s="261" t="s">
        <v>973</v>
      </c>
      <c r="F68" s="261" t="s">
        <v>863</v>
      </c>
      <c r="G68" s="261" t="s">
        <v>864</v>
      </c>
      <c r="H68" s="261" t="s">
        <v>944</v>
      </c>
      <c r="I68" s="261" t="s">
        <v>866</v>
      </c>
    </row>
    <row r="69" spans="1:9" ht="13.2">
      <c r="A69" s="258">
        <f t="shared" si="1"/>
        <v>68</v>
      </c>
      <c r="B69" s="263" t="s">
        <v>977</v>
      </c>
      <c r="C69" s="260">
        <v>20</v>
      </c>
      <c r="D69" s="261" t="s">
        <v>978</v>
      </c>
      <c r="E69" s="261" t="s">
        <v>979</v>
      </c>
      <c r="F69" s="261" t="s">
        <v>980</v>
      </c>
      <c r="G69" s="261" t="s">
        <v>864</v>
      </c>
      <c r="H69" s="261" t="s">
        <v>891</v>
      </c>
      <c r="I69" s="261" t="s">
        <v>981</v>
      </c>
    </row>
    <row r="70" spans="1:9" ht="13.2">
      <c r="A70" s="258">
        <f t="shared" si="1"/>
        <v>69</v>
      </c>
      <c r="B70" s="263" t="s">
        <v>982</v>
      </c>
      <c r="C70" s="260">
        <v>100</v>
      </c>
      <c r="D70" s="261" t="s">
        <v>899</v>
      </c>
      <c r="E70" s="261" t="s">
        <v>973</v>
      </c>
      <c r="F70" s="261" t="s">
        <v>872</v>
      </c>
      <c r="G70" s="261" t="s">
        <v>864</v>
      </c>
      <c r="H70" s="261" t="s">
        <v>944</v>
      </c>
      <c r="I70" s="261" t="s">
        <v>884</v>
      </c>
    </row>
    <row r="71" spans="1:9" ht="13.2">
      <c r="A71" s="258">
        <f t="shared" si="1"/>
        <v>70</v>
      </c>
      <c r="B71" s="263" t="s">
        <v>983</v>
      </c>
      <c r="C71" s="260">
        <v>50</v>
      </c>
      <c r="D71" s="261" t="s">
        <v>978</v>
      </c>
      <c r="E71" s="261" t="s">
        <v>979</v>
      </c>
      <c r="F71" s="261" t="s">
        <v>876</v>
      </c>
      <c r="G71" s="261" t="s">
        <v>864</v>
      </c>
      <c r="H71" s="261" t="s">
        <v>947</v>
      </c>
      <c r="I71" s="261" t="s">
        <v>984</v>
      </c>
    </row>
    <row r="72" spans="1:9" ht="13.2">
      <c r="A72" s="258">
        <f t="shared" si="1"/>
        <v>71</v>
      </c>
      <c r="B72" s="259" t="s">
        <v>985</v>
      </c>
      <c r="C72" s="260">
        <v>5</v>
      </c>
      <c r="D72" s="262" t="s">
        <v>869</v>
      </c>
      <c r="E72" s="262" t="s">
        <v>924</v>
      </c>
      <c r="F72" s="261" t="s">
        <v>863</v>
      </c>
      <c r="G72" s="261" t="s">
        <v>873</v>
      </c>
      <c r="H72" s="261" t="s">
        <v>883</v>
      </c>
      <c r="I72" s="261" t="s">
        <v>866</v>
      </c>
    </row>
    <row r="73" spans="1:9" ht="13.2">
      <c r="A73" s="258">
        <f t="shared" si="1"/>
        <v>72</v>
      </c>
      <c r="B73" s="259" t="s">
        <v>986</v>
      </c>
      <c r="C73" s="260">
        <v>100</v>
      </c>
      <c r="D73" s="261" t="s">
        <v>862</v>
      </c>
      <c r="E73" s="261" t="s">
        <v>871</v>
      </c>
      <c r="F73" s="261" t="s">
        <v>872</v>
      </c>
      <c r="G73" s="261" t="s">
        <v>910</v>
      </c>
      <c r="H73" s="261" t="s">
        <v>883</v>
      </c>
      <c r="I73" s="261" t="s">
        <v>877</v>
      </c>
    </row>
    <row r="74" spans="1:9" ht="13.2">
      <c r="A74" s="258">
        <f t="shared" si="1"/>
        <v>73</v>
      </c>
      <c r="B74" s="259" t="s">
        <v>987</v>
      </c>
      <c r="C74" s="260">
        <v>2</v>
      </c>
      <c r="D74" s="261" t="s">
        <v>864</v>
      </c>
      <c r="E74" s="261" t="s">
        <v>864</v>
      </c>
      <c r="F74" s="261" t="s">
        <v>864</v>
      </c>
      <c r="G74" s="261" t="s">
        <v>864</v>
      </c>
      <c r="H74" s="261" t="s">
        <v>865</v>
      </c>
      <c r="I74" s="261" t="s">
        <v>864</v>
      </c>
    </row>
    <row r="75" spans="1:9" ht="13.2">
      <c r="A75" s="258">
        <f t="shared" si="1"/>
        <v>74</v>
      </c>
      <c r="B75" s="259" t="s">
        <v>988</v>
      </c>
      <c r="C75" s="260">
        <v>400</v>
      </c>
      <c r="D75" s="261" t="s">
        <v>888</v>
      </c>
      <c r="E75" s="261" t="s">
        <v>902</v>
      </c>
      <c r="F75" s="261" t="s">
        <v>872</v>
      </c>
      <c r="G75" s="261" t="s">
        <v>903</v>
      </c>
      <c r="H75" s="261" t="s">
        <v>947</v>
      </c>
      <c r="I75" s="261" t="s">
        <v>877</v>
      </c>
    </row>
    <row r="76" spans="1:9" ht="13.2">
      <c r="A76" s="258">
        <f t="shared" si="1"/>
        <v>75</v>
      </c>
      <c r="B76" s="259" t="s">
        <v>989</v>
      </c>
      <c r="C76" s="260">
        <v>1</v>
      </c>
      <c r="D76" s="261" t="s">
        <v>864</v>
      </c>
      <c r="E76" s="261" t="s">
        <v>864</v>
      </c>
      <c r="F76" s="261" t="s">
        <v>864</v>
      </c>
      <c r="G76" s="261" t="s">
        <v>864</v>
      </c>
      <c r="H76" s="261" t="s">
        <v>865</v>
      </c>
      <c r="I76" s="261" t="s">
        <v>864</v>
      </c>
    </row>
    <row r="77" spans="1:9" ht="13.2">
      <c r="A77" s="258">
        <f t="shared" si="1"/>
        <v>76</v>
      </c>
      <c r="B77" s="259" t="s">
        <v>990</v>
      </c>
      <c r="C77" s="260">
        <v>250</v>
      </c>
      <c r="D77" s="261" t="s">
        <v>880</v>
      </c>
      <c r="E77" s="261" t="s">
        <v>888</v>
      </c>
      <c r="F77" s="261" t="s">
        <v>872</v>
      </c>
      <c r="G77" s="261" t="s">
        <v>906</v>
      </c>
      <c r="H77" s="261" t="s">
        <v>891</v>
      </c>
      <c r="I77" s="261" t="s">
        <v>877</v>
      </c>
    </row>
    <row r="78" spans="1:9" ht="13.2">
      <c r="A78" s="258">
        <f t="shared" si="1"/>
        <v>77</v>
      </c>
      <c r="B78" s="259" t="s">
        <v>991</v>
      </c>
      <c r="C78" s="260">
        <v>20</v>
      </c>
      <c r="D78" s="261" t="s">
        <v>864</v>
      </c>
      <c r="E78" s="261" t="s">
        <v>864</v>
      </c>
      <c r="F78" s="261" t="s">
        <v>864</v>
      </c>
      <c r="G78" s="261" t="s">
        <v>873</v>
      </c>
      <c r="H78" s="261" t="s">
        <v>891</v>
      </c>
      <c r="I78" s="261" t="s">
        <v>864</v>
      </c>
    </row>
    <row r="79" spans="1:9" ht="13.2">
      <c r="A79" s="258">
        <f t="shared" si="1"/>
        <v>78</v>
      </c>
      <c r="B79" s="259" t="s">
        <v>992</v>
      </c>
      <c r="C79" s="260">
        <v>1</v>
      </c>
      <c r="D79" s="261">
        <v>1</v>
      </c>
      <c r="E79" s="261" t="s">
        <v>861</v>
      </c>
      <c r="F79" s="261" t="s">
        <v>863</v>
      </c>
      <c r="G79" s="261" t="s">
        <v>873</v>
      </c>
      <c r="H79" s="261" t="s">
        <v>908</v>
      </c>
      <c r="I79" s="261" t="s">
        <v>877</v>
      </c>
    </row>
    <row r="80" spans="1:9" ht="13.2">
      <c r="A80" s="258">
        <f t="shared" si="1"/>
        <v>79</v>
      </c>
      <c r="B80" s="16" t="s">
        <v>993</v>
      </c>
      <c r="C80" s="264">
        <v>1E-3</v>
      </c>
    </row>
    <row r="81" spans="1:3" ht="13.2">
      <c r="A81" s="53"/>
      <c r="B81" s="16"/>
      <c r="C81" s="111"/>
    </row>
    <row r="82" spans="1:3" ht="13.2">
      <c r="A82" s="53"/>
      <c r="B82" s="16"/>
      <c r="C82" s="111"/>
    </row>
    <row r="83" spans="1:3" ht="13.2">
      <c r="A83" s="53"/>
      <c r="B83" s="16"/>
      <c r="C83" s="111"/>
    </row>
    <row r="84" spans="1:3" ht="13.2">
      <c r="A84" s="53"/>
      <c r="B84" s="16"/>
      <c r="C84" s="111"/>
    </row>
    <row r="85" spans="1:3" ht="13.2">
      <c r="A85" s="53"/>
      <c r="B85" s="16"/>
      <c r="C85" s="111"/>
    </row>
    <row r="86" spans="1:3" ht="13.2">
      <c r="A86" s="53"/>
      <c r="B86" s="16"/>
      <c r="C86" s="111"/>
    </row>
    <row r="87" spans="1:3" ht="13.2">
      <c r="A87" s="53"/>
      <c r="B87" s="16"/>
      <c r="C87" s="111"/>
    </row>
    <row r="88" spans="1:3" ht="13.2">
      <c r="A88" s="53"/>
      <c r="B88" s="16"/>
      <c r="C88" s="111"/>
    </row>
    <row r="89" spans="1:3" ht="13.2">
      <c r="A89" s="53"/>
      <c r="B89" s="16"/>
      <c r="C89" s="111"/>
    </row>
    <row r="90" spans="1:3" ht="13.2">
      <c r="A90" s="53"/>
      <c r="B90" s="16"/>
      <c r="C90" s="111"/>
    </row>
    <row r="91" spans="1:3" ht="13.2">
      <c r="A91" s="53"/>
      <c r="B91" s="16"/>
      <c r="C91" s="111"/>
    </row>
    <row r="92" spans="1:3" ht="13.2">
      <c r="A92" s="53"/>
      <c r="B92" s="16"/>
      <c r="C92" s="111"/>
    </row>
    <row r="93" spans="1:3" ht="13.2">
      <c r="A93" s="53"/>
      <c r="B93" s="16"/>
      <c r="C93" s="111"/>
    </row>
    <row r="94" spans="1:3" ht="13.2">
      <c r="A94" s="53"/>
      <c r="B94" s="16"/>
      <c r="C94" s="111"/>
    </row>
    <row r="95" spans="1:3" ht="13.2">
      <c r="A95" s="53"/>
      <c r="B95" s="16"/>
      <c r="C95" s="111"/>
    </row>
    <row r="96" spans="1:3" ht="13.2">
      <c r="A96" s="53"/>
      <c r="B96" s="16"/>
      <c r="C96" s="111"/>
    </row>
    <row r="97" spans="1:3" ht="13.2">
      <c r="A97" s="53"/>
      <c r="B97" s="16"/>
      <c r="C97" s="111"/>
    </row>
    <row r="98" spans="1:3" ht="13.2">
      <c r="A98" s="53"/>
      <c r="B98" s="16"/>
      <c r="C98" s="111"/>
    </row>
    <row r="99" spans="1:3" ht="13.2">
      <c r="A99" s="53"/>
      <c r="B99" s="16"/>
      <c r="C99" s="111"/>
    </row>
    <row r="100" spans="1:3" ht="13.2">
      <c r="A100" s="53"/>
      <c r="B100" s="16"/>
      <c r="C100" s="111"/>
    </row>
    <row r="101" spans="1:3" ht="13.2">
      <c r="A101" s="53"/>
      <c r="B101" s="16"/>
      <c r="C101" s="111"/>
    </row>
    <row r="102" spans="1:3" ht="13.2">
      <c r="A102" s="53"/>
      <c r="B102" s="16"/>
      <c r="C102" s="111"/>
    </row>
    <row r="103" spans="1:3" ht="13.2">
      <c r="A103" s="53"/>
      <c r="B103" s="16"/>
      <c r="C103" s="111"/>
    </row>
    <row r="104" spans="1:3" ht="13.2">
      <c r="A104" s="53"/>
      <c r="B104" s="16"/>
      <c r="C104" s="111"/>
    </row>
    <row r="105" spans="1:3" ht="13.2">
      <c r="A105" s="53"/>
      <c r="B105" s="16"/>
      <c r="C105" s="111"/>
    </row>
    <row r="106" spans="1:3" ht="13.2">
      <c r="A106" s="53"/>
      <c r="B106" s="16"/>
      <c r="C106" s="111"/>
    </row>
    <row r="107" spans="1:3" ht="13.2">
      <c r="A107" s="53"/>
      <c r="B107" s="16"/>
      <c r="C107" s="111"/>
    </row>
    <row r="108" spans="1:3" ht="13.2">
      <c r="A108" s="53"/>
      <c r="B108" s="16"/>
      <c r="C108" s="111"/>
    </row>
    <row r="109" spans="1:3" ht="13.2">
      <c r="A109" s="53"/>
      <c r="B109" s="16"/>
      <c r="C109" s="111"/>
    </row>
    <row r="110" spans="1:3" ht="13.2">
      <c r="A110" s="53"/>
      <c r="B110" s="16"/>
      <c r="C110" s="111"/>
    </row>
    <row r="111" spans="1:3" ht="13.2">
      <c r="A111" s="53"/>
      <c r="B111" s="16"/>
      <c r="C111" s="111"/>
    </row>
    <row r="112" spans="1:3" ht="13.2">
      <c r="A112" s="53"/>
      <c r="B112" s="16"/>
      <c r="C112" s="111"/>
    </row>
    <row r="113" spans="1:3" ht="13.2">
      <c r="A113" s="53"/>
      <c r="B113" s="16"/>
      <c r="C113" s="111"/>
    </row>
    <row r="114" spans="1:3" ht="13.2">
      <c r="A114" s="53"/>
      <c r="B114" s="16"/>
      <c r="C114" s="111"/>
    </row>
    <row r="115" spans="1:3" ht="13.2">
      <c r="A115" s="53"/>
      <c r="B115" s="16"/>
      <c r="C115" s="111"/>
    </row>
    <row r="116" spans="1:3" ht="13.2">
      <c r="A116" s="53"/>
      <c r="B116" s="16"/>
      <c r="C116" s="111"/>
    </row>
    <row r="117" spans="1:3" ht="13.2">
      <c r="A117" s="53"/>
      <c r="B117" s="16"/>
      <c r="C117" s="111"/>
    </row>
    <row r="118" spans="1:3" ht="13.2">
      <c r="A118" s="53"/>
      <c r="B118" s="16"/>
      <c r="C118" s="111"/>
    </row>
    <row r="119" spans="1:3" ht="13.2">
      <c r="A119" s="53"/>
      <c r="B119" s="16"/>
      <c r="C119" s="111"/>
    </row>
    <row r="120" spans="1:3" ht="13.2">
      <c r="A120" s="53"/>
      <c r="B120" s="16"/>
      <c r="C120" s="111"/>
    </row>
    <row r="121" spans="1:3" ht="13.2">
      <c r="A121" s="53"/>
      <c r="B121" s="16"/>
      <c r="C121" s="111"/>
    </row>
    <row r="122" spans="1:3" ht="13.2">
      <c r="A122" s="53"/>
      <c r="B122" s="16"/>
      <c r="C122" s="111"/>
    </row>
    <row r="123" spans="1:3" ht="13.2">
      <c r="A123" s="53"/>
      <c r="B123" s="16"/>
      <c r="C123" s="111"/>
    </row>
    <row r="124" spans="1:3" ht="13.2">
      <c r="A124" s="53"/>
      <c r="B124" s="16"/>
      <c r="C124" s="111"/>
    </row>
    <row r="125" spans="1:3" ht="13.2">
      <c r="A125" s="53"/>
      <c r="B125" s="16"/>
      <c r="C125" s="111"/>
    </row>
    <row r="126" spans="1:3" ht="13.2">
      <c r="A126" s="53"/>
      <c r="B126" s="16"/>
      <c r="C126" s="111"/>
    </row>
    <row r="127" spans="1:3" ht="13.2">
      <c r="A127" s="53"/>
      <c r="B127" s="16"/>
      <c r="C127" s="111"/>
    </row>
    <row r="128" spans="1:3" ht="13.2">
      <c r="A128" s="53"/>
      <c r="B128" s="16"/>
      <c r="C128" s="111"/>
    </row>
    <row r="129" spans="1:3" ht="13.2">
      <c r="A129" s="53"/>
      <c r="B129" s="16"/>
      <c r="C129" s="111"/>
    </row>
    <row r="130" spans="1:3" ht="13.2">
      <c r="A130" s="53"/>
      <c r="B130" s="16"/>
      <c r="C130" s="111"/>
    </row>
    <row r="131" spans="1:3" ht="13.2">
      <c r="A131" s="53"/>
      <c r="B131" s="16"/>
      <c r="C131" s="111"/>
    </row>
    <row r="132" spans="1:3" ht="13.2">
      <c r="A132" s="53"/>
      <c r="B132" s="16"/>
      <c r="C132" s="111"/>
    </row>
    <row r="133" spans="1:3" ht="13.2">
      <c r="A133" s="53"/>
      <c r="B133" s="16"/>
      <c r="C133" s="111"/>
    </row>
    <row r="134" spans="1:3" ht="13.2">
      <c r="A134" s="53"/>
      <c r="B134" s="16"/>
      <c r="C134" s="111"/>
    </row>
    <row r="135" spans="1:3" ht="13.2">
      <c r="A135" s="53"/>
      <c r="B135" s="16"/>
      <c r="C135" s="111"/>
    </row>
    <row r="136" spans="1:3" ht="13.2">
      <c r="A136" s="53"/>
      <c r="B136" s="16"/>
      <c r="C136" s="111"/>
    </row>
    <row r="137" spans="1:3" ht="13.2">
      <c r="A137" s="53"/>
      <c r="B137" s="16"/>
      <c r="C137" s="111"/>
    </row>
    <row r="138" spans="1:3" ht="13.2">
      <c r="A138" s="53"/>
      <c r="B138" s="16"/>
      <c r="C138" s="111"/>
    </row>
    <row r="139" spans="1:3" ht="13.2">
      <c r="A139" s="53"/>
      <c r="B139" s="16"/>
      <c r="C139" s="111"/>
    </row>
    <row r="140" spans="1:3" ht="13.2">
      <c r="A140" s="53"/>
      <c r="B140" s="16"/>
      <c r="C140" s="111"/>
    </row>
    <row r="141" spans="1:3" ht="13.2">
      <c r="A141" s="53"/>
      <c r="B141" s="16"/>
      <c r="C141" s="111"/>
    </row>
    <row r="142" spans="1:3" ht="13.2">
      <c r="A142" s="53"/>
      <c r="B142" s="16"/>
      <c r="C142" s="111"/>
    </row>
    <row r="143" spans="1:3" ht="13.2">
      <c r="A143" s="53"/>
      <c r="B143" s="16"/>
      <c r="C143" s="111"/>
    </row>
    <row r="144" spans="1:3" ht="13.2">
      <c r="A144" s="53"/>
      <c r="B144" s="16"/>
      <c r="C144" s="111"/>
    </row>
    <row r="145" spans="1:3" ht="13.2">
      <c r="A145" s="53"/>
      <c r="B145" s="16"/>
      <c r="C145" s="111"/>
    </row>
    <row r="146" spans="1:3" ht="13.2">
      <c r="A146" s="53"/>
      <c r="B146" s="16"/>
      <c r="C146" s="111"/>
    </row>
    <row r="147" spans="1:3" ht="13.2">
      <c r="A147" s="53"/>
      <c r="B147" s="16"/>
      <c r="C147" s="111"/>
    </row>
    <row r="148" spans="1:3" ht="13.2">
      <c r="A148" s="53"/>
      <c r="B148" s="16"/>
      <c r="C148" s="111"/>
    </row>
    <row r="149" spans="1:3" ht="13.2">
      <c r="A149" s="53"/>
      <c r="B149" s="16"/>
      <c r="C149" s="111"/>
    </row>
    <row r="150" spans="1:3" ht="13.2">
      <c r="A150" s="53"/>
      <c r="B150" s="16"/>
      <c r="C150" s="111"/>
    </row>
    <row r="151" spans="1:3" ht="13.2">
      <c r="A151" s="53"/>
      <c r="B151" s="16"/>
      <c r="C151" s="111"/>
    </row>
    <row r="152" spans="1:3" ht="13.2">
      <c r="A152" s="53"/>
      <c r="B152" s="16"/>
      <c r="C152" s="111"/>
    </row>
    <row r="153" spans="1:3" ht="13.2">
      <c r="A153" s="53"/>
      <c r="B153" s="16"/>
      <c r="C153" s="111"/>
    </row>
    <row r="154" spans="1:3" ht="13.2">
      <c r="A154" s="53"/>
      <c r="B154" s="16"/>
      <c r="C154" s="111"/>
    </row>
    <row r="155" spans="1:3" ht="13.2">
      <c r="A155" s="53"/>
      <c r="B155" s="16"/>
      <c r="C155" s="111"/>
    </row>
    <row r="156" spans="1:3" ht="13.2">
      <c r="A156" s="53"/>
      <c r="B156" s="16"/>
      <c r="C156" s="111"/>
    </row>
    <row r="157" spans="1:3" ht="13.2">
      <c r="A157" s="53"/>
      <c r="B157" s="16"/>
      <c r="C157" s="111"/>
    </row>
    <row r="158" spans="1:3" ht="13.2">
      <c r="A158" s="53"/>
      <c r="B158" s="16"/>
      <c r="C158" s="111"/>
    </row>
    <row r="159" spans="1:3" ht="13.2">
      <c r="A159" s="53"/>
      <c r="B159" s="16"/>
      <c r="C159" s="111"/>
    </row>
    <row r="160" spans="1:3" ht="13.2">
      <c r="A160" s="53"/>
      <c r="B160" s="16"/>
      <c r="C160" s="111"/>
    </row>
    <row r="161" spans="1:3" ht="13.2">
      <c r="A161" s="53"/>
      <c r="B161" s="16"/>
      <c r="C161" s="111"/>
    </row>
    <row r="162" spans="1:3" ht="13.2">
      <c r="A162" s="53"/>
      <c r="B162" s="16"/>
      <c r="C162" s="111"/>
    </row>
    <row r="163" spans="1:3" ht="13.2">
      <c r="A163" s="53"/>
      <c r="B163" s="16"/>
      <c r="C163" s="111"/>
    </row>
    <row r="164" spans="1:3" ht="13.2">
      <c r="A164" s="53"/>
      <c r="B164" s="16"/>
      <c r="C164" s="111"/>
    </row>
    <row r="165" spans="1:3" ht="13.2">
      <c r="A165" s="53"/>
      <c r="B165" s="16"/>
      <c r="C165" s="111"/>
    </row>
    <row r="166" spans="1:3" ht="13.2">
      <c r="A166" s="53"/>
      <c r="B166" s="16"/>
      <c r="C166" s="111"/>
    </row>
    <row r="167" spans="1:3" ht="13.2">
      <c r="A167" s="53"/>
      <c r="B167" s="16"/>
      <c r="C167" s="111"/>
    </row>
    <row r="168" spans="1:3" ht="13.2">
      <c r="A168" s="53"/>
      <c r="B168" s="16"/>
      <c r="C168" s="111"/>
    </row>
    <row r="169" spans="1:3" ht="13.2">
      <c r="A169" s="53"/>
      <c r="B169" s="16"/>
      <c r="C169" s="111"/>
    </row>
    <row r="170" spans="1:3" ht="13.2">
      <c r="A170" s="53"/>
      <c r="B170" s="16"/>
      <c r="C170" s="111"/>
    </row>
    <row r="171" spans="1:3" ht="13.2">
      <c r="A171" s="53"/>
      <c r="B171" s="16"/>
      <c r="C171" s="111"/>
    </row>
    <row r="172" spans="1:3" ht="13.2">
      <c r="A172" s="53"/>
      <c r="B172" s="16"/>
      <c r="C172" s="111"/>
    </row>
    <row r="173" spans="1:3" ht="13.2">
      <c r="A173" s="53"/>
      <c r="B173" s="16"/>
      <c r="C173" s="111"/>
    </row>
    <row r="174" spans="1:3" ht="13.2">
      <c r="A174" s="53"/>
      <c r="B174" s="16"/>
      <c r="C174" s="111"/>
    </row>
    <row r="175" spans="1:3" ht="13.2">
      <c r="A175" s="53"/>
      <c r="B175" s="16"/>
      <c r="C175" s="111"/>
    </row>
    <row r="176" spans="1:3" ht="13.2">
      <c r="A176" s="53"/>
      <c r="B176" s="16"/>
      <c r="C176" s="111"/>
    </row>
    <row r="177" spans="1:3" ht="13.2">
      <c r="A177" s="53"/>
      <c r="B177" s="16"/>
      <c r="C177" s="111"/>
    </row>
    <row r="178" spans="1:3" ht="13.2">
      <c r="A178" s="53"/>
      <c r="B178" s="16"/>
      <c r="C178" s="111"/>
    </row>
    <row r="179" spans="1:3" ht="13.2">
      <c r="A179" s="53"/>
      <c r="B179" s="16"/>
      <c r="C179" s="111"/>
    </row>
    <row r="180" spans="1:3" ht="13.2">
      <c r="A180" s="53"/>
      <c r="B180" s="16"/>
      <c r="C180" s="111"/>
    </row>
    <row r="181" spans="1:3" ht="13.2">
      <c r="A181" s="53"/>
      <c r="B181" s="16"/>
      <c r="C181" s="111"/>
    </row>
    <row r="182" spans="1:3" ht="13.2">
      <c r="A182" s="53"/>
      <c r="B182" s="16"/>
      <c r="C182" s="111"/>
    </row>
    <row r="183" spans="1:3" ht="13.2">
      <c r="A183" s="53"/>
      <c r="B183" s="16"/>
      <c r="C183" s="111"/>
    </row>
    <row r="184" spans="1:3" ht="13.2">
      <c r="A184" s="53"/>
      <c r="B184" s="16"/>
      <c r="C184" s="111"/>
    </row>
    <row r="185" spans="1:3" ht="13.2">
      <c r="A185" s="53"/>
      <c r="B185" s="16"/>
      <c r="C185" s="111"/>
    </row>
    <row r="186" spans="1:3" ht="13.2">
      <c r="A186" s="53"/>
      <c r="B186" s="16"/>
      <c r="C186" s="111"/>
    </row>
    <row r="187" spans="1:3" ht="13.2">
      <c r="A187" s="53"/>
      <c r="B187" s="16"/>
      <c r="C187" s="111"/>
    </row>
    <row r="188" spans="1:3" ht="13.2">
      <c r="A188" s="53"/>
      <c r="B188" s="16"/>
      <c r="C188" s="111"/>
    </row>
    <row r="189" spans="1:3" ht="13.2">
      <c r="A189" s="53"/>
      <c r="B189" s="16"/>
      <c r="C189" s="111"/>
    </row>
    <row r="190" spans="1:3" ht="13.2">
      <c r="A190" s="53"/>
      <c r="B190" s="16"/>
      <c r="C190" s="111"/>
    </row>
    <row r="191" spans="1:3" ht="13.2">
      <c r="A191" s="53"/>
      <c r="B191" s="16"/>
      <c r="C191" s="111"/>
    </row>
    <row r="192" spans="1:3" ht="13.2">
      <c r="A192" s="53"/>
      <c r="B192" s="16"/>
      <c r="C192" s="111"/>
    </row>
    <row r="193" spans="1:3" ht="13.2">
      <c r="A193" s="53"/>
      <c r="B193" s="16"/>
      <c r="C193" s="111"/>
    </row>
    <row r="194" spans="1:3" ht="13.2">
      <c r="A194" s="53"/>
      <c r="B194" s="16"/>
      <c r="C194" s="111"/>
    </row>
    <row r="195" spans="1:3" ht="13.2">
      <c r="A195" s="53"/>
      <c r="B195" s="16"/>
      <c r="C195" s="111"/>
    </row>
    <row r="196" spans="1:3" ht="13.2">
      <c r="A196" s="53"/>
      <c r="B196" s="16"/>
      <c r="C196" s="111"/>
    </row>
    <row r="197" spans="1:3" ht="13.2">
      <c r="A197" s="53"/>
      <c r="B197" s="16"/>
      <c r="C197" s="111"/>
    </row>
    <row r="198" spans="1:3" ht="13.2">
      <c r="A198" s="53"/>
      <c r="B198" s="16"/>
      <c r="C198" s="111"/>
    </row>
    <row r="199" spans="1:3" ht="13.2">
      <c r="A199" s="53"/>
      <c r="B199" s="16"/>
      <c r="C199" s="111"/>
    </row>
    <row r="200" spans="1:3" ht="13.2">
      <c r="A200" s="53"/>
      <c r="B200" s="16"/>
      <c r="C200" s="111"/>
    </row>
    <row r="201" spans="1:3" ht="13.2">
      <c r="A201" s="53"/>
      <c r="B201" s="16"/>
      <c r="C201" s="111"/>
    </row>
    <row r="202" spans="1:3" ht="13.2">
      <c r="A202" s="53"/>
      <c r="B202" s="16"/>
      <c r="C202" s="111"/>
    </row>
    <row r="203" spans="1:3" ht="13.2">
      <c r="A203" s="53"/>
      <c r="B203" s="16"/>
      <c r="C203" s="111"/>
    </row>
    <row r="204" spans="1:3" ht="13.2">
      <c r="A204" s="53"/>
      <c r="B204" s="16"/>
      <c r="C204" s="111"/>
    </row>
    <row r="205" spans="1:3" ht="13.2">
      <c r="A205" s="53"/>
      <c r="B205" s="16"/>
      <c r="C205" s="111"/>
    </row>
    <row r="206" spans="1:3" ht="13.2">
      <c r="A206" s="53"/>
      <c r="B206" s="16"/>
      <c r="C206" s="111"/>
    </row>
    <row r="207" spans="1:3" ht="13.2">
      <c r="A207" s="53"/>
      <c r="B207" s="16"/>
      <c r="C207" s="111"/>
    </row>
    <row r="208" spans="1:3" ht="13.2">
      <c r="A208" s="53"/>
      <c r="B208" s="16"/>
      <c r="C208" s="111"/>
    </row>
    <row r="209" spans="1:3" ht="13.2">
      <c r="A209" s="53"/>
      <c r="B209" s="16"/>
      <c r="C209" s="111"/>
    </row>
    <row r="210" spans="1:3" ht="13.2">
      <c r="A210" s="53"/>
      <c r="B210" s="16"/>
      <c r="C210" s="111"/>
    </row>
    <row r="211" spans="1:3" ht="13.2">
      <c r="A211" s="53"/>
      <c r="B211" s="16"/>
      <c r="C211" s="111"/>
    </row>
    <row r="212" spans="1:3" ht="13.2">
      <c r="A212" s="53"/>
      <c r="B212" s="16"/>
      <c r="C212" s="111"/>
    </row>
    <row r="213" spans="1:3" ht="13.2">
      <c r="A213" s="53"/>
      <c r="B213" s="16"/>
      <c r="C213" s="111"/>
    </row>
    <row r="214" spans="1:3" ht="13.2">
      <c r="A214" s="53"/>
      <c r="B214" s="16"/>
      <c r="C214" s="111"/>
    </row>
    <row r="215" spans="1:3" ht="13.2">
      <c r="A215" s="53"/>
      <c r="B215" s="16"/>
      <c r="C215" s="111"/>
    </row>
    <row r="216" spans="1:3" ht="13.2">
      <c r="A216" s="53"/>
      <c r="B216" s="16"/>
      <c r="C216" s="111"/>
    </row>
    <row r="217" spans="1:3" ht="13.2">
      <c r="A217" s="53"/>
      <c r="B217" s="16"/>
      <c r="C217" s="111"/>
    </row>
    <row r="218" spans="1:3" ht="13.2">
      <c r="A218" s="53"/>
      <c r="B218" s="16"/>
      <c r="C218" s="111"/>
    </row>
    <row r="219" spans="1:3" ht="13.2">
      <c r="A219" s="53"/>
      <c r="B219" s="16"/>
      <c r="C219" s="111"/>
    </row>
    <row r="220" spans="1:3" ht="13.2">
      <c r="A220" s="53"/>
      <c r="B220" s="16"/>
      <c r="C220" s="111"/>
    </row>
    <row r="221" spans="1:3" ht="13.2">
      <c r="A221" s="53"/>
      <c r="B221" s="16"/>
      <c r="C221" s="111"/>
    </row>
    <row r="222" spans="1:3" ht="13.2">
      <c r="A222" s="53"/>
      <c r="B222" s="16"/>
      <c r="C222" s="111"/>
    </row>
    <row r="223" spans="1:3" ht="13.2">
      <c r="A223" s="53"/>
      <c r="B223" s="16"/>
      <c r="C223" s="111"/>
    </row>
    <row r="224" spans="1:3" ht="13.2">
      <c r="A224" s="53"/>
      <c r="B224" s="16"/>
      <c r="C224" s="111"/>
    </row>
    <row r="225" spans="1:3" ht="13.2">
      <c r="A225" s="53"/>
      <c r="B225" s="16"/>
      <c r="C225" s="111"/>
    </row>
    <row r="226" spans="1:3" ht="13.2">
      <c r="A226" s="53"/>
      <c r="B226" s="16"/>
      <c r="C226" s="111"/>
    </row>
    <row r="227" spans="1:3" ht="13.2">
      <c r="A227" s="53"/>
      <c r="B227" s="16"/>
      <c r="C227" s="111"/>
    </row>
    <row r="228" spans="1:3" ht="13.2">
      <c r="A228" s="53"/>
      <c r="B228" s="16"/>
      <c r="C228" s="111"/>
    </row>
    <row r="229" spans="1:3" ht="13.2">
      <c r="A229" s="53"/>
      <c r="B229" s="16"/>
      <c r="C229" s="111"/>
    </row>
    <row r="230" spans="1:3" ht="13.2">
      <c r="A230" s="53"/>
      <c r="B230" s="16"/>
      <c r="C230" s="111"/>
    </row>
    <row r="231" spans="1:3" ht="13.2">
      <c r="A231" s="53"/>
      <c r="B231" s="16"/>
      <c r="C231" s="111"/>
    </row>
    <row r="232" spans="1:3" ht="13.2">
      <c r="A232" s="53"/>
      <c r="B232" s="16"/>
      <c r="C232" s="111"/>
    </row>
    <row r="233" spans="1:3" ht="13.2">
      <c r="A233" s="53"/>
      <c r="B233" s="16"/>
      <c r="C233" s="111"/>
    </row>
    <row r="234" spans="1:3" ht="13.2">
      <c r="A234" s="53"/>
      <c r="B234" s="16"/>
      <c r="C234" s="111"/>
    </row>
    <row r="235" spans="1:3" ht="13.2">
      <c r="A235" s="53"/>
      <c r="B235" s="16"/>
      <c r="C235" s="111"/>
    </row>
    <row r="236" spans="1:3" ht="13.2">
      <c r="A236" s="53"/>
      <c r="B236" s="16"/>
      <c r="C236" s="111"/>
    </row>
    <row r="237" spans="1:3" ht="13.2">
      <c r="A237" s="53"/>
      <c r="B237" s="16"/>
      <c r="C237" s="111"/>
    </row>
    <row r="238" spans="1:3" ht="13.2">
      <c r="A238" s="53"/>
      <c r="B238" s="16"/>
      <c r="C238" s="111"/>
    </row>
    <row r="239" spans="1:3" ht="13.2">
      <c r="A239" s="53"/>
      <c r="B239" s="16"/>
      <c r="C239" s="111"/>
    </row>
    <row r="240" spans="1:3" ht="13.2">
      <c r="A240" s="53"/>
      <c r="B240" s="16"/>
      <c r="C240" s="111"/>
    </row>
    <row r="241" spans="1:3" ht="13.2">
      <c r="A241" s="53"/>
      <c r="B241" s="16"/>
      <c r="C241" s="111"/>
    </row>
    <row r="242" spans="1:3" ht="13.2">
      <c r="A242" s="53"/>
      <c r="B242" s="16"/>
      <c r="C242" s="111"/>
    </row>
    <row r="243" spans="1:3" ht="13.2">
      <c r="A243" s="53"/>
      <c r="B243" s="16"/>
      <c r="C243" s="111"/>
    </row>
    <row r="244" spans="1:3" ht="13.2">
      <c r="A244" s="53"/>
      <c r="B244" s="16"/>
      <c r="C244" s="111"/>
    </row>
    <row r="245" spans="1:3" ht="13.2">
      <c r="A245" s="53"/>
      <c r="B245" s="16"/>
      <c r="C245" s="111"/>
    </row>
    <row r="246" spans="1:3" ht="13.2">
      <c r="A246" s="53"/>
      <c r="B246" s="16"/>
      <c r="C246" s="111"/>
    </row>
    <row r="247" spans="1:3" ht="13.2">
      <c r="A247" s="53"/>
      <c r="B247" s="16"/>
      <c r="C247" s="111"/>
    </row>
    <row r="248" spans="1:3" ht="13.2">
      <c r="A248" s="53"/>
      <c r="B248" s="16"/>
      <c r="C248" s="111"/>
    </row>
    <row r="249" spans="1:3" ht="13.2">
      <c r="A249" s="53"/>
      <c r="B249" s="16"/>
      <c r="C249" s="111"/>
    </row>
    <row r="250" spans="1:3" ht="13.2">
      <c r="A250" s="53"/>
      <c r="B250" s="16"/>
      <c r="C250" s="111"/>
    </row>
    <row r="251" spans="1:3" ht="13.2">
      <c r="A251" s="53"/>
      <c r="B251" s="16"/>
      <c r="C251" s="111"/>
    </row>
    <row r="252" spans="1:3" ht="13.2">
      <c r="A252" s="53"/>
      <c r="B252" s="16"/>
      <c r="C252" s="111"/>
    </row>
    <row r="253" spans="1:3" ht="13.2">
      <c r="A253" s="53"/>
      <c r="B253" s="16"/>
      <c r="C253" s="111"/>
    </row>
    <row r="254" spans="1:3" ht="13.2">
      <c r="A254" s="53"/>
      <c r="B254" s="16"/>
      <c r="C254" s="111"/>
    </row>
    <row r="255" spans="1:3" ht="13.2">
      <c r="A255" s="53"/>
      <c r="B255" s="16"/>
      <c r="C255" s="111"/>
    </row>
    <row r="256" spans="1:3" ht="13.2">
      <c r="A256" s="53"/>
      <c r="B256" s="16"/>
      <c r="C256" s="111"/>
    </row>
    <row r="257" spans="1:3" ht="13.2">
      <c r="A257" s="53"/>
      <c r="B257" s="16"/>
      <c r="C257" s="111"/>
    </row>
    <row r="258" spans="1:3" ht="13.2">
      <c r="A258" s="53"/>
      <c r="B258" s="16"/>
      <c r="C258" s="111"/>
    </row>
    <row r="259" spans="1:3" ht="13.2">
      <c r="A259" s="53"/>
      <c r="B259" s="16"/>
      <c r="C259" s="111"/>
    </row>
    <row r="260" spans="1:3" ht="13.2">
      <c r="A260" s="53"/>
      <c r="B260" s="16"/>
      <c r="C260" s="111"/>
    </row>
    <row r="261" spans="1:3" ht="13.2">
      <c r="A261" s="53"/>
      <c r="B261" s="16"/>
      <c r="C261" s="111"/>
    </row>
    <row r="262" spans="1:3" ht="13.2">
      <c r="A262" s="53"/>
      <c r="B262" s="16"/>
      <c r="C262" s="111"/>
    </row>
    <row r="263" spans="1:3" ht="13.2">
      <c r="A263" s="53"/>
      <c r="B263" s="16"/>
      <c r="C263" s="111"/>
    </row>
    <row r="264" spans="1:3" ht="13.2">
      <c r="A264" s="53"/>
      <c r="B264" s="16"/>
      <c r="C264" s="111"/>
    </row>
    <row r="265" spans="1:3" ht="13.2">
      <c r="A265" s="53"/>
      <c r="B265" s="16"/>
      <c r="C265" s="111"/>
    </row>
    <row r="266" spans="1:3" ht="13.2">
      <c r="A266" s="53"/>
      <c r="B266" s="16"/>
      <c r="C266" s="111"/>
    </row>
    <row r="267" spans="1:3" ht="13.2">
      <c r="A267" s="53"/>
      <c r="B267" s="16"/>
      <c r="C267" s="111"/>
    </row>
    <row r="268" spans="1:3" ht="13.2">
      <c r="A268" s="53"/>
      <c r="B268" s="16"/>
      <c r="C268" s="111"/>
    </row>
    <row r="269" spans="1:3" ht="13.2">
      <c r="A269" s="53"/>
      <c r="B269" s="16"/>
      <c r="C269" s="111"/>
    </row>
    <row r="270" spans="1:3" ht="13.2">
      <c r="A270" s="53"/>
      <c r="B270" s="16"/>
      <c r="C270" s="111"/>
    </row>
    <row r="271" spans="1:3" ht="13.2">
      <c r="A271" s="53"/>
      <c r="B271" s="16"/>
      <c r="C271" s="111"/>
    </row>
    <row r="272" spans="1:3" ht="13.2">
      <c r="A272" s="53"/>
      <c r="B272" s="16"/>
      <c r="C272" s="111"/>
    </row>
    <row r="273" spans="1:3" ht="13.2">
      <c r="A273" s="53"/>
      <c r="B273" s="16"/>
      <c r="C273" s="111"/>
    </row>
    <row r="274" spans="1:3" ht="13.2">
      <c r="A274" s="53"/>
      <c r="B274" s="16"/>
      <c r="C274" s="111"/>
    </row>
    <row r="275" spans="1:3" ht="13.2">
      <c r="A275" s="53"/>
      <c r="B275" s="16"/>
      <c r="C275" s="111"/>
    </row>
    <row r="276" spans="1:3" ht="13.2">
      <c r="A276" s="53"/>
      <c r="B276" s="16"/>
      <c r="C276" s="111"/>
    </row>
    <row r="277" spans="1:3" ht="13.2">
      <c r="A277" s="53"/>
      <c r="B277" s="16"/>
      <c r="C277" s="111"/>
    </row>
    <row r="278" spans="1:3" ht="13.2">
      <c r="A278" s="53"/>
      <c r="B278" s="16"/>
      <c r="C278" s="111"/>
    </row>
    <row r="279" spans="1:3" ht="13.2">
      <c r="A279" s="53"/>
      <c r="B279" s="16"/>
      <c r="C279" s="111"/>
    </row>
    <row r="280" spans="1:3" ht="13.2">
      <c r="A280" s="53"/>
      <c r="B280" s="16"/>
      <c r="C280" s="111"/>
    </row>
    <row r="281" spans="1:3" ht="13.2">
      <c r="A281" s="53"/>
      <c r="B281" s="16"/>
      <c r="C281" s="111"/>
    </row>
    <row r="282" spans="1:3" ht="13.2">
      <c r="A282" s="53"/>
      <c r="B282" s="16"/>
      <c r="C282" s="111"/>
    </row>
    <row r="283" spans="1:3" ht="13.2">
      <c r="A283" s="53"/>
      <c r="B283" s="16"/>
      <c r="C283" s="111"/>
    </row>
    <row r="284" spans="1:3" ht="13.2">
      <c r="A284" s="53"/>
      <c r="B284" s="16"/>
      <c r="C284" s="111"/>
    </row>
    <row r="285" spans="1:3" ht="13.2">
      <c r="A285" s="53"/>
      <c r="B285" s="16"/>
      <c r="C285" s="111"/>
    </row>
    <row r="286" spans="1:3" ht="13.2">
      <c r="A286" s="53"/>
      <c r="B286" s="16"/>
      <c r="C286" s="111"/>
    </row>
    <row r="287" spans="1:3" ht="13.2">
      <c r="A287" s="53"/>
      <c r="B287" s="16"/>
      <c r="C287" s="111"/>
    </row>
    <row r="288" spans="1:3" ht="13.2">
      <c r="A288" s="53"/>
      <c r="B288" s="16"/>
      <c r="C288" s="111"/>
    </row>
    <row r="289" spans="1:3" ht="13.2">
      <c r="A289" s="53"/>
      <c r="B289" s="16"/>
      <c r="C289" s="111"/>
    </row>
    <row r="290" spans="1:3" ht="13.2">
      <c r="A290" s="53"/>
      <c r="B290" s="16"/>
      <c r="C290" s="111"/>
    </row>
    <row r="291" spans="1:3" ht="13.2">
      <c r="A291" s="53"/>
      <c r="B291" s="16"/>
      <c r="C291" s="111"/>
    </row>
    <row r="292" spans="1:3" ht="13.2">
      <c r="A292" s="53"/>
      <c r="B292" s="16"/>
      <c r="C292" s="111"/>
    </row>
    <row r="293" spans="1:3" ht="13.2">
      <c r="A293" s="53"/>
      <c r="B293" s="16"/>
      <c r="C293" s="111"/>
    </row>
    <row r="294" spans="1:3" ht="13.2">
      <c r="A294" s="53"/>
      <c r="B294" s="16"/>
      <c r="C294" s="111"/>
    </row>
    <row r="295" spans="1:3" ht="13.2">
      <c r="A295" s="53"/>
      <c r="B295" s="16"/>
      <c r="C295" s="111"/>
    </row>
    <row r="296" spans="1:3" ht="13.2">
      <c r="A296" s="53"/>
      <c r="B296" s="16"/>
      <c r="C296" s="111"/>
    </row>
    <row r="297" spans="1:3" ht="13.2">
      <c r="A297" s="53"/>
      <c r="B297" s="16"/>
      <c r="C297" s="111"/>
    </row>
    <row r="298" spans="1:3" ht="13.2">
      <c r="A298" s="53"/>
      <c r="B298" s="16"/>
      <c r="C298" s="111"/>
    </row>
    <row r="299" spans="1:3" ht="13.2">
      <c r="A299" s="53"/>
      <c r="B299" s="16"/>
      <c r="C299" s="111"/>
    </row>
    <row r="300" spans="1:3" ht="13.2">
      <c r="A300" s="53"/>
      <c r="B300" s="16"/>
      <c r="C300" s="111"/>
    </row>
    <row r="301" spans="1:3" ht="13.2">
      <c r="A301" s="53"/>
      <c r="B301" s="16"/>
      <c r="C301" s="111"/>
    </row>
    <row r="302" spans="1:3" ht="13.2">
      <c r="A302" s="53"/>
      <c r="B302" s="16"/>
      <c r="C302" s="111"/>
    </row>
    <row r="303" spans="1:3" ht="13.2">
      <c r="A303" s="53"/>
      <c r="B303" s="16"/>
      <c r="C303" s="111"/>
    </row>
    <row r="304" spans="1:3" ht="13.2">
      <c r="A304" s="53"/>
      <c r="B304" s="16"/>
      <c r="C304" s="111"/>
    </row>
    <row r="305" spans="1:3" ht="13.2">
      <c r="A305" s="53"/>
      <c r="B305" s="16"/>
      <c r="C305" s="111"/>
    </row>
    <row r="306" spans="1:3" ht="13.2">
      <c r="A306" s="53"/>
      <c r="B306" s="16"/>
      <c r="C306" s="111"/>
    </row>
    <row r="307" spans="1:3" ht="13.2">
      <c r="A307" s="53"/>
      <c r="B307" s="16"/>
      <c r="C307" s="111"/>
    </row>
    <row r="308" spans="1:3" ht="13.2">
      <c r="A308" s="53"/>
      <c r="B308" s="16"/>
      <c r="C308" s="111"/>
    </row>
    <row r="309" spans="1:3" ht="13.2">
      <c r="A309" s="53"/>
      <c r="B309" s="16"/>
      <c r="C309" s="111"/>
    </row>
    <row r="310" spans="1:3" ht="13.2">
      <c r="A310" s="53"/>
      <c r="B310" s="16"/>
      <c r="C310" s="111"/>
    </row>
    <row r="311" spans="1:3" ht="13.2">
      <c r="A311" s="53"/>
      <c r="B311" s="16"/>
      <c r="C311" s="111"/>
    </row>
    <row r="312" spans="1:3" ht="13.2">
      <c r="A312" s="53"/>
      <c r="B312" s="16"/>
      <c r="C312" s="111"/>
    </row>
    <row r="313" spans="1:3" ht="13.2">
      <c r="A313" s="53"/>
      <c r="B313" s="16"/>
      <c r="C313" s="111"/>
    </row>
    <row r="314" spans="1:3" ht="13.2">
      <c r="A314" s="53"/>
      <c r="B314" s="16"/>
      <c r="C314" s="111"/>
    </row>
    <row r="315" spans="1:3" ht="13.2">
      <c r="A315" s="53"/>
      <c r="B315" s="16"/>
      <c r="C315" s="111"/>
    </row>
    <row r="316" spans="1:3" ht="13.2">
      <c r="A316" s="53"/>
      <c r="B316" s="16"/>
      <c r="C316" s="111"/>
    </row>
    <row r="317" spans="1:3" ht="13.2">
      <c r="A317" s="53"/>
      <c r="B317" s="16"/>
      <c r="C317" s="111"/>
    </row>
    <row r="318" spans="1:3" ht="13.2">
      <c r="A318" s="53"/>
      <c r="B318" s="16"/>
      <c r="C318" s="111"/>
    </row>
    <row r="319" spans="1:3" ht="13.2">
      <c r="A319" s="53"/>
      <c r="B319" s="16"/>
      <c r="C319" s="111"/>
    </row>
    <row r="320" spans="1:3" ht="13.2">
      <c r="A320" s="53"/>
      <c r="B320" s="16"/>
      <c r="C320" s="111"/>
    </row>
    <row r="321" spans="1:3" ht="13.2">
      <c r="A321" s="53"/>
      <c r="B321" s="16"/>
      <c r="C321" s="111"/>
    </row>
    <row r="322" spans="1:3" ht="13.2">
      <c r="A322" s="53"/>
      <c r="B322" s="16"/>
      <c r="C322" s="111"/>
    </row>
    <row r="323" spans="1:3" ht="13.2">
      <c r="A323" s="53"/>
      <c r="B323" s="16"/>
      <c r="C323" s="111"/>
    </row>
    <row r="324" spans="1:3" ht="13.2">
      <c r="A324" s="53"/>
      <c r="B324" s="16"/>
      <c r="C324" s="111"/>
    </row>
    <row r="325" spans="1:3" ht="13.2">
      <c r="A325" s="53"/>
      <c r="B325" s="16"/>
      <c r="C325" s="111"/>
    </row>
    <row r="326" spans="1:3" ht="13.2">
      <c r="A326" s="53"/>
      <c r="B326" s="16"/>
      <c r="C326" s="111"/>
    </row>
    <row r="327" spans="1:3" ht="13.2">
      <c r="A327" s="53"/>
      <c r="B327" s="16"/>
      <c r="C327" s="111"/>
    </row>
    <row r="328" spans="1:3" ht="13.2">
      <c r="A328" s="53"/>
      <c r="B328" s="16"/>
      <c r="C328" s="111"/>
    </row>
    <row r="329" spans="1:3" ht="13.2">
      <c r="A329" s="53"/>
      <c r="B329" s="16"/>
      <c r="C329" s="111"/>
    </row>
    <row r="330" spans="1:3" ht="13.2">
      <c r="A330" s="53"/>
      <c r="B330" s="16"/>
      <c r="C330" s="111"/>
    </row>
    <row r="331" spans="1:3" ht="13.2">
      <c r="A331" s="53"/>
      <c r="B331" s="16"/>
      <c r="C331" s="111"/>
    </row>
    <row r="332" spans="1:3" ht="13.2">
      <c r="A332" s="53"/>
      <c r="B332" s="16"/>
      <c r="C332" s="111"/>
    </row>
    <row r="333" spans="1:3" ht="13.2">
      <c r="A333" s="53"/>
      <c r="B333" s="16"/>
      <c r="C333" s="111"/>
    </row>
    <row r="334" spans="1:3" ht="13.2">
      <c r="A334" s="53"/>
      <c r="B334" s="16"/>
      <c r="C334" s="111"/>
    </row>
    <row r="335" spans="1:3" ht="13.2">
      <c r="A335" s="53"/>
      <c r="B335" s="16"/>
      <c r="C335" s="111"/>
    </row>
    <row r="336" spans="1:3" ht="13.2">
      <c r="A336" s="53"/>
      <c r="B336" s="16"/>
      <c r="C336" s="111"/>
    </row>
    <row r="337" spans="1:3" ht="13.2">
      <c r="A337" s="53"/>
      <c r="B337" s="16"/>
      <c r="C337" s="111"/>
    </row>
    <row r="338" spans="1:3" ht="13.2">
      <c r="A338" s="53"/>
      <c r="B338" s="16"/>
      <c r="C338" s="111"/>
    </row>
    <row r="339" spans="1:3" ht="13.2">
      <c r="A339" s="53"/>
      <c r="B339" s="16"/>
      <c r="C339" s="111"/>
    </row>
    <row r="340" spans="1:3" ht="13.2">
      <c r="A340" s="53"/>
      <c r="B340" s="16"/>
      <c r="C340" s="111"/>
    </row>
    <row r="341" spans="1:3" ht="13.2">
      <c r="A341" s="53"/>
      <c r="B341" s="16"/>
      <c r="C341" s="111"/>
    </row>
    <row r="342" spans="1:3" ht="13.2">
      <c r="A342" s="53"/>
      <c r="B342" s="16"/>
      <c r="C342" s="111"/>
    </row>
    <row r="343" spans="1:3" ht="13.2">
      <c r="A343" s="53"/>
      <c r="B343" s="16"/>
      <c r="C343" s="111"/>
    </row>
    <row r="344" spans="1:3" ht="13.2">
      <c r="A344" s="53"/>
      <c r="B344" s="16"/>
      <c r="C344" s="111"/>
    </row>
    <row r="345" spans="1:3" ht="13.2">
      <c r="A345" s="53"/>
      <c r="B345" s="16"/>
      <c r="C345" s="111"/>
    </row>
    <row r="346" spans="1:3" ht="13.2">
      <c r="A346" s="53"/>
      <c r="B346" s="16"/>
      <c r="C346" s="111"/>
    </row>
    <row r="347" spans="1:3" ht="13.2">
      <c r="A347" s="53"/>
      <c r="B347" s="16"/>
      <c r="C347" s="111"/>
    </row>
    <row r="348" spans="1:3" ht="13.2">
      <c r="A348" s="53"/>
      <c r="B348" s="16"/>
      <c r="C348" s="111"/>
    </row>
    <row r="349" spans="1:3" ht="13.2">
      <c r="A349" s="53"/>
      <c r="B349" s="16"/>
      <c r="C349" s="111"/>
    </row>
    <row r="350" spans="1:3" ht="13.2">
      <c r="A350" s="53"/>
      <c r="B350" s="16"/>
      <c r="C350" s="111"/>
    </row>
    <row r="351" spans="1:3" ht="13.2">
      <c r="A351" s="53"/>
      <c r="B351" s="16"/>
      <c r="C351" s="111"/>
    </row>
    <row r="352" spans="1:3" ht="13.2">
      <c r="A352" s="53"/>
      <c r="B352" s="16"/>
      <c r="C352" s="111"/>
    </row>
    <row r="353" spans="1:3" ht="13.2">
      <c r="A353" s="53"/>
      <c r="B353" s="16"/>
      <c r="C353" s="111"/>
    </row>
    <row r="354" spans="1:3" ht="13.2">
      <c r="A354" s="53"/>
      <c r="B354" s="16"/>
      <c r="C354" s="111"/>
    </row>
    <row r="355" spans="1:3" ht="13.2">
      <c r="A355" s="53"/>
      <c r="B355" s="16"/>
      <c r="C355" s="111"/>
    </row>
    <row r="356" spans="1:3" ht="13.2">
      <c r="A356" s="53"/>
      <c r="B356" s="16"/>
      <c r="C356" s="111"/>
    </row>
    <row r="357" spans="1:3" ht="13.2">
      <c r="A357" s="53"/>
      <c r="B357" s="16"/>
      <c r="C357" s="111"/>
    </row>
    <row r="358" spans="1:3" ht="13.2">
      <c r="A358" s="53"/>
      <c r="B358" s="16"/>
      <c r="C358" s="111"/>
    </row>
    <row r="359" spans="1:3" ht="13.2">
      <c r="A359" s="53"/>
      <c r="B359" s="16"/>
      <c r="C359" s="111"/>
    </row>
    <row r="360" spans="1:3" ht="13.2">
      <c r="A360" s="53"/>
      <c r="B360" s="16"/>
      <c r="C360" s="111"/>
    </row>
    <row r="361" spans="1:3" ht="13.2">
      <c r="A361" s="53"/>
      <c r="B361" s="16"/>
      <c r="C361" s="111"/>
    </row>
    <row r="362" spans="1:3" ht="13.2">
      <c r="A362" s="53"/>
      <c r="B362" s="16"/>
      <c r="C362" s="111"/>
    </row>
    <row r="363" spans="1:3" ht="13.2">
      <c r="A363" s="53"/>
      <c r="B363" s="16"/>
      <c r="C363" s="111"/>
    </row>
    <row r="364" spans="1:3" ht="13.2">
      <c r="A364" s="53"/>
      <c r="B364" s="16"/>
      <c r="C364" s="111"/>
    </row>
    <row r="365" spans="1:3" ht="13.2">
      <c r="A365" s="53"/>
      <c r="B365" s="16"/>
      <c r="C365" s="111"/>
    </row>
    <row r="366" spans="1:3" ht="13.2">
      <c r="A366" s="53"/>
      <c r="B366" s="16"/>
      <c r="C366" s="111"/>
    </row>
    <row r="367" spans="1:3" ht="13.2">
      <c r="A367" s="53"/>
      <c r="B367" s="16"/>
      <c r="C367" s="111"/>
    </row>
    <row r="368" spans="1:3" ht="13.2">
      <c r="A368" s="53"/>
      <c r="B368" s="16"/>
      <c r="C368" s="111"/>
    </row>
    <row r="369" spans="1:3" ht="13.2">
      <c r="A369" s="53"/>
      <c r="B369" s="16"/>
      <c r="C369" s="111"/>
    </row>
    <row r="370" spans="1:3" ht="13.2">
      <c r="A370" s="53"/>
      <c r="B370" s="16"/>
      <c r="C370" s="111"/>
    </row>
    <row r="371" spans="1:3" ht="13.2">
      <c r="A371" s="53"/>
      <c r="B371" s="16"/>
      <c r="C371" s="111"/>
    </row>
    <row r="372" spans="1:3" ht="13.2">
      <c r="A372" s="53"/>
      <c r="B372" s="16"/>
      <c r="C372" s="111"/>
    </row>
    <row r="373" spans="1:3" ht="13.2">
      <c r="A373" s="53"/>
      <c r="B373" s="16"/>
      <c r="C373" s="111"/>
    </row>
    <row r="374" spans="1:3" ht="13.2">
      <c r="A374" s="53"/>
      <c r="B374" s="16"/>
      <c r="C374" s="111"/>
    </row>
    <row r="375" spans="1:3" ht="13.2">
      <c r="A375" s="53"/>
      <c r="B375" s="16"/>
      <c r="C375" s="111"/>
    </row>
    <row r="376" spans="1:3" ht="13.2">
      <c r="A376" s="53"/>
      <c r="B376" s="16"/>
      <c r="C376" s="111"/>
    </row>
    <row r="377" spans="1:3" ht="13.2">
      <c r="A377" s="53"/>
      <c r="B377" s="16"/>
      <c r="C377" s="111"/>
    </row>
    <row r="378" spans="1:3" ht="13.2">
      <c r="A378" s="53"/>
      <c r="B378" s="16"/>
      <c r="C378" s="111"/>
    </row>
    <row r="379" spans="1:3" ht="13.2">
      <c r="A379" s="53"/>
      <c r="B379" s="16"/>
      <c r="C379" s="111"/>
    </row>
    <row r="380" spans="1:3" ht="13.2">
      <c r="A380" s="53"/>
      <c r="B380" s="16"/>
      <c r="C380" s="111"/>
    </row>
    <row r="381" spans="1:3" ht="13.2">
      <c r="A381" s="53"/>
      <c r="B381" s="16"/>
      <c r="C381" s="111"/>
    </row>
    <row r="382" spans="1:3" ht="13.2">
      <c r="A382" s="53"/>
      <c r="B382" s="16"/>
      <c r="C382" s="111"/>
    </row>
    <row r="383" spans="1:3" ht="13.2">
      <c r="A383" s="53"/>
      <c r="B383" s="16"/>
      <c r="C383" s="111"/>
    </row>
    <row r="384" spans="1:3" ht="13.2">
      <c r="A384" s="53"/>
      <c r="B384" s="16"/>
      <c r="C384" s="111"/>
    </row>
    <row r="385" spans="1:3" ht="13.2">
      <c r="A385" s="53"/>
      <c r="B385" s="16"/>
      <c r="C385" s="111"/>
    </row>
    <row r="386" spans="1:3" ht="13.2">
      <c r="A386" s="53"/>
      <c r="B386" s="16"/>
      <c r="C386" s="111"/>
    </row>
    <row r="387" spans="1:3" ht="13.2">
      <c r="A387" s="53"/>
      <c r="B387" s="16"/>
      <c r="C387" s="111"/>
    </row>
    <row r="388" spans="1:3" ht="13.2">
      <c r="A388" s="53"/>
      <c r="B388" s="16"/>
      <c r="C388" s="111"/>
    </row>
    <row r="389" spans="1:3" ht="13.2">
      <c r="A389" s="53"/>
      <c r="B389" s="16"/>
      <c r="C389" s="111"/>
    </row>
    <row r="390" spans="1:3" ht="13.2">
      <c r="A390" s="53"/>
      <c r="B390" s="16"/>
      <c r="C390" s="111"/>
    </row>
    <row r="391" spans="1:3" ht="13.2">
      <c r="A391" s="53"/>
      <c r="B391" s="16"/>
      <c r="C391" s="111"/>
    </row>
    <row r="392" spans="1:3" ht="13.2">
      <c r="A392" s="53"/>
      <c r="B392" s="16"/>
      <c r="C392" s="111"/>
    </row>
    <row r="393" spans="1:3" ht="13.2">
      <c r="A393" s="53"/>
      <c r="B393" s="16"/>
      <c r="C393" s="111"/>
    </row>
    <row r="394" spans="1:3" ht="13.2">
      <c r="A394" s="53"/>
      <c r="B394" s="16"/>
      <c r="C394" s="111"/>
    </row>
    <row r="395" spans="1:3" ht="13.2">
      <c r="A395" s="53"/>
      <c r="B395" s="16"/>
      <c r="C395" s="111"/>
    </row>
    <row r="396" spans="1:3" ht="13.2">
      <c r="A396" s="53"/>
      <c r="B396" s="16"/>
      <c r="C396" s="111"/>
    </row>
    <row r="397" spans="1:3" ht="13.2">
      <c r="A397" s="53"/>
      <c r="B397" s="16"/>
      <c r="C397" s="111"/>
    </row>
    <row r="398" spans="1:3" ht="13.2">
      <c r="A398" s="53"/>
      <c r="B398" s="16"/>
      <c r="C398" s="111"/>
    </row>
    <row r="399" spans="1:3" ht="13.2">
      <c r="A399" s="53"/>
      <c r="B399" s="16"/>
      <c r="C399" s="111"/>
    </row>
    <row r="400" spans="1:3" ht="13.2">
      <c r="A400" s="53"/>
      <c r="B400" s="16"/>
      <c r="C400" s="111"/>
    </row>
    <row r="401" spans="1:3" ht="13.2">
      <c r="A401" s="53"/>
      <c r="B401" s="16"/>
      <c r="C401" s="111"/>
    </row>
    <row r="402" spans="1:3" ht="13.2">
      <c r="A402" s="53"/>
      <c r="B402" s="16"/>
      <c r="C402" s="111"/>
    </row>
    <row r="403" spans="1:3" ht="13.2">
      <c r="A403" s="53"/>
      <c r="B403" s="16"/>
      <c r="C403" s="111"/>
    </row>
    <row r="404" spans="1:3" ht="13.2">
      <c r="A404" s="53"/>
      <c r="B404" s="16"/>
      <c r="C404" s="111"/>
    </row>
    <row r="405" spans="1:3" ht="13.2">
      <c r="A405" s="53"/>
      <c r="B405" s="16"/>
      <c r="C405" s="111"/>
    </row>
    <row r="406" spans="1:3" ht="13.2">
      <c r="A406" s="53"/>
      <c r="B406" s="16"/>
      <c r="C406" s="111"/>
    </row>
    <row r="407" spans="1:3" ht="13.2">
      <c r="A407" s="53"/>
      <c r="B407" s="16"/>
      <c r="C407" s="111"/>
    </row>
    <row r="408" spans="1:3" ht="13.2">
      <c r="A408" s="53"/>
      <c r="B408" s="16"/>
      <c r="C408" s="111"/>
    </row>
    <row r="409" spans="1:3" ht="13.2">
      <c r="A409" s="53"/>
      <c r="B409" s="16"/>
      <c r="C409" s="111"/>
    </row>
    <row r="410" spans="1:3" ht="13.2">
      <c r="A410" s="53"/>
      <c r="B410" s="16"/>
      <c r="C410" s="111"/>
    </row>
    <row r="411" spans="1:3" ht="13.2">
      <c r="A411" s="53"/>
      <c r="B411" s="16"/>
      <c r="C411" s="111"/>
    </row>
    <row r="412" spans="1:3" ht="13.2">
      <c r="A412" s="53"/>
      <c r="B412" s="16"/>
      <c r="C412" s="111"/>
    </row>
    <row r="413" spans="1:3" ht="13.2">
      <c r="A413" s="53"/>
      <c r="B413" s="16"/>
      <c r="C413" s="111"/>
    </row>
    <row r="414" spans="1:3" ht="13.2">
      <c r="A414" s="53"/>
      <c r="B414" s="16"/>
      <c r="C414" s="111"/>
    </row>
    <row r="415" spans="1:3" ht="13.2">
      <c r="A415" s="53"/>
      <c r="B415" s="16"/>
      <c r="C415" s="111"/>
    </row>
    <row r="416" spans="1:3" ht="13.2">
      <c r="A416" s="53"/>
      <c r="B416" s="16"/>
      <c r="C416" s="111"/>
    </row>
    <row r="417" spans="1:3" ht="13.2">
      <c r="A417" s="53"/>
      <c r="B417" s="16"/>
      <c r="C417" s="111"/>
    </row>
    <row r="418" spans="1:3" ht="13.2">
      <c r="A418" s="53"/>
      <c r="B418" s="16"/>
      <c r="C418" s="111"/>
    </row>
    <row r="419" spans="1:3" ht="13.2">
      <c r="A419" s="53"/>
      <c r="B419" s="16"/>
      <c r="C419" s="111"/>
    </row>
    <row r="420" spans="1:3" ht="13.2">
      <c r="A420" s="53"/>
      <c r="B420" s="16"/>
      <c r="C420" s="111"/>
    </row>
    <row r="421" spans="1:3" ht="13.2">
      <c r="A421" s="53"/>
      <c r="B421" s="16"/>
      <c r="C421" s="111"/>
    </row>
    <row r="422" spans="1:3" ht="13.2">
      <c r="A422" s="53"/>
      <c r="B422" s="16"/>
      <c r="C422" s="111"/>
    </row>
    <row r="423" spans="1:3" ht="13.2">
      <c r="A423" s="53"/>
      <c r="B423" s="16"/>
      <c r="C423" s="111"/>
    </row>
    <row r="424" spans="1:3" ht="13.2">
      <c r="A424" s="53"/>
      <c r="B424" s="16"/>
      <c r="C424" s="111"/>
    </row>
    <row r="425" spans="1:3" ht="13.2">
      <c r="A425" s="53"/>
      <c r="B425" s="16"/>
      <c r="C425" s="111"/>
    </row>
    <row r="426" spans="1:3" ht="13.2">
      <c r="A426" s="53"/>
      <c r="B426" s="16"/>
      <c r="C426" s="111"/>
    </row>
    <row r="427" spans="1:3" ht="13.2">
      <c r="A427" s="53"/>
      <c r="B427" s="16"/>
      <c r="C427" s="111"/>
    </row>
    <row r="428" spans="1:3" ht="13.2">
      <c r="A428" s="53"/>
      <c r="B428" s="16"/>
      <c r="C428" s="111"/>
    </row>
    <row r="429" spans="1:3" ht="13.2">
      <c r="A429" s="53"/>
      <c r="B429" s="16"/>
      <c r="C429" s="111"/>
    </row>
    <row r="430" spans="1:3" ht="13.2">
      <c r="A430" s="53"/>
      <c r="B430" s="16"/>
      <c r="C430" s="111"/>
    </row>
    <row r="431" spans="1:3" ht="13.2">
      <c r="A431" s="53"/>
      <c r="B431" s="16"/>
      <c r="C431" s="111"/>
    </row>
    <row r="432" spans="1:3" ht="13.2">
      <c r="A432" s="53"/>
      <c r="B432" s="16"/>
      <c r="C432" s="111"/>
    </row>
    <row r="433" spans="1:3" ht="13.2">
      <c r="A433" s="53"/>
      <c r="B433" s="16"/>
      <c r="C433" s="111"/>
    </row>
    <row r="434" spans="1:3" ht="13.2">
      <c r="A434" s="53"/>
      <c r="B434" s="16"/>
      <c r="C434" s="111"/>
    </row>
    <row r="435" spans="1:3" ht="13.2">
      <c r="A435" s="53"/>
      <c r="B435" s="16"/>
      <c r="C435" s="111"/>
    </row>
    <row r="436" spans="1:3" ht="13.2">
      <c r="A436" s="53"/>
      <c r="B436" s="16"/>
      <c r="C436" s="111"/>
    </row>
    <row r="437" spans="1:3" ht="13.2">
      <c r="A437" s="53"/>
      <c r="B437" s="16"/>
      <c r="C437" s="111"/>
    </row>
    <row r="438" spans="1:3" ht="13.2">
      <c r="A438" s="53"/>
      <c r="B438" s="16"/>
      <c r="C438" s="111"/>
    </row>
    <row r="439" spans="1:3" ht="13.2">
      <c r="A439" s="53"/>
      <c r="B439" s="16"/>
      <c r="C439" s="111"/>
    </row>
    <row r="440" spans="1:3" ht="13.2">
      <c r="A440" s="53"/>
      <c r="B440" s="16"/>
      <c r="C440" s="111"/>
    </row>
    <row r="441" spans="1:3" ht="13.2">
      <c r="A441" s="53"/>
      <c r="B441" s="16"/>
      <c r="C441" s="111"/>
    </row>
    <row r="442" spans="1:3" ht="13.2">
      <c r="A442" s="53"/>
      <c r="B442" s="16"/>
      <c r="C442" s="111"/>
    </row>
    <row r="443" spans="1:3" ht="13.2">
      <c r="A443" s="53"/>
      <c r="B443" s="16"/>
      <c r="C443" s="111"/>
    </row>
    <row r="444" spans="1:3" ht="13.2">
      <c r="A444" s="53"/>
      <c r="B444" s="16"/>
      <c r="C444" s="111"/>
    </row>
    <row r="445" spans="1:3" ht="13.2">
      <c r="A445" s="53"/>
      <c r="B445" s="16"/>
      <c r="C445" s="111"/>
    </row>
    <row r="446" spans="1:3" ht="13.2">
      <c r="A446" s="53"/>
      <c r="B446" s="16"/>
      <c r="C446" s="111"/>
    </row>
    <row r="447" spans="1:3" ht="13.2">
      <c r="A447" s="53"/>
      <c r="B447" s="16"/>
      <c r="C447" s="111"/>
    </row>
    <row r="448" spans="1:3" ht="13.2">
      <c r="A448" s="53"/>
      <c r="B448" s="16"/>
      <c r="C448" s="111"/>
    </row>
    <row r="449" spans="1:3" ht="13.2">
      <c r="A449" s="53"/>
      <c r="B449" s="16"/>
      <c r="C449" s="111"/>
    </row>
    <row r="450" spans="1:3" ht="13.2">
      <c r="A450" s="53"/>
      <c r="B450" s="16"/>
      <c r="C450" s="111"/>
    </row>
    <row r="451" spans="1:3" ht="13.2">
      <c r="A451" s="53"/>
      <c r="B451" s="16"/>
      <c r="C451" s="111"/>
    </row>
    <row r="452" spans="1:3" ht="13.2">
      <c r="A452" s="53"/>
      <c r="B452" s="16"/>
      <c r="C452" s="111"/>
    </row>
    <row r="453" spans="1:3" ht="13.2">
      <c r="A453" s="53"/>
      <c r="B453" s="16"/>
      <c r="C453" s="111"/>
    </row>
    <row r="454" spans="1:3" ht="13.2">
      <c r="A454" s="53"/>
      <c r="B454" s="16"/>
      <c r="C454" s="111"/>
    </row>
    <row r="455" spans="1:3" ht="13.2">
      <c r="A455" s="53"/>
      <c r="B455" s="16"/>
      <c r="C455" s="111"/>
    </row>
    <row r="456" spans="1:3" ht="13.2">
      <c r="A456" s="53"/>
      <c r="B456" s="16"/>
      <c r="C456" s="111"/>
    </row>
    <row r="457" spans="1:3" ht="13.2">
      <c r="A457" s="53"/>
      <c r="B457" s="16"/>
      <c r="C457" s="111"/>
    </row>
    <row r="458" spans="1:3" ht="13.2">
      <c r="A458" s="53"/>
      <c r="B458" s="16"/>
      <c r="C458" s="111"/>
    </row>
    <row r="459" spans="1:3" ht="13.2">
      <c r="A459" s="53"/>
      <c r="B459" s="16"/>
      <c r="C459" s="111"/>
    </row>
    <row r="460" spans="1:3" ht="13.2">
      <c r="A460" s="53"/>
      <c r="B460" s="16"/>
      <c r="C460" s="111"/>
    </row>
    <row r="461" spans="1:3" ht="13.2">
      <c r="A461" s="53"/>
      <c r="B461" s="16"/>
      <c r="C461" s="111"/>
    </row>
    <row r="462" spans="1:3" ht="13.2">
      <c r="A462" s="53"/>
      <c r="B462" s="16"/>
      <c r="C462" s="111"/>
    </row>
    <row r="463" spans="1:3" ht="13.2">
      <c r="A463" s="53"/>
      <c r="B463" s="16"/>
      <c r="C463" s="111"/>
    </row>
    <row r="464" spans="1:3" ht="13.2">
      <c r="A464" s="53"/>
      <c r="B464" s="16"/>
      <c r="C464" s="111"/>
    </row>
    <row r="465" spans="1:3" ht="13.2">
      <c r="A465" s="53"/>
      <c r="B465" s="16"/>
      <c r="C465" s="111"/>
    </row>
    <row r="466" spans="1:3" ht="13.2">
      <c r="A466" s="53"/>
      <c r="B466" s="16"/>
      <c r="C466" s="111"/>
    </row>
    <row r="467" spans="1:3" ht="13.2">
      <c r="A467" s="53"/>
      <c r="B467" s="16"/>
      <c r="C467" s="111"/>
    </row>
    <row r="468" spans="1:3" ht="13.2">
      <c r="A468" s="53"/>
      <c r="B468" s="16"/>
      <c r="C468" s="111"/>
    </row>
    <row r="469" spans="1:3" ht="13.2">
      <c r="A469" s="53"/>
      <c r="B469" s="16"/>
      <c r="C469" s="111"/>
    </row>
    <row r="470" spans="1:3" ht="13.2">
      <c r="A470" s="53"/>
      <c r="B470" s="16"/>
      <c r="C470" s="111"/>
    </row>
    <row r="471" spans="1:3" ht="13.2">
      <c r="A471" s="53"/>
      <c r="B471" s="16"/>
      <c r="C471" s="111"/>
    </row>
    <row r="472" spans="1:3" ht="13.2">
      <c r="A472" s="53"/>
      <c r="B472" s="16"/>
      <c r="C472" s="111"/>
    </row>
    <row r="473" spans="1:3" ht="13.2">
      <c r="A473" s="53"/>
      <c r="B473" s="16"/>
      <c r="C473" s="111"/>
    </row>
    <row r="474" spans="1:3" ht="13.2">
      <c r="A474" s="53"/>
      <c r="B474" s="16"/>
      <c r="C474" s="111"/>
    </row>
    <row r="475" spans="1:3" ht="13.2">
      <c r="A475" s="53"/>
      <c r="B475" s="16"/>
      <c r="C475" s="111"/>
    </row>
    <row r="476" spans="1:3" ht="13.2">
      <c r="A476" s="53"/>
      <c r="B476" s="16"/>
      <c r="C476" s="111"/>
    </row>
    <row r="477" spans="1:3" ht="13.2">
      <c r="A477" s="53"/>
      <c r="B477" s="16"/>
      <c r="C477" s="111"/>
    </row>
    <row r="478" spans="1:3" ht="13.2">
      <c r="A478" s="53"/>
      <c r="B478" s="16"/>
      <c r="C478" s="111"/>
    </row>
    <row r="479" spans="1:3" ht="13.2">
      <c r="A479" s="53"/>
      <c r="B479" s="16"/>
      <c r="C479" s="111"/>
    </row>
    <row r="480" spans="1:3" ht="13.2">
      <c r="A480" s="53"/>
      <c r="B480" s="16"/>
      <c r="C480" s="111"/>
    </row>
    <row r="481" spans="1:3" ht="13.2">
      <c r="A481" s="53"/>
      <c r="B481" s="16"/>
      <c r="C481" s="111"/>
    </row>
    <row r="482" spans="1:3" ht="13.2">
      <c r="A482" s="53"/>
      <c r="B482" s="16"/>
      <c r="C482" s="111"/>
    </row>
    <row r="483" spans="1:3" ht="13.2">
      <c r="A483" s="53"/>
      <c r="B483" s="16"/>
      <c r="C483" s="111"/>
    </row>
    <row r="484" spans="1:3" ht="13.2">
      <c r="A484" s="53"/>
      <c r="B484" s="16"/>
      <c r="C484" s="111"/>
    </row>
    <row r="485" spans="1:3" ht="13.2">
      <c r="A485" s="53"/>
      <c r="B485" s="16"/>
      <c r="C485" s="111"/>
    </row>
    <row r="486" spans="1:3" ht="13.2">
      <c r="A486" s="53"/>
      <c r="B486" s="16"/>
      <c r="C486" s="111"/>
    </row>
    <row r="487" spans="1:3" ht="13.2">
      <c r="A487" s="53"/>
      <c r="B487" s="16"/>
      <c r="C487" s="111"/>
    </row>
    <row r="488" spans="1:3" ht="13.2">
      <c r="A488" s="53"/>
      <c r="B488" s="16"/>
      <c r="C488" s="111"/>
    </row>
    <row r="489" spans="1:3" ht="13.2">
      <c r="A489" s="53"/>
      <c r="B489" s="16"/>
      <c r="C489" s="111"/>
    </row>
    <row r="490" spans="1:3" ht="13.2">
      <c r="A490" s="53"/>
      <c r="B490" s="16"/>
      <c r="C490" s="111"/>
    </row>
    <row r="491" spans="1:3" ht="13.2">
      <c r="A491" s="53"/>
      <c r="B491" s="16"/>
      <c r="C491" s="111"/>
    </row>
    <row r="492" spans="1:3" ht="13.2">
      <c r="A492" s="53"/>
      <c r="B492" s="16"/>
      <c r="C492" s="111"/>
    </row>
    <row r="493" spans="1:3" ht="13.2">
      <c r="A493" s="53"/>
      <c r="B493" s="16"/>
      <c r="C493" s="111"/>
    </row>
    <row r="494" spans="1:3" ht="13.2">
      <c r="A494" s="53"/>
      <c r="B494" s="16"/>
      <c r="C494" s="111"/>
    </row>
    <row r="495" spans="1:3" ht="13.2">
      <c r="A495" s="53"/>
      <c r="B495" s="16"/>
      <c r="C495" s="111"/>
    </row>
    <row r="496" spans="1:3" ht="13.2">
      <c r="A496" s="53"/>
      <c r="B496" s="16"/>
      <c r="C496" s="111"/>
    </row>
    <row r="497" spans="1:3" ht="13.2">
      <c r="A497" s="53"/>
      <c r="B497" s="16"/>
      <c r="C497" s="111"/>
    </row>
    <row r="498" spans="1:3" ht="13.2">
      <c r="A498" s="53"/>
      <c r="B498" s="16"/>
      <c r="C498" s="111"/>
    </row>
    <row r="499" spans="1:3" ht="13.2">
      <c r="A499" s="53"/>
      <c r="B499" s="16"/>
      <c r="C499" s="111"/>
    </row>
    <row r="500" spans="1:3" ht="13.2">
      <c r="A500" s="53"/>
      <c r="B500" s="16"/>
      <c r="C500" s="111"/>
    </row>
    <row r="501" spans="1:3" ht="13.2">
      <c r="A501" s="53"/>
      <c r="B501" s="16"/>
      <c r="C501" s="111"/>
    </row>
    <row r="502" spans="1:3" ht="13.2">
      <c r="A502" s="53"/>
      <c r="B502" s="16"/>
      <c r="C502" s="111"/>
    </row>
    <row r="503" spans="1:3" ht="13.2">
      <c r="A503" s="53"/>
      <c r="B503" s="16"/>
      <c r="C503" s="111"/>
    </row>
    <row r="504" spans="1:3" ht="13.2">
      <c r="A504" s="53"/>
      <c r="B504" s="16"/>
      <c r="C504" s="111"/>
    </row>
    <row r="505" spans="1:3" ht="13.2">
      <c r="A505" s="53"/>
      <c r="B505" s="16"/>
      <c r="C505" s="111"/>
    </row>
    <row r="506" spans="1:3" ht="13.2">
      <c r="A506" s="53"/>
      <c r="B506" s="16"/>
      <c r="C506" s="111"/>
    </row>
    <row r="507" spans="1:3" ht="13.2">
      <c r="A507" s="53"/>
      <c r="B507" s="16"/>
      <c r="C507" s="111"/>
    </row>
    <row r="508" spans="1:3" ht="13.2">
      <c r="A508" s="53"/>
      <c r="B508" s="16"/>
      <c r="C508" s="111"/>
    </row>
    <row r="509" spans="1:3" ht="13.2">
      <c r="A509" s="53"/>
      <c r="B509" s="16"/>
      <c r="C509" s="111"/>
    </row>
    <row r="510" spans="1:3" ht="13.2">
      <c r="A510" s="53"/>
      <c r="B510" s="16"/>
      <c r="C510" s="111"/>
    </row>
    <row r="511" spans="1:3" ht="13.2">
      <c r="A511" s="53"/>
      <c r="B511" s="16"/>
      <c r="C511" s="111"/>
    </row>
    <row r="512" spans="1:3" ht="13.2">
      <c r="A512" s="53"/>
      <c r="B512" s="16"/>
      <c r="C512" s="111"/>
    </row>
    <row r="513" spans="1:3" ht="13.2">
      <c r="A513" s="53"/>
      <c r="B513" s="16"/>
      <c r="C513" s="111"/>
    </row>
    <row r="514" spans="1:3" ht="13.2">
      <c r="A514" s="53"/>
      <c r="B514" s="16"/>
      <c r="C514" s="111"/>
    </row>
    <row r="515" spans="1:3" ht="13.2">
      <c r="A515" s="53"/>
      <c r="B515" s="16"/>
      <c r="C515" s="111"/>
    </row>
    <row r="516" spans="1:3" ht="13.2">
      <c r="A516" s="53"/>
      <c r="B516" s="16"/>
      <c r="C516" s="111"/>
    </row>
    <row r="517" spans="1:3" ht="13.2">
      <c r="A517" s="53"/>
      <c r="B517" s="16"/>
      <c r="C517" s="111"/>
    </row>
    <row r="518" spans="1:3" ht="13.2">
      <c r="A518" s="53"/>
      <c r="B518" s="16"/>
      <c r="C518" s="111"/>
    </row>
    <row r="519" spans="1:3" ht="13.2">
      <c r="A519" s="53"/>
      <c r="B519" s="16"/>
      <c r="C519" s="111"/>
    </row>
    <row r="520" spans="1:3" ht="13.2">
      <c r="A520" s="53"/>
      <c r="B520" s="16"/>
      <c r="C520" s="111"/>
    </row>
    <row r="521" spans="1:3" ht="13.2">
      <c r="A521" s="53"/>
      <c r="B521" s="16"/>
      <c r="C521" s="111"/>
    </row>
    <row r="522" spans="1:3" ht="13.2">
      <c r="A522" s="53"/>
      <c r="B522" s="16"/>
      <c r="C522" s="111"/>
    </row>
    <row r="523" spans="1:3" ht="13.2">
      <c r="A523" s="53"/>
      <c r="B523" s="16"/>
      <c r="C523" s="111"/>
    </row>
    <row r="524" spans="1:3" ht="13.2">
      <c r="A524" s="53"/>
      <c r="B524" s="16"/>
      <c r="C524" s="111"/>
    </row>
    <row r="525" spans="1:3" ht="13.2">
      <c r="A525" s="53"/>
      <c r="B525" s="16"/>
      <c r="C525" s="111"/>
    </row>
    <row r="526" spans="1:3" ht="13.2">
      <c r="A526" s="53"/>
      <c r="B526" s="16"/>
      <c r="C526" s="111"/>
    </row>
    <row r="527" spans="1:3" ht="13.2">
      <c r="A527" s="53"/>
      <c r="B527" s="16"/>
      <c r="C527" s="111"/>
    </row>
    <row r="528" spans="1:3" ht="13.2">
      <c r="A528" s="53"/>
      <c r="B528" s="16"/>
      <c r="C528" s="111"/>
    </row>
    <row r="529" spans="1:3" ht="13.2">
      <c r="A529" s="53"/>
      <c r="B529" s="16"/>
      <c r="C529" s="111"/>
    </row>
    <row r="530" spans="1:3" ht="13.2">
      <c r="A530" s="53"/>
      <c r="B530" s="16"/>
      <c r="C530" s="111"/>
    </row>
    <row r="531" spans="1:3" ht="13.2">
      <c r="A531" s="53"/>
      <c r="B531" s="16"/>
      <c r="C531" s="111"/>
    </row>
    <row r="532" spans="1:3" ht="13.2">
      <c r="A532" s="53"/>
      <c r="B532" s="16"/>
      <c r="C532" s="111"/>
    </row>
    <row r="533" spans="1:3" ht="13.2">
      <c r="A533" s="53"/>
      <c r="B533" s="16"/>
      <c r="C533" s="111"/>
    </row>
    <row r="534" spans="1:3" ht="13.2">
      <c r="A534" s="53"/>
      <c r="B534" s="16"/>
      <c r="C534" s="111"/>
    </row>
    <row r="535" spans="1:3" ht="13.2">
      <c r="A535" s="53"/>
      <c r="B535" s="16"/>
      <c r="C535" s="111"/>
    </row>
    <row r="536" spans="1:3" ht="13.2">
      <c r="A536" s="53"/>
      <c r="B536" s="16"/>
      <c r="C536" s="111"/>
    </row>
    <row r="537" spans="1:3" ht="13.2">
      <c r="A537" s="53"/>
      <c r="B537" s="16"/>
      <c r="C537" s="111"/>
    </row>
    <row r="538" spans="1:3" ht="13.2">
      <c r="A538" s="53"/>
      <c r="B538" s="16"/>
      <c r="C538" s="111"/>
    </row>
    <row r="539" spans="1:3" ht="13.2">
      <c r="A539" s="53"/>
      <c r="B539" s="16"/>
      <c r="C539" s="111"/>
    </row>
    <row r="540" spans="1:3" ht="13.2">
      <c r="A540" s="53"/>
      <c r="B540" s="16"/>
      <c r="C540" s="111"/>
    </row>
    <row r="541" spans="1:3" ht="13.2">
      <c r="A541" s="53"/>
      <c r="B541" s="16"/>
      <c r="C541" s="111"/>
    </row>
    <row r="542" spans="1:3" ht="13.2">
      <c r="A542" s="53"/>
      <c r="B542" s="16"/>
      <c r="C542" s="111"/>
    </row>
    <row r="543" spans="1:3" ht="13.2">
      <c r="A543" s="53"/>
      <c r="B543" s="16"/>
      <c r="C543" s="111"/>
    </row>
    <row r="544" spans="1:3" ht="13.2">
      <c r="A544" s="53"/>
      <c r="B544" s="16"/>
      <c r="C544" s="111"/>
    </row>
    <row r="545" spans="1:3" ht="13.2">
      <c r="A545" s="53"/>
      <c r="B545" s="16"/>
      <c r="C545" s="111"/>
    </row>
    <row r="546" spans="1:3" ht="13.2">
      <c r="A546" s="53"/>
      <c r="B546" s="16"/>
      <c r="C546" s="111"/>
    </row>
    <row r="547" spans="1:3" ht="13.2">
      <c r="A547" s="53"/>
      <c r="B547" s="16"/>
      <c r="C547" s="111"/>
    </row>
    <row r="548" spans="1:3" ht="13.2">
      <c r="A548" s="53"/>
      <c r="B548" s="16"/>
      <c r="C548" s="111"/>
    </row>
    <row r="549" spans="1:3" ht="13.2">
      <c r="A549" s="53"/>
      <c r="B549" s="16"/>
      <c r="C549" s="111"/>
    </row>
    <row r="550" spans="1:3" ht="13.2">
      <c r="A550" s="53"/>
      <c r="B550" s="16"/>
      <c r="C550" s="111"/>
    </row>
    <row r="551" spans="1:3" ht="13.2">
      <c r="A551" s="53"/>
      <c r="B551" s="16"/>
      <c r="C551" s="111"/>
    </row>
    <row r="552" spans="1:3" ht="13.2">
      <c r="A552" s="53"/>
      <c r="B552" s="16"/>
      <c r="C552" s="111"/>
    </row>
    <row r="553" spans="1:3" ht="13.2">
      <c r="A553" s="53"/>
      <c r="B553" s="16"/>
      <c r="C553" s="111"/>
    </row>
    <row r="554" spans="1:3" ht="13.2">
      <c r="A554" s="53"/>
      <c r="B554" s="16"/>
      <c r="C554" s="111"/>
    </row>
    <row r="555" spans="1:3" ht="13.2">
      <c r="A555" s="53"/>
      <c r="B555" s="16"/>
      <c r="C555" s="111"/>
    </row>
    <row r="556" spans="1:3" ht="13.2">
      <c r="A556" s="53"/>
      <c r="B556" s="16"/>
      <c r="C556" s="111"/>
    </row>
    <row r="557" spans="1:3" ht="13.2">
      <c r="A557" s="53"/>
      <c r="B557" s="16"/>
      <c r="C557" s="111"/>
    </row>
    <row r="558" spans="1:3" ht="13.2">
      <c r="A558" s="53"/>
      <c r="B558" s="16"/>
      <c r="C558" s="111"/>
    </row>
    <row r="559" spans="1:3" ht="13.2">
      <c r="A559" s="53"/>
      <c r="B559" s="16"/>
      <c r="C559" s="111"/>
    </row>
    <row r="560" spans="1:3" ht="13.2">
      <c r="A560" s="53"/>
      <c r="B560" s="16"/>
      <c r="C560" s="111"/>
    </row>
    <row r="561" spans="1:3" ht="13.2">
      <c r="A561" s="53"/>
      <c r="B561" s="16"/>
      <c r="C561" s="111"/>
    </row>
    <row r="562" spans="1:3" ht="13.2">
      <c r="A562" s="53"/>
      <c r="B562" s="16"/>
      <c r="C562" s="111"/>
    </row>
    <row r="563" spans="1:3" ht="13.2">
      <c r="A563" s="53"/>
      <c r="B563" s="16"/>
      <c r="C563" s="111"/>
    </row>
    <row r="564" spans="1:3" ht="13.2">
      <c r="A564" s="53"/>
      <c r="B564" s="16"/>
      <c r="C564" s="111"/>
    </row>
    <row r="565" spans="1:3" ht="13.2">
      <c r="A565" s="53"/>
      <c r="B565" s="16"/>
      <c r="C565" s="111"/>
    </row>
    <row r="566" spans="1:3" ht="13.2">
      <c r="A566" s="53"/>
      <c r="B566" s="16"/>
      <c r="C566" s="111"/>
    </row>
    <row r="567" spans="1:3" ht="13.2">
      <c r="A567" s="53"/>
      <c r="B567" s="16"/>
      <c r="C567" s="111"/>
    </row>
    <row r="568" spans="1:3" ht="13.2">
      <c r="A568" s="53"/>
      <c r="B568" s="16"/>
      <c r="C568" s="111"/>
    </row>
    <row r="569" spans="1:3" ht="13.2">
      <c r="A569" s="53"/>
      <c r="B569" s="16"/>
      <c r="C569" s="111"/>
    </row>
    <row r="570" spans="1:3" ht="13.2">
      <c r="A570" s="53"/>
      <c r="B570" s="16"/>
      <c r="C570" s="111"/>
    </row>
    <row r="571" spans="1:3" ht="13.2">
      <c r="A571" s="53"/>
      <c r="B571" s="16"/>
      <c r="C571" s="111"/>
    </row>
    <row r="572" spans="1:3" ht="13.2">
      <c r="A572" s="53"/>
      <c r="B572" s="16"/>
      <c r="C572" s="111"/>
    </row>
    <row r="573" spans="1:3" ht="13.2">
      <c r="A573" s="53"/>
      <c r="B573" s="16"/>
      <c r="C573" s="111"/>
    </row>
    <row r="574" spans="1:3" ht="13.2">
      <c r="A574" s="53"/>
      <c r="B574" s="16"/>
      <c r="C574" s="111"/>
    </row>
    <row r="575" spans="1:3" ht="13.2">
      <c r="A575" s="53"/>
      <c r="B575" s="16"/>
      <c r="C575" s="111"/>
    </row>
    <row r="576" spans="1:3" ht="13.2">
      <c r="A576" s="53"/>
      <c r="B576" s="16"/>
      <c r="C576" s="111"/>
    </row>
    <row r="577" spans="1:3" ht="13.2">
      <c r="A577" s="53"/>
      <c r="B577" s="16"/>
      <c r="C577" s="111"/>
    </row>
    <row r="578" spans="1:3" ht="13.2">
      <c r="A578" s="53"/>
      <c r="B578" s="16"/>
      <c r="C578" s="111"/>
    </row>
    <row r="579" spans="1:3" ht="13.2">
      <c r="A579" s="53"/>
      <c r="B579" s="16"/>
      <c r="C579" s="111"/>
    </row>
    <row r="580" spans="1:3" ht="13.2">
      <c r="A580" s="53"/>
      <c r="B580" s="16"/>
      <c r="C580" s="111"/>
    </row>
    <row r="581" spans="1:3" ht="13.2">
      <c r="A581" s="53"/>
      <c r="B581" s="16"/>
      <c r="C581" s="111"/>
    </row>
    <row r="582" spans="1:3" ht="13.2">
      <c r="A582" s="53"/>
      <c r="B582" s="16"/>
      <c r="C582" s="111"/>
    </row>
    <row r="583" spans="1:3" ht="13.2">
      <c r="A583" s="53"/>
      <c r="B583" s="16"/>
      <c r="C583" s="111"/>
    </row>
    <row r="584" spans="1:3" ht="13.2">
      <c r="A584" s="53"/>
      <c r="B584" s="16"/>
      <c r="C584" s="111"/>
    </row>
    <row r="585" spans="1:3" ht="13.2">
      <c r="A585" s="53"/>
      <c r="B585" s="16"/>
      <c r="C585" s="111"/>
    </row>
    <row r="586" spans="1:3" ht="13.2">
      <c r="A586" s="53"/>
      <c r="B586" s="16"/>
      <c r="C586" s="111"/>
    </row>
    <row r="587" spans="1:3" ht="13.2">
      <c r="A587" s="53"/>
      <c r="B587" s="16"/>
      <c r="C587" s="111"/>
    </row>
    <row r="588" spans="1:3" ht="13.2">
      <c r="A588" s="53"/>
      <c r="B588" s="16"/>
      <c r="C588" s="111"/>
    </row>
    <row r="589" spans="1:3" ht="13.2">
      <c r="A589" s="53"/>
      <c r="B589" s="16"/>
      <c r="C589" s="111"/>
    </row>
    <row r="590" spans="1:3" ht="13.2">
      <c r="A590" s="53"/>
      <c r="B590" s="16"/>
      <c r="C590" s="111"/>
    </row>
    <row r="591" spans="1:3" ht="13.2">
      <c r="A591" s="53"/>
      <c r="B591" s="16"/>
      <c r="C591" s="111"/>
    </row>
    <row r="592" spans="1:3" ht="13.2">
      <c r="A592" s="53"/>
      <c r="B592" s="16"/>
      <c r="C592" s="111"/>
    </row>
    <row r="593" spans="1:3" ht="13.2">
      <c r="A593" s="53"/>
      <c r="B593" s="16"/>
      <c r="C593" s="111"/>
    </row>
    <row r="594" spans="1:3" ht="13.2">
      <c r="A594" s="53"/>
      <c r="B594" s="16"/>
      <c r="C594" s="111"/>
    </row>
    <row r="595" spans="1:3" ht="13.2">
      <c r="A595" s="53"/>
      <c r="B595" s="16"/>
      <c r="C595" s="111"/>
    </row>
    <row r="596" spans="1:3" ht="13.2">
      <c r="A596" s="53"/>
      <c r="B596" s="16"/>
      <c r="C596" s="111"/>
    </row>
    <row r="597" spans="1:3" ht="13.2">
      <c r="A597" s="53"/>
      <c r="B597" s="16"/>
      <c r="C597" s="111"/>
    </row>
    <row r="598" spans="1:3" ht="13.2">
      <c r="A598" s="53"/>
      <c r="B598" s="16"/>
      <c r="C598" s="111"/>
    </row>
    <row r="599" spans="1:3" ht="13.2">
      <c r="A599" s="53"/>
      <c r="B599" s="16"/>
      <c r="C599" s="111"/>
    </row>
    <row r="600" spans="1:3" ht="13.2">
      <c r="A600" s="53"/>
      <c r="B600" s="16"/>
      <c r="C600" s="111"/>
    </row>
    <row r="601" spans="1:3" ht="13.2">
      <c r="A601" s="53"/>
      <c r="B601" s="16"/>
      <c r="C601" s="111"/>
    </row>
    <row r="602" spans="1:3" ht="13.2">
      <c r="A602" s="53"/>
      <c r="B602" s="16"/>
      <c r="C602" s="111"/>
    </row>
    <row r="603" spans="1:3" ht="13.2">
      <c r="A603" s="53"/>
      <c r="B603" s="16"/>
      <c r="C603" s="111"/>
    </row>
    <row r="604" spans="1:3" ht="13.2">
      <c r="A604" s="53"/>
      <c r="B604" s="16"/>
      <c r="C604" s="111"/>
    </row>
    <row r="605" spans="1:3" ht="13.2">
      <c r="A605" s="53"/>
      <c r="B605" s="16"/>
      <c r="C605" s="111"/>
    </row>
    <row r="606" spans="1:3" ht="13.2">
      <c r="A606" s="53"/>
      <c r="B606" s="16"/>
      <c r="C606" s="111"/>
    </row>
    <row r="607" spans="1:3" ht="13.2">
      <c r="A607" s="53"/>
      <c r="B607" s="16"/>
      <c r="C607" s="111"/>
    </row>
    <row r="608" spans="1:3" ht="13.2">
      <c r="A608" s="53"/>
      <c r="B608" s="16"/>
      <c r="C608" s="111"/>
    </row>
    <row r="609" spans="1:3" ht="13.2">
      <c r="A609" s="53"/>
      <c r="B609" s="16"/>
      <c r="C609" s="111"/>
    </row>
    <row r="610" spans="1:3" ht="13.2">
      <c r="A610" s="53"/>
      <c r="B610" s="16"/>
      <c r="C610" s="111"/>
    </row>
    <row r="611" spans="1:3" ht="13.2">
      <c r="A611" s="53"/>
      <c r="B611" s="16"/>
      <c r="C611" s="111"/>
    </row>
    <row r="612" spans="1:3" ht="13.2">
      <c r="A612" s="53"/>
      <c r="B612" s="16"/>
      <c r="C612" s="111"/>
    </row>
    <row r="613" spans="1:3" ht="13.2">
      <c r="A613" s="53"/>
      <c r="B613" s="16"/>
      <c r="C613" s="111"/>
    </row>
    <row r="614" spans="1:3" ht="13.2">
      <c r="A614" s="53"/>
      <c r="B614" s="16"/>
      <c r="C614" s="111"/>
    </row>
    <row r="615" spans="1:3" ht="13.2">
      <c r="A615" s="53"/>
      <c r="B615" s="16"/>
      <c r="C615" s="111"/>
    </row>
    <row r="616" spans="1:3" ht="13.2">
      <c r="A616" s="53"/>
      <c r="B616" s="16"/>
      <c r="C616" s="111"/>
    </row>
    <row r="617" spans="1:3" ht="13.2">
      <c r="A617" s="53"/>
      <c r="B617" s="16"/>
      <c r="C617" s="111"/>
    </row>
    <row r="618" spans="1:3" ht="13.2">
      <c r="A618" s="53"/>
      <c r="B618" s="16"/>
      <c r="C618" s="111"/>
    </row>
    <row r="619" spans="1:3" ht="13.2">
      <c r="A619" s="53"/>
      <c r="B619" s="16"/>
      <c r="C619" s="111"/>
    </row>
    <row r="620" spans="1:3" ht="13.2">
      <c r="A620" s="53"/>
      <c r="B620" s="16"/>
      <c r="C620" s="111"/>
    </row>
    <row r="621" spans="1:3" ht="13.2">
      <c r="A621" s="53"/>
      <c r="B621" s="16"/>
      <c r="C621" s="111"/>
    </row>
    <row r="622" spans="1:3" ht="13.2">
      <c r="A622" s="53"/>
      <c r="B622" s="16"/>
      <c r="C622" s="111"/>
    </row>
    <row r="623" spans="1:3" ht="13.2">
      <c r="A623" s="53"/>
      <c r="B623" s="16"/>
      <c r="C623" s="111"/>
    </row>
    <row r="624" spans="1:3" ht="13.2">
      <c r="A624" s="53"/>
      <c r="B624" s="16"/>
      <c r="C624" s="111"/>
    </row>
    <row r="625" spans="1:3" ht="13.2">
      <c r="A625" s="53"/>
      <c r="B625" s="16"/>
      <c r="C625" s="111"/>
    </row>
    <row r="626" spans="1:3" ht="13.2">
      <c r="A626" s="53"/>
      <c r="B626" s="16"/>
      <c r="C626" s="111"/>
    </row>
    <row r="627" spans="1:3" ht="13.2">
      <c r="A627" s="53"/>
      <c r="B627" s="16"/>
      <c r="C627" s="111"/>
    </row>
    <row r="628" spans="1:3" ht="13.2">
      <c r="A628" s="53"/>
      <c r="B628" s="16"/>
      <c r="C628" s="111"/>
    </row>
    <row r="629" spans="1:3" ht="13.2">
      <c r="A629" s="53"/>
      <c r="B629" s="16"/>
      <c r="C629" s="111"/>
    </row>
    <row r="630" spans="1:3" ht="13.2">
      <c r="A630" s="53"/>
      <c r="B630" s="16"/>
      <c r="C630" s="111"/>
    </row>
    <row r="631" spans="1:3" ht="13.2">
      <c r="A631" s="53"/>
      <c r="B631" s="16"/>
      <c r="C631" s="111"/>
    </row>
    <row r="632" spans="1:3" ht="13.2">
      <c r="A632" s="53"/>
      <c r="B632" s="16"/>
      <c r="C632" s="111"/>
    </row>
    <row r="633" spans="1:3" ht="13.2">
      <c r="A633" s="53"/>
      <c r="B633" s="16"/>
      <c r="C633" s="111"/>
    </row>
    <row r="634" spans="1:3" ht="13.2">
      <c r="A634" s="53"/>
      <c r="B634" s="16"/>
      <c r="C634" s="111"/>
    </row>
    <row r="635" spans="1:3" ht="13.2">
      <c r="A635" s="53"/>
      <c r="B635" s="16"/>
      <c r="C635" s="111"/>
    </row>
    <row r="636" spans="1:3" ht="13.2">
      <c r="A636" s="53"/>
      <c r="B636" s="16"/>
      <c r="C636" s="111"/>
    </row>
    <row r="637" spans="1:3" ht="13.2">
      <c r="A637" s="53"/>
      <c r="B637" s="16"/>
      <c r="C637" s="111"/>
    </row>
    <row r="638" spans="1:3" ht="13.2">
      <c r="A638" s="53"/>
      <c r="B638" s="16"/>
      <c r="C638" s="111"/>
    </row>
    <row r="639" spans="1:3" ht="13.2">
      <c r="A639" s="53"/>
      <c r="B639" s="16"/>
      <c r="C639" s="111"/>
    </row>
    <row r="640" spans="1:3" ht="13.2">
      <c r="A640" s="53"/>
      <c r="B640" s="16"/>
      <c r="C640" s="111"/>
    </row>
    <row r="641" spans="1:3" ht="13.2">
      <c r="A641" s="53"/>
      <c r="B641" s="16"/>
      <c r="C641" s="111"/>
    </row>
    <row r="642" spans="1:3" ht="13.2">
      <c r="A642" s="53"/>
      <c r="B642" s="16"/>
      <c r="C642" s="111"/>
    </row>
    <row r="643" spans="1:3" ht="13.2">
      <c r="A643" s="53"/>
      <c r="B643" s="16"/>
      <c r="C643" s="111"/>
    </row>
    <row r="644" spans="1:3" ht="13.2">
      <c r="A644" s="53"/>
      <c r="B644" s="16"/>
      <c r="C644" s="111"/>
    </row>
    <row r="645" spans="1:3" ht="13.2">
      <c r="A645" s="53"/>
      <c r="B645" s="16"/>
      <c r="C645" s="111"/>
    </row>
    <row r="646" spans="1:3" ht="13.2">
      <c r="A646" s="53"/>
      <c r="B646" s="16"/>
      <c r="C646" s="111"/>
    </row>
    <row r="647" spans="1:3" ht="13.2">
      <c r="A647" s="53"/>
      <c r="B647" s="16"/>
      <c r="C647" s="111"/>
    </row>
    <row r="648" spans="1:3" ht="13.2">
      <c r="A648" s="53"/>
      <c r="B648" s="16"/>
      <c r="C648" s="111"/>
    </row>
    <row r="649" spans="1:3" ht="13.2">
      <c r="A649" s="53"/>
      <c r="B649" s="16"/>
      <c r="C649" s="111"/>
    </row>
    <row r="650" spans="1:3" ht="13.2">
      <c r="A650" s="53"/>
      <c r="B650" s="16"/>
      <c r="C650" s="111"/>
    </row>
    <row r="651" spans="1:3" ht="13.2">
      <c r="A651" s="53"/>
      <c r="B651" s="16"/>
      <c r="C651" s="111"/>
    </row>
    <row r="652" spans="1:3" ht="13.2">
      <c r="A652" s="53"/>
      <c r="B652" s="16"/>
      <c r="C652" s="111"/>
    </row>
    <row r="653" spans="1:3" ht="13.2">
      <c r="A653" s="53"/>
      <c r="B653" s="16"/>
      <c r="C653" s="111"/>
    </row>
    <row r="654" spans="1:3" ht="13.2">
      <c r="A654" s="53"/>
      <c r="B654" s="16"/>
      <c r="C654" s="111"/>
    </row>
    <row r="655" spans="1:3" ht="13.2">
      <c r="A655" s="53"/>
      <c r="B655" s="16"/>
      <c r="C655" s="111"/>
    </row>
    <row r="656" spans="1:3" ht="13.2">
      <c r="A656" s="53"/>
      <c r="B656" s="16"/>
      <c r="C656" s="111"/>
    </row>
    <row r="657" spans="1:3" ht="13.2">
      <c r="A657" s="53"/>
      <c r="B657" s="16"/>
      <c r="C657" s="111"/>
    </row>
    <row r="658" spans="1:3" ht="13.2">
      <c r="A658" s="53"/>
      <c r="B658" s="16"/>
      <c r="C658" s="111"/>
    </row>
    <row r="659" spans="1:3" ht="13.2">
      <c r="A659" s="53"/>
      <c r="B659" s="16"/>
      <c r="C659" s="111"/>
    </row>
    <row r="660" spans="1:3" ht="13.2">
      <c r="A660" s="53"/>
      <c r="B660" s="16"/>
      <c r="C660" s="111"/>
    </row>
    <row r="661" spans="1:3" ht="13.2">
      <c r="A661" s="53"/>
      <c r="B661" s="16"/>
      <c r="C661" s="111"/>
    </row>
    <row r="662" spans="1:3" ht="13.2">
      <c r="A662" s="53"/>
      <c r="B662" s="16"/>
      <c r="C662" s="111"/>
    </row>
    <row r="663" spans="1:3" ht="13.2">
      <c r="A663" s="53"/>
      <c r="B663" s="16"/>
      <c r="C663" s="111"/>
    </row>
    <row r="664" spans="1:3" ht="13.2">
      <c r="A664" s="53"/>
      <c r="B664" s="16"/>
      <c r="C664" s="111"/>
    </row>
    <row r="665" spans="1:3" ht="13.2">
      <c r="A665" s="53"/>
      <c r="B665" s="16"/>
      <c r="C665" s="111"/>
    </row>
    <row r="666" spans="1:3" ht="13.2">
      <c r="A666" s="53"/>
      <c r="B666" s="16"/>
      <c r="C666" s="111"/>
    </row>
    <row r="667" spans="1:3" ht="13.2">
      <c r="A667" s="53"/>
      <c r="B667" s="16"/>
      <c r="C667" s="111"/>
    </row>
    <row r="668" spans="1:3" ht="13.2">
      <c r="A668" s="53"/>
      <c r="B668" s="16"/>
      <c r="C668" s="111"/>
    </row>
    <row r="669" spans="1:3" ht="13.2">
      <c r="A669" s="53"/>
      <c r="B669" s="16"/>
      <c r="C669" s="111"/>
    </row>
    <row r="670" spans="1:3" ht="13.2">
      <c r="A670" s="53"/>
      <c r="B670" s="16"/>
      <c r="C670" s="111"/>
    </row>
    <row r="671" spans="1:3" ht="13.2">
      <c r="A671" s="53"/>
      <c r="B671" s="16"/>
      <c r="C671" s="111"/>
    </row>
    <row r="672" spans="1:3" ht="13.2">
      <c r="A672" s="53"/>
      <c r="B672" s="16"/>
      <c r="C672" s="111"/>
    </row>
    <row r="673" spans="1:3" ht="13.2">
      <c r="A673" s="53"/>
      <c r="B673" s="16"/>
      <c r="C673" s="111"/>
    </row>
    <row r="674" spans="1:3" ht="13.2">
      <c r="A674" s="53"/>
      <c r="B674" s="16"/>
      <c r="C674" s="111"/>
    </row>
    <row r="675" spans="1:3" ht="13.2">
      <c r="A675" s="53"/>
      <c r="B675" s="16"/>
      <c r="C675" s="111"/>
    </row>
    <row r="676" spans="1:3" ht="13.2">
      <c r="A676" s="53"/>
      <c r="B676" s="16"/>
      <c r="C676" s="111"/>
    </row>
    <row r="677" spans="1:3" ht="13.2">
      <c r="A677" s="53"/>
      <c r="B677" s="16"/>
      <c r="C677" s="111"/>
    </row>
    <row r="678" spans="1:3" ht="13.2">
      <c r="A678" s="53"/>
      <c r="B678" s="16"/>
      <c r="C678" s="111"/>
    </row>
    <row r="679" spans="1:3" ht="13.2">
      <c r="A679" s="53"/>
      <c r="B679" s="16"/>
      <c r="C679" s="111"/>
    </row>
    <row r="680" spans="1:3" ht="13.2">
      <c r="A680" s="53"/>
      <c r="B680" s="16"/>
      <c r="C680" s="111"/>
    </row>
    <row r="681" spans="1:3" ht="13.2">
      <c r="A681" s="53"/>
      <c r="B681" s="16"/>
      <c r="C681" s="111"/>
    </row>
    <row r="682" spans="1:3" ht="13.2">
      <c r="A682" s="53"/>
      <c r="B682" s="16"/>
      <c r="C682" s="111"/>
    </row>
    <row r="683" spans="1:3" ht="13.2">
      <c r="A683" s="53"/>
      <c r="B683" s="16"/>
      <c r="C683" s="111"/>
    </row>
    <row r="684" spans="1:3" ht="13.2">
      <c r="A684" s="53"/>
      <c r="B684" s="16"/>
      <c r="C684" s="111"/>
    </row>
    <row r="685" spans="1:3" ht="13.2">
      <c r="A685" s="53"/>
      <c r="B685" s="16"/>
      <c r="C685" s="111"/>
    </row>
    <row r="686" spans="1:3" ht="13.2">
      <c r="A686" s="53"/>
      <c r="B686" s="16"/>
      <c r="C686" s="111"/>
    </row>
    <row r="687" spans="1:3" ht="13.2">
      <c r="A687" s="53"/>
      <c r="B687" s="16"/>
      <c r="C687" s="111"/>
    </row>
    <row r="688" spans="1:3" ht="13.2">
      <c r="A688" s="53"/>
      <c r="B688" s="16"/>
      <c r="C688" s="111"/>
    </row>
    <row r="689" spans="1:3" ht="13.2">
      <c r="A689" s="53"/>
      <c r="B689" s="16"/>
      <c r="C689" s="111"/>
    </row>
    <row r="690" spans="1:3" ht="13.2">
      <c r="A690" s="53"/>
      <c r="B690" s="16"/>
      <c r="C690" s="111"/>
    </row>
    <row r="691" spans="1:3" ht="13.2">
      <c r="A691" s="53"/>
      <c r="B691" s="16"/>
      <c r="C691" s="111"/>
    </row>
    <row r="692" spans="1:3" ht="13.2">
      <c r="A692" s="53"/>
      <c r="B692" s="16"/>
      <c r="C692" s="111"/>
    </row>
    <row r="693" spans="1:3" ht="13.2">
      <c r="A693" s="53"/>
      <c r="B693" s="16"/>
      <c r="C693" s="111"/>
    </row>
    <row r="694" spans="1:3" ht="13.2">
      <c r="A694" s="53"/>
      <c r="B694" s="16"/>
      <c r="C694" s="111"/>
    </row>
    <row r="695" spans="1:3" ht="13.2">
      <c r="A695" s="53"/>
      <c r="B695" s="16"/>
      <c r="C695" s="111"/>
    </row>
    <row r="696" spans="1:3" ht="13.2">
      <c r="A696" s="53"/>
      <c r="B696" s="16"/>
      <c r="C696" s="111"/>
    </row>
    <row r="697" spans="1:3" ht="13.2">
      <c r="A697" s="53"/>
      <c r="B697" s="16"/>
      <c r="C697" s="111"/>
    </row>
    <row r="698" spans="1:3" ht="13.2">
      <c r="A698" s="53"/>
      <c r="B698" s="16"/>
      <c r="C698" s="111"/>
    </row>
    <row r="699" spans="1:3" ht="13.2">
      <c r="A699" s="53"/>
      <c r="B699" s="16"/>
      <c r="C699" s="111"/>
    </row>
    <row r="700" spans="1:3" ht="13.2">
      <c r="A700" s="53"/>
      <c r="B700" s="16"/>
      <c r="C700" s="111"/>
    </row>
    <row r="701" spans="1:3" ht="13.2">
      <c r="A701" s="53"/>
      <c r="B701" s="16"/>
      <c r="C701" s="111"/>
    </row>
    <row r="702" spans="1:3" ht="13.2">
      <c r="A702" s="53"/>
      <c r="B702" s="16"/>
      <c r="C702" s="111"/>
    </row>
    <row r="703" spans="1:3" ht="13.2">
      <c r="A703" s="53"/>
      <c r="B703" s="16"/>
      <c r="C703" s="111"/>
    </row>
    <row r="704" spans="1:3" ht="13.2">
      <c r="A704" s="53"/>
      <c r="B704" s="16"/>
      <c r="C704" s="111"/>
    </row>
    <row r="705" spans="1:3" ht="13.2">
      <c r="A705" s="53"/>
      <c r="B705" s="16"/>
      <c r="C705" s="111"/>
    </row>
    <row r="706" spans="1:3" ht="13.2">
      <c r="A706" s="53"/>
      <c r="B706" s="16"/>
      <c r="C706" s="111"/>
    </row>
    <row r="707" spans="1:3" ht="13.2">
      <c r="A707" s="53"/>
      <c r="B707" s="16"/>
      <c r="C707" s="111"/>
    </row>
    <row r="708" spans="1:3" ht="13.2">
      <c r="A708" s="53"/>
      <c r="B708" s="16"/>
      <c r="C708" s="111"/>
    </row>
    <row r="709" spans="1:3" ht="13.2">
      <c r="A709" s="53"/>
      <c r="B709" s="16"/>
      <c r="C709" s="111"/>
    </row>
    <row r="710" spans="1:3" ht="13.2">
      <c r="A710" s="53"/>
      <c r="B710" s="16"/>
      <c r="C710" s="111"/>
    </row>
    <row r="711" spans="1:3" ht="13.2">
      <c r="A711" s="53"/>
      <c r="B711" s="16"/>
      <c r="C711" s="111"/>
    </row>
    <row r="712" spans="1:3" ht="13.2">
      <c r="A712" s="53"/>
      <c r="B712" s="16"/>
      <c r="C712" s="111"/>
    </row>
    <row r="713" spans="1:3" ht="13.2">
      <c r="A713" s="53"/>
      <c r="B713" s="16"/>
      <c r="C713" s="111"/>
    </row>
    <row r="714" spans="1:3" ht="13.2">
      <c r="A714" s="53"/>
      <c r="B714" s="16"/>
      <c r="C714" s="111"/>
    </row>
    <row r="715" spans="1:3" ht="13.2">
      <c r="A715" s="53"/>
      <c r="B715" s="16"/>
      <c r="C715" s="111"/>
    </row>
    <row r="716" spans="1:3" ht="13.2">
      <c r="A716" s="53"/>
      <c r="B716" s="16"/>
      <c r="C716" s="111"/>
    </row>
    <row r="717" spans="1:3" ht="13.2">
      <c r="A717" s="53"/>
      <c r="B717" s="16"/>
      <c r="C717" s="111"/>
    </row>
    <row r="718" spans="1:3" ht="13.2">
      <c r="A718" s="53"/>
      <c r="B718" s="16"/>
      <c r="C718" s="111"/>
    </row>
    <row r="719" spans="1:3" ht="13.2">
      <c r="A719" s="53"/>
      <c r="B719" s="16"/>
      <c r="C719" s="111"/>
    </row>
    <row r="720" spans="1:3" ht="13.2">
      <c r="A720" s="53"/>
      <c r="B720" s="16"/>
      <c r="C720" s="111"/>
    </row>
    <row r="721" spans="1:3" ht="13.2">
      <c r="A721" s="53"/>
      <c r="B721" s="16"/>
      <c r="C721" s="111"/>
    </row>
    <row r="722" spans="1:3" ht="13.2">
      <c r="A722" s="53"/>
      <c r="B722" s="16"/>
      <c r="C722" s="111"/>
    </row>
    <row r="723" spans="1:3" ht="13.2">
      <c r="A723" s="53"/>
      <c r="B723" s="16"/>
      <c r="C723" s="111"/>
    </row>
    <row r="724" spans="1:3" ht="13.2">
      <c r="A724" s="53"/>
      <c r="B724" s="16"/>
      <c r="C724" s="111"/>
    </row>
    <row r="725" spans="1:3" ht="13.2">
      <c r="A725" s="53"/>
      <c r="B725" s="16"/>
      <c r="C725" s="111"/>
    </row>
    <row r="726" spans="1:3" ht="13.2">
      <c r="A726" s="53"/>
      <c r="B726" s="16"/>
      <c r="C726" s="111"/>
    </row>
    <row r="727" spans="1:3" ht="13.2">
      <c r="A727" s="53"/>
      <c r="B727" s="16"/>
      <c r="C727" s="111"/>
    </row>
    <row r="728" spans="1:3" ht="13.2">
      <c r="A728" s="53"/>
      <c r="B728" s="16"/>
      <c r="C728" s="111"/>
    </row>
    <row r="729" spans="1:3" ht="13.2">
      <c r="A729" s="53"/>
      <c r="B729" s="16"/>
      <c r="C729" s="111"/>
    </row>
    <row r="730" spans="1:3" ht="13.2">
      <c r="A730" s="53"/>
      <c r="B730" s="16"/>
      <c r="C730" s="111"/>
    </row>
    <row r="731" spans="1:3" ht="13.2">
      <c r="A731" s="53"/>
      <c r="B731" s="16"/>
      <c r="C731" s="111"/>
    </row>
    <row r="732" spans="1:3" ht="13.2">
      <c r="A732" s="53"/>
      <c r="B732" s="16"/>
      <c r="C732" s="111"/>
    </row>
    <row r="733" spans="1:3" ht="13.2">
      <c r="A733" s="53"/>
      <c r="B733" s="16"/>
      <c r="C733" s="111"/>
    </row>
    <row r="734" spans="1:3" ht="13.2">
      <c r="A734" s="53"/>
      <c r="B734" s="16"/>
      <c r="C734" s="111"/>
    </row>
    <row r="735" spans="1:3" ht="13.2">
      <c r="A735" s="53"/>
      <c r="B735" s="16"/>
      <c r="C735" s="111"/>
    </row>
    <row r="736" spans="1:3" ht="13.2">
      <c r="A736" s="53"/>
      <c r="B736" s="16"/>
      <c r="C736" s="111"/>
    </row>
    <row r="737" spans="1:3" ht="13.2">
      <c r="A737" s="53"/>
      <c r="B737" s="16"/>
      <c r="C737" s="111"/>
    </row>
    <row r="738" spans="1:3" ht="13.2">
      <c r="A738" s="53"/>
      <c r="B738" s="16"/>
      <c r="C738" s="111"/>
    </row>
    <row r="739" spans="1:3" ht="13.2">
      <c r="A739" s="53"/>
      <c r="B739" s="16"/>
      <c r="C739" s="111"/>
    </row>
    <row r="740" spans="1:3" ht="13.2">
      <c r="A740" s="53"/>
      <c r="B740" s="16"/>
      <c r="C740" s="111"/>
    </row>
    <row r="741" spans="1:3" ht="13.2">
      <c r="A741" s="53"/>
      <c r="B741" s="16"/>
      <c r="C741" s="111"/>
    </row>
    <row r="742" spans="1:3" ht="13.2">
      <c r="A742" s="53"/>
      <c r="B742" s="16"/>
      <c r="C742" s="111"/>
    </row>
    <row r="743" spans="1:3" ht="13.2">
      <c r="A743" s="53"/>
      <c r="B743" s="16"/>
      <c r="C743" s="111"/>
    </row>
    <row r="744" spans="1:3" ht="13.2">
      <c r="A744" s="53"/>
      <c r="B744" s="16"/>
      <c r="C744" s="111"/>
    </row>
    <row r="745" spans="1:3" ht="13.2">
      <c r="A745" s="53"/>
      <c r="B745" s="16"/>
      <c r="C745" s="111"/>
    </row>
    <row r="746" spans="1:3" ht="13.2">
      <c r="A746" s="53"/>
      <c r="B746" s="16"/>
      <c r="C746" s="111"/>
    </row>
    <row r="747" spans="1:3" ht="13.2">
      <c r="A747" s="53"/>
      <c r="B747" s="16"/>
      <c r="C747" s="111"/>
    </row>
    <row r="748" spans="1:3" ht="13.2">
      <c r="A748" s="53"/>
      <c r="B748" s="16"/>
      <c r="C748" s="111"/>
    </row>
    <row r="749" spans="1:3" ht="13.2">
      <c r="A749" s="53"/>
      <c r="B749" s="16"/>
      <c r="C749" s="111"/>
    </row>
    <row r="750" spans="1:3" ht="13.2">
      <c r="A750" s="53"/>
      <c r="B750" s="16"/>
      <c r="C750" s="111"/>
    </row>
    <row r="751" spans="1:3" ht="13.2">
      <c r="A751" s="53"/>
      <c r="B751" s="16"/>
      <c r="C751" s="111"/>
    </row>
    <row r="752" spans="1:3" ht="13.2">
      <c r="A752" s="53"/>
      <c r="B752" s="16"/>
      <c r="C752" s="111"/>
    </row>
    <row r="753" spans="1:3" ht="13.2">
      <c r="A753" s="53"/>
      <c r="B753" s="16"/>
      <c r="C753" s="111"/>
    </row>
    <row r="754" spans="1:3" ht="13.2">
      <c r="A754" s="53"/>
      <c r="B754" s="16"/>
      <c r="C754" s="111"/>
    </row>
    <row r="755" spans="1:3" ht="13.2">
      <c r="A755" s="53"/>
      <c r="B755" s="16"/>
      <c r="C755" s="111"/>
    </row>
    <row r="756" spans="1:3" ht="13.2">
      <c r="A756" s="53"/>
      <c r="B756" s="16"/>
      <c r="C756" s="111"/>
    </row>
    <row r="757" spans="1:3" ht="13.2">
      <c r="A757" s="53"/>
      <c r="B757" s="16"/>
      <c r="C757" s="111"/>
    </row>
    <row r="758" spans="1:3" ht="13.2">
      <c r="A758" s="53"/>
      <c r="B758" s="16"/>
      <c r="C758" s="111"/>
    </row>
    <row r="759" spans="1:3" ht="13.2">
      <c r="A759" s="53"/>
      <c r="B759" s="16"/>
      <c r="C759" s="111"/>
    </row>
    <row r="760" spans="1:3" ht="13.2">
      <c r="A760" s="53"/>
      <c r="B760" s="16"/>
      <c r="C760" s="111"/>
    </row>
    <row r="761" spans="1:3" ht="13.2">
      <c r="A761" s="53"/>
      <c r="B761" s="16"/>
      <c r="C761" s="111"/>
    </row>
    <row r="762" spans="1:3" ht="13.2">
      <c r="A762" s="53"/>
      <c r="B762" s="16"/>
      <c r="C762" s="111"/>
    </row>
    <row r="763" spans="1:3" ht="13.2">
      <c r="A763" s="53"/>
      <c r="B763" s="16"/>
      <c r="C763" s="111"/>
    </row>
    <row r="764" spans="1:3" ht="13.2">
      <c r="A764" s="53"/>
      <c r="B764" s="16"/>
      <c r="C764" s="111"/>
    </row>
    <row r="765" spans="1:3" ht="13.2">
      <c r="A765" s="53"/>
      <c r="B765" s="16"/>
      <c r="C765" s="111"/>
    </row>
    <row r="766" spans="1:3" ht="13.2">
      <c r="A766" s="53"/>
      <c r="B766" s="16"/>
      <c r="C766" s="111"/>
    </row>
    <row r="767" spans="1:3" ht="13.2">
      <c r="A767" s="53"/>
      <c r="B767" s="16"/>
      <c r="C767" s="111"/>
    </row>
    <row r="768" spans="1:3" ht="13.2">
      <c r="A768" s="53"/>
      <c r="B768" s="16"/>
      <c r="C768" s="111"/>
    </row>
    <row r="769" spans="1:3" ht="13.2">
      <c r="A769" s="53"/>
      <c r="B769" s="16"/>
      <c r="C769" s="111"/>
    </row>
    <row r="770" spans="1:3" ht="13.2">
      <c r="A770" s="53"/>
      <c r="B770" s="16"/>
      <c r="C770" s="111"/>
    </row>
    <row r="771" spans="1:3" ht="13.2">
      <c r="A771" s="53"/>
      <c r="B771" s="16"/>
      <c r="C771" s="111"/>
    </row>
    <row r="772" spans="1:3" ht="13.2">
      <c r="A772" s="53"/>
      <c r="B772" s="16"/>
      <c r="C772" s="111"/>
    </row>
    <row r="773" spans="1:3" ht="13.2">
      <c r="A773" s="53"/>
      <c r="B773" s="16"/>
      <c r="C773" s="111"/>
    </row>
    <row r="774" spans="1:3" ht="13.2">
      <c r="A774" s="53"/>
      <c r="B774" s="16"/>
      <c r="C774" s="111"/>
    </row>
    <row r="775" spans="1:3" ht="13.2">
      <c r="A775" s="53"/>
      <c r="B775" s="16"/>
      <c r="C775" s="111"/>
    </row>
    <row r="776" spans="1:3" ht="13.2">
      <c r="A776" s="53"/>
      <c r="B776" s="16"/>
      <c r="C776" s="111"/>
    </row>
    <row r="777" spans="1:3" ht="13.2">
      <c r="A777" s="53"/>
      <c r="B777" s="16"/>
      <c r="C777" s="111"/>
    </row>
    <row r="778" spans="1:3" ht="13.2">
      <c r="A778" s="53"/>
      <c r="B778" s="16"/>
      <c r="C778" s="111"/>
    </row>
    <row r="779" spans="1:3" ht="13.2">
      <c r="A779" s="53"/>
      <c r="B779" s="16"/>
      <c r="C779" s="111"/>
    </row>
    <row r="780" spans="1:3" ht="13.2">
      <c r="A780" s="53"/>
      <c r="B780" s="16"/>
      <c r="C780" s="111"/>
    </row>
    <row r="781" spans="1:3" ht="13.2">
      <c r="A781" s="53"/>
      <c r="B781" s="16"/>
      <c r="C781" s="111"/>
    </row>
    <row r="782" spans="1:3" ht="13.2">
      <c r="A782" s="53"/>
      <c r="B782" s="16"/>
      <c r="C782" s="111"/>
    </row>
    <row r="783" spans="1:3" ht="13.2">
      <c r="A783" s="53"/>
      <c r="B783" s="16"/>
      <c r="C783" s="111"/>
    </row>
    <row r="784" spans="1:3" ht="13.2">
      <c r="A784" s="53"/>
      <c r="B784" s="16"/>
      <c r="C784" s="111"/>
    </row>
    <row r="785" spans="1:3" ht="13.2">
      <c r="A785" s="53"/>
      <c r="B785" s="16"/>
      <c r="C785" s="111"/>
    </row>
    <row r="786" spans="1:3" ht="13.2">
      <c r="A786" s="53"/>
      <c r="B786" s="16"/>
      <c r="C786" s="111"/>
    </row>
    <row r="787" spans="1:3" ht="13.2">
      <c r="A787" s="53"/>
      <c r="B787" s="16"/>
      <c r="C787" s="111"/>
    </row>
    <row r="788" spans="1:3" ht="13.2">
      <c r="A788" s="53"/>
      <c r="B788" s="16"/>
      <c r="C788" s="111"/>
    </row>
    <row r="789" spans="1:3" ht="13.2">
      <c r="A789" s="53"/>
      <c r="B789" s="16"/>
      <c r="C789" s="111"/>
    </row>
    <row r="790" spans="1:3" ht="13.2">
      <c r="A790" s="53"/>
      <c r="B790" s="16"/>
      <c r="C790" s="111"/>
    </row>
    <row r="791" spans="1:3" ht="13.2">
      <c r="A791" s="53"/>
      <c r="B791" s="16"/>
      <c r="C791" s="111"/>
    </row>
    <row r="792" spans="1:3" ht="13.2">
      <c r="A792" s="53"/>
      <c r="B792" s="16"/>
      <c r="C792" s="111"/>
    </row>
    <row r="793" spans="1:3" ht="13.2">
      <c r="A793" s="53"/>
      <c r="B793" s="16"/>
      <c r="C793" s="111"/>
    </row>
    <row r="794" spans="1:3" ht="13.2">
      <c r="A794" s="53"/>
      <c r="B794" s="16"/>
      <c r="C794" s="111"/>
    </row>
    <row r="795" spans="1:3" ht="13.2">
      <c r="A795" s="53"/>
      <c r="B795" s="16"/>
      <c r="C795" s="111"/>
    </row>
    <row r="796" spans="1:3" ht="13.2">
      <c r="A796" s="53"/>
      <c r="B796" s="16"/>
      <c r="C796" s="111"/>
    </row>
    <row r="797" spans="1:3" ht="13.2">
      <c r="A797" s="53"/>
      <c r="B797" s="16"/>
      <c r="C797" s="111"/>
    </row>
    <row r="798" spans="1:3" ht="13.2">
      <c r="A798" s="53"/>
      <c r="B798" s="16"/>
      <c r="C798" s="111"/>
    </row>
    <row r="799" spans="1:3" ht="13.2">
      <c r="A799" s="53"/>
      <c r="B799" s="16"/>
      <c r="C799" s="111"/>
    </row>
    <row r="800" spans="1:3" ht="13.2">
      <c r="A800" s="53"/>
      <c r="B800" s="16"/>
      <c r="C800" s="111"/>
    </row>
    <row r="801" spans="1:3" ht="13.2">
      <c r="A801" s="53"/>
      <c r="B801" s="16"/>
      <c r="C801" s="111"/>
    </row>
    <row r="802" spans="1:3" ht="13.2">
      <c r="A802" s="53"/>
      <c r="B802" s="16"/>
      <c r="C802" s="111"/>
    </row>
    <row r="803" spans="1:3" ht="13.2">
      <c r="A803" s="53"/>
      <c r="B803" s="16"/>
      <c r="C803" s="111"/>
    </row>
    <row r="804" spans="1:3" ht="13.2">
      <c r="A804" s="53"/>
      <c r="B804" s="16"/>
      <c r="C804" s="111"/>
    </row>
    <row r="805" spans="1:3" ht="13.2">
      <c r="A805" s="53"/>
      <c r="B805" s="16"/>
      <c r="C805" s="111"/>
    </row>
    <row r="806" spans="1:3" ht="13.2">
      <c r="A806" s="53"/>
      <c r="B806" s="16"/>
      <c r="C806" s="111"/>
    </row>
    <row r="807" spans="1:3" ht="13.2">
      <c r="A807" s="53"/>
      <c r="B807" s="16"/>
      <c r="C807" s="111"/>
    </row>
    <row r="808" spans="1:3" ht="13.2">
      <c r="A808" s="53"/>
      <c r="B808" s="16"/>
      <c r="C808" s="111"/>
    </row>
    <row r="809" spans="1:3" ht="13.2">
      <c r="A809" s="53"/>
      <c r="B809" s="16"/>
      <c r="C809" s="111"/>
    </row>
    <row r="810" spans="1:3" ht="13.2">
      <c r="A810" s="53"/>
      <c r="B810" s="16"/>
      <c r="C810" s="111"/>
    </row>
    <row r="811" spans="1:3" ht="13.2">
      <c r="A811" s="53"/>
      <c r="B811" s="16"/>
      <c r="C811" s="111"/>
    </row>
    <row r="812" spans="1:3" ht="13.2">
      <c r="A812" s="53"/>
      <c r="B812" s="16"/>
      <c r="C812" s="111"/>
    </row>
    <row r="813" spans="1:3" ht="13.2">
      <c r="A813" s="53"/>
      <c r="B813" s="16"/>
      <c r="C813" s="111"/>
    </row>
    <row r="814" spans="1:3" ht="13.2">
      <c r="A814" s="53"/>
      <c r="B814" s="16"/>
      <c r="C814" s="111"/>
    </row>
    <row r="815" spans="1:3" ht="13.2">
      <c r="A815" s="53"/>
      <c r="B815" s="16"/>
      <c r="C815" s="111"/>
    </row>
    <row r="816" spans="1:3" ht="13.2">
      <c r="A816" s="53"/>
      <c r="B816" s="16"/>
      <c r="C816" s="111"/>
    </row>
    <row r="817" spans="1:3" ht="13.2">
      <c r="A817" s="53"/>
      <c r="B817" s="16"/>
      <c r="C817" s="111"/>
    </row>
    <row r="818" spans="1:3" ht="13.2">
      <c r="A818" s="53"/>
      <c r="B818" s="16"/>
      <c r="C818" s="111"/>
    </row>
    <row r="819" spans="1:3" ht="13.2">
      <c r="A819" s="53"/>
      <c r="B819" s="16"/>
      <c r="C819" s="111"/>
    </row>
    <row r="820" spans="1:3" ht="13.2">
      <c r="A820" s="53"/>
      <c r="B820" s="16"/>
      <c r="C820" s="111"/>
    </row>
    <row r="821" spans="1:3" ht="13.2">
      <c r="A821" s="53"/>
      <c r="B821" s="16"/>
      <c r="C821" s="111"/>
    </row>
    <row r="822" spans="1:3" ht="13.2">
      <c r="A822" s="53"/>
      <c r="B822" s="16"/>
      <c r="C822" s="111"/>
    </row>
    <row r="823" spans="1:3" ht="13.2">
      <c r="A823" s="53"/>
      <c r="B823" s="16"/>
      <c r="C823" s="111"/>
    </row>
    <row r="824" spans="1:3" ht="13.2">
      <c r="A824" s="53"/>
      <c r="B824" s="16"/>
      <c r="C824" s="111"/>
    </row>
    <row r="825" spans="1:3" ht="13.2">
      <c r="A825" s="53"/>
      <c r="B825" s="16"/>
      <c r="C825" s="111"/>
    </row>
    <row r="826" spans="1:3" ht="13.2">
      <c r="A826" s="53"/>
      <c r="B826" s="16"/>
      <c r="C826" s="111"/>
    </row>
    <row r="827" spans="1:3" ht="13.2">
      <c r="A827" s="53"/>
      <c r="B827" s="16"/>
      <c r="C827" s="111"/>
    </row>
    <row r="828" spans="1:3" ht="13.2">
      <c r="A828" s="53"/>
      <c r="B828" s="16"/>
      <c r="C828" s="111"/>
    </row>
    <row r="829" spans="1:3" ht="13.2">
      <c r="A829" s="53"/>
      <c r="B829" s="16"/>
      <c r="C829" s="111"/>
    </row>
    <row r="830" spans="1:3" ht="13.2">
      <c r="A830" s="53"/>
      <c r="B830" s="16"/>
      <c r="C830" s="111"/>
    </row>
    <row r="831" spans="1:3" ht="13.2">
      <c r="A831" s="53"/>
      <c r="B831" s="16"/>
      <c r="C831" s="111"/>
    </row>
    <row r="832" spans="1:3" ht="13.2">
      <c r="A832" s="53"/>
      <c r="B832" s="16"/>
      <c r="C832" s="111"/>
    </row>
    <row r="833" spans="1:3" ht="13.2">
      <c r="A833" s="53"/>
      <c r="B833" s="16"/>
      <c r="C833" s="111"/>
    </row>
    <row r="834" spans="1:3" ht="13.2">
      <c r="A834" s="53"/>
      <c r="B834" s="16"/>
      <c r="C834" s="111"/>
    </row>
    <row r="835" spans="1:3" ht="13.2">
      <c r="A835" s="53"/>
      <c r="B835" s="16"/>
      <c r="C835" s="111"/>
    </row>
    <row r="836" spans="1:3" ht="13.2">
      <c r="A836" s="53"/>
      <c r="B836" s="16"/>
      <c r="C836" s="111"/>
    </row>
    <row r="837" spans="1:3" ht="13.2">
      <c r="A837" s="53"/>
      <c r="B837" s="16"/>
      <c r="C837" s="111"/>
    </row>
    <row r="838" spans="1:3" ht="13.2">
      <c r="A838" s="53"/>
      <c r="B838" s="16"/>
      <c r="C838" s="111"/>
    </row>
    <row r="839" spans="1:3" ht="13.2">
      <c r="A839" s="53"/>
      <c r="B839" s="16"/>
      <c r="C839" s="111"/>
    </row>
    <row r="840" spans="1:3" ht="13.2">
      <c r="A840" s="53"/>
      <c r="B840" s="16"/>
      <c r="C840" s="111"/>
    </row>
    <row r="841" spans="1:3" ht="13.2">
      <c r="A841" s="53"/>
      <c r="B841" s="16"/>
      <c r="C841" s="111"/>
    </row>
    <row r="842" spans="1:3" ht="13.2">
      <c r="A842" s="53"/>
      <c r="B842" s="16"/>
      <c r="C842" s="111"/>
    </row>
    <row r="843" spans="1:3" ht="13.2">
      <c r="A843" s="53"/>
      <c r="B843" s="16"/>
      <c r="C843" s="111"/>
    </row>
    <row r="844" spans="1:3" ht="13.2">
      <c r="A844" s="53"/>
      <c r="B844" s="16"/>
      <c r="C844" s="111"/>
    </row>
    <row r="845" spans="1:3" ht="13.2">
      <c r="A845" s="53"/>
      <c r="B845" s="16"/>
      <c r="C845" s="111"/>
    </row>
    <row r="846" spans="1:3" ht="13.2">
      <c r="A846" s="53"/>
      <c r="B846" s="16"/>
      <c r="C846" s="111"/>
    </row>
    <row r="847" spans="1:3" ht="13.2">
      <c r="A847" s="53"/>
      <c r="B847" s="16"/>
      <c r="C847" s="111"/>
    </row>
    <row r="848" spans="1:3" ht="13.2">
      <c r="A848" s="53"/>
      <c r="B848" s="16"/>
      <c r="C848" s="111"/>
    </row>
    <row r="849" spans="1:3" ht="13.2">
      <c r="A849" s="53"/>
      <c r="B849" s="16"/>
      <c r="C849" s="111"/>
    </row>
    <row r="850" spans="1:3" ht="13.2">
      <c r="A850" s="53"/>
      <c r="B850" s="16"/>
      <c r="C850" s="111"/>
    </row>
    <row r="851" spans="1:3" ht="13.2">
      <c r="A851" s="53"/>
      <c r="B851" s="16"/>
      <c r="C851" s="111"/>
    </row>
    <row r="852" spans="1:3" ht="13.2">
      <c r="A852" s="53"/>
      <c r="B852" s="16"/>
      <c r="C852" s="111"/>
    </row>
    <row r="853" spans="1:3" ht="13.2">
      <c r="A853" s="53"/>
      <c r="B853" s="16"/>
      <c r="C853" s="111"/>
    </row>
    <row r="854" spans="1:3" ht="13.2">
      <c r="A854" s="53"/>
      <c r="B854" s="16"/>
      <c r="C854" s="111"/>
    </row>
    <row r="855" spans="1:3" ht="13.2">
      <c r="A855" s="53"/>
      <c r="B855" s="16"/>
      <c r="C855" s="111"/>
    </row>
    <row r="856" spans="1:3" ht="13.2">
      <c r="A856" s="53"/>
      <c r="B856" s="16"/>
      <c r="C856" s="111"/>
    </row>
    <row r="857" spans="1:3" ht="13.2">
      <c r="A857" s="53"/>
      <c r="B857" s="16"/>
      <c r="C857" s="111"/>
    </row>
    <row r="858" spans="1:3" ht="13.2">
      <c r="A858" s="53"/>
      <c r="B858" s="16"/>
      <c r="C858" s="111"/>
    </row>
    <row r="859" spans="1:3" ht="13.2">
      <c r="A859" s="53"/>
      <c r="B859" s="16"/>
      <c r="C859" s="111"/>
    </row>
    <row r="860" spans="1:3" ht="13.2">
      <c r="A860" s="53"/>
      <c r="B860" s="16"/>
      <c r="C860" s="111"/>
    </row>
    <row r="861" spans="1:3" ht="13.2">
      <c r="A861" s="53"/>
      <c r="B861" s="16"/>
      <c r="C861" s="111"/>
    </row>
    <row r="862" spans="1:3" ht="13.2">
      <c r="A862" s="53"/>
      <c r="B862" s="16"/>
      <c r="C862" s="111"/>
    </row>
    <row r="863" spans="1:3" ht="13.2">
      <c r="A863" s="53"/>
      <c r="B863" s="16"/>
      <c r="C863" s="111"/>
    </row>
    <row r="864" spans="1:3" ht="13.2">
      <c r="A864" s="53"/>
      <c r="B864" s="16"/>
      <c r="C864" s="111"/>
    </row>
    <row r="865" spans="1:3" ht="13.2">
      <c r="A865" s="53"/>
      <c r="B865" s="16"/>
      <c r="C865" s="111"/>
    </row>
    <row r="866" spans="1:3" ht="13.2">
      <c r="A866" s="53"/>
      <c r="B866" s="16"/>
      <c r="C866" s="111"/>
    </row>
    <row r="867" spans="1:3" ht="13.2">
      <c r="A867" s="53"/>
      <c r="B867" s="16"/>
      <c r="C867" s="111"/>
    </row>
    <row r="868" spans="1:3" ht="13.2">
      <c r="A868" s="53"/>
      <c r="B868" s="16"/>
      <c r="C868" s="111"/>
    </row>
    <row r="869" spans="1:3" ht="13.2">
      <c r="A869" s="53"/>
      <c r="B869" s="16"/>
      <c r="C869" s="111"/>
    </row>
    <row r="870" spans="1:3" ht="13.2">
      <c r="A870" s="53"/>
      <c r="B870" s="16"/>
      <c r="C870" s="111"/>
    </row>
    <row r="871" spans="1:3" ht="13.2">
      <c r="A871" s="53"/>
      <c r="B871" s="16"/>
      <c r="C871" s="111"/>
    </row>
    <row r="872" spans="1:3" ht="13.2">
      <c r="A872" s="53"/>
      <c r="B872" s="16"/>
      <c r="C872" s="111"/>
    </row>
    <row r="873" spans="1:3" ht="13.2">
      <c r="A873" s="53"/>
      <c r="B873" s="16"/>
      <c r="C873" s="111"/>
    </row>
    <row r="874" spans="1:3" ht="13.2">
      <c r="A874" s="53"/>
      <c r="B874" s="16"/>
      <c r="C874" s="111"/>
    </row>
    <row r="875" spans="1:3" ht="13.2">
      <c r="A875" s="53"/>
      <c r="B875" s="16"/>
      <c r="C875" s="111"/>
    </row>
    <row r="876" spans="1:3" ht="13.2">
      <c r="A876" s="53"/>
      <c r="B876" s="16"/>
      <c r="C876" s="111"/>
    </row>
    <row r="877" spans="1:3" ht="13.2">
      <c r="A877" s="53"/>
      <c r="B877" s="16"/>
      <c r="C877" s="111"/>
    </row>
    <row r="878" spans="1:3" ht="13.2">
      <c r="A878" s="53"/>
      <c r="B878" s="16"/>
      <c r="C878" s="111"/>
    </row>
    <row r="879" spans="1:3" ht="13.2">
      <c r="A879" s="53"/>
      <c r="B879" s="16"/>
      <c r="C879" s="111"/>
    </row>
    <row r="880" spans="1:3" ht="13.2">
      <c r="A880" s="53"/>
      <c r="B880" s="16"/>
      <c r="C880" s="111"/>
    </row>
    <row r="881" spans="1:3" ht="13.2">
      <c r="A881" s="53"/>
      <c r="B881" s="16"/>
      <c r="C881" s="111"/>
    </row>
    <row r="882" spans="1:3" ht="13.2">
      <c r="A882" s="53"/>
      <c r="B882" s="16"/>
      <c r="C882" s="111"/>
    </row>
    <row r="883" spans="1:3" ht="13.2">
      <c r="A883" s="53"/>
      <c r="B883" s="16"/>
      <c r="C883" s="111"/>
    </row>
    <row r="884" spans="1:3" ht="13.2">
      <c r="A884" s="53"/>
      <c r="B884" s="16"/>
      <c r="C884" s="111"/>
    </row>
    <row r="885" spans="1:3" ht="13.2">
      <c r="A885" s="53"/>
      <c r="B885" s="16"/>
      <c r="C885" s="111"/>
    </row>
    <row r="886" spans="1:3" ht="13.2">
      <c r="A886" s="53"/>
      <c r="B886" s="16"/>
      <c r="C886" s="111"/>
    </row>
    <row r="887" spans="1:3" ht="13.2">
      <c r="A887" s="53"/>
      <c r="B887" s="16"/>
      <c r="C887" s="111"/>
    </row>
    <row r="888" spans="1:3" ht="13.2">
      <c r="A888" s="53"/>
      <c r="B888" s="16"/>
      <c r="C888" s="111"/>
    </row>
    <row r="889" spans="1:3" ht="13.2">
      <c r="A889" s="53"/>
      <c r="B889" s="16"/>
      <c r="C889" s="111"/>
    </row>
    <row r="890" spans="1:3" ht="13.2">
      <c r="A890" s="53"/>
      <c r="B890" s="16"/>
      <c r="C890" s="111"/>
    </row>
    <row r="891" spans="1:3" ht="13.2">
      <c r="A891" s="53"/>
      <c r="B891" s="16"/>
      <c r="C891" s="111"/>
    </row>
    <row r="892" spans="1:3" ht="13.2">
      <c r="A892" s="53"/>
      <c r="B892" s="16"/>
      <c r="C892" s="111"/>
    </row>
    <row r="893" spans="1:3" ht="13.2">
      <c r="A893" s="53"/>
      <c r="B893" s="16"/>
      <c r="C893" s="111"/>
    </row>
    <row r="894" spans="1:3" ht="13.2">
      <c r="A894" s="53"/>
      <c r="B894" s="16"/>
      <c r="C894" s="111"/>
    </row>
    <row r="895" spans="1:3" ht="13.2">
      <c r="A895" s="53"/>
      <c r="B895" s="16"/>
      <c r="C895" s="111"/>
    </row>
    <row r="896" spans="1:3" ht="13.2">
      <c r="A896" s="53"/>
      <c r="B896" s="16"/>
      <c r="C896" s="111"/>
    </row>
    <row r="897" spans="1:3" ht="13.2">
      <c r="A897" s="53"/>
      <c r="B897" s="16"/>
      <c r="C897" s="111"/>
    </row>
    <row r="898" spans="1:3" ht="13.2">
      <c r="A898" s="53"/>
      <c r="B898" s="16"/>
      <c r="C898" s="111"/>
    </row>
    <row r="899" spans="1:3" ht="13.2">
      <c r="A899" s="53"/>
      <c r="B899" s="16"/>
      <c r="C899" s="111"/>
    </row>
    <row r="900" spans="1:3" ht="13.2">
      <c r="A900" s="53"/>
      <c r="B900" s="16"/>
      <c r="C900" s="111"/>
    </row>
    <row r="901" spans="1:3" ht="13.2">
      <c r="A901" s="53"/>
      <c r="B901" s="16"/>
      <c r="C901" s="111"/>
    </row>
    <row r="902" spans="1:3" ht="13.2">
      <c r="A902" s="53"/>
      <c r="B902" s="16"/>
      <c r="C902" s="111"/>
    </row>
    <row r="903" spans="1:3" ht="13.2">
      <c r="A903" s="53"/>
      <c r="B903" s="16"/>
      <c r="C903" s="111"/>
    </row>
    <row r="904" spans="1:3" ht="13.2">
      <c r="A904" s="53"/>
      <c r="B904" s="16"/>
      <c r="C904" s="111"/>
    </row>
    <row r="905" spans="1:3" ht="13.2">
      <c r="A905" s="53"/>
      <c r="B905" s="16"/>
      <c r="C905" s="111"/>
    </row>
    <row r="906" spans="1:3" ht="13.2">
      <c r="A906" s="53"/>
      <c r="B906" s="16"/>
      <c r="C906" s="111"/>
    </row>
    <row r="907" spans="1:3" ht="13.2">
      <c r="A907" s="53"/>
      <c r="B907" s="16"/>
      <c r="C907" s="111"/>
    </row>
    <row r="908" spans="1:3" ht="13.2">
      <c r="A908" s="53"/>
      <c r="B908" s="16"/>
      <c r="C908" s="111"/>
    </row>
    <row r="909" spans="1:3" ht="13.2">
      <c r="A909" s="53"/>
      <c r="B909" s="16"/>
      <c r="C909" s="111"/>
    </row>
    <row r="910" spans="1:3" ht="13.2">
      <c r="A910" s="53"/>
      <c r="B910" s="16"/>
      <c r="C910" s="111"/>
    </row>
    <row r="911" spans="1:3" ht="13.2">
      <c r="A911" s="53"/>
      <c r="B911" s="16"/>
      <c r="C911" s="111"/>
    </row>
    <row r="912" spans="1:3" ht="13.2">
      <c r="A912" s="53"/>
      <c r="B912" s="16"/>
      <c r="C912" s="111"/>
    </row>
    <row r="913" spans="1:3" ht="13.2">
      <c r="A913" s="53"/>
      <c r="B913" s="16"/>
      <c r="C913" s="111"/>
    </row>
    <row r="914" spans="1:3" ht="13.2">
      <c r="A914" s="53"/>
      <c r="B914" s="16"/>
      <c r="C914" s="111"/>
    </row>
    <row r="915" spans="1:3" ht="13.2">
      <c r="A915" s="53"/>
      <c r="B915" s="16"/>
      <c r="C915" s="111"/>
    </row>
    <row r="916" spans="1:3" ht="13.2">
      <c r="A916" s="53"/>
      <c r="B916" s="16"/>
      <c r="C916" s="111"/>
    </row>
    <row r="917" spans="1:3" ht="13.2">
      <c r="A917" s="53"/>
      <c r="B917" s="16"/>
      <c r="C917" s="111"/>
    </row>
    <row r="918" spans="1:3" ht="13.2">
      <c r="A918" s="53"/>
      <c r="B918" s="16"/>
      <c r="C918" s="111"/>
    </row>
    <row r="919" spans="1:3" ht="13.2">
      <c r="A919" s="53"/>
      <c r="B919" s="16"/>
      <c r="C919" s="111"/>
    </row>
    <row r="920" spans="1:3" ht="13.2">
      <c r="A920" s="53"/>
      <c r="B920" s="16"/>
      <c r="C920" s="111"/>
    </row>
    <row r="921" spans="1:3" ht="13.2">
      <c r="A921" s="53"/>
      <c r="B921" s="16"/>
      <c r="C921" s="111"/>
    </row>
    <row r="922" spans="1:3" ht="13.2">
      <c r="A922" s="53"/>
      <c r="B922" s="16"/>
      <c r="C922" s="111"/>
    </row>
    <row r="923" spans="1:3" ht="13.2">
      <c r="A923" s="53"/>
      <c r="B923" s="16"/>
      <c r="C923" s="111"/>
    </row>
    <row r="924" spans="1:3" ht="13.2">
      <c r="A924" s="53"/>
      <c r="B924" s="16"/>
      <c r="C924" s="111"/>
    </row>
    <row r="925" spans="1:3" ht="13.2">
      <c r="A925" s="53"/>
      <c r="B925" s="16"/>
      <c r="C925" s="111"/>
    </row>
    <row r="926" spans="1:3" ht="13.2">
      <c r="A926" s="53"/>
      <c r="B926" s="16"/>
      <c r="C926" s="111"/>
    </row>
    <row r="927" spans="1:3" ht="13.2">
      <c r="A927" s="53"/>
      <c r="B927" s="16"/>
      <c r="C927" s="111"/>
    </row>
    <row r="928" spans="1:3" ht="13.2">
      <c r="A928" s="53"/>
      <c r="B928" s="16"/>
      <c r="C928" s="111"/>
    </row>
    <row r="929" spans="1:3" ht="13.2">
      <c r="A929" s="53"/>
      <c r="B929" s="16"/>
      <c r="C929" s="111"/>
    </row>
    <row r="930" spans="1:3" ht="13.2">
      <c r="A930" s="53"/>
      <c r="B930" s="16"/>
      <c r="C930" s="111"/>
    </row>
    <row r="931" spans="1:3" ht="13.2">
      <c r="A931" s="53"/>
      <c r="B931" s="16"/>
      <c r="C931" s="111"/>
    </row>
    <row r="932" spans="1:3" ht="13.2">
      <c r="A932" s="53"/>
      <c r="B932" s="16"/>
      <c r="C932" s="111"/>
    </row>
    <row r="933" spans="1:3" ht="13.2">
      <c r="A933" s="53"/>
      <c r="B933" s="16"/>
      <c r="C933" s="111"/>
    </row>
    <row r="934" spans="1:3" ht="13.2">
      <c r="A934" s="53"/>
      <c r="B934" s="16"/>
      <c r="C934" s="111"/>
    </row>
    <row r="935" spans="1:3" ht="13.2">
      <c r="A935" s="53"/>
      <c r="B935" s="16"/>
      <c r="C935" s="111"/>
    </row>
    <row r="936" spans="1:3" ht="13.2">
      <c r="A936" s="53"/>
      <c r="B936" s="16"/>
      <c r="C936" s="111"/>
    </row>
    <row r="937" spans="1:3" ht="13.2">
      <c r="A937" s="53"/>
      <c r="B937" s="16"/>
      <c r="C937" s="111"/>
    </row>
    <row r="938" spans="1:3" ht="13.2">
      <c r="A938" s="53"/>
      <c r="B938" s="16"/>
      <c r="C938" s="111"/>
    </row>
    <row r="939" spans="1:3" ht="13.2">
      <c r="A939" s="53"/>
      <c r="B939" s="16"/>
      <c r="C939" s="111"/>
    </row>
    <row r="940" spans="1:3" ht="13.2">
      <c r="A940" s="53"/>
      <c r="B940" s="16"/>
      <c r="C940" s="111"/>
    </row>
    <row r="941" spans="1:3" ht="13.2">
      <c r="A941" s="53"/>
      <c r="B941" s="16"/>
      <c r="C941" s="111"/>
    </row>
    <row r="942" spans="1:3" ht="13.2">
      <c r="A942" s="53"/>
      <c r="B942" s="16"/>
      <c r="C942" s="111"/>
    </row>
    <row r="943" spans="1:3" ht="13.2">
      <c r="A943" s="53"/>
      <c r="B943" s="16"/>
      <c r="C943" s="111"/>
    </row>
    <row r="944" spans="1:3" ht="13.2">
      <c r="A944" s="53"/>
      <c r="B944" s="16"/>
      <c r="C944" s="111"/>
    </row>
    <row r="945" spans="1:3" ht="13.2">
      <c r="A945" s="53"/>
      <c r="B945" s="16"/>
      <c r="C945" s="111"/>
    </row>
    <row r="946" spans="1:3" ht="13.2">
      <c r="A946" s="53"/>
      <c r="B946" s="16"/>
      <c r="C946" s="111"/>
    </row>
    <row r="947" spans="1:3" ht="13.2">
      <c r="A947" s="53"/>
      <c r="B947" s="16"/>
      <c r="C947" s="111"/>
    </row>
    <row r="948" spans="1:3" ht="13.2">
      <c r="A948" s="53"/>
      <c r="B948" s="16"/>
      <c r="C948" s="111"/>
    </row>
    <row r="949" spans="1:3" ht="13.2">
      <c r="A949" s="53"/>
      <c r="B949" s="16"/>
      <c r="C949" s="111"/>
    </row>
    <row r="950" spans="1:3" ht="13.2">
      <c r="A950" s="53"/>
      <c r="B950" s="16"/>
      <c r="C950" s="111"/>
    </row>
    <row r="951" spans="1:3" ht="13.2">
      <c r="A951" s="53"/>
      <c r="B951" s="16"/>
      <c r="C951" s="111"/>
    </row>
    <row r="952" spans="1:3" ht="13.2">
      <c r="A952" s="53"/>
      <c r="B952" s="16"/>
      <c r="C952" s="111"/>
    </row>
    <row r="953" spans="1:3" ht="13.2">
      <c r="A953" s="53"/>
      <c r="B953" s="16"/>
      <c r="C953" s="111"/>
    </row>
    <row r="954" spans="1:3" ht="13.2">
      <c r="A954" s="53"/>
      <c r="B954" s="16"/>
      <c r="C954" s="111"/>
    </row>
    <row r="955" spans="1:3" ht="13.2">
      <c r="A955" s="53"/>
      <c r="B955" s="16"/>
      <c r="C955" s="111"/>
    </row>
    <row r="956" spans="1:3" ht="13.2">
      <c r="A956" s="53"/>
      <c r="B956" s="16"/>
      <c r="C956" s="111"/>
    </row>
    <row r="957" spans="1:3" ht="13.2">
      <c r="A957" s="53"/>
      <c r="B957" s="16"/>
      <c r="C957" s="111"/>
    </row>
    <row r="958" spans="1:3" ht="13.2">
      <c r="A958" s="53"/>
      <c r="B958" s="16"/>
      <c r="C958" s="111"/>
    </row>
    <row r="959" spans="1:3" ht="13.2">
      <c r="A959" s="53"/>
      <c r="B959" s="16"/>
      <c r="C959" s="111"/>
    </row>
    <row r="960" spans="1:3" ht="13.2">
      <c r="A960" s="53"/>
      <c r="B960" s="16"/>
      <c r="C960" s="111"/>
    </row>
    <row r="961" spans="1:3" ht="13.2">
      <c r="A961" s="53"/>
      <c r="B961" s="16"/>
      <c r="C961" s="111"/>
    </row>
    <row r="962" spans="1:3" ht="13.2">
      <c r="A962" s="53"/>
      <c r="B962" s="16"/>
      <c r="C962" s="111"/>
    </row>
    <row r="963" spans="1:3" ht="13.2">
      <c r="A963" s="53"/>
      <c r="B963" s="16"/>
      <c r="C963" s="111"/>
    </row>
    <row r="964" spans="1:3" ht="13.2">
      <c r="A964" s="53"/>
      <c r="B964" s="16"/>
      <c r="C964" s="111"/>
    </row>
    <row r="965" spans="1:3" ht="13.2">
      <c r="A965" s="53"/>
      <c r="B965" s="16"/>
      <c r="C965" s="111"/>
    </row>
    <row r="966" spans="1:3" ht="13.2">
      <c r="A966" s="53"/>
      <c r="B966" s="16"/>
      <c r="C966" s="111"/>
    </row>
    <row r="967" spans="1:3" ht="13.2">
      <c r="A967" s="53"/>
      <c r="B967" s="16"/>
      <c r="C967" s="111"/>
    </row>
    <row r="968" spans="1:3" ht="13.2">
      <c r="A968" s="53"/>
      <c r="B968" s="16"/>
      <c r="C968" s="111"/>
    </row>
    <row r="969" spans="1:3" ht="13.2">
      <c r="A969" s="53"/>
      <c r="B969" s="16"/>
      <c r="C969" s="111"/>
    </row>
    <row r="970" spans="1:3" ht="13.2">
      <c r="A970" s="53"/>
      <c r="B970" s="16"/>
      <c r="C970" s="111"/>
    </row>
    <row r="971" spans="1:3" ht="13.2">
      <c r="A971" s="53"/>
      <c r="B971" s="16"/>
      <c r="C971" s="111"/>
    </row>
    <row r="972" spans="1:3" ht="13.2">
      <c r="A972" s="53"/>
      <c r="B972" s="16"/>
      <c r="C972" s="111"/>
    </row>
    <row r="973" spans="1:3" ht="13.2">
      <c r="A973" s="53"/>
      <c r="B973" s="16"/>
      <c r="C973" s="111"/>
    </row>
    <row r="974" spans="1:3" ht="13.2">
      <c r="A974" s="53"/>
      <c r="B974" s="16"/>
      <c r="C974" s="111"/>
    </row>
    <row r="975" spans="1:3" ht="13.2">
      <c r="A975" s="53"/>
      <c r="B975" s="16"/>
      <c r="C975" s="111"/>
    </row>
    <row r="976" spans="1:3" ht="13.2">
      <c r="A976" s="53"/>
      <c r="B976" s="16"/>
      <c r="C976" s="111"/>
    </row>
    <row r="977" spans="1:3" ht="13.2">
      <c r="A977" s="53"/>
      <c r="B977" s="16"/>
      <c r="C977" s="111"/>
    </row>
    <row r="978" spans="1:3" ht="13.2">
      <c r="A978" s="53"/>
      <c r="B978" s="16"/>
      <c r="C978" s="111"/>
    </row>
  </sheetData>
  <hyperlinks>
    <hyperlink ref="H1" r:id="rId1" location="1" xr:uid="{4E861D56-92A7-4B91-8E02-B42916A03D43}"/>
    <hyperlink ref="I1" r:id="rId2" location="2" xr:uid="{8890B5C2-ADCB-443F-8F37-9F9F7A8FE134}"/>
    <hyperlink ref="B2" r:id="rId3" xr:uid="{60DC30B1-C320-4840-9D42-36C140E3C381}"/>
    <hyperlink ref="B3" r:id="rId4" xr:uid="{22729D7A-56A7-4B58-854A-522B0895C1C0}"/>
    <hyperlink ref="D3" r:id="rId5" location="3" xr:uid="{D88CB3E9-A84A-43D9-959E-0D6FE2A412F2}"/>
    <hyperlink ref="E3" r:id="rId6" location="3" xr:uid="{4BB68A64-DD25-43FB-B798-05C9326E76D4}"/>
    <hyperlink ref="B4" r:id="rId7" xr:uid="{1BE3C36F-4ADB-4080-A8CF-E92A186EF3B9}"/>
    <hyperlink ref="B5" r:id="rId8" xr:uid="{8955CE8A-8FC2-42BB-8C21-01F9B7227A74}"/>
    <hyperlink ref="B6" r:id="rId9" xr:uid="{A49A7951-9DAC-4A77-817B-B47667AE73A7}"/>
    <hyperlink ref="B7" r:id="rId10" xr:uid="{39B6C494-4B09-4D26-A87C-E05A3FB2508B}"/>
    <hyperlink ref="B8" r:id="rId11" xr:uid="{8412EF86-DB98-4A6A-8A70-EA9E88518279}"/>
    <hyperlink ref="B9" r:id="rId12" xr:uid="{F8F90406-A52E-449C-BA30-9C4FDC7F2261}"/>
    <hyperlink ref="B10" r:id="rId13" xr:uid="{B2642A0F-0786-4B4A-89B5-353D5CB2F521}"/>
    <hyperlink ref="B11" r:id="rId14" xr:uid="{93984DA0-CCB3-4E3A-A5AC-50F03FE96EB1}"/>
    <hyperlink ref="B12" r:id="rId15" xr:uid="{A498EBC0-BCCA-443C-8AAB-3941EE167355}"/>
    <hyperlink ref="B15" r:id="rId16" xr:uid="{702E43B1-6925-44FA-AFD3-19C5F6E6DC0C}"/>
    <hyperlink ref="B16" r:id="rId17" xr:uid="{A329C634-C26A-44EC-87B2-DA3940215975}"/>
    <hyperlink ref="B17" r:id="rId18" xr:uid="{C638AC31-DEB2-4632-B3B2-AC7F03C42D60}"/>
    <hyperlink ref="B18" r:id="rId19" xr:uid="{11788F67-3F58-45A9-B82D-DEC9A05B1F18}"/>
    <hyperlink ref="B19" r:id="rId20" xr:uid="{7F18A286-16E1-49E1-9F28-0C9ECC8967DE}"/>
    <hyperlink ref="B20" r:id="rId21" xr:uid="{6A79DE11-90EE-4412-9077-B4D7BE713825}"/>
    <hyperlink ref="B21" r:id="rId22" xr:uid="{2F86B68F-D8FE-4CAC-ADA5-52AB53458A33}"/>
    <hyperlink ref="B22" r:id="rId23" xr:uid="{E1AAE359-50DA-4B58-9A09-1B7E0DA19B08}"/>
    <hyperlink ref="B23" r:id="rId24" xr:uid="{24750E7F-AA6B-4503-8687-DACEB2E12979}"/>
    <hyperlink ref="B24" r:id="rId25" xr:uid="{70A603F2-682C-4AA5-ACC0-5226884EABCF}"/>
    <hyperlink ref="B25" r:id="rId26" xr:uid="{16248ED5-E04F-4BC9-8F10-E91CA2E517C2}"/>
    <hyperlink ref="B26" r:id="rId27" xr:uid="{8C265077-F9C3-4B8A-8BE4-5639AA03BDD8}"/>
    <hyperlink ref="B27" r:id="rId28" xr:uid="{C6681702-5CA9-4F37-95DD-41F53C5B878E}"/>
    <hyperlink ref="B28" r:id="rId29" xr:uid="{AE95C9A1-F78C-4527-B14B-54F37F771CDA}"/>
    <hyperlink ref="D28" r:id="rId30" location="3" xr:uid="{2B09040B-5322-4A9F-B212-3AA3D0E961D1}"/>
    <hyperlink ref="E28" r:id="rId31" location="3" xr:uid="{915858F3-2392-498A-BB94-8846236DAE83}"/>
    <hyperlink ref="B29" r:id="rId32" xr:uid="{232096BB-2008-4BD4-AC97-9A99DB87C92B}"/>
    <hyperlink ref="B30" r:id="rId33" xr:uid="{F179AF36-A35B-4F98-B6F5-A9D34241C2EC}"/>
    <hyperlink ref="B31" r:id="rId34" location="Enhancements" xr:uid="{38E9ECB1-566E-4F52-8C90-F6C024F6F130}"/>
    <hyperlink ref="B32" r:id="rId35" xr:uid="{862546E6-D5AB-4D31-8B91-CE49301B77D4}"/>
    <hyperlink ref="B33" r:id="rId36" xr:uid="{2D6ABF70-FA1F-41DC-9ABB-50BEE530D8A0}"/>
    <hyperlink ref="B34" r:id="rId37" xr:uid="{61984D57-C25C-4989-A529-152B6BBE1410}"/>
    <hyperlink ref="B35" r:id="rId38" xr:uid="{84F37E9F-949A-4BDE-8ED7-97E303178AC0}"/>
    <hyperlink ref="B36" r:id="rId39" xr:uid="{2AB42FB2-FA4C-4C8E-B0C2-933FBD070939}"/>
    <hyperlink ref="B37" r:id="rId40" xr:uid="{1FDD18B4-1250-48DB-9920-3F0939A36839}"/>
    <hyperlink ref="B38" r:id="rId41" xr:uid="{D51D9918-C1C1-4328-A3E6-45772FF4E9A7}"/>
    <hyperlink ref="B39" r:id="rId42" xr:uid="{0D47167C-6724-4932-8A09-69C36FF7913D}"/>
    <hyperlink ref="B40" r:id="rId43" location="Enhancements" xr:uid="{6420FED4-E718-4F79-A0CA-96B59BF39447}"/>
    <hyperlink ref="B41" r:id="rId44" xr:uid="{61474B5A-5491-4A39-AC5A-B3BEBD0699FE}"/>
    <hyperlink ref="B42" r:id="rId45" xr:uid="{A97A1AE8-9273-47B1-8138-037439001C9F}"/>
    <hyperlink ref="B43" r:id="rId46" xr:uid="{DA7F8638-2B3C-4937-9BB8-737CE84F7BF9}"/>
    <hyperlink ref="B45" r:id="rId47" xr:uid="{4E0ABC3F-ECC0-40C8-97F2-4DA6BF0CD916}"/>
    <hyperlink ref="B46" r:id="rId48" xr:uid="{EE23B621-B91C-4195-9C05-CA7B5F5D3ABF}"/>
    <hyperlink ref="B47" r:id="rId49" xr:uid="{8F727683-C24D-426B-ABE0-175CB926A3FD}"/>
    <hyperlink ref="B48" r:id="rId50" xr:uid="{ED6A7372-E5C7-4EC3-8AB3-58F401B7D21B}"/>
    <hyperlink ref="B50" r:id="rId51" xr:uid="{AC96FE5D-658F-4546-A167-0489C91193DE}"/>
    <hyperlink ref="B53" r:id="rId52" xr:uid="{CF7AC6BC-0086-4AB1-9CA5-913CC038D0D7}"/>
    <hyperlink ref="B54" r:id="rId53" xr:uid="{59FD934F-64FB-438A-9183-9BE79339AECC}"/>
    <hyperlink ref="B55" r:id="rId54" xr:uid="{50C3973A-C102-478F-8763-F95EDF8711F2}"/>
    <hyperlink ref="B56" r:id="rId55" xr:uid="{5F0C0C7E-71BF-4B0C-8AEC-4505B512D0DF}"/>
    <hyperlink ref="B57" r:id="rId56" xr:uid="{6D8B17F6-9B37-4A19-91D3-40032431FD0A}"/>
    <hyperlink ref="B58" r:id="rId57" xr:uid="{946C69F4-66E8-4E77-884D-F5FC62B3EB41}"/>
    <hyperlink ref="B59" r:id="rId58" xr:uid="{4586031A-46C1-4F02-93A0-1269295BDA42}"/>
    <hyperlink ref="B60" r:id="rId59" xr:uid="{05347A28-8AF2-4EC5-92A8-190AFFFF5C0B}"/>
    <hyperlink ref="B61" r:id="rId60" xr:uid="{01E8EC3D-562B-472A-9775-B32B733C1D2F}"/>
    <hyperlink ref="B62" r:id="rId61" xr:uid="{88338494-919B-4F49-828B-B84E208F6204}"/>
    <hyperlink ref="B63" r:id="rId62" xr:uid="{C65A7F55-88E4-4DDE-BA63-54CD9453920D}"/>
    <hyperlink ref="B64" r:id="rId63" xr:uid="{CEB37602-89DD-43B7-8409-C890AD0AB44E}"/>
    <hyperlink ref="D65" r:id="rId64" location="3" xr:uid="{7C17222F-00EE-49A0-B05C-F615CD4D91C4}"/>
    <hyperlink ref="E65" r:id="rId65" location="3" xr:uid="{0B78C90C-EEF7-48BF-BE6F-5B3787D84DD2}"/>
    <hyperlink ref="B72" r:id="rId66" xr:uid="{BA638805-6CD6-42D3-91E6-3A009546A331}"/>
    <hyperlink ref="D72" r:id="rId67" location="3" xr:uid="{9F60A2BD-B199-4805-AFBD-CBC3DF40499F}"/>
    <hyperlink ref="E72" r:id="rId68" location="3" xr:uid="{65466E9A-70E1-4B1D-B41C-E5FF8BF74A66}"/>
    <hyperlink ref="B73" r:id="rId69" xr:uid="{B677158D-53A7-42F0-BDD1-35C5055FEFA9}"/>
    <hyperlink ref="B74" r:id="rId70" xr:uid="{0D22A7B0-79C8-424C-98B3-8C0B89202C64}"/>
    <hyperlink ref="B75" r:id="rId71" xr:uid="{BA43BEBC-1845-49D4-B326-0AEDF199D8C2}"/>
    <hyperlink ref="B76" r:id="rId72" xr:uid="{AFB99D85-580E-4E92-B084-C95BB3D7ED9E}"/>
    <hyperlink ref="B77" r:id="rId73" xr:uid="{7AC68538-A456-4B4F-A3DD-0AFA52FF4932}"/>
    <hyperlink ref="B78" r:id="rId74" xr:uid="{A58B79A8-68ED-4E02-864C-78471A1DB30D}"/>
    <hyperlink ref="B79" r:id="rId75" xr:uid="{D3483D7B-0D32-4600-8C2E-571DE486ED1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D4A75-29C9-47C0-8916-7D7B9FD6654C}">
  <sheetPr>
    <outlinePr summaryBelow="0" summaryRight="0"/>
  </sheetPr>
  <dimension ref="A1:AA995"/>
  <sheetViews>
    <sheetView workbookViewId="0"/>
  </sheetViews>
  <sheetFormatPr defaultColWidth="12.6640625" defaultRowHeight="15.75" customHeight="1"/>
  <cols>
    <col min="1" max="1" width="6.109375" customWidth="1"/>
    <col min="2" max="2" width="27.109375" customWidth="1"/>
    <col min="3" max="3" width="16.44140625" customWidth="1"/>
  </cols>
  <sheetData>
    <row r="1" spans="1:27" ht="15.75" customHeight="1">
      <c r="A1" s="265" t="s">
        <v>72</v>
      </c>
      <c r="B1" s="266" t="s">
        <v>51</v>
      </c>
      <c r="C1" s="267" t="s">
        <v>49</v>
      </c>
      <c r="D1" s="266" t="s">
        <v>994</v>
      </c>
      <c r="E1" s="266" t="s">
        <v>995</v>
      </c>
      <c r="F1" s="266" t="s">
        <v>996</v>
      </c>
      <c r="G1" s="266" t="s">
        <v>997</v>
      </c>
      <c r="H1" s="266" t="s">
        <v>16</v>
      </c>
      <c r="I1" s="173"/>
      <c r="J1" s="266" t="s">
        <v>858</v>
      </c>
      <c r="K1" s="2"/>
      <c r="L1" s="2"/>
      <c r="M1" s="2"/>
      <c r="N1" s="2"/>
      <c r="O1" s="2"/>
      <c r="P1" s="2"/>
      <c r="Q1" s="2"/>
      <c r="R1" s="2"/>
      <c r="S1" s="2"/>
      <c r="T1" s="2"/>
      <c r="U1" s="2"/>
      <c r="V1" s="2"/>
      <c r="W1" s="2"/>
      <c r="X1" s="2"/>
      <c r="Y1" s="2"/>
      <c r="Z1" s="2"/>
      <c r="AA1" s="2"/>
    </row>
    <row r="2" spans="1:27" ht="15.75" customHeight="1">
      <c r="A2" s="173"/>
      <c r="B2" s="173"/>
      <c r="C2" s="173"/>
      <c r="D2" s="173"/>
      <c r="E2" s="173"/>
      <c r="F2" s="173"/>
      <c r="G2" s="173"/>
      <c r="H2" s="255" t="s">
        <v>998</v>
      </c>
      <c r="I2" s="255" t="s">
        <v>999</v>
      </c>
      <c r="J2" s="173"/>
      <c r="K2" s="2"/>
      <c r="L2" s="2"/>
      <c r="M2" s="2"/>
      <c r="N2" s="2"/>
      <c r="O2" s="2"/>
      <c r="P2" s="2"/>
      <c r="Q2" s="2"/>
      <c r="R2" s="2"/>
      <c r="S2" s="2"/>
      <c r="T2" s="2"/>
      <c r="U2" s="2"/>
      <c r="V2" s="2"/>
      <c r="W2" s="2"/>
      <c r="X2" s="2"/>
      <c r="Y2" s="2"/>
      <c r="Z2" s="2"/>
      <c r="AA2" s="2"/>
    </row>
    <row r="3" spans="1:27" ht="15.75" customHeight="1">
      <c r="A3" s="258">
        <v>1</v>
      </c>
      <c r="B3" s="268" t="s">
        <v>1000</v>
      </c>
      <c r="C3" s="260">
        <v>5</v>
      </c>
      <c r="D3" s="261">
        <f>1</f>
        <v>1</v>
      </c>
      <c r="E3" s="261">
        <f>8</f>
        <v>8</v>
      </c>
      <c r="F3" s="261">
        <v>0</v>
      </c>
      <c r="G3" s="269">
        <v>0.05</v>
      </c>
      <c r="H3" s="261" t="s">
        <v>910</v>
      </c>
      <c r="I3" s="261" t="s">
        <v>894</v>
      </c>
      <c r="J3" s="261" t="s">
        <v>944</v>
      </c>
    </row>
    <row r="4" spans="1:27" ht="15.75" customHeight="1">
      <c r="A4" s="258">
        <v>2</v>
      </c>
      <c r="B4" s="268" t="s">
        <v>1001</v>
      </c>
      <c r="C4" s="260">
        <v>10</v>
      </c>
      <c r="D4" s="261">
        <f>2</f>
        <v>2</v>
      </c>
      <c r="E4" s="261">
        <f>6</f>
        <v>6</v>
      </c>
      <c r="F4" s="261">
        <v>0</v>
      </c>
      <c r="G4" s="269">
        <v>0.1</v>
      </c>
      <c r="H4" s="261" t="s">
        <v>910</v>
      </c>
      <c r="I4" s="261" t="s">
        <v>894</v>
      </c>
      <c r="J4" s="261" t="s">
        <v>974</v>
      </c>
    </row>
    <row r="5" spans="1:27" ht="15.75" customHeight="1">
      <c r="A5" s="258">
        <v>3</v>
      </c>
      <c r="B5" s="268" t="s">
        <v>1002</v>
      </c>
      <c r="C5" s="260">
        <v>25</v>
      </c>
      <c r="D5" s="261">
        <f>3</f>
        <v>3</v>
      </c>
      <c r="E5" s="261">
        <f>5</f>
        <v>5</v>
      </c>
      <c r="F5" s="261" t="s">
        <v>1003</v>
      </c>
      <c r="G5" s="269">
        <v>0.15</v>
      </c>
      <c r="H5" s="261" t="s">
        <v>910</v>
      </c>
      <c r="I5" s="261" t="s">
        <v>894</v>
      </c>
      <c r="J5" s="261" t="s">
        <v>1004</v>
      </c>
    </row>
    <row r="6" spans="1:27" ht="15.75" customHeight="1">
      <c r="A6" s="258">
        <v>4</v>
      </c>
      <c r="B6" s="268" t="s">
        <v>1005</v>
      </c>
      <c r="C6" s="260">
        <v>100</v>
      </c>
      <c r="D6" s="261">
        <f t="shared" ref="D6:E6" si="0">4</f>
        <v>4</v>
      </c>
      <c r="E6" s="261">
        <f t="shared" si="0"/>
        <v>4</v>
      </c>
      <c r="F6" s="261" t="s">
        <v>1006</v>
      </c>
      <c r="G6" s="269">
        <v>0.2</v>
      </c>
      <c r="H6" s="261" t="s">
        <v>910</v>
      </c>
      <c r="I6" s="261" t="s">
        <v>894</v>
      </c>
      <c r="J6" s="261" t="s">
        <v>1007</v>
      </c>
    </row>
    <row r="7" spans="1:27" ht="15.75" customHeight="1">
      <c r="A7" s="258">
        <v>5</v>
      </c>
      <c r="B7" s="268" t="s">
        <v>1008</v>
      </c>
      <c r="C7" s="260">
        <v>15</v>
      </c>
      <c r="D7" s="261">
        <f>3</f>
        <v>3</v>
      </c>
      <c r="E7" s="261">
        <f>4</f>
        <v>4</v>
      </c>
      <c r="F7" s="261" t="s">
        <v>1009</v>
      </c>
      <c r="G7" s="269">
        <v>0.2</v>
      </c>
      <c r="H7" s="261" t="s">
        <v>894</v>
      </c>
      <c r="I7" s="261" t="s">
        <v>1010</v>
      </c>
      <c r="J7" s="261" t="s">
        <v>1007</v>
      </c>
    </row>
    <row r="8" spans="1:27" ht="15.75" customHeight="1">
      <c r="A8" s="258">
        <v>6</v>
      </c>
      <c r="B8" s="268" t="s">
        <v>1011</v>
      </c>
      <c r="C8" s="260">
        <v>50</v>
      </c>
      <c r="D8" s="261">
        <f>4</f>
        <v>4</v>
      </c>
      <c r="E8" s="261">
        <f>3</f>
        <v>3</v>
      </c>
      <c r="F8" s="261" t="s">
        <v>1012</v>
      </c>
      <c r="G8" s="269">
        <v>0.25</v>
      </c>
      <c r="H8" s="261" t="s">
        <v>894</v>
      </c>
      <c r="I8" s="261" t="s">
        <v>1010</v>
      </c>
      <c r="J8" s="261" t="s">
        <v>1013</v>
      </c>
    </row>
    <row r="9" spans="1:27" ht="15.75" customHeight="1">
      <c r="A9" s="258">
        <v>7</v>
      </c>
      <c r="B9" s="268" t="s">
        <v>1014</v>
      </c>
      <c r="C9" s="260">
        <v>150</v>
      </c>
      <c r="D9" s="261">
        <f t="shared" ref="D9:D10" si="1">5</f>
        <v>5</v>
      </c>
      <c r="E9" s="261">
        <f>2</f>
        <v>2</v>
      </c>
      <c r="F9" s="261" t="s">
        <v>1015</v>
      </c>
      <c r="G9" s="269">
        <v>0.3</v>
      </c>
      <c r="H9" s="261" t="s">
        <v>894</v>
      </c>
      <c r="I9" s="261" t="s">
        <v>1010</v>
      </c>
      <c r="J9" s="261" t="s">
        <v>1016</v>
      </c>
    </row>
    <row r="10" spans="1:27" ht="15.75" customHeight="1">
      <c r="A10" s="258">
        <v>8</v>
      </c>
      <c r="B10" s="268" t="s">
        <v>1017</v>
      </c>
      <c r="C10" s="260">
        <v>200</v>
      </c>
      <c r="D10" s="261">
        <f t="shared" si="1"/>
        <v>5</v>
      </c>
      <c r="E10" s="261">
        <f>3</f>
        <v>3</v>
      </c>
      <c r="F10" s="261" t="s">
        <v>1012</v>
      </c>
      <c r="G10" s="269">
        <v>0.25</v>
      </c>
      <c r="H10" s="261" t="s">
        <v>894</v>
      </c>
      <c r="I10" s="261" t="s">
        <v>1010</v>
      </c>
      <c r="J10" s="261" t="s">
        <v>1013</v>
      </c>
    </row>
    <row r="11" spans="1:27" ht="15.75" customHeight="1">
      <c r="A11" s="258">
        <v>9</v>
      </c>
      <c r="B11" s="268" t="s">
        <v>1018</v>
      </c>
      <c r="C11" s="260">
        <v>200</v>
      </c>
      <c r="D11" s="261">
        <f t="shared" ref="D11:D12" si="2">6</f>
        <v>6</v>
      </c>
      <c r="E11" s="261">
        <f>0</f>
        <v>0</v>
      </c>
      <c r="F11" s="261" t="s">
        <v>1019</v>
      </c>
      <c r="G11" s="269">
        <v>0.4</v>
      </c>
      <c r="H11" s="261" t="s">
        <v>1020</v>
      </c>
      <c r="I11" s="261" t="s">
        <v>1021</v>
      </c>
      <c r="J11" s="261" t="s">
        <v>1022</v>
      </c>
    </row>
    <row r="12" spans="1:27" ht="15.75" customHeight="1">
      <c r="A12" s="258">
        <v>10</v>
      </c>
      <c r="B12" s="268" t="s">
        <v>1023</v>
      </c>
      <c r="C12" s="260">
        <v>250</v>
      </c>
      <c r="D12" s="261">
        <f t="shared" si="2"/>
        <v>6</v>
      </c>
      <c r="E12" s="261">
        <f>1</f>
        <v>1</v>
      </c>
      <c r="F12" s="261" t="s">
        <v>1024</v>
      </c>
      <c r="G12" s="269">
        <v>0.35</v>
      </c>
      <c r="H12" s="261" t="s">
        <v>1020</v>
      </c>
      <c r="I12" s="261" t="s">
        <v>1021</v>
      </c>
      <c r="J12" s="261" t="s">
        <v>1025</v>
      </c>
    </row>
    <row r="13" spans="1:27" ht="15.75" customHeight="1">
      <c r="A13" s="258">
        <v>11</v>
      </c>
      <c r="B13" s="268" t="s">
        <v>1026</v>
      </c>
      <c r="C13" s="260">
        <v>600</v>
      </c>
      <c r="D13" s="261">
        <f>7</f>
        <v>7</v>
      </c>
      <c r="E13" s="261">
        <f>0</f>
        <v>0</v>
      </c>
      <c r="F13" s="261" t="s">
        <v>1019</v>
      </c>
      <c r="G13" s="269">
        <v>0.4</v>
      </c>
      <c r="H13" s="261" t="s">
        <v>1020</v>
      </c>
      <c r="I13" s="261" t="s">
        <v>1021</v>
      </c>
      <c r="J13" s="261" t="s">
        <v>1027</v>
      </c>
    </row>
    <row r="14" spans="1:27" ht="15.75" customHeight="1">
      <c r="A14" s="258">
        <v>12</v>
      </c>
      <c r="B14" s="268" t="s">
        <v>1028</v>
      </c>
      <c r="C14" s="260">
        <v>1500</v>
      </c>
      <c r="D14" s="261">
        <f>8</f>
        <v>8</v>
      </c>
      <c r="E14" s="261">
        <f>1</f>
        <v>1</v>
      </c>
      <c r="F14" s="261" t="s">
        <v>1024</v>
      </c>
      <c r="G14" s="269">
        <v>0.35</v>
      </c>
      <c r="H14" s="261" t="s">
        <v>1020</v>
      </c>
      <c r="I14" s="261" t="s">
        <v>1021</v>
      </c>
      <c r="J14" s="261" t="s">
        <v>1027</v>
      </c>
    </row>
    <row r="15" spans="1:27" ht="15.75" customHeight="1">
      <c r="A15" s="258">
        <v>13</v>
      </c>
      <c r="B15" s="268" t="s">
        <v>1029</v>
      </c>
      <c r="C15" s="260">
        <v>15</v>
      </c>
      <c r="D15" s="261">
        <f t="shared" ref="D15:D17" si="3">1</f>
        <v>1</v>
      </c>
      <c r="E15" s="261" t="s">
        <v>864</v>
      </c>
      <c r="F15" s="261" t="s">
        <v>1003</v>
      </c>
      <c r="G15" s="269">
        <v>0.05</v>
      </c>
      <c r="H15" s="261" t="s">
        <v>864</v>
      </c>
      <c r="I15" s="261" t="s">
        <v>864</v>
      </c>
      <c r="J15" s="261" t="s">
        <v>915</v>
      </c>
    </row>
    <row r="16" spans="1:27" ht="15.75" customHeight="1">
      <c r="A16" s="258">
        <v>14</v>
      </c>
      <c r="B16" s="268" t="s">
        <v>1030</v>
      </c>
      <c r="C16" s="260">
        <v>3</v>
      </c>
      <c r="D16" s="261">
        <f t="shared" si="3"/>
        <v>1</v>
      </c>
      <c r="E16" s="261" t="s">
        <v>864</v>
      </c>
      <c r="F16" s="261" t="s">
        <v>1003</v>
      </c>
      <c r="G16" s="269">
        <v>0.05</v>
      </c>
      <c r="H16" s="261" t="s">
        <v>864</v>
      </c>
      <c r="I16" s="261" t="s">
        <v>864</v>
      </c>
      <c r="J16" s="261" t="s">
        <v>915</v>
      </c>
    </row>
    <row r="17" spans="1:10" ht="15.75" customHeight="1">
      <c r="A17" s="258">
        <v>15</v>
      </c>
      <c r="B17" s="268" t="s">
        <v>1031</v>
      </c>
      <c r="C17" s="260">
        <v>9</v>
      </c>
      <c r="D17" s="261">
        <f t="shared" si="3"/>
        <v>1</v>
      </c>
      <c r="E17" s="261" t="s">
        <v>864</v>
      </c>
      <c r="F17" s="261" t="s">
        <v>1003</v>
      </c>
      <c r="G17" s="269">
        <v>0.05</v>
      </c>
      <c r="H17" s="261" t="s">
        <v>864</v>
      </c>
      <c r="I17" s="261" t="s">
        <v>864</v>
      </c>
      <c r="J17" s="261" t="s">
        <v>891</v>
      </c>
    </row>
    <row r="18" spans="1:10" ht="15.75" customHeight="1">
      <c r="A18" s="258">
        <v>16</v>
      </c>
      <c r="B18" s="268" t="s">
        <v>1032</v>
      </c>
      <c r="C18" s="260">
        <v>7</v>
      </c>
      <c r="D18" s="261">
        <f t="shared" ref="D18:D19" si="4">2</f>
        <v>2</v>
      </c>
      <c r="E18" s="261" t="s">
        <v>864</v>
      </c>
      <c r="F18" s="261" t="s">
        <v>1006</v>
      </c>
      <c r="G18" s="269">
        <v>0.15</v>
      </c>
      <c r="H18" s="261" t="s">
        <v>864</v>
      </c>
      <c r="I18" s="261" t="s">
        <v>864</v>
      </c>
      <c r="J18" s="261" t="s">
        <v>944</v>
      </c>
    </row>
    <row r="19" spans="1:10" ht="15.75" customHeight="1">
      <c r="A19" s="258">
        <v>17</v>
      </c>
      <c r="B19" s="268" t="s">
        <v>1033</v>
      </c>
      <c r="C19" s="260">
        <v>20</v>
      </c>
      <c r="D19" s="261">
        <f t="shared" si="4"/>
        <v>2</v>
      </c>
      <c r="E19" s="261" t="s">
        <v>864</v>
      </c>
      <c r="F19" s="261" t="s">
        <v>1006</v>
      </c>
      <c r="G19" s="269">
        <v>0.15</v>
      </c>
      <c r="H19" s="261" t="s">
        <v>864</v>
      </c>
      <c r="I19" s="261" t="s">
        <v>864</v>
      </c>
      <c r="J19" s="261" t="s">
        <v>974</v>
      </c>
    </row>
    <row r="20" spans="1:10" ht="15.75" customHeight="1">
      <c r="A20" s="258">
        <v>18</v>
      </c>
      <c r="B20" s="268" t="s">
        <v>1034</v>
      </c>
      <c r="C20" s="260">
        <v>30</v>
      </c>
      <c r="D20" s="261">
        <f>43</f>
        <v>43</v>
      </c>
      <c r="E20" s="261">
        <f>2</f>
        <v>2</v>
      </c>
      <c r="F20" s="261" t="s">
        <v>1035</v>
      </c>
      <c r="G20" s="269">
        <v>0.5</v>
      </c>
      <c r="H20" s="261" t="s">
        <v>864</v>
      </c>
      <c r="I20" s="261" t="s">
        <v>864</v>
      </c>
      <c r="J20" s="261" t="s">
        <v>1022</v>
      </c>
    </row>
    <row r="21" spans="1:10" ht="15.75" customHeight="1">
      <c r="A21" s="258">
        <v>19</v>
      </c>
      <c r="B21" s="268" t="s">
        <v>1036</v>
      </c>
      <c r="C21" s="260">
        <v>50</v>
      </c>
      <c r="D21" s="261" t="s">
        <v>864</v>
      </c>
      <c r="E21" s="261" t="s">
        <v>864</v>
      </c>
      <c r="F21" s="261" t="s">
        <v>864</v>
      </c>
      <c r="G21" s="261" t="s">
        <v>864</v>
      </c>
      <c r="H21" s="261" t="s">
        <v>864</v>
      </c>
      <c r="I21" s="261" t="s">
        <v>864</v>
      </c>
      <c r="J21" s="261" t="s">
        <v>944</v>
      </c>
    </row>
    <row r="22" spans="1:10" ht="15.75" customHeight="1">
      <c r="A22" s="258">
        <v>20</v>
      </c>
      <c r="B22" s="268" t="s">
        <v>1037</v>
      </c>
      <c r="C22" s="260">
        <v>8</v>
      </c>
      <c r="D22" s="261" t="s">
        <v>864</v>
      </c>
      <c r="E22" s="261" t="s">
        <v>864</v>
      </c>
      <c r="F22" s="261" t="s">
        <v>1038</v>
      </c>
      <c r="G22" s="261">
        <v>4</v>
      </c>
      <c r="H22" s="261" t="s">
        <v>864</v>
      </c>
      <c r="I22" s="261" t="s">
        <v>864</v>
      </c>
      <c r="J22" s="261" t="s">
        <v>915</v>
      </c>
    </row>
    <row r="23" spans="1:10" ht="15.75" customHeight="1">
      <c r="A23" s="258">
        <v>21</v>
      </c>
      <c r="B23" s="270" t="s">
        <v>1039</v>
      </c>
      <c r="C23" s="260">
        <v>10</v>
      </c>
      <c r="D23" s="261" t="s">
        <v>864</v>
      </c>
      <c r="E23" s="261" t="s">
        <v>864</v>
      </c>
      <c r="F23" s="261" t="s">
        <v>864</v>
      </c>
      <c r="G23" s="261" t="s">
        <v>864</v>
      </c>
      <c r="H23" s="261" t="s">
        <v>864</v>
      </c>
      <c r="I23" s="261" t="s">
        <v>864</v>
      </c>
      <c r="J23" s="261" t="s">
        <v>915</v>
      </c>
    </row>
    <row r="24" spans="1:10" ht="15.75" customHeight="1">
      <c r="A24" s="53"/>
      <c r="C24" s="111"/>
    </row>
    <row r="25" spans="1:10" ht="15.75" customHeight="1">
      <c r="A25" s="53"/>
      <c r="C25" s="111"/>
    </row>
    <row r="26" spans="1:10" ht="15.75" customHeight="1">
      <c r="A26" s="53"/>
      <c r="C26" s="111"/>
    </row>
    <row r="27" spans="1:10" ht="13.2">
      <c r="A27" s="53"/>
      <c r="C27" s="111"/>
    </row>
    <row r="28" spans="1:10" ht="13.2">
      <c r="A28" s="53"/>
      <c r="C28" s="111"/>
    </row>
    <row r="29" spans="1:10" ht="13.2">
      <c r="A29" s="53"/>
      <c r="C29" s="111"/>
    </row>
    <row r="30" spans="1:10" ht="13.2">
      <c r="A30" s="53"/>
      <c r="C30" s="111"/>
    </row>
    <row r="31" spans="1:10" ht="13.2">
      <c r="A31" s="53"/>
      <c r="C31" s="111"/>
    </row>
    <row r="32" spans="1:10" ht="13.2">
      <c r="A32" s="53"/>
      <c r="C32" s="111"/>
    </row>
    <row r="33" spans="1:3" ht="13.2">
      <c r="A33" s="53"/>
      <c r="C33" s="111"/>
    </row>
    <row r="34" spans="1:3" ht="13.2">
      <c r="A34" s="53"/>
      <c r="C34" s="111"/>
    </row>
    <row r="35" spans="1:3" ht="13.2">
      <c r="A35" s="53"/>
      <c r="C35" s="111"/>
    </row>
    <row r="36" spans="1:3" ht="13.2">
      <c r="A36" s="53"/>
      <c r="C36" s="111"/>
    </row>
    <row r="37" spans="1:3" ht="13.2">
      <c r="A37" s="53"/>
      <c r="C37" s="111"/>
    </row>
    <row r="38" spans="1:3" ht="13.2">
      <c r="A38" s="53"/>
      <c r="C38" s="111"/>
    </row>
    <row r="39" spans="1:3" ht="13.2">
      <c r="A39" s="53"/>
      <c r="C39" s="111"/>
    </row>
    <row r="40" spans="1:3" ht="13.2">
      <c r="A40" s="53"/>
      <c r="C40" s="111"/>
    </row>
    <row r="41" spans="1:3" ht="13.2">
      <c r="A41" s="53"/>
      <c r="C41" s="111"/>
    </row>
    <row r="42" spans="1:3" ht="13.2">
      <c r="A42" s="53"/>
      <c r="C42" s="111"/>
    </row>
    <row r="43" spans="1:3" ht="13.2">
      <c r="A43" s="53"/>
      <c r="C43" s="111"/>
    </row>
    <row r="44" spans="1:3" ht="13.2">
      <c r="A44" s="53"/>
      <c r="C44" s="111"/>
    </row>
    <row r="45" spans="1:3" ht="13.2">
      <c r="A45" s="53"/>
      <c r="C45" s="111"/>
    </row>
    <row r="46" spans="1:3" ht="13.2">
      <c r="A46" s="53"/>
      <c r="C46" s="111"/>
    </row>
    <row r="47" spans="1:3" ht="13.2">
      <c r="A47" s="53"/>
      <c r="C47" s="111"/>
    </row>
    <row r="48" spans="1:3" ht="13.2">
      <c r="A48" s="53"/>
      <c r="C48" s="111"/>
    </row>
    <row r="49" spans="1:3" ht="13.2">
      <c r="A49" s="53"/>
      <c r="C49" s="111"/>
    </row>
    <row r="50" spans="1:3" ht="13.2">
      <c r="A50" s="53"/>
      <c r="C50" s="111"/>
    </row>
    <row r="51" spans="1:3" ht="13.2">
      <c r="A51" s="53"/>
      <c r="C51" s="111"/>
    </row>
    <row r="52" spans="1:3" ht="13.2">
      <c r="A52" s="53"/>
      <c r="C52" s="111"/>
    </row>
    <row r="53" spans="1:3" ht="13.2">
      <c r="A53" s="53"/>
      <c r="C53" s="111"/>
    </row>
    <row r="54" spans="1:3" ht="13.2">
      <c r="A54" s="53"/>
      <c r="C54" s="111"/>
    </row>
    <row r="55" spans="1:3" ht="13.2">
      <c r="A55" s="53"/>
      <c r="C55" s="111"/>
    </row>
    <row r="56" spans="1:3" ht="13.2">
      <c r="A56" s="53"/>
      <c r="C56" s="111"/>
    </row>
    <row r="57" spans="1:3" ht="13.2">
      <c r="A57" s="53"/>
      <c r="C57" s="111"/>
    </row>
    <row r="58" spans="1:3" ht="13.2">
      <c r="A58" s="53"/>
      <c r="C58" s="111"/>
    </row>
    <row r="59" spans="1:3" ht="13.2">
      <c r="A59" s="53"/>
      <c r="C59" s="111"/>
    </row>
    <row r="60" spans="1:3" ht="13.2">
      <c r="A60" s="53"/>
      <c r="C60" s="111"/>
    </row>
    <row r="61" spans="1:3" ht="13.2">
      <c r="A61" s="53"/>
      <c r="C61" s="111"/>
    </row>
    <row r="62" spans="1:3" ht="13.2">
      <c r="A62" s="53"/>
      <c r="C62" s="111"/>
    </row>
    <row r="63" spans="1:3" ht="13.2">
      <c r="A63" s="53"/>
      <c r="C63" s="111"/>
    </row>
    <row r="64" spans="1:3" ht="13.2">
      <c r="A64" s="53"/>
      <c r="C64" s="111"/>
    </row>
    <row r="65" spans="1:3" ht="13.2">
      <c r="A65" s="53"/>
      <c r="C65" s="111"/>
    </row>
    <row r="66" spans="1:3" ht="13.2">
      <c r="A66" s="53"/>
      <c r="C66" s="111"/>
    </row>
    <row r="67" spans="1:3" ht="13.2">
      <c r="A67" s="53"/>
      <c r="C67" s="111"/>
    </row>
    <row r="68" spans="1:3" ht="13.2">
      <c r="A68" s="53"/>
      <c r="C68" s="111"/>
    </row>
    <row r="69" spans="1:3" ht="13.2">
      <c r="A69" s="53"/>
      <c r="C69" s="111"/>
    </row>
    <row r="70" spans="1:3" ht="13.2">
      <c r="A70" s="53"/>
      <c r="C70" s="111"/>
    </row>
    <row r="71" spans="1:3" ht="13.2">
      <c r="A71" s="53"/>
      <c r="C71" s="111"/>
    </row>
    <row r="72" spans="1:3" ht="13.2">
      <c r="A72" s="53"/>
      <c r="C72" s="111"/>
    </row>
    <row r="73" spans="1:3" ht="13.2">
      <c r="A73" s="53"/>
      <c r="C73" s="111"/>
    </row>
    <row r="74" spans="1:3" ht="13.2">
      <c r="A74" s="53"/>
      <c r="C74" s="111"/>
    </row>
    <row r="75" spans="1:3" ht="13.2">
      <c r="A75" s="53"/>
      <c r="C75" s="111"/>
    </row>
    <row r="76" spans="1:3" ht="13.2">
      <c r="A76" s="53"/>
      <c r="C76" s="111"/>
    </row>
    <row r="77" spans="1:3" ht="13.2">
      <c r="A77" s="53"/>
      <c r="C77" s="111"/>
    </row>
    <row r="78" spans="1:3" ht="13.2">
      <c r="A78" s="53"/>
      <c r="C78" s="111"/>
    </row>
    <row r="79" spans="1:3" ht="13.2">
      <c r="A79" s="53"/>
      <c r="C79" s="111"/>
    </row>
    <row r="80" spans="1:3" ht="13.2">
      <c r="A80" s="53"/>
      <c r="C80" s="111"/>
    </row>
    <row r="81" spans="1:3" ht="13.2">
      <c r="A81" s="53"/>
      <c r="C81" s="111"/>
    </row>
    <row r="82" spans="1:3" ht="13.2">
      <c r="A82" s="53"/>
      <c r="C82" s="111"/>
    </row>
    <row r="83" spans="1:3" ht="13.2">
      <c r="A83" s="53"/>
      <c r="C83" s="111"/>
    </row>
    <row r="84" spans="1:3" ht="13.2">
      <c r="A84" s="53"/>
      <c r="C84" s="111"/>
    </row>
    <row r="85" spans="1:3" ht="13.2">
      <c r="A85" s="53"/>
      <c r="C85" s="111"/>
    </row>
    <row r="86" spans="1:3" ht="13.2">
      <c r="A86" s="53"/>
      <c r="C86" s="111"/>
    </row>
    <row r="87" spans="1:3" ht="13.2">
      <c r="A87" s="53"/>
      <c r="C87" s="111"/>
    </row>
    <row r="88" spans="1:3" ht="13.2">
      <c r="A88" s="53"/>
      <c r="C88" s="111"/>
    </row>
    <row r="89" spans="1:3" ht="13.2">
      <c r="A89" s="53"/>
      <c r="C89" s="111"/>
    </row>
    <row r="90" spans="1:3" ht="13.2">
      <c r="A90" s="53"/>
      <c r="C90" s="111"/>
    </row>
    <row r="91" spans="1:3" ht="13.2">
      <c r="A91" s="53"/>
      <c r="C91" s="111"/>
    </row>
    <row r="92" spans="1:3" ht="13.2">
      <c r="A92" s="53"/>
      <c r="C92" s="111"/>
    </row>
    <row r="93" spans="1:3" ht="13.2">
      <c r="A93" s="53"/>
      <c r="C93" s="111"/>
    </row>
    <row r="94" spans="1:3" ht="13.2">
      <c r="A94" s="53"/>
      <c r="C94" s="111"/>
    </row>
    <row r="95" spans="1:3" ht="13.2">
      <c r="A95" s="53"/>
      <c r="C95" s="111"/>
    </row>
    <row r="96" spans="1:3" ht="13.2">
      <c r="A96" s="53"/>
      <c r="C96" s="111"/>
    </row>
    <row r="97" spans="1:3" ht="13.2">
      <c r="A97" s="53"/>
      <c r="C97" s="111"/>
    </row>
    <row r="98" spans="1:3" ht="13.2">
      <c r="A98" s="53"/>
      <c r="C98" s="111"/>
    </row>
    <row r="99" spans="1:3" ht="13.2">
      <c r="A99" s="53"/>
      <c r="C99" s="111"/>
    </row>
    <row r="100" spans="1:3" ht="13.2">
      <c r="A100" s="53"/>
      <c r="C100" s="111"/>
    </row>
    <row r="101" spans="1:3" ht="13.2">
      <c r="A101" s="53"/>
      <c r="C101" s="111"/>
    </row>
    <row r="102" spans="1:3" ht="13.2">
      <c r="A102" s="53"/>
      <c r="C102" s="111"/>
    </row>
    <row r="103" spans="1:3" ht="13.2">
      <c r="A103" s="53"/>
      <c r="C103" s="111"/>
    </row>
    <row r="104" spans="1:3" ht="13.2">
      <c r="A104" s="53"/>
      <c r="C104" s="111"/>
    </row>
    <row r="105" spans="1:3" ht="13.2">
      <c r="A105" s="53"/>
      <c r="C105" s="111"/>
    </row>
    <row r="106" spans="1:3" ht="13.2">
      <c r="A106" s="53"/>
      <c r="C106" s="111"/>
    </row>
    <row r="107" spans="1:3" ht="13.2">
      <c r="A107" s="53"/>
      <c r="C107" s="111"/>
    </row>
    <row r="108" spans="1:3" ht="13.2">
      <c r="A108" s="53"/>
      <c r="C108" s="111"/>
    </row>
    <row r="109" spans="1:3" ht="13.2">
      <c r="A109" s="53"/>
      <c r="C109" s="111"/>
    </row>
    <row r="110" spans="1:3" ht="13.2">
      <c r="A110" s="53"/>
      <c r="C110" s="111"/>
    </row>
    <row r="111" spans="1:3" ht="13.2">
      <c r="A111" s="53"/>
      <c r="C111" s="111"/>
    </row>
    <row r="112" spans="1:3" ht="13.2">
      <c r="A112" s="53"/>
      <c r="C112" s="111"/>
    </row>
    <row r="113" spans="1:3" ht="13.2">
      <c r="A113" s="53"/>
      <c r="C113" s="111"/>
    </row>
    <row r="114" spans="1:3" ht="13.2">
      <c r="A114" s="53"/>
      <c r="C114" s="111"/>
    </row>
    <row r="115" spans="1:3" ht="13.2">
      <c r="A115" s="53"/>
      <c r="C115" s="111"/>
    </row>
    <row r="116" spans="1:3" ht="13.2">
      <c r="A116" s="53"/>
      <c r="C116" s="111"/>
    </row>
    <row r="117" spans="1:3" ht="13.2">
      <c r="A117" s="53"/>
      <c r="C117" s="111"/>
    </row>
    <row r="118" spans="1:3" ht="13.2">
      <c r="A118" s="53"/>
      <c r="C118" s="111"/>
    </row>
    <row r="119" spans="1:3" ht="13.2">
      <c r="A119" s="53"/>
      <c r="C119" s="111"/>
    </row>
    <row r="120" spans="1:3" ht="13.2">
      <c r="A120" s="53"/>
      <c r="C120" s="111"/>
    </row>
    <row r="121" spans="1:3" ht="13.2">
      <c r="A121" s="53"/>
      <c r="C121" s="111"/>
    </row>
    <row r="122" spans="1:3" ht="13.2">
      <c r="A122" s="53"/>
      <c r="C122" s="111"/>
    </row>
    <row r="123" spans="1:3" ht="13.2">
      <c r="A123" s="53"/>
      <c r="C123" s="111"/>
    </row>
    <row r="124" spans="1:3" ht="13.2">
      <c r="A124" s="53"/>
      <c r="C124" s="111"/>
    </row>
    <row r="125" spans="1:3" ht="13.2">
      <c r="A125" s="53"/>
      <c r="C125" s="111"/>
    </row>
    <row r="126" spans="1:3" ht="13.2">
      <c r="A126" s="53"/>
      <c r="C126" s="111"/>
    </row>
    <row r="127" spans="1:3" ht="13.2">
      <c r="A127" s="53"/>
      <c r="C127" s="111"/>
    </row>
    <row r="128" spans="1:3" ht="13.2">
      <c r="A128" s="53"/>
      <c r="C128" s="111"/>
    </row>
    <row r="129" spans="1:3" ht="13.2">
      <c r="A129" s="53"/>
      <c r="C129" s="111"/>
    </row>
    <row r="130" spans="1:3" ht="13.2">
      <c r="A130" s="53"/>
      <c r="C130" s="111"/>
    </row>
    <row r="131" spans="1:3" ht="13.2">
      <c r="A131" s="53"/>
      <c r="C131" s="111"/>
    </row>
    <row r="132" spans="1:3" ht="13.2">
      <c r="A132" s="53"/>
      <c r="C132" s="111"/>
    </row>
    <row r="133" spans="1:3" ht="13.2">
      <c r="A133" s="53"/>
      <c r="C133" s="111"/>
    </row>
    <row r="134" spans="1:3" ht="13.2">
      <c r="A134" s="53"/>
      <c r="C134" s="111"/>
    </row>
    <row r="135" spans="1:3" ht="13.2">
      <c r="A135" s="53"/>
      <c r="C135" s="111"/>
    </row>
    <row r="136" spans="1:3" ht="13.2">
      <c r="A136" s="53"/>
      <c r="C136" s="111"/>
    </row>
    <row r="137" spans="1:3" ht="13.2">
      <c r="A137" s="53"/>
      <c r="C137" s="111"/>
    </row>
    <row r="138" spans="1:3" ht="13.2">
      <c r="A138" s="53"/>
      <c r="C138" s="111"/>
    </row>
    <row r="139" spans="1:3" ht="13.2">
      <c r="A139" s="53"/>
      <c r="C139" s="111"/>
    </row>
    <row r="140" spans="1:3" ht="13.2">
      <c r="A140" s="53"/>
      <c r="C140" s="111"/>
    </row>
    <row r="141" spans="1:3" ht="13.2">
      <c r="A141" s="53"/>
      <c r="C141" s="111"/>
    </row>
    <row r="142" spans="1:3" ht="13.2">
      <c r="A142" s="53"/>
      <c r="C142" s="111"/>
    </row>
    <row r="143" spans="1:3" ht="13.2">
      <c r="A143" s="53"/>
      <c r="C143" s="111"/>
    </row>
    <row r="144" spans="1:3" ht="13.2">
      <c r="A144" s="53"/>
      <c r="C144" s="111"/>
    </row>
    <row r="145" spans="1:3" ht="13.2">
      <c r="A145" s="53"/>
      <c r="C145" s="111"/>
    </row>
    <row r="146" spans="1:3" ht="13.2">
      <c r="A146" s="53"/>
      <c r="C146" s="111"/>
    </row>
    <row r="147" spans="1:3" ht="13.2">
      <c r="A147" s="53"/>
      <c r="C147" s="111"/>
    </row>
    <row r="148" spans="1:3" ht="13.2">
      <c r="A148" s="53"/>
      <c r="C148" s="111"/>
    </row>
    <row r="149" spans="1:3" ht="13.2">
      <c r="A149" s="53"/>
      <c r="C149" s="111"/>
    </row>
    <row r="150" spans="1:3" ht="13.2">
      <c r="A150" s="53"/>
      <c r="C150" s="111"/>
    </row>
    <row r="151" spans="1:3" ht="13.2">
      <c r="A151" s="53"/>
      <c r="C151" s="111"/>
    </row>
    <row r="152" spans="1:3" ht="13.2">
      <c r="A152" s="53"/>
      <c r="C152" s="111"/>
    </row>
    <row r="153" spans="1:3" ht="13.2">
      <c r="A153" s="53"/>
      <c r="C153" s="111"/>
    </row>
    <row r="154" spans="1:3" ht="13.2">
      <c r="A154" s="53"/>
      <c r="C154" s="111"/>
    </row>
    <row r="155" spans="1:3" ht="13.2">
      <c r="A155" s="53"/>
      <c r="C155" s="111"/>
    </row>
    <row r="156" spans="1:3" ht="13.2">
      <c r="A156" s="53"/>
      <c r="C156" s="111"/>
    </row>
    <row r="157" spans="1:3" ht="13.2">
      <c r="A157" s="53"/>
      <c r="C157" s="111"/>
    </row>
    <row r="158" spans="1:3" ht="13.2">
      <c r="A158" s="53"/>
      <c r="C158" s="111"/>
    </row>
    <row r="159" spans="1:3" ht="13.2">
      <c r="A159" s="53"/>
      <c r="C159" s="111"/>
    </row>
    <row r="160" spans="1:3" ht="13.2">
      <c r="A160" s="53"/>
      <c r="C160" s="111"/>
    </row>
    <row r="161" spans="1:3" ht="13.2">
      <c r="A161" s="53"/>
      <c r="C161" s="111"/>
    </row>
    <row r="162" spans="1:3" ht="13.2">
      <c r="A162" s="53"/>
      <c r="C162" s="111"/>
    </row>
    <row r="163" spans="1:3" ht="13.2">
      <c r="A163" s="53"/>
      <c r="C163" s="111"/>
    </row>
    <row r="164" spans="1:3" ht="13.2">
      <c r="A164" s="53"/>
      <c r="C164" s="111"/>
    </row>
    <row r="165" spans="1:3" ht="13.2">
      <c r="A165" s="53"/>
      <c r="C165" s="111"/>
    </row>
    <row r="166" spans="1:3" ht="13.2">
      <c r="A166" s="53"/>
      <c r="C166" s="111"/>
    </row>
    <row r="167" spans="1:3" ht="13.2">
      <c r="A167" s="53"/>
      <c r="C167" s="111"/>
    </row>
    <row r="168" spans="1:3" ht="13.2">
      <c r="A168" s="53"/>
      <c r="C168" s="111"/>
    </row>
    <row r="169" spans="1:3" ht="13.2">
      <c r="A169" s="53"/>
      <c r="C169" s="111"/>
    </row>
    <row r="170" spans="1:3" ht="13.2">
      <c r="A170" s="53"/>
      <c r="C170" s="111"/>
    </row>
    <row r="171" spans="1:3" ht="13.2">
      <c r="A171" s="53"/>
      <c r="C171" s="111"/>
    </row>
    <row r="172" spans="1:3" ht="13.2">
      <c r="A172" s="53"/>
      <c r="C172" s="111"/>
    </row>
    <row r="173" spans="1:3" ht="13.2">
      <c r="A173" s="53"/>
      <c r="C173" s="111"/>
    </row>
    <row r="174" spans="1:3" ht="13.2">
      <c r="A174" s="53"/>
      <c r="C174" s="111"/>
    </row>
    <row r="175" spans="1:3" ht="13.2">
      <c r="A175" s="53"/>
      <c r="C175" s="111"/>
    </row>
    <row r="176" spans="1:3" ht="13.2">
      <c r="A176" s="53"/>
      <c r="C176" s="111"/>
    </row>
    <row r="177" spans="1:3" ht="13.2">
      <c r="A177" s="53"/>
      <c r="C177" s="111"/>
    </row>
    <row r="178" spans="1:3" ht="13.2">
      <c r="A178" s="53"/>
      <c r="C178" s="111"/>
    </row>
    <row r="179" spans="1:3" ht="13.2">
      <c r="A179" s="53"/>
      <c r="C179" s="111"/>
    </row>
    <row r="180" spans="1:3" ht="13.2">
      <c r="A180" s="53"/>
      <c r="C180" s="111"/>
    </row>
    <row r="181" spans="1:3" ht="13.2">
      <c r="A181" s="53"/>
      <c r="C181" s="111"/>
    </row>
    <row r="182" spans="1:3" ht="13.2">
      <c r="A182" s="53"/>
      <c r="C182" s="111"/>
    </row>
    <row r="183" spans="1:3" ht="13.2">
      <c r="A183" s="53"/>
      <c r="C183" s="111"/>
    </row>
    <row r="184" spans="1:3" ht="13.2">
      <c r="A184" s="53"/>
      <c r="C184" s="111"/>
    </row>
    <row r="185" spans="1:3" ht="13.2">
      <c r="A185" s="53"/>
      <c r="C185" s="111"/>
    </row>
    <row r="186" spans="1:3" ht="13.2">
      <c r="A186" s="53"/>
      <c r="C186" s="111"/>
    </row>
    <row r="187" spans="1:3" ht="13.2">
      <c r="A187" s="53"/>
      <c r="C187" s="111"/>
    </row>
    <row r="188" spans="1:3" ht="13.2">
      <c r="A188" s="53"/>
      <c r="C188" s="111"/>
    </row>
    <row r="189" spans="1:3" ht="13.2">
      <c r="A189" s="53"/>
      <c r="C189" s="111"/>
    </row>
    <row r="190" spans="1:3" ht="13.2">
      <c r="A190" s="53"/>
      <c r="C190" s="111"/>
    </row>
    <row r="191" spans="1:3" ht="13.2">
      <c r="A191" s="53"/>
      <c r="C191" s="111"/>
    </row>
    <row r="192" spans="1:3" ht="13.2">
      <c r="A192" s="53"/>
      <c r="C192" s="111"/>
    </row>
    <row r="193" spans="1:3" ht="13.2">
      <c r="A193" s="53"/>
      <c r="C193" s="111"/>
    </row>
    <row r="194" spans="1:3" ht="13.2">
      <c r="A194" s="53"/>
      <c r="C194" s="111"/>
    </row>
    <row r="195" spans="1:3" ht="13.2">
      <c r="A195" s="53"/>
      <c r="C195" s="111"/>
    </row>
    <row r="196" spans="1:3" ht="13.2">
      <c r="A196" s="53"/>
      <c r="C196" s="111"/>
    </row>
    <row r="197" spans="1:3" ht="13.2">
      <c r="A197" s="53"/>
      <c r="C197" s="111"/>
    </row>
    <row r="198" spans="1:3" ht="13.2">
      <c r="A198" s="53"/>
      <c r="C198" s="111"/>
    </row>
    <row r="199" spans="1:3" ht="13.2">
      <c r="A199" s="53"/>
      <c r="C199" s="111"/>
    </row>
    <row r="200" spans="1:3" ht="13.2">
      <c r="A200" s="53"/>
      <c r="C200" s="111"/>
    </row>
    <row r="201" spans="1:3" ht="13.2">
      <c r="A201" s="53"/>
      <c r="C201" s="111"/>
    </row>
    <row r="202" spans="1:3" ht="13.2">
      <c r="A202" s="53"/>
      <c r="C202" s="111"/>
    </row>
    <row r="203" spans="1:3" ht="13.2">
      <c r="A203" s="53"/>
      <c r="C203" s="111"/>
    </row>
    <row r="204" spans="1:3" ht="13.2">
      <c r="A204" s="53"/>
      <c r="C204" s="111"/>
    </row>
    <row r="205" spans="1:3" ht="13.2">
      <c r="A205" s="53"/>
      <c r="C205" s="111"/>
    </row>
    <row r="206" spans="1:3" ht="13.2">
      <c r="A206" s="53"/>
      <c r="C206" s="111"/>
    </row>
    <row r="207" spans="1:3" ht="13.2">
      <c r="A207" s="53"/>
      <c r="C207" s="111"/>
    </row>
    <row r="208" spans="1:3" ht="13.2">
      <c r="A208" s="53"/>
      <c r="C208" s="111"/>
    </row>
    <row r="209" spans="1:3" ht="13.2">
      <c r="A209" s="53"/>
      <c r="C209" s="111"/>
    </row>
    <row r="210" spans="1:3" ht="13.2">
      <c r="A210" s="53"/>
      <c r="C210" s="111"/>
    </row>
    <row r="211" spans="1:3" ht="13.2">
      <c r="A211" s="53"/>
      <c r="C211" s="111"/>
    </row>
    <row r="212" spans="1:3" ht="13.2">
      <c r="A212" s="53"/>
      <c r="C212" s="111"/>
    </row>
    <row r="213" spans="1:3" ht="13.2">
      <c r="A213" s="53"/>
      <c r="C213" s="111"/>
    </row>
    <row r="214" spans="1:3" ht="13.2">
      <c r="A214" s="53"/>
      <c r="C214" s="111"/>
    </row>
    <row r="215" spans="1:3" ht="13.2">
      <c r="A215" s="53"/>
      <c r="C215" s="111"/>
    </row>
    <row r="216" spans="1:3" ht="13.2">
      <c r="A216" s="53"/>
      <c r="C216" s="111"/>
    </row>
    <row r="217" spans="1:3" ht="13.2">
      <c r="A217" s="53"/>
      <c r="C217" s="111"/>
    </row>
    <row r="218" spans="1:3" ht="13.2">
      <c r="A218" s="53"/>
      <c r="C218" s="111"/>
    </row>
    <row r="219" spans="1:3" ht="13.2">
      <c r="A219" s="53"/>
      <c r="C219" s="111"/>
    </row>
    <row r="220" spans="1:3" ht="13.2">
      <c r="A220" s="53"/>
      <c r="C220" s="111"/>
    </row>
    <row r="221" spans="1:3" ht="13.2">
      <c r="A221" s="53"/>
      <c r="C221" s="111"/>
    </row>
    <row r="222" spans="1:3" ht="13.2">
      <c r="A222" s="53"/>
      <c r="C222" s="111"/>
    </row>
    <row r="223" spans="1:3" ht="13.2">
      <c r="A223" s="53"/>
      <c r="C223" s="111"/>
    </row>
    <row r="224" spans="1:3" ht="13.2">
      <c r="A224" s="53"/>
      <c r="C224" s="111"/>
    </row>
    <row r="225" spans="1:3" ht="13.2">
      <c r="A225" s="53"/>
      <c r="C225" s="111"/>
    </row>
    <row r="226" spans="1:3" ht="13.2">
      <c r="A226" s="53"/>
      <c r="C226" s="111"/>
    </row>
    <row r="227" spans="1:3" ht="13.2">
      <c r="A227" s="53"/>
      <c r="C227" s="111"/>
    </row>
    <row r="228" spans="1:3" ht="13.2">
      <c r="A228" s="53"/>
      <c r="C228" s="111"/>
    </row>
    <row r="229" spans="1:3" ht="13.2">
      <c r="A229" s="53"/>
      <c r="C229" s="111"/>
    </row>
    <row r="230" spans="1:3" ht="13.2">
      <c r="A230" s="53"/>
      <c r="C230" s="111"/>
    </row>
    <row r="231" spans="1:3" ht="13.2">
      <c r="A231" s="53"/>
      <c r="C231" s="111"/>
    </row>
    <row r="232" spans="1:3" ht="13.2">
      <c r="A232" s="53"/>
      <c r="C232" s="111"/>
    </row>
    <row r="233" spans="1:3" ht="13.2">
      <c r="A233" s="53"/>
      <c r="C233" s="111"/>
    </row>
    <row r="234" spans="1:3" ht="13.2">
      <c r="A234" s="53"/>
      <c r="C234" s="111"/>
    </row>
    <row r="235" spans="1:3" ht="13.2">
      <c r="A235" s="53"/>
      <c r="C235" s="111"/>
    </row>
    <row r="236" spans="1:3" ht="13.2">
      <c r="A236" s="53"/>
      <c r="C236" s="111"/>
    </row>
    <row r="237" spans="1:3" ht="13.2">
      <c r="A237" s="53"/>
      <c r="C237" s="111"/>
    </row>
    <row r="238" spans="1:3" ht="13.2">
      <c r="A238" s="53"/>
      <c r="C238" s="111"/>
    </row>
    <row r="239" spans="1:3" ht="13.2">
      <c r="A239" s="53"/>
      <c r="C239" s="111"/>
    </row>
    <row r="240" spans="1:3" ht="13.2">
      <c r="A240" s="53"/>
      <c r="C240" s="111"/>
    </row>
    <row r="241" spans="1:3" ht="13.2">
      <c r="A241" s="53"/>
      <c r="C241" s="111"/>
    </row>
    <row r="242" spans="1:3" ht="13.2">
      <c r="A242" s="53"/>
      <c r="C242" s="111"/>
    </row>
    <row r="243" spans="1:3" ht="13.2">
      <c r="A243" s="53"/>
      <c r="C243" s="111"/>
    </row>
    <row r="244" spans="1:3" ht="13.2">
      <c r="A244" s="53"/>
      <c r="C244" s="111"/>
    </row>
    <row r="245" spans="1:3" ht="13.2">
      <c r="A245" s="53"/>
      <c r="C245" s="111"/>
    </row>
    <row r="246" spans="1:3" ht="13.2">
      <c r="A246" s="53"/>
      <c r="C246" s="111"/>
    </row>
    <row r="247" spans="1:3" ht="13.2">
      <c r="A247" s="53"/>
      <c r="C247" s="111"/>
    </row>
    <row r="248" spans="1:3" ht="13.2">
      <c r="A248" s="53"/>
      <c r="C248" s="111"/>
    </row>
    <row r="249" spans="1:3" ht="13.2">
      <c r="A249" s="53"/>
      <c r="C249" s="111"/>
    </row>
    <row r="250" spans="1:3" ht="13.2">
      <c r="A250" s="53"/>
      <c r="C250" s="111"/>
    </row>
    <row r="251" spans="1:3" ht="13.2">
      <c r="A251" s="53"/>
      <c r="C251" s="111"/>
    </row>
    <row r="252" spans="1:3" ht="13.2">
      <c r="A252" s="53"/>
      <c r="C252" s="111"/>
    </row>
    <row r="253" spans="1:3" ht="13.2">
      <c r="A253" s="53"/>
      <c r="C253" s="111"/>
    </row>
    <row r="254" spans="1:3" ht="13.2">
      <c r="A254" s="53"/>
      <c r="C254" s="111"/>
    </row>
    <row r="255" spans="1:3" ht="13.2">
      <c r="A255" s="53"/>
      <c r="C255" s="111"/>
    </row>
    <row r="256" spans="1:3" ht="13.2">
      <c r="A256" s="53"/>
      <c r="C256" s="111"/>
    </row>
    <row r="257" spans="1:3" ht="13.2">
      <c r="A257" s="53"/>
      <c r="C257" s="111"/>
    </row>
    <row r="258" spans="1:3" ht="13.2">
      <c r="A258" s="53"/>
      <c r="C258" s="111"/>
    </row>
    <row r="259" spans="1:3" ht="13.2">
      <c r="A259" s="53"/>
      <c r="C259" s="111"/>
    </row>
    <row r="260" spans="1:3" ht="13.2">
      <c r="A260" s="53"/>
      <c r="C260" s="111"/>
    </row>
    <row r="261" spans="1:3" ht="13.2">
      <c r="A261" s="53"/>
      <c r="C261" s="111"/>
    </row>
    <row r="262" spans="1:3" ht="13.2">
      <c r="A262" s="53"/>
      <c r="C262" s="111"/>
    </row>
    <row r="263" spans="1:3" ht="13.2">
      <c r="A263" s="53"/>
      <c r="C263" s="111"/>
    </row>
    <row r="264" spans="1:3" ht="13.2">
      <c r="A264" s="53"/>
      <c r="C264" s="111"/>
    </row>
    <row r="265" spans="1:3" ht="13.2">
      <c r="A265" s="53"/>
      <c r="C265" s="111"/>
    </row>
    <row r="266" spans="1:3" ht="13.2">
      <c r="A266" s="53"/>
      <c r="C266" s="111"/>
    </row>
    <row r="267" spans="1:3" ht="13.2">
      <c r="A267" s="53"/>
      <c r="C267" s="111"/>
    </row>
    <row r="268" spans="1:3" ht="13.2">
      <c r="A268" s="53"/>
      <c r="C268" s="111"/>
    </row>
    <row r="269" spans="1:3" ht="13.2">
      <c r="A269" s="53"/>
      <c r="C269" s="111"/>
    </row>
    <row r="270" spans="1:3" ht="13.2">
      <c r="A270" s="53"/>
      <c r="C270" s="111"/>
    </row>
    <row r="271" spans="1:3" ht="13.2">
      <c r="A271" s="53"/>
      <c r="C271" s="111"/>
    </row>
    <row r="272" spans="1:3" ht="13.2">
      <c r="A272" s="53"/>
      <c r="C272" s="111"/>
    </row>
    <row r="273" spans="1:3" ht="13.2">
      <c r="A273" s="53"/>
      <c r="C273" s="111"/>
    </row>
    <row r="274" spans="1:3" ht="13.2">
      <c r="A274" s="53"/>
      <c r="C274" s="111"/>
    </row>
    <row r="275" spans="1:3" ht="13.2">
      <c r="A275" s="53"/>
      <c r="C275" s="111"/>
    </row>
    <row r="276" spans="1:3" ht="13.2">
      <c r="A276" s="53"/>
      <c r="C276" s="111"/>
    </row>
    <row r="277" spans="1:3" ht="13.2">
      <c r="A277" s="53"/>
      <c r="C277" s="111"/>
    </row>
    <row r="278" spans="1:3" ht="13.2">
      <c r="A278" s="53"/>
      <c r="C278" s="111"/>
    </row>
    <row r="279" spans="1:3" ht="13.2">
      <c r="A279" s="53"/>
      <c r="C279" s="111"/>
    </row>
    <row r="280" spans="1:3" ht="13.2">
      <c r="A280" s="53"/>
      <c r="C280" s="111"/>
    </row>
    <row r="281" spans="1:3" ht="13.2">
      <c r="A281" s="53"/>
      <c r="C281" s="111"/>
    </row>
    <row r="282" spans="1:3" ht="13.2">
      <c r="A282" s="53"/>
      <c r="C282" s="111"/>
    </row>
    <row r="283" spans="1:3" ht="13.2">
      <c r="A283" s="53"/>
      <c r="C283" s="111"/>
    </row>
    <row r="284" spans="1:3" ht="13.2">
      <c r="A284" s="53"/>
      <c r="C284" s="111"/>
    </row>
    <row r="285" spans="1:3" ht="13.2">
      <c r="A285" s="53"/>
      <c r="C285" s="111"/>
    </row>
    <row r="286" spans="1:3" ht="13.2">
      <c r="A286" s="53"/>
      <c r="C286" s="111"/>
    </row>
    <row r="287" spans="1:3" ht="13.2">
      <c r="A287" s="53"/>
      <c r="C287" s="111"/>
    </row>
    <row r="288" spans="1:3" ht="13.2">
      <c r="A288" s="53"/>
      <c r="C288" s="111"/>
    </row>
    <row r="289" spans="1:3" ht="13.2">
      <c r="A289" s="53"/>
      <c r="C289" s="111"/>
    </row>
    <row r="290" spans="1:3" ht="13.2">
      <c r="A290" s="53"/>
      <c r="C290" s="111"/>
    </row>
    <row r="291" spans="1:3" ht="13.2">
      <c r="A291" s="53"/>
      <c r="C291" s="111"/>
    </row>
    <row r="292" spans="1:3" ht="13.2">
      <c r="A292" s="53"/>
      <c r="C292" s="111"/>
    </row>
    <row r="293" spans="1:3" ht="13.2">
      <c r="A293" s="53"/>
      <c r="C293" s="111"/>
    </row>
    <row r="294" spans="1:3" ht="13.2">
      <c r="A294" s="53"/>
      <c r="C294" s="111"/>
    </row>
    <row r="295" spans="1:3" ht="13.2">
      <c r="A295" s="53"/>
      <c r="C295" s="111"/>
    </row>
    <row r="296" spans="1:3" ht="13.2">
      <c r="A296" s="53"/>
      <c r="C296" s="111"/>
    </row>
    <row r="297" spans="1:3" ht="13.2">
      <c r="A297" s="53"/>
      <c r="C297" s="111"/>
    </row>
    <row r="298" spans="1:3" ht="13.2">
      <c r="A298" s="53"/>
      <c r="C298" s="111"/>
    </row>
    <row r="299" spans="1:3" ht="13.2">
      <c r="A299" s="53"/>
      <c r="C299" s="111"/>
    </row>
    <row r="300" spans="1:3" ht="13.2">
      <c r="A300" s="53"/>
      <c r="C300" s="111"/>
    </row>
    <row r="301" spans="1:3" ht="13.2">
      <c r="A301" s="53"/>
      <c r="C301" s="111"/>
    </row>
    <row r="302" spans="1:3" ht="13.2">
      <c r="A302" s="53"/>
      <c r="C302" s="111"/>
    </row>
    <row r="303" spans="1:3" ht="13.2">
      <c r="A303" s="53"/>
      <c r="C303" s="111"/>
    </row>
    <row r="304" spans="1:3" ht="13.2">
      <c r="A304" s="53"/>
      <c r="C304" s="111"/>
    </row>
    <row r="305" spans="1:3" ht="13.2">
      <c r="A305" s="53"/>
      <c r="C305" s="111"/>
    </row>
    <row r="306" spans="1:3" ht="13.2">
      <c r="A306" s="53"/>
      <c r="C306" s="111"/>
    </row>
    <row r="307" spans="1:3" ht="13.2">
      <c r="A307" s="53"/>
      <c r="C307" s="111"/>
    </row>
    <row r="308" spans="1:3" ht="13.2">
      <c r="A308" s="53"/>
      <c r="C308" s="111"/>
    </row>
    <row r="309" spans="1:3" ht="13.2">
      <c r="A309" s="53"/>
      <c r="C309" s="111"/>
    </row>
    <row r="310" spans="1:3" ht="13.2">
      <c r="A310" s="53"/>
      <c r="C310" s="111"/>
    </row>
    <row r="311" spans="1:3" ht="13.2">
      <c r="A311" s="53"/>
      <c r="C311" s="111"/>
    </row>
    <row r="312" spans="1:3" ht="13.2">
      <c r="A312" s="53"/>
      <c r="C312" s="111"/>
    </row>
    <row r="313" spans="1:3" ht="13.2">
      <c r="A313" s="53"/>
      <c r="C313" s="111"/>
    </row>
    <row r="314" spans="1:3" ht="13.2">
      <c r="A314" s="53"/>
      <c r="C314" s="111"/>
    </row>
    <row r="315" spans="1:3" ht="13.2">
      <c r="A315" s="53"/>
      <c r="C315" s="111"/>
    </row>
    <row r="316" spans="1:3" ht="13.2">
      <c r="A316" s="53"/>
      <c r="C316" s="111"/>
    </row>
    <row r="317" spans="1:3" ht="13.2">
      <c r="A317" s="53"/>
      <c r="C317" s="111"/>
    </row>
    <row r="318" spans="1:3" ht="13.2">
      <c r="A318" s="53"/>
      <c r="C318" s="111"/>
    </row>
    <row r="319" spans="1:3" ht="13.2">
      <c r="A319" s="53"/>
      <c r="C319" s="111"/>
    </row>
    <row r="320" spans="1:3" ht="13.2">
      <c r="A320" s="53"/>
      <c r="C320" s="111"/>
    </row>
    <row r="321" spans="1:3" ht="13.2">
      <c r="A321" s="53"/>
      <c r="C321" s="111"/>
    </row>
    <row r="322" spans="1:3" ht="13.2">
      <c r="A322" s="53"/>
      <c r="C322" s="111"/>
    </row>
    <row r="323" spans="1:3" ht="13.2">
      <c r="A323" s="53"/>
      <c r="C323" s="111"/>
    </row>
    <row r="324" spans="1:3" ht="13.2">
      <c r="A324" s="53"/>
      <c r="C324" s="111"/>
    </row>
    <row r="325" spans="1:3" ht="13.2">
      <c r="A325" s="53"/>
      <c r="C325" s="111"/>
    </row>
    <row r="326" spans="1:3" ht="13.2">
      <c r="A326" s="53"/>
      <c r="C326" s="111"/>
    </row>
    <row r="327" spans="1:3" ht="13.2">
      <c r="A327" s="53"/>
      <c r="C327" s="111"/>
    </row>
    <row r="328" spans="1:3" ht="13.2">
      <c r="A328" s="53"/>
      <c r="C328" s="111"/>
    </row>
    <row r="329" spans="1:3" ht="13.2">
      <c r="A329" s="53"/>
      <c r="C329" s="111"/>
    </row>
    <row r="330" spans="1:3" ht="13.2">
      <c r="A330" s="53"/>
      <c r="C330" s="111"/>
    </row>
    <row r="331" spans="1:3" ht="13.2">
      <c r="A331" s="53"/>
      <c r="C331" s="111"/>
    </row>
    <row r="332" spans="1:3" ht="13.2">
      <c r="A332" s="53"/>
      <c r="C332" s="111"/>
    </row>
    <row r="333" spans="1:3" ht="13.2">
      <c r="A333" s="53"/>
      <c r="C333" s="111"/>
    </row>
    <row r="334" spans="1:3" ht="13.2">
      <c r="A334" s="53"/>
      <c r="C334" s="111"/>
    </row>
    <row r="335" spans="1:3" ht="13.2">
      <c r="A335" s="53"/>
      <c r="C335" s="111"/>
    </row>
    <row r="336" spans="1:3" ht="13.2">
      <c r="A336" s="53"/>
      <c r="C336" s="111"/>
    </row>
    <row r="337" spans="1:3" ht="13.2">
      <c r="A337" s="53"/>
      <c r="C337" s="111"/>
    </row>
    <row r="338" spans="1:3" ht="13.2">
      <c r="A338" s="53"/>
      <c r="C338" s="111"/>
    </row>
    <row r="339" spans="1:3" ht="13.2">
      <c r="A339" s="53"/>
      <c r="C339" s="111"/>
    </row>
    <row r="340" spans="1:3" ht="13.2">
      <c r="A340" s="53"/>
      <c r="C340" s="111"/>
    </row>
    <row r="341" spans="1:3" ht="13.2">
      <c r="A341" s="53"/>
      <c r="C341" s="111"/>
    </row>
    <row r="342" spans="1:3" ht="13.2">
      <c r="A342" s="53"/>
      <c r="C342" s="111"/>
    </row>
    <row r="343" spans="1:3" ht="13.2">
      <c r="A343" s="53"/>
      <c r="C343" s="111"/>
    </row>
    <row r="344" spans="1:3" ht="13.2">
      <c r="A344" s="53"/>
      <c r="C344" s="111"/>
    </row>
    <row r="345" spans="1:3" ht="13.2">
      <c r="A345" s="53"/>
      <c r="C345" s="111"/>
    </row>
    <row r="346" spans="1:3" ht="13.2">
      <c r="A346" s="53"/>
      <c r="C346" s="111"/>
    </row>
    <row r="347" spans="1:3" ht="13.2">
      <c r="A347" s="53"/>
      <c r="C347" s="111"/>
    </row>
    <row r="348" spans="1:3" ht="13.2">
      <c r="A348" s="53"/>
      <c r="C348" s="111"/>
    </row>
    <row r="349" spans="1:3" ht="13.2">
      <c r="A349" s="53"/>
      <c r="C349" s="111"/>
    </row>
    <row r="350" spans="1:3" ht="13.2">
      <c r="A350" s="53"/>
      <c r="C350" s="111"/>
    </row>
    <row r="351" spans="1:3" ht="13.2">
      <c r="A351" s="53"/>
      <c r="C351" s="111"/>
    </row>
    <row r="352" spans="1:3" ht="13.2">
      <c r="A352" s="53"/>
      <c r="C352" s="111"/>
    </row>
    <row r="353" spans="1:3" ht="13.2">
      <c r="A353" s="53"/>
      <c r="C353" s="111"/>
    </row>
    <row r="354" spans="1:3" ht="13.2">
      <c r="A354" s="53"/>
      <c r="C354" s="111"/>
    </row>
    <row r="355" spans="1:3" ht="13.2">
      <c r="A355" s="53"/>
      <c r="C355" s="111"/>
    </row>
    <row r="356" spans="1:3" ht="13.2">
      <c r="A356" s="53"/>
      <c r="C356" s="111"/>
    </row>
    <row r="357" spans="1:3" ht="13.2">
      <c r="A357" s="53"/>
      <c r="C357" s="111"/>
    </row>
    <row r="358" spans="1:3" ht="13.2">
      <c r="A358" s="53"/>
      <c r="C358" s="111"/>
    </row>
    <row r="359" spans="1:3" ht="13.2">
      <c r="A359" s="53"/>
      <c r="C359" s="111"/>
    </row>
    <row r="360" spans="1:3" ht="13.2">
      <c r="A360" s="53"/>
      <c r="C360" s="111"/>
    </row>
    <row r="361" spans="1:3" ht="13.2">
      <c r="A361" s="53"/>
      <c r="C361" s="111"/>
    </row>
    <row r="362" spans="1:3" ht="13.2">
      <c r="A362" s="53"/>
      <c r="C362" s="111"/>
    </row>
    <row r="363" spans="1:3" ht="13.2">
      <c r="A363" s="53"/>
      <c r="C363" s="111"/>
    </row>
    <row r="364" spans="1:3" ht="13.2">
      <c r="A364" s="53"/>
      <c r="C364" s="111"/>
    </row>
    <row r="365" spans="1:3" ht="13.2">
      <c r="A365" s="53"/>
      <c r="C365" s="111"/>
    </row>
    <row r="366" spans="1:3" ht="13.2">
      <c r="A366" s="53"/>
      <c r="C366" s="111"/>
    </row>
    <row r="367" spans="1:3" ht="13.2">
      <c r="A367" s="53"/>
      <c r="C367" s="111"/>
    </row>
    <row r="368" spans="1:3" ht="13.2">
      <c r="A368" s="53"/>
      <c r="C368" s="111"/>
    </row>
    <row r="369" spans="1:3" ht="13.2">
      <c r="A369" s="53"/>
      <c r="C369" s="111"/>
    </row>
    <row r="370" spans="1:3" ht="13.2">
      <c r="A370" s="53"/>
      <c r="C370" s="111"/>
    </row>
    <row r="371" spans="1:3" ht="13.2">
      <c r="A371" s="53"/>
      <c r="C371" s="111"/>
    </row>
    <row r="372" spans="1:3" ht="13.2">
      <c r="A372" s="53"/>
      <c r="C372" s="111"/>
    </row>
    <row r="373" spans="1:3" ht="13.2">
      <c r="A373" s="53"/>
      <c r="C373" s="111"/>
    </row>
    <row r="374" spans="1:3" ht="13.2">
      <c r="A374" s="53"/>
      <c r="C374" s="111"/>
    </row>
    <row r="375" spans="1:3" ht="13.2">
      <c r="A375" s="53"/>
      <c r="C375" s="111"/>
    </row>
    <row r="376" spans="1:3" ht="13.2">
      <c r="A376" s="53"/>
      <c r="C376" s="111"/>
    </row>
    <row r="377" spans="1:3" ht="13.2">
      <c r="A377" s="53"/>
      <c r="C377" s="111"/>
    </row>
    <row r="378" spans="1:3" ht="13.2">
      <c r="A378" s="53"/>
      <c r="C378" s="111"/>
    </row>
    <row r="379" spans="1:3" ht="13.2">
      <c r="A379" s="53"/>
      <c r="C379" s="111"/>
    </row>
    <row r="380" spans="1:3" ht="13.2">
      <c r="A380" s="53"/>
      <c r="C380" s="111"/>
    </row>
    <row r="381" spans="1:3" ht="13.2">
      <c r="A381" s="53"/>
      <c r="C381" s="111"/>
    </row>
    <row r="382" spans="1:3" ht="13.2">
      <c r="A382" s="53"/>
      <c r="C382" s="111"/>
    </row>
    <row r="383" spans="1:3" ht="13.2">
      <c r="A383" s="53"/>
      <c r="C383" s="111"/>
    </row>
    <row r="384" spans="1:3" ht="13.2">
      <c r="A384" s="53"/>
      <c r="C384" s="111"/>
    </row>
    <row r="385" spans="1:3" ht="13.2">
      <c r="A385" s="53"/>
      <c r="C385" s="111"/>
    </row>
    <row r="386" spans="1:3" ht="13.2">
      <c r="A386" s="53"/>
      <c r="C386" s="111"/>
    </row>
    <row r="387" spans="1:3" ht="13.2">
      <c r="A387" s="53"/>
      <c r="C387" s="111"/>
    </row>
    <row r="388" spans="1:3" ht="13.2">
      <c r="A388" s="53"/>
      <c r="C388" s="111"/>
    </row>
    <row r="389" spans="1:3" ht="13.2">
      <c r="A389" s="53"/>
      <c r="C389" s="111"/>
    </row>
    <row r="390" spans="1:3" ht="13.2">
      <c r="A390" s="53"/>
      <c r="C390" s="111"/>
    </row>
    <row r="391" spans="1:3" ht="13.2">
      <c r="A391" s="53"/>
      <c r="C391" s="111"/>
    </row>
    <row r="392" spans="1:3" ht="13.2">
      <c r="A392" s="53"/>
      <c r="C392" s="111"/>
    </row>
    <row r="393" spans="1:3" ht="13.2">
      <c r="A393" s="53"/>
      <c r="C393" s="111"/>
    </row>
    <row r="394" spans="1:3" ht="13.2">
      <c r="A394" s="53"/>
      <c r="C394" s="111"/>
    </row>
    <row r="395" spans="1:3" ht="13.2">
      <c r="A395" s="53"/>
      <c r="C395" s="111"/>
    </row>
    <row r="396" spans="1:3" ht="13.2">
      <c r="A396" s="53"/>
      <c r="C396" s="111"/>
    </row>
    <row r="397" spans="1:3" ht="13.2">
      <c r="A397" s="53"/>
      <c r="C397" s="111"/>
    </row>
    <row r="398" spans="1:3" ht="13.2">
      <c r="A398" s="53"/>
      <c r="C398" s="111"/>
    </row>
    <row r="399" spans="1:3" ht="13.2">
      <c r="A399" s="53"/>
      <c r="C399" s="111"/>
    </row>
    <row r="400" spans="1:3" ht="13.2">
      <c r="A400" s="53"/>
      <c r="C400" s="111"/>
    </row>
    <row r="401" spans="1:3" ht="13.2">
      <c r="A401" s="53"/>
      <c r="C401" s="111"/>
    </row>
    <row r="402" spans="1:3" ht="13.2">
      <c r="A402" s="53"/>
      <c r="C402" s="111"/>
    </row>
    <row r="403" spans="1:3" ht="13.2">
      <c r="A403" s="53"/>
      <c r="C403" s="111"/>
    </row>
    <row r="404" spans="1:3" ht="13.2">
      <c r="A404" s="53"/>
      <c r="C404" s="111"/>
    </row>
    <row r="405" spans="1:3" ht="13.2">
      <c r="A405" s="53"/>
      <c r="C405" s="111"/>
    </row>
    <row r="406" spans="1:3" ht="13.2">
      <c r="A406" s="53"/>
      <c r="C406" s="111"/>
    </row>
    <row r="407" spans="1:3" ht="13.2">
      <c r="A407" s="53"/>
      <c r="C407" s="111"/>
    </row>
    <row r="408" spans="1:3" ht="13.2">
      <c r="A408" s="53"/>
      <c r="C408" s="111"/>
    </row>
    <row r="409" spans="1:3" ht="13.2">
      <c r="A409" s="53"/>
      <c r="C409" s="111"/>
    </row>
    <row r="410" spans="1:3" ht="13.2">
      <c r="A410" s="53"/>
      <c r="C410" s="111"/>
    </row>
    <row r="411" spans="1:3" ht="13.2">
      <c r="A411" s="53"/>
      <c r="C411" s="111"/>
    </row>
    <row r="412" spans="1:3" ht="13.2">
      <c r="A412" s="53"/>
      <c r="C412" s="111"/>
    </row>
    <row r="413" spans="1:3" ht="13.2">
      <c r="A413" s="53"/>
      <c r="C413" s="111"/>
    </row>
    <row r="414" spans="1:3" ht="13.2">
      <c r="A414" s="53"/>
      <c r="C414" s="111"/>
    </row>
    <row r="415" spans="1:3" ht="13.2">
      <c r="A415" s="53"/>
      <c r="C415" s="111"/>
    </row>
    <row r="416" spans="1:3" ht="13.2">
      <c r="A416" s="53"/>
      <c r="C416" s="111"/>
    </row>
    <row r="417" spans="1:3" ht="13.2">
      <c r="A417" s="53"/>
      <c r="C417" s="111"/>
    </row>
    <row r="418" spans="1:3" ht="13.2">
      <c r="A418" s="53"/>
      <c r="C418" s="111"/>
    </row>
    <row r="419" spans="1:3" ht="13.2">
      <c r="A419" s="53"/>
      <c r="C419" s="111"/>
    </row>
    <row r="420" spans="1:3" ht="13.2">
      <c r="A420" s="53"/>
      <c r="C420" s="111"/>
    </row>
    <row r="421" spans="1:3" ht="13.2">
      <c r="A421" s="53"/>
      <c r="C421" s="111"/>
    </row>
    <row r="422" spans="1:3" ht="13.2">
      <c r="A422" s="53"/>
      <c r="C422" s="111"/>
    </row>
    <row r="423" spans="1:3" ht="13.2">
      <c r="A423" s="53"/>
      <c r="C423" s="111"/>
    </row>
    <row r="424" spans="1:3" ht="13.2">
      <c r="A424" s="53"/>
      <c r="C424" s="111"/>
    </row>
    <row r="425" spans="1:3" ht="13.2">
      <c r="A425" s="53"/>
      <c r="C425" s="111"/>
    </row>
    <row r="426" spans="1:3" ht="13.2">
      <c r="A426" s="53"/>
      <c r="C426" s="111"/>
    </row>
    <row r="427" spans="1:3" ht="13.2">
      <c r="A427" s="53"/>
      <c r="C427" s="111"/>
    </row>
    <row r="428" spans="1:3" ht="13.2">
      <c r="A428" s="53"/>
      <c r="C428" s="111"/>
    </row>
    <row r="429" spans="1:3" ht="13.2">
      <c r="A429" s="53"/>
      <c r="C429" s="111"/>
    </row>
    <row r="430" spans="1:3" ht="13.2">
      <c r="A430" s="53"/>
      <c r="C430" s="111"/>
    </row>
    <row r="431" spans="1:3" ht="13.2">
      <c r="A431" s="53"/>
      <c r="C431" s="111"/>
    </row>
    <row r="432" spans="1:3" ht="13.2">
      <c r="A432" s="53"/>
      <c r="C432" s="111"/>
    </row>
    <row r="433" spans="1:3" ht="13.2">
      <c r="A433" s="53"/>
      <c r="C433" s="111"/>
    </row>
    <row r="434" spans="1:3" ht="13.2">
      <c r="A434" s="53"/>
      <c r="C434" s="111"/>
    </row>
    <row r="435" spans="1:3" ht="13.2">
      <c r="A435" s="53"/>
      <c r="C435" s="111"/>
    </row>
    <row r="436" spans="1:3" ht="13.2">
      <c r="A436" s="53"/>
      <c r="C436" s="111"/>
    </row>
    <row r="437" spans="1:3" ht="13.2">
      <c r="A437" s="53"/>
      <c r="C437" s="111"/>
    </row>
    <row r="438" spans="1:3" ht="13.2">
      <c r="A438" s="53"/>
      <c r="C438" s="111"/>
    </row>
    <row r="439" spans="1:3" ht="13.2">
      <c r="A439" s="53"/>
      <c r="C439" s="111"/>
    </row>
    <row r="440" spans="1:3" ht="13.2">
      <c r="A440" s="53"/>
      <c r="C440" s="111"/>
    </row>
    <row r="441" spans="1:3" ht="13.2">
      <c r="A441" s="53"/>
      <c r="C441" s="111"/>
    </row>
    <row r="442" spans="1:3" ht="13.2">
      <c r="A442" s="53"/>
      <c r="C442" s="111"/>
    </row>
    <row r="443" spans="1:3" ht="13.2">
      <c r="A443" s="53"/>
      <c r="C443" s="111"/>
    </row>
    <row r="444" spans="1:3" ht="13.2">
      <c r="A444" s="53"/>
      <c r="C444" s="111"/>
    </row>
    <row r="445" spans="1:3" ht="13.2">
      <c r="A445" s="53"/>
      <c r="C445" s="111"/>
    </row>
    <row r="446" spans="1:3" ht="13.2">
      <c r="A446" s="53"/>
      <c r="C446" s="111"/>
    </row>
    <row r="447" spans="1:3" ht="13.2">
      <c r="A447" s="53"/>
      <c r="C447" s="111"/>
    </row>
    <row r="448" spans="1:3" ht="13.2">
      <c r="A448" s="53"/>
      <c r="C448" s="111"/>
    </row>
    <row r="449" spans="1:3" ht="13.2">
      <c r="A449" s="53"/>
      <c r="C449" s="111"/>
    </row>
    <row r="450" spans="1:3" ht="13.2">
      <c r="A450" s="53"/>
      <c r="C450" s="111"/>
    </row>
    <row r="451" spans="1:3" ht="13.2">
      <c r="A451" s="53"/>
      <c r="C451" s="111"/>
    </row>
    <row r="452" spans="1:3" ht="13.2">
      <c r="A452" s="53"/>
      <c r="C452" s="111"/>
    </row>
    <row r="453" spans="1:3" ht="13.2">
      <c r="A453" s="53"/>
      <c r="C453" s="111"/>
    </row>
    <row r="454" spans="1:3" ht="13.2">
      <c r="A454" s="53"/>
      <c r="C454" s="111"/>
    </row>
    <row r="455" spans="1:3" ht="13.2">
      <c r="A455" s="53"/>
      <c r="C455" s="111"/>
    </row>
    <row r="456" spans="1:3" ht="13.2">
      <c r="A456" s="53"/>
      <c r="C456" s="111"/>
    </row>
    <row r="457" spans="1:3" ht="13.2">
      <c r="A457" s="53"/>
      <c r="C457" s="111"/>
    </row>
    <row r="458" spans="1:3" ht="13.2">
      <c r="A458" s="53"/>
      <c r="C458" s="111"/>
    </row>
    <row r="459" spans="1:3" ht="13.2">
      <c r="A459" s="53"/>
      <c r="C459" s="111"/>
    </row>
    <row r="460" spans="1:3" ht="13.2">
      <c r="A460" s="53"/>
      <c r="C460" s="111"/>
    </row>
    <row r="461" spans="1:3" ht="13.2">
      <c r="A461" s="53"/>
      <c r="C461" s="111"/>
    </row>
    <row r="462" spans="1:3" ht="13.2">
      <c r="A462" s="53"/>
      <c r="C462" s="111"/>
    </row>
    <row r="463" spans="1:3" ht="13.2">
      <c r="A463" s="53"/>
      <c r="C463" s="111"/>
    </row>
    <row r="464" spans="1:3" ht="13.2">
      <c r="A464" s="53"/>
      <c r="C464" s="111"/>
    </row>
    <row r="465" spans="1:3" ht="13.2">
      <c r="A465" s="53"/>
      <c r="C465" s="111"/>
    </row>
    <row r="466" spans="1:3" ht="13.2">
      <c r="A466" s="53"/>
      <c r="C466" s="111"/>
    </row>
    <row r="467" spans="1:3" ht="13.2">
      <c r="A467" s="53"/>
      <c r="C467" s="111"/>
    </row>
    <row r="468" spans="1:3" ht="13.2">
      <c r="A468" s="53"/>
      <c r="C468" s="111"/>
    </row>
    <row r="469" spans="1:3" ht="13.2">
      <c r="A469" s="53"/>
      <c r="C469" s="111"/>
    </row>
    <row r="470" spans="1:3" ht="13.2">
      <c r="A470" s="53"/>
      <c r="C470" s="111"/>
    </row>
    <row r="471" spans="1:3" ht="13.2">
      <c r="A471" s="53"/>
      <c r="C471" s="111"/>
    </row>
    <row r="472" spans="1:3" ht="13.2">
      <c r="A472" s="53"/>
      <c r="C472" s="111"/>
    </row>
    <row r="473" spans="1:3" ht="13.2">
      <c r="A473" s="53"/>
      <c r="C473" s="111"/>
    </row>
    <row r="474" spans="1:3" ht="13.2">
      <c r="A474" s="53"/>
      <c r="C474" s="111"/>
    </row>
    <row r="475" spans="1:3" ht="13.2">
      <c r="A475" s="53"/>
      <c r="C475" s="111"/>
    </row>
    <row r="476" spans="1:3" ht="13.2">
      <c r="A476" s="53"/>
      <c r="C476" s="111"/>
    </row>
    <row r="477" spans="1:3" ht="13.2">
      <c r="A477" s="53"/>
      <c r="C477" s="111"/>
    </row>
    <row r="478" spans="1:3" ht="13.2">
      <c r="A478" s="53"/>
      <c r="C478" s="111"/>
    </row>
    <row r="479" spans="1:3" ht="13.2">
      <c r="A479" s="53"/>
      <c r="C479" s="111"/>
    </row>
    <row r="480" spans="1:3" ht="13.2">
      <c r="A480" s="53"/>
      <c r="C480" s="111"/>
    </row>
    <row r="481" spans="1:3" ht="13.2">
      <c r="A481" s="53"/>
      <c r="C481" s="111"/>
    </row>
    <row r="482" spans="1:3" ht="13.2">
      <c r="A482" s="53"/>
      <c r="C482" s="111"/>
    </row>
    <row r="483" spans="1:3" ht="13.2">
      <c r="A483" s="53"/>
      <c r="C483" s="111"/>
    </row>
    <row r="484" spans="1:3" ht="13.2">
      <c r="A484" s="53"/>
      <c r="C484" s="111"/>
    </row>
    <row r="485" spans="1:3" ht="13.2">
      <c r="A485" s="53"/>
      <c r="C485" s="111"/>
    </row>
    <row r="486" spans="1:3" ht="13.2">
      <c r="A486" s="53"/>
      <c r="C486" s="111"/>
    </row>
    <row r="487" spans="1:3" ht="13.2">
      <c r="A487" s="53"/>
      <c r="C487" s="111"/>
    </row>
    <row r="488" spans="1:3" ht="13.2">
      <c r="A488" s="53"/>
      <c r="C488" s="111"/>
    </row>
    <row r="489" spans="1:3" ht="13.2">
      <c r="A489" s="53"/>
      <c r="C489" s="111"/>
    </row>
    <row r="490" spans="1:3" ht="13.2">
      <c r="A490" s="53"/>
      <c r="C490" s="111"/>
    </row>
    <row r="491" spans="1:3" ht="13.2">
      <c r="A491" s="53"/>
      <c r="C491" s="111"/>
    </row>
    <row r="492" spans="1:3" ht="13.2">
      <c r="A492" s="53"/>
      <c r="C492" s="111"/>
    </row>
    <row r="493" spans="1:3" ht="13.2">
      <c r="A493" s="53"/>
      <c r="C493" s="111"/>
    </row>
    <row r="494" spans="1:3" ht="13.2">
      <c r="A494" s="53"/>
      <c r="C494" s="111"/>
    </row>
    <row r="495" spans="1:3" ht="13.2">
      <c r="A495" s="53"/>
      <c r="C495" s="111"/>
    </row>
    <row r="496" spans="1:3" ht="13.2">
      <c r="A496" s="53"/>
      <c r="C496" s="111"/>
    </row>
    <row r="497" spans="1:3" ht="13.2">
      <c r="A497" s="53"/>
      <c r="C497" s="111"/>
    </row>
    <row r="498" spans="1:3" ht="13.2">
      <c r="A498" s="53"/>
      <c r="C498" s="111"/>
    </row>
    <row r="499" spans="1:3" ht="13.2">
      <c r="A499" s="53"/>
      <c r="C499" s="111"/>
    </row>
    <row r="500" spans="1:3" ht="13.2">
      <c r="A500" s="53"/>
      <c r="C500" s="111"/>
    </row>
    <row r="501" spans="1:3" ht="13.2">
      <c r="A501" s="53"/>
      <c r="C501" s="111"/>
    </row>
    <row r="502" spans="1:3" ht="13.2">
      <c r="A502" s="53"/>
      <c r="C502" s="111"/>
    </row>
    <row r="503" spans="1:3" ht="13.2">
      <c r="A503" s="53"/>
      <c r="C503" s="111"/>
    </row>
    <row r="504" spans="1:3" ht="13.2">
      <c r="A504" s="53"/>
      <c r="C504" s="111"/>
    </row>
    <row r="505" spans="1:3" ht="13.2">
      <c r="A505" s="53"/>
      <c r="C505" s="111"/>
    </row>
    <row r="506" spans="1:3" ht="13.2">
      <c r="A506" s="53"/>
      <c r="C506" s="111"/>
    </row>
    <row r="507" spans="1:3" ht="13.2">
      <c r="A507" s="53"/>
      <c r="C507" s="111"/>
    </row>
    <row r="508" spans="1:3" ht="13.2">
      <c r="A508" s="53"/>
      <c r="C508" s="111"/>
    </row>
    <row r="509" spans="1:3" ht="13.2">
      <c r="A509" s="53"/>
      <c r="C509" s="111"/>
    </row>
    <row r="510" spans="1:3" ht="13.2">
      <c r="A510" s="53"/>
      <c r="C510" s="111"/>
    </row>
    <row r="511" spans="1:3" ht="13.2">
      <c r="A511" s="53"/>
      <c r="C511" s="111"/>
    </row>
    <row r="512" spans="1:3" ht="13.2">
      <c r="A512" s="53"/>
      <c r="C512" s="111"/>
    </row>
    <row r="513" spans="1:3" ht="13.2">
      <c r="A513" s="53"/>
      <c r="C513" s="111"/>
    </row>
    <row r="514" spans="1:3" ht="13.2">
      <c r="A514" s="53"/>
      <c r="C514" s="111"/>
    </row>
    <row r="515" spans="1:3" ht="13.2">
      <c r="A515" s="53"/>
      <c r="C515" s="111"/>
    </row>
    <row r="516" spans="1:3" ht="13.2">
      <c r="A516" s="53"/>
      <c r="C516" s="111"/>
    </row>
    <row r="517" spans="1:3" ht="13.2">
      <c r="A517" s="53"/>
      <c r="C517" s="111"/>
    </row>
    <row r="518" spans="1:3" ht="13.2">
      <c r="A518" s="53"/>
      <c r="C518" s="111"/>
    </row>
    <row r="519" spans="1:3" ht="13.2">
      <c r="A519" s="53"/>
      <c r="C519" s="111"/>
    </row>
    <row r="520" spans="1:3" ht="13.2">
      <c r="A520" s="53"/>
      <c r="C520" s="111"/>
    </row>
    <row r="521" spans="1:3" ht="13.2">
      <c r="A521" s="53"/>
      <c r="C521" s="111"/>
    </row>
    <row r="522" spans="1:3" ht="13.2">
      <c r="A522" s="53"/>
      <c r="C522" s="111"/>
    </row>
    <row r="523" spans="1:3" ht="13.2">
      <c r="A523" s="53"/>
      <c r="C523" s="111"/>
    </row>
    <row r="524" spans="1:3" ht="13.2">
      <c r="A524" s="53"/>
      <c r="C524" s="111"/>
    </row>
    <row r="525" spans="1:3" ht="13.2">
      <c r="A525" s="53"/>
      <c r="C525" s="111"/>
    </row>
    <row r="526" spans="1:3" ht="13.2">
      <c r="A526" s="53"/>
      <c r="C526" s="111"/>
    </row>
    <row r="527" spans="1:3" ht="13.2">
      <c r="A527" s="53"/>
      <c r="C527" s="111"/>
    </row>
    <row r="528" spans="1:3" ht="13.2">
      <c r="A528" s="53"/>
      <c r="C528" s="111"/>
    </row>
    <row r="529" spans="1:3" ht="13.2">
      <c r="A529" s="53"/>
      <c r="C529" s="111"/>
    </row>
    <row r="530" spans="1:3" ht="13.2">
      <c r="A530" s="53"/>
      <c r="C530" s="111"/>
    </row>
    <row r="531" spans="1:3" ht="13.2">
      <c r="A531" s="53"/>
      <c r="C531" s="111"/>
    </row>
    <row r="532" spans="1:3" ht="13.2">
      <c r="A532" s="53"/>
      <c r="C532" s="111"/>
    </row>
    <row r="533" spans="1:3" ht="13.2">
      <c r="A533" s="53"/>
      <c r="C533" s="111"/>
    </row>
    <row r="534" spans="1:3" ht="13.2">
      <c r="A534" s="53"/>
      <c r="C534" s="111"/>
    </row>
    <row r="535" spans="1:3" ht="13.2">
      <c r="A535" s="53"/>
      <c r="C535" s="111"/>
    </row>
    <row r="536" spans="1:3" ht="13.2">
      <c r="A536" s="53"/>
      <c r="C536" s="111"/>
    </row>
    <row r="537" spans="1:3" ht="13.2">
      <c r="A537" s="53"/>
      <c r="C537" s="111"/>
    </row>
    <row r="538" spans="1:3" ht="13.2">
      <c r="A538" s="53"/>
      <c r="C538" s="111"/>
    </row>
    <row r="539" spans="1:3" ht="13.2">
      <c r="A539" s="53"/>
      <c r="C539" s="111"/>
    </row>
    <row r="540" spans="1:3" ht="13.2">
      <c r="A540" s="53"/>
      <c r="C540" s="111"/>
    </row>
    <row r="541" spans="1:3" ht="13.2">
      <c r="A541" s="53"/>
      <c r="C541" s="111"/>
    </row>
    <row r="542" spans="1:3" ht="13.2">
      <c r="A542" s="53"/>
      <c r="C542" s="111"/>
    </row>
    <row r="543" spans="1:3" ht="13.2">
      <c r="A543" s="53"/>
      <c r="C543" s="111"/>
    </row>
    <row r="544" spans="1:3" ht="13.2">
      <c r="A544" s="53"/>
      <c r="C544" s="111"/>
    </row>
    <row r="545" spans="1:3" ht="13.2">
      <c r="A545" s="53"/>
      <c r="C545" s="111"/>
    </row>
    <row r="546" spans="1:3" ht="13.2">
      <c r="A546" s="53"/>
      <c r="C546" s="111"/>
    </row>
    <row r="547" spans="1:3" ht="13.2">
      <c r="A547" s="53"/>
      <c r="C547" s="111"/>
    </row>
    <row r="548" spans="1:3" ht="13.2">
      <c r="A548" s="53"/>
      <c r="C548" s="111"/>
    </row>
    <row r="549" spans="1:3" ht="13.2">
      <c r="A549" s="53"/>
      <c r="C549" s="111"/>
    </row>
    <row r="550" spans="1:3" ht="13.2">
      <c r="A550" s="53"/>
      <c r="C550" s="111"/>
    </row>
    <row r="551" spans="1:3" ht="13.2">
      <c r="A551" s="53"/>
      <c r="C551" s="111"/>
    </row>
    <row r="552" spans="1:3" ht="13.2">
      <c r="A552" s="53"/>
      <c r="C552" s="111"/>
    </row>
    <row r="553" spans="1:3" ht="13.2">
      <c r="A553" s="53"/>
      <c r="C553" s="111"/>
    </row>
    <row r="554" spans="1:3" ht="13.2">
      <c r="A554" s="53"/>
      <c r="C554" s="111"/>
    </row>
    <row r="555" spans="1:3" ht="13.2">
      <c r="A555" s="53"/>
      <c r="C555" s="111"/>
    </row>
    <row r="556" spans="1:3" ht="13.2">
      <c r="A556" s="53"/>
      <c r="C556" s="111"/>
    </row>
    <row r="557" spans="1:3" ht="13.2">
      <c r="A557" s="53"/>
      <c r="C557" s="111"/>
    </row>
    <row r="558" spans="1:3" ht="13.2">
      <c r="A558" s="53"/>
      <c r="C558" s="111"/>
    </row>
    <row r="559" spans="1:3" ht="13.2">
      <c r="A559" s="53"/>
      <c r="C559" s="111"/>
    </row>
    <row r="560" spans="1:3" ht="13.2">
      <c r="A560" s="53"/>
      <c r="C560" s="111"/>
    </row>
    <row r="561" spans="1:3" ht="13.2">
      <c r="A561" s="53"/>
      <c r="C561" s="111"/>
    </row>
    <row r="562" spans="1:3" ht="13.2">
      <c r="A562" s="53"/>
      <c r="C562" s="111"/>
    </row>
    <row r="563" spans="1:3" ht="13.2">
      <c r="A563" s="53"/>
      <c r="C563" s="111"/>
    </row>
    <row r="564" spans="1:3" ht="13.2">
      <c r="A564" s="53"/>
      <c r="C564" s="111"/>
    </row>
    <row r="565" spans="1:3" ht="13.2">
      <c r="A565" s="53"/>
      <c r="C565" s="111"/>
    </row>
    <row r="566" spans="1:3" ht="13.2">
      <c r="A566" s="53"/>
      <c r="C566" s="111"/>
    </row>
    <row r="567" spans="1:3" ht="13.2">
      <c r="A567" s="53"/>
      <c r="C567" s="111"/>
    </row>
    <row r="568" spans="1:3" ht="13.2">
      <c r="A568" s="53"/>
      <c r="C568" s="111"/>
    </row>
    <row r="569" spans="1:3" ht="13.2">
      <c r="A569" s="53"/>
      <c r="C569" s="111"/>
    </row>
    <row r="570" spans="1:3" ht="13.2">
      <c r="A570" s="53"/>
      <c r="C570" s="111"/>
    </row>
    <row r="571" spans="1:3" ht="13.2">
      <c r="A571" s="53"/>
      <c r="C571" s="111"/>
    </row>
    <row r="572" spans="1:3" ht="13.2">
      <c r="A572" s="53"/>
      <c r="C572" s="111"/>
    </row>
    <row r="573" spans="1:3" ht="13.2">
      <c r="A573" s="53"/>
      <c r="C573" s="111"/>
    </row>
    <row r="574" spans="1:3" ht="13.2">
      <c r="A574" s="53"/>
      <c r="C574" s="111"/>
    </row>
    <row r="575" spans="1:3" ht="13.2">
      <c r="A575" s="53"/>
      <c r="C575" s="111"/>
    </row>
    <row r="576" spans="1:3" ht="13.2">
      <c r="A576" s="53"/>
      <c r="C576" s="111"/>
    </row>
    <row r="577" spans="1:3" ht="13.2">
      <c r="A577" s="53"/>
      <c r="C577" s="111"/>
    </row>
    <row r="578" spans="1:3" ht="13.2">
      <c r="A578" s="53"/>
      <c r="C578" s="111"/>
    </row>
    <row r="579" spans="1:3" ht="13.2">
      <c r="A579" s="53"/>
      <c r="C579" s="111"/>
    </row>
    <row r="580" spans="1:3" ht="13.2">
      <c r="A580" s="53"/>
      <c r="C580" s="111"/>
    </row>
    <row r="581" spans="1:3" ht="13.2">
      <c r="A581" s="53"/>
      <c r="C581" s="111"/>
    </row>
    <row r="582" spans="1:3" ht="13.2">
      <c r="A582" s="53"/>
      <c r="C582" s="111"/>
    </row>
    <row r="583" spans="1:3" ht="13.2">
      <c r="A583" s="53"/>
      <c r="C583" s="111"/>
    </row>
    <row r="584" spans="1:3" ht="13.2">
      <c r="A584" s="53"/>
      <c r="C584" s="111"/>
    </row>
    <row r="585" spans="1:3" ht="13.2">
      <c r="A585" s="53"/>
      <c r="C585" s="111"/>
    </row>
    <row r="586" spans="1:3" ht="13.2">
      <c r="A586" s="53"/>
      <c r="C586" s="111"/>
    </row>
    <row r="587" spans="1:3" ht="13.2">
      <c r="A587" s="53"/>
      <c r="C587" s="111"/>
    </row>
    <row r="588" spans="1:3" ht="13.2">
      <c r="A588" s="53"/>
      <c r="C588" s="111"/>
    </row>
    <row r="589" spans="1:3" ht="13.2">
      <c r="A589" s="53"/>
      <c r="C589" s="111"/>
    </row>
    <row r="590" spans="1:3" ht="13.2">
      <c r="A590" s="53"/>
      <c r="C590" s="111"/>
    </row>
    <row r="591" spans="1:3" ht="13.2">
      <c r="A591" s="53"/>
      <c r="C591" s="111"/>
    </row>
    <row r="592" spans="1:3" ht="13.2">
      <c r="A592" s="53"/>
      <c r="C592" s="111"/>
    </row>
    <row r="593" spans="1:3" ht="13.2">
      <c r="A593" s="53"/>
      <c r="C593" s="111"/>
    </row>
    <row r="594" spans="1:3" ht="13.2">
      <c r="A594" s="53"/>
      <c r="C594" s="111"/>
    </row>
    <row r="595" spans="1:3" ht="13.2">
      <c r="A595" s="53"/>
      <c r="C595" s="111"/>
    </row>
    <row r="596" spans="1:3" ht="13.2">
      <c r="A596" s="53"/>
      <c r="C596" s="111"/>
    </row>
    <row r="597" spans="1:3" ht="13.2">
      <c r="A597" s="53"/>
      <c r="C597" s="111"/>
    </row>
    <row r="598" spans="1:3" ht="13.2">
      <c r="A598" s="53"/>
      <c r="C598" s="111"/>
    </row>
    <row r="599" spans="1:3" ht="13.2">
      <c r="A599" s="53"/>
      <c r="C599" s="111"/>
    </row>
    <row r="600" spans="1:3" ht="13.2">
      <c r="A600" s="53"/>
      <c r="C600" s="111"/>
    </row>
    <row r="601" spans="1:3" ht="13.2">
      <c r="A601" s="53"/>
      <c r="C601" s="111"/>
    </row>
    <row r="602" spans="1:3" ht="13.2">
      <c r="A602" s="53"/>
      <c r="C602" s="111"/>
    </row>
    <row r="603" spans="1:3" ht="13.2">
      <c r="A603" s="53"/>
      <c r="C603" s="111"/>
    </row>
    <row r="604" spans="1:3" ht="13.2">
      <c r="A604" s="53"/>
      <c r="C604" s="111"/>
    </row>
    <row r="605" spans="1:3" ht="13.2">
      <c r="A605" s="53"/>
      <c r="C605" s="111"/>
    </row>
    <row r="606" spans="1:3" ht="13.2">
      <c r="A606" s="53"/>
      <c r="C606" s="111"/>
    </row>
    <row r="607" spans="1:3" ht="13.2">
      <c r="A607" s="53"/>
      <c r="C607" s="111"/>
    </row>
    <row r="608" spans="1:3" ht="13.2">
      <c r="A608" s="53"/>
      <c r="C608" s="111"/>
    </row>
    <row r="609" spans="1:3" ht="13.2">
      <c r="A609" s="53"/>
      <c r="C609" s="111"/>
    </row>
    <row r="610" spans="1:3" ht="13.2">
      <c r="A610" s="53"/>
      <c r="C610" s="111"/>
    </row>
    <row r="611" spans="1:3" ht="13.2">
      <c r="A611" s="53"/>
      <c r="C611" s="111"/>
    </row>
    <row r="612" spans="1:3" ht="13.2">
      <c r="A612" s="53"/>
      <c r="C612" s="111"/>
    </row>
    <row r="613" spans="1:3" ht="13.2">
      <c r="A613" s="53"/>
      <c r="C613" s="111"/>
    </row>
    <row r="614" spans="1:3" ht="13.2">
      <c r="A614" s="53"/>
      <c r="C614" s="111"/>
    </row>
    <row r="615" spans="1:3" ht="13.2">
      <c r="A615" s="53"/>
      <c r="C615" s="111"/>
    </row>
    <row r="616" spans="1:3" ht="13.2">
      <c r="A616" s="53"/>
      <c r="C616" s="111"/>
    </row>
    <row r="617" spans="1:3" ht="13.2">
      <c r="A617" s="53"/>
      <c r="C617" s="111"/>
    </row>
    <row r="618" spans="1:3" ht="13.2">
      <c r="A618" s="53"/>
      <c r="C618" s="111"/>
    </row>
    <row r="619" spans="1:3" ht="13.2">
      <c r="A619" s="53"/>
      <c r="C619" s="111"/>
    </row>
    <row r="620" spans="1:3" ht="13.2">
      <c r="A620" s="53"/>
      <c r="C620" s="111"/>
    </row>
    <row r="621" spans="1:3" ht="13.2">
      <c r="A621" s="53"/>
      <c r="C621" s="111"/>
    </row>
    <row r="622" spans="1:3" ht="13.2">
      <c r="A622" s="53"/>
      <c r="C622" s="111"/>
    </row>
    <row r="623" spans="1:3" ht="13.2">
      <c r="A623" s="53"/>
      <c r="C623" s="111"/>
    </row>
    <row r="624" spans="1:3" ht="13.2">
      <c r="A624" s="53"/>
      <c r="C624" s="111"/>
    </row>
    <row r="625" spans="1:3" ht="13.2">
      <c r="A625" s="53"/>
      <c r="C625" s="111"/>
    </row>
    <row r="626" spans="1:3" ht="13.2">
      <c r="A626" s="53"/>
      <c r="C626" s="111"/>
    </row>
    <row r="627" spans="1:3" ht="13.2">
      <c r="A627" s="53"/>
      <c r="C627" s="111"/>
    </row>
    <row r="628" spans="1:3" ht="13.2">
      <c r="A628" s="53"/>
      <c r="C628" s="111"/>
    </row>
    <row r="629" spans="1:3" ht="13.2">
      <c r="A629" s="53"/>
      <c r="C629" s="111"/>
    </row>
    <row r="630" spans="1:3" ht="13.2">
      <c r="A630" s="53"/>
      <c r="C630" s="111"/>
    </row>
    <row r="631" spans="1:3" ht="13.2">
      <c r="A631" s="53"/>
      <c r="C631" s="111"/>
    </row>
    <row r="632" spans="1:3" ht="13.2">
      <c r="A632" s="53"/>
      <c r="C632" s="111"/>
    </row>
    <row r="633" spans="1:3" ht="13.2">
      <c r="A633" s="53"/>
      <c r="C633" s="111"/>
    </row>
    <row r="634" spans="1:3" ht="13.2">
      <c r="A634" s="53"/>
      <c r="C634" s="111"/>
    </row>
    <row r="635" spans="1:3" ht="13.2">
      <c r="A635" s="53"/>
      <c r="C635" s="111"/>
    </row>
    <row r="636" spans="1:3" ht="13.2">
      <c r="A636" s="53"/>
      <c r="C636" s="111"/>
    </row>
    <row r="637" spans="1:3" ht="13.2">
      <c r="A637" s="53"/>
      <c r="C637" s="111"/>
    </row>
    <row r="638" spans="1:3" ht="13.2">
      <c r="A638" s="53"/>
      <c r="C638" s="111"/>
    </row>
    <row r="639" spans="1:3" ht="13.2">
      <c r="A639" s="53"/>
      <c r="C639" s="111"/>
    </row>
    <row r="640" spans="1:3" ht="13.2">
      <c r="A640" s="53"/>
      <c r="C640" s="111"/>
    </row>
    <row r="641" spans="1:3" ht="13.2">
      <c r="A641" s="53"/>
      <c r="C641" s="111"/>
    </row>
    <row r="642" spans="1:3" ht="13.2">
      <c r="A642" s="53"/>
      <c r="C642" s="111"/>
    </row>
    <row r="643" spans="1:3" ht="13.2">
      <c r="A643" s="53"/>
      <c r="C643" s="111"/>
    </row>
    <row r="644" spans="1:3" ht="13.2">
      <c r="A644" s="53"/>
      <c r="C644" s="111"/>
    </row>
    <row r="645" spans="1:3" ht="13.2">
      <c r="A645" s="53"/>
      <c r="C645" s="111"/>
    </row>
    <row r="646" spans="1:3" ht="13.2">
      <c r="A646" s="53"/>
      <c r="C646" s="111"/>
    </row>
    <row r="647" spans="1:3" ht="13.2">
      <c r="A647" s="53"/>
      <c r="C647" s="111"/>
    </row>
    <row r="648" spans="1:3" ht="13.2">
      <c r="A648" s="53"/>
      <c r="C648" s="111"/>
    </row>
    <row r="649" spans="1:3" ht="13.2">
      <c r="A649" s="53"/>
      <c r="C649" s="111"/>
    </row>
    <row r="650" spans="1:3" ht="13.2">
      <c r="A650" s="53"/>
      <c r="C650" s="111"/>
    </row>
    <row r="651" spans="1:3" ht="13.2">
      <c r="A651" s="53"/>
      <c r="C651" s="111"/>
    </row>
    <row r="652" spans="1:3" ht="13.2">
      <c r="A652" s="53"/>
      <c r="C652" s="111"/>
    </row>
    <row r="653" spans="1:3" ht="13.2">
      <c r="A653" s="53"/>
      <c r="C653" s="111"/>
    </row>
    <row r="654" spans="1:3" ht="13.2">
      <c r="A654" s="53"/>
      <c r="C654" s="111"/>
    </row>
    <row r="655" spans="1:3" ht="13.2">
      <c r="A655" s="53"/>
      <c r="C655" s="111"/>
    </row>
    <row r="656" spans="1:3" ht="13.2">
      <c r="A656" s="53"/>
      <c r="C656" s="111"/>
    </row>
    <row r="657" spans="1:3" ht="13.2">
      <c r="A657" s="53"/>
      <c r="C657" s="111"/>
    </row>
    <row r="658" spans="1:3" ht="13.2">
      <c r="A658" s="53"/>
      <c r="C658" s="111"/>
    </row>
    <row r="659" spans="1:3" ht="13.2">
      <c r="A659" s="53"/>
      <c r="C659" s="111"/>
    </row>
    <row r="660" spans="1:3" ht="13.2">
      <c r="A660" s="53"/>
      <c r="C660" s="111"/>
    </row>
    <row r="661" spans="1:3" ht="13.2">
      <c r="A661" s="53"/>
      <c r="C661" s="111"/>
    </row>
    <row r="662" spans="1:3" ht="13.2">
      <c r="A662" s="53"/>
      <c r="C662" s="111"/>
    </row>
    <row r="663" spans="1:3" ht="13.2">
      <c r="A663" s="53"/>
      <c r="C663" s="111"/>
    </row>
    <row r="664" spans="1:3" ht="13.2">
      <c r="A664" s="53"/>
      <c r="C664" s="111"/>
    </row>
    <row r="665" spans="1:3" ht="13.2">
      <c r="A665" s="53"/>
      <c r="C665" s="111"/>
    </row>
    <row r="666" spans="1:3" ht="13.2">
      <c r="A666" s="53"/>
      <c r="C666" s="111"/>
    </row>
    <row r="667" spans="1:3" ht="13.2">
      <c r="A667" s="53"/>
      <c r="C667" s="111"/>
    </row>
    <row r="668" spans="1:3" ht="13.2">
      <c r="A668" s="53"/>
      <c r="C668" s="111"/>
    </row>
    <row r="669" spans="1:3" ht="13.2">
      <c r="A669" s="53"/>
      <c r="C669" s="111"/>
    </row>
    <row r="670" spans="1:3" ht="13.2">
      <c r="A670" s="53"/>
      <c r="C670" s="111"/>
    </row>
    <row r="671" spans="1:3" ht="13.2">
      <c r="A671" s="53"/>
      <c r="C671" s="111"/>
    </row>
    <row r="672" spans="1:3" ht="13.2">
      <c r="A672" s="53"/>
      <c r="C672" s="111"/>
    </row>
    <row r="673" spans="1:3" ht="13.2">
      <c r="A673" s="53"/>
      <c r="C673" s="111"/>
    </row>
    <row r="674" spans="1:3" ht="13.2">
      <c r="A674" s="53"/>
      <c r="C674" s="111"/>
    </row>
    <row r="675" spans="1:3" ht="13.2">
      <c r="A675" s="53"/>
      <c r="C675" s="111"/>
    </row>
    <row r="676" spans="1:3" ht="13.2">
      <c r="A676" s="53"/>
      <c r="C676" s="111"/>
    </row>
    <row r="677" spans="1:3" ht="13.2">
      <c r="A677" s="53"/>
      <c r="C677" s="111"/>
    </row>
    <row r="678" spans="1:3" ht="13.2">
      <c r="A678" s="53"/>
      <c r="C678" s="111"/>
    </row>
    <row r="679" spans="1:3" ht="13.2">
      <c r="A679" s="53"/>
      <c r="C679" s="111"/>
    </row>
    <row r="680" spans="1:3" ht="13.2">
      <c r="A680" s="53"/>
      <c r="C680" s="111"/>
    </row>
    <row r="681" spans="1:3" ht="13.2">
      <c r="A681" s="53"/>
      <c r="C681" s="111"/>
    </row>
    <row r="682" spans="1:3" ht="13.2">
      <c r="A682" s="53"/>
      <c r="C682" s="111"/>
    </row>
    <row r="683" spans="1:3" ht="13.2">
      <c r="A683" s="53"/>
      <c r="C683" s="111"/>
    </row>
    <row r="684" spans="1:3" ht="13.2">
      <c r="A684" s="53"/>
      <c r="C684" s="111"/>
    </row>
    <row r="685" spans="1:3" ht="13.2">
      <c r="A685" s="53"/>
      <c r="C685" s="111"/>
    </row>
    <row r="686" spans="1:3" ht="13.2">
      <c r="A686" s="53"/>
      <c r="C686" s="111"/>
    </row>
    <row r="687" spans="1:3" ht="13.2">
      <c r="A687" s="53"/>
      <c r="C687" s="111"/>
    </row>
    <row r="688" spans="1:3" ht="13.2">
      <c r="A688" s="53"/>
      <c r="C688" s="111"/>
    </row>
    <row r="689" spans="1:3" ht="13.2">
      <c r="A689" s="53"/>
      <c r="C689" s="111"/>
    </row>
    <row r="690" spans="1:3" ht="13.2">
      <c r="A690" s="53"/>
      <c r="C690" s="111"/>
    </row>
    <row r="691" spans="1:3" ht="13.2">
      <c r="A691" s="53"/>
      <c r="C691" s="111"/>
    </row>
    <row r="692" spans="1:3" ht="13.2">
      <c r="A692" s="53"/>
      <c r="C692" s="111"/>
    </row>
    <row r="693" spans="1:3" ht="13.2">
      <c r="A693" s="53"/>
      <c r="C693" s="111"/>
    </row>
    <row r="694" spans="1:3" ht="13.2">
      <c r="A694" s="53"/>
      <c r="C694" s="111"/>
    </row>
    <row r="695" spans="1:3" ht="13.2">
      <c r="A695" s="53"/>
      <c r="C695" s="111"/>
    </row>
    <row r="696" spans="1:3" ht="13.2">
      <c r="A696" s="53"/>
      <c r="C696" s="111"/>
    </row>
    <row r="697" spans="1:3" ht="13.2">
      <c r="A697" s="53"/>
      <c r="C697" s="111"/>
    </row>
    <row r="698" spans="1:3" ht="13.2">
      <c r="A698" s="53"/>
      <c r="C698" s="111"/>
    </row>
    <row r="699" spans="1:3" ht="13.2">
      <c r="A699" s="53"/>
      <c r="C699" s="111"/>
    </row>
    <row r="700" spans="1:3" ht="13.2">
      <c r="A700" s="53"/>
      <c r="C700" s="111"/>
    </row>
    <row r="701" spans="1:3" ht="13.2">
      <c r="A701" s="53"/>
      <c r="C701" s="111"/>
    </row>
    <row r="702" spans="1:3" ht="13.2">
      <c r="A702" s="53"/>
      <c r="C702" s="111"/>
    </row>
    <row r="703" spans="1:3" ht="13.2">
      <c r="A703" s="53"/>
      <c r="C703" s="111"/>
    </row>
    <row r="704" spans="1:3" ht="13.2">
      <c r="A704" s="53"/>
      <c r="C704" s="111"/>
    </row>
    <row r="705" spans="1:3" ht="13.2">
      <c r="A705" s="53"/>
      <c r="C705" s="111"/>
    </row>
    <row r="706" spans="1:3" ht="13.2">
      <c r="A706" s="53"/>
      <c r="C706" s="111"/>
    </row>
    <row r="707" spans="1:3" ht="13.2">
      <c r="A707" s="53"/>
      <c r="C707" s="111"/>
    </row>
    <row r="708" spans="1:3" ht="13.2">
      <c r="A708" s="53"/>
      <c r="C708" s="111"/>
    </row>
    <row r="709" spans="1:3" ht="13.2">
      <c r="A709" s="53"/>
      <c r="C709" s="111"/>
    </row>
    <row r="710" spans="1:3" ht="13.2">
      <c r="A710" s="53"/>
      <c r="C710" s="111"/>
    </row>
    <row r="711" spans="1:3" ht="13.2">
      <c r="A711" s="53"/>
      <c r="C711" s="111"/>
    </row>
    <row r="712" spans="1:3" ht="13.2">
      <c r="A712" s="53"/>
      <c r="C712" s="111"/>
    </row>
    <row r="713" spans="1:3" ht="13.2">
      <c r="A713" s="53"/>
      <c r="C713" s="111"/>
    </row>
    <row r="714" spans="1:3" ht="13.2">
      <c r="A714" s="53"/>
      <c r="C714" s="111"/>
    </row>
    <row r="715" spans="1:3" ht="13.2">
      <c r="A715" s="53"/>
      <c r="C715" s="111"/>
    </row>
    <row r="716" spans="1:3" ht="13.2">
      <c r="A716" s="53"/>
      <c r="C716" s="111"/>
    </row>
    <row r="717" spans="1:3" ht="13.2">
      <c r="A717" s="53"/>
      <c r="C717" s="111"/>
    </row>
    <row r="718" spans="1:3" ht="13.2">
      <c r="A718" s="53"/>
      <c r="C718" s="111"/>
    </row>
    <row r="719" spans="1:3" ht="13.2">
      <c r="A719" s="53"/>
      <c r="C719" s="111"/>
    </row>
    <row r="720" spans="1:3" ht="13.2">
      <c r="A720" s="53"/>
      <c r="C720" s="111"/>
    </row>
    <row r="721" spans="1:3" ht="13.2">
      <c r="A721" s="53"/>
      <c r="C721" s="111"/>
    </row>
    <row r="722" spans="1:3" ht="13.2">
      <c r="A722" s="53"/>
      <c r="C722" s="111"/>
    </row>
    <row r="723" spans="1:3" ht="13.2">
      <c r="A723" s="53"/>
      <c r="C723" s="111"/>
    </row>
    <row r="724" spans="1:3" ht="13.2">
      <c r="A724" s="53"/>
      <c r="C724" s="111"/>
    </row>
    <row r="725" spans="1:3" ht="13.2">
      <c r="A725" s="53"/>
      <c r="C725" s="111"/>
    </row>
    <row r="726" spans="1:3" ht="13.2">
      <c r="A726" s="53"/>
      <c r="C726" s="111"/>
    </row>
    <row r="727" spans="1:3" ht="13.2">
      <c r="A727" s="53"/>
      <c r="C727" s="111"/>
    </row>
    <row r="728" spans="1:3" ht="13.2">
      <c r="A728" s="53"/>
      <c r="C728" s="111"/>
    </row>
    <row r="729" spans="1:3" ht="13.2">
      <c r="A729" s="53"/>
      <c r="C729" s="111"/>
    </row>
    <row r="730" spans="1:3" ht="13.2">
      <c r="A730" s="53"/>
      <c r="C730" s="111"/>
    </row>
    <row r="731" spans="1:3" ht="13.2">
      <c r="A731" s="53"/>
      <c r="C731" s="111"/>
    </row>
    <row r="732" spans="1:3" ht="13.2">
      <c r="A732" s="53"/>
      <c r="C732" s="111"/>
    </row>
    <row r="733" spans="1:3" ht="13.2">
      <c r="A733" s="53"/>
      <c r="C733" s="111"/>
    </row>
    <row r="734" spans="1:3" ht="13.2">
      <c r="A734" s="53"/>
      <c r="C734" s="111"/>
    </row>
    <row r="735" spans="1:3" ht="13.2">
      <c r="A735" s="53"/>
      <c r="C735" s="111"/>
    </row>
    <row r="736" spans="1:3" ht="13.2">
      <c r="A736" s="53"/>
      <c r="C736" s="111"/>
    </row>
    <row r="737" spans="1:3" ht="13.2">
      <c r="A737" s="53"/>
      <c r="C737" s="111"/>
    </row>
    <row r="738" spans="1:3" ht="13.2">
      <c r="A738" s="53"/>
      <c r="C738" s="111"/>
    </row>
    <row r="739" spans="1:3" ht="13.2">
      <c r="A739" s="53"/>
      <c r="C739" s="111"/>
    </row>
    <row r="740" spans="1:3" ht="13.2">
      <c r="A740" s="53"/>
      <c r="C740" s="111"/>
    </row>
    <row r="741" spans="1:3" ht="13.2">
      <c r="A741" s="53"/>
      <c r="C741" s="111"/>
    </row>
    <row r="742" spans="1:3" ht="13.2">
      <c r="A742" s="53"/>
      <c r="C742" s="111"/>
    </row>
    <row r="743" spans="1:3" ht="13.2">
      <c r="A743" s="53"/>
      <c r="C743" s="111"/>
    </row>
    <row r="744" spans="1:3" ht="13.2">
      <c r="A744" s="53"/>
      <c r="C744" s="111"/>
    </row>
    <row r="745" spans="1:3" ht="13.2">
      <c r="A745" s="53"/>
      <c r="C745" s="111"/>
    </row>
    <row r="746" spans="1:3" ht="13.2">
      <c r="A746" s="53"/>
      <c r="C746" s="111"/>
    </row>
    <row r="747" spans="1:3" ht="13.2">
      <c r="A747" s="53"/>
      <c r="C747" s="111"/>
    </row>
    <row r="748" spans="1:3" ht="13.2">
      <c r="A748" s="53"/>
      <c r="C748" s="111"/>
    </row>
    <row r="749" spans="1:3" ht="13.2">
      <c r="A749" s="53"/>
      <c r="C749" s="111"/>
    </row>
    <row r="750" spans="1:3" ht="13.2">
      <c r="A750" s="53"/>
      <c r="C750" s="111"/>
    </row>
    <row r="751" spans="1:3" ht="13.2">
      <c r="A751" s="53"/>
      <c r="C751" s="111"/>
    </row>
    <row r="752" spans="1:3" ht="13.2">
      <c r="A752" s="53"/>
      <c r="C752" s="111"/>
    </row>
    <row r="753" spans="1:3" ht="13.2">
      <c r="A753" s="53"/>
      <c r="C753" s="111"/>
    </row>
    <row r="754" spans="1:3" ht="13.2">
      <c r="A754" s="53"/>
      <c r="C754" s="111"/>
    </row>
    <row r="755" spans="1:3" ht="13.2">
      <c r="A755" s="53"/>
      <c r="C755" s="111"/>
    </row>
    <row r="756" spans="1:3" ht="13.2">
      <c r="A756" s="53"/>
      <c r="C756" s="111"/>
    </row>
    <row r="757" spans="1:3" ht="13.2">
      <c r="A757" s="53"/>
      <c r="C757" s="111"/>
    </row>
    <row r="758" spans="1:3" ht="13.2">
      <c r="A758" s="53"/>
      <c r="C758" s="111"/>
    </row>
    <row r="759" spans="1:3" ht="13.2">
      <c r="A759" s="53"/>
      <c r="C759" s="111"/>
    </row>
    <row r="760" spans="1:3" ht="13.2">
      <c r="A760" s="53"/>
      <c r="C760" s="111"/>
    </row>
    <row r="761" spans="1:3" ht="13.2">
      <c r="A761" s="53"/>
      <c r="C761" s="111"/>
    </row>
    <row r="762" spans="1:3" ht="13.2">
      <c r="A762" s="53"/>
      <c r="C762" s="111"/>
    </row>
    <row r="763" spans="1:3" ht="13.2">
      <c r="A763" s="53"/>
      <c r="C763" s="111"/>
    </row>
    <row r="764" spans="1:3" ht="13.2">
      <c r="A764" s="53"/>
      <c r="C764" s="111"/>
    </row>
    <row r="765" spans="1:3" ht="13.2">
      <c r="A765" s="53"/>
      <c r="C765" s="111"/>
    </row>
    <row r="766" spans="1:3" ht="13.2">
      <c r="A766" s="53"/>
      <c r="C766" s="111"/>
    </row>
    <row r="767" spans="1:3" ht="13.2">
      <c r="A767" s="53"/>
      <c r="C767" s="111"/>
    </row>
    <row r="768" spans="1:3" ht="13.2">
      <c r="A768" s="53"/>
      <c r="C768" s="111"/>
    </row>
    <row r="769" spans="1:3" ht="13.2">
      <c r="A769" s="53"/>
      <c r="C769" s="111"/>
    </row>
    <row r="770" spans="1:3" ht="13.2">
      <c r="A770" s="53"/>
      <c r="C770" s="111"/>
    </row>
    <row r="771" spans="1:3" ht="13.2">
      <c r="A771" s="53"/>
      <c r="C771" s="111"/>
    </row>
    <row r="772" spans="1:3" ht="13.2">
      <c r="A772" s="53"/>
      <c r="C772" s="111"/>
    </row>
    <row r="773" spans="1:3" ht="13.2">
      <c r="A773" s="53"/>
      <c r="C773" s="111"/>
    </row>
    <row r="774" spans="1:3" ht="13.2">
      <c r="A774" s="53"/>
      <c r="C774" s="111"/>
    </row>
    <row r="775" spans="1:3" ht="13.2">
      <c r="A775" s="53"/>
      <c r="C775" s="111"/>
    </row>
    <row r="776" spans="1:3" ht="13.2">
      <c r="A776" s="53"/>
      <c r="C776" s="111"/>
    </row>
    <row r="777" spans="1:3" ht="13.2">
      <c r="A777" s="53"/>
      <c r="C777" s="111"/>
    </row>
    <row r="778" spans="1:3" ht="13.2">
      <c r="A778" s="53"/>
      <c r="C778" s="111"/>
    </row>
    <row r="779" spans="1:3" ht="13.2">
      <c r="A779" s="53"/>
      <c r="C779" s="111"/>
    </row>
    <row r="780" spans="1:3" ht="13.2">
      <c r="A780" s="53"/>
      <c r="C780" s="111"/>
    </row>
    <row r="781" spans="1:3" ht="13.2">
      <c r="A781" s="53"/>
      <c r="C781" s="111"/>
    </row>
    <row r="782" spans="1:3" ht="13.2">
      <c r="A782" s="53"/>
      <c r="C782" s="111"/>
    </row>
    <row r="783" spans="1:3" ht="13.2">
      <c r="A783" s="53"/>
      <c r="C783" s="111"/>
    </row>
    <row r="784" spans="1:3" ht="13.2">
      <c r="A784" s="53"/>
      <c r="C784" s="111"/>
    </row>
    <row r="785" spans="1:3" ht="13.2">
      <c r="A785" s="53"/>
      <c r="C785" s="111"/>
    </row>
    <row r="786" spans="1:3" ht="13.2">
      <c r="A786" s="53"/>
      <c r="C786" s="111"/>
    </row>
    <row r="787" spans="1:3" ht="13.2">
      <c r="A787" s="53"/>
      <c r="C787" s="111"/>
    </row>
    <row r="788" spans="1:3" ht="13.2">
      <c r="A788" s="53"/>
      <c r="C788" s="111"/>
    </row>
    <row r="789" spans="1:3" ht="13.2">
      <c r="A789" s="53"/>
      <c r="C789" s="111"/>
    </row>
    <row r="790" spans="1:3" ht="13.2">
      <c r="A790" s="53"/>
      <c r="C790" s="111"/>
    </row>
    <row r="791" spans="1:3" ht="13.2">
      <c r="A791" s="53"/>
      <c r="C791" s="111"/>
    </row>
    <row r="792" spans="1:3" ht="13.2">
      <c r="A792" s="53"/>
      <c r="C792" s="111"/>
    </row>
    <row r="793" spans="1:3" ht="13.2">
      <c r="A793" s="53"/>
      <c r="C793" s="111"/>
    </row>
    <row r="794" spans="1:3" ht="13.2">
      <c r="A794" s="53"/>
      <c r="C794" s="111"/>
    </row>
    <row r="795" spans="1:3" ht="13.2">
      <c r="A795" s="53"/>
      <c r="C795" s="111"/>
    </row>
    <row r="796" spans="1:3" ht="13.2">
      <c r="A796" s="53"/>
      <c r="C796" s="111"/>
    </row>
    <row r="797" spans="1:3" ht="13.2">
      <c r="A797" s="53"/>
      <c r="C797" s="111"/>
    </row>
    <row r="798" spans="1:3" ht="13.2">
      <c r="A798" s="53"/>
      <c r="C798" s="111"/>
    </row>
    <row r="799" spans="1:3" ht="13.2">
      <c r="A799" s="53"/>
      <c r="C799" s="111"/>
    </row>
    <row r="800" spans="1:3" ht="13.2">
      <c r="A800" s="53"/>
      <c r="C800" s="111"/>
    </row>
    <row r="801" spans="1:3" ht="13.2">
      <c r="A801" s="53"/>
      <c r="C801" s="111"/>
    </row>
    <row r="802" spans="1:3" ht="13.2">
      <c r="A802" s="53"/>
      <c r="C802" s="111"/>
    </row>
    <row r="803" spans="1:3" ht="13.2">
      <c r="A803" s="53"/>
      <c r="C803" s="111"/>
    </row>
    <row r="804" spans="1:3" ht="13.2">
      <c r="A804" s="53"/>
      <c r="C804" s="111"/>
    </row>
    <row r="805" spans="1:3" ht="13.2">
      <c r="A805" s="53"/>
      <c r="C805" s="111"/>
    </row>
    <row r="806" spans="1:3" ht="13.2">
      <c r="A806" s="53"/>
      <c r="C806" s="111"/>
    </row>
    <row r="807" spans="1:3" ht="13.2">
      <c r="A807" s="53"/>
      <c r="C807" s="111"/>
    </row>
    <row r="808" spans="1:3" ht="13.2">
      <c r="A808" s="53"/>
      <c r="C808" s="111"/>
    </row>
    <row r="809" spans="1:3" ht="13.2">
      <c r="A809" s="53"/>
      <c r="C809" s="111"/>
    </row>
    <row r="810" spans="1:3" ht="13.2">
      <c r="A810" s="53"/>
      <c r="C810" s="111"/>
    </row>
    <row r="811" spans="1:3" ht="13.2">
      <c r="A811" s="53"/>
      <c r="C811" s="111"/>
    </row>
    <row r="812" spans="1:3" ht="13.2">
      <c r="A812" s="53"/>
      <c r="C812" s="111"/>
    </row>
    <row r="813" spans="1:3" ht="13.2">
      <c r="A813" s="53"/>
      <c r="C813" s="111"/>
    </row>
    <row r="814" spans="1:3" ht="13.2">
      <c r="A814" s="53"/>
      <c r="C814" s="111"/>
    </row>
    <row r="815" spans="1:3" ht="13.2">
      <c r="A815" s="53"/>
      <c r="C815" s="111"/>
    </row>
    <row r="816" spans="1:3" ht="13.2">
      <c r="A816" s="53"/>
      <c r="C816" s="111"/>
    </row>
    <row r="817" spans="1:3" ht="13.2">
      <c r="A817" s="53"/>
      <c r="C817" s="111"/>
    </row>
    <row r="818" spans="1:3" ht="13.2">
      <c r="A818" s="53"/>
      <c r="C818" s="111"/>
    </row>
    <row r="819" spans="1:3" ht="13.2">
      <c r="A819" s="53"/>
      <c r="C819" s="111"/>
    </row>
    <row r="820" spans="1:3" ht="13.2">
      <c r="A820" s="53"/>
      <c r="C820" s="111"/>
    </row>
    <row r="821" spans="1:3" ht="13.2">
      <c r="A821" s="53"/>
      <c r="C821" s="111"/>
    </row>
    <row r="822" spans="1:3" ht="13.2">
      <c r="A822" s="53"/>
      <c r="C822" s="111"/>
    </row>
    <row r="823" spans="1:3" ht="13.2">
      <c r="A823" s="53"/>
      <c r="C823" s="111"/>
    </row>
    <row r="824" spans="1:3" ht="13.2">
      <c r="A824" s="53"/>
      <c r="C824" s="111"/>
    </row>
    <row r="825" spans="1:3" ht="13.2">
      <c r="A825" s="53"/>
      <c r="C825" s="111"/>
    </row>
    <row r="826" spans="1:3" ht="13.2">
      <c r="A826" s="53"/>
      <c r="C826" s="111"/>
    </row>
    <row r="827" spans="1:3" ht="13.2">
      <c r="A827" s="53"/>
      <c r="C827" s="111"/>
    </row>
    <row r="828" spans="1:3" ht="13.2">
      <c r="A828" s="53"/>
      <c r="C828" s="111"/>
    </row>
    <row r="829" spans="1:3" ht="13.2">
      <c r="A829" s="53"/>
      <c r="C829" s="111"/>
    </row>
    <row r="830" spans="1:3" ht="13.2">
      <c r="A830" s="53"/>
      <c r="C830" s="111"/>
    </row>
    <row r="831" spans="1:3" ht="13.2">
      <c r="A831" s="53"/>
      <c r="C831" s="111"/>
    </row>
    <row r="832" spans="1:3" ht="13.2">
      <c r="A832" s="53"/>
      <c r="C832" s="111"/>
    </row>
    <row r="833" spans="1:3" ht="13.2">
      <c r="A833" s="53"/>
      <c r="C833" s="111"/>
    </row>
    <row r="834" spans="1:3" ht="13.2">
      <c r="A834" s="53"/>
      <c r="C834" s="111"/>
    </row>
    <row r="835" spans="1:3" ht="13.2">
      <c r="A835" s="53"/>
      <c r="C835" s="111"/>
    </row>
    <row r="836" spans="1:3" ht="13.2">
      <c r="A836" s="53"/>
      <c r="C836" s="111"/>
    </row>
    <row r="837" spans="1:3" ht="13.2">
      <c r="A837" s="53"/>
      <c r="C837" s="111"/>
    </row>
    <row r="838" spans="1:3" ht="13.2">
      <c r="A838" s="53"/>
      <c r="C838" s="111"/>
    </row>
    <row r="839" spans="1:3" ht="13.2">
      <c r="A839" s="53"/>
      <c r="C839" s="111"/>
    </row>
    <row r="840" spans="1:3" ht="13.2">
      <c r="A840" s="53"/>
      <c r="C840" s="111"/>
    </row>
    <row r="841" spans="1:3" ht="13.2">
      <c r="A841" s="53"/>
      <c r="C841" s="111"/>
    </row>
    <row r="842" spans="1:3" ht="13.2">
      <c r="A842" s="53"/>
      <c r="C842" s="111"/>
    </row>
    <row r="843" spans="1:3" ht="13.2">
      <c r="A843" s="53"/>
      <c r="C843" s="111"/>
    </row>
    <row r="844" spans="1:3" ht="13.2">
      <c r="A844" s="53"/>
      <c r="C844" s="111"/>
    </row>
    <row r="845" spans="1:3" ht="13.2">
      <c r="A845" s="53"/>
      <c r="C845" s="111"/>
    </row>
    <row r="846" spans="1:3" ht="13.2">
      <c r="A846" s="53"/>
      <c r="C846" s="111"/>
    </row>
    <row r="847" spans="1:3" ht="13.2">
      <c r="A847" s="53"/>
      <c r="C847" s="111"/>
    </row>
    <row r="848" spans="1:3" ht="13.2">
      <c r="A848" s="53"/>
      <c r="C848" s="111"/>
    </row>
    <row r="849" spans="1:3" ht="13.2">
      <c r="A849" s="53"/>
      <c r="C849" s="111"/>
    </row>
    <row r="850" spans="1:3" ht="13.2">
      <c r="A850" s="53"/>
      <c r="C850" s="111"/>
    </row>
    <row r="851" spans="1:3" ht="13.2">
      <c r="A851" s="53"/>
      <c r="C851" s="111"/>
    </row>
    <row r="852" spans="1:3" ht="13.2">
      <c r="A852" s="53"/>
      <c r="C852" s="111"/>
    </row>
    <row r="853" spans="1:3" ht="13.2">
      <c r="A853" s="53"/>
      <c r="C853" s="111"/>
    </row>
    <row r="854" spans="1:3" ht="13.2">
      <c r="A854" s="53"/>
      <c r="C854" s="111"/>
    </row>
    <row r="855" spans="1:3" ht="13.2">
      <c r="A855" s="53"/>
      <c r="C855" s="111"/>
    </row>
    <row r="856" spans="1:3" ht="13.2">
      <c r="A856" s="53"/>
      <c r="C856" s="111"/>
    </row>
    <row r="857" spans="1:3" ht="13.2">
      <c r="A857" s="53"/>
      <c r="C857" s="111"/>
    </row>
    <row r="858" spans="1:3" ht="13.2">
      <c r="A858" s="53"/>
      <c r="C858" s="111"/>
    </row>
    <row r="859" spans="1:3" ht="13.2">
      <c r="A859" s="53"/>
      <c r="C859" s="111"/>
    </row>
    <row r="860" spans="1:3" ht="13.2">
      <c r="A860" s="53"/>
      <c r="C860" s="111"/>
    </row>
    <row r="861" spans="1:3" ht="13.2">
      <c r="A861" s="53"/>
      <c r="C861" s="111"/>
    </row>
    <row r="862" spans="1:3" ht="13.2">
      <c r="A862" s="53"/>
      <c r="C862" s="111"/>
    </row>
    <row r="863" spans="1:3" ht="13.2">
      <c r="A863" s="53"/>
      <c r="C863" s="111"/>
    </row>
    <row r="864" spans="1:3" ht="13.2">
      <c r="A864" s="53"/>
      <c r="C864" s="111"/>
    </row>
    <row r="865" spans="1:3" ht="13.2">
      <c r="A865" s="53"/>
      <c r="C865" s="111"/>
    </row>
    <row r="866" spans="1:3" ht="13.2">
      <c r="A866" s="53"/>
      <c r="C866" s="111"/>
    </row>
    <row r="867" spans="1:3" ht="13.2">
      <c r="A867" s="53"/>
      <c r="C867" s="111"/>
    </row>
    <row r="868" spans="1:3" ht="13.2">
      <c r="A868" s="53"/>
      <c r="C868" s="111"/>
    </row>
    <row r="869" spans="1:3" ht="13.2">
      <c r="A869" s="53"/>
      <c r="C869" s="111"/>
    </row>
    <row r="870" spans="1:3" ht="13.2">
      <c r="A870" s="53"/>
      <c r="C870" s="111"/>
    </row>
    <row r="871" spans="1:3" ht="13.2">
      <c r="A871" s="53"/>
      <c r="C871" s="111"/>
    </row>
    <row r="872" spans="1:3" ht="13.2">
      <c r="A872" s="53"/>
      <c r="C872" s="111"/>
    </row>
    <row r="873" spans="1:3" ht="13.2">
      <c r="A873" s="53"/>
      <c r="C873" s="111"/>
    </row>
    <row r="874" spans="1:3" ht="13.2">
      <c r="A874" s="53"/>
      <c r="C874" s="111"/>
    </row>
    <row r="875" spans="1:3" ht="13.2">
      <c r="A875" s="53"/>
      <c r="C875" s="111"/>
    </row>
    <row r="876" spans="1:3" ht="13.2">
      <c r="A876" s="53"/>
      <c r="C876" s="111"/>
    </row>
    <row r="877" spans="1:3" ht="13.2">
      <c r="A877" s="53"/>
      <c r="C877" s="111"/>
    </row>
    <row r="878" spans="1:3" ht="13.2">
      <c r="A878" s="53"/>
      <c r="C878" s="111"/>
    </row>
    <row r="879" spans="1:3" ht="13.2">
      <c r="A879" s="53"/>
      <c r="C879" s="111"/>
    </row>
    <row r="880" spans="1:3" ht="13.2">
      <c r="A880" s="53"/>
      <c r="C880" s="111"/>
    </row>
    <row r="881" spans="1:3" ht="13.2">
      <c r="A881" s="53"/>
      <c r="C881" s="111"/>
    </row>
    <row r="882" spans="1:3" ht="13.2">
      <c r="A882" s="53"/>
      <c r="C882" s="111"/>
    </row>
    <row r="883" spans="1:3" ht="13.2">
      <c r="A883" s="53"/>
      <c r="C883" s="111"/>
    </row>
    <row r="884" spans="1:3" ht="13.2">
      <c r="A884" s="53"/>
      <c r="C884" s="111"/>
    </row>
    <row r="885" spans="1:3" ht="13.2">
      <c r="A885" s="53"/>
      <c r="C885" s="111"/>
    </row>
    <row r="886" spans="1:3" ht="13.2">
      <c r="A886" s="53"/>
      <c r="C886" s="111"/>
    </row>
    <row r="887" spans="1:3" ht="13.2">
      <c r="A887" s="53"/>
      <c r="C887" s="111"/>
    </row>
    <row r="888" spans="1:3" ht="13.2">
      <c r="A888" s="53"/>
      <c r="C888" s="111"/>
    </row>
    <row r="889" spans="1:3" ht="13.2">
      <c r="A889" s="53"/>
      <c r="C889" s="111"/>
    </row>
    <row r="890" spans="1:3" ht="13.2">
      <c r="A890" s="53"/>
      <c r="C890" s="111"/>
    </row>
    <row r="891" spans="1:3" ht="13.2">
      <c r="A891" s="53"/>
      <c r="C891" s="111"/>
    </row>
    <row r="892" spans="1:3" ht="13.2">
      <c r="A892" s="53"/>
      <c r="C892" s="111"/>
    </row>
    <row r="893" spans="1:3" ht="13.2">
      <c r="A893" s="53"/>
      <c r="C893" s="111"/>
    </row>
    <row r="894" spans="1:3" ht="13.2">
      <c r="A894" s="53"/>
      <c r="C894" s="111"/>
    </row>
    <row r="895" spans="1:3" ht="13.2">
      <c r="A895" s="53"/>
      <c r="C895" s="111"/>
    </row>
    <row r="896" spans="1:3" ht="13.2">
      <c r="A896" s="53"/>
      <c r="C896" s="111"/>
    </row>
    <row r="897" spans="1:3" ht="13.2">
      <c r="A897" s="53"/>
      <c r="C897" s="111"/>
    </row>
    <row r="898" spans="1:3" ht="13.2">
      <c r="A898" s="53"/>
      <c r="C898" s="111"/>
    </row>
    <row r="899" spans="1:3" ht="13.2">
      <c r="A899" s="53"/>
      <c r="C899" s="111"/>
    </row>
    <row r="900" spans="1:3" ht="13.2">
      <c r="A900" s="53"/>
      <c r="C900" s="111"/>
    </row>
    <row r="901" spans="1:3" ht="13.2">
      <c r="A901" s="53"/>
      <c r="C901" s="111"/>
    </row>
    <row r="902" spans="1:3" ht="13.2">
      <c r="A902" s="53"/>
      <c r="C902" s="111"/>
    </row>
    <row r="903" spans="1:3" ht="13.2">
      <c r="A903" s="53"/>
      <c r="C903" s="111"/>
    </row>
    <row r="904" spans="1:3" ht="13.2">
      <c r="A904" s="53"/>
      <c r="C904" s="111"/>
    </row>
    <row r="905" spans="1:3" ht="13.2">
      <c r="A905" s="53"/>
      <c r="C905" s="111"/>
    </row>
    <row r="906" spans="1:3" ht="13.2">
      <c r="A906" s="53"/>
      <c r="C906" s="111"/>
    </row>
    <row r="907" spans="1:3" ht="13.2">
      <c r="A907" s="53"/>
      <c r="C907" s="111"/>
    </row>
    <row r="908" spans="1:3" ht="13.2">
      <c r="A908" s="53"/>
      <c r="C908" s="111"/>
    </row>
    <row r="909" spans="1:3" ht="13.2">
      <c r="A909" s="53"/>
      <c r="C909" s="111"/>
    </row>
    <row r="910" spans="1:3" ht="13.2">
      <c r="A910" s="53"/>
      <c r="C910" s="111"/>
    </row>
    <row r="911" spans="1:3" ht="13.2">
      <c r="A911" s="53"/>
      <c r="C911" s="111"/>
    </row>
    <row r="912" spans="1:3" ht="13.2">
      <c r="A912" s="53"/>
      <c r="C912" s="111"/>
    </row>
    <row r="913" spans="1:3" ht="13.2">
      <c r="A913" s="53"/>
      <c r="C913" s="111"/>
    </row>
    <row r="914" spans="1:3" ht="13.2">
      <c r="A914" s="53"/>
      <c r="C914" s="111"/>
    </row>
    <row r="915" spans="1:3" ht="13.2">
      <c r="A915" s="53"/>
      <c r="C915" s="111"/>
    </row>
    <row r="916" spans="1:3" ht="13.2">
      <c r="A916" s="53"/>
      <c r="C916" s="111"/>
    </row>
    <row r="917" spans="1:3" ht="13.2">
      <c r="A917" s="53"/>
      <c r="C917" s="111"/>
    </row>
    <row r="918" spans="1:3" ht="13.2">
      <c r="A918" s="53"/>
      <c r="C918" s="111"/>
    </row>
    <row r="919" spans="1:3" ht="13.2">
      <c r="A919" s="53"/>
      <c r="C919" s="111"/>
    </row>
    <row r="920" spans="1:3" ht="13.2">
      <c r="A920" s="53"/>
      <c r="C920" s="111"/>
    </row>
    <row r="921" spans="1:3" ht="13.2">
      <c r="A921" s="53"/>
      <c r="C921" s="111"/>
    </row>
    <row r="922" spans="1:3" ht="13.2">
      <c r="A922" s="53"/>
      <c r="C922" s="111"/>
    </row>
    <row r="923" spans="1:3" ht="13.2">
      <c r="A923" s="53"/>
      <c r="C923" s="111"/>
    </row>
    <row r="924" spans="1:3" ht="13.2">
      <c r="A924" s="53"/>
      <c r="C924" s="111"/>
    </row>
    <row r="925" spans="1:3" ht="13.2">
      <c r="A925" s="53"/>
      <c r="C925" s="111"/>
    </row>
    <row r="926" spans="1:3" ht="13.2">
      <c r="A926" s="53"/>
      <c r="C926" s="111"/>
    </row>
    <row r="927" spans="1:3" ht="13.2">
      <c r="A927" s="53"/>
      <c r="C927" s="111"/>
    </row>
    <row r="928" spans="1:3" ht="13.2">
      <c r="A928" s="53"/>
      <c r="C928" s="111"/>
    </row>
    <row r="929" spans="1:3" ht="13.2">
      <c r="A929" s="53"/>
      <c r="C929" s="111"/>
    </row>
    <row r="930" spans="1:3" ht="13.2">
      <c r="A930" s="53"/>
      <c r="C930" s="111"/>
    </row>
    <row r="931" spans="1:3" ht="13.2">
      <c r="A931" s="53"/>
      <c r="C931" s="111"/>
    </row>
    <row r="932" spans="1:3" ht="13.2">
      <c r="A932" s="53"/>
      <c r="C932" s="111"/>
    </row>
    <row r="933" spans="1:3" ht="13.2">
      <c r="A933" s="53"/>
      <c r="C933" s="111"/>
    </row>
    <row r="934" spans="1:3" ht="13.2">
      <c r="A934" s="53"/>
      <c r="C934" s="111"/>
    </row>
    <row r="935" spans="1:3" ht="13.2">
      <c r="A935" s="53"/>
      <c r="C935" s="111"/>
    </row>
    <row r="936" spans="1:3" ht="13.2">
      <c r="A936" s="53"/>
      <c r="C936" s="111"/>
    </row>
    <row r="937" spans="1:3" ht="13.2">
      <c r="A937" s="53"/>
      <c r="C937" s="111"/>
    </row>
    <row r="938" spans="1:3" ht="13.2">
      <c r="A938" s="53"/>
      <c r="C938" s="111"/>
    </row>
    <row r="939" spans="1:3" ht="13.2">
      <c r="A939" s="53"/>
      <c r="C939" s="111"/>
    </row>
    <row r="940" spans="1:3" ht="13.2">
      <c r="A940" s="53"/>
      <c r="C940" s="111"/>
    </row>
    <row r="941" spans="1:3" ht="13.2">
      <c r="A941" s="53"/>
      <c r="C941" s="111"/>
    </row>
    <row r="942" spans="1:3" ht="13.2">
      <c r="A942" s="53"/>
      <c r="C942" s="111"/>
    </row>
    <row r="943" spans="1:3" ht="13.2">
      <c r="A943" s="53"/>
      <c r="C943" s="111"/>
    </row>
    <row r="944" spans="1:3" ht="13.2">
      <c r="A944" s="53"/>
      <c r="C944" s="111"/>
    </row>
    <row r="945" spans="1:3" ht="13.2">
      <c r="A945" s="53"/>
      <c r="C945" s="111"/>
    </row>
    <row r="946" spans="1:3" ht="13.2">
      <c r="A946" s="53"/>
      <c r="C946" s="111"/>
    </row>
    <row r="947" spans="1:3" ht="13.2">
      <c r="A947" s="53"/>
      <c r="C947" s="111"/>
    </row>
    <row r="948" spans="1:3" ht="13.2">
      <c r="A948" s="53"/>
      <c r="C948" s="111"/>
    </row>
    <row r="949" spans="1:3" ht="13.2">
      <c r="A949" s="53"/>
      <c r="C949" s="111"/>
    </row>
    <row r="950" spans="1:3" ht="13.2">
      <c r="A950" s="53"/>
      <c r="C950" s="111"/>
    </row>
    <row r="951" spans="1:3" ht="13.2">
      <c r="A951" s="53"/>
      <c r="C951" s="111"/>
    </row>
    <row r="952" spans="1:3" ht="13.2">
      <c r="A952" s="53"/>
      <c r="C952" s="111"/>
    </row>
    <row r="953" spans="1:3" ht="13.2">
      <c r="A953" s="53"/>
      <c r="C953" s="111"/>
    </row>
    <row r="954" spans="1:3" ht="13.2">
      <c r="A954" s="53"/>
      <c r="C954" s="111"/>
    </row>
    <row r="955" spans="1:3" ht="13.2">
      <c r="A955" s="53"/>
      <c r="C955" s="111"/>
    </row>
    <row r="956" spans="1:3" ht="13.2">
      <c r="A956" s="53"/>
      <c r="C956" s="111"/>
    </row>
    <row r="957" spans="1:3" ht="13.2">
      <c r="A957" s="53"/>
      <c r="C957" s="111"/>
    </row>
    <row r="958" spans="1:3" ht="13.2">
      <c r="A958" s="53"/>
      <c r="C958" s="111"/>
    </row>
    <row r="959" spans="1:3" ht="13.2">
      <c r="A959" s="53"/>
      <c r="C959" s="111"/>
    </row>
    <row r="960" spans="1:3" ht="13.2">
      <c r="A960" s="53"/>
      <c r="C960" s="111"/>
    </row>
    <row r="961" spans="1:3" ht="13.2">
      <c r="A961" s="53"/>
      <c r="C961" s="111"/>
    </row>
    <row r="962" spans="1:3" ht="13.2">
      <c r="A962" s="53"/>
      <c r="C962" s="111"/>
    </row>
    <row r="963" spans="1:3" ht="13.2">
      <c r="A963" s="53"/>
      <c r="C963" s="111"/>
    </row>
    <row r="964" spans="1:3" ht="13.2">
      <c r="A964" s="53"/>
      <c r="C964" s="111"/>
    </row>
    <row r="965" spans="1:3" ht="13.2">
      <c r="A965" s="53"/>
      <c r="C965" s="111"/>
    </row>
    <row r="966" spans="1:3" ht="13.2">
      <c r="A966" s="53"/>
      <c r="C966" s="111"/>
    </row>
    <row r="967" spans="1:3" ht="13.2">
      <c r="A967" s="53"/>
      <c r="C967" s="111"/>
    </row>
    <row r="968" spans="1:3" ht="13.2">
      <c r="A968" s="53"/>
      <c r="C968" s="111"/>
    </row>
    <row r="969" spans="1:3" ht="13.2">
      <c r="A969" s="53"/>
      <c r="C969" s="111"/>
    </row>
    <row r="970" spans="1:3" ht="13.2">
      <c r="A970" s="53"/>
      <c r="C970" s="111"/>
    </row>
    <row r="971" spans="1:3" ht="13.2">
      <c r="A971" s="53"/>
      <c r="C971" s="111"/>
    </row>
    <row r="972" spans="1:3" ht="13.2">
      <c r="A972" s="53"/>
      <c r="C972" s="111"/>
    </row>
    <row r="973" spans="1:3" ht="13.2">
      <c r="A973" s="53"/>
      <c r="C973" s="111"/>
    </row>
    <row r="974" spans="1:3" ht="13.2">
      <c r="A974" s="53"/>
      <c r="C974" s="111"/>
    </row>
    <row r="975" spans="1:3" ht="13.2">
      <c r="A975" s="53"/>
      <c r="C975" s="111"/>
    </row>
    <row r="976" spans="1:3" ht="13.2">
      <c r="A976" s="53"/>
      <c r="C976" s="111"/>
    </row>
    <row r="977" spans="1:3" ht="13.2">
      <c r="A977" s="53"/>
      <c r="C977" s="111"/>
    </row>
    <row r="978" spans="1:3" ht="13.2">
      <c r="A978" s="53"/>
      <c r="C978" s="111"/>
    </row>
    <row r="979" spans="1:3" ht="13.2">
      <c r="A979" s="53"/>
      <c r="C979" s="111"/>
    </row>
    <row r="980" spans="1:3" ht="13.2">
      <c r="A980" s="53"/>
      <c r="C980" s="111"/>
    </row>
    <row r="981" spans="1:3" ht="13.2">
      <c r="A981" s="53"/>
      <c r="C981" s="111"/>
    </row>
    <row r="982" spans="1:3" ht="13.2">
      <c r="A982" s="53"/>
      <c r="C982" s="111"/>
    </row>
    <row r="983" spans="1:3" ht="13.2">
      <c r="A983" s="53"/>
      <c r="C983" s="111"/>
    </row>
    <row r="984" spans="1:3" ht="13.2">
      <c r="A984" s="53"/>
      <c r="C984" s="111"/>
    </row>
    <row r="985" spans="1:3" ht="13.2">
      <c r="A985" s="53"/>
      <c r="C985" s="111"/>
    </row>
    <row r="986" spans="1:3" ht="13.2">
      <c r="A986" s="53"/>
      <c r="C986" s="111"/>
    </row>
    <row r="987" spans="1:3" ht="13.2">
      <c r="A987" s="53"/>
      <c r="C987" s="111"/>
    </row>
    <row r="988" spans="1:3" ht="13.2">
      <c r="A988" s="53"/>
      <c r="C988" s="111"/>
    </row>
    <row r="989" spans="1:3" ht="13.2">
      <c r="A989" s="53"/>
      <c r="C989" s="111"/>
    </row>
    <row r="990" spans="1:3" ht="13.2">
      <c r="A990" s="53"/>
      <c r="C990" s="111"/>
    </row>
    <row r="991" spans="1:3" ht="13.2">
      <c r="A991" s="53"/>
      <c r="C991" s="111"/>
    </row>
    <row r="992" spans="1:3" ht="13.2">
      <c r="A992" s="53"/>
      <c r="C992" s="111"/>
    </row>
    <row r="993" spans="1:3" ht="13.2">
      <c r="A993" s="53"/>
      <c r="C993" s="111"/>
    </row>
    <row r="994" spans="1:3" ht="13.2">
      <c r="A994" s="53"/>
      <c r="C994" s="111"/>
    </row>
    <row r="995" spans="1:3" ht="13.2">
      <c r="A995" s="53"/>
      <c r="C995" s="111"/>
    </row>
  </sheetData>
  <mergeCells count="9">
    <mergeCell ref="G1:G2"/>
    <mergeCell ref="H1:I1"/>
    <mergeCell ref="J1:J2"/>
    <mergeCell ref="A1:A2"/>
    <mergeCell ref="B1:B2"/>
    <mergeCell ref="C1:C2"/>
    <mergeCell ref="D1:D2"/>
    <mergeCell ref="E1:E2"/>
    <mergeCell ref="F1:F2"/>
  </mergeCells>
  <hyperlinks>
    <hyperlink ref="D1" r:id="rId1" xr:uid="{A548BA98-3ABB-43B5-A589-E86CE5BC594A}"/>
    <hyperlink ref="E1" r:id="rId2" xr:uid="{28AD619C-5555-4FC1-B825-4345F3F1A702}"/>
    <hyperlink ref="B3" r:id="rId3" xr:uid="{1BDB2E5C-437B-4CA4-898E-39FE5B11CA75}"/>
    <hyperlink ref="B4" r:id="rId4" xr:uid="{2FB23506-D8BC-43FC-91F6-C65F62B4AABC}"/>
    <hyperlink ref="B5" r:id="rId5" xr:uid="{DD9A918E-F134-4576-A06F-CAC34B81CDB1}"/>
    <hyperlink ref="B6" r:id="rId6" xr:uid="{52F778EF-8C0E-417E-AA02-D02D2B605EB4}"/>
    <hyperlink ref="B7" r:id="rId7" xr:uid="{00E01D44-D4A3-494B-A11E-8FCAD861D0D8}"/>
    <hyperlink ref="B8" r:id="rId8" xr:uid="{F699E5B6-145C-4E56-B960-3B204138790B}"/>
    <hyperlink ref="B9" r:id="rId9" xr:uid="{72965D1E-479D-4588-8BEA-759A90552455}"/>
    <hyperlink ref="B10" r:id="rId10" xr:uid="{9CB2991C-4F29-44C1-9F0A-3D6351FEB7C0}"/>
    <hyperlink ref="B11" r:id="rId11" xr:uid="{BA25105D-6E79-4B34-BD6F-E038926C4929}"/>
    <hyperlink ref="B12" r:id="rId12" xr:uid="{92D7B678-8EC4-4F45-9E93-3C0C81C76B32}"/>
    <hyperlink ref="B13" r:id="rId13" xr:uid="{6D04CA55-1B8E-47DC-800B-B249727FB92A}"/>
    <hyperlink ref="B14" r:id="rId14" xr:uid="{B03916BB-10D8-4E59-A61C-C7C2B34E5E99}"/>
    <hyperlink ref="B15" r:id="rId15" xr:uid="{2D9F85FF-7850-430B-883A-14BA6FD0132C}"/>
    <hyperlink ref="B16" r:id="rId16" xr:uid="{F3813408-F315-43E4-88F5-2A15A77B9D40}"/>
    <hyperlink ref="B17" r:id="rId17" xr:uid="{E729F0B7-594F-452D-B2E9-9B95E570EB7F}"/>
    <hyperlink ref="B18" r:id="rId18" xr:uid="{59177172-F471-48D4-9A83-81C14F9A4611}"/>
    <hyperlink ref="B19" r:id="rId19" xr:uid="{9980C35A-3554-4005-B97F-9C14D43956A1}"/>
    <hyperlink ref="B20" r:id="rId20" xr:uid="{EAFEB956-68C3-419D-A014-BE24B72CA1D3}"/>
    <hyperlink ref="B21" r:id="rId21" xr:uid="{63976DED-C00D-4681-91F6-9FF5161B3731}"/>
    <hyperlink ref="B22" r:id="rId22" xr:uid="{F24CDDE4-04D8-4A1C-99F4-FA146847F96E}"/>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403B1-6EE0-49C3-914F-C4E9F11E4634}">
  <sheetPr>
    <outlinePr summaryBelow="0" summaryRight="0"/>
  </sheetPr>
  <dimension ref="A1:AA999"/>
  <sheetViews>
    <sheetView workbookViewId="0"/>
  </sheetViews>
  <sheetFormatPr defaultColWidth="12.6640625" defaultRowHeight="15.75" customHeight="1"/>
  <cols>
    <col min="1" max="1" width="8.33203125" customWidth="1"/>
    <col min="2" max="2" width="26.44140625" customWidth="1"/>
    <col min="3" max="3" width="21.44140625" customWidth="1"/>
  </cols>
  <sheetData>
    <row r="1" spans="1:27" ht="15.75" customHeight="1">
      <c r="A1" s="255" t="s">
        <v>72</v>
      </c>
      <c r="B1" s="255" t="s">
        <v>1040</v>
      </c>
      <c r="C1" s="271" t="s">
        <v>49</v>
      </c>
      <c r="D1" s="255" t="s">
        <v>1041</v>
      </c>
      <c r="E1" s="53"/>
      <c r="F1" s="53"/>
      <c r="G1" s="53"/>
      <c r="H1" s="53"/>
      <c r="I1" s="53"/>
      <c r="J1" s="53"/>
      <c r="K1" s="53"/>
      <c r="L1" s="53"/>
      <c r="M1" s="53"/>
      <c r="N1" s="53"/>
      <c r="O1" s="53"/>
      <c r="P1" s="53"/>
      <c r="Q1" s="53"/>
      <c r="R1" s="53"/>
      <c r="S1" s="53"/>
      <c r="T1" s="53"/>
      <c r="U1" s="53"/>
      <c r="V1" s="53"/>
      <c r="W1" s="53"/>
      <c r="X1" s="53"/>
      <c r="Y1" s="53"/>
      <c r="Z1" s="53"/>
      <c r="AA1" s="53"/>
    </row>
    <row r="2" spans="1:27" ht="15.75" customHeight="1">
      <c r="A2" s="258">
        <v>1</v>
      </c>
      <c r="B2" s="13" t="s">
        <v>1042</v>
      </c>
      <c r="C2" s="272">
        <v>2</v>
      </c>
      <c r="D2" s="16" t="s">
        <v>1043</v>
      </c>
    </row>
    <row r="3" spans="1:27" ht="15.75" customHeight="1">
      <c r="A3" s="258">
        <v>2</v>
      </c>
      <c r="B3" s="13" t="s">
        <v>1044</v>
      </c>
      <c r="C3" s="272">
        <v>2</v>
      </c>
      <c r="D3" s="16" t="s">
        <v>1013</v>
      </c>
    </row>
    <row r="4" spans="1:27" ht="15.75" customHeight="1">
      <c r="A4" s="258">
        <v>3</v>
      </c>
      <c r="B4" s="13" t="s">
        <v>1045</v>
      </c>
      <c r="C4" s="272">
        <v>0.4</v>
      </c>
      <c r="D4" s="16" t="s">
        <v>865</v>
      </c>
    </row>
    <row r="5" spans="1:27" ht="15.75" customHeight="1">
      <c r="A5" s="258">
        <v>4</v>
      </c>
      <c r="B5" s="13" t="s">
        <v>1046</v>
      </c>
      <c r="C5" s="272">
        <v>0.1</v>
      </c>
      <c r="D5" s="16" t="s">
        <v>1047</v>
      </c>
    </row>
    <row r="6" spans="1:27" ht="15.75" customHeight="1">
      <c r="A6" s="258">
        <v>5</v>
      </c>
      <c r="B6" s="13" t="s">
        <v>1048</v>
      </c>
      <c r="C6" s="272">
        <v>1</v>
      </c>
      <c r="D6" s="16" t="s">
        <v>864</v>
      </c>
    </row>
    <row r="7" spans="1:27" ht="15.75" customHeight="1">
      <c r="A7" s="258">
        <v>6</v>
      </c>
      <c r="B7" s="13" t="s">
        <v>1049</v>
      </c>
      <c r="C7" s="272">
        <v>0.5</v>
      </c>
      <c r="D7" s="16" t="s">
        <v>1050</v>
      </c>
    </row>
    <row r="8" spans="1:27" ht="15.75" customHeight="1">
      <c r="A8" s="258">
        <v>7</v>
      </c>
      <c r="B8" s="13" t="s">
        <v>1051</v>
      </c>
      <c r="C8" s="272">
        <v>5</v>
      </c>
      <c r="D8" s="16" t="s">
        <v>915</v>
      </c>
    </row>
    <row r="9" spans="1:27" ht="15.75" customHeight="1">
      <c r="A9" s="258">
        <v>8</v>
      </c>
      <c r="B9" s="13" t="s">
        <v>1052</v>
      </c>
      <c r="C9" s="272">
        <v>2</v>
      </c>
      <c r="D9" s="16" t="s">
        <v>864</v>
      </c>
    </row>
    <row r="10" spans="1:27" ht="15.75" customHeight="1">
      <c r="A10" s="258">
        <v>9</v>
      </c>
      <c r="B10" s="13" t="s">
        <v>1053</v>
      </c>
      <c r="C10" s="273">
        <v>0.05</v>
      </c>
      <c r="D10" s="16" t="s">
        <v>883</v>
      </c>
    </row>
    <row r="11" spans="1:27" ht="15.75" customHeight="1">
      <c r="A11" s="258">
        <v>10</v>
      </c>
      <c r="B11" s="274" t="s">
        <v>1054</v>
      </c>
      <c r="C11" s="272">
        <v>0.1</v>
      </c>
      <c r="D11" s="16" t="s">
        <v>883</v>
      </c>
    </row>
    <row r="12" spans="1:27" ht="15.75" customHeight="1">
      <c r="A12" s="258">
        <v>11</v>
      </c>
      <c r="B12" s="274" t="s">
        <v>1055</v>
      </c>
      <c r="C12" s="272">
        <v>0.1</v>
      </c>
      <c r="D12" s="16" t="s">
        <v>864</v>
      </c>
    </row>
    <row r="13" spans="1:27" ht="15.75" customHeight="1">
      <c r="A13" s="258">
        <v>12</v>
      </c>
      <c r="B13" s="13" t="s">
        <v>1056</v>
      </c>
      <c r="C13" s="273">
        <v>0.1</v>
      </c>
      <c r="D13" s="16" t="s">
        <v>865</v>
      </c>
    </row>
    <row r="14" spans="1:27" ht="15.75" customHeight="1">
      <c r="A14" s="258">
        <v>13</v>
      </c>
      <c r="B14" s="13" t="s">
        <v>1057</v>
      </c>
      <c r="C14" s="272">
        <v>1</v>
      </c>
      <c r="D14" s="16" t="s">
        <v>908</v>
      </c>
    </row>
    <row r="15" spans="1:27" ht="15.75" customHeight="1">
      <c r="A15" s="258">
        <v>14</v>
      </c>
      <c r="B15" s="274" t="s">
        <v>1058</v>
      </c>
      <c r="C15" s="272">
        <v>30</v>
      </c>
      <c r="D15" s="16" t="s">
        <v>883</v>
      </c>
    </row>
    <row r="16" spans="1:27" ht="15.75" customHeight="1">
      <c r="A16" s="258">
        <v>15</v>
      </c>
      <c r="B16" s="13" t="s">
        <v>1059</v>
      </c>
      <c r="C16" s="272">
        <v>0.01</v>
      </c>
      <c r="D16" s="16" t="s">
        <v>864</v>
      </c>
    </row>
    <row r="17" spans="1:4" ht="15.75" customHeight="1">
      <c r="A17" s="258">
        <v>16</v>
      </c>
      <c r="B17" s="13" t="s">
        <v>1060</v>
      </c>
      <c r="C17" s="272">
        <v>2</v>
      </c>
      <c r="D17" s="16" t="s">
        <v>1007</v>
      </c>
    </row>
    <row r="18" spans="1:4" ht="15.75" customHeight="1">
      <c r="A18" s="258">
        <v>17</v>
      </c>
      <c r="B18" s="274" t="s">
        <v>1061</v>
      </c>
      <c r="C18" s="272">
        <v>2</v>
      </c>
      <c r="D18" s="16" t="s">
        <v>915</v>
      </c>
    </row>
    <row r="19" spans="1:4" ht="15.75" customHeight="1">
      <c r="A19" s="258">
        <v>18</v>
      </c>
      <c r="B19" s="13" t="s">
        <v>1062</v>
      </c>
      <c r="C19" s="272">
        <v>0.01</v>
      </c>
      <c r="D19" s="16" t="s">
        <v>1004</v>
      </c>
    </row>
    <row r="20" spans="1:4" ht="15.75" customHeight="1">
      <c r="A20" s="258">
        <v>19</v>
      </c>
      <c r="B20" s="13" t="s">
        <v>1063</v>
      </c>
      <c r="C20" s="272">
        <v>0.1</v>
      </c>
      <c r="D20" s="16" t="s">
        <v>864</v>
      </c>
    </row>
    <row r="21" spans="1:4" ht="15.75" customHeight="1">
      <c r="A21" s="258">
        <v>20</v>
      </c>
      <c r="B21" s="13" t="s">
        <v>1064</v>
      </c>
      <c r="C21" s="272">
        <v>4</v>
      </c>
      <c r="D21" s="16" t="s">
        <v>915</v>
      </c>
    </row>
    <row r="22" spans="1:4" ht="15.75" customHeight="1">
      <c r="A22" s="258">
        <v>21</v>
      </c>
      <c r="B22" s="13" t="s">
        <v>1065</v>
      </c>
      <c r="C22" s="272">
        <v>0.03</v>
      </c>
      <c r="D22" s="16" t="s">
        <v>1066</v>
      </c>
    </row>
    <row r="23" spans="1:4" ht="15.75" customHeight="1">
      <c r="A23" s="258">
        <v>22</v>
      </c>
      <c r="B23" s="274" t="s">
        <v>1067</v>
      </c>
      <c r="C23" s="272">
        <v>1</v>
      </c>
      <c r="D23" s="16" t="s">
        <v>864</v>
      </c>
    </row>
    <row r="24" spans="1:4" ht="15.75" customHeight="1">
      <c r="A24" s="258">
        <v>23</v>
      </c>
      <c r="B24" s="274" t="s">
        <v>1068</v>
      </c>
      <c r="C24" s="272">
        <v>1</v>
      </c>
      <c r="D24" s="16" t="s">
        <v>881</v>
      </c>
    </row>
    <row r="25" spans="1:4" ht="15.75" customHeight="1">
      <c r="A25" s="258">
        <v>24</v>
      </c>
      <c r="B25" s="274" t="s">
        <v>1069</v>
      </c>
      <c r="C25" s="272">
        <v>0.5</v>
      </c>
      <c r="D25" s="16" t="s">
        <v>883</v>
      </c>
    </row>
    <row r="26" spans="1:4" ht="15.75" customHeight="1">
      <c r="A26" s="258">
        <v>25</v>
      </c>
      <c r="B26" s="274" t="s">
        <v>1070</v>
      </c>
      <c r="C26" s="272">
        <v>8</v>
      </c>
      <c r="D26" s="16" t="s">
        <v>864</v>
      </c>
    </row>
    <row r="27" spans="1:4" ht="13.2">
      <c r="A27" s="258">
        <v>26</v>
      </c>
      <c r="B27" s="13" t="s">
        <v>1071</v>
      </c>
      <c r="C27" s="272">
        <v>0.1</v>
      </c>
      <c r="D27" s="16" t="s">
        <v>864</v>
      </c>
    </row>
    <row r="28" spans="1:4" ht="13.2">
      <c r="A28" s="258">
        <v>27</v>
      </c>
      <c r="B28" s="274" t="s">
        <v>1072</v>
      </c>
      <c r="C28" s="272">
        <v>0.04</v>
      </c>
      <c r="D28" s="16" t="s">
        <v>896</v>
      </c>
    </row>
    <row r="29" spans="1:4" ht="13.2">
      <c r="A29" s="258">
        <v>28</v>
      </c>
      <c r="B29" s="13" t="s">
        <v>1073</v>
      </c>
      <c r="C29" s="272">
        <v>0.05</v>
      </c>
      <c r="D29" s="16" t="s">
        <v>1004</v>
      </c>
    </row>
    <row r="30" spans="1:4" ht="13.2">
      <c r="A30" s="258">
        <v>29</v>
      </c>
      <c r="B30" s="274" t="s">
        <v>1074</v>
      </c>
      <c r="C30" s="272">
        <v>0.1</v>
      </c>
      <c r="D30" s="16" t="s">
        <v>865</v>
      </c>
    </row>
    <row r="31" spans="1:4" ht="13.2">
      <c r="A31" s="258">
        <v>30</v>
      </c>
      <c r="B31" s="274" t="s">
        <v>1075</v>
      </c>
      <c r="C31" s="272">
        <v>12</v>
      </c>
      <c r="D31" s="16" t="s">
        <v>886</v>
      </c>
    </row>
    <row r="32" spans="1:4" ht="13.2">
      <c r="A32" s="258">
        <v>31</v>
      </c>
      <c r="B32" s="274" t="s">
        <v>1076</v>
      </c>
      <c r="C32" s="272">
        <v>7</v>
      </c>
      <c r="D32" s="16" t="s">
        <v>883</v>
      </c>
    </row>
    <row r="33" spans="1:4" ht="13.2">
      <c r="A33" s="258">
        <v>33</v>
      </c>
      <c r="B33" s="13" t="s">
        <v>1077</v>
      </c>
      <c r="C33" s="272">
        <v>20</v>
      </c>
      <c r="D33" s="16" t="s">
        <v>865</v>
      </c>
    </row>
    <row r="34" spans="1:4" ht="13.2">
      <c r="A34" s="258">
        <v>34</v>
      </c>
      <c r="B34" s="13" t="s">
        <v>1078</v>
      </c>
      <c r="C34" s="272">
        <v>40</v>
      </c>
      <c r="D34" s="16" t="s">
        <v>865</v>
      </c>
    </row>
    <row r="35" spans="1:4" ht="13.2">
      <c r="A35" s="258">
        <v>35</v>
      </c>
      <c r="B35" s="13" t="s">
        <v>1079</v>
      </c>
      <c r="C35" s="272">
        <v>80</v>
      </c>
      <c r="D35" s="16" t="s">
        <v>865</v>
      </c>
    </row>
    <row r="36" spans="1:4" ht="13.2">
      <c r="A36" s="258">
        <v>36</v>
      </c>
      <c r="B36" s="13" t="s">
        <v>1080</v>
      </c>
      <c r="C36" s="272">
        <v>150</v>
      </c>
      <c r="D36" s="16" t="s">
        <v>865</v>
      </c>
    </row>
    <row r="37" spans="1:4" ht="13.2">
      <c r="A37" s="258">
        <v>37</v>
      </c>
      <c r="B37" s="274" t="s">
        <v>1081</v>
      </c>
      <c r="C37" s="272">
        <v>15</v>
      </c>
      <c r="D37" s="16" t="s">
        <v>883</v>
      </c>
    </row>
    <row r="38" spans="1:4" ht="13.2">
      <c r="A38" s="258">
        <v>38</v>
      </c>
      <c r="B38" s="274" t="s">
        <v>1082</v>
      </c>
      <c r="C38" s="272">
        <v>50</v>
      </c>
      <c r="D38" s="16" t="s">
        <v>883</v>
      </c>
    </row>
    <row r="39" spans="1:4" ht="13.2">
      <c r="A39" s="258">
        <v>39</v>
      </c>
      <c r="B39" s="13" t="s">
        <v>1083</v>
      </c>
      <c r="C39" s="272">
        <v>10</v>
      </c>
      <c r="D39" s="16" t="s">
        <v>908</v>
      </c>
    </row>
    <row r="40" spans="1:4" ht="13.2">
      <c r="A40" s="258">
        <v>40</v>
      </c>
      <c r="B40" s="13" t="s">
        <v>1084</v>
      </c>
      <c r="C40" s="272">
        <v>2E-3</v>
      </c>
      <c r="D40" s="16" t="s">
        <v>865</v>
      </c>
    </row>
    <row r="41" spans="1:4" ht="13.2">
      <c r="A41" s="258">
        <v>41</v>
      </c>
      <c r="B41" s="274" t="s">
        <v>1085</v>
      </c>
      <c r="C41" s="272">
        <v>0.1</v>
      </c>
      <c r="D41" s="16" t="s">
        <v>865</v>
      </c>
    </row>
    <row r="42" spans="1:4" ht="13.2">
      <c r="A42" s="258">
        <v>42</v>
      </c>
      <c r="B42" s="13" t="s">
        <v>1086</v>
      </c>
      <c r="C42" s="272">
        <v>0.4</v>
      </c>
      <c r="D42" s="16" t="s">
        <v>864</v>
      </c>
    </row>
    <row r="43" spans="1:4" ht="13.2">
      <c r="A43" s="258">
        <v>43</v>
      </c>
      <c r="B43" s="13" t="s">
        <v>1087</v>
      </c>
      <c r="C43" s="272">
        <v>0.2</v>
      </c>
      <c r="D43" s="16" t="s">
        <v>864</v>
      </c>
    </row>
    <row r="44" spans="1:4" ht="13.2">
      <c r="A44" s="258">
        <v>44</v>
      </c>
      <c r="B44" s="13" t="s">
        <v>1088</v>
      </c>
      <c r="C44" s="272">
        <v>3</v>
      </c>
      <c r="D44" s="16" t="s">
        <v>944</v>
      </c>
    </row>
    <row r="45" spans="1:4" ht="13.2">
      <c r="A45" s="258">
        <v>45</v>
      </c>
      <c r="B45" s="13" t="s">
        <v>1089</v>
      </c>
      <c r="C45" s="272">
        <v>2E-3</v>
      </c>
      <c r="D45" s="16" t="s">
        <v>915</v>
      </c>
    </row>
    <row r="46" spans="1:4" ht="13.2">
      <c r="A46" s="258">
        <v>46</v>
      </c>
      <c r="B46" s="13" t="s">
        <v>1090</v>
      </c>
      <c r="C46" s="272">
        <v>0.1</v>
      </c>
      <c r="D46" s="16" t="s">
        <v>908</v>
      </c>
    </row>
    <row r="47" spans="1:4" ht="13.2">
      <c r="A47" s="258">
        <v>47</v>
      </c>
      <c r="B47" s="13" t="s">
        <v>1091</v>
      </c>
      <c r="C47" s="272">
        <v>0.02</v>
      </c>
      <c r="D47" s="16" t="s">
        <v>889</v>
      </c>
    </row>
    <row r="48" spans="1:4" ht="13.2">
      <c r="A48" s="258">
        <v>48</v>
      </c>
      <c r="B48" s="13" t="s">
        <v>1092</v>
      </c>
      <c r="C48" s="272">
        <v>0.05</v>
      </c>
      <c r="D48" s="16" t="s">
        <v>944</v>
      </c>
    </row>
    <row r="49" spans="1:4" ht="13.2">
      <c r="A49" s="258">
        <v>49</v>
      </c>
      <c r="B49" s="13" t="s">
        <v>1093</v>
      </c>
      <c r="C49" s="272">
        <v>1</v>
      </c>
      <c r="D49" s="16" t="s">
        <v>1094</v>
      </c>
    </row>
    <row r="50" spans="1:4" ht="13.2">
      <c r="A50" s="258">
        <v>50</v>
      </c>
      <c r="B50" s="274" t="s">
        <v>1095</v>
      </c>
      <c r="C50" s="272">
        <v>10</v>
      </c>
      <c r="D50" s="16" t="s">
        <v>1004</v>
      </c>
    </row>
    <row r="51" spans="1:4" ht="13.2">
      <c r="A51" s="258">
        <v>51</v>
      </c>
      <c r="B51" s="13" t="s">
        <v>1096</v>
      </c>
      <c r="C51" s="272">
        <v>0.05</v>
      </c>
      <c r="D51" s="16" t="s">
        <v>1097</v>
      </c>
    </row>
    <row r="52" spans="1:4" ht="13.2">
      <c r="A52" s="258">
        <v>52</v>
      </c>
      <c r="B52" s="274" t="s">
        <v>1098</v>
      </c>
      <c r="C52" s="272">
        <v>1</v>
      </c>
      <c r="D52" s="16" t="s">
        <v>944</v>
      </c>
    </row>
    <row r="53" spans="1:4" ht="13.2">
      <c r="A53" s="258">
        <v>53</v>
      </c>
      <c r="B53" s="274" t="s">
        <v>1099</v>
      </c>
      <c r="C53" s="272">
        <v>10</v>
      </c>
      <c r="D53" s="16" t="s">
        <v>915</v>
      </c>
    </row>
    <row r="54" spans="1:4" ht="13.2">
      <c r="A54" s="258">
        <v>54</v>
      </c>
      <c r="B54" s="13" t="s">
        <v>1100</v>
      </c>
      <c r="C54" s="272">
        <v>0.01</v>
      </c>
      <c r="D54" s="16" t="s">
        <v>1094</v>
      </c>
    </row>
    <row r="55" spans="1:4" ht="13.2">
      <c r="A55" s="258">
        <v>55</v>
      </c>
      <c r="B55" s="13" t="s">
        <v>1101</v>
      </c>
      <c r="C55" s="272">
        <v>1</v>
      </c>
      <c r="D55" s="16" t="s">
        <v>865</v>
      </c>
    </row>
    <row r="56" spans="1:4" ht="13.2">
      <c r="A56" s="258">
        <v>56</v>
      </c>
      <c r="B56" s="13" t="s">
        <v>1102</v>
      </c>
      <c r="C56" s="272">
        <v>0.05</v>
      </c>
      <c r="D56" s="16" t="s">
        <v>864</v>
      </c>
    </row>
    <row r="57" spans="1:4" ht="13.2">
      <c r="A57" s="258">
        <v>57</v>
      </c>
      <c r="B57" s="13" t="s">
        <v>1103</v>
      </c>
      <c r="C57" s="272">
        <v>0.08</v>
      </c>
      <c r="D57" s="16" t="s">
        <v>864</v>
      </c>
    </row>
    <row r="58" spans="1:4" ht="13.2">
      <c r="A58" s="258">
        <v>58</v>
      </c>
      <c r="B58" s="13" t="s">
        <v>1104</v>
      </c>
      <c r="C58" s="272">
        <v>5</v>
      </c>
      <c r="D58" s="16" t="s">
        <v>864</v>
      </c>
    </row>
    <row r="59" spans="1:4" ht="13.2">
      <c r="A59" s="258">
        <v>59</v>
      </c>
      <c r="B59" s="13" t="s">
        <v>1105</v>
      </c>
      <c r="C59" s="272">
        <v>1</v>
      </c>
      <c r="D59" s="16" t="s">
        <v>944</v>
      </c>
    </row>
    <row r="60" spans="1:4" ht="13.2">
      <c r="A60" s="258">
        <v>60</v>
      </c>
      <c r="B60" s="13" t="s">
        <v>1106</v>
      </c>
      <c r="C60" s="272">
        <v>0.05</v>
      </c>
      <c r="D60" s="16" t="s">
        <v>865</v>
      </c>
    </row>
    <row r="61" spans="1:4" ht="13.2">
      <c r="A61" s="258">
        <v>61</v>
      </c>
      <c r="B61" s="13" t="s">
        <v>1107</v>
      </c>
      <c r="C61" s="272">
        <v>2</v>
      </c>
      <c r="D61" s="16" t="s">
        <v>889</v>
      </c>
    </row>
    <row r="62" spans="1:4" ht="13.2">
      <c r="A62" s="258">
        <v>62</v>
      </c>
      <c r="B62" s="13" t="s">
        <v>1108</v>
      </c>
      <c r="C62" s="272">
        <v>1000</v>
      </c>
      <c r="D62" s="16" t="s">
        <v>865</v>
      </c>
    </row>
    <row r="63" spans="1:4" ht="13.2">
      <c r="A63" s="258">
        <v>63</v>
      </c>
      <c r="B63" s="13" t="s">
        <v>1109</v>
      </c>
      <c r="C63" s="272">
        <v>10</v>
      </c>
      <c r="D63" s="16" t="s">
        <v>1110</v>
      </c>
    </row>
    <row r="64" spans="1:4" ht="13.2">
      <c r="A64" s="258">
        <v>64</v>
      </c>
      <c r="B64" s="274" t="s">
        <v>1111</v>
      </c>
      <c r="C64" s="272">
        <v>1E-3</v>
      </c>
      <c r="D64" s="16" t="s">
        <v>865</v>
      </c>
    </row>
    <row r="65" spans="1:4" ht="13.2">
      <c r="A65" s="258">
        <v>65</v>
      </c>
      <c r="B65" s="274" t="s">
        <v>1112</v>
      </c>
      <c r="C65" s="272">
        <v>1</v>
      </c>
      <c r="D65" s="16" t="s">
        <v>1113</v>
      </c>
    </row>
    <row r="66" spans="1:4" ht="13.2">
      <c r="A66" s="258">
        <v>66</v>
      </c>
      <c r="B66" s="13" t="s">
        <v>1114</v>
      </c>
      <c r="C66" s="272">
        <v>1</v>
      </c>
      <c r="D66" s="16" t="s">
        <v>1115</v>
      </c>
    </row>
    <row r="67" spans="1:4" ht="13.2">
      <c r="A67" s="258">
        <v>67</v>
      </c>
      <c r="B67" s="13" t="s">
        <v>1116</v>
      </c>
      <c r="C67" s="272">
        <v>2E-3</v>
      </c>
      <c r="D67" s="16" t="s">
        <v>865</v>
      </c>
    </row>
    <row r="68" spans="1:4" ht="13.2">
      <c r="A68" s="53"/>
      <c r="C68" s="272"/>
      <c r="D68" s="16"/>
    </row>
    <row r="69" spans="1:4" ht="13.2">
      <c r="A69" s="53"/>
      <c r="C69" s="272"/>
      <c r="D69" s="16"/>
    </row>
    <row r="70" spans="1:4" ht="13.2">
      <c r="A70" s="53"/>
      <c r="C70" s="272"/>
      <c r="D70" s="16"/>
    </row>
    <row r="71" spans="1:4" ht="13.2">
      <c r="A71" s="53"/>
      <c r="C71" s="272"/>
      <c r="D71" s="16"/>
    </row>
    <row r="72" spans="1:4" ht="13.2">
      <c r="A72" s="53"/>
      <c r="C72" s="272"/>
      <c r="D72" s="16"/>
    </row>
    <row r="73" spans="1:4" ht="13.2">
      <c r="A73" s="53"/>
      <c r="C73" s="272"/>
      <c r="D73" s="16"/>
    </row>
    <row r="74" spans="1:4" ht="13.2">
      <c r="A74" s="53"/>
      <c r="C74" s="272"/>
      <c r="D74" s="16"/>
    </row>
    <row r="75" spans="1:4" ht="13.2">
      <c r="A75" s="53"/>
      <c r="C75" s="272"/>
      <c r="D75" s="16"/>
    </row>
    <row r="76" spans="1:4" ht="13.2">
      <c r="A76" s="53"/>
      <c r="C76" s="272"/>
      <c r="D76" s="16"/>
    </row>
    <row r="77" spans="1:4" ht="13.2">
      <c r="A77" s="53"/>
      <c r="C77" s="272"/>
      <c r="D77" s="16"/>
    </row>
    <row r="78" spans="1:4" ht="13.2">
      <c r="A78" s="53"/>
      <c r="C78" s="272"/>
      <c r="D78" s="16"/>
    </row>
    <row r="79" spans="1:4" ht="13.2">
      <c r="A79" s="53"/>
      <c r="C79" s="272"/>
      <c r="D79" s="16"/>
    </row>
    <row r="80" spans="1:4" ht="13.2">
      <c r="A80" s="53"/>
      <c r="C80" s="272"/>
      <c r="D80" s="16"/>
    </row>
    <row r="81" spans="1:4" ht="13.2">
      <c r="A81" s="53"/>
      <c r="C81" s="272"/>
      <c r="D81" s="16"/>
    </row>
    <row r="82" spans="1:4" ht="13.2">
      <c r="A82" s="53"/>
      <c r="C82" s="272"/>
      <c r="D82" s="16"/>
    </row>
    <row r="83" spans="1:4" ht="13.2">
      <c r="A83" s="53"/>
      <c r="C83" s="272"/>
      <c r="D83" s="16"/>
    </row>
    <row r="84" spans="1:4" ht="13.2">
      <c r="A84" s="53"/>
      <c r="C84" s="272"/>
      <c r="D84" s="16"/>
    </row>
    <row r="85" spans="1:4" ht="13.2">
      <c r="A85" s="53"/>
      <c r="C85" s="272"/>
      <c r="D85" s="16"/>
    </row>
    <row r="86" spans="1:4" ht="13.2">
      <c r="A86" s="53"/>
      <c r="C86" s="272"/>
      <c r="D86" s="16"/>
    </row>
    <row r="87" spans="1:4" ht="13.2">
      <c r="A87" s="53"/>
      <c r="C87" s="272"/>
      <c r="D87" s="16"/>
    </row>
    <row r="88" spans="1:4" ht="13.2">
      <c r="A88" s="53"/>
      <c r="C88" s="272"/>
      <c r="D88" s="16"/>
    </row>
    <row r="89" spans="1:4" ht="13.2">
      <c r="A89" s="53"/>
      <c r="C89" s="272"/>
      <c r="D89" s="16"/>
    </row>
    <row r="90" spans="1:4" ht="13.2">
      <c r="A90" s="53"/>
      <c r="C90" s="272"/>
      <c r="D90" s="16"/>
    </row>
    <row r="91" spans="1:4" ht="13.2">
      <c r="A91" s="53"/>
      <c r="C91" s="272"/>
      <c r="D91" s="16"/>
    </row>
    <row r="92" spans="1:4" ht="13.2">
      <c r="A92" s="53"/>
      <c r="C92" s="272"/>
      <c r="D92" s="16"/>
    </row>
    <row r="93" spans="1:4" ht="13.2">
      <c r="A93" s="53"/>
      <c r="C93" s="272"/>
      <c r="D93" s="16"/>
    </row>
    <row r="94" spans="1:4" ht="13.2">
      <c r="A94" s="53"/>
      <c r="C94" s="272"/>
      <c r="D94" s="16"/>
    </row>
    <row r="95" spans="1:4" ht="13.2">
      <c r="A95" s="53"/>
      <c r="C95" s="272"/>
      <c r="D95" s="16"/>
    </row>
    <row r="96" spans="1:4" ht="13.2">
      <c r="A96" s="53"/>
      <c r="C96" s="272"/>
      <c r="D96" s="16"/>
    </row>
    <row r="97" spans="1:4" ht="13.2">
      <c r="A97" s="53"/>
      <c r="C97" s="272"/>
      <c r="D97" s="16"/>
    </row>
    <row r="98" spans="1:4" ht="13.2">
      <c r="A98" s="53"/>
      <c r="C98" s="272"/>
      <c r="D98" s="16"/>
    </row>
    <row r="99" spans="1:4" ht="13.2">
      <c r="A99" s="53"/>
      <c r="C99" s="272"/>
      <c r="D99" s="16"/>
    </row>
    <row r="100" spans="1:4" ht="13.2">
      <c r="A100" s="53"/>
      <c r="C100" s="272"/>
      <c r="D100" s="16"/>
    </row>
    <row r="101" spans="1:4" ht="13.2">
      <c r="A101" s="53"/>
      <c r="C101" s="272"/>
      <c r="D101" s="16"/>
    </row>
    <row r="102" spans="1:4" ht="13.2">
      <c r="A102" s="53"/>
      <c r="C102" s="272"/>
      <c r="D102" s="16"/>
    </row>
    <row r="103" spans="1:4" ht="13.2">
      <c r="A103" s="53"/>
      <c r="C103" s="272"/>
      <c r="D103" s="16"/>
    </row>
    <row r="104" spans="1:4" ht="13.2">
      <c r="A104" s="53"/>
      <c r="C104" s="272"/>
      <c r="D104" s="16"/>
    </row>
    <row r="105" spans="1:4" ht="13.2">
      <c r="A105" s="53"/>
      <c r="C105" s="272"/>
      <c r="D105" s="16"/>
    </row>
    <row r="106" spans="1:4" ht="13.2">
      <c r="A106" s="53"/>
      <c r="C106" s="272"/>
      <c r="D106" s="16"/>
    </row>
    <row r="107" spans="1:4" ht="13.2">
      <c r="A107" s="53"/>
      <c r="C107" s="272"/>
      <c r="D107" s="16"/>
    </row>
    <row r="108" spans="1:4" ht="13.2">
      <c r="A108" s="53"/>
      <c r="C108" s="272"/>
      <c r="D108" s="16"/>
    </row>
    <row r="109" spans="1:4" ht="13.2">
      <c r="A109" s="53"/>
      <c r="C109" s="272"/>
      <c r="D109" s="16"/>
    </row>
    <row r="110" spans="1:4" ht="13.2">
      <c r="A110" s="53"/>
      <c r="C110" s="272"/>
      <c r="D110" s="16"/>
    </row>
    <row r="111" spans="1:4" ht="13.2">
      <c r="A111" s="53"/>
      <c r="C111" s="272"/>
      <c r="D111" s="16"/>
    </row>
    <row r="112" spans="1:4" ht="13.2">
      <c r="A112" s="53"/>
      <c r="C112" s="272"/>
      <c r="D112" s="16"/>
    </row>
    <row r="113" spans="1:4" ht="13.2">
      <c r="A113" s="53"/>
      <c r="C113" s="272"/>
      <c r="D113" s="16"/>
    </row>
    <row r="114" spans="1:4" ht="13.2">
      <c r="A114" s="53"/>
      <c r="C114" s="272"/>
      <c r="D114" s="16"/>
    </row>
    <row r="115" spans="1:4" ht="13.2">
      <c r="A115" s="53"/>
      <c r="C115" s="272"/>
      <c r="D115" s="16"/>
    </row>
    <row r="116" spans="1:4" ht="13.2">
      <c r="A116" s="53"/>
      <c r="C116" s="272"/>
      <c r="D116" s="16"/>
    </row>
    <row r="117" spans="1:4" ht="13.2">
      <c r="A117" s="53"/>
      <c r="C117" s="272"/>
      <c r="D117" s="16"/>
    </row>
    <row r="118" spans="1:4" ht="13.2">
      <c r="A118" s="53"/>
      <c r="C118" s="272"/>
      <c r="D118" s="16"/>
    </row>
    <row r="119" spans="1:4" ht="13.2">
      <c r="A119" s="53"/>
      <c r="C119" s="272"/>
      <c r="D119" s="16"/>
    </row>
    <row r="120" spans="1:4" ht="13.2">
      <c r="A120" s="53"/>
      <c r="C120" s="272"/>
      <c r="D120" s="16"/>
    </row>
    <row r="121" spans="1:4" ht="13.2">
      <c r="A121" s="53"/>
      <c r="C121" s="272"/>
      <c r="D121" s="16"/>
    </row>
    <row r="122" spans="1:4" ht="13.2">
      <c r="A122" s="53"/>
      <c r="C122" s="272"/>
      <c r="D122" s="16"/>
    </row>
    <row r="123" spans="1:4" ht="13.2">
      <c r="A123" s="53"/>
      <c r="C123" s="272"/>
      <c r="D123" s="16"/>
    </row>
    <row r="124" spans="1:4" ht="13.2">
      <c r="A124" s="53"/>
      <c r="C124" s="272"/>
      <c r="D124" s="16"/>
    </row>
    <row r="125" spans="1:4" ht="13.2">
      <c r="A125" s="53"/>
      <c r="C125" s="272"/>
      <c r="D125" s="16"/>
    </row>
    <row r="126" spans="1:4" ht="13.2">
      <c r="A126" s="53"/>
      <c r="C126" s="272"/>
      <c r="D126" s="16"/>
    </row>
    <row r="127" spans="1:4" ht="13.2">
      <c r="A127" s="53"/>
      <c r="C127" s="272"/>
      <c r="D127" s="16"/>
    </row>
    <row r="128" spans="1:4" ht="13.2">
      <c r="A128" s="53"/>
      <c r="C128" s="272"/>
      <c r="D128" s="16"/>
    </row>
    <row r="129" spans="1:4" ht="13.2">
      <c r="A129" s="53"/>
      <c r="C129" s="272"/>
      <c r="D129" s="16"/>
    </row>
    <row r="130" spans="1:4" ht="13.2">
      <c r="A130" s="53"/>
      <c r="C130" s="272"/>
      <c r="D130" s="16"/>
    </row>
    <row r="131" spans="1:4" ht="13.2">
      <c r="A131" s="53"/>
      <c r="C131" s="272"/>
      <c r="D131" s="16"/>
    </row>
    <row r="132" spans="1:4" ht="13.2">
      <c r="A132" s="53"/>
      <c r="C132" s="272"/>
      <c r="D132" s="16"/>
    </row>
    <row r="133" spans="1:4" ht="13.2">
      <c r="A133" s="53"/>
      <c r="C133" s="272"/>
      <c r="D133" s="16"/>
    </row>
    <row r="134" spans="1:4" ht="13.2">
      <c r="A134" s="53"/>
      <c r="C134" s="272"/>
      <c r="D134" s="16"/>
    </row>
    <row r="135" spans="1:4" ht="13.2">
      <c r="A135" s="53"/>
      <c r="C135" s="272"/>
      <c r="D135" s="16"/>
    </row>
    <row r="136" spans="1:4" ht="13.2">
      <c r="A136" s="53"/>
      <c r="C136" s="272"/>
      <c r="D136" s="16"/>
    </row>
    <row r="137" spans="1:4" ht="13.2">
      <c r="A137" s="53"/>
      <c r="C137" s="272"/>
      <c r="D137" s="16"/>
    </row>
    <row r="138" spans="1:4" ht="13.2">
      <c r="A138" s="53"/>
      <c r="C138" s="272"/>
      <c r="D138" s="16"/>
    </row>
    <row r="139" spans="1:4" ht="13.2">
      <c r="A139" s="53"/>
      <c r="C139" s="272"/>
      <c r="D139" s="16"/>
    </row>
    <row r="140" spans="1:4" ht="13.2">
      <c r="A140" s="53"/>
      <c r="C140" s="272"/>
      <c r="D140" s="16"/>
    </row>
    <row r="141" spans="1:4" ht="13.2">
      <c r="A141" s="53"/>
      <c r="C141" s="272"/>
      <c r="D141" s="16"/>
    </row>
    <row r="142" spans="1:4" ht="13.2">
      <c r="A142" s="53"/>
      <c r="C142" s="272"/>
      <c r="D142" s="16"/>
    </row>
    <row r="143" spans="1:4" ht="13.2">
      <c r="A143" s="53"/>
      <c r="C143" s="272"/>
      <c r="D143" s="16"/>
    </row>
    <row r="144" spans="1:4" ht="13.2">
      <c r="A144" s="53"/>
      <c r="C144" s="272"/>
      <c r="D144" s="16"/>
    </row>
    <row r="145" spans="1:4" ht="13.2">
      <c r="A145" s="53"/>
      <c r="C145" s="272"/>
      <c r="D145" s="16"/>
    </row>
    <row r="146" spans="1:4" ht="13.2">
      <c r="A146" s="53"/>
      <c r="C146" s="272"/>
      <c r="D146" s="16"/>
    </row>
    <row r="147" spans="1:4" ht="13.2">
      <c r="A147" s="53"/>
      <c r="C147" s="272"/>
      <c r="D147" s="16"/>
    </row>
    <row r="148" spans="1:4" ht="13.2">
      <c r="A148" s="53"/>
      <c r="C148" s="272"/>
      <c r="D148" s="16"/>
    </row>
    <row r="149" spans="1:4" ht="13.2">
      <c r="A149" s="53"/>
      <c r="C149" s="272"/>
      <c r="D149" s="16"/>
    </row>
    <row r="150" spans="1:4" ht="13.2">
      <c r="A150" s="53"/>
      <c r="C150" s="272"/>
      <c r="D150" s="16"/>
    </row>
    <row r="151" spans="1:4" ht="13.2">
      <c r="A151" s="53"/>
      <c r="C151" s="272"/>
      <c r="D151" s="16"/>
    </row>
    <row r="152" spans="1:4" ht="13.2">
      <c r="A152" s="53"/>
      <c r="C152" s="272"/>
      <c r="D152" s="16"/>
    </row>
    <row r="153" spans="1:4" ht="13.2">
      <c r="A153" s="53"/>
      <c r="C153" s="272"/>
      <c r="D153" s="16"/>
    </row>
    <row r="154" spans="1:4" ht="13.2">
      <c r="A154" s="53"/>
      <c r="C154" s="272"/>
      <c r="D154" s="16"/>
    </row>
    <row r="155" spans="1:4" ht="13.2">
      <c r="A155" s="53"/>
      <c r="C155" s="272"/>
      <c r="D155" s="16"/>
    </row>
    <row r="156" spans="1:4" ht="13.2">
      <c r="A156" s="53"/>
      <c r="C156" s="272"/>
      <c r="D156" s="16"/>
    </row>
    <row r="157" spans="1:4" ht="13.2">
      <c r="A157" s="53"/>
      <c r="C157" s="272"/>
      <c r="D157" s="16"/>
    </row>
    <row r="158" spans="1:4" ht="13.2">
      <c r="A158" s="53"/>
      <c r="C158" s="272"/>
      <c r="D158" s="16"/>
    </row>
    <row r="159" spans="1:4" ht="13.2">
      <c r="A159" s="53"/>
      <c r="C159" s="272"/>
      <c r="D159" s="16"/>
    </row>
    <row r="160" spans="1:4" ht="13.2">
      <c r="A160" s="53"/>
      <c r="C160" s="272"/>
      <c r="D160" s="16"/>
    </row>
    <row r="161" spans="1:4" ht="13.2">
      <c r="A161" s="53"/>
      <c r="C161" s="272"/>
      <c r="D161" s="16"/>
    </row>
    <row r="162" spans="1:4" ht="13.2">
      <c r="A162" s="53"/>
      <c r="C162" s="272"/>
      <c r="D162" s="16"/>
    </row>
    <row r="163" spans="1:4" ht="13.2">
      <c r="A163" s="53"/>
      <c r="C163" s="272"/>
      <c r="D163" s="16"/>
    </row>
    <row r="164" spans="1:4" ht="13.2">
      <c r="A164" s="53"/>
      <c r="C164" s="272"/>
      <c r="D164" s="16"/>
    </row>
    <row r="165" spans="1:4" ht="13.2">
      <c r="A165" s="53"/>
      <c r="C165" s="272"/>
      <c r="D165" s="16"/>
    </row>
    <row r="166" spans="1:4" ht="13.2">
      <c r="A166" s="53"/>
      <c r="C166" s="272"/>
      <c r="D166" s="16"/>
    </row>
    <row r="167" spans="1:4" ht="13.2">
      <c r="A167" s="53"/>
      <c r="C167" s="272"/>
      <c r="D167" s="16"/>
    </row>
    <row r="168" spans="1:4" ht="13.2">
      <c r="A168" s="53"/>
      <c r="C168" s="272"/>
      <c r="D168" s="16"/>
    </row>
    <row r="169" spans="1:4" ht="13.2">
      <c r="A169" s="53"/>
      <c r="C169" s="272"/>
      <c r="D169" s="16"/>
    </row>
    <row r="170" spans="1:4" ht="13.2">
      <c r="A170" s="53"/>
      <c r="C170" s="272"/>
      <c r="D170" s="16"/>
    </row>
    <row r="171" spans="1:4" ht="13.2">
      <c r="A171" s="53"/>
      <c r="C171" s="272"/>
      <c r="D171" s="16"/>
    </row>
    <row r="172" spans="1:4" ht="13.2">
      <c r="A172" s="53"/>
      <c r="C172" s="272"/>
      <c r="D172" s="16"/>
    </row>
    <row r="173" spans="1:4" ht="13.2">
      <c r="A173" s="53"/>
      <c r="C173" s="272"/>
      <c r="D173" s="16"/>
    </row>
    <row r="174" spans="1:4" ht="13.2">
      <c r="A174" s="53"/>
      <c r="C174" s="272"/>
      <c r="D174" s="16"/>
    </row>
    <row r="175" spans="1:4" ht="13.2">
      <c r="A175" s="53"/>
      <c r="C175" s="272"/>
      <c r="D175" s="16"/>
    </row>
    <row r="176" spans="1:4" ht="13.2">
      <c r="A176" s="53"/>
      <c r="C176" s="272"/>
      <c r="D176" s="16"/>
    </row>
    <row r="177" spans="1:4" ht="13.2">
      <c r="A177" s="53"/>
      <c r="C177" s="272"/>
      <c r="D177" s="16"/>
    </row>
    <row r="178" spans="1:4" ht="13.2">
      <c r="A178" s="53"/>
      <c r="C178" s="272"/>
      <c r="D178" s="16"/>
    </row>
    <row r="179" spans="1:4" ht="13.2">
      <c r="A179" s="53"/>
      <c r="C179" s="272"/>
      <c r="D179" s="16"/>
    </row>
    <row r="180" spans="1:4" ht="13.2">
      <c r="A180" s="53"/>
      <c r="C180" s="272"/>
      <c r="D180" s="16"/>
    </row>
    <row r="181" spans="1:4" ht="13.2">
      <c r="A181" s="53"/>
      <c r="C181" s="272"/>
      <c r="D181" s="16"/>
    </row>
    <row r="182" spans="1:4" ht="13.2">
      <c r="A182" s="53"/>
      <c r="C182" s="272"/>
      <c r="D182" s="16"/>
    </row>
    <row r="183" spans="1:4" ht="13.2">
      <c r="A183" s="53"/>
      <c r="C183" s="272"/>
      <c r="D183" s="16"/>
    </row>
    <row r="184" spans="1:4" ht="13.2">
      <c r="A184" s="53"/>
      <c r="C184" s="272"/>
      <c r="D184" s="16"/>
    </row>
    <row r="185" spans="1:4" ht="13.2">
      <c r="A185" s="53"/>
      <c r="C185" s="272"/>
      <c r="D185" s="16"/>
    </row>
    <row r="186" spans="1:4" ht="13.2">
      <c r="A186" s="53"/>
      <c r="C186" s="272"/>
      <c r="D186" s="16"/>
    </row>
    <row r="187" spans="1:4" ht="13.2">
      <c r="A187" s="53"/>
      <c r="C187" s="272"/>
      <c r="D187" s="16"/>
    </row>
    <row r="188" spans="1:4" ht="13.2">
      <c r="A188" s="53"/>
      <c r="C188" s="272"/>
      <c r="D188" s="16"/>
    </row>
    <row r="189" spans="1:4" ht="13.2">
      <c r="A189" s="53"/>
      <c r="C189" s="272"/>
      <c r="D189" s="16"/>
    </row>
    <row r="190" spans="1:4" ht="13.2">
      <c r="A190" s="53"/>
      <c r="C190" s="272"/>
      <c r="D190" s="16"/>
    </row>
    <row r="191" spans="1:4" ht="13.2">
      <c r="A191" s="53"/>
      <c r="C191" s="272"/>
      <c r="D191" s="16"/>
    </row>
    <row r="192" spans="1:4" ht="13.2">
      <c r="A192" s="53"/>
      <c r="C192" s="272"/>
      <c r="D192" s="16"/>
    </row>
    <row r="193" spans="1:4" ht="13.2">
      <c r="A193" s="53"/>
      <c r="C193" s="272"/>
      <c r="D193" s="16"/>
    </row>
    <row r="194" spans="1:4" ht="13.2">
      <c r="A194" s="53"/>
      <c r="C194" s="272"/>
      <c r="D194" s="16"/>
    </row>
    <row r="195" spans="1:4" ht="13.2">
      <c r="A195" s="53"/>
      <c r="C195" s="272"/>
      <c r="D195" s="16"/>
    </row>
    <row r="196" spans="1:4" ht="13.2">
      <c r="A196" s="53"/>
      <c r="C196" s="272"/>
      <c r="D196" s="16"/>
    </row>
    <row r="197" spans="1:4" ht="13.2">
      <c r="A197" s="53"/>
      <c r="C197" s="272"/>
      <c r="D197" s="16"/>
    </row>
    <row r="198" spans="1:4" ht="13.2">
      <c r="A198" s="53"/>
      <c r="C198" s="272"/>
      <c r="D198" s="16"/>
    </row>
    <row r="199" spans="1:4" ht="13.2">
      <c r="A199" s="53"/>
      <c r="C199" s="272"/>
      <c r="D199" s="16"/>
    </row>
    <row r="200" spans="1:4" ht="13.2">
      <c r="A200" s="53"/>
      <c r="C200" s="272"/>
      <c r="D200" s="16"/>
    </row>
    <row r="201" spans="1:4" ht="13.2">
      <c r="A201" s="53"/>
      <c r="C201" s="272"/>
      <c r="D201" s="16"/>
    </row>
    <row r="202" spans="1:4" ht="13.2">
      <c r="A202" s="53"/>
      <c r="C202" s="272"/>
      <c r="D202" s="16"/>
    </row>
    <row r="203" spans="1:4" ht="13.2">
      <c r="A203" s="53"/>
      <c r="C203" s="272"/>
      <c r="D203" s="16"/>
    </row>
    <row r="204" spans="1:4" ht="13.2">
      <c r="A204" s="53"/>
      <c r="C204" s="272"/>
      <c r="D204" s="16"/>
    </row>
    <row r="205" spans="1:4" ht="13.2">
      <c r="A205" s="53"/>
      <c r="C205" s="272"/>
      <c r="D205" s="16"/>
    </row>
    <row r="206" spans="1:4" ht="13.2">
      <c r="A206" s="53"/>
      <c r="C206" s="272"/>
      <c r="D206" s="16"/>
    </row>
    <row r="207" spans="1:4" ht="13.2">
      <c r="A207" s="53"/>
      <c r="C207" s="272"/>
      <c r="D207" s="16"/>
    </row>
    <row r="208" spans="1:4" ht="13.2">
      <c r="A208" s="53"/>
      <c r="C208" s="272"/>
      <c r="D208" s="16"/>
    </row>
    <row r="209" spans="1:4" ht="13.2">
      <c r="A209" s="53"/>
      <c r="C209" s="272"/>
      <c r="D209" s="16"/>
    </row>
    <row r="210" spans="1:4" ht="13.2">
      <c r="A210" s="53"/>
      <c r="C210" s="272"/>
      <c r="D210" s="16"/>
    </row>
    <row r="211" spans="1:4" ht="13.2">
      <c r="A211" s="53"/>
      <c r="C211" s="272"/>
      <c r="D211" s="16"/>
    </row>
    <row r="212" spans="1:4" ht="13.2">
      <c r="A212" s="53"/>
      <c r="C212" s="272"/>
      <c r="D212" s="16"/>
    </row>
    <row r="213" spans="1:4" ht="13.2">
      <c r="A213" s="53"/>
      <c r="C213" s="272"/>
      <c r="D213" s="16"/>
    </row>
    <row r="214" spans="1:4" ht="13.2">
      <c r="A214" s="53"/>
      <c r="C214" s="272"/>
      <c r="D214" s="16"/>
    </row>
    <row r="215" spans="1:4" ht="13.2">
      <c r="A215" s="53"/>
      <c r="C215" s="272"/>
      <c r="D215" s="16"/>
    </row>
    <row r="216" spans="1:4" ht="13.2">
      <c r="A216" s="53"/>
      <c r="C216" s="272"/>
      <c r="D216" s="16"/>
    </row>
    <row r="217" spans="1:4" ht="13.2">
      <c r="A217" s="53"/>
      <c r="C217" s="272"/>
      <c r="D217" s="16"/>
    </row>
    <row r="218" spans="1:4" ht="13.2">
      <c r="A218" s="53"/>
      <c r="C218" s="272"/>
      <c r="D218" s="16"/>
    </row>
    <row r="219" spans="1:4" ht="13.2">
      <c r="A219" s="53"/>
      <c r="C219" s="272"/>
      <c r="D219" s="16"/>
    </row>
    <row r="220" spans="1:4" ht="13.2">
      <c r="A220" s="53"/>
      <c r="C220" s="272"/>
      <c r="D220" s="16"/>
    </row>
    <row r="221" spans="1:4" ht="13.2">
      <c r="A221" s="53"/>
      <c r="C221" s="272"/>
      <c r="D221" s="16"/>
    </row>
    <row r="222" spans="1:4" ht="13.2">
      <c r="A222" s="53"/>
      <c r="C222" s="272"/>
      <c r="D222" s="16"/>
    </row>
    <row r="223" spans="1:4" ht="13.2">
      <c r="A223" s="53"/>
      <c r="C223" s="272"/>
      <c r="D223" s="16"/>
    </row>
    <row r="224" spans="1:4" ht="13.2">
      <c r="A224" s="53"/>
      <c r="C224" s="272"/>
      <c r="D224" s="16"/>
    </row>
    <row r="225" spans="1:4" ht="13.2">
      <c r="A225" s="53"/>
      <c r="C225" s="272"/>
      <c r="D225" s="16"/>
    </row>
    <row r="226" spans="1:4" ht="13.2">
      <c r="A226" s="53"/>
      <c r="C226" s="272"/>
      <c r="D226" s="16"/>
    </row>
    <row r="227" spans="1:4" ht="13.2">
      <c r="A227" s="53"/>
      <c r="C227" s="272"/>
      <c r="D227" s="16"/>
    </row>
    <row r="228" spans="1:4" ht="13.2">
      <c r="A228" s="53"/>
      <c r="C228" s="272"/>
      <c r="D228" s="16"/>
    </row>
    <row r="229" spans="1:4" ht="13.2">
      <c r="A229" s="53"/>
      <c r="C229" s="272"/>
      <c r="D229" s="16"/>
    </row>
    <row r="230" spans="1:4" ht="13.2">
      <c r="A230" s="53"/>
      <c r="C230" s="272"/>
      <c r="D230" s="16"/>
    </row>
    <row r="231" spans="1:4" ht="13.2">
      <c r="A231" s="53"/>
      <c r="C231" s="272"/>
      <c r="D231" s="16"/>
    </row>
    <row r="232" spans="1:4" ht="13.2">
      <c r="A232" s="53"/>
      <c r="C232" s="272"/>
      <c r="D232" s="16"/>
    </row>
    <row r="233" spans="1:4" ht="13.2">
      <c r="A233" s="53"/>
      <c r="C233" s="272"/>
      <c r="D233" s="16"/>
    </row>
    <row r="234" spans="1:4" ht="13.2">
      <c r="A234" s="53"/>
      <c r="C234" s="272"/>
      <c r="D234" s="16"/>
    </row>
    <row r="235" spans="1:4" ht="13.2">
      <c r="A235" s="53"/>
      <c r="C235" s="272"/>
      <c r="D235" s="16"/>
    </row>
    <row r="236" spans="1:4" ht="13.2">
      <c r="A236" s="53"/>
      <c r="C236" s="272"/>
      <c r="D236" s="16"/>
    </row>
    <row r="237" spans="1:4" ht="13.2">
      <c r="A237" s="53"/>
      <c r="C237" s="272"/>
      <c r="D237" s="16"/>
    </row>
    <row r="238" spans="1:4" ht="13.2">
      <c r="A238" s="53"/>
      <c r="C238" s="272"/>
      <c r="D238" s="16"/>
    </row>
    <row r="239" spans="1:4" ht="13.2">
      <c r="A239" s="53"/>
      <c r="C239" s="272"/>
      <c r="D239" s="16"/>
    </row>
    <row r="240" spans="1:4" ht="13.2">
      <c r="A240" s="53"/>
      <c r="C240" s="272"/>
      <c r="D240" s="16"/>
    </row>
    <row r="241" spans="1:4" ht="13.2">
      <c r="A241" s="53"/>
      <c r="C241" s="272"/>
      <c r="D241" s="16"/>
    </row>
    <row r="242" spans="1:4" ht="13.2">
      <c r="A242" s="53"/>
      <c r="C242" s="272"/>
      <c r="D242" s="16"/>
    </row>
    <row r="243" spans="1:4" ht="13.2">
      <c r="A243" s="53"/>
      <c r="C243" s="272"/>
      <c r="D243" s="16"/>
    </row>
    <row r="244" spans="1:4" ht="13.2">
      <c r="A244" s="53"/>
      <c r="C244" s="272"/>
      <c r="D244" s="16"/>
    </row>
    <row r="245" spans="1:4" ht="13.2">
      <c r="A245" s="53"/>
      <c r="C245" s="272"/>
      <c r="D245" s="16"/>
    </row>
    <row r="246" spans="1:4" ht="13.2">
      <c r="A246" s="53"/>
      <c r="C246" s="272"/>
      <c r="D246" s="16"/>
    </row>
    <row r="247" spans="1:4" ht="13.2">
      <c r="A247" s="53"/>
      <c r="C247" s="272"/>
      <c r="D247" s="16"/>
    </row>
    <row r="248" spans="1:4" ht="13.2">
      <c r="A248" s="53"/>
      <c r="C248" s="272"/>
      <c r="D248" s="16"/>
    </row>
    <row r="249" spans="1:4" ht="13.2">
      <c r="A249" s="53"/>
      <c r="C249" s="272"/>
      <c r="D249" s="16"/>
    </row>
    <row r="250" spans="1:4" ht="13.2">
      <c r="A250" s="53"/>
      <c r="C250" s="272"/>
      <c r="D250" s="16"/>
    </row>
    <row r="251" spans="1:4" ht="13.2">
      <c r="A251" s="53"/>
      <c r="C251" s="272"/>
      <c r="D251" s="16"/>
    </row>
    <row r="252" spans="1:4" ht="13.2">
      <c r="A252" s="53"/>
      <c r="C252" s="272"/>
      <c r="D252" s="16"/>
    </row>
    <row r="253" spans="1:4" ht="13.2">
      <c r="A253" s="53"/>
      <c r="C253" s="272"/>
      <c r="D253" s="16"/>
    </row>
    <row r="254" spans="1:4" ht="13.2">
      <c r="A254" s="53"/>
      <c r="C254" s="272"/>
      <c r="D254" s="16"/>
    </row>
    <row r="255" spans="1:4" ht="13.2">
      <c r="A255" s="53"/>
      <c r="C255" s="272"/>
      <c r="D255" s="16"/>
    </row>
    <row r="256" spans="1:4" ht="13.2">
      <c r="A256" s="53"/>
      <c r="C256" s="272"/>
      <c r="D256" s="16"/>
    </row>
    <row r="257" spans="1:4" ht="13.2">
      <c r="A257" s="53"/>
      <c r="C257" s="272"/>
      <c r="D257" s="16"/>
    </row>
    <row r="258" spans="1:4" ht="13.2">
      <c r="A258" s="53"/>
      <c r="C258" s="272"/>
      <c r="D258" s="16"/>
    </row>
    <row r="259" spans="1:4" ht="13.2">
      <c r="A259" s="53"/>
      <c r="C259" s="272"/>
      <c r="D259" s="16"/>
    </row>
    <row r="260" spans="1:4" ht="13.2">
      <c r="A260" s="53"/>
      <c r="C260" s="272"/>
      <c r="D260" s="16"/>
    </row>
    <row r="261" spans="1:4" ht="13.2">
      <c r="A261" s="53"/>
      <c r="C261" s="272"/>
      <c r="D261" s="16"/>
    </row>
    <row r="262" spans="1:4" ht="13.2">
      <c r="A262" s="53"/>
      <c r="C262" s="272"/>
      <c r="D262" s="16"/>
    </row>
    <row r="263" spans="1:4" ht="13.2">
      <c r="A263" s="53"/>
      <c r="C263" s="272"/>
      <c r="D263" s="16"/>
    </row>
    <row r="264" spans="1:4" ht="13.2">
      <c r="A264" s="53"/>
      <c r="C264" s="272"/>
      <c r="D264" s="16"/>
    </row>
    <row r="265" spans="1:4" ht="13.2">
      <c r="A265" s="53"/>
      <c r="C265" s="272"/>
      <c r="D265" s="16"/>
    </row>
    <row r="266" spans="1:4" ht="13.2">
      <c r="A266" s="53"/>
      <c r="C266" s="272"/>
      <c r="D266" s="16"/>
    </row>
    <row r="267" spans="1:4" ht="13.2">
      <c r="A267" s="53"/>
      <c r="C267" s="272"/>
      <c r="D267" s="16"/>
    </row>
    <row r="268" spans="1:4" ht="13.2">
      <c r="A268" s="53"/>
      <c r="C268" s="272"/>
      <c r="D268" s="16"/>
    </row>
    <row r="269" spans="1:4" ht="13.2">
      <c r="A269" s="53"/>
      <c r="C269" s="272"/>
      <c r="D269" s="16"/>
    </row>
    <row r="270" spans="1:4" ht="13.2">
      <c r="A270" s="53"/>
      <c r="C270" s="272"/>
      <c r="D270" s="16"/>
    </row>
    <row r="271" spans="1:4" ht="13.2">
      <c r="A271" s="53"/>
      <c r="C271" s="272"/>
      <c r="D271" s="16"/>
    </row>
    <row r="272" spans="1:4" ht="13.2">
      <c r="A272" s="53"/>
      <c r="C272" s="272"/>
      <c r="D272" s="16"/>
    </row>
    <row r="273" spans="1:4" ht="13.2">
      <c r="A273" s="53"/>
      <c r="C273" s="272"/>
      <c r="D273" s="16"/>
    </row>
    <row r="274" spans="1:4" ht="13.2">
      <c r="A274" s="53"/>
      <c r="C274" s="272"/>
      <c r="D274" s="16"/>
    </row>
    <row r="275" spans="1:4" ht="13.2">
      <c r="A275" s="53"/>
      <c r="C275" s="272"/>
      <c r="D275" s="16"/>
    </row>
    <row r="276" spans="1:4" ht="13.2">
      <c r="A276" s="53"/>
      <c r="C276" s="272"/>
      <c r="D276" s="16"/>
    </row>
    <row r="277" spans="1:4" ht="13.2">
      <c r="A277" s="53"/>
      <c r="C277" s="272"/>
      <c r="D277" s="16"/>
    </row>
    <row r="278" spans="1:4" ht="13.2">
      <c r="A278" s="53"/>
      <c r="C278" s="272"/>
      <c r="D278" s="16"/>
    </row>
    <row r="279" spans="1:4" ht="13.2">
      <c r="A279" s="53"/>
      <c r="C279" s="272"/>
      <c r="D279" s="16"/>
    </row>
    <row r="280" spans="1:4" ht="13.2">
      <c r="A280" s="53"/>
      <c r="C280" s="272"/>
      <c r="D280" s="16"/>
    </row>
    <row r="281" spans="1:4" ht="13.2">
      <c r="A281" s="53"/>
      <c r="C281" s="272"/>
      <c r="D281" s="16"/>
    </row>
    <row r="282" spans="1:4" ht="13.2">
      <c r="A282" s="53"/>
      <c r="C282" s="272"/>
      <c r="D282" s="16"/>
    </row>
    <row r="283" spans="1:4" ht="13.2">
      <c r="A283" s="53"/>
      <c r="C283" s="272"/>
      <c r="D283" s="16"/>
    </row>
    <row r="284" spans="1:4" ht="13.2">
      <c r="A284" s="53"/>
      <c r="C284" s="272"/>
      <c r="D284" s="16"/>
    </row>
    <row r="285" spans="1:4" ht="13.2">
      <c r="A285" s="53"/>
      <c r="C285" s="272"/>
      <c r="D285" s="16"/>
    </row>
    <row r="286" spans="1:4" ht="13.2">
      <c r="A286" s="53"/>
      <c r="C286" s="272"/>
      <c r="D286" s="16"/>
    </row>
    <row r="287" spans="1:4" ht="13.2">
      <c r="A287" s="53"/>
      <c r="C287" s="272"/>
      <c r="D287" s="16"/>
    </row>
    <row r="288" spans="1:4" ht="13.2">
      <c r="A288" s="53"/>
      <c r="C288" s="272"/>
      <c r="D288" s="16"/>
    </row>
    <row r="289" spans="1:4" ht="13.2">
      <c r="A289" s="53"/>
      <c r="C289" s="272"/>
      <c r="D289" s="16"/>
    </row>
    <row r="290" spans="1:4" ht="13.2">
      <c r="A290" s="53"/>
      <c r="C290" s="272"/>
      <c r="D290" s="16"/>
    </row>
    <row r="291" spans="1:4" ht="13.2">
      <c r="A291" s="53"/>
      <c r="C291" s="272"/>
      <c r="D291" s="16"/>
    </row>
    <row r="292" spans="1:4" ht="13.2">
      <c r="A292" s="53"/>
      <c r="C292" s="272"/>
      <c r="D292" s="16"/>
    </row>
    <row r="293" spans="1:4" ht="13.2">
      <c r="A293" s="53"/>
      <c r="C293" s="272"/>
      <c r="D293" s="16"/>
    </row>
    <row r="294" spans="1:4" ht="13.2">
      <c r="A294" s="53"/>
      <c r="C294" s="272"/>
      <c r="D294" s="16"/>
    </row>
    <row r="295" spans="1:4" ht="13.2">
      <c r="A295" s="53"/>
      <c r="C295" s="272"/>
      <c r="D295" s="16"/>
    </row>
    <row r="296" spans="1:4" ht="13.2">
      <c r="A296" s="53"/>
      <c r="C296" s="272"/>
      <c r="D296" s="16"/>
    </row>
    <row r="297" spans="1:4" ht="13.2">
      <c r="A297" s="53"/>
      <c r="C297" s="272"/>
      <c r="D297" s="16"/>
    </row>
    <row r="298" spans="1:4" ht="13.2">
      <c r="A298" s="53"/>
      <c r="C298" s="272"/>
      <c r="D298" s="16"/>
    </row>
    <row r="299" spans="1:4" ht="13.2">
      <c r="A299" s="53"/>
      <c r="C299" s="272"/>
      <c r="D299" s="16"/>
    </row>
    <row r="300" spans="1:4" ht="13.2">
      <c r="A300" s="53"/>
      <c r="C300" s="272"/>
      <c r="D300" s="16"/>
    </row>
    <row r="301" spans="1:4" ht="13.2">
      <c r="A301" s="53"/>
      <c r="C301" s="272"/>
      <c r="D301" s="16"/>
    </row>
    <row r="302" spans="1:4" ht="13.2">
      <c r="A302" s="53"/>
      <c r="C302" s="272"/>
      <c r="D302" s="16"/>
    </row>
    <row r="303" spans="1:4" ht="13.2">
      <c r="A303" s="53"/>
      <c r="C303" s="272"/>
      <c r="D303" s="16"/>
    </row>
    <row r="304" spans="1:4" ht="13.2">
      <c r="A304" s="53"/>
      <c r="C304" s="272"/>
      <c r="D304" s="16"/>
    </row>
    <row r="305" spans="1:4" ht="13.2">
      <c r="A305" s="53"/>
      <c r="C305" s="272"/>
      <c r="D305" s="16"/>
    </row>
    <row r="306" spans="1:4" ht="13.2">
      <c r="A306" s="53"/>
      <c r="C306" s="272"/>
      <c r="D306" s="16"/>
    </row>
    <row r="307" spans="1:4" ht="13.2">
      <c r="A307" s="53"/>
      <c r="C307" s="272"/>
      <c r="D307" s="16"/>
    </row>
    <row r="308" spans="1:4" ht="13.2">
      <c r="A308" s="53"/>
      <c r="C308" s="272"/>
      <c r="D308" s="16"/>
    </row>
    <row r="309" spans="1:4" ht="13.2">
      <c r="A309" s="53"/>
      <c r="C309" s="272"/>
      <c r="D309" s="16"/>
    </row>
    <row r="310" spans="1:4" ht="13.2">
      <c r="A310" s="53"/>
      <c r="C310" s="272"/>
      <c r="D310" s="16"/>
    </row>
    <row r="311" spans="1:4" ht="13.2">
      <c r="A311" s="53"/>
      <c r="C311" s="272"/>
      <c r="D311" s="16"/>
    </row>
    <row r="312" spans="1:4" ht="13.2">
      <c r="A312" s="53"/>
      <c r="C312" s="272"/>
      <c r="D312" s="16"/>
    </row>
    <row r="313" spans="1:4" ht="13.2">
      <c r="A313" s="53"/>
      <c r="C313" s="272"/>
      <c r="D313" s="16"/>
    </row>
    <row r="314" spans="1:4" ht="13.2">
      <c r="A314" s="53"/>
      <c r="C314" s="272"/>
      <c r="D314" s="16"/>
    </row>
    <row r="315" spans="1:4" ht="13.2">
      <c r="A315" s="53"/>
      <c r="C315" s="272"/>
      <c r="D315" s="16"/>
    </row>
    <row r="316" spans="1:4" ht="13.2">
      <c r="A316" s="53"/>
      <c r="C316" s="272"/>
      <c r="D316" s="16"/>
    </row>
    <row r="317" spans="1:4" ht="13.2">
      <c r="A317" s="53"/>
      <c r="C317" s="272"/>
      <c r="D317" s="16"/>
    </row>
    <row r="318" spans="1:4" ht="13.2">
      <c r="A318" s="53"/>
      <c r="C318" s="272"/>
      <c r="D318" s="16"/>
    </row>
    <row r="319" spans="1:4" ht="13.2">
      <c r="A319" s="53"/>
      <c r="C319" s="272"/>
      <c r="D319" s="16"/>
    </row>
    <row r="320" spans="1:4" ht="13.2">
      <c r="A320" s="53"/>
      <c r="C320" s="272"/>
      <c r="D320" s="16"/>
    </row>
    <row r="321" spans="1:4" ht="13.2">
      <c r="A321" s="53"/>
      <c r="C321" s="272"/>
      <c r="D321" s="16"/>
    </row>
    <row r="322" spans="1:4" ht="13.2">
      <c r="A322" s="53"/>
      <c r="C322" s="272"/>
      <c r="D322" s="16"/>
    </row>
    <row r="323" spans="1:4" ht="13.2">
      <c r="A323" s="53"/>
      <c r="C323" s="272"/>
      <c r="D323" s="16"/>
    </row>
    <row r="324" spans="1:4" ht="13.2">
      <c r="A324" s="53"/>
      <c r="C324" s="272"/>
      <c r="D324" s="16"/>
    </row>
    <row r="325" spans="1:4" ht="13.2">
      <c r="A325" s="53"/>
      <c r="C325" s="272"/>
      <c r="D325" s="16"/>
    </row>
    <row r="326" spans="1:4" ht="13.2">
      <c r="A326" s="53"/>
      <c r="C326" s="272"/>
      <c r="D326" s="16"/>
    </row>
    <row r="327" spans="1:4" ht="13.2">
      <c r="A327" s="53"/>
      <c r="C327" s="272"/>
      <c r="D327" s="16"/>
    </row>
    <row r="328" spans="1:4" ht="13.2">
      <c r="A328" s="53"/>
      <c r="C328" s="272"/>
      <c r="D328" s="16"/>
    </row>
    <row r="329" spans="1:4" ht="13.2">
      <c r="A329" s="53"/>
      <c r="C329" s="272"/>
      <c r="D329" s="16"/>
    </row>
    <row r="330" spans="1:4" ht="13.2">
      <c r="A330" s="53"/>
      <c r="C330" s="272"/>
      <c r="D330" s="16"/>
    </row>
    <row r="331" spans="1:4" ht="13.2">
      <c r="A331" s="53"/>
      <c r="C331" s="272"/>
      <c r="D331" s="16"/>
    </row>
    <row r="332" spans="1:4" ht="13.2">
      <c r="A332" s="53"/>
      <c r="C332" s="272"/>
      <c r="D332" s="16"/>
    </row>
    <row r="333" spans="1:4" ht="13.2">
      <c r="A333" s="53"/>
      <c r="C333" s="272"/>
      <c r="D333" s="16"/>
    </row>
    <row r="334" spans="1:4" ht="13.2">
      <c r="A334" s="53"/>
      <c r="C334" s="272"/>
      <c r="D334" s="16"/>
    </row>
    <row r="335" spans="1:4" ht="13.2">
      <c r="A335" s="53"/>
      <c r="C335" s="272"/>
      <c r="D335" s="16"/>
    </row>
    <row r="336" spans="1:4" ht="13.2">
      <c r="A336" s="53"/>
      <c r="C336" s="272"/>
      <c r="D336" s="16"/>
    </row>
    <row r="337" spans="1:4" ht="13.2">
      <c r="A337" s="53"/>
      <c r="C337" s="272"/>
      <c r="D337" s="16"/>
    </row>
    <row r="338" spans="1:4" ht="13.2">
      <c r="A338" s="53"/>
      <c r="C338" s="272"/>
      <c r="D338" s="16"/>
    </row>
    <row r="339" spans="1:4" ht="13.2">
      <c r="A339" s="53"/>
      <c r="C339" s="272"/>
      <c r="D339" s="16"/>
    </row>
    <row r="340" spans="1:4" ht="13.2">
      <c r="A340" s="53"/>
      <c r="C340" s="272"/>
      <c r="D340" s="16"/>
    </row>
    <row r="341" spans="1:4" ht="13.2">
      <c r="A341" s="53"/>
      <c r="C341" s="272"/>
      <c r="D341" s="16"/>
    </row>
    <row r="342" spans="1:4" ht="13.2">
      <c r="A342" s="53"/>
      <c r="C342" s="272"/>
      <c r="D342" s="16"/>
    </row>
    <row r="343" spans="1:4" ht="13.2">
      <c r="A343" s="53"/>
      <c r="C343" s="272"/>
      <c r="D343" s="16"/>
    </row>
    <row r="344" spans="1:4" ht="13.2">
      <c r="A344" s="53"/>
      <c r="C344" s="272"/>
      <c r="D344" s="16"/>
    </row>
    <row r="345" spans="1:4" ht="13.2">
      <c r="A345" s="53"/>
      <c r="C345" s="272"/>
      <c r="D345" s="16"/>
    </row>
    <row r="346" spans="1:4" ht="13.2">
      <c r="A346" s="53"/>
      <c r="C346" s="272"/>
      <c r="D346" s="16"/>
    </row>
    <row r="347" spans="1:4" ht="13.2">
      <c r="A347" s="53"/>
      <c r="C347" s="272"/>
      <c r="D347" s="16"/>
    </row>
    <row r="348" spans="1:4" ht="13.2">
      <c r="A348" s="53"/>
      <c r="C348" s="272"/>
      <c r="D348" s="16"/>
    </row>
    <row r="349" spans="1:4" ht="13.2">
      <c r="A349" s="53"/>
      <c r="C349" s="272"/>
      <c r="D349" s="16"/>
    </row>
    <row r="350" spans="1:4" ht="13.2">
      <c r="A350" s="53"/>
      <c r="C350" s="272"/>
      <c r="D350" s="16"/>
    </row>
    <row r="351" spans="1:4" ht="13.2">
      <c r="A351" s="53"/>
      <c r="C351" s="272"/>
      <c r="D351" s="16"/>
    </row>
    <row r="352" spans="1:4" ht="13.2">
      <c r="A352" s="53"/>
      <c r="C352" s="272"/>
      <c r="D352" s="16"/>
    </row>
    <row r="353" spans="1:4" ht="13.2">
      <c r="A353" s="53"/>
      <c r="C353" s="272"/>
      <c r="D353" s="16"/>
    </row>
    <row r="354" spans="1:4" ht="13.2">
      <c r="A354" s="53"/>
      <c r="C354" s="272"/>
      <c r="D354" s="16"/>
    </row>
    <row r="355" spans="1:4" ht="13.2">
      <c r="A355" s="53"/>
      <c r="C355" s="272"/>
      <c r="D355" s="16"/>
    </row>
    <row r="356" spans="1:4" ht="13.2">
      <c r="A356" s="53"/>
      <c r="C356" s="272"/>
      <c r="D356" s="16"/>
    </row>
    <row r="357" spans="1:4" ht="13.2">
      <c r="A357" s="53"/>
      <c r="C357" s="272"/>
      <c r="D357" s="16"/>
    </row>
    <row r="358" spans="1:4" ht="13.2">
      <c r="A358" s="53"/>
      <c r="C358" s="272"/>
      <c r="D358" s="16"/>
    </row>
    <row r="359" spans="1:4" ht="13.2">
      <c r="A359" s="53"/>
      <c r="C359" s="272"/>
      <c r="D359" s="16"/>
    </row>
    <row r="360" spans="1:4" ht="13.2">
      <c r="A360" s="53"/>
      <c r="C360" s="272"/>
      <c r="D360" s="16"/>
    </row>
    <row r="361" spans="1:4" ht="13.2">
      <c r="A361" s="53"/>
      <c r="C361" s="272"/>
      <c r="D361" s="16"/>
    </row>
    <row r="362" spans="1:4" ht="13.2">
      <c r="A362" s="53"/>
      <c r="C362" s="272"/>
      <c r="D362" s="16"/>
    </row>
    <row r="363" spans="1:4" ht="13.2">
      <c r="A363" s="53"/>
      <c r="C363" s="272"/>
      <c r="D363" s="16"/>
    </row>
    <row r="364" spans="1:4" ht="13.2">
      <c r="A364" s="53"/>
      <c r="C364" s="272"/>
      <c r="D364" s="16"/>
    </row>
    <row r="365" spans="1:4" ht="13.2">
      <c r="A365" s="53"/>
      <c r="C365" s="272"/>
      <c r="D365" s="16"/>
    </row>
    <row r="366" spans="1:4" ht="13.2">
      <c r="A366" s="53"/>
      <c r="C366" s="272"/>
      <c r="D366" s="16"/>
    </row>
    <row r="367" spans="1:4" ht="13.2">
      <c r="A367" s="53"/>
      <c r="C367" s="272"/>
      <c r="D367" s="16"/>
    </row>
    <row r="368" spans="1:4" ht="13.2">
      <c r="A368" s="53"/>
      <c r="C368" s="272"/>
      <c r="D368" s="16"/>
    </row>
    <row r="369" spans="1:4" ht="13.2">
      <c r="A369" s="53"/>
      <c r="C369" s="272"/>
      <c r="D369" s="16"/>
    </row>
    <row r="370" spans="1:4" ht="13.2">
      <c r="A370" s="53"/>
      <c r="C370" s="272"/>
      <c r="D370" s="16"/>
    </row>
    <row r="371" spans="1:4" ht="13.2">
      <c r="A371" s="53"/>
      <c r="C371" s="272"/>
      <c r="D371" s="16"/>
    </row>
    <row r="372" spans="1:4" ht="13.2">
      <c r="A372" s="53"/>
      <c r="C372" s="272"/>
      <c r="D372" s="16"/>
    </row>
    <row r="373" spans="1:4" ht="13.2">
      <c r="A373" s="53"/>
      <c r="C373" s="272"/>
      <c r="D373" s="16"/>
    </row>
    <row r="374" spans="1:4" ht="13.2">
      <c r="A374" s="53"/>
      <c r="C374" s="272"/>
      <c r="D374" s="16"/>
    </row>
    <row r="375" spans="1:4" ht="13.2">
      <c r="A375" s="53"/>
      <c r="C375" s="272"/>
      <c r="D375" s="16"/>
    </row>
    <row r="376" spans="1:4" ht="13.2">
      <c r="A376" s="53"/>
      <c r="C376" s="272"/>
      <c r="D376" s="16"/>
    </row>
    <row r="377" spans="1:4" ht="13.2">
      <c r="A377" s="53"/>
      <c r="C377" s="272"/>
      <c r="D377" s="16"/>
    </row>
    <row r="378" spans="1:4" ht="13.2">
      <c r="A378" s="53"/>
      <c r="C378" s="272"/>
      <c r="D378" s="16"/>
    </row>
    <row r="379" spans="1:4" ht="13.2">
      <c r="A379" s="53"/>
      <c r="C379" s="272"/>
      <c r="D379" s="16"/>
    </row>
    <row r="380" spans="1:4" ht="13.2">
      <c r="A380" s="53"/>
      <c r="C380" s="272"/>
      <c r="D380" s="16"/>
    </row>
    <row r="381" spans="1:4" ht="13.2">
      <c r="A381" s="53"/>
      <c r="C381" s="272"/>
      <c r="D381" s="16"/>
    </row>
    <row r="382" spans="1:4" ht="13.2">
      <c r="A382" s="53"/>
      <c r="C382" s="272"/>
      <c r="D382" s="16"/>
    </row>
    <row r="383" spans="1:4" ht="13.2">
      <c r="A383" s="53"/>
      <c r="C383" s="272"/>
      <c r="D383" s="16"/>
    </row>
    <row r="384" spans="1:4" ht="13.2">
      <c r="A384" s="53"/>
      <c r="C384" s="272"/>
      <c r="D384" s="16"/>
    </row>
    <row r="385" spans="1:4" ht="13.2">
      <c r="A385" s="53"/>
      <c r="C385" s="272"/>
      <c r="D385" s="16"/>
    </row>
    <row r="386" spans="1:4" ht="13.2">
      <c r="A386" s="53"/>
      <c r="C386" s="272"/>
      <c r="D386" s="16"/>
    </row>
    <row r="387" spans="1:4" ht="13.2">
      <c r="A387" s="53"/>
      <c r="C387" s="272"/>
      <c r="D387" s="16"/>
    </row>
    <row r="388" spans="1:4" ht="13.2">
      <c r="A388" s="53"/>
      <c r="C388" s="272"/>
      <c r="D388" s="16"/>
    </row>
    <row r="389" spans="1:4" ht="13.2">
      <c r="A389" s="53"/>
      <c r="C389" s="272"/>
      <c r="D389" s="16"/>
    </row>
    <row r="390" spans="1:4" ht="13.2">
      <c r="A390" s="53"/>
      <c r="C390" s="272"/>
      <c r="D390" s="16"/>
    </row>
    <row r="391" spans="1:4" ht="13.2">
      <c r="A391" s="53"/>
      <c r="C391" s="272"/>
      <c r="D391" s="16"/>
    </row>
    <row r="392" spans="1:4" ht="13.2">
      <c r="A392" s="53"/>
      <c r="C392" s="272"/>
      <c r="D392" s="16"/>
    </row>
    <row r="393" spans="1:4" ht="13.2">
      <c r="A393" s="53"/>
      <c r="C393" s="272"/>
      <c r="D393" s="16"/>
    </row>
    <row r="394" spans="1:4" ht="13.2">
      <c r="A394" s="53"/>
      <c r="C394" s="272"/>
      <c r="D394" s="16"/>
    </row>
    <row r="395" spans="1:4" ht="13.2">
      <c r="A395" s="53"/>
      <c r="C395" s="272"/>
      <c r="D395" s="16"/>
    </row>
    <row r="396" spans="1:4" ht="13.2">
      <c r="A396" s="53"/>
      <c r="C396" s="272"/>
      <c r="D396" s="16"/>
    </row>
    <row r="397" spans="1:4" ht="13.2">
      <c r="A397" s="53"/>
      <c r="C397" s="272"/>
      <c r="D397" s="16"/>
    </row>
    <row r="398" spans="1:4" ht="13.2">
      <c r="A398" s="53"/>
      <c r="C398" s="272"/>
      <c r="D398" s="16"/>
    </row>
    <row r="399" spans="1:4" ht="13.2">
      <c r="A399" s="53"/>
      <c r="C399" s="272"/>
      <c r="D399" s="16"/>
    </row>
    <row r="400" spans="1:4" ht="13.2">
      <c r="A400" s="53"/>
      <c r="C400" s="272"/>
      <c r="D400" s="16"/>
    </row>
    <row r="401" spans="1:4" ht="13.2">
      <c r="A401" s="53"/>
      <c r="C401" s="272"/>
      <c r="D401" s="16"/>
    </row>
    <row r="402" spans="1:4" ht="13.2">
      <c r="A402" s="53"/>
      <c r="C402" s="272"/>
      <c r="D402" s="16"/>
    </row>
    <row r="403" spans="1:4" ht="13.2">
      <c r="A403" s="53"/>
      <c r="C403" s="272"/>
      <c r="D403" s="16"/>
    </row>
    <row r="404" spans="1:4" ht="13.2">
      <c r="A404" s="53"/>
      <c r="C404" s="272"/>
      <c r="D404" s="16"/>
    </row>
    <row r="405" spans="1:4" ht="13.2">
      <c r="A405" s="53"/>
      <c r="C405" s="272"/>
      <c r="D405" s="16"/>
    </row>
    <row r="406" spans="1:4" ht="13.2">
      <c r="A406" s="53"/>
      <c r="C406" s="272"/>
      <c r="D406" s="16"/>
    </row>
    <row r="407" spans="1:4" ht="13.2">
      <c r="A407" s="53"/>
      <c r="C407" s="272"/>
      <c r="D407" s="16"/>
    </row>
    <row r="408" spans="1:4" ht="13.2">
      <c r="A408" s="53"/>
      <c r="C408" s="272"/>
      <c r="D408" s="16"/>
    </row>
    <row r="409" spans="1:4" ht="13.2">
      <c r="A409" s="53"/>
      <c r="C409" s="272"/>
      <c r="D409" s="16"/>
    </row>
    <row r="410" spans="1:4" ht="13.2">
      <c r="A410" s="53"/>
      <c r="C410" s="272"/>
      <c r="D410" s="16"/>
    </row>
    <row r="411" spans="1:4" ht="13.2">
      <c r="A411" s="53"/>
      <c r="C411" s="272"/>
      <c r="D411" s="16"/>
    </row>
    <row r="412" spans="1:4" ht="13.2">
      <c r="A412" s="53"/>
      <c r="C412" s="272"/>
      <c r="D412" s="16"/>
    </row>
    <row r="413" spans="1:4" ht="13.2">
      <c r="A413" s="53"/>
      <c r="C413" s="272"/>
      <c r="D413" s="16"/>
    </row>
    <row r="414" spans="1:4" ht="13.2">
      <c r="A414" s="53"/>
      <c r="C414" s="272"/>
      <c r="D414" s="16"/>
    </row>
    <row r="415" spans="1:4" ht="13.2">
      <c r="A415" s="53"/>
      <c r="C415" s="272"/>
      <c r="D415" s="16"/>
    </row>
    <row r="416" spans="1:4" ht="13.2">
      <c r="A416" s="53"/>
      <c r="C416" s="272"/>
      <c r="D416" s="16"/>
    </row>
    <row r="417" spans="1:4" ht="13.2">
      <c r="A417" s="53"/>
      <c r="C417" s="272"/>
      <c r="D417" s="16"/>
    </row>
    <row r="418" spans="1:4" ht="13.2">
      <c r="A418" s="53"/>
      <c r="C418" s="272"/>
      <c r="D418" s="16"/>
    </row>
    <row r="419" spans="1:4" ht="13.2">
      <c r="A419" s="53"/>
      <c r="C419" s="272"/>
      <c r="D419" s="16"/>
    </row>
    <row r="420" spans="1:4" ht="13.2">
      <c r="A420" s="53"/>
      <c r="C420" s="272"/>
      <c r="D420" s="16"/>
    </row>
    <row r="421" spans="1:4" ht="13.2">
      <c r="A421" s="53"/>
      <c r="C421" s="272"/>
      <c r="D421" s="16"/>
    </row>
    <row r="422" spans="1:4" ht="13.2">
      <c r="A422" s="53"/>
      <c r="C422" s="272"/>
      <c r="D422" s="16"/>
    </row>
    <row r="423" spans="1:4" ht="13.2">
      <c r="A423" s="53"/>
      <c r="C423" s="272"/>
      <c r="D423" s="16"/>
    </row>
    <row r="424" spans="1:4" ht="13.2">
      <c r="A424" s="53"/>
      <c r="C424" s="272"/>
      <c r="D424" s="16"/>
    </row>
    <row r="425" spans="1:4" ht="13.2">
      <c r="A425" s="53"/>
      <c r="C425" s="272"/>
      <c r="D425" s="16"/>
    </row>
    <row r="426" spans="1:4" ht="13.2">
      <c r="A426" s="53"/>
      <c r="C426" s="272"/>
      <c r="D426" s="16"/>
    </row>
    <row r="427" spans="1:4" ht="13.2">
      <c r="A427" s="53"/>
      <c r="C427" s="272"/>
      <c r="D427" s="16"/>
    </row>
    <row r="428" spans="1:4" ht="13.2">
      <c r="A428" s="53"/>
      <c r="C428" s="272"/>
      <c r="D428" s="16"/>
    </row>
    <row r="429" spans="1:4" ht="13.2">
      <c r="A429" s="53"/>
      <c r="C429" s="272"/>
      <c r="D429" s="16"/>
    </row>
    <row r="430" spans="1:4" ht="13.2">
      <c r="A430" s="53"/>
      <c r="C430" s="272"/>
      <c r="D430" s="16"/>
    </row>
    <row r="431" spans="1:4" ht="13.2">
      <c r="A431" s="53"/>
      <c r="C431" s="272"/>
      <c r="D431" s="16"/>
    </row>
    <row r="432" spans="1:4" ht="13.2">
      <c r="A432" s="53"/>
      <c r="C432" s="272"/>
      <c r="D432" s="16"/>
    </row>
    <row r="433" spans="1:4" ht="13.2">
      <c r="A433" s="53"/>
      <c r="C433" s="272"/>
      <c r="D433" s="16"/>
    </row>
    <row r="434" spans="1:4" ht="13.2">
      <c r="A434" s="53"/>
      <c r="C434" s="272"/>
      <c r="D434" s="16"/>
    </row>
    <row r="435" spans="1:4" ht="13.2">
      <c r="A435" s="53"/>
      <c r="C435" s="272"/>
      <c r="D435" s="16"/>
    </row>
    <row r="436" spans="1:4" ht="13.2">
      <c r="A436" s="53"/>
      <c r="C436" s="272"/>
      <c r="D436" s="16"/>
    </row>
    <row r="437" spans="1:4" ht="13.2">
      <c r="A437" s="53"/>
      <c r="C437" s="272"/>
      <c r="D437" s="16"/>
    </row>
    <row r="438" spans="1:4" ht="13.2">
      <c r="A438" s="53"/>
      <c r="C438" s="272"/>
      <c r="D438" s="16"/>
    </row>
    <row r="439" spans="1:4" ht="13.2">
      <c r="A439" s="53"/>
      <c r="C439" s="272"/>
      <c r="D439" s="16"/>
    </row>
    <row r="440" spans="1:4" ht="13.2">
      <c r="A440" s="53"/>
      <c r="C440" s="272"/>
      <c r="D440" s="16"/>
    </row>
    <row r="441" spans="1:4" ht="13.2">
      <c r="A441" s="53"/>
      <c r="C441" s="272"/>
      <c r="D441" s="16"/>
    </row>
    <row r="442" spans="1:4" ht="13.2">
      <c r="A442" s="53"/>
      <c r="C442" s="272"/>
      <c r="D442" s="16"/>
    </row>
    <row r="443" spans="1:4" ht="13.2">
      <c r="A443" s="53"/>
      <c r="C443" s="272"/>
      <c r="D443" s="16"/>
    </row>
    <row r="444" spans="1:4" ht="13.2">
      <c r="A444" s="53"/>
      <c r="C444" s="272"/>
      <c r="D444" s="16"/>
    </row>
    <row r="445" spans="1:4" ht="13.2">
      <c r="A445" s="53"/>
      <c r="C445" s="272"/>
      <c r="D445" s="16"/>
    </row>
    <row r="446" spans="1:4" ht="13.2">
      <c r="A446" s="53"/>
      <c r="C446" s="272"/>
      <c r="D446" s="16"/>
    </row>
    <row r="447" spans="1:4" ht="13.2">
      <c r="A447" s="53"/>
      <c r="C447" s="272"/>
      <c r="D447" s="16"/>
    </row>
    <row r="448" spans="1:4" ht="13.2">
      <c r="A448" s="53"/>
      <c r="C448" s="272"/>
      <c r="D448" s="16"/>
    </row>
    <row r="449" spans="1:4" ht="13.2">
      <c r="A449" s="53"/>
      <c r="C449" s="272"/>
      <c r="D449" s="16"/>
    </row>
    <row r="450" spans="1:4" ht="13.2">
      <c r="A450" s="53"/>
      <c r="C450" s="272"/>
      <c r="D450" s="16"/>
    </row>
    <row r="451" spans="1:4" ht="13.2">
      <c r="A451" s="53"/>
      <c r="C451" s="272"/>
      <c r="D451" s="16"/>
    </row>
    <row r="452" spans="1:4" ht="13.2">
      <c r="A452" s="53"/>
      <c r="C452" s="272"/>
      <c r="D452" s="16"/>
    </row>
    <row r="453" spans="1:4" ht="13.2">
      <c r="A453" s="53"/>
      <c r="C453" s="272"/>
      <c r="D453" s="16"/>
    </row>
    <row r="454" spans="1:4" ht="13.2">
      <c r="A454" s="53"/>
      <c r="C454" s="272"/>
      <c r="D454" s="16"/>
    </row>
    <row r="455" spans="1:4" ht="13.2">
      <c r="A455" s="53"/>
      <c r="C455" s="272"/>
      <c r="D455" s="16"/>
    </row>
    <row r="456" spans="1:4" ht="13.2">
      <c r="A456" s="53"/>
      <c r="C456" s="272"/>
      <c r="D456" s="16"/>
    </row>
    <row r="457" spans="1:4" ht="13.2">
      <c r="A457" s="53"/>
      <c r="C457" s="272"/>
      <c r="D457" s="16"/>
    </row>
    <row r="458" spans="1:4" ht="13.2">
      <c r="A458" s="53"/>
      <c r="C458" s="272"/>
      <c r="D458" s="16"/>
    </row>
    <row r="459" spans="1:4" ht="13.2">
      <c r="A459" s="53"/>
      <c r="C459" s="272"/>
      <c r="D459" s="16"/>
    </row>
    <row r="460" spans="1:4" ht="13.2">
      <c r="A460" s="53"/>
      <c r="C460" s="272"/>
      <c r="D460" s="16"/>
    </row>
    <row r="461" spans="1:4" ht="13.2">
      <c r="A461" s="53"/>
      <c r="C461" s="272"/>
      <c r="D461" s="16"/>
    </row>
    <row r="462" spans="1:4" ht="13.2">
      <c r="A462" s="53"/>
      <c r="C462" s="272"/>
      <c r="D462" s="16"/>
    </row>
    <row r="463" spans="1:4" ht="13.2">
      <c r="A463" s="53"/>
      <c r="C463" s="272"/>
      <c r="D463" s="16"/>
    </row>
    <row r="464" spans="1:4" ht="13.2">
      <c r="A464" s="53"/>
      <c r="C464" s="272"/>
      <c r="D464" s="16"/>
    </row>
    <row r="465" spans="1:4" ht="13.2">
      <c r="A465" s="53"/>
      <c r="C465" s="272"/>
      <c r="D465" s="16"/>
    </row>
    <row r="466" spans="1:4" ht="13.2">
      <c r="A466" s="53"/>
      <c r="C466" s="272"/>
      <c r="D466" s="16"/>
    </row>
    <row r="467" spans="1:4" ht="13.2">
      <c r="A467" s="53"/>
      <c r="C467" s="272"/>
      <c r="D467" s="16"/>
    </row>
    <row r="468" spans="1:4" ht="13.2">
      <c r="A468" s="53"/>
      <c r="C468" s="272"/>
      <c r="D468" s="16"/>
    </row>
    <row r="469" spans="1:4" ht="13.2">
      <c r="A469" s="53"/>
      <c r="C469" s="272"/>
      <c r="D469" s="16"/>
    </row>
    <row r="470" spans="1:4" ht="13.2">
      <c r="A470" s="53"/>
      <c r="C470" s="272"/>
      <c r="D470" s="16"/>
    </row>
    <row r="471" spans="1:4" ht="13.2">
      <c r="A471" s="53"/>
      <c r="C471" s="272"/>
      <c r="D471" s="16"/>
    </row>
    <row r="472" spans="1:4" ht="13.2">
      <c r="A472" s="53"/>
      <c r="C472" s="272"/>
      <c r="D472" s="16"/>
    </row>
    <row r="473" spans="1:4" ht="13.2">
      <c r="A473" s="53"/>
      <c r="C473" s="272"/>
      <c r="D473" s="16"/>
    </row>
    <row r="474" spans="1:4" ht="13.2">
      <c r="A474" s="53"/>
      <c r="C474" s="272"/>
      <c r="D474" s="16"/>
    </row>
    <row r="475" spans="1:4" ht="13.2">
      <c r="A475" s="53"/>
      <c r="C475" s="272"/>
      <c r="D475" s="16"/>
    </row>
    <row r="476" spans="1:4" ht="13.2">
      <c r="A476" s="53"/>
      <c r="C476" s="272"/>
      <c r="D476" s="16"/>
    </row>
    <row r="477" spans="1:4" ht="13.2">
      <c r="A477" s="53"/>
      <c r="C477" s="272"/>
      <c r="D477" s="16"/>
    </row>
    <row r="478" spans="1:4" ht="13.2">
      <c r="A478" s="53"/>
      <c r="C478" s="272"/>
      <c r="D478" s="16"/>
    </row>
    <row r="479" spans="1:4" ht="13.2">
      <c r="A479" s="53"/>
      <c r="C479" s="272"/>
      <c r="D479" s="16"/>
    </row>
    <row r="480" spans="1:4" ht="13.2">
      <c r="A480" s="53"/>
      <c r="C480" s="272"/>
      <c r="D480" s="16"/>
    </row>
    <row r="481" spans="1:4" ht="13.2">
      <c r="A481" s="53"/>
      <c r="C481" s="272"/>
      <c r="D481" s="16"/>
    </row>
    <row r="482" spans="1:4" ht="13.2">
      <c r="A482" s="53"/>
      <c r="C482" s="272"/>
      <c r="D482" s="16"/>
    </row>
    <row r="483" spans="1:4" ht="13.2">
      <c r="A483" s="53"/>
      <c r="C483" s="272"/>
      <c r="D483" s="16"/>
    </row>
    <row r="484" spans="1:4" ht="13.2">
      <c r="A484" s="53"/>
      <c r="C484" s="272"/>
      <c r="D484" s="16"/>
    </row>
    <row r="485" spans="1:4" ht="13.2">
      <c r="A485" s="53"/>
      <c r="C485" s="272"/>
      <c r="D485" s="16"/>
    </row>
    <row r="486" spans="1:4" ht="13.2">
      <c r="A486" s="53"/>
      <c r="C486" s="272"/>
      <c r="D486" s="16"/>
    </row>
    <row r="487" spans="1:4" ht="13.2">
      <c r="A487" s="53"/>
      <c r="C487" s="272"/>
      <c r="D487" s="16"/>
    </row>
    <row r="488" spans="1:4" ht="13.2">
      <c r="A488" s="53"/>
      <c r="C488" s="272"/>
      <c r="D488" s="16"/>
    </row>
    <row r="489" spans="1:4" ht="13.2">
      <c r="A489" s="53"/>
      <c r="C489" s="272"/>
      <c r="D489" s="16"/>
    </row>
    <row r="490" spans="1:4" ht="13.2">
      <c r="A490" s="53"/>
      <c r="C490" s="272"/>
      <c r="D490" s="16"/>
    </row>
    <row r="491" spans="1:4" ht="13.2">
      <c r="A491" s="53"/>
      <c r="C491" s="272"/>
      <c r="D491" s="16"/>
    </row>
    <row r="492" spans="1:4" ht="13.2">
      <c r="A492" s="53"/>
      <c r="C492" s="272"/>
      <c r="D492" s="16"/>
    </row>
    <row r="493" spans="1:4" ht="13.2">
      <c r="A493" s="53"/>
      <c r="C493" s="272"/>
      <c r="D493" s="16"/>
    </row>
    <row r="494" spans="1:4" ht="13.2">
      <c r="A494" s="53"/>
      <c r="C494" s="272"/>
      <c r="D494" s="16"/>
    </row>
    <row r="495" spans="1:4" ht="13.2">
      <c r="A495" s="53"/>
      <c r="C495" s="272"/>
      <c r="D495" s="16"/>
    </row>
    <row r="496" spans="1:4" ht="13.2">
      <c r="A496" s="53"/>
      <c r="C496" s="272"/>
      <c r="D496" s="16"/>
    </row>
    <row r="497" spans="1:4" ht="13.2">
      <c r="A497" s="53"/>
      <c r="C497" s="272"/>
      <c r="D497" s="16"/>
    </row>
    <row r="498" spans="1:4" ht="13.2">
      <c r="A498" s="53"/>
      <c r="C498" s="272"/>
      <c r="D498" s="16"/>
    </row>
    <row r="499" spans="1:4" ht="13.2">
      <c r="A499" s="53"/>
      <c r="C499" s="272"/>
      <c r="D499" s="16"/>
    </row>
    <row r="500" spans="1:4" ht="13.2">
      <c r="A500" s="53"/>
      <c r="C500" s="272"/>
      <c r="D500" s="16"/>
    </row>
    <row r="501" spans="1:4" ht="13.2">
      <c r="A501" s="53"/>
      <c r="C501" s="272"/>
      <c r="D501" s="16"/>
    </row>
    <row r="502" spans="1:4" ht="13.2">
      <c r="A502" s="53"/>
      <c r="C502" s="272"/>
      <c r="D502" s="16"/>
    </row>
    <row r="503" spans="1:4" ht="13.2">
      <c r="A503" s="53"/>
      <c r="C503" s="272"/>
      <c r="D503" s="16"/>
    </row>
    <row r="504" spans="1:4" ht="13.2">
      <c r="A504" s="53"/>
      <c r="C504" s="272"/>
      <c r="D504" s="16"/>
    </row>
    <row r="505" spans="1:4" ht="13.2">
      <c r="A505" s="53"/>
      <c r="C505" s="272"/>
      <c r="D505" s="16"/>
    </row>
    <row r="506" spans="1:4" ht="13.2">
      <c r="A506" s="53"/>
      <c r="C506" s="272"/>
      <c r="D506" s="16"/>
    </row>
    <row r="507" spans="1:4" ht="13.2">
      <c r="A507" s="53"/>
      <c r="C507" s="272"/>
      <c r="D507" s="16"/>
    </row>
    <row r="508" spans="1:4" ht="13.2">
      <c r="A508" s="53"/>
      <c r="C508" s="272"/>
      <c r="D508" s="16"/>
    </row>
    <row r="509" spans="1:4" ht="13.2">
      <c r="A509" s="53"/>
      <c r="C509" s="272"/>
      <c r="D509" s="16"/>
    </row>
    <row r="510" spans="1:4" ht="13.2">
      <c r="A510" s="53"/>
      <c r="C510" s="272"/>
      <c r="D510" s="16"/>
    </row>
    <row r="511" spans="1:4" ht="13.2">
      <c r="A511" s="53"/>
      <c r="C511" s="272"/>
      <c r="D511" s="16"/>
    </row>
    <row r="512" spans="1:4" ht="13.2">
      <c r="A512" s="53"/>
      <c r="C512" s="272"/>
      <c r="D512" s="16"/>
    </row>
    <row r="513" spans="1:4" ht="13.2">
      <c r="A513" s="53"/>
      <c r="C513" s="272"/>
      <c r="D513" s="16"/>
    </row>
    <row r="514" spans="1:4" ht="13.2">
      <c r="A514" s="53"/>
      <c r="C514" s="272"/>
      <c r="D514" s="16"/>
    </row>
    <row r="515" spans="1:4" ht="13.2">
      <c r="A515" s="53"/>
      <c r="C515" s="272"/>
      <c r="D515" s="16"/>
    </row>
    <row r="516" spans="1:4" ht="13.2">
      <c r="A516" s="53"/>
      <c r="C516" s="272"/>
      <c r="D516" s="16"/>
    </row>
    <row r="517" spans="1:4" ht="13.2">
      <c r="A517" s="53"/>
      <c r="C517" s="272"/>
      <c r="D517" s="16"/>
    </row>
    <row r="518" spans="1:4" ht="13.2">
      <c r="A518" s="53"/>
      <c r="C518" s="272"/>
      <c r="D518" s="16"/>
    </row>
    <row r="519" spans="1:4" ht="13.2">
      <c r="A519" s="53"/>
      <c r="C519" s="272"/>
      <c r="D519" s="16"/>
    </row>
    <row r="520" spans="1:4" ht="13.2">
      <c r="A520" s="53"/>
      <c r="C520" s="272"/>
      <c r="D520" s="16"/>
    </row>
    <row r="521" spans="1:4" ht="13.2">
      <c r="A521" s="53"/>
      <c r="C521" s="272"/>
      <c r="D521" s="16"/>
    </row>
    <row r="522" spans="1:4" ht="13.2">
      <c r="A522" s="53"/>
      <c r="C522" s="272"/>
      <c r="D522" s="16"/>
    </row>
    <row r="523" spans="1:4" ht="13.2">
      <c r="A523" s="53"/>
      <c r="C523" s="272"/>
      <c r="D523" s="16"/>
    </row>
    <row r="524" spans="1:4" ht="13.2">
      <c r="A524" s="53"/>
      <c r="C524" s="272"/>
      <c r="D524" s="16"/>
    </row>
    <row r="525" spans="1:4" ht="13.2">
      <c r="A525" s="53"/>
      <c r="C525" s="272"/>
      <c r="D525" s="16"/>
    </row>
    <row r="526" spans="1:4" ht="13.2">
      <c r="A526" s="53"/>
      <c r="C526" s="272"/>
      <c r="D526" s="16"/>
    </row>
    <row r="527" spans="1:4" ht="13.2">
      <c r="A527" s="53"/>
      <c r="C527" s="272"/>
      <c r="D527" s="16"/>
    </row>
    <row r="528" spans="1:4" ht="13.2">
      <c r="A528" s="53"/>
      <c r="C528" s="272"/>
      <c r="D528" s="16"/>
    </row>
    <row r="529" spans="1:4" ht="13.2">
      <c r="A529" s="53"/>
      <c r="C529" s="272"/>
      <c r="D529" s="16"/>
    </row>
    <row r="530" spans="1:4" ht="13.2">
      <c r="A530" s="53"/>
      <c r="C530" s="272"/>
      <c r="D530" s="16"/>
    </row>
    <row r="531" spans="1:4" ht="13.2">
      <c r="A531" s="53"/>
      <c r="C531" s="272"/>
      <c r="D531" s="16"/>
    </row>
    <row r="532" spans="1:4" ht="13.2">
      <c r="A532" s="53"/>
      <c r="C532" s="272"/>
      <c r="D532" s="16"/>
    </row>
    <row r="533" spans="1:4" ht="13.2">
      <c r="A533" s="53"/>
      <c r="C533" s="272"/>
      <c r="D533" s="16"/>
    </row>
    <row r="534" spans="1:4" ht="13.2">
      <c r="A534" s="53"/>
      <c r="C534" s="272"/>
      <c r="D534" s="16"/>
    </row>
    <row r="535" spans="1:4" ht="13.2">
      <c r="A535" s="53"/>
      <c r="C535" s="272"/>
      <c r="D535" s="16"/>
    </row>
    <row r="536" spans="1:4" ht="13.2">
      <c r="A536" s="53"/>
      <c r="C536" s="272"/>
      <c r="D536" s="16"/>
    </row>
    <row r="537" spans="1:4" ht="13.2">
      <c r="A537" s="53"/>
      <c r="C537" s="272"/>
      <c r="D537" s="16"/>
    </row>
    <row r="538" spans="1:4" ht="13.2">
      <c r="A538" s="53"/>
      <c r="C538" s="272"/>
      <c r="D538" s="16"/>
    </row>
    <row r="539" spans="1:4" ht="13.2">
      <c r="A539" s="53"/>
      <c r="C539" s="272"/>
      <c r="D539" s="16"/>
    </row>
    <row r="540" spans="1:4" ht="13.2">
      <c r="A540" s="53"/>
      <c r="C540" s="272"/>
      <c r="D540" s="16"/>
    </row>
    <row r="541" spans="1:4" ht="13.2">
      <c r="A541" s="53"/>
      <c r="C541" s="272"/>
      <c r="D541" s="16"/>
    </row>
    <row r="542" spans="1:4" ht="13.2">
      <c r="A542" s="53"/>
      <c r="C542" s="272"/>
      <c r="D542" s="16"/>
    </row>
    <row r="543" spans="1:4" ht="13.2">
      <c r="A543" s="53"/>
      <c r="C543" s="272"/>
      <c r="D543" s="16"/>
    </row>
    <row r="544" spans="1:4" ht="13.2">
      <c r="A544" s="53"/>
      <c r="C544" s="272"/>
      <c r="D544" s="16"/>
    </row>
    <row r="545" spans="1:4" ht="13.2">
      <c r="A545" s="53"/>
      <c r="C545" s="272"/>
      <c r="D545" s="16"/>
    </row>
    <row r="546" spans="1:4" ht="13.2">
      <c r="A546" s="53"/>
      <c r="C546" s="272"/>
      <c r="D546" s="16"/>
    </row>
    <row r="547" spans="1:4" ht="13.2">
      <c r="A547" s="53"/>
      <c r="C547" s="272"/>
      <c r="D547" s="16"/>
    </row>
    <row r="548" spans="1:4" ht="13.2">
      <c r="A548" s="53"/>
      <c r="C548" s="272"/>
      <c r="D548" s="16"/>
    </row>
    <row r="549" spans="1:4" ht="13.2">
      <c r="A549" s="53"/>
      <c r="C549" s="272"/>
      <c r="D549" s="16"/>
    </row>
    <row r="550" spans="1:4" ht="13.2">
      <c r="A550" s="53"/>
      <c r="C550" s="272"/>
      <c r="D550" s="16"/>
    </row>
    <row r="551" spans="1:4" ht="13.2">
      <c r="A551" s="53"/>
      <c r="C551" s="272"/>
      <c r="D551" s="16"/>
    </row>
    <row r="552" spans="1:4" ht="13.2">
      <c r="A552" s="53"/>
      <c r="C552" s="272"/>
      <c r="D552" s="16"/>
    </row>
    <row r="553" spans="1:4" ht="13.2">
      <c r="A553" s="53"/>
      <c r="C553" s="272"/>
      <c r="D553" s="16"/>
    </row>
    <row r="554" spans="1:4" ht="13.2">
      <c r="A554" s="53"/>
      <c r="C554" s="272"/>
      <c r="D554" s="16"/>
    </row>
    <row r="555" spans="1:4" ht="13.2">
      <c r="A555" s="53"/>
      <c r="C555" s="272"/>
      <c r="D555" s="16"/>
    </row>
    <row r="556" spans="1:4" ht="13.2">
      <c r="A556" s="53"/>
      <c r="C556" s="272"/>
      <c r="D556" s="16"/>
    </row>
    <row r="557" spans="1:4" ht="13.2">
      <c r="A557" s="53"/>
      <c r="C557" s="272"/>
      <c r="D557" s="16"/>
    </row>
    <row r="558" spans="1:4" ht="13.2">
      <c r="A558" s="53"/>
      <c r="C558" s="272"/>
      <c r="D558" s="16"/>
    </row>
    <row r="559" spans="1:4" ht="13.2">
      <c r="A559" s="53"/>
      <c r="C559" s="272"/>
      <c r="D559" s="16"/>
    </row>
    <row r="560" spans="1:4" ht="13.2">
      <c r="A560" s="53"/>
      <c r="C560" s="272"/>
      <c r="D560" s="16"/>
    </row>
    <row r="561" spans="1:4" ht="13.2">
      <c r="A561" s="53"/>
      <c r="C561" s="272"/>
      <c r="D561" s="16"/>
    </row>
    <row r="562" spans="1:4" ht="13.2">
      <c r="A562" s="53"/>
      <c r="C562" s="272"/>
      <c r="D562" s="16"/>
    </row>
    <row r="563" spans="1:4" ht="13.2">
      <c r="A563" s="53"/>
      <c r="C563" s="272"/>
      <c r="D563" s="16"/>
    </row>
    <row r="564" spans="1:4" ht="13.2">
      <c r="A564" s="53"/>
      <c r="C564" s="272"/>
      <c r="D564" s="16"/>
    </row>
    <row r="565" spans="1:4" ht="13.2">
      <c r="A565" s="53"/>
      <c r="C565" s="272"/>
      <c r="D565" s="16"/>
    </row>
    <row r="566" spans="1:4" ht="13.2">
      <c r="A566" s="53"/>
      <c r="C566" s="272"/>
      <c r="D566" s="16"/>
    </row>
    <row r="567" spans="1:4" ht="13.2">
      <c r="A567" s="53"/>
      <c r="C567" s="272"/>
      <c r="D567" s="16"/>
    </row>
    <row r="568" spans="1:4" ht="13.2">
      <c r="A568" s="53"/>
      <c r="C568" s="272"/>
      <c r="D568" s="16"/>
    </row>
    <row r="569" spans="1:4" ht="13.2">
      <c r="A569" s="53"/>
      <c r="C569" s="272"/>
      <c r="D569" s="16"/>
    </row>
    <row r="570" spans="1:4" ht="13.2">
      <c r="A570" s="53"/>
      <c r="C570" s="272"/>
      <c r="D570" s="16"/>
    </row>
    <row r="571" spans="1:4" ht="13.2">
      <c r="A571" s="53"/>
      <c r="C571" s="272"/>
      <c r="D571" s="16"/>
    </row>
    <row r="572" spans="1:4" ht="13.2">
      <c r="A572" s="53"/>
      <c r="C572" s="272"/>
      <c r="D572" s="16"/>
    </row>
    <row r="573" spans="1:4" ht="13.2">
      <c r="A573" s="53"/>
      <c r="C573" s="272"/>
      <c r="D573" s="16"/>
    </row>
    <row r="574" spans="1:4" ht="13.2">
      <c r="A574" s="53"/>
      <c r="C574" s="272"/>
      <c r="D574" s="16"/>
    </row>
    <row r="575" spans="1:4" ht="13.2">
      <c r="A575" s="53"/>
      <c r="C575" s="272"/>
      <c r="D575" s="16"/>
    </row>
    <row r="576" spans="1:4" ht="13.2">
      <c r="A576" s="53"/>
      <c r="C576" s="272"/>
      <c r="D576" s="16"/>
    </row>
    <row r="577" spans="1:4" ht="13.2">
      <c r="A577" s="53"/>
      <c r="C577" s="272"/>
      <c r="D577" s="16"/>
    </row>
    <row r="578" spans="1:4" ht="13.2">
      <c r="A578" s="53"/>
      <c r="C578" s="272"/>
      <c r="D578" s="16"/>
    </row>
    <row r="579" spans="1:4" ht="13.2">
      <c r="A579" s="53"/>
      <c r="C579" s="272"/>
      <c r="D579" s="16"/>
    </row>
    <row r="580" spans="1:4" ht="13.2">
      <c r="A580" s="53"/>
      <c r="C580" s="272"/>
      <c r="D580" s="16"/>
    </row>
    <row r="581" spans="1:4" ht="13.2">
      <c r="A581" s="53"/>
      <c r="C581" s="272"/>
      <c r="D581" s="16"/>
    </row>
    <row r="582" spans="1:4" ht="13.2">
      <c r="A582" s="53"/>
      <c r="C582" s="272"/>
      <c r="D582" s="16"/>
    </row>
    <row r="583" spans="1:4" ht="13.2">
      <c r="A583" s="53"/>
      <c r="C583" s="272"/>
      <c r="D583" s="16"/>
    </row>
    <row r="584" spans="1:4" ht="13.2">
      <c r="A584" s="53"/>
      <c r="C584" s="272"/>
      <c r="D584" s="16"/>
    </row>
    <row r="585" spans="1:4" ht="13.2">
      <c r="A585" s="53"/>
      <c r="C585" s="272"/>
      <c r="D585" s="16"/>
    </row>
    <row r="586" spans="1:4" ht="13.2">
      <c r="A586" s="53"/>
      <c r="C586" s="272"/>
      <c r="D586" s="16"/>
    </row>
    <row r="587" spans="1:4" ht="13.2">
      <c r="A587" s="53"/>
      <c r="C587" s="272"/>
      <c r="D587" s="16"/>
    </row>
    <row r="588" spans="1:4" ht="13.2">
      <c r="A588" s="53"/>
      <c r="C588" s="272"/>
      <c r="D588" s="16"/>
    </row>
    <row r="589" spans="1:4" ht="13.2">
      <c r="A589" s="53"/>
      <c r="C589" s="272"/>
      <c r="D589" s="16"/>
    </row>
    <row r="590" spans="1:4" ht="13.2">
      <c r="A590" s="53"/>
      <c r="C590" s="272"/>
      <c r="D590" s="16"/>
    </row>
    <row r="591" spans="1:4" ht="13.2">
      <c r="A591" s="53"/>
      <c r="C591" s="272"/>
      <c r="D591" s="16"/>
    </row>
    <row r="592" spans="1:4" ht="13.2">
      <c r="A592" s="53"/>
      <c r="C592" s="272"/>
      <c r="D592" s="16"/>
    </row>
    <row r="593" spans="1:4" ht="13.2">
      <c r="A593" s="53"/>
      <c r="C593" s="272"/>
      <c r="D593" s="16"/>
    </row>
    <row r="594" spans="1:4" ht="13.2">
      <c r="A594" s="53"/>
      <c r="C594" s="272"/>
      <c r="D594" s="16"/>
    </row>
    <row r="595" spans="1:4" ht="13.2">
      <c r="A595" s="53"/>
      <c r="C595" s="272"/>
      <c r="D595" s="16"/>
    </row>
    <row r="596" spans="1:4" ht="13.2">
      <c r="A596" s="53"/>
      <c r="C596" s="272"/>
      <c r="D596" s="16"/>
    </row>
    <row r="597" spans="1:4" ht="13.2">
      <c r="A597" s="53"/>
      <c r="C597" s="272"/>
      <c r="D597" s="16"/>
    </row>
    <row r="598" spans="1:4" ht="13.2">
      <c r="A598" s="53"/>
      <c r="C598" s="272"/>
      <c r="D598" s="16"/>
    </row>
    <row r="599" spans="1:4" ht="13.2">
      <c r="A599" s="53"/>
      <c r="C599" s="272"/>
      <c r="D599" s="16"/>
    </row>
    <row r="600" spans="1:4" ht="13.2">
      <c r="A600" s="53"/>
      <c r="C600" s="272"/>
      <c r="D600" s="16"/>
    </row>
    <row r="601" spans="1:4" ht="13.2">
      <c r="A601" s="53"/>
      <c r="C601" s="272"/>
      <c r="D601" s="16"/>
    </row>
    <row r="602" spans="1:4" ht="13.2">
      <c r="A602" s="53"/>
      <c r="C602" s="272"/>
      <c r="D602" s="16"/>
    </row>
    <row r="603" spans="1:4" ht="13.2">
      <c r="A603" s="53"/>
      <c r="C603" s="272"/>
      <c r="D603" s="16"/>
    </row>
    <row r="604" spans="1:4" ht="13.2">
      <c r="A604" s="53"/>
      <c r="C604" s="272"/>
      <c r="D604" s="16"/>
    </row>
    <row r="605" spans="1:4" ht="13.2">
      <c r="A605" s="53"/>
      <c r="C605" s="272"/>
      <c r="D605" s="16"/>
    </row>
    <row r="606" spans="1:4" ht="13.2">
      <c r="A606" s="53"/>
      <c r="C606" s="272"/>
      <c r="D606" s="16"/>
    </row>
    <row r="607" spans="1:4" ht="13.2">
      <c r="A607" s="53"/>
      <c r="C607" s="272"/>
      <c r="D607" s="16"/>
    </row>
    <row r="608" spans="1:4" ht="13.2">
      <c r="A608" s="53"/>
      <c r="C608" s="272"/>
      <c r="D608" s="16"/>
    </row>
    <row r="609" spans="1:4" ht="13.2">
      <c r="A609" s="53"/>
      <c r="C609" s="272"/>
      <c r="D609" s="16"/>
    </row>
    <row r="610" spans="1:4" ht="13.2">
      <c r="A610" s="53"/>
      <c r="C610" s="272"/>
      <c r="D610" s="16"/>
    </row>
    <row r="611" spans="1:4" ht="13.2">
      <c r="A611" s="53"/>
      <c r="C611" s="272"/>
      <c r="D611" s="16"/>
    </row>
    <row r="612" spans="1:4" ht="13.2">
      <c r="A612" s="53"/>
      <c r="C612" s="272"/>
      <c r="D612" s="16"/>
    </row>
    <row r="613" spans="1:4" ht="13.2">
      <c r="A613" s="53"/>
      <c r="C613" s="272"/>
      <c r="D613" s="16"/>
    </row>
    <row r="614" spans="1:4" ht="13.2">
      <c r="A614" s="53"/>
      <c r="C614" s="272"/>
      <c r="D614" s="16"/>
    </row>
    <row r="615" spans="1:4" ht="13.2">
      <c r="A615" s="53"/>
      <c r="C615" s="272"/>
      <c r="D615" s="16"/>
    </row>
    <row r="616" spans="1:4" ht="13.2">
      <c r="A616" s="53"/>
      <c r="C616" s="272"/>
      <c r="D616" s="16"/>
    </row>
    <row r="617" spans="1:4" ht="13.2">
      <c r="A617" s="53"/>
      <c r="C617" s="272"/>
      <c r="D617" s="16"/>
    </row>
    <row r="618" spans="1:4" ht="13.2">
      <c r="A618" s="53"/>
      <c r="C618" s="272"/>
      <c r="D618" s="16"/>
    </row>
    <row r="619" spans="1:4" ht="13.2">
      <c r="A619" s="53"/>
      <c r="C619" s="272"/>
      <c r="D619" s="16"/>
    </row>
    <row r="620" spans="1:4" ht="13.2">
      <c r="A620" s="53"/>
      <c r="C620" s="272"/>
      <c r="D620" s="16"/>
    </row>
    <row r="621" spans="1:4" ht="13.2">
      <c r="A621" s="53"/>
      <c r="C621" s="272"/>
      <c r="D621" s="16"/>
    </row>
    <row r="622" spans="1:4" ht="13.2">
      <c r="A622" s="53"/>
      <c r="C622" s="272"/>
      <c r="D622" s="16"/>
    </row>
    <row r="623" spans="1:4" ht="13.2">
      <c r="A623" s="53"/>
      <c r="C623" s="272"/>
      <c r="D623" s="16"/>
    </row>
    <row r="624" spans="1:4" ht="13.2">
      <c r="A624" s="53"/>
      <c r="C624" s="272"/>
      <c r="D624" s="16"/>
    </row>
    <row r="625" spans="1:4" ht="13.2">
      <c r="A625" s="53"/>
      <c r="C625" s="272"/>
      <c r="D625" s="16"/>
    </row>
    <row r="626" spans="1:4" ht="13.2">
      <c r="A626" s="53"/>
      <c r="C626" s="272"/>
      <c r="D626" s="16"/>
    </row>
    <row r="627" spans="1:4" ht="13.2">
      <c r="A627" s="53"/>
      <c r="C627" s="272"/>
      <c r="D627" s="16"/>
    </row>
    <row r="628" spans="1:4" ht="13.2">
      <c r="A628" s="53"/>
      <c r="C628" s="272"/>
      <c r="D628" s="16"/>
    </row>
    <row r="629" spans="1:4" ht="13.2">
      <c r="A629" s="53"/>
      <c r="C629" s="272"/>
      <c r="D629" s="16"/>
    </row>
    <row r="630" spans="1:4" ht="13.2">
      <c r="A630" s="53"/>
      <c r="C630" s="272"/>
      <c r="D630" s="16"/>
    </row>
    <row r="631" spans="1:4" ht="13.2">
      <c r="A631" s="53"/>
      <c r="C631" s="272"/>
      <c r="D631" s="16"/>
    </row>
    <row r="632" spans="1:4" ht="13.2">
      <c r="A632" s="53"/>
      <c r="C632" s="272"/>
      <c r="D632" s="16"/>
    </row>
    <row r="633" spans="1:4" ht="13.2">
      <c r="A633" s="53"/>
      <c r="C633" s="272"/>
      <c r="D633" s="16"/>
    </row>
    <row r="634" spans="1:4" ht="13.2">
      <c r="A634" s="53"/>
      <c r="C634" s="272"/>
      <c r="D634" s="16"/>
    </row>
    <row r="635" spans="1:4" ht="13.2">
      <c r="A635" s="53"/>
      <c r="C635" s="272"/>
      <c r="D635" s="16"/>
    </row>
    <row r="636" spans="1:4" ht="13.2">
      <c r="A636" s="53"/>
      <c r="C636" s="272"/>
      <c r="D636" s="16"/>
    </row>
    <row r="637" spans="1:4" ht="13.2">
      <c r="A637" s="53"/>
      <c r="C637" s="272"/>
      <c r="D637" s="16"/>
    </row>
    <row r="638" spans="1:4" ht="13.2">
      <c r="A638" s="53"/>
      <c r="C638" s="272"/>
      <c r="D638" s="16"/>
    </row>
    <row r="639" spans="1:4" ht="13.2">
      <c r="A639" s="53"/>
      <c r="C639" s="272"/>
      <c r="D639" s="16"/>
    </row>
    <row r="640" spans="1:4" ht="13.2">
      <c r="A640" s="53"/>
      <c r="C640" s="272"/>
      <c r="D640" s="16"/>
    </row>
    <row r="641" spans="1:4" ht="13.2">
      <c r="A641" s="53"/>
      <c r="C641" s="272"/>
      <c r="D641" s="16"/>
    </row>
    <row r="642" spans="1:4" ht="13.2">
      <c r="A642" s="53"/>
      <c r="C642" s="272"/>
      <c r="D642" s="16"/>
    </row>
    <row r="643" spans="1:4" ht="13.2">
      <c r="A643" s="53"/>
      <c r="C643" s="272"/>
      <c r="D643" s="16"/>
    </row>
    <row r="644" spans="1:4" ht="13.2">
      <c r="A644" s="53"/>
      <c r="C644" s="272"/>
      <c r="D644" s="16"/>
    </row>
    <row r="645" spans="1:4" ht="13.2">
      <c r="A645" s="53"/>
      <c r="C645" s="272"/>
      <c r="D645" s="16"/>
    </row>
    <row r="646" spans="1:4" ht="13.2">
      <c r="A646" s="53"/>
      <c r="C646" s="272"/>
      <c r="D646" s="16"/>
    </row>
    <row r="647" spans="1:4" ht="13.2">
      <c r="A647" s="53"/>
      <c r="C647" s="272"/>
      <c r="D647" s="16"/>
    </row>
    <row r="648" spans="1:4" ht="13.2">
      <c r="A648" s="53"/>
      <c r="C648" s="272"/>
      <c r="D648" s="16"/>
    </row>
    <row r="649" spans="1:4" ht="13.2">
      <c r="A649" s="53"/>
      <c r="C649" s="272"/>
      <c r="D649" s="16"/>
    </row>
    <row r="650" spans="1:4" ht="13.2">
      <c r="A650" s="53"/>
      <c r="C650" s="272"/>
      <c r="D650" s="16"/>
    </row>
    <row r="651" spans="1:4" ht="13.2">
      <c r="A651" s="53"/>
      <c r="C651" s="272"/>
      <c r="D651" s="16"/>
    </row>
    <row r="652" spans="1:4" ht="13.2">
      <c r="A652" s="53"/>
      <c r="C652" s="272"/>
      <c r="D652" s="16"/>
    </row>
    <row r="653" spans="1:4" ht="13.2">
      <c r="A653" s="53"/>
      <c r="C653" s="272"/>
      <c r="D653" s="16"/>
    </row>
    <row r="654" spans="1:4" ht="13.2">
      <c r="A654" s="53"/>
      <c r="C654" s="272"/>
      <c r="D654" s="16"/>
    </row>
    <row r="655" spans="1:4" ht="13.2">
      <c r="A655" s="53"/>
      <c r="C655" s="272"/>
      <c r="D655" s="16"/>
    </row>
    <row r="656" spans="1:4" ht="13.2">
      <c r="A656" s="53"/>
      <c r="C656" s="272"/>
      <c r="D656" s="16"/>
    </row>
    <row r="657" spans="1:4" ht="13.2">
      <c r="A657" s="53"/>
      <c r="C657" s="272"/>
      <c r="D657" s="16"/>
    </row>
    <row r="658" spans="1:4" ht="13.2">
      <c r="A658" s="53"/>
      <c r="C658" s="272"/>
      <c r="D658" s="16"/>
    </row>
    <row r="659" spans="1:4" ht="13.2">
      <c r="A659" s="53"/>
      <c r="C659" s="272"/>
      <c r="D659" s="16"/>
    </row>
    <row r="660" spans="1:4" ht="13.2">
      <c r="A660" s="53"/>
      <c r="C660" s="272"/>
      <c r="D660" s="16"/>
    </row>
    <row r="661" spans="1:4" ht="13.2">
      <c r="A661" s="53"/>
      <c r="C661" s="272"/>
      <c r="D661" s="16"/>
    </row>
    <row r="662" spans="1:4" ht="13.2">
      <c r="A662" s="53"/>
      <c r="C662" s="272"/>
      <c r="D662" s="16"/>
    </row>
    <row r="663" spans="1:4" ht="13.2">
      <c r="A663" s="53"/>
      <c r="C663" s="272"/>
      <c r="D663" s="16"/>
    </row>
    <row r="664" spans="1:4" ht="13.2">
      <c r="A664" s="53"/>
      <c r="C664" s="272"/>
      <c r="D664" s="16"/>
    </row>
    <row r="665" spans="1:4" ht="13.2">
      <c r="A665" s="53"/>
      <c r="C665" s="272"/>
      <c r="D665" s="16"/>
    </row>
    <row r="666" spans="1:4" ht="13.2">
      <c r="A666" s="53"/>
      <c r="C666" s="272"/>
      <c r="D666" s="16"/>
    </row>
    <row r="667" spans="1:4" ht="13.2">
      <c r="A667" s="53"/>
      <c r="C667" s="272"/>
      <c r="D667" s="16"/>
    </row>
    <row r="668" spans="1:4" ht="13.2">
      <c r="A668" s="53"/>
      <c r="C668" s="272"/>
      <c r="D668" s="16"/>
    </row>
    <row r="669" spans="1:4" ht="13.2">
      <c r="A669" s="53"/>
      <c r="C669" s="272"/>
      <c r="D669" s="16"/>
    </row>
    <row r="670" spans="1:4" ht="13.2">
      <c r="A670" s="53"/>
      <c r="C670" s="272"/>
      <c r="D670" s="16"/>
    </row>
    <row r="671" spans="1:4" ht="13.2">
      <c r="A671" s="53"/>
      <c r="C671" s="272"/>
      <c r="D671" s="16"/>
    </row>
    <row r="672" spans="1:4" ht="13.2">
      <c r="A672" s="53"/>
      <c r="C672" s="272"/>
      <c r="D672" s="16"/>
    </row>
    <row r="673" spans="1:4" ht="13.2">
      <c r="A673" s="53"/>
      <c r="C673" s="272"/>
      <c r="D673" s="16"/>
    </row>
    <row r="674" spans="1:4" ht="13.2">
      <c r="A674" s="53"/>
      <c r="C674" s="272"/>
      <c r="D674" s="16"/>
    </row>
    <row r="675" spans="1:4" ht="13.2">
      <c r="A675" s="53"/>
      <c r="C675" s="272"/>
      <c r="D675" s="16"/>
    </row>
    <row r="676" spans="1:4" ht="13.2">
      <c r="A676" s="53"/>
      <c r="C676" s="272"/>
      <c r="D676" s="16"/>
    </row>
    <row r="677" spans="1:4" ht="13.2">
      <c r="A677" s="53"/>
      <c r="C677" s="272"/>
      <c r="D677" s="16"/>
    </row>
    <row r="678" spans="1:4" ht="13.2">
      <c r="A678" s="53"/>
      <c r="C678" s="272"/>
      <c r="D678" s="16"/>
    </row>
    <row r="679" spans="1:4" ht="13.2">
      <c r="A679" s="53"/>
      <c r="C679" s="272"/>
      <c r="D679" s="16"/>
    </row>
    <row r="680" spans="1:4" ht="13.2">
      <c r="A680" s="53"/>
      <c r="C680" s="272"/>
      <c r="D680" s="16"/>
    </row>
    <row r="681" spans="1:4" ht="13.2">
      <c r="A681" s="53"/>
      <c r="C681" s="272"/>
      <c r="D681" s="16"/>
    </row>
    <row r="682" spans="1:4" ht="13.2">
      <c r="A682" s="53"/>
      <c r="C682" s="272"/>
      <c r="D682" s="16"/>
    </row>
    <row r="683" spans="1:4" ht="13.2">
      <c r="A683" s="53"/>
      <c r="C683" s="272"/>
      <c r="D683" s="16"/>
    </row>
    <row r="684" spans="1:4" ht="13.2">
      <c r="A684" s="53"/>
      <c r="C684" s="272"/>
      <c r="D684" s="16"/>
    </row>
    <row r="685" spans="1:4" ht="13.2">
      <c r="A685" s="53"/>
      <c r="C685" s="272"/>
      <c r="D685" s="16"/>
    </row>
    <row r="686" spans="1:4" ht="13.2">
      <c r="A686" s="53"/>
      <c r="C686" s="272"/>
      <c r="D686" s="16"/>
    </row>
    <row r="687" spans="1:4" ht="13.2">
      <c r="A687" s="53"/>
      <c r="C687" s="272"/>
      <c r="D687" s="16"/>
    </row>
    <row r="688" spans="1:4" ht="13.2">
      <c r="A688" s="53"/>
      <c r="C688" s="272"/>
      <c r="D688" s="16"/>
    </row>
    <row r="689" spans="1:4" ht="13.2">
      <c r="A689" s="53"/>
      <c r="C689" s="272"/>
      <c r="D689" s="16"/>
    </row>
    <row r="690" spans="1:4" ht="13.2">
      <c r="A690" s="53"/>
      <c r="C690" s="272"/>
      <c r="D690" s="16"/>
    </row>
    <row r="691" spans="1:4" ht="13.2">
      <c r="A691" s="53"/>
      <c r="C691" s="272"/>
      <c r="D691" s="16"/>
    </row>
    <row r="692" spans="1:4" ht="13.2">
      <c r="A692" s="53"/>
      <c r="C692" s="272"/>
      <c r="D692" s="16"/>
    </row>
    <row r="693" spans="1:4" ht="13.2">
      <c r="A693" s="53"/>
      <c r="C693" s="272"/>
      <c r="D693" s="16"/>
    </row>
    <row r="694" spans="1:4" ht="13.2">
      <c r="A694" s="53"/>
      <c r="C694" s="272"/>
      <c r="D694" s="16"/>
    </row>
    <row r="695" spans="1:4" ht="13.2">
      <c r="A695" s="53"/>
      <c r="C695" s="272"/>
      <c r="D695" s="16"/>
    </row>
    <row r="696" spans="1:4" ht="13.2">
      <c r="A696" s="53"/>
      <c r="C696" s="272"/>
      <c r="D696" s="16"/>
    </row>
    <row r="697" spans="1:4" ht="13.2">
      <c r="A697" s="53"/>
      <c r="C697" s="272"/>
      <c r="D697" s="16"/>
    </row>
    <row r="698" spans="1:4" ht="13.2">
      <c r="A698" s="53"/>
      <c r="C698" s="272"/>
      <c r="D698" s="16"/>
    </row>
    <row r="699" spans="1:4" ht="13.2">
      <c r="A699" s="53"/>
      <c r="C699" s="272"/>
      <c r="D699" s="16"/>
    </row>
    <row r="700" spans="1:4" ht="13.2">
      <c r="A700" s="53"/>
      <c r="C700" s="272"/>
      <c r="D700" s="16"/>
    </row>
    <row r="701" spans="1:4" ht="13.2">
      <c r="A701" s="53"/>
      <c r="C701" s="272"/>
      <c r="D701" s="16"/>
    </row>
    <row r="702" spans="1:4" ht="13.2">
      <c r="A702" s="53"/>
      <c r="C702" s="272"/>
      <c r="D702" s="16"/>
    </row>
    <row r="703" spans="1:4" ht="13.2">
      <c r="A703" s="53"/>
      <c r="C703" s="272"/>
      <c r="D703" s="16"/>
    </row>
    <row r="704" spans="1:4" ht="13.2">
      <c r="A704" s="53"/>
      <c r="C704" s="272"/>
      <c r="D704" s="16"/>
    </row>
    <row r="705" spans="1:4" ht="13.2">
      <c r="A705" s="53"/>
      <c r="C705" s="272"/>
      <c r="D705" s="16"/>
    </row>
    <row r="706" spans="1:4" ht="13.2">
      <c r="A706" s="53"/>
      <c r="C706" s="272"/>
      <c r="D706" s="16"/>
    </row>
    <row r="707" spans="1:4" ht="13.2">
      <c r="A707" s="53"/>
      <c r="C707" s="272"/>
      <c r="D707" s="16"/>
    </row>
    <row r="708" spans="1:4" ht="13.2">
      <c r="A708" s="53"/>
      <c r="C708" s="272"/>
      <c r="D708" s="16"/>
    </row>
    <row r="709" spans="1:4" ht="13.2">
      <c r="A709" s="53"/>
      <c r="C709" s="272"/>
      <c r="D709" s="16"/>
    </row>
    <row r="710" spans="1:4" ht="13.2">
      <c r="A710" s="53"/>
      <c r="C710" s="272"/>
      <c r="D710" s="16"/>
    </row>
    <row r="711" spans="1:4" ht="13.2">
      <c r="A711" s="53"/>
      <c r="C711" s="272"/>
      <c r="D711" s="16"/>
    </row>
    <row r="712" spans="1:4" ht="13.2">
      <c r="A712" s="53"/>
      <c r="C712" s="272"/>
      <c r="D712" s="16"/>
    </row>
    <row r="713" spans="1:4" ht="13.2">
      <c r="A713" s="53"/>
      <c r="C713" s="272"/>
      <c r="D713" s="16"/>
    </row>
    <row r="714" spans="1:4" ht="13.2">
      <c r="A714" s="53"/>
      <c r="C714" s="272"/>
      <c r="D714" s="16"/>
    </row>
    <row r="715" spans="1:4" ht="13.2">
      <c r="A715" s="53"/>
      <c r="C715" s="272"/>
      <c r="D715" s="16"/>
    </row>
    <row r="716" spans="1:4" ht="13.2">
      <c r="A716" s="53"/>
      <c r="C716" s="272"/>
      <c r="D716" s="16"/>
    </row>
    <row r="717" spans="1:4" ht="13.2">
      <c r="A717" s="53"/>
      <c r="C717" s="272"/>
      <c r="D717" s="16"/>
    </row>
    <row r="718" spans="1:4" ht="13.2">
      <c r="A718" s="53"/>
      <c r="C718" s="272"/>
      <c r="D718" s="16"/>
    </row>
    <row r="719" spans="1:4" ht="13.2">
      <c r="A719" s="53"/>
      <c r="C719" s="272"/>
      <c r="D719" s="16"/>
    </row>
    <row r="720" spans="1:4" ht="13.2">
      <c r="A720" s="53"/>
      <c r="C720" s="272"/>
      <c r="D720" s="16"/>
    </row>
    <row r="721" spans="1:4" ht="13.2">
      <c r="A721" s="53"/>
      <c r="C721" s="272"/>
      <c r="D721" s="16"/>
    </row>
    <row r="722" spans="1:4" ht="13.2">
      <c r="A722" s="53"/>
      <c r="C722" s="272"/>
      <c r="D722" s="16"/>
    </row>
    <row r="723" spans="1:4" ht="13.2">
      <c r="A723" s="53"/>
      <c r="C723" s="272"/>
      <c r="D723" s="16"/>
    </row>
    <row r="724" spans="1:4" ht="13.2">
      <c r="A724" s="53"/>
      <c r="C724" s="272"/>
      <c r="D724" s="16"/>
    </row>
    <row r="725" spans="1:4" ht="13.2">
      <c r="A725" s="53"/>
      <c r="C725" s="272"/>
      <c r="D725" s="16"/>
    </row>
    <row r="726" spans="1:4" ht="13.2">
      <c r="A726" s="53"/>
      <c r="C726" s="272"/>
      <c r="D726" s="16"/>
    </row>
    <row r="727" spans="1:4" ht="13.2">
      <c r="A727" s="53"/>
      <c r="C727" s="272"/>
      <c r="D727" s="16"/>
    </row>
    <row r="728" spans="1:4" ht="13.2">
      <c r="A728" s="53"/>
      <c r="C728" s="272"/>
      <c r="D728" s="16"/>
    </row>
    <row r="729" spans="1:4" ht="13.2">
      <c r="A729" s="53"/>
      <c r="C729" s="272"/>
      <c r="D729" s="16"/>
    </row>
    <row r="730" spans="1:4" ht="13.2">
      <c r="A730" s="53"/>
      <c r="C730" s="272"/>
      <c r="D730" s="16"/>
    </row>
    <row r="731" spans="1:4" ht="13.2">
      <c r="A731" s="53"/>
      <c r="C731" s="272"/>
      <c r="D731" s="16"/>
    </row>
    <row r="732" spans="1:4" ht="13.2">
      <c r="A732" s="53"/>
      <c r="C732" s="272"/>
      <c r="D732" s="16"/>
    </row>
    <row r="733" spans="1:4" ht="13.2">
      <c r="A733" s="53"/>
      <c r="C733" s="272"/>
      <c r="D733" s="16"/>
    </row>
    <row r="734" spans="1:4" ht="13.2">
      <c r="A734" s="53"/>
      <c r="C734" s="272"/>
      <c r="D734" s="16"/>
    </row>
    <row r="735" spans="1:4" ht="13.2">
      <c r="A735" s="53"/>
      <c r="C735" s="272"/>
      <c r="D735" s="16"/>
    </row>
    <row r="736" spans="1:4" ht="13.2">
      <c r="A736" s="53"/>
      <c r="C736" s="272"/>
      <c r="D736" s="16"/>
    </row>
    <row r="737" spans="1:4" ht="13.2">
      <c r="A737" s="53"/>
      <c r="C737" s="272"/>
      <c r="D737" s="16"/>
    </row>
    <row r="738" spans="1:4" ht="13.2">
      <c r="A738" s="53"/>
      <c r="C738" s="272"/>
      <c r="D738" s="16"/>
    </row>
    <row r="739" spans="1:4" ht="13.2">
      <c r="A739" s="53"/>
      <c r="C739" s="272"/>
      <c r="D739" s="16"/>
    </row>
    <row r="740" spans="1:4" ht="13.2">
      <c r="A740" s="53"/>
      <c r="C740" s="272"/>
      <c r="D740" s="16"/>
    </row>
    <row r="741" spans="1:4" ht="13.2">
      <c r="A741" s="53"/>
      <c r="C741" s="272"/>
      <c r="D741" s="16"/>
    </row>
    <row r="742" spans="1:4" ht="13.2">
      <c r="A742" s="53"/>
      <c r="C742" s="272"/>
      <c r="D742" s="16"/>
    </row>
    <row r="743" spans="1:4" ht="13.2">
      <c r="A743" s="53"/>
      <c r="C743" s="272"/>
      <c r="D743" s="16"/>
    </row>
    <row r="744" spans="1:4" ht="13.2">
      <c r="A744" s="53"/>
      <c r="C744" s="272"/>
      <c r="D744" s="16"/>
    </row>
    <row r="745" spans="1:4" ht="13.2">
      <c r="A745" s="53"/>
      <c r="C745" s="272"/>
      <c r="D745" s="16"/>
    </row>
    <row r="746" spans="1:4" ht="13.2">
      <c r="A746" s="53"/>
      <c r="C746" s="272"/>
      <c r="D746" s="16"/>
    </row>
    <row r="747" spans="1:4" ht="13.2">
      <c r="A747" s="53"/>
      <c r="C747" s="272"/>
      <c r="D747" s="16"/>
    </row>
    <row r="748" spans="1:4" ht="13.2">
      <c r="A748" s="53"/>
      <c r="C748" s="272"/>
      <c r="D748" s="16"/>
    </row>
    <row r="749" spans="1:4" ht="13.2">
      <c r="A749" s="53"/>
      <c r="C749" s="272"/>
      <c r="D749" s="16"/>
    </row>
    <row r="750" spans="1:4" ht="13.2">
      <c r="A750" s="53"/>
      <c r="C750" s="272"/>
      <c r="D750" s="16"/>
    </row>
    <row r="751" spans="1:4" ht="13.2">
      <c r="A751" s="53"/>
      <c r="C751" s="272"/>
      <c r="D751" s="16"/>
    </row>
    <row r="752" spans="1:4" ht="13.2">
      <c r="A752" s="53"/>
      <c r="C752" s="272"/>
      <c r="D752" s="16"/>
    </row>
    <row r="753" spans="1:4" ht="13.2">
      <c r="A753" s="53"/>
      <c r="C753" s="272"/>
      <c r="D753" s="16"/>
    </row>
    <row r="754" spans="1:4" ht="13.2">
      <c r="A754" s="53"/>
      <c r="C754" s="272"/>
      <c r="D754" s="16"/>
    </row>
    <row r="755" spans="1:4" ht="13.2">
      <c r="A755" s="53"/>
      <c r="C755" s="272"/>
      <c r="D755" s="16"/>
    </row>
    <row r="756" spans="1:4" ht="13.2">
      <c r="A756" s="53"/>
      <c r="C756" s="272"/>
      <c r="D756" s="16"/>
    </row>
    <row r="757" spans="1:4" ht="13.2">
      <c r="A757" s="53"/>
      <c r="C757" s="272"/>
      <c r="D757" s="16"/>
    </row>
    <row r="758" spans="1:4" ht="13.2">
      <c r="A758" s="53"/>
      <c r="C758" s="272"/>
      <c r="D758" s="16"/>
    </row>
    <row r="759" spans="1:4" ht="13.2">
      <c r="A759" s="53"/>
      <c r="C759" s="272"/>
      <c r="D759" s="16"/>
    </row>
    <row r="760" spans="1:4" ht="13.2">
      <c r="A760" s="53"/>
      <c r="C760" s="272"/>
      <c r="D760" s="16"/>
    </row>
    <row r="761" spans="1:4" ht="13.2">
      <c r="A761" s="53"/>
      <c r="C761" s="272"/>
      <c r="D761" s="16"/>
    </row>
    <row r="762" spans="1:4" ht="13.2">
      <c r="A762" s="53"/>
      <c r="C762" s="272"/>
      <c r="D762" s="16"/>
    </row>
    <row r="763" spans="1:4" ht="13.2">
      <c r="A763" s="53"/>
      <c r="C763" s="272"/>
      <c r="D763" s="16"/>
    </row>
    <row r="764" spans="1:4" ht="13.2">
      <c r="A764" s="53"/>
      <c r="C764" s="272"/>
      <c r="D764" s="16"/>
    </row>
    <row r="765" spans="1:4" ht="13.2">
      <c r="A765" s="53"/>
      <c r="C765" s="272"/>
      <c r="D765" s="16"/>
    </row>
    <row r="766" spans="1:4" ht="13.2">
      <c r="A766" s="53"/>
      <c r="C766" s="272"/>
      <c r="D766" s="16"/>
    </row>
    <row r="767" spans="1:4" ht="13.2">
      <c r="A767" s="53"/>
      <c r="C767" s="272"/>
      <c r="D767" s="16"/>
    </row>
    <row r="768" spans="1:4" ht="13.2">
      <c r="A768" s="53"/>
      <c r="C768" s="272"/>
      <c r="D768" s="16"/>
    </row>
    <row r="769" spans="1:4" ht="13.2">
      <c r="A769" s="53"/>
      <c r="C769" s="272"/>
      <c r="D769" s="16"/>
    </row>
    <row r="770" spans="1:4" ht="13.2">
      <c r="A770" s="53"/>
      <c r="C770" s="272"/>
      <c r="D770" s="16"/>
    </row>
    <row r="771" spans="1:4" ht="13.2">
      <c r="A771" s="53"/>
      <c r="C771" s="272"/>
      <c r="D771" s="16"/>
    </row>
    <row r="772" spans="1:4" ht="13.2">
      <c r="A772" s="53"/>
      <c r="C772" s="272"/>
      <c r="D772" s="16"/>
    </row>
    <row r="773" spans="1:4" ht="13.2">
      <c r="A773" s="53"/>
      <c r="C773" s="272"/>
      <c r="D773" s="16"/>
    </row>
    <row r="774" spans="1:4" ht="13.2">
      <c r="A774" s="53"/>
      <c r="C774" s="272"/>
      <c r="D774" s="16"/>
    </row>
    <row r="775" spans="1:4" ht="13.2">
      <c r="A775" s="53"/>
      <c r="C775" s="272"/>
      <c r="D775" s="16"/>
    </row>
    <row r="776" spans="1:4" ht="13.2">
      <c r="A776" s="53"/>
      <c r="C776" s="272"/>
      <c r="D776" s="16"/>
    </row>
    <row r="777" spans="1:4" ht="13.2">
      <c r="A777" s="53"/>
      <c r="C777" s="272"/>
      <c r="D777" s="16"/>
    </row>
    <row r="778" spans="1:4" ht="13.2">
      <c r="A778" s="53"/>
      <c r="C778" s="272"/>
      <c r="D778" s="16"/>
    </row>
    <row r="779" spans="1:4" ht="13.2">
      <c r="A779" s="53"/>
      <c r="C779" s="272"/>
      <c r="D779" s="16"/>
    </row>
    <row r="780" spans="1:4" ht="13.2">
      <c r="A780" s="53"/>
      <c r="C780" s="272"/>
      <c r="D780" s="16"/>
    </row>
    <row r="781" spans="1:4" ht="13.2">
      <c r="A781" s="53"/>
      <c r="C781" s="272"/>
      <c r="D781" s="16"/>
    </row>
    <row r="782" spans="1:4" ht="13.2">
      <c r="A782" s="53"/>
      <c r="C782" s="272"/>
      <c r="D782" s="16"/>
    </row>
    <row r="783" spans="1:4" ht="13.2">
      <c r="A783" s="53"/>
      <c r="C783" s="272"/>
      <c r="D783" s="16"/>
    </row>
    <row r="784" spans="1:4" ht="13.2">
      <c r="A784" s="53"/>
      <c r="C784" s="272"/>
      <c r="D784" s="16"/>
    </row>
    <row r="785" spans="1:4" ht="13.2">
      <c r="A785" s="53"/>
      <c r="C785" s="272"/>
      <c r="D785" s="16"/>
    </row>
    <row r="786" spans="1:4" ht="13.2">
      <c r="A786" s="53"/>
      <c r="C786" s="272"/>
      <c r="D786" s="16"/>
    </row>
    <row r="787" spans="1:4" ht="13.2">
      <c r="A787" s="53"/>
      <c r="C787" s="272"/>
      <c r="D787" s="16"/>
    </row>
    <row r="788" spans="1:4" ht="13.2">
      <c r="A788" s="53"/>
      <c r="C788" s="272"/>
      <c r="D788" s="16"/>
    </row>
    <row r="789" spans="1:4" ht="13.2">
      <c r="A789" s="53"/>
      <c r="C789" s="272"/>
      <c r="D789" s="16"/>
    </row>
    <row r="790" spans="1:4" ht="13.2">
      <c r="A790" s="53"/>
      <c r="C790" s="272"/>
      <c r="D790" s="16"/>
    </row>
    <row r="791" spans="1:4" ht="13.2">
      <c r="A791" s="53"/>
      <c r="C791" s="272"/>
      <c r="D791" s="16"/>
    </row>
    <row r="792" spans="1:4" ht="13.2">
      <c r="A792" s="53"/>
      <c r="C792" s="272"/>
      <c r="D792" s="16"/>
    </row>
    <row r="793" spans="1:4" ht="13.2">
      <c r="A793" s="53"/>
      <c r="C793" s="272"/>
      <c r="D793" s="16"/>
    </row>
    <row r="794" spans="1:4" ht="13.2">
      <c r="A794" s="53"/>
      <c r="C794" s="272"/>
      <c r="D794" s="16"/>
    </row>
    <row r="795" spans="1:4" ht="13.2">
      <c r="A795" s="53"/>
      <c r="C795" s="272"/>
      <c r="D795" s="16"/>
    </row>
    <row r="796" spans="1:4" ht="13.2">
      <c r="A796" s="53"/>
      <c r="C796" s="272"/>
      <c r="D796" s="16"/>
    </row>
    <row r="797" spans="1:4" ht="13.2">
      <c r="A797" s="53"/>
      <c r="C797" s="272"/>
      <c r="D797" s="16"/>
    </row>
    <row r="798" spans="1:4" ht="13.2">
      <c r="A798" s="53"/>
      <c r="C798" s="272"/>
      <c r="D798" s="16"/>
    </row>
    <row r="799" spans="1:4" ht="13.2">
      <c r="A799" s="53"/>
      <c r="C799" s="272"/>
      <c r="D799" s="16"/>
    </row>
    <row r="800" spans="1:4" ht="13.2">
      <c r="A800" s="53"/>
      <c r="C800" s="272"/>
      <c r="D800" s="16"/>
    </row>
    <row r="801" spans="1:4" ht="13.2">
      <c r="A801" s="53"/>
      <c r="C801" s="272"/>
      <c r="D801" s="16"/>
    </row>
    <row r="802" spans="1:4" ht="13.2">
      <c r="A802" s="53"/>
      <c r="C802" s="272"/>
      <c r="D802" s="16"/>
    </row>
    <row r="803" spans="1:4" ht="13.2">
      <c r="A803" s="53"/>
      <c r="C803" s="272"/>
      <c r="D803" s="16"/>
    </row>
    <row r="804" spans="1:4" ht="13.2">
      <c r="A804" s="53"/>
      <c r="C804" s="272"/>
      <c r="D804" s="16"/>
    </row>
    <row r="805" spans="1:4" ht="13.2">
      <c r="A805" s="53"/>
      <c r="C805" s="272"/>
      <c r="D805" s="16"/>
    </row>
    <row r="806" spans="1:4" ht="13.2">
      <c r="A806" s="53"/>
      <c r="C806" s="272"/>
      <c r="D806" s="16"/>
    </row>
    <row r="807" spans="1:4" ht="13.2">
      <c r="A807" s="53"/>
      <c r="C807" s="272"/>
      <c r="D807" s="16"/>
    </row>
    <row r="808" spans="1:4" ht="13.2">
      <c r="A808" s="53"/>
      <c r="C808" s="272"/>
      <c r="D808" s="16"/>
    </row>
    <row r="809" spans="1:4" ht="13.2">
      <c r="A809" s="53"/>
      <c r="C809" s="272"/>
      <c r="D809" s="16"/>
    </row>
    <row r="810" spans="1:4" ht="13.2">
      <c r="A810" s="53"/>
      <c r="C810" s="272"/>
      <c r="D810" s="16"/>
    </row>
    <row r="811" spans="1:4" ht="13.2">
      <c r="A811" s="53"/>
      <c r="C811" s="272"/>
      <c r="D811" s="16"/>
    </row>
    <row r="812" spans="1:4" ht="13.2">
      <c r="A812" s="53"/>
      <c r="C812" s="272"/>
      <c r="D812" s="16"/>
    </row>
    <row r="813" spans="1:4" ht="13.2">
      <c r="A813" s="53"/>
      <c r="C813" s="272"/>
      <c r="D813" s="16"/>
    </row>
    <row r="814" spans="1:4" ht="13.2">
      <c r="A814" s="53"/>
      <c r="C814" s="272"/>
      <c r="D814" s="16"/>
    </row>
    <row r="815" spans="1:4" ht="13.2">
      <c r="A815" s="53"/>
      <c r="C815" s="272"/>
      <c r="D815" s="16"/>
    </row>
    <row r="816" spans="1:4" ht="13.2">
      <c r="A816" s="53"/>
      <c r="C816" s="272"/>
      <c r="D816" s="16"/>
    </row>
    <row r="817" spans="1:4" ht="13.2">
      <c r="A817" s="53"/>
      <c r="C817" s="272"/>
      <c r="D817" s="16"/>
    </row>
    <row r="818" spans="1:4" ht="13.2">
      <c r="A818" s="53"/>
      <c r="C818" s="272"/>
      <c r="D818" s="16"/>
    </row>
    <row r="819" spans="1:4" ht="13.2">
      <c r="A819" s="53"/>
      <c r="C819" s="272"/>
      <c r="D819" s="16"/>
    </row>
    <row r="820" spans="1:4" ht="13.2">
      <c r="A820" s="53"/>
      <c r="C820" s="272"/>
      <c r="D820" s="16"/>
    </row>
    <row r="821" spans="1:4" ht="13.2">
      <c r="A821" s="53"/>
      <c r="C821" s="272"/>
      <c r="D821" s="16"/>
    </row>
    <row r="822" spans="1:4" ht="13.2">
      <c r="A822" s="53"/>
      <c r="C822" s="272"/>
      <c r="D822" s="16"/>
    </row>
    <row r="823" spans="1:4" ht="13.2">
      <c r="A823" s="53"/>
      <c r="C823" s="272"/>
      <c r="D823" s="16"/>
    </row>
    <row r="824" spans="1:4" ht="13.2">
      <c r="A824" s="53"/>
      <c r="C824" s="272"/>
      <c r="D824" s="16"/>
    </row>
    <row r="825" spans="1:4" ht="13.2">
      <c r="A825" s="53"/>
      <c r="C825" s="272"/>
      <c r="D825" s="16"/>
    </row>
    <row r="826" spans="1:4" ht="13.2">
      <c r="A826" s="53"/>
      <c r="C826" s="272"/>
      <c r="D826" s="16"/>
    </row>
    <row r="827" spans="1:4" ht="13.2">
      <c r="A827" s="53"/>
      <c r="C827" s="272"/>
      <c r="D827" s="16"/>
    </row>
    <row r="828" spans="1:4" ht="13.2">
      <c r="A828" s="53"/>
      <c r="C828" s="272"/>
      <c r="D828" s="16"/>
    </row>
    <row r="829" spans="1:4" ht="13.2">
      <c r="A829" s="53"/>
      <c r="C829" s="272"/>
      <c r="D829" s="16"/>
    </row>
    <row r="830" spans="1:4" ht="13.2">
      <c r="A830" s="53"/>
      <c r="C830" s="272"/>
      <c r="D830" s="16"/>
    </row>
    <row r="831" spans="1:4" ht="13.2">
      <c r="A831" s="53"/>
      <c r="C831" s="272"/>
      <c r="D831" s="16"/>
    </row>
    <row r="832" spans="1:4" ht="13.2">
      <c r="A832" s="53"/>
      <c r="C832" s="272"/>
      <c r="D832" s="16"/>
    </row>
    <row r="833" spans="1:4" ht="13.2">
      <c r="A833" s="53"/>
      <c r="C833" s="272"/>
      <c r="D833" s="16"/>
    </row>
    <row r="834" spans="1:4" ht="13.2">
      <c r="A834" s="53"/>
      <c r="C834" s="272"/>
      <c r="D834" s="16"/>
    </row>
    <row r="835" spans="1:4" ht="13.2">
      <c r="A835" s="53"/>
      <c r="C835" s="272"/>
      <c r="D835" s="16"/>
    </row>
    <row r="836" spans="1:4" ht="13.2">
      <c r="A836" s="53"/>
      <c r="C836" s="272"/>
      <c r="D836" s="16"/>
    </row>
    <row r="837" spans="1:4" ht="13.2">
      <c r="A837" s="53"/>
      <c r="C837" s="272"/>
      <c r="D837" s="16"/>
    </row>
    <row r="838" spans="1:4" ht="13.2">
      <c r="A838" s="53"/>
      <c r="C838" s="272"/>
      <c r="D838" s="16"/>
    </row>
    <row r="839" spans="1:4" ht="13.2">
      <c r="A839" s="53"/>
      <c r="C839" s="272"/>
      <c r="D839" s="16"/>
    </row>
    <row r="840" spans="1:4" ht="13.2">
      <c r="A840" s="53"/>
      <c r="C840" s="272"/>
      <c r="D840" s="16"/>
    </row>
    <row r="841" spans="1:4" ht="13.2">
      <c r="A841" s="53"/>
      <c r="C841" s="272"/>
      <c r="D841" s="16"/>
    </row>
    <row r="842" spans="1:4" ht="13.2">
      <c r="A842" s="53"/>
      <c r="C842" s="272"/>
      <c r="D842" s="16"/>
    </row>
    <row r="843" spans="1:4" ht="13.2">
      <c r="A843" s="53"/>
      <c r="C843" s="272"/>
      <c r="D843" s="16"/>
    </row>
    <row r="844" spans="1:4" ht="13.2">
      <c r="A844" s="53"/>
      <c r="C844" s="272"/>
      <c r="D844" s="16"/>
    </row>
    <row r="845" spans="1:4" ht="13.2">
      <c r="A845" s="53"/>
      <c r="C845" s="272"/>
      <c r="D845" s="16"/>
    </row>
    <row r="846" spans="1:4" ht="13.2">
      <c r="A846" s="53"/>
      <c r="C846" s="272"/>
      <c r="D846" s="16"/>
    </row>
    <row r="847" spans="1:4" ht="13.2">
      <c r="A847" s="53"/>
      <c r="C847" s="272"/>
      <c r="D847" s="16"/>
    </row>
    <row r="848" spans="1:4" ht="13.2">
      <c r="A848" s="53"/>
      <c r="C848" s="272"/>
      <c r="D848" s="16"/>
    </row>
    <row r="849" spans="1:4" ht="13.2">
      <c r="A849" s="53"/>
      <c r="C849" s="272"/>
      <c r="D849" s="16"/>
    </row>
    <row r="850" spans="1:4" ht="13.2">
      <c r="A850" s="53"/>
      <c r="C850" s="272"/>
      <c r="D850" s="16"/>
    </row>
    <row r="851" spans="1:4" ht="13.2">
      <c r="A851" s="53"/>
      <c r="C851" s="272"/>
      <c r="D851" s="16"/>
    </row>
    <row r="852" spans="1:4" ht="13.2">
      <c r="A852" s="53"/>
      <c r="C852" s="272"/>
      <c r="D852" s="16"/>
    </row>
    <row r="853" spans="1:4" ht="13.2">
      <c r="A853" s="53"/>
      <c r="C853" s="272"/>
      <c r="D853" s="16"/>
    </row>
    <row r="854" spans="1:4" ht="13.2">
      <c r="A854" s="53"/>
      <c r="C854" s="272"/>
      <c r="D854" s="16"/>
    </row>
    <row r="855" spans="1:4" ht="13.2">
      <c r="A855" s="53"/>
      <c r="C855" s="272"/>
      <c r="D855" s="16"/>
    </row>
    <row r="856" spans="1:4" ht="13.2">
      <c r="A856" s="53"/>
      <c r="C856" s="272"/>
      <c r="D856" s="16"/>
    </row>
    <row r="857" spans="1:4" ht="13.2">
      <c r="A857" s="53"/>
      <c r="C857" s="272"/>
      <c r="D857" s="16"/>
    </row>
    <row r="858" spans="1:4" ht="13.2">
      <c r="A858" s="53"/>
      <c r="C858" s="272"/>
      <c r="D858" s="16"/>
    </row>
    <row r="859" spans="1:4" ht="13.2">
      <c r="A859" s="53"/>
      <c r="C859" s="272"/>
      <c r="D859" s="16"/>
    </row>
    <row r="860" spans="1:4" ht="13.2">
      <c r="A860" s="53"/>
      <c r="C860" s="272"/>
      <c r="D860" s="16"/>
    </row>
    <row r="861" spans="1:4" ht="13.2">
      <c r="A861" s="53"/>
      <c r="C861" s="272"/>
      <c r="D861" s="16"/>
    </row>
    <row r="862" spans="1:4" ht="13.2">
      <c r="A862" s="53"/>
      <c r="C862" s="272"/>
      <c r="D862" s="16"/>
    </row>
    <row r="863" spans="1:4" ht="13.2">
      <c r="A863" s="53"/>
      <c r="C863" s="272"/>
      <c r="D863" s="16"/>
    </row>
    <row r="864" spans="1:4" ht="13.2">
      <c r="A864" s="53"/>
      <c r="C864" s="272"/>
      <c r="D864" s="16"/>
    </row>
    <row r="865" spans="1:4" ht="13.2">
      <c r="A865" s="53"/>
      <c r="C865" s="272"/>
      <c r="D865" s="16"/>
    </row>
    <row r="866" spans="1:4" ht="13.2">
      <c r="A866" s="53"/>
      <c r="C866" s="272"/>
      <c r="D866" s="16"/>
    </row>
    <row r="867" spans="1:4" ht="13.2">
      <c r="A867" s="53"/>
      <c r="C867" s="272"/>
      <c r="D867" s="16"/>
    </row>
    <row r="868" spans="1:4" ht="13.2">
      <c r="A868" s="53"/>
      <c r="C868" s="272"/>
      <c r="D868" s="16"/>
    </row>
    <row r="869" spans="1:4" ht="13.2">
      <c r="A869" s="53"/>
      <c r="C869" s="272"/>
      <c r="D869" s="16"/>
    </row>
    <row r="870" spans="1:4" ht="13.2">
      <c r="A870" s="53"/>
      <c r="C870" s="272"/>
      <c r="D870" s="16"/>
    </row>
    <row r="871" spans="1:4" ht="13.2">
      <c r="A871" s="53"/>
      <c r="C871" s="272"/>
      <c r="D871" s="16"/>
    </row>
    <row r="872" spans="1:4" ht="13.2">
      <c r="A872" s="53"/>
      <c r="C872" s="272"/>
      <c r="D872" s="16"/>
    </row>
    <row r="873" spans="1:4" ht="13.2">
      <c r="A873" s="53"/>
      <c r="C873" s="272"/>
      <c r="D873" s="16"/>
    </row>
    <row r="874" spans="1:4" ht="13.2">
      <c r="A874" s="53"/>
      <c r="C874" s="272"/>
      <c r="D874" s="16"/>
    </row>
    <row r="875" spans="1:4" ht="13.2">
      <c r="A875" s="53"/>
      <c r="C875" s="272"/>
      <c r="D875" s="16"/>
    </row>
    <row r="876" spans="1:4" ht="13.2">
      <c r="A876" s="53"/>
      <c r="C876" s="272"/>
      <c r="D876" s="16"/>
    </row>
    <row r="877" spans="1:4" ht="13.2">
      <c r="A877" s="53"/>
      <c r="C877" s="272"/>
      <c r="D877" s="16"/>
    </row>
    <row r="878" spans="1:4" ht="13.2">
      <c r="A878" s="53"/>
      <c r="C878" s="272"/>
      <c r="D878" s="16"/>
    </row>
    <row r="879" spans="1:4" ht="13.2">
      <c r="A879" s="53"/>
      <c r="C879" s="272"/>
      <c r="D879" s="16"/>
    </row>
    <row r="880" spans="1:4" ht="13.2">
      <c r="A880" s="53"/>
      <c r="C880" s="272"/>
      <c r="D880" s="16"/>
    </row>
    <row r="881" spans="1:4" ht="13.2">
      <c r="A881" s="53"/>
      <c r="C881" s="272"/>
      <c r="D881" s="16"/>
    </row>
    <row r="882" spans="1:4" ht="13.2">
      <c r="A882" s="53"/>
      <c r="C882" s="272"/>
      <c r="D882" s="16"/>
    </row>
    <row r="883" spans="1:4" ht="13.2">
      <c r="A883" s="53"/>
      <c r="C883" s="272"/>
      <c r="D883" s="16"/>
    </row>
    <row r="884" spans="1:4" ht="13.2">
      <c r="A884" s="53"/>
      <c r="C884" s="272"/>
      <c r="D884" s="16"/>
    </row>
    <row r="885" spans="1:4" ht="13.2">
      <c r="A885" s="53"/>
      <c r="C885" s="272"/>
      <c r="D885" s="16"/>
    </row>
    <row r="886" spans="1:4" ht="13.2">
      <c r="A886" s="53"/>
      <c r="C886" s="272"/>
      <c r="D886" s="16"/>
    </row>
    <row r="887" spans="1:4" ht="13.2">
      <c r="A887" s="53"/>
      <c r="C887" s="272"/>
      <c r="D887" s="16"/>
    </row>
    <row r="888" spans="1:4" ht="13.2">
      <c r="A888" s="53"/>
      <c r="C888" s="272"/>
      <c r="D888" s="16"/>
    </row>
    <row r="889" spans="1:4" ht="13.2">
      <c r="A889" s="53"/>
      <c r="C889" s="272"/>
      <c r="D889" s="16"/>
    </row>
    <row r="890" spans="1:4" ht="13.2">
      <c r="A890" s="53"/>
      <c r="C890" s="272"/>
      <c r="D890" s="16"/>
    </row>
    <row r="891" spans="1:4" ht="13.2">
      <c r="A891" s="53"/>
      <c r="C891" s="272"/>
      <c r="D891" s="16"/>
    </row>
    <row r="892" spans="1:4" ht="13.2">
      <c r="A892" s="53"/>
      <c r="C892" s="272"/>
      <c r="D892" s="16"/>
    </row>
    <row r="893" spans="1:4" ht="13.2">
      <c r="A893" s="53"/>
      <c r="C893" s="272"/>
      <c r="D893" s="16"/>
    </row>
    <row r="894" spans="1:4" ht="13.2">
      <c r="A894" s="53"/>
      <c r="C894" s="272"/>
      <c r="D894" s="16"/>
    </row>
    <row r="895" spans="1:4" ht="13.2">
      <c r="A895" s="53"/>
      <c r="C895" s="272"/>
      <c r="D895" s="16"/>
    </row>
    <row r="896" spans="1:4" ht="13.2">
      <c r="A896" s="53"/>
      <c r="C896" s="272"/>
      <c r="D896" s="16"/>
    </row>
    <row r="897" spans="1:4" ht="13.2">
      <c r="A897" s="53"/>
      <c r="C897" s="272"/>
      <c r="D897" s="16"/>
    </row>
    <row r="898" spans="1:4" ht="13.2">
      <c r="A898" s="53"/>
      <c r="C898" s="272"/>
      <c r="D898" s="16"/>
    </row>
    <row r="899" spans="1:4" ht="13.2">
      <c r="A899" s="53"/>
      <c r="C899" s="272"/>
      <c r="D899" s="16"/>
    </row>
    <row r="900" spans="1:4" ht="13.2">
      <c r="A900" s="53"/>
      <c r="C900" s="272"/>
      <c r="D900" s="16"/>
    </row>
    <row r="901" spans="1:4" ht="13.2">
      <c r="A901" s="53"/>
      <c r="C901" s="272"/>
      <c r="D901" s="16"/>
    </row>
    <row r="902" spans="1:4" ht="13.2">
      <c r="A902" s="53"/>
      <c r="C902" s="272"/>
      <c r="D902" s="16"/>
    </row>
    <row r="903" spans="1:4" ht="13.2">
      <c r="A903" s="53"/>
      <c r="C903" s="272"/>
      <c r="D903" s="16"/>
    </row>
    <row r="904" spans="1:4" ht="13.2">
      <c r="A904" s="53"/>
      <c r="C904" s="272"/>
      <c r="D904" s="16"/>
    </row>
    <row r="905" spans="1:4" ht="13.2">
      <c r="A905" s="53"/>
      <c r="C905" s="272"/>
      <c r="D905" s="16"/>
    </row>
    <row r="906" spans="1:4" ht="13.2">
      <c r="A906" s="53"/>
      <c r="C906" s="272"/>
      <c r="D906" s="16"/>
    </row>
    <row r="907" spans="1:4" ht="13.2">
      <c r="A907" s="53"/>
      <c r="C907" s="272"/>
      <c r="D907" s="16"/>
    </row>
    <row r="908" spans="1:4" ht="13.2">
      <c r="A908" s="53"/>
      <c r="C908" s="272"/>
      <c r="D908" s="16"/>
    </row>
    <row r="909" spans="1:4" ht="13.2">
      <c r="A909" s="53"/>
      <c r="C909" s="272"/>
      <c r="D909" s="16"/>
    </row>
    <row r="910" spans="1:4" ht="13.2">
      <c r="A910" s="53"/>
      <c r="C910" s="272"/>
      <c r="D910" s="16"/>
    </row>
    <row r="911" spans="1:4" ht="13.2">
      <c r="A911" s="53"/>
      <c r="C911" s="272"/>
      <c r="D911" s="16"/>
    </row>
    <row r="912" spans="1:4" ht="13.2">
      <c r="A912" s="53"/>
      <c r="C912" s="272"/>
      <c r="D912" s="16"/>
    </row>
    <row r="913" spans="1:4" ht="13.2">
      <c r="A913" s="53"/>
      <c r="C913" s="272"/>
      <c r="D913" s="16"/>
    </row>
    <row r="914" spans="1:4" ht="13.2">
      <c r="A914" s="53"/>
      <c r="C914" s="272"/>
      <c r="D914" s="16"/>
    </row>
    <row r="915" spans="1:4" ht="13.2">
      <c r="A915" s="53"/>
      <c r="C915" s="272"/>
      <c r="D915" s="16"/>
    </row>
    <row r="916" spans="1:4" ht="13.2">
      <c r="A916" s="53"/>
      <c r="C916" s="272"/>
      <c r="D916" s="16"/>
    </row>
    <row r="917" spans="1:4" ht="13.2">
      <c r="A917" s="53"/>
      <c r="C917" s="272"/>
      <c r="D917" s="16"/>
    </row>
    <row r="918" spans="1:4" ht="13.2">
      <c r="A918" s="53"/>
      <c r="C918" s="272"/>
      <c r="D918" s="16"/>
    </row>
    <row r="919" spans="1:4" ht="13.2">
      <c r="A919" s="53"/>
      <c r="C919" s="272"/>
      <c r="D919" s="16"/>
    </row>
    <row r="920" spans="1:4" ht="13.2">
      <c r="A920" s="53"/>
      <c r="C920" s="272"/>
      <c r="D920" s="16"/>
    </row>
    <row r="921" spans="1:4" ht="13.2">
      <c r="A921" s="53"/>
      <c r="C921" s="272"/>
      <c r="D921" s="16"/>
    </row>
    <row r="922" spans="1:4" ht="13.2">
      <c r="A922" s="53"/>
      <c r="C922" s="272"/>
      <c r="D922" s="16"/>
    </row>
    <row r="923" spans="1:4" ht="13.2">
      <c r="A923" s="53"/>
      <c r="C923" s="272"/>
      <c r="D923" s="16"/>
    </row>
    <row r="924" spans="1:4" ht="13.2">
      <c r="A924" s="53"/>
      <c r="C924" s="272"/>
      <c r="D924" s="16"/>
    </row>
    <row r="925" spans="1:4" ht="13.2">
      <c r="A925" s="53"/>
      <c r="C925" s="272"/>
      <c r="D925" s="16"/>
    </row>
    <row r="926" spans="1:4" ht="13.2">
      <c r="A926" s="53"/>
      <c r="C926" s="272"/>
      <c r="D926" s="16"/>
    </row>
    <row r="927" spans="1:4" ht="13.2">
      <c r="A927" s="53"/>
      <c r="C927" s="272"/>
      <c r="D927" s="16"/>
    </row>
    <row r="928" spans="1:4" ht="13.2">
      <c r="A928" s="53"/>
      <c r="C928" s="272"/>
      <c r="D928" s="16"/>
    </row>
    <row r="929" spans="1:4" ht="13.2">
      <c r="A929" s="53"/>
      <c r="C929" s="272"/>
      <c r="D929" s="16"/>
    </row>
    <row r="930" spans="1:4" ht="13.2">
      <c r="A930" s="53"/>
      <c r="C930" s="272"/>
      <c r="D930" s="16"/>
    </row>
    <row r="931" spans="1:4" ht="13.2">
      <c r="A931" s="53"/>
      <c r="C931" s="272"/>
      <c r="D931" s="16"/>
    </row>
    <row r="932" spans="1:4" ht="13.2">
      <c r="A932" s="53"/>
      <c r="C932" s="272"/>
      <c r="D932" s="16"/>
    </row>
    <row r="933" spans="1:4" ht="13.2">
      <c r="A933" s="53"/>
      <c r="C933" s="272"/>
      <c r="D933" s="16"/>
    </row>
    <row r="934" spans="1:4" ht="13.2">
      <c r="A934" s="53"/>
      <c r="C934" s="272"/>
      <c r="D934" s="16"/>
    </row>
    <row r="935" spans="1:4" ht="13.2">
      <c r="A935" s="53"/>
      <c r="C935" s="272"/>
      <c r="D935" s="16"/>
    </row>
    <row r="936" spans="1:4" ht="13.2">
      <c r="A936" s="53"/>
      <c r="C936" s="272"/>
      <c r="D936" s="16"/>
    </row>
    <row r="937" spans="1:4" ht="13.2">
      <c r="A937" s="53"/>
      <c r="C937" s="272"/>
      <c r="D937" s="16"/>
    </row>
    <row r="938" spans="1:4" ht="13.2">
      <c r="A938" s="53"/>
      <c r="C938" s="272"/>
      <c r="D938" s="16"/>
    </row>
    <row r="939" spans="1:4" ht="13.2">
      <c r="A939" s="53"/>
      <c r="C939" s="272"/>
      <c r="D939" s="16"/>
    </row>
    <row r="940" spans="1:4" ht="13.2">
      <c r="A940" s="53"/>
      <c r="C940" s="272"/>
      <c r="D940" s="16"/>
    </row>
    <row r="941" spans="1:4" ht="13.2">
      <c r="A941" s="53"/>
      <c r="C941" s="272"/>
      <c r="D941" s="16"/>
    </row>
    <row r="942" spans="1:4" ht="13.2">
      <c r="A942" s="53"/>
      <c r="C942" s="272"/>
      <c r="D942" s="16"/>
    </row>
    <row r="943" spans="1:4" ht="13.2">
      <c r="A943" s="53"/>
      <c r="C943" s="272"/>
      <c r="D943" s="16"/>
    </row>
    <row r="944" spans="1:4" ht="13.2">
      <c r="A944" s="53"/>
      <c r="C944" s="272"/>
      <c r="D944" s="16"/>
    </row>
    <row r="945" spans="1:4" ht="13.2">
      <c r="A945" s="53"/>
      <c r="C945" s="272"/>
      <c r="D945" s="16"/>
    </row>
    <row r="946" spans="1:4" ht="13.2">
      <c r="A946" s="53"/>
      <c r="C946" s="272"/>
      <c r="D946" s="16"/>
    </row>
    <row r="947" spans="1:4" ht="13.2">
      <c r="A947" s="53"/>
      <c r="C947" s="272"/>
      <c r="D947" s="16"/>
    </row>
    <row r="948" spans="1:4" ht="13.2">
      <c r="A948" s="53"/>
      <c r="C948" s="272"/>
      <c r="D948" s="16"/>
    </row>
    <row r="949" spans="1:4" ht="13.2">
      <c r="A949" s="53"/>
      <c r="C949" s="272"/>
      <c r="D949" s="16"/>
    </row>
    <row r="950" spans="1:4" ht="13.2">
      <c r="A950" s="53"/>
      <c r="C950" s="272"/>
      <c r="D950" s="16"/>
    </row>
    <row r="951" spans="1:4" ht="13.2">
      <c r="A951" s="53"/>
      <c r="C951" s="272"/>
      <c r="D951" s="16"/>
    </row>
    <row r="952" spans="1:4" ht="13.2">
      <c r="A952" s="53"/>
      <c r="C952" s="272"/>
      <c r="D952" s="16"/>
    </row>
    <row r="953" spans="1:4" ht="13.2">
      <c r="A953" s="53"/>
      <c r="C953" s="272"/>
      <c r="D953" s="16"/>
    </row>
    <row r="954" spans="1:4" ht="13.2">
      <c r="A954" s="53"/>
      <c r="C954" s="272"/>
      <c r="D954" s="16"/>
    </row>
    <row r="955" spans="1:4" ht="13.2">
      <c r="A955" s="53"/>
      <c r="C955" s="272"/>
      <c r="D955" s="16"/>
    </row>
    <row r="956" spans="1:4" ht="13.2">
      <c r="A956" s="53"/>
      <c r="C956" s="272"/>
      <c r="D956" s="16"/>
    </row>
    <row r="957" spans="1:4" ht="13.2">
      <c r="A957" s="53"/>
      <c r="C957" s="272"/>
      <c r="D957" s="16"/>
    </row>
    <row r="958" spans="1:4" ht="13.2">
      <c r="A958" s="53"/>
      <c r="C958" s="272"/>
      <c r="D958" s="16"/>
    </row>
    <row r="959" spans="1:4" ht="13.2">
      <c r="A959" s="53"/>
      <c r="C959" s="272"/>
      <c r="D959" s="16"/>
    </row>
    <row r="960" spans="1:4" ht="13.2">
      <c r="A960" s="53"/>
      <c r="C960" s="272"/>
      <c r="D960" s="16"/>
    </row>
    <row r="961" spans="1:4" ht="13.2">
      <c r="A961" s="53"/>
      <c r="C961" s="272"/>
      <c r="D961" s="16"/>
    </row>
    <row r="962" spans="1:4" ht="13.2">
      <c r="A962" s="53"/>
      <c r="C962" s="272"/>
      <c r="D962" s="16"/>
    </row>
    <row r="963" spans="1:4" ht="13.2">
      <c r="A963" s="53"/>
      <c r="C963" s="272"/>
      <c r="D963" s="16"/>
    </row>
    <row r="964" spans="1:4" ht="13.2">
      <c r="A964" s="53"/>
      <c r="C964" s="272"/>
      <c r="D964" s="16"/>
    </row>
    <row r="965" spans="1:4" ht="13.2">
      <c r="A965" s="53"/>
      <c r="C965" s="272"/>
      <c r="D965" s="16"/>
    </row>
    <row r="966" spans="1:4" ht="13.2">
      <c r="A966" s="53"/>
      <c r="C966" s="272"/>
      <c r="D966" s="16"/>
    </row>
    <row r="967" spans="1:4" ht="13.2">
      <c r="A967" s="53"/>
      <c r="C967" s="272"/>
      <c r="D967" s="16"/>
    </row>
    <row r="968" spans="1:4" ht="13.2">
      <c r="A968" s="53"/>
      <c r="C968" s="272"/>
      <c r="D968" s="16"/>
    </row>
    <row r="969" spans="1:4" ht="13.2">
      <c r="A969" s="53"/>
      <c r="C969" s="272"/>
      <c r="D969" s="16"/>
    </row>
    <row r="970" spans="1:4" ht="13.2">
      <c r="A970" s="53"/>
      <c r="C970" s="272"/>
      <c r="D970" s="16"/>
    </row>
    <row r="971" spans="1:4" ht="13.2">
      <c r="A971" s="53"/>
      <c r="C971" s="272"/>
      <c r="D971" s="16"/>
    </row>
    <row r="972" spans="1:4" ht="13.2">
      <c r="A972" s="53"/>
      <c r="C972" s="272"/>
      <c r="D972" s="16"/>
    </row>
    <row r="973" spans="1:4" ht="13.2">
      <c r="A973" s="53"/>
      <c r="C973" s="272"/>
      <c r="D973" s="16"/>
    </row>
    <row r="974" spans="1:4" ht="13.2">
      <c r="A974" s="53"/>
      <c r="C974" s="272"/>
      <c r="D974" s="16"/>
    </row>
    <row r="975" spans="1:4" ht="13.2">
      <c r="A975" s="53"/>
      <c r="C975" s="272"/>
      <c r="D975" s="16"/>
    </row>
    <row r="976" spans="1:4" ht="13.2">
      <c r="A976" s="53"/>
      <c r="C976" s="272"/>
      <c r="D976" s="16"/>
    </row>
    <row r="977" spans="1:4" ht="13.2">
      <c r="A977" s="53"/>
      <c r="C977" s="272"/>
      <c r="D977" s="16"/>
    </row>
    <row r="978" spans="1:4" ht="13.2">
      <c r="A978" s="53"/>
      <c r="C978" s="272"/>
      <c r="D978" s="16"/>
    </row>
    <row r="979" spans="1:4" ht="13.2">
      <c r="A979" s="53"/>
      <c r="C979" s="272"/>
      <c r="D979" s="16"/>
    </row>
    <row r="980" spans="1:4" ht="13.2">
      <c r="A980" s="53"/>
      <c r="C980" s="272"/>
      <c r="D980" s="16"/>
    </row>
    <row r="981" spans="1:4" ht="13.2">
      <c r="A981" s="53"/>
      <c r="C981" s="272"/>
      <c r="D981" s="16"/>
    </row>
    <row r="982" spans="1:4" ht="13.2">
      <c r="A982" s="53"/>
      <c r="C982" s="272"/>
      <c r="D982" s="16"/>
    </row>
    <row r="983" spans="1:4" ht="13.2">
      <c r="A983" s="53"/>
      <c r="C983" s="272"/>
      <c r="D983" s="16"/>
    </row>
    <row r="984" spans="1:4" ht="13.2">
      <c r="A984" s="53"/>
      <c r="C984" s="272"/>
      <c r="D984" s="16"/>
    </row>
    <row r="985" spans="1:4" ht="13.2">
      <c r="A985" s="53"/>
      <c r="C985" s="272"/>
      <c r="D985" s="16"/>
    </row>
    <row r="986" spans="1:4" ht="13.2">
      <c r="A986" s="53"/>
      <c r="C986" s="272"/>
      <c r="D986" s="16"/>
    </row>
    <row r="987" spans="1:4" ht="13.2">
      <c r="A987" s="53"/>
      <c r="C987" s="272"/>
      <c r="D987" s="16"/>
    </row>
    <row r="988" spans="1:4" ht="13.2">
      <c r="A988" s="53"/>
      <c r="C988" s="272"/>
      <c r="D988" s="16"/>
    </row>
    <row r="989" spans="1:4" ht="13.2">
      <c r="A989" s="53"/>
      <c r="C989" s="272"/>
      <c r="D989" s="16"/>
    </row>
    <row r="990" spans="1:4" ht="13.2">
      <c r="A990" s="53"/>
      <c r="C990" s="272"/>
      <c r="D990" s="16"/>
    </row>
    <row r="991" spans="1:4" ht="13.2">
      <c r="A991" s="53"/>
      <c r="C991" s="272"/>
      <c r="D991" s="16"/>
    </row>
    <row r="992" spans="1:4" ht="13.2">
      <c r="A992" s="53"/>
      <c r="C992" s="272"/>
      <c r="D992" s="16"/>
    </row>
    <row r="993" spans="1:4" ht="13.2">
      <c r="A993" s="53"/>
      <c r="C993" s="272"/>
      <c r="D993" s="16"/>
    </row>
    <row r="994" spans="1:4" ht="13.2">
      <c r="A994" s="53"/>
      <c r="C994" s="272"/>
      <c r="D994" s="16"/>
    </row>
    <row r="995" spans="1:4" ht="13.2">
      <c r="A995" s="53"/>
      <c r="C995" s="272"/>
      <c r="D995" s="16"/>
    </row>
    <row r="996" spans="1:4" ht="13.2">
      <c r="A996" s="53"/>
      <c r="C996" s="272"/>
      <c r="D996" s="16"/>
    </row>
    <row r="997" spans="1:4" ht="13.2">
      <c r="A997" s="53"/>
      <c r="C997" s="272"/>
      <c r="D997" s="16"/>
    </row>
    <row r="998" spans="1:4" ht="13.2">
      <c r="A998" s="53"/>
      <c r="C998" s="272"/>
      <c r="D998" s="16"/>
    </row>
    <row r="999" spans="1:4" ht="13.2">
      <c r="A999" s="53"/>
      <c r="C999" s="272"/>
      <c r="D999" s="16"/>
    </row>
  </sheetData>
  <hyperlinks>
    <hyperlink ref="B11" r:id="rId1" xr:uid="{A0C8D4BC-114C-4D2F-9285-7397B43130BC}"/>
    <hyperlink ref="B12" r:id="rId2" xr:uid="{DD57C115-7B8C-4BED-A319-698DCC451882}"/>
    <hyperlink ref="B15" r:id="rId3" xr:uid="{D187A843-0E4B-4D6A-8940-EDCA6149452E}"/>
    <hyperlink ref="B18" r:id="rId4" xr:uid="{A9149A65-C7E7-4DDF-84ED-CCBAC3D93D29}"/>
    <hyperlink ref="B23" r:id="rId5" xr:uid="{AC568002-BBA7-4C6E-9134-2A48751CC4A7}"/>
    <hyperlink ref="B24" r:id="rId6" xr:uid="{D5430146-55BF-461B-B639-A38DC0D03750}"/>
    <hyperlink ref="B25" r:id="rId7" xr:uid="{25DB72F7-AC99-47B2-A869-1A67291FF0D6}"/>
    <hyperlink ref="B26" r:id="rId8" xr:uid="{0FD4CDEC-1802-4224-ADB3-381AFD76C648}"/>
    <hyperlink ref="B28" r:id="rId9" xr:uid="{3C1976C0-8C28-4782-962E-09818DB60CBA}"/>
    <hyperlink ref="B30" r:id="rId10" xr:uid="{45E7E950-35E6-4FE7-B04F-429EFFABDEF0}"/>
    <hyperlink ref="B31" r:id="rId11" xr:uid="{CC443676-3F82-4025-A833-8E9DA90F7C65}"/>
    <hyperlink ref="B32" r:id="rId12" xr:uid="{6D7E51BE-CC7F-49B0-B68B-E62BAA65F0A9}"/>
    <hyperlink ref="B37" r:id="rId13" xr:uid="{0690315F-0624-43D3-A126-FB6AD278B19F}"/>
    <hyperlink ref="B38" r:id="rId14" xr:uid="{69192995-4E78-4ED5-8B17-928523703DB1}"/>
    <hyperlink ref="B41" r:id="rId15" xr:uid="{91F1FA69-BDD1-420C-A997-1D23798E6CC2}"/>
    <hyperlink ref="B50" r:id="rId16" xr:uid="{00CA12F2-3E22-4610-BBFA-A3B4BCF15A8B}"/>
    <hyperlink ref="B52" r:id="rId17" xr:uid="{68CBE6AF-1027-42D9-8DE2-D92C0630DC67}"/>
    <hyperlink ref="B53" r:id="rId18" xr:uid="{84ECDC0D-B849-4CBB-9647-AC9E2960D5FC}"/>
    <hyperlink ref="B64" r:id="rId19" xr:uid="{81F7BC1B-2766-4A68-B4DA-C96621454A7C}"/>
    <hyperlink ref="B65" r:id="rId20" xr:uid="{2CF3767F-C82A-4CD2-B9B1-53E6B7E93D0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611A8-2AB3-4C4A-86E3-024B09ECC83B}">
  <sheetPr>
    <outlinePr summaryBelow="0" summaryRight="0"/>
  </sheetPr>
  <dimension ref="A1:AB1000"/>
  <sheetViews>
    <sheetView workbookViewId="0">
      <pane ySplit="1" topLeftCell="A2" activePane="bottomLeft" state="frozen"/>
      <selection pane="bottomLeft"/>
    </sheetView>
  </sheetViews>
  <sheetFormatPr defaultColWidth="12.6640625" defaultRowHeight="15.75" customHeight="1"/>
  <cols>
    <col min="1" max="1" width="8.33203125" customWidth="1"/>
    <col min="2" max="2" width="38.21875" customWidth="1"/>
    <col min="7" max="7" width="23" customWidth="1"/>
    <col min="8" max="8" width="32.44140625" customWidth="1"/>
    <col min="11" max="11" width="26" customWidth="1"/>
  </cols>
  <sheetData>
    <row r="1" spans="1:28" ht="15.75" customHeight="1">
      <c r="A1" s="255" t="s">
        <v>72</v>
      </c>
      <c r="B1" s="271" t="s">
        <v>48</v>
      </c>
      <c r="C1" s="271" t="s">
        <v>1117</v>
      </c>
      <c r="D1" s="271" t="s">
        <v>1118</v>
      </c>
      <c r="E1" s="271" t="s">
        <v>49</v>
      </c>
      <c r="F1" s="271" t="s">
        <v>1119</v>
      </c>
      <c r="G1" s="271" t="s">
        <v>47</v>
      </c>
      <c r="H1" s="271" t="s">
        <v>1120</v>
      </c>
      <c r="I1" s="271" t="s">
        <v>1121</v>
      </c>
      <c r="J1" s="271" t="s">
        <v>1122</v>
      </c>
      <c r="K1" s="271" t="s">
        <v>1123</v>
      </c>
      <c r="L1" s="271" t="s">
        <v>1124</v>
      </c>
      <c r="M1" s="13"/>
      <c r="N1" s="13"/>
      <c r="O1" s="13"/>
      <c r="P1" s="13"/>
      <c r="Q1" s="13"/>
      <c r="R1" s="13"/>
      <c r="S1" s="13"/>
      <c r="T1" s="13"/>
      <c r="U1" s="13"/>
      <c r="V1" s="13"/>
      <c r="W1" s="13"/>
      <c r="X1" s="13"/>
      <c r="Y1" s="13"/>
      <c r="Z1" s="13"/>
      <c r="AA1" s="13"/>
      <c r="AB1" s="13"/>
    </row>
    <row r="2" spans="1:28" ht="15.75" customHeight="1">
      <c r="A2" s="258">
        <v>1</v>
      </c>
      <c r="B2" s="13" t="s">
        <v>1125</v>
      </c>
      <c r="C2" s="16" t="s">
        <v>1126</v>
      </c>
      <c r="D2" s="16">
        <f t="shared" ref="D2:D256" si="0">IF(C2="common",100,IF(C2="Uncommon",300,IF(C2="Rare",700,IF(C2="very rare",1100,IF(C2="Legendary",2000,0)))))</f>
        <v>300</v>
      </c>
      <c r="E2" s="16">
        <f t="shared" ref="E2:E256" si="1">(F2*TRUNC(3+(15-3)*(TRUNC(MOD((A2*1103515245 +12345)/ 65536, 32768),0)/32768),0))+D2+(D2/10*F2)</f>
        <v>378</v>
      </c>
      <c r="F2" s="16">
        <v>2</v>
      </c>
      <c r="G2" s="16" t="s">
        <v>1127</v>
      </c>
      <c r="H2" s="16" t="s">
        <v>1128</v>
      </c>
      <c r="I2" s="16"/>
      <c r="J2" s="16"/>
      <c r="K2" s="13"/>
      <c r="L2" s="275">
        <v>150</v>
      </c>
      <c r="M2" s="13"/>
      <c r="N2" s="13"/>
      <c r="O2" s="13"/>
      <c r="P2" s="13"/>
      <c r="Q2" s="13"/>
      <c r="R2" s="13"/>
      <c r="S2" s="13"/>
      <c r="T2" s="13"/>
      <c r="U2" s="13"/>
      <c r="V2" s="13"/>
      <c r="W2" s="13"/>
      <c r="X2" s="13"/>
      <c r="Y2" s="13"/>
      <c r="Z2" s="13"/>
      <c r="AA2" s="13"/>
      <c r="AB2" s="13"/>
    </row>
    <row r="3" spans="1:28" ht="15.75" customHeight="1">
      <c r="A3" s="53">
        <f t="shared" ref="A3:A66" si="2">IF(ISBLANK(B3),,A2+1)</f>
        <v>2</v>
      </c>
      <c r="B3" s="13" t="s">
        <v>1129</v>
      </c>
      <c r="C3" s="16" t="s">
        <v>1126</v>
      </c>
      <c r="D3" s="16">
        <f t="shared" si="0"/>
        <v>300</v>
      </c>
      <c r="E3" s="16">
        <f t="shared" si="1"/>
        <v>366</v>
      </c>
      <c r="F3" s="16">
        <v>2</v>
      </c>
      <c r="G3" s="16" t="s">
        <v>1130</v>
      </c>
      <c r="H3" s="16"/>
      <c r="I3" s="16"/>
      <c r="J3" s="16"/>
      <c r="K3" s="13"/>
      <c r="L3" s="275">
        <v>150</v>
      </c>
      <c r="M3" s="13"/>
      <c r="N3" s="13"/>
      <c r="O3" s="13"/>
      <c r="P3" s="13"/>
      <c r="Q3" s="13"/>
      <c r="R3" s="13"/>
      <c r="S3" s="13"/>
      <c r="T3" s="13"/>
      <c r="U3" s="13"/>
      <c r="V3" s="13"/>
      <c r="W3" s="13"/>
      <c r="X3" s="13"/>
      <c r="Y3" s="13"/>
      <c r="Z3" s="13"/>
      <c r="AA3" s="13"/>
      <c r="AB3" s="13"/>
    </row>
    <row r="4" spans="1:28" ht="15.75" customHeight="1">
      <c r="A4" s="53">
        <f t="shared" si="2"/>
        <v>3</v>
      </c>
      <c r="B4" s="13" t="s">
        <v>1131</v>
      </c>
      <c r="C4" s="16" t="s">
        <v>1126</v>
      </c>
      <c r="D4" s="16">
        <f t="shared" si="0"/>
        <v>300</v>
      </c>
      <c r="E4" s="16">
        <f t="shared" si="1"/>
        <v>378</v>
      </c>
      <c r="F4" s="16">
        <v>2</v>
      </c>
      <c r="G4" s="16" t="s">
        <v>1132</v>
      </c>
      <c r="H4" s="16" t="s">
        <v>1133</v>
      </c>
      <c r="I4" s="16"/>
      <c r="J4" s="16"/>
      <c r="K4" s="13"/>
      <c r="L4" s="275">
        <v>150</v>
      </c>
      <c r="M4" s="13"/>
      <c r="N4" s="13"/>
      <c r="O4" s="13"/>
      <c r="P4" s="13"/>
      <c r="Q4" s="13"/>
      <c r="R4" s="13"/>
      <c r="S4" s="13"/>
      <c r="T4" s="13"/>
      <c r="U4" s="13"/>
      <c r="V4" s="13"/>
      <c r="W4" s="13"/>
      <c r="X4" s="13"/>
      <c r="Y4" s="13"/>
      <c r="Z4" s="13"/>
      <c r="AA4" s="13"/>
      <c r="AB4" s="13"/>
    </row>
    <row r="5" spans="1:28" ht="15.75" customHeight="1">
      <c r="A5" s="53">
        <f t="shared" si="2"/>
        <v>4</v>
      </c>
      <c r="B5" s="13" t="s">
        <v>1134</v>
      </c>
      <c r="C5" s="16" t="s">
        <v>1135</v>
      </c>
      <c r="D5" s="16">
        <f t="shared" si="0"/>
        <v>700</v>
      </c>
      <c r="E5" s="16">
        <f t="shared" si="1"/>
        <v>919</v>
      </c>
      <c r="F5" s="16">
        <v>3</v>
      </c>
      <c r="G5" s="16" t="s">
        <v>1132</v>
      </c>
      <c r="H5" s="16" t="s">
        <v>1133</v>
      </c>
      <c r="I5" s="16"/>
      <c r="J5" s="16"/>
      <c r="K5" s="13"/>
      <c r="L5" s="275">
        <v>150</v>
      </c>
      <c r="M5" s="13"/>
      <c r="N5" s="13"/>
      <c r="O5" s="13"/>
      <c r="P5" s="13"/>
      <c r="Q5" s="13"/>
      <c r="R5" s="13"/>
      <c r="S5" s="13"/>
      <c r="T5" s="13"/>
      <c r="U5" s="13"/>
      <c r="V5" s="13"/>
      <c r="W5" s="13"/>
      <c r="X5" s="13"/>
      <c r="Y5" s="13"/>
      <c r="Z5" s="13"/>
      <c r="AA5" s="13"/>
      <c r="AB5" s="13"/>
    </row>
    <row r="6" spans="1:28" ht="15.75" customHeight="1">
      <c r="A6" s="53">
        <f t="shared" si="2"/>
        <v>5</v>
      </c>
      <c r="B6" s="13" t="s">
        <v>1136</v>
      </c>
      <c r="C6" s="16" t="s">
        <v>1137</v>
      </c>
      <c r="D6" s="16">
        <f t="shared" si="0"/>
        <v>1100</v>
      </c>
      <c r="E6" s="16">
        <f t="shared" si="1"/>
        <v>1576</v>
      </c>
      <c r="F6" s="16">
        <v>4</v>
      </c>
      <c r="G6" s="16" t="s">
        <v>1132</v>
      </c>
      <c r="H6" s="16" t="s">
        <v>1133</v>
      </c>
      <c r="I6" s="16"/>
      <c r="J6" s="16"/>
      <c r="K6" s="13"/>
      <c r="L6" s="275">
        <v>150</v>
      </c>
      <c r="M6" s="13"/>
      <c r="N6" s="13"/>
      <c r="O6" s="13"/>
      <c r="P6" s="13"/>
      <c r="Q6" s="13"/>
      <c r="R6" s="13"/>
      <c r="S6" s="13"/>
      <c r="T6" s="13"/>
      <c r="U6" s="13"/>
      <c r="V6" s="13"/>
      <c r="W6" s="13"/>
      <c r="X6" s="13"/>
      <c r="Y6" s="13"/>
      <c r="Z6" s="13"/>
      <c r="AA6" s="13"/>
      <c r="AB6" s="13"/>
    </row>
    <row r="7" spans="1:28" ht="15.75" customHeight="1">
      <c r="A7" s="53">
        <f t="shared" si="2"/>
        <v>6</v>
      </c>
      <c r="B7" s="13" t="s">
        <v>1138</v>
      </c>
      <c r="C7" s="16" t="s">
        <v>1135</v>
      </c>
      <c r="D7" s="16">
        <f t="shared" si="0"/>
        <v>700</v>
      </c>
      <c r="E7" s="16">
        <f t="shared" si="1"/>
        <v>919</v>
      </c>
      <c r="F7" s="16">
        <v>3</v>
      </c>
      <c r="G7" s="16" t="s">
        <v>1130</v>
      </c>
      <c r="H7" s="16" t="s">
        <v>1139</v>
      </c>
      <c r="I7" s="16" t="s">
        <v>1140</v>
      </c>
      <c r="J7" s="16"/>
      <c r="K7" s="13"/>
      <c r="L7" s="275">
        <v>150</v>
      </c>
      <c r="M7" s="13"/>
      <c r="N7" s="13"/>
      <c r="O7" s="13"/>
      <c r="P7" s="13"/>
      <c r="Q7" s="13"/>
      <c r="R7" s="13"/>
      <c r="S7" s="13"/>
      <c r="T7" s="13"/>
      <c r="U7" s="13"/>
      <c r="V7" s="13"/>
      <c r="W7" s="13"/>
      <c r="X7" s="13"/>
      <c r="Y7" s="13"/>
      <c r="Z7" s="13"/>
      <c r="AA7" s="13"/>
      <c r="AB7" s="13"/>
    </row>
    <row r="8" spans="1:28" ht="15.75" customHeight="1">
      <c r="A8" s="53">
        <f t="shared" si="2"/>
        <v>7</v>
      </c>
      <c r="B8" s="13" t="s">
        <v>1141</v>
      </c>
      <c r="C8" s="16" t="s">
        <v>1126</v>
      </c>
      <c r="D8" s="16">
        <f t="shared" si="0"/>
        <v>300</v>
      </c>
      <c r="E8" s="16">
        <f t="shared" si="1"/>
        <v>380</v>
      </c>
      <c r="F8" s="16">
        <v>2</v>
      </c>
      <c r="G8" s="16" t="s">
        <v>1130</v>
      </c>
      <c r="H8" s="16" t="s">
        <v>1139</v>
      </c>
      <c r="I8" s="16" t="s">
        <v>1140</v>
      </c>
      <c r="J8" s="16"/>
      <c r="K8" s="13"/>
      <c r="L8" s="275">
        <v>150</v>
      </c>
      <c r="M8" s="13"/>
      <c r="N8" s="13"/>
      <c r="O8" s="13"/>
      <c r="P8" s="13"/>
      <c r="Q8" s="13"/>
      <c r="R8" s="13"/>
      <c r="S8" s="13"/>
      <c r="T8" s="13"/>
      <c r="U8" s="13"/>
      <c r="V8" s="13"/>
      <c r="W8" s="13"/>
      <c r="X8" s="13"/>
      <c r="Y8" s="13"/>
      <c r="Z8" s="13"/>
      <c r="AA8" s="13"/>
      <c r="AB8" s="13"/>
    </row>
    <row r="9" spans="1:28" ht="15.75" customHeight="1">
      <c r="A9" s="53">
        <f t="shared" si="2"/>
        <v>8</v>
      </c>
      <c r="B9" s="13" t="s">
        <v>1142</v>
      </c>
      <c r="C9" s="16" t="s">
        <v>1137</v>
      </c>
      <c r="D9" s="16">
        <f t="shared" si="0"/>
        <v>1100</v>
      </c>
      <c r="E9" s="16">
        <f t="shared" si="1"/>
        <v>1556</v>
      </c>
      <c r="F9" s="16">
        <v>4</v>
      </c>
      <c r="G9" s="16" t="s">
        <v>1130</v>
      </c>
      <c r="H9" s="16" t="s">
        <v>1139</v>
      </c>
      <c r="I9" s="16" t="s">
        <v>1140</v>
      </c>
      <c r="J9" s="16"/>
      <c r="K9" s="13"/>
      <c r="L9" s="275">
        <v>150</v>
      </c>
      <c r="M9" s="13"/>
      <c r="N9" s="13"/>
      <c r="O9" s="13"/>
      <c r="P9" s="13"/>
      <c r="Q9" s="13"/>
      <c r="R9" s="13"/>
      <c r="S9" s="13"/>
      <c r="T9" s="13"/>
      <c r="U9" s="13"/>
      <c r="V9" s="13"/>
      <c r="W9" s="13"/>
      <c r="X9" s="13"/>
      <c r="Y9" s="13"/>
      <c r="Z9" s="13"/>
      <c r="AA9" s="13"/>
      <c r="AB9" s="13"/>
    </row>
    <row r="10" spans="1:28" ht="15.75" customHeight="1">
      <c r="A10" s="53">
        <f t="shared" si="2"/>
        <v>9</v>
      </c>
      <c r="B10" s="13" t="s">
        <v>1143</v>
      </c>
      <c r="C10" s="16" t="s">
        <v>1137</v>
      </c>
      <c r="D10" s="16">
        <f t="shared" si="0"/>
        <v>1100</v>
      </c>
      <c r="E10" s="16">
        <f t="shared" si="1"/>
        <v>1580</v>
      </c>
      <c r="F10" s="16">
        <v>4</v>
      </c>
      <c r="G10" s="16" t="s">
        <v>1130</v>
      </c>
      <c r="H10" s="16" t="s">
        <v>1139</v>
      </c>
      <c r="I10" s="16" t="s">
        <v>1140</v>
      </c>
      <c r="J10" s="16"/>
      <c r="K10" s="13"/>
      <c r="L10" s="275">
        <v>151</v>
      </c>
      <c r="M10" s="13"/>
      <c r="N10" s="13"/>
      <c r="O10" s="13"/>
      <c r="P10" s="13"/>
      <c r="Q10" s="13"/>
      <c r="R10" s="13"/>
      <c r="S10" s="13"/>
      <c r="T10" s="13"/>
      <c r="U10" s="13"/>
      <c r="V10" s="13"/>
      <c r="W10" s="13"/>
      <c r="X10" s="13"/>
      <c r="Y10" s="13"/>
      <c r="Z10" s="13"/>
      <c r="AA10" s="13"/>
      <c r="AB10" s="13"/>
    </row>
    <row r="11" spans="1:28" ht="15.75" customHeight="1">
      <c r="A11" s="53">
        <f t="shared" si="2"/>
        <v>10</v>
      </c>
      <c r="B11" s="13" t="s">
        <v>1144</v>
      </c>
      <c r="C11" s="16" t="s">
        <v>1145</v>
      </c>
      <c r="D11" s="16">
        <f t="shared" si="0"/>
        <v>2000</v>
      </c>
      <c r="E11" s="16">
        <f t="shared" si="1"/>
        <v>3020</v>
      </c>
      <c r="F11" s="16">
        <v>5</v>
      </c>
      <c r="G11" s="16" t="s">
        <v>1130</v>
      </c>
      <c r="H11" s="16"/>
      <c r="I11" s="16"/>
      <c r="J11" s="16"/>
      <c r="K11" s="13"/>
      <c r="L11" s="275">
        <v>151</v>
      </c>
      <c r="M11" s="13"/>
      <c r="N11" s="13"/>
      <c r="O11" s="13"/>
      <c r="P11" s="13"/>
      <c r="Q11" s="13"/>
      <c r="R11" s="13"/>
      <c r="S11" s="13"/>
      <c r="T11" s="13"/>
      <c r="U11" s="13"/>
      <c r="V11" s="13"/>
      <c r="W11" s="13"/>
      <c r="X11" s="13"/>
      <c r="Y11" s="13"/>
      <c r="Z11" s="13"/>
      <c r="AA11" s="13"/>
      <c r="AB11" s="13"/>
    </row>
    <row r="12" spans="1:28" ht="15.75" customHeight="1">
      <c r="A12" s="53">
        <f t="shared" si="2"/>
        <v>11</v>
      </c>
      <c r="B12" s="13" t="s">
        <v>1146</v>
      </c>
      <c r="C12" s="16" t="s">
        <v>1135</v>
      </c>
      <c r="D12" s="16">
        <f t="shared" si="0"/>
        <v>700</v>
      </c>
      <c r="E12" s="16">
        <f t="shared" si="1"/>
        <v>940</v>
      </c>
      <c r="F12" s="16">
        <v>3</v>
      </c>
      <c r="G12" s="16" t="s">
        <v>1127</v>
      </c>
      <c r="H12" s="16" t="s">
        <v>1147</v>
      </c>
      <c r="I12" s="16"/>
      <c r="J12" s="16"/>
      <c r="K12" s="13"/>
      <c r="L12" s="275">
        <v>152</v>
      </c>
      <c r="M12" s="13"/>
      <c r="N12" s="13"/>
      <c r="O12" s="13"/>
      <c r="P12" s="13"/>
      <c r="Q12" s="13"/>
      <c r="R12" s="13"/>
      <c r="S12" s="13"/>
      <c r="T12" s="13"/>
      <c r="U12" s="13"/>
      <c r="V12" s="13"/>
      <c r="W12" s="13"/>
      <c r="X12" s="13"/>
      <c r="Y12" s="13"/>
      <c r="Z12" s="13"/>
      <c r="AA12" s="13"/>
      <c r="AB12" s="13"/>
    </row>
    <row r="13" spans="1:28" ht="15.75" customHeight="1">
      <c r="A13" s="53">
        <f t="shared" si="2"/>
        <v>12</v>
      </c>
      <c r="B13" s="13" t="s">
        <v>1148</v>
      </c>
      <c r="C13" s="16" t="s">
        <v>1137</v>
      </c>
      <c r="D13" s="16">
        <f t="shared" si="0"/>
        <v>1100</v>
      </c>
      <c r="E13" s="16">
        <f t="shared" si="1"/>
        <v>1556</v>
      </c>
      <c r="F13" s="16">
        <v>4</v>
      </c>
      <c r="G13" s="16" t="s">
        <v>1127</v>
      </c>
      <c r="H13" s="16" t="s">
        <v>1147</v>
      </c>
      <c r="I13" s="16"/>
      <c r="J13" s="16"/>
      <c r="K13" s="13"/>
      <c r="L13" s="275">
        <v>152</v>
      </c>
      <c r="M13" s="13"/>
      <c r="N13" s="13"/>
      <c r="O13" s="13"/>
      <c r="P13" s="13"/>
      <c r="Q13" s="13"/>
      <c r="R13" s="13"/>
      <c r="S13" s="13"/>
      <c r="T13" s="13"/>
      <c r="U13" s="13"/>
      <c r="V13" s="13"/>
      <c r="W13" s="13"/>
      <c r="X13" s="13"/>
      <c r="Y13" s="13"/>
      <c r="Z13" s="13"/>
      <c r="AA13" s="13"/>
      <c r="AB13" s="13"/>
    </row>
    <row r="14" spans="1:28" ht="15.75" customHeight="1">
      <c r="A14" s="53">
        <f t="shared" si="2"/>
        <v>13</v>
      </c>
      <c r="B14" s="13" t="s">
        <v>1149</v>
      </c>
      <c r="C14" s="16" t="s">
        <v>1145</v>
      </c>
      <c r="D14" s="16">
        <f t="shared" si="0"/>
        <v>2000</v>
      </c>
      <c r="E14" s="16">
        <f t="shared" si="1"/>
        <v>3055</v>
      </c>
      <c r="F14" s="16">
        <v>5</v>
      </c>
      <c r="G14" s="16" t="s">
        <v>1127</v>
      </c>
      <c r="H14" s="16" t="s">
        <v>1147</v>
      </c>
      <c r="I14" s="16"/>
      <c r="J14" s="16"/>
      <c r="K14" s="13"/>
      <c r="L14" s="275">
        <v>152</v>
      </c>
      <c r="M14" s="13"/>
      <c r="N14" s="13"/>
      <c r="O14" s="13"/>
      <c r="P14" s="13"/>
      <c r="Q14" s="13"/>
      <c r="R14" s="13"/>
      <c r="S14" s="13"/>
      <c r="T14" s="13"/>
      <c r="U14" s="13"/>
      <c r="V14" s="13"/>
      <c r="W14" s="13"/>
      <c r="X14" s="13"/>
      <c r="Y14" s="13"/>
      <c r="Z14" s="13"/>
      <c r="AA14" s="13"/>
      <c r="AB14" s="13"/>
    </row>
    <row r="15" spans="1:28" ht="15.75" customHeight="1">
      <c r="A15" s="53">
        <f t="shared" si="2"/>
        <v>14</v>
      </c>
      <c r="B15" s="13" t="s">
        <v>1150</v>
      </c>
      <c r="C15" s="16" t="s">
        <v>1145</v>
      </c>
      <c r="D15" s="16">
        <f t="shared" si="0"/>
        <v>2000</v>
      </c>
      <c r="E15" s="16">
        <f t="shared" si="1"/>
        <v>3025</v>
      </c>
      <c r="F15" s="16">
        <v>5</v>
      </c>
      <c r="G15" s="16" t="s">
        <v>1127</v>
      </c>
      <c r="H15" s="16" t="s">
        <v>1151</v>
      </c>
      <c r="I15" s="16" t="s">
        <v>1140</v>
      </c>
      <c r="J15" s="16"/>
      <c r="K15" s="13"/>
      <c r="L15" s="275">
        <v>152</v>
      </c>
      <c r="M15" s="13"/>
      <c r="N15" s="13"/>
      <c r="O15" s="13"/>
      <c r="P15" s="13"/>
      <c r="Q15" s="13"/>
      <c r="R15" s="13"/>
      <c r="S15" s="13"/>
      <c r="T15" s="13"/>
      <c r="U15" s="13"/>
      <c r="V15" s="13"/>
      <c r="W15" s="13"/>
      <c r="X15" s="13"/>
      <c r="Y15" s="13"/>
      <c r="Z15" s="13"/>
      <c r="AA15" s="13"/>
      <c r="AB15" s="13"/>
    </row>
    <row r="16" spans="1:28" ht="15.75" customHeight="1">
      <c r="A16" s="53">
        <f t="shared" si="2"/>
        <v>15</v>
      </c>
      <c r="B16" s="13" t="s">
        <v>1152</v>
      </c>
      <c r="C16" s="16" t="s">
        <v>1135</v>
      </c>
      <c r="D16" s="16">
        <f t="shared" si="0"/>
        <v>700</v>
      </c>
      <c r="E16" s="16">
        <f t="shared" si="1"/>
        <v>943</v>
      </c>
      <c r="F16" s="16">
        <v>3</v>
      </c>
      <c r="G16" s="16" t="s">
        <v>1127</v>
      </c>
      <c r="H16" s="16" t="s">
        <v>1147</v>
      </c>
      <c r="I16" s="16" t="s">
        <v>1140</v>
      </c>
      <c r="J16" s="16"/>
      <c r="K16" s="13"/>
      <c r="L16" s="275">
        <v>152</v>
      </c>
      <c r="M16" s="13"/>
      <c r="N16" s="13"/>
      <c r="O16" s="13"/>
      <c r="P16" s="13"/>
      <c r="Q16" s="13"/>
      <c r="R16" s="13"/>
      <c r="S16" s="13"/>
      <c r="T16" s="13"/>
      <c r="U16" s="13"/>
      <c r="V16" s="13"/>
      <c r="W16" s="13"/>
      <c r="X16" s="13"/>
      <c r="Y16" s="13"/>
      <c r="Z16" s="13"/>
      <c r="AA16" s="13"/>
      <c r="AB16" s="13"/>
    </row>
    <row r="17" spans="1:28" ht="15.75" customHeight="1">
      <c r="A17" s="53">
        <f t="shared" si="2"/>
        <v>16</v>
      </c>
      <c r="B17" s="13" t="s">
        <v>1153</v>
      </c>
      <c r="C17" s="16" t="s">
        <v>1135</v>
      </c>
      <c r="D17" s="16">
        <f t="shared" si="0"/>
        <v>700</v>
      </c>
      <c r="E17" s="16">
        <f t="shared" si="1"/>
        <v>925</v>
      </c>
      <c r="F17" s="16">
        <v>3</v>
      </c>
      <c r="G17" s="16" t="s">
        <v>1127</v>
      </c>
      <c r="H17" s="16" t="s">
        <v>1151</v>
      </c>
      <c r="I17" s="16" t="s">
        <v>1140</v>
      </c>
      <c r="J17" s="16" t="s">
        <v>1154</v>
      </c>
      <c r="K17" s="13"/>
      <c r="L17" s="275">
        <v>152</v>
      </c>
      <c r="M17" s="13"/>
      <c r="N17" s="13"/>
      <c r="O17" s="13"/>
      <c r="P17" s="13"/>
      <c r="Q17" s="13"/>
      <c r="R17" s="13"/>
      <c r="S17" s="13"/>
      <c r="T17" s="13"/>
      <c r="U17" s="13"/>
      <c r="V17" s="13"/>
      <c r="W17" s="13"/>
      <c r="X17" s="13"/>
      <c r="Y17" s="13"/>
      <c r="Z17" s="13"/>
      <c r="AA17" s="13"/>
      <c r="AB17" s="13"/>
    </row>
    <row r="18" spans="1:28" ht="15.75" customHeight="1">
      <c r="A18" s="53">
        <f t="shared" si="2"/>
        <v>17</v>
      </c>
      <c r="B18" s="13" t="s">
        <v>1155</v>
      </c>
      <c r="C18" s="16" t="s">
        <v>1137</v>
      </c>
      <c r="D18" s="16">
        <f t="shared" si="0"/>
        <v>1100</v>
      </c>
      <c r="E18" s="16">
        <f t="shared" si="1"/>
        <v>1584</v>
      </c>
      <c r="F18" s="16">
        <v>4</v>
      </c>
      <c r="G18" s="16" t="s">
        <v>1132</v>
      </c>
      <c r="H18" s="16" t="s">
        <v>1156</v>
      </c>
      <c r="I18" s="16"/>
      <c r="J18" s="16"/>
      <c r="K18" s="13"/>
      <c r="L18" s="275">
        <v>152</v>
      </c>
      <c r="M18" s="13"/>
      <c r="N18" s="13"/>
      <c r="O18" s="13"/>
      <c r="P18" s="13"/>
      <c r="Q18" s="13"/>
      <c r="R18" s="13"/>
      <c r="S18" s="13"/>
      <c r="T18" s="13"/>
      <c r="U18" s="13"/>
      <c r="V18" s="13"/>
      <c r="W18" s="13"/>
      <c r="X18" s="13"/>
      <c r="Y18" s="13"/>
      <c r="Z18" s="13"/>
      <c r="AA18" s="13"/>
      <c r="AB18" s="13"/>
    </row>
    <row r="19" spans="1:28" ht="15.75" customHeight="1">
      <c r="A19" s="53">
        <f t="shared" si="2"/>
        <v>18</v>
      </c>
      <c r="B19" s="13" t="s">
        <v>1157</v>
      </c>
      <c r="C19" s="16" t="s">
        <v>1135</v>
      </c>
      <c r="D19" s="16">
        <f t="shared" si="0"/>
        <v>700</v>
      </c>
      <c r="E19" s="16">
        <f t="shared" si="1"/>
        <v>925</v>
      </c>
      <c r="F19" s="16">
        <v>3</v>
      </c>
      <c r="G19" s="16" t="s">
        <v>1127</v>
      </c>
      <c r="H19" s="16" t="s">
        <v>1158</v>
      </c>
      <c r="I19" s="16"/>
      <c r="J19" s="16"/>
      <c r="K19" s="13"/>
      <c r="L19" s="275">
        <v>152</v>
      </c>
      <c r="M19" s="13"/>
      <c r="N19" s="13"/>
      <c r="O19" s="13"/>
      <c r="P19" s="13"/>
      <c r="Q19" s="13"/>
      <c r="R19" s="13"/>
      <c r="S19" s="13"/>
      <c r="T19" s="13"/>
      <c r="U19" s="13"/>
      <c r="V19" s="13"/>
      <c r="W19" s="13"/>
      <c r="X19" s="13"/>
      <c r="Y19" s="13"/>
      <c r="Z19" s="13"/>
      <c r="AA19" s="13"/>
      <c r="AB19" s="13"/>
    </row>
    <row r="20" spans="1:28" ht="15.75" customHeight="1">
      <c r="A20" s="53">
        <f t="shared" si="2"/>
        <v>19</v>
      </c>
      <c r="B20" s="13" t="s">
        <v>1159</v>
      </c>
      <c r="C20" s="16" t="s">
        <v>1135</v>
      </c>
      <c r="D20" s="16">
        <f t="shared" si="0"/>
        <v>700</v>
      </c>
      <c r="E20" s="16">
        <f t="shared" si="1"/>
        <v>946</v>
      </c>
      <c r="F20" s="16">
        <v>3</v>
      </c>
      <c r="G20" s="16" t="s">
        <v>1130</v>
      </c>
      <c r="H20" s="16" t="s">
        <v>1160</v>
      </c>
      <c r="I20" s="16"/>
      <c r="J20" s="16"/>
      <c r="K20" s="13"/>
      <c r="L20" s="275">
        <v>152</v>
      </c>
      <c r="M20" s="13"/>
      <c r="N20" s="13"/>
      <c r="O20" s="13"/>
      <c r="P20" s="13"/>
      <c r="Q20" s="13"/>
      <c r="R20" s="13"/>
      <c r="S20" s="13"/>
      <c r="T20" s="13"/>
      <c r="U20" s="13"/>
      <c r="V20" s="13"/>
      <c r="W20" s="13"/>
      <c r="X20" s="13"/>
      <c r="Y20" s="13"/>
      <c r="Z20" s="13"/>
      <c r="AA20" s="13"/>
      <c r="AB20" s="13"/>
    </row>
    <row r="21" spans="1:28" ht="15.75" customHeight="1">
      <c r="A21" s="53">
        <f t="shared" si="2"/>
        <v>20</v>
      </c>
      <c r="B21" s="13" t="s">
        <v>1161</v>
      </c>
      <c r="C21" s="16" t="s">
        <v>1137</v>
      </c>
      <c r="D21" s="16">
        <f t="shared" si="0"/>
        <v>1100</v>
      </c>
      <c r="E21" s="16">
        <f t="shared" si="1"/>
        <v>1564</v>
      </c>
      <c r="F21" s="16">
        <v>4</v>
      </c>
      <c r="G21" s="16" t="s">
        <v>1130</v>
      </c>
      <c r="H21" s="16"/>
      <c r="I21" s="16"/>
      <c r="J21" s="16"/>
      <c r="K21" s="13"/>
      <c r="L21" s="275">
        <v>153</v>
      </c>
      <c r="M21" s="13"/>
      <c r="N21" s="13"/>
      <c r="O21" s="13"/>
      <c r="P21" s="13"/>
      <c r="Q21" s="13"/>
      <c r="R21" s="13"/>
      <c r="S21" s="13"/>
      <c r="T21" s="13"/>
      <c r="U21" s="13"/>
      <c r="V21" s="13"/>
      <c r="W21" s="13"/>
      <c r="X21" s="13"/>
      <c r="Y21" s="13"/>
      <c r="Z21" s="13"/>
      <c r="AA21" s="13"/>
      <c r="AB21" s="13"/>
    </row>
    <row r="22" spans="1:28" ht="15.75" customHeight="1">
      <c r="A22" s="53">
        <f t="shared" si="2"/>
        <v>21</v>
      </c>
      <c r="B22" s="13" t="s">
        <v>1162</v>
      </c>
      <c r="C22" s="16" t="s">
        <v>1126</v>
      </c>
      <c r="D22" s="16">
        <f t="shared" si="0"/>
        <v>300</v>
      </c>
      <c r="E22" s="16">
        <f t="shared" si="1"/>
        <v>384</v>
      </c>
      <c r="F22" s="16">
        <v>2</v>
      </c>
      <c r="G22" s="16" t="s">
        <v>1130</v>
      </c>
      <c r="H22" s="16"/>
      <c r="I22" s="16"/>
      <c r="J22" s="16"/>
      <c r="K22" s="13"/>
      <c r="L22" s="275">
        <v>153</v>
      </c>
      <c r="M22" s="13"/>
      <c r="N22" s="13"/>
      <c r="O22" s="13"/>
      <c r="P22" s="13"/>
      <c r="Q22" s="13"/>
      <c r="R22" s="13"/>
      <c r="S22" s="13"/>
      <c r="T22" s="13"/>
      <c r="U22" s="13"/>
      <c r="V22" s="13"/>
      <c r="W22" s="13"/>
      <c r="X22" s="13"/>
      <c r="Y22" s="13"/>
      <c r="Z22" s="13"/>
      <c r="AA22" s="13"/>
      <c r="AB22" s="13"/>
    </row>
    <row r="23" spans="1:28" ht="15.75" customHeight="1">
      <c r="A23" s="53">
        <f t="shared" si="2"/>
        <v>22</v>
      </c>
      <c r="B23" s="13" t="s">
        <v>1163</v>
      </c>
      <c r="C23" s="16" t="s">
        <v>1126</v>
      </c>
      <c r="D23" s="16">
        <f t="shared" si="0"/>
        <v>300</v>
      </c>
      <c r="E23" s="16">
        <f t="shared" si="1"/>
        <v>372</v>
      </c>
      <c r="F23" s="16">
        <v>2</v>
      </c>
      <c r="G23" s="16" t="s">
        <v>1130</v>
      </c>
      <c r="H23" s="16"/>
      <c r="I23" s="16"/>
      <c r="J23" s="16"/>
      <c r="K23" s="13"/>
      <c r="L23" s="275">
        <v>154</v>
      </c>
      <c r="M23" s="13"/>
      <c r="N23" s="13"/>
      <c r="O23" s="13"/>
      <c r="P23" s="13"/>
      <c r="Q23" s="13"/>
      <c r="R23" s="13"/>
      <c r="S23" s="13"/>
      <c r="T23" s="13"/>
      <c r="U23" s="13"/>
      <c r="V23" s="13"/>
      <c r="W23" s="13"/>
      <c r="X23" s="13"/>
      <c r="Y23" s="13"/>
      <c r="Z23" s="13"/>
      <c r="AA23" s="13"/>
      <c r="AB23" s="13"/>
    </row>
    <row r="24" spans="1:28" ht="15.75" customHeight="1">
      <c r="A24" s="53">
        <f t="shared" si="2"/>
        <v>23</v>
      </c>
      <c r="B24" s="13" t="s">
        <v>1164</v>
      </c>
      <c r="C24" s="16" t="s">
        <v>1135</v>
      </c>
      <c r="D24" s="16">
        <f t="shared" si="0"/>
        <v>700</v>
      </c>
      <c r="E24" s="16">
        <f t="shared" si="1"/>
        <v>946</v>
      </c>
      <c r="F24" s="16">
        <v>3</v>
      </c>
      <c r="G24" s="16" t="s">
        <v>1130</v>
      </c>
      <c r="H24" s="16" t="s">
        <v>1160</v>
      </c>
      <c r="I24" s="16"/>
      <c r="J24" s="16"/>
      <c r="K24" s="13"/>
      <c r="L24" s="275">
        <v>154</v>
      </c>
      <c r="M24" s="13"/>
      <c r="N24" s="13"/>
      <c r="O24" s="13"/>
      <c r="P24" s="13"/>
      <c r="Q24" s="13"/>
      <c r="R24" s="13"/>
      <c r="S24" s="13"/>
      <c r="T24" s="13"/>
      <c r="U24" s="13"/>
      <c r="V24" s="13"/>
      <c r="W24" s="13"/>
      <c r="X24" s="13"/>
      <c r="Y24" s="13"/>
      <c r="Z24" s="13"/>
      <c r="AA24" s="13"/>
      <c r="AB24" s="13"/>
    </row>
    <row r="25" spans="1:28" ht="15.75" customHeight="1">
      <c r="A25" s="53">
        <f t="shared" si="2"/>
        <v>24</v>
      </c>
      <c r="B25" s="13" t="s">
        <v>1165</v>
      </c>
      <c r="C25" s="16" t="s">
        <v>1135</v>
      </c>
      <c r="D25" s="16">
        <f t="shared" si="0"/>
        <v>700</v>
      </c>
      <c r="E25" s="16">
        <f t="shared" si="1"/>
        <v>928</v>
      </c>
      <c r="F25" s="16">
        <v>3</v>
      </c>
      <c r="G25" s="16" t="s">
        <v>1130</v>
      </c>
      <c r="H25" s="16" t="s">
        <v>1166</v>
      </c>
      <c r="I25" s="16" t="s">
        <v>1140</v>
      </c>
      <c r="J25" s="16"/>
      <c r="K25" s="13"/>
      <c r="L25" s="275">
        <v>155</v>
      </c>
      <c r="M25" s="13"/>
      <c r="N25" s="13"/>
      <c r="O25" s="13"/>
      <c r="P25" s="13"/>
      <c r="Q25" s="13"/>
      <c r="R25" s="13"/>
      <c r="S25" s="13"/>
      <c r="T25" s="13"/>
      <c r="U25" s="13"/>
      <c r="V25" s="13"/>
      <c r="W25" s="13"/>
      <c r="X25" s="13"/>
      <c r="Y25" s="13"/>
      <c r="Z25" s="13"/>
      <c r="AA25" s="13"/>
      <c r="AB25" s="13"/>
    </row>
    <row r="26" spans="1:28" ht="15.75" customHeight="1">
      <c r="A26" s="53">
        <f t="shared" si="2"/>
        <v>25</v>
      </c>
      <c r="B26" s="13" t="s">
        <v>1167</v>
      </c>
      <c r="C26" s="16" t="s">
        <v>1145</v>
      </c>
      <c r="D26" s="16">
        <f t="shared" si="0"/>
        <v>2000</v>
      </c>
      <c r="E26" s="16">
        <f t="shared" si="1"/>
        <v>3065</v>
      </c>
      <c r="F26" s="16">
        <v>5</v>
      </c>
      <c r="G26" s="16" t="s">
        <v>1130</v>
      </c>
      <c r="H26" s="16" t="s">
        <v>1166</v>
      </c>
      <c r="I26" s="16" t="s">
        <v>1140</v>
      </c>
      <c r="J26" s="16"/>
      <c r="K26" s="13"/>
      <c r="L26" s="275">
        <v>155</v>
      </c>
      <c r="M26" s="13"/>
      <c r="N26" s="13"/>
      <c r="O26" s="13"/>
      <c r="P26" s="13"/>
      <c r="Q26" s="13"/>
      <c r="R26" s="13"/>
      <c r="S26" s="13"/>
      <c r="T26" s="13"/>
      <c r="U26" s="13"/>
      <c r="V26" s="13"/>
      <c r="W26" s="13"/>
      <c r="X26" s="13"/>
      <c r="Y26" s="13"/>
      <c r="Z26" s="13"/>
      <c r="AA26" s="13"/>
      <c r="AB26" s="13"/>
    </row>
    <row r="27" spans="1:28" ht="15.75" customHeight="1">
      <c r="A27" s="53">
        <f t="shared" si="2"/>
        <v>26</v>
      </c>
      <c r="B27" s="13" t="s">
        <v>1168</v>
      </c>
      <c r="C27" s="16" t="s">
        <v>1137</v>
      </c>
      <c r="D27" s="16">
        <f t="shared" si="0"/>
        <v>1100</v>
      </c>
      <c r="E27" s="16">
        <f t="shared" si="1"/>
        <v>1568</v>
      </c>
      <c r="F27" s="16">
        <v>4</v>
      </c>
      <c r="G27" s="16" t="s">
        <v>1130</v>
      </c>
      <c r="H27" s="16" t="s">
        <v>1166</v>
      </c>
      <c r="I27" s="16" t="s">
        <v>1140</v>
      </c>
      <c r="J27" s="16"/>
      <c r="K27" s="13"/>
      <c r="L27" s="275">
        <v>155</v>
      </c>
      <c r="M27" s="13"/>
      <c r="N27" s="13"/>
      <c r="O27" s="13"/>
      <c r="P27" s="13"/>
      <c r="Q27" s="13"/>
      <c r="R27" s="13"/>
      <c r="S27" s="13"/>
      <c r="T27" s="13"/>
      <c r="U27" s="13"/>
      <c r="V27" s="13"/>
      <c r="W27" s="13"/>
      <c r="X27" s="13"/>
      <c r="Y27" s="13"/>
      <c r="Z27" s="13"/>
      <c r="AA27" s="13"/>
      <c r="AB27" s="13"/>
    </row>
    <row r="28" spans="1:28" ht="15.75" customHeight="1">
      <c r="A28" s="53">
        <f t="shared" si="2"/>
        <v>27</v>
      </c>
      <c r="B28" s="13" t="s">
        <v>1169</v>
      </c>
      <c r="C28" s="16" t="s">
        <v>1137</v>
      </c>
      <c r="D28" s="16">
        <f t="shared" si="0"/>
        <v>1100</v>
      </c>
      <c r="E28" s="16">
        <f t="shared" si="1"/>
        <v>1592</v>
      </c>
      <c r="F28" s="16">
        <v>4</v>
      </c>
      <c r="G28" s="16" t="s">
        <v>1130</v>
      </c>
      <c r="H28" s="16" t="s">
        <v>1166</v>
      </c>
      <c r="I28" s="16" t="s">
        <v>1140</v>
      </c>
      <c r="J28" s="16"/>
      <c r="K28" s="13"/>
      <c r="L28" s="275">
        <v>155</v>
      </c>
      <c r="M28" s="13"/>
      <c r="N28" s="13"/>
      <c r="O28" s="13"/>
      <c r="P28" s="13"/>
      <c r="Q28" s="13"/>
      <c r="R28" s="13"/>
      <c r="S28" s="13"/>
      <c r="T28" s="13"/>
      <c r="U28" s="13"/>
      <c r="V28" s="13"/>
      <c r="W28" s="13"/>
      <c r="X28" s="13"/>
      <c r="Y28" s="13"/>
      <c r="Z28" s="13"/>
      <c r="AA28" s="13"/>
      <c r="AB28" s="13"/>
    </row>
    <row r="29" spans="1:28" ht="13.2">
      <c r="A29" s="53">
        <f t="shared" si="2"/>
        <v>28</v>
      </c>
      <c r="B29" s="13" t="s">
        <v>1170</v>
      </c>
      <c r="C29" s="16" t="s">
        <v>1135</v>
      </c>
      <c r="D29" s="16">
        <f t="shared" si="0"/>
        <v>700</v>
      </c>
      <c r="E29" s="16">
        <f t="shared" si="1"/>
        <v>931</v>
      </c>
      <c r="F29" s="16">
        <v>3</v>
      </c>
      <c r="G29" s="16" t="s">
        <v>1130</v>
      </c>
      <c r="H29" s="16" t="s">
        <v>1166</v>
      </c>
      <c r="I29" s="16" t="s">
        <v>1140</v>
      </c>
      <c r="J29" s="16"/>
      <c r="K29" s="13"/>
      <c r="L29" s="275">
        <v>155</v>
      </c>
      <c r="M29" s="13"/>
      <c r="N29" s="13"/>
      <c r="O29" s="13"/>
      <c r="P29" s="13"/>
      <c r="Q29" s="13"/>
      <c r="R29" s="13"/>
      <c r="S29" s="13"/>
      <c r="T29" s="13"/>
      <c r="U29" s="13"/>
      <c r="V29" s="13"/>
      <c r="W29" s="13"/>
      <c r="X29" s="13"/>
      <c r="Y29" s="13"/>
      <c r="Z29" s="13"/>
      <c r="AA29" s="13"/>
      <c r="AB29" s="13"/>
    </row>
    <row r="30" spans="1:28" ht="13.2">
      <c r="A30" s="53">
        <f t="shared" si="2"/>
        <v>29</v>
      </c>
      <c r="B30" s="13" t="s">
        <v>1171</v>
      </c>
      <c r="C30" s="16" t="s">
        <v>1145</v>
      </c>
      <c r="D30" s="16">
        <f t="shared" si="0"/>
        <v>2000</v>
      </c>
      <c r="E30" s="16">
        <f t="shared" si="1"/>
        <v>3065</v>
      </c>
      <c r="F30" s="16">
        <v>5</v>
      </c>
      <c r="G30" s="16" t="s">
        <v>1130</v>
      </c>
      <c r="H30" s="16" t="s">
        <v>1166</v>
      </c>
      <c r="I30" s="16" t="s">
        <v>1140</v>
      </c>
      <c r="J30" s="16"/>
      <c r="K30" s="13"/>
      <c r="L30" s="275">
        <v>155</v>
      </c>
      <c r="M30" s="13"/>
      <c r="N30" s="13"/>
      <c r="O30" s="13"/>
      <c r="P30" s="13"/>
      <c r="Q30" s="13"/>
      <c r="R30" s="13"/>
      <c r="S30" s="13"/>
      <c r="T30" s="13"/>
      <c r="U30" s="13"/>
      <c r="V30" s="13"/>
      <c r="W30" s="13"/>
      <c r="X30" s="13"/>
      <c r="Y30" s="13"/>
      <c r="Z30" s="13"/>
      <c r="AA30" s="13"/>
      <c r="AB30" s="13"/>
    </row>
    <row r="31" spans="1:28" ht="13.2">
      <c r="A31" s="53">
        <f t="shared" si="2"/>
        <v>30</v>
      </c>
      <c r="B31" s="13" t="s">
        <v>1172</v>
      </c>
      <c r="C31" s="16" t="s">
        <v>1135</v>
      </c>
      <c r="D31" s="16">
        <f t="shared" si="0"/>
        <v>700</v>
      </c>
      <c r="E31" s="16">
        <f t="shared" si="1"/>
        <v>931</v>
      </c>
      <c r="F31" s="16">
        <v>3</v>
      </c>
      <c r="G31" s="16" t="s">
        <v>1173</v>
      </c>
      <c r="H31" s="16" t="s">
        <v>1174</v>
      </c>
      <c r="I31" s="16" t="s">
        <v>1140</v>
      </c>
      <c r="J31" s="16" t="s">
        <v>1154</v>
      </c>
      <c r="K31" s="13"/>
      <c r="L31" s="275">
        <v>155</v>
      </c>
      <c r="M31" s="13"/>
      <c r="N31" s="13"/>
      <c r="O31" s="13"/>
      <c r="P31" s="13"/>
      <c r="Q31" s="13"/>
      <c r="R31" s="13"/>
      <c r="S31" s="13"/>
      <c r="T31" s="13"/>
      <c r="U31" s="13"/>
      <c r="V31" s="13"/>
      <c r="W31" s="13"/>
      <c r="X31" s="13"/>
      <c r="Y31" s="13"/>
      <c r="Z31" s="13"/>
      <c r="AA31" s="13"/>
      <c r="AB31" s="13"/>
    </row>
    <row r="32" spans="1:28" ht="13.2">
      <c r="A32" s="53">
        <f t="shared" si="2"/>
        <v>31</v>
      </c>
      <c r="B32" s="13" t="s">
        <v>1175</v>
      </c>
      <c r="C32" s="16" t="s">
        <v>1126</v>
      </c>
      <c r="D32" s="16">
        <f t="shared" si="0"/>
        <v>300</v>
      </c>
      <c r="E32" s="16">
        <f t="shared" si="1"/>
        <v>388</v>
      </c>
      <c r="F32" s="16">
        <v>2</v>
      </c>
      <c r="G32" s="16" t="s">
        <v>1130</v>
      </c>
      <c r="H32" s="16" t="s">
        <v>1176</v>
      </c>
      <c r="I32" s="16"/>
      <c r="J32" s="16"/>
      <c r="K32" s="13"/>
      <c r="L32" s="275">
        <v>155</v>
      </c>
      <c r="M32" s="13"/>
      <c r="N32" s="13"/>
      <c r="O32" s="13"/>
      <c r="P32" s="13"/>
      <c r="Q32" s="13"/>
      <c r="R32" s="13"/>
      <c r="S32" s="13"/>
      <c r="T32" s="13"/>
      <c r="U32" s="13"/>
      <c r="V32" s="13"/>
      <c r="W32" s="13"/>
      <c r="X32" s="13"/>
      <c r="Y32" s="13"/>
      <c r="Z32" s="13"/>
      <c r="AA32" s="13"/>
      <c r="AB32" s="13"/>
    </row>
    <row r="33" spans="1:28" ht="13.2">
      <c r="A33" s="53">
        <f t="shared" si="2"/>
        <v>32</v>
      </c>
      <c r="B33" s="13" t="s">
        <v>1177</v>
      </c>
      <c r="C33" s="16" t="s">
        <v>1135</v>
      </c>
      <c r="D33" s="16">
        <f t="shared" si="0"/>
        <v>700</v>
      </c>
      <c r="E33" s="16">
        <f t="shared" si="1"/>
        <v>934</v>
      </c>
      <c r="F33" s="16">
        <v>3</v>
      </c>
      <c r="G33" s="16" t="s">
        <v>1130</v>
      </c>
      <c r="H33" s="16" t="s">
        <v>1176</v>
      </c>
      <c r="I33" s="16" t="s">
        <v>1140</v>
      </c>
      <c r="J33" s="16"/>
      <c r="K33" s="13"/>
      <c r="L33" s="275">
        <v>155</v>
      </c>
      <c r="M33" s="13"/>
      <c r="N33" s="13"/>
      <c r="O33" s="13"/>
      <c r="P33" s="13"/>
      <c r="Q33" s="13"/>
      <c r="R33" s="13"/>
      <c r="S33" s="13"/>
      <c r="T33" s="13"/>
      <c r="U33" s="13"/>
      <c r="V33" s="13"/>
      <c r="W33" s="13"/>
      <c r="X33" s="13"/>
      <c r="Y33" s="13"/>
      <c r="Z33" s="13"/>
      <c r="AA33" s="13"/>
      <c r="AB33" s="13"/>
    </row>
    <row r="34" spans="1:28" ht="13.2">
      <c r="A34" s="53">
        <f t="shared" si="2"/>
        <v>33</v>
      </c>
      <c r="B34" s="13" t="s">
        <v>1178</v>
      </c>
      <c r="C34" s="16" t="s">
        <v>1135</v>
      </c>
      <c r="D34" s="16">
        <f t="shared" si="0"/>
        <v>700</v>
      </c>
      <c r="E34" s="16">
        <f t="shared" si="1"/>
        <v>952</v>
      </c>
      <c r="F34" s="16">
        <v>3</v>
      </c>
      <c r="G34" s="16" t="s">
        <v>1130</v>
      </c>
      <c r="H34" s="16" t="s">
        <v>1176</v>
      </c>
      <c r="I34" s="16" t="s">
        <v>1140</v>
      </c>
      <c r="J34" s="16"/>
      <c r="K34" s="13"/>
      <c r="L34" s="275">
        <v>155</v>
      </c>
      <c r="M34" s="13"/>
      <c r="N34" s="13"/>
      <c r="O34" s="13"/>
      <c r="P34" s="13"/>
      <c r="Q34" s="13"/>
      <c r="R34" s="13"/>
      <c r="S34" s="13"/>
      <c r="T34" s="13"/>
      <c r="U34" s="13"/>
      <c r="V34" s="13"/>
      <c r="W34" s="13"/>
      <c r="X34" s="13"/>
      <c r="Y34" s="13"/>
      <c r="Z34" s="13"/>
      <c r="AA34" s="13"/>
      <c r="AB34" s="13"/>
    </row>
    <row r="35" spans="1:28" ht="13.2">
      <c r="A35" s="53">
        <f t="shared" si="2"/>
        <v>34</v>
      </c>
      <c r="B35" s="13" t="s">
        <v>1179</v>
      </c>
      <c r="C35" s="16" t="s">
        <v>1126</v>
      </c>
      <c r="D35" s="16">
        <f t="shared" si="0"/>
        <v>300</v>
      </c>
      <c r="E35" s="16">
        <f t="shared" si="1"/>
        <v>376</v>
      </c>
      <c r="F35" s="16">
        <v>2</v>
      </c>
      <c r="G35" s="16" t="s">
        <v>1130</v>
      </c>
      <c r="H35" s="16" t="s">
        <v>1176</v>
      </c>
      <c r="I35" s="16" t="s">
        <v>1140</v>
      </c>
      <c r="J35" s="16"/>
      <c r="K35" s="13"/>
      <c r="L35" s="275">
        <v>156</v>
      </c>
      <c r="M35" s="13"/>
      <c r="N35" s="13"/>
      <c r="O35" s="13"/>
      <c r="P35" s="13"/>
      <c r="Q35" s="13"/>
      <c r="R35" s="13"/>
      <c r="S35" s="13"/>
      <c r="T35" s="13"/>
      <c r="U35" s="13"/>
      <c r="V35" s="13"/>
      <c r="W35" s="13"/>
      <c r="X35" s="13"/>
      <c r="Y35" s="13"/>
      <c r="Z35" s="13"/>
      <c r="AA35" s="13"/>
      <c r="AB35" s="13"/>
    </row>
    <row r="36" spans="1:28" ht="13.2">
      <c r="A36" s="53">
        <f t="shared" si="2"/>
        <v>35</v>
      </c>
      <c r="B36" s="13" t="s">
        <v>1180</v>
      </c>
      <c r="C36" s="16" t="s">
        <v>1126</v>
      </c>
      <c r="D36" s="16">
        <f t="shared" si="0"/>
        <v>300</v>
      </c>
      <c r="E36" s="16">
        <f t="shared" si="1"/>
        <v>388</v>
      </c>
      <c r="F36" s="16">
        <v>2</v>
      </c>
      <c r="G36" s="16" t="s">
        <v>1130</v>
      </c>
      <c r="H36" s="16" t="s">
        <v>1176</v>
      </c>
      <c r="I36" s="16" t="s">
        <v>1140</v>
      </c>
      <c r="J36" s="16"/>
      <c r="K36" s="13"/>
      <c r="L36" s="275">
        <v>156</v>
      </c>
      <c r="M36" s="13"/>
      <c r="N36" s="13"/>
      <c r="O36" s="13"/>
      <c r="P36" s="13"/>
      <c r="Q36" s="13"/>
      <c r="R36" s="13"/>
      <c r="S36" s="13"/>
      <c r="T36" s="13"/>
      <c r="U36" s="13"/>
      <c r="V36" s="13"/>
      <c r="W36" s="13"/>
      <c r="X36" s="13"/>
      <c r="Y36" s="13"/>
      <c r="Z36" s="13"/>
      <c r="AA36" s="13"/>
      <c r="AB36" s="13"/>
    </row>
    <row r="37" spans="1:28" ht="13.2">
      <c r="A37" s="53">
        <f t="shared" si="2"/>
        <v>36</v>
      </c>
      <c r="B37" s="13" t="s">
        <v>1181</v>
      </c>
      <c r="C37" s="16" t="s">
        <v>1135</v>
      </c>
      <c r="D37" s="16">
        <f t="shared" si="0"/>
        <v>700</v>
      </c>
      <c r="E37" s="16">
        <f t="shared" si="1"/>
        <v>934</v>
      </c>
      <c r="F37" s="16">
        <v>3</v>
      </c>
      <c r="G37" s="16" t="s">
        <v>1130</v>
      </c>
      <c r="H37" s="16"/>
      <c r="I37" s="16"/>
      <c r="J37" s="16"/>
      <c r="K37" s="13"/>
      <c r="L37" s="275">
        <v>156</v>
      </c>
      <c r="M37" s="13"/>
      <c r="N37" s="13"/>
      <c r="O37" s="13"/>
      <c r="P37" s="13"/>
      <c r="Q37" s="13"/>
      <c r="R37" s="13"/>
      <c r="S37" s="13"/>
      <c r="T37" s="13"/>
      <c r="U37" s="13"/>
      <c r="V37" s="13"/>
      <c r="W37" s="13"/>
      <c r="X37" s="13"/>
      <c r="Y37" s="13"/>
      <c r="Z37" s="13"/>
      <c r="AA37" s="13"/>
      <c r="AB37" s="13"/>
    </row>
    <row r="38" spans="1:28" ht="13.2">
      <c r="A38" s="53">
        <f t="shared" si="2"/>
        <v>37</v>
      </c>
      <c r="B38" s="13" t="s">
        <v>1182</v>
      </c>
      <c r="C38" s="16" t="s">
        <v>1126</v>
      </c>
      <c r="D38" s="16">
        <f t="shared" si="0"/>
        <v>300</v>
      </c>
      <c r="E38" s="16">
        <f t="shared" si="1"/>
        <v>366</v>
      </c>
      <c r="F38" s="16">
        <v>2</v>
      </c>
      <c r="G38" s="16" t="s">
        <v>1130</v>
      </c>
      <c r="H38" s="16" t="s">
        <v>1183</v>
      </c>
      <c r="I38" s="16" t="s">
        <v>1140</v>
      </c>
      <c r="J38" s="16"/>
      <c r="K38" s="13"/>
      <c r="L38" s="275">
        <v>156</v>
      </c>
      <c r="M38" s="13"/>
      <c r="N38" s="13"/>
      <c r="O38" s="13"/>
      <c r="P38" s="13"/>
      <c r="Q38" s="13"/>
      <c r="R38" s="13"/>
      <c r="S38" s="13"/>
      <c r="T38" s="13"/>
      <c r="U38" s="13"/>
      <c r="V38" s="13"/>
      <c r="W38" s="13"/>
      <c r="X38" s="13"/>
      <c r="Y38" s="13"/>
      <c r="Z38" s="13"/>
      <c r="AA38" s="13"/>
      <c r="AB38" s="13"/>
    </row>
    <row r="39" spans="1:28" ht="13.2">
      <c r="A39" s="53">
        <f t="shared" si="2"/>
        <v>38</v>
      </c>
      <c r="B39" s="13" t="s">
        <v>1184</v>
      </c>
      <c r="C39" s="16" t="s">
        <v>1135</v>
      </c>
      <c r="D39" s="16">
        <f t="shared" si="0"/>
        <v>700</v>
      </c>
      <c r="E39" s="16">
        <f t="shared" si="1"/>
        <v>937</v>
      </c>
      <c r="F39" s="16">
        <v>3</v>
      </c>
      <c r="G39" s="16" t="s">
        <v>1130</v>
      </c>
      <c r="H39" s="16" t="s">
        <v>1183</v>
      </c>
      <c r="I39" s="16" t="s">
        <v>1140</v>
      </c>
      <c r="J39" s="16"/>
      <c r="K39" s="13"/>
      <c r="L39" s="275">
        <v>156</v>
      </c>
      <c r="M39" s="13"/>
      <c r="N39" s="13"/>
      <c r="O39" s="13"/>
      <c r="P39" s="13"/>
      <c r="Q39" s="13"/>
      <c r="R39" s="13"/>
      <c r="S39" s="13"/>
      <c r="T39" s="13"/>
      <c r="U39" s="13"/>
      <c r="V39" s="13"/>
      <c r="W39" s="13"/>
      <c r="X39" s="13"/>
      <c r="Y39" s="13"/>
      <c r="Z39" s="13"/>
      <c r="AA39" s="13"/>
      <c r="AB39" s="13"/>
    </row>
    <row r="40" spans="1:28" ht="13.2">
      <c r="A40" s="53">
        <f t="shared" si="2"/>
        <v>39</v>
      </c>
      <c r="B40" s="13" t="s">
        <v>1185</v>
      </c>
      <c r="C40" s="16" t="s">
        <v>1135</v>
      </c>
      <c r="D40" s="16">
        <f t="shared" si="0"/>
        <v>700</v>
      </c>
      <c r="E40" s="16">
        <f t="shared" si="1"/>
        <v>919</v>
      </c>
      <c r="F40" s="16">
        <v>3</v>
      </c>
      <c r="G40" s="16" t="s">
        <v>1130</v>
      </c>
      <c r="H40" s="16"/>
      <c r="I40" s="16"/>
      <c r="J40" s="16"/>
      <c r="K40" s="13"/>
      <c r="L40" s="275">
        <v>156</v>
      </c>
      <c r="M40" s="13"/>
      <c r="N40" s="13"/>
      <c r="O40" s="13"/>
      <c r="P40" s="13"/>
      <c r="Q40" s="13"/>
      <c r="R40" s="13"/>
      <c r="S40" s="13"/>
      <c r="T40" s="13"/>
      <c r="U40" s="13"/>
      <c r="V40" s="13"/>
      <c r="W40" s="13"/>
      <c r="X40" s="13"/>
      <c r="Y40" s="13"/>
      <c r="Z40" s="13"/>
      <c r="AA40" s="13"/>
      <c r="AB40" s="13"/>
    </row>
    <row r="41" spans="1:28" ht="13.2">
      <c r="A41" s="53">
        <f t="shared" si="2"/>
        <v>40</v>
      </c>
      <c r="B41" s="13" t="s">
        <v>1186</v>
      </c>
      <c r="C41" s="16" t="s">
        <v>1126</v>
      </c>
      <c r="D41" s="16">
        <f t="shared" si="0"/>
        <v>300</v>
      </c>
      <c r="E41" s="16">
        <f t="shared" si="1"/>
        <v>378</v>
      </c>
      <c r="F41" s="16">
        <v>2</v>
      </c>
      <c r="G41" s="16" t="s">
        <v>1130</v>
      </c>
      <c r="H41" s="16" t="s">
        <v>1139</v>
      </c>
      <c r="I41" s="16" t="s">
        <v>1140</v>
      </c>
      <c r="J41" s="16"/>
      <c r="K41" s="13"/>
      <c r="L41" s="275">
        <v>156</v>
      </c>
      <c r="M41" s="13"/>
      <c r="N41" s="13"/>
      <c r="O41" s="13"/>
      <c r="P41" s="13"/>
      <c r="Q41" s="13"/>
      <c r="R41" s="13"/>
      <c r="S41" s="13"/>
      <c r="T41" s="13"/>
      <c r="U41" s="13"/>
      <c r="V41" s="13"/>
      <c r="W41" s="13"/>
      <c r="X41" s="13"/>
      <c r="Y41" s="13"/>
      <c r="Z41" s="13"/>
      <c r="AA41" s="13"/>
      <c r="AB41" s="13"/>
    </row>
    <row r="42" spans="1:28" ht="13.2">
      <c r="A42" s="53">
        <f t="shared" si="2"/>
        <v>41</v>
      </c>
      <c r="B42" s="13" t="s">
        <v>1187</v>
      </c>
      <c r="C42" s="16" t="s">
        <v>1126</v>
      </c>
      <c r="D42" s="16">
        <f t="shared" si="0"/>
        <v>300</v>
      </c>
      <c r="E42" s="16">
        <f t="shared" si="1"/>
        <v>366</v>
      </c>
      <c r="F42" s="16">
        <v>2</v>
      </c>
      <c r="G42" s="16" t="s">
        <v>1130</v>
      </c>
      <c r="H42" s="16"/>
      <c r="I42" s="16"/>
      <c r="J42" s="16"/>
      <c r="K42" s="13"/>
      <c r="L42" s="275">
        <v>156</v>
      </c>
      <c r="M42" s="13"/>
      <c r="N42" s="13"/>
      <c r="O42" s="13"/>
      <c r="P42" s="13"/>
      <c r="Q42" s="13"/>
      <c r="R42" s="13"/>
      <c r="S42" s="13"/>
      <c r="T42" s="13"/>
      <c r="U42" s="13"/>
      <c r="V42" s="13"/>
      <c r="W42" s="13"/>
      <c r="X42" s="13"/>
      <c r="Y42" s="13"/>
      <c r="Z42" s="13"/>
      <c r="AA42" s="13"/>
      <c r="AB42" s="13"/>
    </row>
    <row r="43" spans="1:28" ht="13.2">
      <c r="A43" s="53">
        <f t="shared" si="2"/>
        <v>42</v>
      </c>
      <c r="B43" s="13" t="s">
        <v>1188</v>
      </c>
      <c r="C43" s="16" t="s">
        <v>1137</v>
      </c>
      <c r="D43" s="16">
        <f t="shared" si="0"/>
        <v>1100</v>
      </c>
      <c r="E43" s="16">
        <f t="shared" si="1"/>
        <v>1576</v>
      </c>
      <c r="F43" s="16">
        <v>4</v>
      </c>
      <c r="G43" s="16" t="s">
        <v>1130</v>
      </c>
      <c r="H43" s="16" t="s">
        <v>1160</v>
      </c>
      <c r="I43" s="16" t="s">
        <v>1140</v>
      </c>
      <c r="J43" s="16"/>
      <c r="K43" s="13"/>
      <c r="L43" s="275">
        <v>157</v>
      </c>
      <c r="M43" s="13"/>
      <c r="N43" s="13"/>
      <c r="O43" s="13"/>
      <c r="P43" s="13"/>
      <c r="Q43" s="13"/>
      <c r="R43" s="13"/>
      <c r="S43" s="13"/>
      <c r="T43" s="13"/>
      <c r="U43" s="13"/>
      <c r="V43" s="13"/>
      <c r="W43" s="13"/>
      <c r="X43" s="13"/>
      <c r="Y43" s="13"/>
      <c r="Z43" s="13"/>
      <c r="AA43" s="13"/>
      <c r="AB43" s="13"/>
    </row>
    <row r="44" spans="1:28" ht="13.2">
      <c r="A44" s="53">
        <f t="shared" si="2"/>
        <v>43</v>
      </c>
      <c r="B44" s="13" t="s">
        <v>1189</v>
      </c>
      <c r="C44" s="16" t="s">
        <v>1126</v>
      </c>
      <c r="D44" s="16">
        <f t="shared" si="0"/>
        <v>300</v>
      </c>
      <c r="E44" s="16">
        <f t="shared" si="1"/>
        <v>368</v>
      </c>
      <c r="F44" s="16">
        <v>2</v>
      </c>
      <c r="G44" s="16" t="s">
        <v>1130</v>
      </c>
      <c r="H44" s="16" t="s">
        <v>1190</v>
      </c>
      <c r="I44" s="16"/>
      <c r="J44" s="16"/>
      <c r="K44" s="13"/>
      <c r="L44" s="275">
        <v>157</v>
      </c>
      <c r="M44" s="13"/>
      <c r="N44" s="13"/>
      <c r="O44" s="13"/>
      <c r="P44" s="13"/>
      <c r="Q44" s="13"/>
      <c r="R44" s="13"/>
      <c r="S44" s="13"/>
      <c r="T44" s="13"/>
      <c r="U44" s="13"/>
      <c r="V44" s="13"/>
      <c r="W44" s="13"/>
      <c r="X44" s="13"/>
      <c r="Y44" s="13"/>
      <c r="Z44" s="13"/>
      <c r="AA44" s="13"/>
      <c r="AB44" s="13"/>
    </row>
    <row r="45" spans="1:28" ht="13.2">
      <c r="A45" s="53">
        <f t="shared" si="2"/>
        <v>44</v>
      </c>
      <c r="B45" s="13" t="s">
        <v>1191</v>
      </c>
      <c r="C45" s="16" t="s">
        <v>1135</v>
      </c>
      <c r="D45" s="16">
        <f t="shared" si="0"/>
        <v>700</v>
      </c>
      <c r="E45" s="16">
        <f t="shared" si="1"/>
        <v>940</v>
      </c>
      <c r="F45" s="16">
        <v>3</v>
      </c>
      <c r="G45" s="16" t="s">
        <v>1130</v>
      </c>
      <c r="H45" s="16" t="s">
        <v>1192</v>
      </c>
      <c r="I45" s="16"/>
      <c r="J45" s="16"/>
      <c r="K45" s="13"/>
      <c r="L45" s="275">
        <v>157</v>
      </c>
      <c r="M45" s="13"/>
      <c r="N45" s="13"/>
      <c r="O45" s="13"/>
      <c r="P45" s="13"/>
      <c r="Q45" s="13"/>
      <c r="R45" s="13"/>
      <c r="S45" s="13"/>
      <c r="T45" s="13"/>
      <c r="U45" s="13"/>
      <c r="V45" s="13"/>
      <c r="W45" s="13"/>
      <c r="X45" s="13"/>
      <c r="Y45" s="13"/>
      <c r="Z45" s="13"/>
      <c r="AA45" s="13"/>
      <c r="AB45" s="13"/>
    </row>
    <row r="46" spans="1:28" ht="13.2">
      <c r="A46" s="53">
        <f t="shared" si="2"/>
        <v>45</v>
      </c>
      <c r="B46" s="13" t="s">
        <v>1193</v>
      </c>
      <c r="C46" s="16" t="s">
        <v>1137</v>
      </c>
      <c r="D46" s="16">
        <f t="shared" si="0"/>
        <v>1100</v>
      </c>
      <c r="E46" s="16">
        <f t="shared" si="1"/>
        <v>1556</v>
      </c>
      <c r="F46" s="16">
        <v>4</v>
      </c>
      <c r="G46" s="16" t="s">
        <v>1130</v>
      </c>
      <c r="H46" s="16"/>
      <c r="I46" s="16"/>
      <c r="J46" s="16"/>
      <c r="K46" s="13"/>
      <c r="L46" s="275">
        <v>157</v>
      </c>
      <c r="M46" s="13"/>
      <c r="N46" s="13"/>
      <c r="O46" s="13"/>
      <c r="P46" s="13"/>
      <c r="Q46" s="13"/>
      <c r="R46" s="13"/>
      <c r="S46" s="13"/>
      <c r="T46" s="13"/>
      <c r="U46" s="13"/>
      <c r="V46" s="13"/>
      <c r="W46" s="13"/>
      <c r="X46" s="13"/>
      <c r="Y46" s="13"/>
      <c r="Z46" s="13"/>
      <c r="AA46" s="13"/>
      <c r="AB46" s="13"/>
    </row>
    <row r="47" spans="1:28" ht="13.2">
      <c r="A47" s="53">
        <f t="shared" si="2"/>
        <v>46</v>
      </c>
      <c r="B47" s="13" t="s">
        <v>1194</v>
      </c>
      <c r="C47" s="16" t="s">
        <v>1135</v>
      </c>
      <c r="D47" s="16">
        <f t="shared" si="0"/>
        <v>700</v>
      </c>
      <c r="E47" s="16">
        <f t="shared" si="1"/>
        <v>940</v>
      </c>
      <c r="F47" s="16">
        <v>3</v>
      </c>
      <c r="G47" s="16" t="s">
        <v>1130</v>
      </c>
      <c r="H47" s="16"/>
      <c r="I47" s="16"/>
      <c r="J47" s="16"/>
      <c r="K47" s="13"/>
      <c r="L47" s="275">
        <v>158</v>
      </c>
      <c r="M47" s="13"/>
      <c r="N47" s="13"/>
      <c r="O47" s="13"/>
      <c r="P47" s="13"/>
      <c r="Q47" s="13"/>
      <c r="R47" s="13"/>
      <c r="S47" s="13"/>
      <c r="T47" s="13"/>
      <c r="U47" s="13"/>
      <c r="V47" s="13"/>
      <c r="W47" s="13"/>
      <c r="X47" s="13"/>
      <c r="Y47" s="13"/>
      <c r="Z47" s="13"/>
      <c r="AA47" s="13"/>
      <c r="AB47" s="13"/>
    </row>
    <row r="48" spans="1:28" ht="13.2">
      <c r="A48" s="53">
        <f t="shared" si="2"/>
        <v>47</v>
      </c>
      <c r="B48" s="13" t="s">
        <v>1195</v>
      </c>
      <c r="C48" s="16" t="s">
        <v>1135</v>
      </c>
      <c r="D48" s="16">
        <f t="shared" si="0"/>
        <v>700</v>
      </c>
      <c r="E48" s="16">
        <f t="shared" si="1"/>
        <v>922</v>
      </c>
      <c r="F48" s="16">
        <v>3</v>
      </c>
      <c r="G48" s="16" t="s">
        <v>1130</v>
      </c>
      <c r="H48" s="16"/>
      <c r="I48" s="16"/>
      <c r="J48" s="16"/>
      <c r="K48" s="13"/>
      <c r="L48" s="275">
        <v>158</v>
      </c>
      <c r="M48" s="13"/>
      <c r="N48" s="13"/>
      <c r="O48" s="13"/>
      <c r="P48" s="13"/>
      <c r="Q48" s="13"/>
      <c r="R48" s="13"/>
      <c r="S48" s="13"/>
      <c r="T48" s="13"/>
      <c r="U48" s="13"/>
      <c r="V48" s="13"/>
      <c r="W48" s="13"/>
      <c r="X48" s="13"/>
      <c r="Y48" s="13"/>
      <c r="Z48" s="13"/>
      <c r="AA48" s="13"/>
      <c r="AB48" s="13"/>
    </row>
    <row r="49" spans="1:28" ht="13.2">
      <c r="A49" s="53">
        <f t="shared" si="2"/>
        <v>48</v>
      </c>
      <c r="B49" s="13" t="s">
        <v>1196</v>
      </c>
      <c r="C49" s="16" t="s">
        <v>1126</v>
      </c>
      <c r="D49" s="16">
        <f t="shared" si="0"/>
        <v>300</v>
      </c>
      <c r="E49" s="16">
        <f t="shared" si="1"/>
        <v>380</v>
      </c>
      <c r="F49" s="16">
        <v>2</v>
      </c>
      <c r="G49" s="16" t="s">
        <v>1130</v>
      </c>
      <c r="H49" s="16" t="s">
        <v>1190</v>
      </c>
      <c r="I49" s="16"/>
      <c r="J49" s="16"/>
      <c r="K49" s="13"/>
      <c r="L49" s="275">
        <v>158</v>
      </c>
      <c r="M49" s="13"/>
      <c r="N49" s="13"/>
      <c r="O49" s="13"/>
      <c r="P49" s="13"/>
      <c r="Q49" s="13"/>
      <c r="R49" s="13"/>
      <c r="S49" s="13"/>
      <c r="T49" s="13"/>
      <c r="U49" s="13"/>
      <c r="V49" s="13"/>
      <c r="W49" s="13"/>
      <c r="X49" s="13"/>
      <c r="Y49" s="13"/>
      <c r="Z49" s="13"/>
      <c r="AA49" s="13"/>
      <c r="AB49" s="13"/>
    </row>
    <row r="50" spans="1:28" ht="13.2">
      <c r="A50" s="53">
        <f t="shared" si="2"/>
        <v>49</v>
      </c>
      <c r="B50" s="13" t="s">
        <v>1197</v>
      </c>
      <c r="C50" s="16" t="s">
        <v>1137</v>
      </c>
      <c r="D50" s="16">
        <f t="shared" si="0"/>
        <v>1100</v>
      </c>
      <c r="E50" s="16">
        <f t="shared" si="1"/>
        <v>1560</v>
      </c>
      <c r="F50" s="16">
        <v>4</v>
      </c>
      <c r="G50" s="16" t="s">
        <v>1130</v>
      </c>
      <c r="H50" s="16" t="s">
        <v>1192</v>
      </c>
      <c r="I50" s="16" t="s">
        <v>1140</v>
      </c>
      <c r="J50" s="16"/>
      <c r="K50" s="13"/>
      <c r="L50" s="275">
        <v>158</v>
      </c>
      <c r="M50" s="13"/>
      <c r="N50" s="13"/>
      <c r="O50" s="13"/>
      <c r="P50" s="13"/>
      <c r="Q50" s="13"/>
      <c r="R50" s="13"/>
      <c r="S50" s="13"/>
      <c r="T50" s="13"/>
      <c r="U50" s="13"/>
      <c r="V50" s="13"/>
      <c r="W50" s="13"/>
      <c r="X50" s="13"/>
      <c r="Y50" s="13"/>
      <c r="Z50" s="13"/>
      <c r="AA50" s="13"/>
      <c r="AB50" s="13"/>
    </row>
    <row r="51" spans="1:28" ht="13.2">
      <c r="A51" s="53">
        <f t="shared" si="2"/>
        <v>50</v>
      </c>
      <c r="B51" s="13" t="s">
        <v>1198</v>
      </c>
      <c r="C51" s="16" t="s">
        <v>1135</v>
      </c>
      <c r="D51" s="16">
        <f t="shared" si="0"/>
        <v>700</v>
      </c>
      <c r="E51" s="16">
        <f t="shared" si="1"/>
        <v>943</v>
      </c>
      <c r="F51" s="16">
        <v>3</v>
      </c>
      <c r="G51" s="16" t="s">
        <v>1130</v>
      </c>
      <c r="H51" s="16" t="s">
        <v>1192</v>
      </c>
      <c r="I51" s="16" t="s">
        <v>1140</v>
      </c>
      <c r="J51" s="16"/>
      <c r="K51" s="13"/>
      <c r="L51" s="275">
        <v>158</v>
      </c>
      <c r="M51" s="13"/>
      <c r="N51" s="13"/>
      <c r="O51" s="13"/>
      <c r="P51" s="13"/>
      <c r="Q51" s="13"/>
      <c r="R51" s="13"/>
      <c r="S51" s="13"/>
      <c r="T51" s="13"/>
      <c r="U51" s="13"/>
      <c r="V51" s="13"/>
      <c r="W51" s="13"/>
      <c r="X51" s="13"/>
      <c r="Y51" s="13"/>
      <c r="Z51" s="13"/>
      <c r="AA51" s="13"/>
      <c r="AB51" s="13"/>
    </row>
    <row r="52" spans="1:28" ht="13.2">
      <c r="A52" s="53">
        <f t="shared" si="2"/>
        <v>51</v>
      </c>
      <c r="B52" s="13" t="s">
        <v>1199</v>
      </c>
      <c r="C52" s="16" t="s">
        <v>1126</v>
      </c>
      <c r="D52" s="16">
        <f t="shared" si="0"/>
        <v>300</v>
      </c>
      <c r="E52" s="16">
        <f t="shared" si="1"/>
        <v>370</v>
      </c>
      <c r="F52" s="16">
        <v>2</v>
      </c>
      <c r="G52" s="16" t="s">
        <v>1130</v>
      </c>
      <c r="H52" s="16" t="s">
        <v>1192</v>
      </c>
      <c r="I52" s="16" t="s">
        <v>1140</v>
      </c>
      <c r="J52" s="16"/>
      <c r="K52" s="13"/>
      <c r="L52" s="275">
        <v>158</v>
      </c>
      <c r="M52" s="13"/>
      <c r="N52" s="13"/>
      <c r="O52" s="13"/>
      <c r="P52" s="13"/>
      <c r="Q52" s="13"/>
      <c r="R52" s="13"/>
      <c r="S52" s="13"/>
      <c r="T52" s="13"/>
      <c r="U52" s="13"/>
      <c r="V52" s="13"/>
      <c r="W52" s="13"/>
      <c r="X52" s="13"/>
      <c r="Y52" s="13"/>
      <c r="Z52" s="13"/>
      <c r="AA52" s="13"/>
      <c r="AB52" s="13"/>
    </row>
    <row r="53" spans="1:28" ht="13.2">
      <c r="A53" s="53">
        <f t="shared" si="2"/>
        <v>52</v>
      </c>
      <c r="B53" s="13" t="s">
        <v>1200</v>
      </c>
      <c r="C53" s="16" t="s">
        <v>1145</v>
      </c>
      <c r="D53" s="16">
        <f t="shared" si="0"/>
        <v>2000</v>
      </c>
      <c r="E53" s="16">
        <f t="shared" si="1"/>
        <v>3055</v>
      </c>
      <c r="F53" s="16">
        <v>5</v>
      </c>
      <c r="G53" s="16" t="s">
        <v>1130</v>
      </c>
      <c r="H53" s="16" t="s">
        <v>1192</v>
      </c>
      <c r="I53" s="16" t="s">
        <v>1140</v>
      </c>
      <c r="J53" s="16"/>
      <c r="K53" s="13"/>
      <c r="L53" s="275">
        <v>158</v>
      </c>
      <c r="M53" s="13"/>
      <c r="N53" s="13"/>
      <c r="O53" s="13"/>
      <c r="P53" s="13"/>
      <c r="Q53" s="13"/>
      <c r="R53" s="13"/>
      <c r="S53" s="13"/>
      <c r="T53" s="13"/>
      <c r="U53" s="13"/>
      <c r="V53" s="13"/>
      <c r="W53" s="13"/>
      <c r="X53" s="13"/>
      <c r="Y53" s="13"/>
      <c r="Z53" s="13"/>
      <c r="AA53" s="13"/>
      <c r="AB53" s="13"/>
    </row>
    <row r="54" spans="1:28" ht="13.2">
      <c r="A54" s="53">
        <f t="shared" si="2"/>
        <v>53</v>
      </c>
      <c r="B54" s="13" t="s">
        <v>1201</v>
      </c>
      <c r="C54" s="16" t="s">
        <v>1126</v>
      </c>
      <c r="D54" s="16">
        <f t="shared" si="0"/>
        <v>300</v>
      </c>
      <c r="E54" s="16">
        <f t="shared" si="1"/>
        <v>370</v>
      </c>
      <c r="F54" s="16">
        <v>2</v>
      </c>
      <c r="G54" s="16" t="s">
        <v>1130</v>
      </c>
      <c r="H54" s="16" t="s">
        <v>1192</v>
      </c>
      <c r="I54" s="16" t="s">
        <v>1140</v>
      </c>
      <c r="J54" s="16"/>
      <c r="K54" s="13"/>
      <c r="L54" s="275">
        <v>159</v>
      </c>
      <c r="M54" s="13"/>
      <c r="N54" s="13"/>
      <c r="O54" s="13"/>
      <c r="P54" s="13"/>
      <c r="Q54" s="13"/>
      <c r="R54" s="13"/>
      <c r="S54" s="13"/>
      <c r="T54" s="13"/>
      <c r="U54" s="13"/>
      <c r="V54" s="13"/>
      <c r="W54" s="13"/>
      <c r="X54" s="13"/>
      <c r="Y54" s="13"/>
      <c r="Z54" s="13"/>
      <c r="AA54" s="13"/>
      <c r="AB54" s="13"/>
    </row>
    <row r="55" spans="1:28" ht="13.2">
      <c r="A55" s="53">
        <f t="shared" si="2"/>
        <v>54</v>
      </c>
      <c r="B55" s="13" t="s">
        <v>1202</v>
      </c>
      <c r="C55" s="16" t="s">
        <v>1135</v>
      </c>
      <c r="D55" s="16">
        <f t="shared" si="0"/>
        <v>700</v>
      </c>
      <c r="E55" s="16">
        <f t="shared" si="1"/>
        <v>943</v>
      </c>
      <c r="F55" s="16">
        <v>3</v>
      </c>
      <c r="G55" s="16" t="s">
        <v>1130</v>
      </c>
      <c r="H55" s="16" t="s">
        <v>1192</v>
      </c>
      <c r="I55" s="16" t="s">
        <v>1140</v>
      </c>
      <c r="J55" s="16"/>
      <c r="K55" s="13"/>
      <c r="L55" s="275">
        <v>159</v>
      </c>
      <c r="M55" s="13"/>
      <c r="N55" s="13"/>
      <c r="O55" s="13"/>
      <c r="P55" s="13"/>
      <c r="Q55" s="13"/>
      <c r="R55" s="13"/>
      <c r="S55" s="13"/>
      <c r="T55" s="13"/>
      <c r="U55" s="13"/>
      <c r="V55" s="13"/>
      <c r="W55" s="13"/>
      <c r="X55" s="13"/>
      <c r="Y55" s="13"/>
      <c r="Z55" s="13"/>
      <c r="AA55" s="13"/>
      <c r="AB55" s="13"/>
    </row>
    <row r="56" spans="1:28" ht="13.2">
      <c r="A56" s="53">
        <f t="shared" si="2"/>
        <v>55</v>
      </c>
      <c r="B56" s="13" t="s">
        <v>1203</v>
      </c>
      <c r="C56" s="16" t="s">
        <v>1126</v>
      </c>
      <c r="D56" s="16">
        <f t="shared" si="0"/>
        <v>300</v>
      </c>
      <c r="E56" s="16">
        <f t="shared" si="1"/>
        <v>372</v>
      </c>
      <c r="F56" s="16">
        <v>2</v>
      </c>
      <c r="G56" s="16" t="s">
        <v>1130</v>
      </c>
      <c r="H56" s="16" t="s">
        <v>1192</v>
      </c>
      <c r="I56" s="16"/>
      <c r="J56" s="16"/>
      <c r="K56" s="13"/>
      <c r="L56" s="275">
        <v>159</v>
      </c>
      <c r="M56" s="13"/>
      <c r="N56" s="13"/>
      <c r="O56" s="13"/>
      <c r="P56" s="13"/>
      <c r="Q56" s="13"/>
      <c r="R56" s="13"/>
      <c r="S56" s="13"/>
      <c r="T56" s="13"/>
      <c r="U56" s="13"/>
      <c r="V56" s="13"/>
      <c r="W56" s="13"/>
      <c r="X56" s="13"/>
      <c r="Y56" s="13"/>
      <c r="Z56" s="13"/>
      <c r="AA56" s="13"/>
      <c r="AB56" s="13"/>
    </row>
    <row r="57" spans="1:28" ht="13.2">
      <c r="A57" s="53">
        <f t="shared" si="2"/>
        <v>56</v>
      </c>
      <c r="B57" s="13" t="s">
        <v>1204</v>
      </c>
      <c r="C57" s="16" t="s">
        <v>1137</v>
      </c>
      <c r="D57" s="16">
        <f t="shared" si="0"/>
        <v>1100</v>
      </c>
      <c r="E57" s="16">
        <f t="shared" si="1"/>
        <v>1588</v>
      </c>
      <c r="F57" s="16">
        <v>4</v>
      </c>
      <c r="G57" s="16" t="s">
        <v>1130</v>
      </c>
      <c r="H57" s="16"/>
      <c r="I57" s="16" t="s">
        <v>1140</v>
      </c>
      <c r="J57" s="16"/>
      <c r="K57" s="13"/>
      <c r="L57" s="275">
        <v>159</v>
      </c>
      <c r="M57" s="13"/>
      <c r="N57" s="13"/>
      <c r="O57" s="13"/>
      <c r="P57" s="13"/>
      <c r="Q57" s="13"/>
      <c r="R57" s="13"/>
      <c r="S57" s="13"/>
      <c r="T57" s="13"/>
      <c r="U57" s="13"/>
      <c r="V57" s="13"/>
      <c r="W57" s="13"/>
      <c r="X57" s="13"/>
      <c r="Y57" s="13"/>
      <c r="Z57" s="13"/>
      <c r="AA57" s="13"/>
      <c r="AB57" s="13"/>
    </row>
    <row r="58" spans="1:28" ht="13.2">
      <c r="A58" s="53">
        <f t="shared" si="2"/>
        <v>57</v>
      </c>
      <c r="B58" s="13" t="s">
        <v>1204</v>
      </c>
      <c r="C58" s="16" t="s">
        <v>1145</v>
      </c>
      <c r="D58" s="16">
        <f t="shared" si="0"/>
        <v>2000</v>
      </c>
      <c r="E58" s="16">
        <f t="shared" si="1"/>
        <v>3030</v>
      </c>
      <c r="F58" s="16">
        <v>5</v>
      </c>
      <c r="G58" s="16" t="s">
        <v>1130</v>
      </c>
      <c r="H58" s="16"/>
      <c r="I58" s="16" t="s">
        <v>1140</v>
      </c>
      <c r="J58" s="16"/>
      <c r="K58" s="13"/>
      <c r="L58" s="275">
        <v>159</v>
      </c>
      <c r="M58" s="13"/>
      <c r="N58" s="13"/>
      <c r="O58" s="13"/>
      <c r="P58" s="13"/>
      <c r="Q58" s="13"/>
      <c r="R58" s="13"/>
      <c r="S58" s="13"/>
      <c r="T58" s="13"/>
      <c r="U58" s="13"/>
      <c r="V58" s="13"/>
      <c r="W58" s="13"/>
      <c r="X58" s="13"/>
      <c r="Y58" s="13"/>
      <c r="Z58" s="13"/>
      <c r="AA58" s="13"/>
      <c r="AB58" s="13"/>
    </row>
    <row r="59" spans="1:28" ht="13.2">
      <c r="A59" s="53">
        <f t="shared" si="2"/>
        <v>58</v>
      </c>
      <c r="B59" s="13" t="s">
        <v>1205</v>
      </c>
      <c r="C59" s="16" t="s">
        <v>1135</v>
      </c>
      <c r="D59" s="16">
        <f t="shared" si="0"/>
        <v>700</v>
      </c>
      <c r="E59" s="16">
        <f t="shared" si="1"/>
        <v>946</v>
      </c>
      <c r="F59" s="16">
        <v>3</v>
      </c>
      <c r="G59" s="16" t="s">
        <v>1130</v>
      </c>
      <c r="H59" s="16"/>
      <c r="I59" s="16" t="s">
        <v>1140</v>
      </c>
      <c r="J59" s="16"/>
      <c r="K59" s="13"/>
      <c r="L59" s="275">
        <v>159</v>
      </c>
      <c r="M59" s="13"/>
      <c r="N59" s="13"/>
      <c r="O59" s="13"/>
      <c r="P59" s="13"/>
      <c r="Q59" s="13"/>
      <c r="R59" s="13"/>
      <c r="S59" s="13"/>
      <c r="T59" s="13"/>
      <c r="U59" s="13"/>
      <c r="V59" s="13"/>
      <c r="W59" s="13"/>
      <c r="X59" s="13"/>
      <c r="Y59" s="13"/>
      <c r="Z59" s="13"/>
      <c r="AA59" s="13"/>
      <c r="AB59" s="13"/>
    </row>
    <row r="60" spans="1:28" ht="13.2">
      <c r="A60" s="53">
        <f t="shared" si="2"/>
        <v>59</v>
      </c>
      <c r="B60" s="13" t="s">
        <v>1206</v>
      </c>
      <c r="C60" s="16" t="s">
        <v>1145</v>
      </c>
      <c r="D60" s="16">
        <f t="shared" si="0"/>
        <v>2000</v>
      </c>
      <c r="E60" s="16">
        <f t="shared" si="1"/>
        <v>3030</v>
      </c>
      <c r="F60" s="16">
        <v>5</v>
      </c>
      <c r="G60" s="16" t="s">
        <v>1130</v>
      </c>
      <c r="H60" s="16"/>
      <c r="I60" s="16"/>
      <c r="J60" s="16"/>
      <c r="K60" s="13"/>
      <c r="L60" s="275">
        <v>160</v>
      </c>
      <c r="M60" s="13"/>
      <c r="N60" s="13"/>
      <c r="O60" s="13"/>
      <c r="P60" s="13"/>
      <c r="Q60" s="13"/>
      <c r="R60" s="13"/>
      <c r="S60" s="13"/>
      <c r="T60" s="13"/>
      <c r="U60" s="13"/>
      <c r="V60" s="13"/>
      <c r="W60" s="13"/>
      <c r="X60" s="13"/>
      <c r="Y60" s="13"/>
      <c r="Z60" s="13"/>
      <c r="AA60" s="13"/>
      <c r="AB60" s="13"/>
    </row>
    <row r="61" spans="1:28" ht="13.2">
      <c r="A61" s="53">
        <f t="shared" si="2"/>
        <v>60</v>
      </c>
      <c r="B61" s="13" t="s">
        <v>1207</v>
      </c>
      <c r="C61" s="16" t="s">
        <v>1135</v>
      </c>
      <c r="D61" s="16">
        <f t="shared" si="0"/>
        <v>700</v>
      </c>
      <c r="E61" s="16">
        <f t="shared" si="1"/>
        <v>946</v>
      </c>
      <c r="F61" s="16">
        <v>3</v>
      </c>
      <c r="G61" s="16" t="s">
        <v>1130</v>
      </c>
      <c r="H61" s="16"/>
      <c r="I61" s="16"/>
      <c r="J61" s="16"/>
      <c r="K61" s="13"/>
      <c r="L61" s="275">
        <v>160</v>
      </c>
      <c r="M61" s="13"/>
      <c r="N61" s="13"/>
      <c r="O61" s="13"/>
      <c r="P61" s="13"/>
      <c r="Q61" s="13"/>
      <c r="R61" s="13"/>
      <c r="S61" s="13"/>
      <c r="T61" s="13"/>
      <c r="U61" s="13"/>
      <c r="V61" s="13"/>
      <c r="W61" s="13"/>
      <c r="X61" s="13"/>
      <c r="Y61" s="13"/>
      <c r="Z61" s="13"/>
      <c r="AA61" s="13"/>
      <c r="AB61" s="13"/>
    </row>
    <row r="62" spans="1:28" ht="13.2">
      <c r="A62" s="53">
        <f t="shared" si="2"/>
        <v>61</v>
      </c>
      <c r="B62" s="13" t="s">
        <v>1208</v>
      </c>
      <c r="C62" s="16" t="s">
        <v>1135</v>
      </c>
      <c r="D62" s="16">
        <f t="shared" si="0"/>
        <v>700</v>
      </c>
      <c r="E62" s="16">
        <f t="shared" si="1"/>
        <v>931</v>
      </c>
      <c r="F62" s="16">
        <v>3</v>
      </c>
      <c r="G62" s="16" t="s">
        <v>1173</v>
      </c>
      <c r="H62" s="16" t="s">
        <v>1209</v>
      </c>
      <c r="I62" s="16"/>
      <c r="J62" s="16"/>
      <c r="K62" s="13"/>
      <c r="L62" s="275">
        <v>161</v>
      </c>
      <c r="M62" s="13"/>
      <c r="N62" s="13"/>
      <c r="O62" s="13"/>
      <c r="P62" s="13"/>
      <c r="Q62" s="13"/>
      <c r="R62" s="13"/>
      <c r="S62" s="13"/>
      <c r="T62" s="13"/>
      <c r="U62" s="13"/>
      <c r="V62" s="13"/>
      <c r="W62" s="13"/>
      <c r="X62" s="13"/>
      <c r="Y62" s="13"/>
      <c r="Z62" s="13"/>
      <c r="AA62" s="13"/>
      <c r="AB62" s="13"/>
    </row>
    <row r="63" spans="1:28" ht="13.2">
      <c r="A63" s="53">
        <f t="shared" si="2"/>
        <v>62</v>
      </c>
      <c r="B63" s="13" t="s">
        <v>1210</v>
      </c>
      <c r="C63" s="16" t="s">
        <v>1137</v>
      </c>
      <c r="D63" s="16">
        <f t="shared" si="0"/>
        <v>1100</v>
      </c>
      <c r="E63" s="16">
        <f t="shared" si="1"/>
        <v>1592</v>
      </c>
      <c r="F63" s="16">
        <v>4</v>
      </c>
      <c r="G63" s="16" t="s">
        <v>1173</v>
      </c>
      <c r="H63" s="16" t="s">
        <v>1211</v>
      </c>
      <c r="I63" s="16" t="s">
        <v>1140</v>
      </c>
      <c r="J63" s="16"/>
      <c r="K63" s="13"/>
      <c r="L63" s="275">
        <v>161</v>
      </c>
      <c r="M63" s="13"/>
      <c r="N63" s="13"/>
      <c r="O63" s="13"/>
      <c r="P63" s="13"/>
      <c r="Q63" s="13"/>
      <c r="R63" s="13"/>
      <c r="S63" s="13"/>
      <c r="T63" s="13"/>
      <c r="U63" s="13"/>
      <c r="V63" s="13"/>
      <c r="W63" s="13"/>
      <c r="X63" s="13"/>
      <c r="Y63" s="13"/>
      <c r="Z63" s="13"/>
      <c r="AA63" s="13"/>
      <c r="AB63" s="13"/>
    </row>
    <row r="64" spans="1:28" ht="13.2">
      <c r="A64" s="53">
        <f t="shared" si="2"/>
        <v>63</v>
      </c>
      <c r="B64" s="13" t="s">
        <v>1212</v>
      </c>
      <c r="C64" s="16" t="s">
        <v>1126</v>
      </c>
      <c r="D64" s="16">
        <f t="shared" si="0"/>
        <v>300</v>
      </c>
      <c r="E64" s="16">
        <f t="shared" si="1"/>
        <v>374</v>
      </c>
      <c r="F64" s="16">
        <v>2</v>
      </c>
      <c r="G64" s="16" t="s">
        <v>1130</v>
      </c>
      <c r="H64" s="16"/>
      <c r="I64" s="16"/>
      <c r="J64" s="16"/>
      <c r="K64" s="13"/>
      <c r="L64" s="275">
        <v>161</v>
      </c>
      <c r="M64" s="13"/>
      <c r="N64" s="13"/>
      <c r="O64" s="13"/>
      <c r="P64" s="13"/>
      <c r="Q64" s="13"/>
      <c r="R64" s="13"/>
      <c r="S64" s="13"/>
      <c r="T64" s="13"/>
      <c r="U64" s="13"/>
      <c r="V64" s="13"/>
      <c r="W64" s="13"/>
      <c r="X64" s="13"/>
      <c r="Y64" s="13"/>
      <c r="Z64" s="13"/>
      <c r="AA64" s="13"/>
      <c r="AB64" s="13"/>
    </row>
    <row r="65" spans="1:28" ht="13.2">
      <c r="A65" s="53">
        <f t="shared" si="2"/>
        <v>64</v>
      </c>
      <c r="B65" s="13" t="s">
        <v>1213</v>
      </c>
      <c r="C65" s="16" t="s">
        <v>1126</v>
      </c>
      <c r="D65" s="16">
        <f t="shared" si="0"/>
        <v>300</v>
      </c>
      <c r="E65" s="16">
        <f t="shared" si="1"/>
        <v>386</v>
      </c>
      <c r="F65" s="16">
        <v>2</v>
      </c>
      <c r="G65" s="16" t="s">
        <v>1130</v>
      </c>
      <c r="H65" s="16" t="s">
        <v>1160</v>
      </c>
      <c r="I65" s="16"/>
      <c r="J65" s="16"/>
      <c r="K65" s="13"/>
      <c r="L65" s="275">
        <v>161</v>
      </c>
      <c r="M65" s="13"/>
      <c r="N65" s="13"/>
      <c r="O65" s="13"/>
      <c r="P65" s="13"/>
      <c r="Q65" s="13"/>
      <c r="R65" s="13"/>
      <c r="S65" s="13"/>
      <c r="T65" s="13"/>
      <c r="U65" s="13"/>
      <c r="V65" s="13"/>
      <c r="W65" s="13"/>
      <c r="X65" s="13"/>
      <c r="Y65" s="13"/>
      <c r="Z65" s="13"/>
      <c r="AA65" s="13"/>
      <c r="AB65" s="13"/>
    </row>
    <row r="66" spans="1:28" ht="13.2">
      <c r="A66" s="53">
        <f t="shared" si="2"/>
        <v>65</v>
      </c>
      <c r="B66" s="13" t="s">
        <v>1214</v>
      </c>
      <c r="C66" s="16" t="s">
        <v>1145</v>
      </c>
      <c r="D66" s="16">
        <f t="shared" si="0"/>
        <v>2000</v>
      </c>
      <c r="E66" s="16">
        <f t="shared" si="1"/>
        <v>3035</v>
      </c>
      <c r="F66" s="16">
        <v>5</v>
      </c>
      <c r="G66" s="16" t="s">
        <v>1130</v>
      </c>
      <c r="H66" s="16" t="s">
        <v>1160</v>
      </c>
      <c r="I66" s="16"/>
      <c r="J66" s="16"/>
      <c r="K66" s="13"/>
      <c r="L66" s="275">
        <v>162</v>
      </c>
      <c r="M66" s="13"/>
      <c r="N66" s="13"/>
      <c r="O66" s="13"/>
      <c r="P66" s="13"/>
      <c r="Q66" s="13"/>
      <c r="R66" s="13"/>
      <c r="S66" s="13"/>
      <c r="T66" s="13"/>
      <c r="U66" s="13"/>
      <c r="V66" s="13"/>
      <c r="W66" s="13"/>
      <c r="X66" s="13"/>
      <c r="Y66" s="13"/>
      <c r="Z66" s="13"/>
      <c r="AA66" s="13"/>
      <c r="AB66" s="13"/>
    </row>
    <row r="67" spans="1:28" ht="13.2">
      <c r="A67" s="53">
        <f t="shared" ref="A67:A130" si="3">IF(ISBLANK(B67),,A66+1)</f>
        <v>66</v>
      </c>
      <c r="B67" s="13" t="s">
        <v>1215</v>
      </c>
      <c r="C67" s="16" t="s">
        <v>1145</v>
      </c>
      <c r="D67" s="16">
        <f t="shared" si="0"/>
        <v>2000</v>
      </c>
      <c r="E67" s="16">
        <f t="shared" si="1"/>
        <v>3065</v>
      </c>
      <c r="F67" s="16">
        <v>5</v>
      </c>
      <c r="G67" s="16" t="s">
        <v>1173</v>
      </c>
      <c r="H67" s="16" t="s">
        <v>1211</v>
      </c>
      <c r="I67" s="16" t="s">
        <v>1140</v>
      </c>
      <c r="J67" s="16"/>
      <c r="K67" s="13"/>
      <c r="L67" s="275">
        <v>164</v>
      </c>
      <c r="M67" s="13"/>
      <c r="N67" s="13"/>
      <c r="O67" s="13"/>
      <c r="P67" s="13"/>
      <c r="Q67" s="13"/>
      <c r="R67" s="13"/>
      <c r="S67" s="13"/>
      <c r="T67" s="13"/>
      <c r="U67" s="13"/>
      <c r="V67" s="13"/>
      <c r="W67" s="13"/>
      <c r="X67" s="13"/>
      <c r="Y67" s="13"/>
      <c r="Z67" s="13"/>
      <c r="AA67" s="13"/>
      <c r="AB67" s="13"/>
    </row>
    <row r="68" spans="1:28" ht="13.2">
      <c r="A68" s="53">
        <f t="shared" si="3"/>
        <v>67</v>
      </c>
      <c r="B68" s="13" t="s">
        <v>1216</v>
      </c>
      <c r="C68" s="16" t="s">
        <v>1137</v>
      </c>
      <c r="D68" s="16">
        <f t="shared" si="0"/>
        <v>1100</v>
      </c>
      <c r="E68" s="16">
        <f t="shared" si="1"/>
        <v>1572</v>
      </c>
      <c r="F68" s="16">
        <v>4</v>
      </c>
      <c r="G68" s="16" t="s">
        <v>1127</v>
      </c>
      <c r="H68" s="16" t="s">
        <v>1151</v>
      </c>
      <c r="I68" s="16" t="s">
        <v>1140</v>
      </c>
      <c r="J68" s="16" t="s">
        <v>1154</v>
      </c>
      <c r="K68" s="13"/>
      <c r="L68" s="275">
        <v>165</v>
      </c>
      <c r="M68" s="13"/>
      <c r="N68" s="13"/>
      <c r="O68" s="13"/>
      <c r="P68" s="13"/>
      <c r="Q68" s="13"/>
      <c r="R68" s="13"/>
      <c r="S68" s="13"/>
      <c r="T68" s="13"/>
      <c r="U68" s="13"/>
      <c r="V68" s="13"/>
      <c r="W68" s="13"/>
      <c r="X68" s="13"/>
      <c r="Y68" s="13"/>
      <c r="Z68" s="13"/>
      <c r="AA68" s="13"/>
      <c r="AB68" s="13"/>
    </row>
    <row r="69" spans="1:28" ht="13.2">
      <c r="A69" s="53">
        <f t="shared" si="3"/>
        <v>68</v>
      </c>
      <c r="B69" s="13" t="s">
        <v>1217</v>
      </c>
      <c r="C69" s="16" t="s">
        <v>1135</v>
      </c>
      <c r="D69" s="16">
        <f t="shared" si="0"/>
        <v>700</v>
      </c>
      <c r="E69" s="16">
        <f t="shared" si="1"/>
        <v>952</v>
      </c>
      <c r="F69" s="16">
        <v>3</v>
      </c>
      <c r="G69" s="16" t="s">
        <v>1130</v>
      </c>
      <c r="H69" s="16"/>
      <c r="I69" s="16"/>
      <c r="J69" s="16"/>
      <c r="K69" s="13"/>
      <c r="L69" s="275">
        <v>165</v>
      </c>
      <c r="M69" s="13"/>
      <c r="N69" s="13"/>
      <c r="O69" s="13"/>
      <c r="P69" s="13"/>
      <c r="Q69" s="13"/>
      <c r="R69" s="13"/>
      <c r="S69" s="13"/>
      <c r="T69" s="13"/>
      <c r="U69" s="13"/>
      <c r="V69" s="13"/>
      <c r="W69" s="13"/>
      <c r="X69" s="13"/>
      <c r="Y69" s="13"/>
      <c r="Z69" s="13"/>
      <c r="AA69" s="13"/>
      <c r="AB69" s="13"/>
    </row>
    <row r="70" spans="1:28" ht="13.2">
      <c r="A70" s="53">
        <f t="shared" si="3"/>
        <v>69</v>
      </c>
      <c r="B70" s="13" t="s">
        <v>1218</v>
      </c>
      <c r="C70" s="16" t="s">
        <v>1137</v>
      </c>
      <c r="D70" s="16">
        <f t="shared" si="0"/>
        <v>1100</v>
      </c>
      <c r="E70" s="16">
        <f t="shared" si="1"/>
        <v>1572</v>
      </c>
      <c r="F70" s="16">
        <v>4</v>
      </c>
      <c r="G70" s="16" t="s">
        <v>1127</v>
      </c>
      <c r="H70" s="16" t="s">
        <v>1219</v>
      </c>
      <c r="I70" s="16" t="s">
        <v>1140</v>
      </c>
      <c r="J70" s="16"/>
      <c r="K70" s="13"/>
      <c r="L70" s="275">
        <v>165</v>
      </c>
      <c r="M70" s="13"/>
      <c r="N70" s="13"/>
      <c r="O70" s="13"/>
      <c r="P70" s="13"/>
      <c r="Q70" s="13"/>
      <c r="R70" s="13"/>
      <c r="S70" s="13"/>
      <c r="T70" s="13"/>
      <c r="U70" s="13"/>
      <c r="V70" s="13"/>
      <c r="W70" s="13"/>
      <c r="X70" s="13"/>
      <c r="Y70" s="13"/>
      <c r="Z70" s="13"/>
      <c r="AA70" s="13"/>
      <c r="AB70" s="13"/>
    </row>
    <row r="71" spans="1:28" ht="13.2">
      <c r="A71" s="53">
        <f t="shared" si="3"/>
        <v>70</v>
      </c>
      <c r="B71" s="13" t="s">
        <v>1220</v>
      </c>
      <c r="C71" s="16" t="s">
        <v>1135</v>
      </c>
      <c r="D71" s="16">
        <f t="shared" si="0"/>
        <v>700</v>
      </c>
      <c r="E71" s="16">
        <f t="shared" si="1"/>
        <v>952</v>
      </c>
      <c r="F71" s="16">
        <v>3</v>
      </c>
      <c r="G71" s="16" t="s">
        <v>1173</v>
      </c>
      <c r="H71" s="16" t="s">
        <v>1211</v>
      </c>
      <c r="I71" s="16"/>
      <c r="J71" s="16"/>
      <c r="K71" s="13"/>
      <c r="L71" s="275">
        <v>165</v>
      </c>
      <c r="M71" s="13"/>
      <c r="N71" s="13"/>
      <c r="O71" s="13"/>
      <c r="P71" s="13"/>
      <c r="Q71" s="13"/>
      <c r="R71" s="13"/>
      <c r="S71" s="13"/>
      <c r="T71" s="13"/>
      <c r="U71" s="13"/>
      <c r="V71" s="13"/>
      <c r="W71" s="13"/>
      <c r="X71" s="13"/>
      <c r="Y71" s="13"/>
      <c r="Z71" s="13"/>
      <c r="AA71" s="13"/>
      <c r="AB71" s="13"/>
    </row>
    <row r="72" spans="1:28" ht="13.2">
      <c r="A72" s="53">
        <f t="shared" si="3"/>
        <v>71</v>
      </c>
      <c r="B72" s="13" t="s">
        <v>1221</v>
      </c>
      <c r="C72" s="16" t="s">
        <v>1126</v>
      </c>
      <c r="D72" s="16">
        <f t="shared" si="0"/>
        <v>300</v>
      </c>
      <c r="E72" s="16">
        <f t="shared" si="1"/>
        <v>376</v>
      </c>
      <c r="F72" s="16">
        <v>2</v>
      </c>
      <c r="G72" s="16" t="s">
        <v>1130</v>
      </c>
      <c r="H72" s="16"/>
      <c r="I72" s="16"/>
      <c r="J72" s="16"/>
      <c r="K72" s="13"/>
      <c r="L72" s="275">
        <v>166</v>
      </c>
      <c r="M72" s="13"/>
      <c r="N72" s="13"/>
      <c r="O72" s="13"/>
      <c r="P72" s="13"/>
      <c r="Q72" s="13"/>
      <c r="R72" s="13"/>
      <c r="S72" s="13"/>
      <c r="T72" s="13"/>
      <c r="U72" s="13"/>
      <c r="V72" s="13"/>
      <c r="W72" s="13"/>
      <c r="X72" s="13"/>
      <c r="Y72" s="13"/>
      <c r="Z72" s="13"/>
      <c r="AA72" s="13"/>
      <c r="AB72" s="13"/>
    </row>
    <row r="73" spans="1:28" ht="13.2">
      <c r="A73" s="53">
        <f t="shared" si="3"/>
        <v>72</v>
      </c>
      <c r="B73" s="13" t="s">
        <v>1222</v>
      </c>
      <c r="C73" s="16" t="s">
        <v>1126</v>
      </c>
      <c r="D73" s="16">
        <f t="shared" si="0"/>
        <v>300</v>
      </c>
      <c r="E73" s="16">
        <f t="shared" si="1"/>
        <v>388</v>
      </c>
      <c r="F73" s="16">
        <v>2</v>
      </c>
      <c r="G73" s="16" t="s">
        <v>1130</v>
      </c>
      <c r="H73" s="16" t="s">
        <v>1160</v>
      </c>
      <c r="I73" s="16"/>
      <c r="J73" s="16"/>
      <c r="K73" s="13"/>
      <c r="L73" s="275">
        <v>166</v>
      </c>
      <c r="M73" s="13"/>
      <c r="N73" s="13"/>
      <c r="O73" s="13"/>
      <c r="P73" s="13"/>
      <c r="Q73" s="13"/>
      <c r="R73" s="13"/>
      <c r="S73" s="13"/>
      <c r="T73" s="13"/>
      <c r="U73" s="13"/>
      <c r="V73" s="13"/>
      <c r="W73" s="13"/>
      <c r="X73" s="13"/>
      <c r="Y73" s="13"/>
      <c r="Z73" s="13"/>
      <c r="AA73" s="13"/>
      <c r="AB73" s="13"/>
    </row>
    <row r="74" spans="1:28" ht="13.2">
      <c r="A74" s="53">
        <f t="shared" si="3"/>
        <v>73</v>
      </c>
      <c r="B74" s="13" t="s">
        <v>1223</v>
      </c>
      <c r="C74" s="16" t="s">
        <v>1126</v>
      </c>
      <c r="D74" s="16">
        <f t="shared" si="0"/>
        <v>300</v>
      </c>
      <c r="E74" s="16">
        <f t="shared" si="1"/>
        <v>378</v>
      </c>
      <c r="F74" s="16">
        <v>2</v>
      </c>
      <c r="G74" s="16" t="s">
        <v>1130</v>
      </c>
      <c r="H74" s="16" t="s">
        <v>1160</v>
      </c>
      <c r="I74" s="16"/>
      <c r="J74" s="16"/>
      <c r="K74" s="13"/>
      <c r="L74" s="275">
        <v>166</v>
      </c>
      <c r="M74" s="13"/>
      <c r="N74" s="13"/>
      <c r="O74" s="13"/>
      <c r="P74" s="13"/>
      <c r="Q74" s="13"/>
      <c r="R74" s="13"/>
      <c r="S74" s="13"/>
      <c r="T74" s="13"/>
      <c r="U74" s="13"/>
      <c r="V74" s="13"/>
      <c r="W74" s="13"/>
      <c r="X74" s="13"/>
      <c r="Y74" s="13"/>
      <c r="Z74" s="13"/>
      <c r="AA74" s="13"/>
      <c r="AB74" s="13"/>
    </row>
    <row r="75" spans="1:28" ht="13.2">
      <c r="A75" s="53">
        <f t="shared" si="3"/>
        <v>74</v>
      </c>
      <c r="B75" s="13" t="s">
        <v>1224</v>
      </c>
      <c r="C75" s="16" t="s">
        <v>1126</v>
      </c>
      <c r="D75" s="16">
        <f t="shared" si="0"/>
        <v>300</v>
      </c>
      <c r="E75" s="16">
        <f t="shared" si="1"/>
        <v>366</v>
      </c>
      <c r="F75" s="16">
        <v>2</v>
      </c>
      <c r="G75" s="16" t="s">
        <v>1130</v>
      </c>
      <c r="H75" s="16" t="s">
        <v>1160</v>
      </c>
      <c r="I75" s="16"/>
      <c r="J75" s="16"/>
      <c r="K75" s="13"/>
      <c r="L75" s="275">
        <v>166</v>
      </c>
      <c r="M75" s="13"/>
      <c r="N75" s="13"/>
      <c r="O75" s="13"/>
      <c r="P75" s="13"/>
      <c r="Q75" s="13"/>
      <c r="R75" s="13"/>
      <c r="S75" s="13"/>
      <c r="T75" s="13"/>
      <c r="U75" s="13"/>
      <c r="V75" s="13"/>
      <c r="W75" s="13"/>
      <c r="X75" s="13"/>
      <c r="Y75" s="13"/>
      <c r="Z75" s="13"/>
      <c r="AA75" s="13"/>
      <c r="AB75" s="13"/>
    </row>
    <row r="76" spans="1:28" ht="13.2">
      <c r="A76" s="53">
        <f t="shared" si="3"/>
        <v>75</v>
      </c>
      <c r="B76" s="13" t="s">
        <v>1225</v>
      </c>
      <c r="C76" s="16" t="s">
        <v>1137</v>
      </c>
      <c r="D76" s="16">
        <f t="shared" si="0"/>
        <v>1100</v>
      </c>
      <c r="E76" s="16">
        <f t="shared" si="1"/>
        <v>1576</v>
      </c>
      <c r="F76" s="16">
        <v>4</v>
      </c>
      <c r="G76" s="16" t="s">
        <v>1127</v>
      </c>
      <c r="H76" s="16" t="s">
        <v>1151</v>
      </c>
      <c r="I76" s="16"/>
      <c r="J76" s="16"/>
      <c r="K76" s="13"/>
      <c r="L76" s="275">
        <v>167</v>
      </c>
      <c r="M76" s="13"/>
      <c r="N76" s="13"/>
      <c r="O76" s="13"/>
      <c r="P76" s="13"/>
      <c r="Q76" s="13"/>
      <c r="R76" s="13"/>
      <c r="S76" s="13"/>
      <c r="T76" s="13"/>
      <c r="U76" s="13"/>
      <c r="V76" s="13"/>
      <c r="W76" s="13"/>
      <c r="X76" s="13"/>
      <c r="Y76" s="13"/>
      <c r="Z76" s="13"/>
      <c r="AA76" s="13"/>
      <c r="AB76" s="13"/>
    </row>
    <row r="77" spans="1:28" ht="13.2">
      <c r="A77" s="53">
        <f t="shared" si="3"/>
        <v>76</v>
      </c>
      <c r="B77" s="13" t="s">
        <v>1226</v>
      </c>
      <c r="C77" s="16" t="s">
        <v>1137</v>
      </c>
      <c r="D77" s="16">
        <f t="shared" si="0"/>
        <v>1100</v>
      </c>
      <c r="E77" s="16">
        <f t="shared" si="1"/>
        <v>1552</v>
      </c>
      <c r="F77" s="16">
        <v>4</v>
      </c>
      <c r="G77" s="16" t="s">
        <v>1173</v>
      </c>
      <c r="H77" s="16" t="s">
        <v>1227</v>
      </c>
      <c r="I77" s="16" t="s">
        <v>1140</v>
      </c>
      <c r="J77" s="16"/>
      <c r="K77" s="13" t="s">
        <v>1228</v>
      </c>
      <c r="L77" s="275">
        <v>167</v>
      </c>
      <c r="M77" s="13"/>
      <c r="N77" s="13"/>
      <c r="O77" s="13"/>
      <c r="P77" s="13"/>
      <c r="Q77" s="13"/>
      <c r="R77" s="13"/>
      <c r="S77" s="13"/>
      <c r="T77" s="13"/>
      <c r="U77" s="13"/>
      <c r="V77" s="13"/>
      <c r="W77" s="13"/>
      <c r="X77" s="13"/>
      <c r="Y77" s="13"/>
      <c r="Z77" s="13"/>
      <c r="AA77" s="13"/>
      <c r="AB77" s="13"/>
    </row>
    <row r="78" spans="1:28" ht="13.2">
      <c r="A78" s="53">
        <f t="shared" si="3"/>
        <v>77</v>
      </c>
      <c r="B78" s="13" t="s">
        <v>1229</v>
      </c>
      <c r="C78" s="16" t="s">
        <v>1137</v>
      </c>
      <c r="D78" s="16">
        <f t="shared" si="0"/>
        <v>1100</v>
      </c>
      <c r="E78" s="16">
        <f t="shared" si="1"/>
        <v>1576</v>
      </c>
      <c r="F78" s="16">
        <v>4</v>
      </c>
      <c r="G78" s="16" t="s">
        <v>1130</v>
      </c>
      <c r="H78" s="16"/>
      <c r="I78" s="16"/>
      <c r="J78" s="16"/>
      <c r="K78" s="13"/>
      <c r="L78" s="275">
        <v>167</v>
      </c>
      <c r="M78" s="13"/>
      <c r="N78" s="13"/>
      <c r="O78" s="13"/>
      <c r="P78" s="13"/>
      <c r="Q78" s="13"/>
      <c r="R78" s="13"/>
      <c r="S78" s="13"/>
      <c r="T78" s="13"/>
      <c r="U78" s="13"/>
      <c r="V78" s="13"/>
      <c r="W78" s="13"/>
      <c r="X78" s="13"/>
      <c r="Y78" s="13"/>
      <c r="Z78" s="13"/>
      <c r="AA78" s="13"/>
      <c r="AB78" s="13"/>
    </row>
    <row r="79" spans="1:28" ht="13.2">
      <c r="A79" s="53">
        <f t="shared" si="3"/>
        <v>78</v>
      </c>
      <c r="B79" s="13" t="s">
        <v>1230</v>
      </c>
      <c r="C79" s="16" t="s">
        <v>1145</v>
      </c>
      <c r="D79" s="16">
        <f t="shared" si="0"/>
        <v>2000</v>
      </c>
      <c r="E79" s="16">
        <f t="shared" si="1"/>
        <v>3015</v>
      </c>
      <c r="F79" s="16">
        <v>5</v>
      </c>
      <c r="G79" s="16" t="s">
        <v>1127</v>
      </c>
      <c r="H79" s="16" t="s">
        <v>1231</v>
      </c>
      <c r="I79" s="16" t="s">
        <v>1140</v>
      </c>
      <c r="J79" s="16"/>
      <c r="K79" s="13"/>
      <c r="L79" s="275">
        <v>167</v>
      </c>
      <c r="M79" s="13"/>
      <c r="N79" s="13"/>
      <c r="O79" s="13"/>
      <c r="P79" s="13"/>
      <c r="Q79" s="13"/>
      <c r="R79" s="13"/>
      <c r="S79" s="13"/>
      <c r="T79" s="13"/>
      <c r="U79" s="13"/>
      <c r="V79" s="13"/>
      <c r="W79" s="13"/>
      <c r="X79" s="13"/>
      <c r="Y79" s="13"/>
      <c r="Z79" s="13"/>
      <c r="AA79" s="13"/>
      <c r="AB79" s="13"/>
    </row>
    <row r="80" spans="1:28" ht="13.2">
      <c r="A80" s="53">
        <f t="shared" si="3"/>
        <v>79</v>
      </c>
      <c r="B80" s="13" t="s">
        <v>1232</v>
      </c>
      <c r="C80" s="16" t="s">
        <v>1126</v>
      </c>
      <c r="D80" s="16">
        <f t="shared" si="0"/>
        <v>300</v>
      </c>
      <c r="E80" s="16">
        <f t="shared" si="1"/>
        <v>380</v>
      </c>
      <c r="F80" s="16">
        <v>2</v>
      </c>
      <c r="G80" s="16" t="s">
        <v>1130</v>
      </c>
      <c r="H80" s="16" t="s">
        <v>1160</v>
      </c>
      <c r="I80" s="16"/>
      <c r="J80" s="16"/>
      <c r="K80" s="13"/>
      <c r="L80" s="275">
        <v>167</v>
      </c>
      <c r="M80" s="13"/>
      <c r="N80" s="13"/>
      <c r="O80" s="13"/>
      <c r="P80" s="13"/>
      <c r="Q80" s="13"/>
      <c r="R80" s="13"/>
      <c r="S80" s="13"/>
      <c r="T80" s="13"/>
      <c r="U80" s="13"/>
      <c r="V80" s="13"/>
      <c r="W80" s="13"/>
      <c r="X80" s="13"/>
      <c r="Y80" s="13"/>
      <c r="Z80" s="13"/>
      <c r="AA80" s="13"/>
      <c r="AB80" s="13"/>
    </row>
    <row r="81" spans="1:28" ht="13.2">
      <c r="A81" s="53">
        <f t="shared" si="3"/>
        <v>80</v>
      </c>
      <c r="B81" s="13" t="s">
        <v>1233</v>
      </c>
      <c r="C81" s="16" t="s">
        <v>1135</v>
      </c>
      <c r="D81" s="16">
        <f t="shared" si="0"/>
        <v>700</v>
      </c>
      <c r="E81" s="16">
        <f t="shared" si="1"/>
        <v>922</v>
      </c>
      <c r="F81" s="16">
        <v>3</v>
      </c>
      <c r="G81" s="16" t="s">
        <v>1234</v>
      </c>
      <c r="H81" s="16"/>
      <c r="I81" s="16"/>
      <c r="J81" s="16"/>
      <c r="K81" s="13"/>
      <c r="L81" s="275">
        <v>168</v>
      </c>
      <c r="M81" s="13"/>
      <c r="N81" s="13"/>
      <c r="O81" s="13"/>
      <c r="P81" s="13"/>
      <c r="Q81" s="13"/>
      <c r="R81" s="13"/>
      <c r="S81" s="13"/>
      <c r="T81" s="13"/>
      <c r="U81" s="13"/>
      <c r="V81" s="13"/>
      <c r="W81" s="13"/>
      <c r="X81" s="13"/>
      <c r="Y81" s="13"/>
      <c r="Z81" s="13"/>
      <c r="AA81" s="13"/>
      <c r="AB81" s="13"/>
    </row>
    <row r="82" spans="1:28" ht="13.2">
      <c r="A82" s="53">
        <f t="shared" si="3"/>
        <v>81</v>
      </c>
      <c r="B82" s="13" t="s">
        <v>1235</v>
      </c>
      <c r="C82" s="16" t="s">
        <v>1135</v>
      </c>
      <c r="D82" s="16">
        <f t="shared" si="0"/>
        <v>700</v>
      </c>
      <c r="E82" s="16">
        <f t="shared" si="1"/>
        <v>940</v>
      </c>
      <c r="F82" s="16">
        <v>3</v>
      </c>
      <c r="G82" s="16" t="s">
        <v>1127</v>
      </c>
      <c r="H82" s="16" t="s">
        <v>1236</v>
      </c>
      <c r="I82" s="16"/>
      <c r="J82" s="16"/>
      <c r="K82" s="13"/>
      <c r="L82" s="275">
        <v>168</v>
      </c>
      <c r="M82" s="13"/>
      <c r="N82" s="13"/>
      <c r="O82" s="13"/>
      <c r="P82" s="13"/>
      <c r="Q82" s="13"/>
      <c r="R82" s="13"/>
      <c r="S82" s="13"/>
      <c r="T82" s="13"/>
      <c r="U82" s="13"/>
      <c r="V82" s="13"/>
      <c r="W82" s="13"/>
      <c r="X82" s="13"/>
      <c r="Y82" s="13"/>
      <c r="Z82" s="13"/>
      <c r="AA82" s="13"/>
      <c r="AB82" s="13"/>
    </row>
    <row r="83" spans="1:28" ht="13.2">
      <c r="A83" s="53">
        <f t="shared" si="3"/>
        <v>82</v>
      </c>
      <c r="B83" s="13" t="s">
        <v>1237</v>
      </c>
      <c r="C83" s="16" t="s">
        <v>1126</v>
      </c>
      <c r="D83" s="16">
        <f t="shared" si="0"/>
        <v>300</v>
      </c>
      <c r="E83" s="16">
        <f t="shared" si="1"/>
        <v>368</v>
      </c>
      <c r="F83" s="16">
        <v>2</v>
      </c>
      <c r="G83" s="16" t="s">
        <v>1130</v>
      </c>
      <c r="H83" s="16"/>
      <c r="I83" s="16"/>
      <c r="J83" s="16"/>
      <c r="K83" s="13"/>
      <c r="L83" s="275">
        <v>168</v>
      </c>
      <c r="M83" s="13"/>
      <c r="N83" s="13"/>
      <c r="O83" s="13"/>
      <c r="P83" s="13"/>
      <c r="Q83" s="13"/>
      <c r="R83" s="13"/>
      <c r="S83" s="13"/>
      <c r="T83" s="13"/>
      <c r="U83" s="13"/>
      <c r="V83" s="13"/>
      <c r="W83" s="13"/>
      <c r="X83" s="13"/>
      <c r="Y83" s="13"/>
      <c r="Z83" s="13"/>
      <c r="AA83" s="13"/>
      <c r="AB83" s="13"/>
    </row>
    <row r="84" spans="1:28" ht="13.2">
      <c r="A84" s="53">
        <f t="shared" si="3"/>
        <v>83</v>
      </c>
      <c r="B84" s="13" t="s">
        <v>1238</v>
      </c>
      <c r="C84" s="16" t="s">
        <v>1126</v>
      </c>
      <c r="D84" s="16">
        <f t="shared" si="0"/>
        <v>300</v>
      </c>
      <c r="E84" s="16">
        <f t="shared" si="1"/>
        <v>380</v>
      </c>
      <c r="F84" s="16">
        <v>2</v>
      </c>
      <c r="G84" s="16" t="s">
        <v>1130</v>
      </c>
      <c r="H84" s="16" t="s">
        <v>1190</v>
      </c>
      <c r="I84" s="16" t="s">
        <v>1140</v>
      </c>
      <c r="J84" s="16"/>
      <c r="K84" s="13"/>
      <c r="L84" s="275">
        <v>168</v>
      </c>
      <c r="M84" s="13"/>
      <c r="N84" s="13"/>
      <c r="O84" s="13"/>
      <c r="P84" s="13"/>
      <c r="Q84" s="13"/>
      <c r="R84" s="13"/>
      <c r="S84" s="13"/>
      <c r="T84" s="13"/>
      <c r="U84" s="13"/>
      <c r="V84" s="13"/>
      <c r="W84" s="13"/>
      <c r="X84" s="13"/>
      <c r="Y84" s="13"/>
      <c r="Z84" s="13"/>
      <c r="AA84" s="13"/>
      <c r="AB84" s="13"/>
    </row>
    <row r="85" spans="1:28" ht="13.2">
      <c r="A85" s="53">
        <f t="shared" si="3"/>
        <v>84</v>
      </c>
      <c r="B85" s="13" t="s">
        <v>1239</v>
      </c>
      <c r="C85" s="16" t="s">
        <v>1126</v>
      </c>
      <c r="D85" s="16">
        <f t="shared" si="0"/>
        <v>300</v>
      </c>
      <c r="E85" s="16">
        <f t="shared" si="1"/>
        <v>368</v>
      </c>
      <c r="F85" s="16">
        <v>2</v>
      </c>
      <c r="G85" s="16" t="s">
        <v>1130</v>
      </c>
      <c r="H85" s="16" t="s">
        <v>1190</v>
      </c>
      <c r="I85" s="16"/>
      <c r="J85" s="16"/>
      <c r="K85" s="13"/>
      <c r="L85" s="275">
        <v>168</v>
      </c>
      <c r="M85" s="13"/>
      <c r="N85" s="13"/>
      <c r="O85" s="13"/>
      <c r="P85" s="13"/>
      <c r="Q85" s="13"/>
      <c r="R85" s="13"/>
      <c r="S85" s="13"/>
      <c r="T85" s="13"/>
      <c r="U85" s="13"/>
      <c r="V85" s="13"/>
      <c r="W85" s="13"/>
      <c r="X85" s="13"/>
      <c r="Y85" s="13"/>
      <c r="Z85" s="13"/>
      <c r="AA85" s="13"/>
      <c r="AB85" s="13"/>
    </row>
    <row r="86" spans="1:28" ht="13.2">
      <c r="A86" s="53">
        <f t="shared" si="3"/>
        <v>85</v>
      </c>
      <c r="B86" s="13" t="s">
        <v>1240</v>
      </c>
      <c r="C86" s="16" t="s">
        <v>1126</v>
      </c>
      <c r="D86" s="16">
        <f t="shared" si="0"/>
        <v>300</v>
      </c>
      <c r="E86" s="16">
        <f t="shared" si="1"/>
        <v>382</v>
      </c>
      <c r="F86" s="16">
        <v>2</v>
      </c>
      <c r="G86" s="16" t="s">
        <v>1130</v>
      </c>
      <c r="H86" s="16" t="s">
        <v>1190</v>
      </c>
      <c r="I86" s="16" t="s">
        <v>1140</v>
      </c>
      <c r="J86" s="16"/>
      <c r="K86" s="13"/>
      <c r="L86" s="275">
        <v>168</v>
      </c>
      <c r="M86" s="13"/>
      <c r="N86" s="13"/>
      <c r="O86" s="13"/>
      <c r="P86" s="13"/>
      <c r="Q86" s="13"/>
      <c r="R86" s="13"/>
      <c r="S86" s="13"/>
      <c r="T86" s="13"/>
      <c r="U86" s="13"/>
      <c r="V86" s="13"/>
      <c r="W86" s="13"/>
      <c r="X86" s="13"/>
      <c r="Y86" s="13"/>
      <c r="Z86" s="13"/>
      <c r="AA86" s="13"/>
      <c r="AB86" s="13"/>
    </row>
    <row r="87" spans="1:28" ht="13.2">
      <c r="A87" s="53">
        <f t="shared" si="3"/>
        <v>86</v>
      </c>
      <c r="B87" s="13" t="s">
        <v>1241</v>
      </c>
      <c r="C87" s="16" t="s">
        <v>1135</v>
      </c>
      <c r="D87" s="16">
        <f t="shared" si="0"/>
        <v>700</v>
      </c>
      <c r="E87" s="16">
        <f t="shared" si="1"/>
        <v>925</v>
      </c>
      <c r="F87" s="16">
        <v>3</v>
      </c>
      <c r="G87" s="16" t="s">
        <v>1130</v>
      </c>
      <c r="H87" s="16"/>
      <c r="I87" s="16"/>
      <c r="J87" s="16"/>
      <c r="K87" s="13"/>
      <c r="L87" s="275">
        <v>169</v>
      </c>
      <c r="M87" s="13"/>
      <c r="N87" s="13"/>
      <c r="O87" s="13"/>
      <c r="P87" s="13"/>
      <c r="Q87" s="13"/>
      <c r="R87" s="13"/>
      <c r="S87" s="13"/>
      <c r="T87" s="13"/>
      <c r="U87" s="13"/>
      <c r="V87" s="13"/>
      <c r="W87" s="13"/>
      <c r="X87" s="13"/>
      <c r="Y87" s="13"/>
      <c r="Z87" s="13"/>
      <c r="AA87" s="13"/>
      <c r="AB87" s="13"/>
    </row>
    <row r="88" spans="1:28" ht="13.2">
      <c r="A88" s="53">
        <f t="shared" si="3"/>
        <v>87</v>
      </c>
      <c r="B88" s="13" t="s">
        <v>1242</v>
      </c>
      <c r="C88" s="16" t="s">
        <v>1135</v>
      </c>
      <c r="D88" s="16">
        <f t="shared" si="0"/>
        <v>700</v>
      </c>
      <c r="E88" s="16">
        <f t="shared" si="1"/>
        <v>943</v>
      </c>
      <c r="F88" s="16">
        <v>3</v>
      </c>
      <c r="G88" s="16" t="s">
        <v>1130</v>
      </c>
      <c r="H88" s="16"/>
      <c r="I88" s="16"/>
      <c r="J88" s="16"/>
      <c r="K88" s="13"/>
      <c r="L88" s="275">
        <v>169</v>
      </c>
      <c r="M88" s="13"/>
      <c r="N88" s="13"/>
      <c r="O88" s="13"/>
      <c r="P88" s="13"/>
      <c r="Q88" s="13"/>
      <c r="R88" s="13"/>
      <c r="S88" s="13"/>
      <c r="T88" s="13"/>
      <c r="U88" s="13"/>
      <c r="V88" s="13"/>
      <c r="W88" s="13"/>
      <c r="X88" s="13"/>
      <c r="Y88" s="13"/>
      <c r="Z88" s="13"/>
      <c r="AA88" s="13"/>
      <c r="AB88" s="13"/>
    </row>
    <row r="89" spans="1:28" ht="13.2">
      <c r="A89" s="53">
        <f t="shared" si="3"/>
        <v>88</v>
      </c>
      <c r="B89" s="13" t="s">
        <v>1243</v>
      </c>
      <c r="C89" s="16" t="s">
        <v>1135</v>
      </c>
      <c r="D89" s="16">
        <f t="shared" si="0"/>
        <v>700</v>
      </c>
      <c r="E89" s="16">
        <f t="shared" si="1"/>
        <v>925</v>
      </c>
      <c r="F89" s="16">
        <v>3</v>
      </c>
      <c r="G89" s="16" t="s">
        <v>1130</v>
      </c>
      <c r="H89" s="16"/>
      <c r="I89" s="16"/>
      <c r="J89" s="16"/>
      <c r="K89" s="13"/>
      <c r="L89" s="275">
        <v>169</v>
      </c>
      <c r="M89" s="13"/>
      <c r="N89" s="13"/>
      <c r="O89" s="13"/>
      <c r="P89" s="13"/>
      <c r="Q89" s="13"/>
      <c r="R89" s="13"/>
      <c r="S89" s="13"/>
      <c r="T89" s="13"/>
      <c r="U89" s="13"/>
      <c r="V89" s="13"/>
      <c r="W89" s="13"/>
      <c r="X89" s="13"/>
      <c r="Y89" s="13"/>
      <c r="Z89" s="13"/>
      <c r="AA89" s="13"/>
      <c r="AB89" s="13"/>
    </row>
    <row r="90" spans="1:28" ht="13.2">
      <c r="A90" s="53">
        <f t="shared" si="3"/>
        <v>89</v>
      </c>
      <c r="B90" s="13" t="s">
        <v>1244</v>
      </c>
      <c r="C90" s="16" t="s">
        <v>1135</v>
      </c>
      <c r="D90" s="16">
        <f t="shared" si="0"/>
        <v>700</v>
      </c>
      <c r="E90" s="16">
        <f t="shared" si="1"/>
        <v>943</v>
      </c>
      <c r="F90" s="16">
        <v>3</v>
      </c>
      <c r="G90" s="16" t="s">
        <v>1130</v>
      </c>
      <c r="H90" s="16"/>
      <c r="I90" s="16"/>
      <c r="J90" s="16"/>
      <c r="K90" s="13"/>
      <c r="L90" s="275">
        <v>169</v>
      </c>
      <c r="M90" s="13"/>
      <c r="N90" s="13"/>
      <c r="O90" s="13"/>
      <c r="P90" s="13"/>
      <c r="Q90" s="13"/>
      <c r="R90" s="13"/>
      <c r="S90" s="13"/>
      <c r="T90" s="13"/>
      <c r="U90" s="13"/>
      <c r="V90" s="13"/>
      <c r="W90" s="13"/>
      <c r="X90" s="13"/>
      <c r="Y90" s="13"/>
      <c r="Z90" s="13"/>
      <c r="AA90" s="13"/>
      <c r="AB90" s="13"/>
    </row>
    <row r="91" spans="1:28" ht="13.2">
      <c r="A91" s="53">
        <f t="shared" si="3"/>
        <v>90</v>
      </c>
      <c r="B91" s="13" t="s">
        <v>1245</v>
      </c>
      <c r="C91" s="16" t="s">
        <v>1135</v>
      </c>
      <c r="D91" s="16">
        <f t="shared" si="0"/>
        <v>700</v>
      </c>
      <c r="E91" s="16">
        <f t="shared" si="1"/>
        <v>925</v>
      </c>
      <c r="F91" s="16">
        <v>3</v>
      </c>
      <c r="G91" s="16" t="s">
        <v>1130</v>
      </c>
      <c r="H91" s="16"/>
      <c r="I91" s="16"/>
      <c r="J91" s="16"/>
      <c r="K91" s="13"/>
      <c r="L91" s="275">
        <v>169</v>
      </c>
      <c r="M91" s="13"/>
      <c r="N91" s="13"/>
      <c r="O91" s="13"/>
      <c r="P91" s="13"/>
      <c r="Q91" s="13"/>
      <c r="R91" s="13"/>
      <c r="S91" s="13"/>
      <c r="T91" s="13"/>
      <c r="U91" s="13"/>
      <c r="V91" s="13"/>
      <c r="W91" s="13"/>
      <c r="X91" s="13"/>
      <c r="Y91" s="13"/>
      <c r="Z91" s="13"/>
      <c r="AA91" s="13"/>
      <c r="AB91" s="13"/>
    </row>
    <row r="92" spans="1:28" ht="13.2">
      <c r="A92" s="53">
        <f t="shared" si="3"/>
        <v>91</v>
      </c>
      <c r="B92" s="13" t="s">
        <v>1246</v>
      </c>
      <c r="C92" s="16" t="s">
        <v>1137</v>
      </c>
      <c r="D92" s="16">
        <f t="shared" si="0"/>
        <v>1100</v>
      </c>
      <c r="E92" s="16">
        <f t="shared" si="1"/>
        <v>1588</v>
      </c>
      <c r="F92" s="16">
        <v>4</v>
      </c>
      <c r="G92" s="16" t="s">
        <v>1130</v>
      </c>
      <c r="H92" s="16"/>
      <c r="I92" s="16"/>
      <c r="J92" s="16"/>
      <c r="K92" s="13"/>
      <c r="L92" s="275">
        <v>169</v>
      </c>
      <c r="M92" s="13"/>
      <c r="N92" s="13"/>
      <c r="O92" s="13"/>
      <c r="P92" s="13"/>
      <c r="Q92" s="13"/>
      <c r="R92" s="13"/>
      <c r="S92" s="13"/>
      <c r="T92" s="13"/>
      <c r="U92" s="13"/>
      <c r="V92" s="13"/>
      <c r="W92" s="13"/>
      <c r="X92" s="13"/>
      <c r="Y92" s="13"/>
      <c r="Z92" s="13"/>
      <c r="AA92" s="13"/>
      <c r="AB92" s="13"/>
    </row>
    <row r="93" spans="1:28" ht="13.2">
      <c r="A93" s="53">
        <f t="shared" si="3"/>
        <v>92</v>
      </c>
      <c r="B93" s="13" t="s">
        <v>1247</v>
      </c>
      <c r="C93" s="16" t="s">
        <v>1135</v>
      </c>
      <c r="D93" s="16">
        <f t="shared" si="0"/>
        <v>700</v>
      </c>
      <c r="E93" s="16">
        <f t="shared" si="1"/>
        <v>928</v>
      </c>
      <c r="F93" s="16">
        <v>3</v>
      </c>
      <c r="G93" s="16" t="s">
        <v>1130</v>
      </c>
      <c r="H93" s="16"/>
      <c r="I93" s="16"/>
      <c r="J93" s="16"/>
      <c r="K93" s="13"/>
      <c r="L93" s="275">
        <v>169</v>
      </c>
      <c r="M93" s="13"/>
      <c r="N93" s="13"/>
      <c r="O93" s="13"/>
      <c r="P93" s="13"/>
      <c r="Q93" s="13"/>
      <c r="R93" s="13"/>
      <c r="S93" s="13"/>
      <c r="T93" s="13"/>
      <c r="U93" s="13"/>
      <c r="V93" s="13"/>
      <c r="W93" s="13"/>
      <c r="X93" s="13"/>
      <c r="Y93" s="13"/>
      <c r="Z93" s="13"/>
      <c r="AA93" s="13"/>
      <c r="AB93" s="13"/>
    </row>
    <row r="94" spans="1:28" ht="13.2">
      <c r="A94" s="53">
        <f t="shared" si="3"/>
        <v>93</v>
      </c>
      <c r="B94" s="13" t="s">
        <v>1248</v>
      </c>
      <c r="C94" s="16" t="s">
        <v>1135</v>
      </c>
      <c r="D94" s="16">
        <f t="shared" si="0"/>
        <v>700</v>
      </c>
      <c r="E94" s="16">
        <f t="shared" si="1"/>
        <v>946</v>
      </c>
      <c r="F94" s="16">
        <v>3</v>
      </c>
      <c r="G94" s="16" t="s">
        <v>1130</v>
      </c>
      <c r="H94" s="16"/>
      <c r="I94" s="16"/>
      <c r="J94" s="16"/>
      <c r="K94" s="13"/>
      <c r="L94" s="275">
        <v>169</v>
      </c>
      <c r="M94" s="13"/>
      <c r="N94" s="13"/>
      <c r="O94" s="13"/>
      <c r="P94" s="13"/>
      <c r="Q94" s="13"/>
      <c r="R94" s="13"/>
      <c r="S94" s="13"/>
      <c r="T94" s="13"/>
      <c r="U94" s="13"/>
      <c r="V94" s="13"/>
      <c r="W94" s="13"/>
      <c r="X94" s="13"/>
      <c r="Y94" s="13"/>
      <c r="Z94" s="13"/>
      <c r="AA94" s="13"/>
      <c r="AB94" s="13"/>
    </row>
    <row r="95" spans="1:28" ht="13.2">
      <c r="A95" s="53">
        <f t="shared" si="3"/>
        <v>94</v>
      </c>
      <c r="B95" s="13" t="s">
        <v>1249</v>
      </c>
      <c r="C95" s="16" t="s">
        <v>1126</v>
      </c>
      <c r="D95" s="16">
        <f t="shared" si="0"/>
        <v>300</v>
      </c>
      <c r="E95" s="16">
        <f t="shared" si="1"/>
        <v>372</v>
      </c>
      <c r="F95" s="16">
        <v>2</v>
      </c>
      <c r="G95" s="16" t="s">
        <v>1130</v>
      </c>
      <c r="H95" s="16"/>
      <c r="I95" s="16"/>
      <c r="J95" s="16"/>
      <c r="K95" s="13"/>
      <c r="L95" s="275">
        <v>169</v>
      </c>
      <c r="M95" s="13"/>
      <c r="N95" s="13"/>
      <c r="O95" s="13"/>
      <c r="P95" s="13"/>
      <c r="Q95" s="13"/>
      <c r="R95" s="13"/>
      <c r="S95" s="13"/>
      <c r="T95" s="13"/>
      <c r="U95" s="13"/>
      <c r="V95" s="13"/>
      <c r="W95" s="13"/>
      <c r="X95" s="13"/>
      <c r="Y95" s="13"/>
      <c r="Z95" s="13"/>
      <c r="AA95" s="13"/>
      <c r="AB95" s="13"/>
    </row>
    <row r="96" spans="1:28" ht="13.2">
      <c r="A96" s="53">
        <f t="shared" si="3"/>
        <v>95</v>
      </c>
      <c r="B96" s="13" t="s">
        <v>1250</v>
      </c>
      <c r="C96" s="16" t="s">
        <v>1135</v>
      </c>
      <c r="D96" s="16">
        <f t="shared" si="0"/>
        <v>700</v>
      </c>
      <c r="E96" s="16">
        <f t="shared" si="1"/>
        <v>946</v>
      </c>
      <c r="F96" s="16">
        <v>3</v>
      </c>
      <c r="G96" s="16" t="s">
        <v>1173</v>
      </c>
      <c r="H96" s="16" t="s">
        <v>1211</v>
      </c>
      <c r="I96" s="16" t="s">
        <v>1140</v>
      </c>
      <c r="J96" s="16"/>
      <c r="K96" s="13"/>
      <c r="L96" s="275">
        <v>170</v>
      </c>
      <c r="M96" s="13"/>
      <c r="N96" s="13"/>
      <c r="O96" s="13"/>
      <c r="P96" s="13"/>
      <c r="Q96" s="13"/>
      <c r="R96" s="13"/>
      <c r="S96" s="13"/>
      <c r="T96" s="13"/>
      <c r="U96" s="13"/>
      <c r="V96" s="13"/>
      <c r="W96" s="13"/>
      <c r="X96" s="13"/>
      <c r="Y96" s="13"/>
      <c r="Z96" s="13"/>
      <c r="AA96" s="13"/>
      <c r="AB96" s="13"/>
    </row>
    <row r="97" spans="1:28" ht="13.2">
      <c r="A97" s="53">
        <f t="shared" si="3"/>
        <v>96</v>
      </c>
      <c r="B97" s="13" t="s">
        <v>1251</v>
      </c>
      <c r="C97" s="16" t="s">
        <v>1135</v>
      </c>
      <c r="D97" s="16">
        <f t="shared" si="0"/>
        <v>700</v>
      </c>
      <c r="E97" s="16">
        <f t="shared" si="1"/>
        <v>928</v>
      </c>
      <c r="F97" s="16">
        <v>3</v>
      </c>
      <c r="G97" s="16" t="s">
        <v>1130</v>
      </c>
      <c r="H97" s="16"/>
      <c r="I97" s="16"/>
      <c r="J97" s="16"/>
      <c r="K97" s="13"/>
      <c r="L97" s="275">
        <v>170</v>
      </c>
      <c r="M97" s="13"/>
      <c r="N97" s="13"/>
      <c r="O97" s="13"/>
      <c r="P97" s="13"/>
      <c r="Q97" s="13"/>
      <c r="R97" s="13"/>
      <c r="S97" s="13"/>
      <c r="T97" s="13"/>
      <c r="U97" s="13"/>
      <c r="V97" s="13"/>
      <c r="W97" s="13"/>
      <c r="X97" s="13"/>
      <c r="Y97" s="13"/>
      <c r="Z97" s="13"/>
      <c r="AA97" s="13"/>
      <c r="AB97" s="13"/>
    </row>
    <row r="98" spans="1:28" ht="13.2">
      <c r="A98" s="53">
        <f t="shared" si="3"/>
        <v>97</v>
      </c>
      <c r="B98" s="13" t="s">
        <v>1252</v>
      </c>
      <c r="C98" s="16" t="s">
        <v>1137</v>
      </c>
      <c r="D98" s="16">
        <f t="shared" si="0"/>
        <v>1100</v>
      </c>
      <c r="E98" s="16">
        <f t="shared" si="1"/>
        <v>1592</v>
      </c>
      <c r="F98" s="16">
        <v>4</v>
      </c>
      <c r="G98" s="16" t="s">
        <v>1173</v>
      </c>
      <c r="H98" s="16" t="s">
        <v>1211</v>
      </c>
      <c r="I98" s="16" t="s">
        <v>1140</v>
      </c>
      <c r="J98" s="16"/>
      <c r="K98" s="13"/>
      <c r="L98" s="275">
        <v>171</v>
      </c>
      <c r="M98" s="13"/>
      <c r="N98" s="13"/>
      <c r="O98" s="13"/>
      <c r="P98" s="13"/>
      <c r="Q98" s="13"/>
      <c r="R98" s="13"/>
      <c r="S98" s="13"/>
      <c r="T98" s="13"/>
      <c r="U98" s="13"/>
      <c r="V98" s="13"/>
      <c r="W98" s="13"/>
      <c r="X98" s="13"/>
      <c r="Y98" s="13"/>
      <c r="Z98" s="13"/>
      <c r="AA98" s="13"/>
      <c r="AB98" s="13"/>
    </row>
    <row r="99" spans="1:28" ht="13.2">
      <c r="A99" s="53">
        <f t="shared" si="3"/>
        <v>98</v>
      </c>
      <c r="B99" s="13" t="s">
        <v>1253</v>
      </c>
      <c r="C99" s="16" t="s">
        <v>1126</v>
      </c>
      <c r="D99" s="16">
        <f t="shared" si="0"/>
        <v>300</v>
      </c>
      <c r="E99" s="16">
        <f t="shared" si="1"/>
        <v>374</v>
      </c>
      <c r="F99" s="16">
        <v>2</v>
      </c>
      <c r="G99" s="16" t="s">
        <v>1130</v>
      </c>
      <c r="H99" s="16" t="s">
        <v>1254</v>
      </c>
      <c r="I99" s="16" t="s">
        <v>1140</v>
      </c>
      <c r="J99" s="16"/>
      <c r="K99" s="13"/>
      <c r="L99" s="275">
        <v>171</v>
      </c>
      <c r="M99" s="13"/>
      <c r="N99" s="13"/>
      <c r="O99" s="13"/>
      <c r="P99" s="13"/>
      <c r="Q99" s="13"/>
      <c r="R99" s="13"/>
      <c r="S99" s="13"/>
      <c r="T99" s="13"/>
      <c r="U99" s="13"/>
      <c r="V99" s="13"/>
      <c r="W99" s="13"/>
      <c r="X99" s="13"/>
      <c r="Y99" s="13"/>
      <c r="Z99" s="13"/>
      <c r="AA99" s="13"/>
      <c r="AB99" s="13"/>
    </row>
    <row r="100" spans="1:28" ht="13.2">
      <c r="A100" s="53">
        <f t="shared" si="3"/>
        <v>99</v>
      </c>
      <c r="B100" s="13" t="s">
        <v>1255</v>
      </c>
      <c r="C100" s="16" t="s">
        <v>1126</v>
      </c>
      <c r="D100" s="16">
        <f t="shared" si="0"/>
        <v>300</v>
      </c>
      <c r="E100" s="16">
        <f t="shared" si="1"/>
        <v>386</v>
      </c>
      <c r="F100" s="16">
        <v>2</v>
      </c>
      <c r="G100" s="16" t="s">
        <v>1130</v>
      </c>
      <c r="H100" s="16" t="s">
        <v>1160</v>
      </c>
      <c r="I100" s="16"/>
      <c r="J100" s="16"/>
      <c r="K100" s="13"/>
      <c r="L100" s="275">
        <v>171</v>
      </c>
      <c r="M100" s="13"/>
      <c r="N100" s="13"/>
      <c r="O100" s="13"/>
      <c r="P100" s="13"/>
      <c r="Q100" s="13"/>
      <c r="R100" s="13"/>
      <c r="S100" s="13"/>
      <c r="T100" s="13"/>
      <c r="U100" s="13"/>
      <c r="V100" s="13"/>
      <c r="W100" s="13"/>
      <c r="X100" s="13"/>
      <c r="Y100" s="13"/>
      <c r="Z100" s="13"/>
      <c r="AA100" s="13"/>
      <c r="AB100" s="13"/>
    </row>
    <row r="101" spans="1:28" ht="13.2">
      <c r="A101" s="53">
        <f t="shared" si="3"/>
        <v>100</v>
      </c>
      <c r="B101" s="13" t="s">
        <v>1256</v>
      </c>
      <c r="C101" s="16" t="s">
        <v>1135</v>
      </c>
      <c r="D101" s="16">
        <f t="shared" si="0"/>
        <v>700</v>
      </c>
      <c r="E101" s="16">
        <f t="shared" si="1"/>
        <v>931</v>
      </c>
      <c r="F101" s="16">
        <v>3</v>
      </c>
      <c r="G101" s="16" t="s">
        <v>1130</v>
      </c>
      <c r="H101" s="16"/>
      <c r="I101" s="16" t="s">
        <v>1140</v>
      </c>
      <c r="J101" s="16"/>
      <c r="K101" s="13"/>
      <c r="L101" s="275">
        <v>172</v>
      </c>
      <c r="M101" s="13"/>
      <c r="N101" s="13"/>
      <c r="O101" s="13"/>
      <c r="P101" s="13"/>
      <c r="Q101" s="13"/>
      <c r="R101" s="13"/>
      <c r="S101" s="13"/>
      <c r="T101" s="13"/>
      <c r="U101" s="13"/>
      <c r="V101" s="13"/>
      <c r="W101" s="13"/>
      <c r="X101" s="13"/>
      <c r="Y101" s="13"/>
      <c r="Z101" s="13"/>
      <c r="AA101" s="13"/>
      <c r="AB101" s="13"/>
    </row>
    <row r="102" spans="1:28" ht="13.2">
      <c r="A102" s="53">
        <f t="shared" si="3"/>
        <v>101</v>
      </c>
      <c r="B102" s="13" t="s">
        <v>1257</v>
      </c>
      <c r="C102" s="16" t="s">
        <v>1135</v>
      </c>
      <c r="D102" s="16">
        <f t="shared" si="0"/>
        <v>700</v>
      </c>
      <c r="E102" s="16">
        <f t="shared" si="1"/>
        <v>949</v>
      </c>
      <c r="F102" s="16">
        <v>3</v>
      </c>
      <c r="G102" s="16" t="s">
        <v>1173</v>
      </c>
      <c r="H102" s="16" t="s">
        <v>1258</v>
      </c>
      <c r="I102" s="16"/>
      <c r="J102" s="16"/>
      <c r="K102" s="13"/>
      <c r="L102" s="275">
        <v>172</v>
      </c>
      <c r="M102" s="13"/>
      <c r="N102" s="13"/>
      <c r="O102" s="13"/>
      <c r="P102" s="13"/>
      <c r="Q102" s="13"/>
      <c r="R102" s="13"/>
      <c r="S102" s="13"/>
      <c r="T102" s="13"/>
      <c r="U102" s="13"/>
      <c r="V102" s="13"/>
      <c r="W102" s="13"/>
      <c r="X102" s="13"/>
      <c r="Y102" s="13"/>
      <c r="Z102" s="13"/>
      <c r="AA102" s="13"/>
      <c r="AB102" s="13"/>
    </row>
    <row r="103" spans="1:28" ht="13.2">
      <c r="A103" s="53">
        <f t="shared" si="3"/>
        <v>102</v>
      </c>
      <c r="B103" s="13" t="s">
        <v>1259</v>
      </c>
      <c r="C103" s="16" t="s">
        <v>1135</v>
      </c>
      <c r="D103" s="16">
        <f t="shared" si="0"/>
        <v>700</v>
      </c>
      <c r="E103" s="16">
        <f t="shared" si="1"/>
        <v>931</v>
      </c>
      <c r="F103" s="16">
        <v>3</v>
      </c>
      <c r="G103" s="16" t="s">
        <v>1127</v>
      </c>
      <c r="H103" s="16" t="s">
        <v>1260</v>
      </c>
      <c r="I103" s="16"/>
      <c r="J103" s="16"/>
      <c r="K103" s="13"/>
      <c r="L103" s="275">
        <v>172</v>
      </c>
      <c r="M103" s="13"/>
      <c r="N103" s="13"/>
      <c r="O103" s="13"/>
      <c r="P103" s="13"/>
      <c r="Q103" s="13"/>
      <c r="R103" s="13"/>
      <c r="S103" s="13"/>
      <c r="T103" s="13"/>
      <c r="U103" s="13"/>
      <c r="V103" s="13"/>
      <c r="W103" s="13"/>
      <c r="X103" s="13"/>
      <c r="Y103" s="13"/>
      <c r="Z103" s="13"/>
      <c r="AA103" s="13"/>
      <c r="AB103" s="13"/>
    </row>
    <row r="104" spans="1:28" ht="13.2">
      <c r="A104" s="53">
        <f t="shared" si="3"/>
        <v>103</v>
      </c>
      <c r="B104" s="13" t="s">
        <v>1261</v>
      </c>
      <c r="C104" s="16" t="s">
        <v>1126</v>
      </c>
      <c r="D104" s="16">
        <f t="shared" si="0"/>
        <v>300</v>
      </c>
      <c r="E104" s="16">
        <f t="shared" si="1"/>
        <v>388</v>
      </c>
      <c r="F104" s="16">
        <v>2</v>
      </c>
      <c r="G104" s="16" t="s">
        <v>1130</v>
      </c>
      <c r="H104" s="16" t="s">
        <v>1254</v>
      </c>
      <c r="I104" s="16" t="s">
        <v>1140</v>
      </c>
      <c r="J104" s="16"/>
      <c r="K104" s="13"/>
      <c r="L104" s="275">
        <v>172</v>
      </c>
      <c r="M104" s="13"/>
      <c r="N104" s="13"/>
      <c r="O104" s="13"/>
      <c r="P104" s="13"/>
      <c r="Q104" s="13"/>
      <c r="R104" s="13"/>
      <c r="S104" s="13"/>
      <c r="T104" s="13"/>
      <c r="U104" s="13"/>
      <c r="V104" s="13"/>
      <c r="W104" s="13"/>
      <c r="X104" s="13"/>
      <c r="Y104" s="13"/>
      <c r="Z104" s="13"/>
      <c r="AA104" s="13"/>
      <c r="AB104" s="13"/>
    </row>
    <row r="105" spans="1:28" ht="13.2">
      <c r="A105" s="53">
        <f t="shared" si="3"/>
        <v>104</v>
      </c>
      <c r="B105" s="13" t="s">
        <v>1262</v>
      </c>
      <c r="C105" s="16" t="s">
        <v>1126</v>
      </c>
      <c r="D105" s="16">
        <f t="shared" si="0"/>
        <v>300</v>
      </c>
      <c r="E105" s="16">
        <f t="shared" si="1"/>
        <v>376</v>
      </c>
      <c r="F105" s="16">
        <v>2</v>
      </c>
      <c r="G105" s="16" t="s">
        <v>1130</v>
      </c>
      <c r="H105" s="16" t="s">
        <v>1254</v>
      </c>
      <c r="I105" s="16" t="s">
        <v>1140</v>
      </c>
      <c r="J105" s="16"/>
      <c r="K105" s="13"/>
      <c r="L105" s="275">
        <v>172</v>
      </c>
      <c r="M105" s="13"/>
      <c r="N105" s="13"/>
      <c r="O105" s="13"/>
      <c r="P105" s="13"/>
      <c r="Q105" s="13"/>
      <c r="R105" s="13"/>
      <c r="S105" s="13"/>
      <c r="T105" s="13"/>
      <c r="U105" s="13"/>
      <c r="V105" s="13"/>
      <c r="W105" s="13"/>
      <c r="X105" s="13"/>
      <c r="Y105" s="13"/>
      <c r="Z105" s="13"/>
      <c r="AA105" s="13"/>
      <c r="AB105" s="13"/>
    </row>
    <row r="106" spans="1:28" ht="13.2">
      <c r="A106" s="53">
        <f t="shared" si="3"/>
        <v>105</v>
      </c>
      <c r="B106" s="13" t="s">
        <v>1263</v>
      </c>
      <c r="C106" s="16" t="s">
        <v>1126</v>
      </c>
      <c r="D106" s="16">
        <f t="shared" si="0"/>
        <v>300</v>
      </c>
      <c r="E106" s="16">
        <f t="shared" si="1"/>
        <v>388</v>
      </c>
      <c r="F106" s="16">
        <v>2</v>
      </c>
      <c r="G106" s="16" t="s">
        <v>1130</v>
      </c>
      <c r="H106" s="16" t="s">
        <v>1254</v>
      </c>
      <c r="I106" s="16"/>
      <c r="J106" s="16"/>
      <c r="K106" s="13"/>
      <c r="L106" s="275">
        <v>172</v>
      </c>
      <c r="M106" s="13"/>
      <c r="N106" s="13"/>
      <c r="O106" s="13"/>
      <c r="P106" s="13"/>
      <c r="Q106" s="13"/>
      <c r="R106" s="13"/>
      <c r="S106" s="13"/>
      <c r="T106" s="13"/>
      <c r="U106" s="13"/>
      <c r="V106" s="13"/>
      <c r="W106" s="13"/>
      <c r="X106" s="13"/>
      <c r="Y106" s="13"/>
      <c r="Z106" s="13"/>
      <c r="AA106" s="13"/>
      <c r="AB106" s="13"/>
    </row>
    <row r="107" spans="1:28" ht="13.2">
      <c r="A107" s="53">
        <f t="shared" si="3"/>
        <v>106</v>
      </c>
      <c r="B107" s="13" t="s">
        <v>1264</v>
      </c>
      <c r="C107" s="16" t="s">
        <v>1126</v>
      </c>
      <c r="D107" s="16">
        <f t="shared" si="0"/>
        <v>300</v>
      </c>
      <c r="E107" s="16">
        <f t="shared" si="1"/>
        <v>376</v>
      </c>
      <c r="F107" s="16">
        <v>2</v>
      </c>
      <c r="G107" s="16" t="s">
        <v>1130</v>
      </c>
      <c r="H107" s="16" t="s">
        <v>1190</v>
      </c>
      <c r="I107" s="16"/>
      <c r="J107" s="16"/>
      <c r="K107" s="13"/>
      <c r="L107" s="275">
        <v>172</v>
      </c>
      <c r="M107" s="13"/>
      <c r="N107" s="13"/>
      <c r="O107" s="13"/>
      <c r="P107" s="13"/>
      <c r="Q107" s="13"/>
      <c r="R107" s="13"/>
      <c r="S107" s="13"/>
      <c r="T107" s="13"/>
      <c r="U107" s="13"/>
      <c r="V107" s="13"/>
      <c r="W107" s="13"/>
      <c r="X107" s="13"/>
      <c r="Y107" s="13"/>
      <c r="Z107" s="13"/>
      <c r="AA107" s="13"/>
      <c r="AB107" s="13"/>
    </row>
    <row r="108" spans="1:28" ht="13.2">
      <c r="A108" s="53">
        <f t="shared" si="3"/>
        <v>107</v>
      </c>
      <c r="B108" s="13" t="s">
        <v>1265</v>
      </c>
      <c r="C108" s="16" t="s">
        <v>1145</v>
      </c>
      <c r="D108" s="16">
        <f t="shared" si="0"/>
        <v>2000</v>
      </c>
      <c r="E108" s="16">
        <f t="shared" si="1"/>
        <v>3070</v>
      </c>
      <c r="F108" s="16">
        <v>5</v>
      </c>
      <c r="G108" s="16" t="s">
        <v>1173</v>
      </c>
      <c r="H108" s="16" t="s">
        <v>1266</v>
      </c>
      <c r="I108" s="16" t="s">
        <v>1267</v>
      </c>
      <c r="J108" s="16"/>
      <c r="K108" s="13"/>
      <c r="L108" s="275">
        <v>173</v>
      </c>
      <c r="M108" s="13"/>
      <c r="N108" s="13"/>
      <c r="O108" s="13"/>
      <c r="P108" s="13"/>
      <c r="Q108" s="13"/>
      <c r="R108" s="13"/>
      <c r="S108" s="13"/>
      <c r="T108" s="13"/>
      <c r="U108" s="13"/>
      <c r="V108" s="13"/>
      <c r="W108" s="13"/>
      <c r="X108" s="13"/>
      <c r="Y108" s="13"/>
      <c r="Z108" s="13"/>
      <c r="AA108" s="13"/>
      <c r="AB108" s="13"/>
    </row>
    <row r="109" spans="1:28" ht="13.2">
      <c r="A109" s="53">
        <f t="shared" si="3"/>
        <v>108</v>
      </c>
      <c r="B109" s="13" t="s">
        <v>1268</v>
      </c>
      <c r="C109" s="16" t="s">
        <v>1126</v>
      </c>
      <c r="D109" s="16">
        <f t="shared" si="0"/>
        <v>300</v>
      </c>
      <c r="E109" s="16">
        <f t="shared" si="1"/>
        <v>376</v>
      </c>
      <c r="F109" s="16">
        <v>2</v>
      </c>
      <c r="G109" s="16" t="s">
        <v>1130</v>
      </c>
      <c r="H109" s="16" t="s">
        <v>1190</v>
      </c>
      <c r="I109" s="16" t="s">
        <v>1140</v>
      </c>
      <c r="J109" s="16"/>
      <c r="K109" s="13"/>
      <c r="L109" s="275">
        <v>173</v>
      </c>
      <c r="M109" s="13"/>
      <c r="N109" s="13"/>
      <c r="O109" s="13"/>
      <c r="P109" s="13"/>
      <c r="Q109" s="13"/>
      <c r="R109" s="13"/>
      <c r="S109" s="13"/>
      <c r="T109" s="13"/>
      <c r="U109" s="13"/>
      <c r="V109" s="13"/>
      <c r="W109" s="13"/>
      <c r="X109" s="13"/>
      <c r="Y109" s="13"/>
      <c r="Z109" s="13"/>
      <c r="AA109" s="13"/>
      <c r="AB109" s="13"/>
    </row>
    <row r="110" spans="1:28" ht="13.2">
      <c r="A110" s="53">
        <f t="shared" si="3"/>
        <v>109</v>
      </c>
      <c r="B110" s="13" t="s">
        <v>1269</v>
      </c>
      <c r="C110" s="16" t="s">
        <v>1126</v>
      </c>
      <c r="D110" s="16">
        <f t="shared" si="0"/>
        <v>300</v>
      </c>
      <c r="E110" s="16">
        <f t="shared" si="1"/>
        <v>366</v>
      </c>
      <c r="F110" s="16">
        <v>2</v>
      </c>
      <c r="G110" s="16" t="s">
        <v>1130</v>
      </c>
      <c r="H110" s="16" t="s">
        <v>1190</v>
      </c>
      <c r="I110" s="16" t="s">
        <v>1140</v>
      </c>
      <c r="J110" s="16"/>
      <c r="K110" s="13"/>
      <c r="L110" s="275">
        <v>173</v>
      </c>
      <c r="M110" s="13"/>
      <c r="N110" s="13"/>
      <c r="O110" s="13"/>
      <c r="P110" s="13"/>
      <c r="Q110" s="13"/>
      <c r="R110" s="13"/>
      <c r="S110" s="13"/>
      <c r="T110" s="13"/>
      <c r="U110" s="13"/>
      <c r="V110" s="13"/>
      <c r="W110" s="13"/>
      <c r="X110" s="13"/>
      <c r="Y110" s="13"/>
      <c r="Z110" s="13"/>
      <c r="AA110" s="13"/>
      <c r="AB110" s="13"/>
    </row>
    <row r="111" spans="1:28" ht="13.2">
      <c r="A111" s="53">
        <f t="shared" si="3"/>
        <v>110</v>
      </c>
      <c r="B111" s="13" t="s">
        <v>1270</v>
      </c>
      <c r="C111" s="16" t="s">
        <v>1137</v>
      </c>
      <c r="D111" s="16">
        <f t="shared" si="0"/>
        <v>1100</v>
      </c>
      <c r="E111" s="16">
        <f t="shared" si="1"/>
        <v>1576</v>
      </c>
      <c r="F111" s="16">
        <v>4</v>
      </c>
      <c r="G111" s="16" t="s">
        <v>1130</v>
      </c>
      <c r="H111" s="16" t="s">
        <v>1190</v>
      </c>
      <c r="I111" s="16" t="s">
        <v>1140</v>
      </c>
      <c r="J111" s="16"/>
      <c r="K111" s="13"/>
      <c r="L111" s="275">
        <v>173</v>
      </c>
      <c r="M111" s="13"/>
      <c r="N111" s="13"/>
      <c r="O111" s="13"/>
      <c r="P111" s="13"/>
      <c r="Q111" s="13"/>
      <c r="R111" s="13"/>
      <c r="S111" s="13"/>
      <c r="T111" s="13"/>
      <c r="U111" s="13"/>
      <c r="V111" s="13"/>
      <c r="W111" s="13"/>
      <c r="X111" s="13"/>
      <c r="Y111" s="13"/>
      <c r="Z111" s="13"/>
      <c r="AA111" s="13"/>
      <c r="AB111" s="13"/>
    </row>
    <row r="112" spans="1:28" ht="13.2">
      <c r="A112" s="53">
        <f t="shared" si="3"/>
        <v>111</v>
      </c>
      <c r="B112" s="13" t="s">
        <v>1271</v>
      </c>
      <c r="C112" s="16" t="s">
        <v>1126</v>
      </c>
      <c r="D112" s="16">
        <f t="shared" si="0"/>
        <v>300</v>
      </c>
      <c r="E112" s="16">
        <f t="shared" si="1"/>
        <v>366</v>
      </c>
      <c r="F112" s="16">
        <v>2</v>
      </c>
      <c r="G112" s="16" t="s">
        <v>1130</v>
      </c>
      <c r="H112" s="16" t="s">
        <v>1190</v>
      </c>
      <c r="I112" s="16"/>
      <c r="J112" s="16"/>
      <c r="K112" s="13"/>
      <c r="L112" s="275">
        <v>173</v>
      </c>
      <c r="M112" s="13"/>
      <c r="N112" s="13"/>
      <c r="O112" s="13"/>
      <c r="P112" s="13"/>
      <c r="Q112" s="13"/>
      <c r="R112" s="13"/>
      <c r="S112" s="13"/>
      <c r="T112" s="13"/>
      <c r="U112" s="13"/>
      <c r="V112" s="13"/>
      <c r="W112" s="13"/>
      <c r="X112" s="13"/>
      <c r="Y112" s="13"/>
      <c r="Z112" s="13"/>
      <c r="AA112" s="13"/>
      <c r="AB112" s="13"/>
    </row>
    <row r="113" spans="1:28" ht="13.2">
      <c r="A113" s="53">
        <f t="shared" si="3"/>
        <v>112</v>
      </c>
      <c r="B113" s="13" t="s">
        <v>1272</v>
      </c>
      <c r="C113" s="16" t="s">
        <v>1126</v>
      </c>
      <c r="D113" s="16">
        <f t="shared" si="0"/>
        <v>300</v>
      </c>
      <c r="E113" s="16">
        <f t="shared" si="1"/>
        <v>378</v>
      </c>
      <c r="F113" s="16">
        <v>2</v>
      </c>
      <c r="G113" s="16" t="s">
        <v>1130</v>
      </c>
      <c r="H113" s="16" t="s">
        <v>1190</v>
      </c>
      <c r="I113" s="16" t="s">
        <v>1140</v>
      </c>
      <c r="J113" s="16"/>
      <c r="K113" s="13"/>
      <c r="L113" s="275">
        <v>174</v>
      </c>
      <c r="M113" s="13"/>
      <c r="N113" s="13"/>
      <c r="O113" s="13"/>
      <c r="P113" s="13"/>
      <c r="Q113" s="13"/>
      <c r="R113" s="13"/>
      <c r="S113" s="13"/>
      <c r="T113" s="13"/>
      <c r="U113" s="13"/>
      <c r="V113" s="13"/>
      <c r="W113" s="13"/>
      <c r="X113" s="13"/>
      <c r="Y113" s="13"/>
      <c r="Z113" s="13"/>
      <c r="AA113" s="13"/>
      <c r="AB113" s="13"/>
    </row>
    <row r="114" spans="1:28" ht="13.2">
      <c r="A114" s="53">
        <f t="shared" si="3"/>
        <v>113</v>
      </c>
      <c r="B114" s="13" t="s">
        <v>1273</v>
      </c>
      <c r="C114" s="16" t="s">
        <v>1135</v>
      </c>
      <c r="D114" s="16">
        <f t="shared" si="0"/>
        <v>700</v>
      </c>
      <c r="E114" s="16">
        <f t="shared" si="1"/>
        <v>919</v>
      </c>
      <c r="F114" s="16">
        <v>3</v>
      </c>
      <c r="G114" s="16" t="s">
        <v>1130</v>
      </c>
      <c r="H114" s="16" t="s">
        <v>1190</v>
      </c>
      <c r="I114" s="16" t="s">
        <v>1140</v>
      </c>
      <c r="J114" s="16"/>
      <c r="K114" s="13"/>
      <c r="L114" s="275">
        <v>174</v>
      </c>
      <c r="M114" s="13"/>
      <c r="N114" s="13"/>
      <c r="O114" s="13"/>
      <c r="P114" s="13"/>
      <c r="Q114" s="13"/>
      <c r="R114" s="13"/>
      <c r="S114" s="13"/>
      <c r="T114" s="13"/>
      <c r="U114" s="13"/>
      <c r="V114" s="13"/>
      <c r="W114" s="13"/>
      <c r="X114" s="13"/>
      <c r="Y114" s="13"/>
      <c r="Z114" s="13"/>
      <c r="AA114" s="13"/>
      <c r="AB114" s="13"/>
    </row>
    <row r="115" spans="1:28" ht="13.2">
      <c r="A115" s="53">
        <f t="shared" si="3"/>
        <v>114</v>
      </c>
      <c r="B115" s="13" t="s">
        <v>1274</v>
      </c>
      <c r="C115" s="16" t="s">
        <v>1135</v>
      </c>
      <c r="D115" s="16">
        <f t="shared" si="0"/>
        <v>700</v>
      </c>
      <c r="E115" s="16">
        <f t="shared" si="1"/>
        <v>937</v>
      </c>
      <c r="F115" s="16">
        <v>3</v>
      </c>
      <c r="G115" s="16" t="s">
        <v>1130</v>
      </c>
      <c r="H115" s="16"/>
      <c r="I115" s="16"/>
      <c r="J115" s="16"/>
      <c r="K115" s="13"/>
      <c r="L115" s="275">
        <v>174</v>
      </c>
      <c r="M115" s="13"/>
      <c r="N115" s="13"/>
      <c r="O115" s="13"/>
      <c r="P115" s="13"/>
      <c r="Q115" s="13"/>
      <c r="R115" s="13"/>
      <c r="S115" s="13"/>
      <c r="T115" s="13"/>
      <c r="U115" s="13"/>
      <c r="V115" s="13"/>
      <c r="W115" s="13"/>
      <c r="X115" s="13"/>
      <c r="Y115" s="13"/>
      <c r="Z115" s="13"/>
      <c r="AA115" s="13"/>
      <c r="AB115" s="13"/>
    </row>
    <row r="116" spans="1:28" ht="13.2">
      <c r="A116" s="53">
        <f t="shared" si="3"/>
        <v>115</v>
      </c>
      <c r="B116" s="13" t="s">
        <v>1275</v>
      </c>
      <c r="C116" s="16" t="s">
        <v>1145</v>
      </c>
      <c r="D116" s="16">
        <f t="shared" si="0"/>
        <v>2000</v>
      </c>
      <c r="E116" s="16">
        <f t="shared" si="1"/>
        <v>3020</v>
      </c>
      <c r="F116" s="16">
        <v>5</v>
      </c>
      <c r="G116" s="16" t="s">
        <v>1173</v>
      </c>
      <c r="H116" s="16" t="s">
        <v>1211</v>
      </c>
      <c r="I116" s="16" t="s">
        <v>1140</v>
      </c>
      <c r="J116" s="16"/>
      <c r="K116" s="13" t="s">
        <v>1276</v>
      </c>
      <c r="L116" s="275">
        <v>174</v>
      </c>
      <c r="M116" s="13"/>
      <c r="N116" s="13"/>
      <c r="O116" s="13"/>
      <c r="P116" s="13"/>
      <c r="Q116" s="13"/>
      <c r="R116" s="13"/>
      <c r="S116" s="13"/>
      <c r="T116" s="13"/>
      <c r="U116" s="13"/>
      <c r="V116" s="13"/>
      <c r="W116" s="13"/>
      <c r="X116" s="13"/>
      <c r="Y116" s="13"/>
      <c r="Z116" s="13"/>
      <c r="AA116" s="13"/>
      <c r="AB116" s="13"/>
    </row>
    <row r="117" spans="1:28" ht="13.2">
      <c r="A117" s="53">
        <f t="shared" si="3"/>
        <v>116</v>
      </c>
      <c r="B117" s="13" t="s">
        <v>1277</v>
      </c>
      <c r="C117" s="16" t="s">
        <v>1135</v>
      </c>
      <c r="D117" s="16">
        <f t="shared" si="0"/>
        <v>700</v>
      </c>
      <c r="E117" s="16">
        <f t="shared" si="1"/>
        <v>940</v>
      </c>
      <c r="F117" s="16">
        <v>3</v>
      </c>
      <c r="G117" s="16" t="s">
        <v>1130</v>
      </c>
      <c r="H117" s="16"/>
      <c r="I117" s="16"/>
      <c r="J117" s="16"/>
      <c r="K117" s="13"/>
      <c r="L117" s="275">
        <v>174</v>
      </c>
      <c r="M117" s="13"/>
      <c r="N117" s="13"/>
      <c r="O117" s="13"/>
      <c r="P117" s="13"/>
      <c r="Q117" s="13"/>
      <c r="R117" s="13"/>
      <c r="S117" s="13"/>
      <c r="T117" s="13"/>
      <c r="U117" s="13"/>
      <c r="V117" s="13"/>
      <c r="W117" s="13"/>
      <c r="X117" s="13"/>
      <c r="Y117" s="13"/>
      <c r="Z117" s="13"/>
      <c r="AA117" s="13"/>
      <c r="AB117" s="13"/>
    </row>
    <row r="118" spans="1:28" ht="13.2">
      <c r="A118" s="53">
        <f t="shared" si="3"/>
        <v>117</v>
      </c>
      <c r="B118" s="13" t="s">
        <v>1278</v>
      </c>
      <c r="C118" s="16" t="s">
        <v>1137</v>
      </c>
      <c r="D118" s="16">
        <f t="shared" si="0"/>
        <v>1100</v>
      </c>
      <c r="E118" s="16">
        <f t="shared" si="1"/>
        <v>1556</v>
      </c>
      <c r="F118" s="16">
        <v>4</v>
      </c>
      <c r="G118" s="16" t="s">
        <v>1130</v>
      </c>
      <c r="H118" s="16"/>
      <c r="I118" s="16"/>
      <c r="J118" s="16"/>
      <c r="K118" s="13"/>
      <c r="L118" s="275">
        <v>175</v>
      </c>
      <c r="M118" s="13"/>
      <c r="N118" s="13"/>
      <c r="O118" s="13"/>
      <c r="P118" s="13"/>
      <c r="Q118" s="13"/>
      <c r="R118" s="13"/>
      <c r="S118" s="13"/>
      <c r="T118" s="13"/>
      <c r="U118" s="13"/>
      <c r="V118" s="13"/>
      <c r="W118" s="13"/>
      <c r="X118" s="13"/>
      <c r="Y118" s="13"/>
      <c r="Z118" s="13"/>
      <c r="AA118" s="13"/>
      <c r="AB118" s="13"/>
    </row>
    <row r="119" spans="1:28" ht="13.2">
      <c r="A119" s="53">
        <f t="shared" si="3"/>
        <v>118</v>
      </c>
      <c r="B119" s="13" t="s">
        <v>1279</v>
      </c>
      <c r="C119" s="16" t="s">
        <v>1145</v>
      </c>
      <c r="D119" s="16">
        <f t="shared" si="0"/>
        <v>2000</v>
      </c>
      <c r="E119" s="16">
        <f t="shared" si="1"/>
        <v>3050</v>
      </c>
      <c r="F119" s="16">
        <v>5</v>
      </c>
      <c r="G119" s="16" t="s">
        <v>1130</v>
      </c>
      <c r="H119" s="16"/>
      <c r="I119" s="16"/>
      <c r="J119" s="16"/>
      <c r="K119" s="13"/>
      <c r="L119" s="275">
        <v>175</v>
      </c>
      <c r="M119" s="13"/>
      <c r="N119" s="13"/>
      <c r="O119" s="13"/>
      <c r="P119" s="13"/>
      <c r="Q119" s="13"/>
      <c r="R119" s="13"/>
      <c r="S119" s="13"/>
      <c r="T119" s="13"/>
      <c r="U119" s="13"/>
      <c r="V119" s="13"/>
      <c r="W119" s="13"/>
      <c r="X119" s="13"/>
      <c r="Y119" s="13"/>
      <c r="Z119" s="13"/>
      <c r="AA119" s="13"/>
      <c r="AB119" s="13"/>
    </row>
    <row r="120" spans="1:28" ht="13.2">
      <c r="A120" s="53">
        <f t="shared" si="3"/>
        <v>119</v>
      </c>
      <c r="B120" s="13" t="s">
        <v>1280</v>
      </c>
      <c r="C120" s="16" t="s">
        <v>1135</v>
      </c>
      <c r="D120" s="16">
        <f t="shared" si="0"/>
        <v>700</v>
      </c>
      <c r="E120" s="16">
        <f t="shared" si="1"/>
        <v>922</v>
      </c>
      <c r="F120" s="16">
        <v>3</v>
      </c>
      <c r="G120" s="16" t="s">
        <v>1130</v>
      </c>
      <c r="H120" s="16"/>
      <c r="I120" s="16"/>
      <c r="J120" s="16"/>
      <c r="K120" s="13"/>
      <c r="L120" s="275">
        <v>175</v>
      </c>
      <c r="M120" s="13"/>
      <c r="N120" s="13"/>
      <c r="O120" s="13"/>
      <c r="P120" s="13"/>
      <c r="Q120" s="13"/>
      <c r="R120" s="13"/>
      <c r="S120" s="13"/>
      <c r="T120" s="13"/>
      <c r="U120" s="13"/>
      <c r="V120" s="13"/>
      <c r="W120" s="13"/>
      <c r="X120" s="13"/>
      <c r="Y120" s="13"/>
      <c r="Z120" s="13"/>
      <c r="AA120" s="13"/>
      <c r="AB120" s="13"/>
    </row>
    <row r="121" spans="1:28" ht="13.2">
      <c r="A121" s="53">
        <f t="shared" si="3"/>
        <v>120</v>
      </c>
      <c r="B121" s="13" t="s">
        <v>1281</v>
      </c>
      <c r="C121" s="16" t="s">
        <v>1137</v>
      </c>
      <c r="D121" s="16">
        <f t="shared" si="0"/>
        <v>1100</v>
      </c>
      <c r="E121" s="16">
        <f t="shared" si="1"/>
        <v>1580</v>
      </c>
      <c r="F121" s="16">
        <v>4</v>
      </c>
      <c r="G121" s="16" t="s">
        <v>1130</v>
      </c>
      <c r="H121" s="16" t="s">
        <v>1282</v>
      </c>
      <c r="I121" s="16"/>
      <c r="J121" s="16"/>
      <c r="K121" s="13"/>
      <c r="L121" s="275">
        <v>175</v>
      </c>
      <c r="M121" s="13"/>
      <c r="N121" s="13"/>
      <c r="O121" s="13"/>
      <c r="P121" s="13"/>
      <c r="Q121" s="13"/>
      <c r="R121" s="13"/>
      <c r="S121" s="13"/>
      <c r="T121" s="13"/>
      <c r="U121" s="13"/>
      <c r="V121" s="13"/>
      <c r="W121" s="13"/>
      <c r="X121" s="13"/>
      <c r="Y121" s="13"/>
      <c r="Z121" s="13"/>
      <c r="AA121" s="13"/>
      <c r="AB121" s="13"/>
    </row>
    <row r="122" spans="1:28" ht="13.2">
      <c r="A122" s="53">
        <f t="shared" si="3"/>
        <v>121</v>
      </c>
      <c r="B122" s="13" t="s">
        <v>1283</v>
      </c>
      <c r="C122" s="16" t="s">
        <v>1135</v>
      </c>
      <c r="D122" s="16">
        <f t="shared" si="0"/>
        <v>700</v>
      </c>
      <c r="E122" s="16">
        <f t="shared" si="1"/>
        <v>925</v>
      </c>
      <c r="F122" s="16">
        <v>3</v>
      </c>
      <c r="G122" s="16" t="s">
        <v>1130</v>
      </c>
      <c r="H122" s="16" t="s">
        <v>1282</v>
      </c>
      <c r="I122" s="16"/>
      <c r="J122" s="16"/>
      <c r="K122" s="13"/>
      <c r="L122" s="275">
        <v>175</v>
      </c>
      <c r="M122" s="13"/>
      <c r="N122" s="13"/>
      <c r="O122" s="13"/>
      <c r="P122" s="13"/>
      <c r="Q122" s="13"/>
      <c r="R122" s="13"/>
      <c r="S122" s="13"/>
      <c r="T122" s="13"/>
      <c r="U122" s="13"/>
      <c r="V122" s="13"/>
      <c r="W122" s="13"/>
      <c r="X122" s="13"/>
      <c r="Y122" s="13"/>
      <c r="Z122" s="13"/>
      <c r="AA122" s="13"/>
      <c r="AB122" s="13"/>
    </row>
    <row r="123" spans="1:28" ht="13.2">
      <c r="A123" s="53">
        <f t="shared" si="3"/>
        <v>122</v>
      </c>
      <c r="B123" s="13" t="s">
        <v>1284</v>
      </c>
      <c r="C123" s="16" t="s">
        <v>1126</v>
      </c>
      <c r="D123" s="16">
        <f t="shared" si="0"/>
        <v>300</v>
      </c>
      <c r="E123" s="16">
        <f t="shared" si="1"/>
        <v>382</v>
      </c>
      <c r="F123" s="16">
        <v>2</v>
      </c>
      <c r="G123" s="16" t="s">
        <v>1285</v>
      </c>
      <c r="H123" s="16"/>
      <c r="I123" s="16"/>
      <c r="J123" s="16"/>
      <c r="K123" s="13"/>
      <c r="L123" s="275">
        <v>175</v>
      </c>
      <c r="M123" s="13"/>
      <c r="N123" s="13"/>
      <c r="O123" s="13"/>
      <c r="P123" s="13"/>
      <c r="Q123" s="13"/>
      <c r="R123" s="13"/>
      <c r="S123" s="13"/>
      <c r="T123" s="13"/>
      <c r="U123" s="13"/>
      <c r="V123" s="13"/>
      <c r="W123" s="13"/>
      <c r="X123" s="13"/>
      <c r="Y123" s="13"/>
      <c r="Z123" s="13"/>
      <c r="AA123" s="13"/>
      <c r="AB123" s="13"/>
    </row>
    <row r="124" spans="1:28" ht="13.2">
      <c r="A124" s="53">
        <f t="shared" si="3"/>
        <v>123</v>
      </c>
      <c r="B124" s="13" t="s">
        <v>1286</v>
      </c>
      <c r="C124" s="16" t="s">
        <v>1137</v>
      </c>
      <c r="D124" s="16">
        <f t="shared" si="0"/>
        <v>1100</v>
      </c>
      <c r="E124" s="16">
        <f t="shared" si="1"/>
        <v>1560</v>
      </c>
      <c r="F124" s="16">
        <v>4</v>
      </c>
      <c r="G124" s="16" t="s">
        <v>1130</v>
      </c>
      <c r="H124" s="16" t="s">
        <v>1287</v>
      </c>
      <c r="I124" s="16" t="s">
        <v>1140</v>
      </c>
      <c r="J124" s="16"/>
      <c r="K124" s="13" t="s">
        <v>1288</v>
      </c>
      <c r="L124" s="275">
        <v>176</v>
      </c>
      <c r="M124" s="13"/>
      <c r="N124" s="13"/>
      <c r="O124" s="13"/>
      <c r="P124" s="13"/>
      <c r="Q124" s="13"/>
      <c r="R124" s="13"/>
      <c r="S124" s="13"/>
      <c r="T124" s="13"/>
      <c r="U124" s="13"/>
      <c r="V124" s="13"/>
      <c r="W124" s="13"/>
      <c r="X124" s="13"/>
      <c r="Y124" s="13"/>
      <c r="Z124" s="13"/>
      <c r="AA124" s="13"/>
      <c r="AB124" s="13"/>
    </row>
    <row r="125" spans="1:28" ht="13.2">
      <c r="A125" s="53">
        <f t="shared" si="3"/>
        <v>124</v>
      </c>
      <c r="B125" s="13" t="s">
        <v>1289</v>
      </c>
      <c r="C125" s="16" t="s">
        <v>1135</v>
      </c>
      <c r="D125" s="16">
        <f t="shared" si="0"/>
        <v>700</v>
      </c>
      <c r="E125" s="16">
        <f t="shared" si="1"/>
        <v>943</v>
      </c>
      <c r="F125" s="16">
        <v>3</v>
      </c>
      <c r="G125" s="16" t="s">
        <v>1130</v>
      </c>
      <c r="H125" s="16" t="s">
        <v>1287</v>
      </c>
      <c r="I125" s="16" t="s">
        <v>1140</v>
      </c>
      <c r="J125" s="16"/>
      <c r="K125" s="13" t="s">
        <v>1288</v>
      </c>
      <c r="L125" s="275">
        <v>176</v>
      </c>
      <c r="M125" s="13"/>
      <c r="N125" s="13"/>
      <c r="O125" s="13"/>
      <c r="P125" s="13"/>
      <c r="Q125" s="13"/>
      <c r="R125" s="13"/>
      <c r="S125" s="13"/>
      <c r="T125" s="13"/>
      <c r="U125" s="13"/>
      <c r="V125" s="13"/>
      <c r="W125" s="13"/>
      <c r="X125" s="13"/>
      <c r="Y125" s="13"/>
      <c r="Z125" s="13"/>
      <c r="AA125" s="13"/>
      <c r="AB125" s="13"/>
    </row>
    <row r="126" spans="1:28" ht="13.2">
      <c r="A126" s="53">
        <f t="shared" si="3"/>
        <v>125</v>
      </c>
      <c r="B126" s="13" t="s">
        <v>1290</v>
      </c>
      <c r="C126" s="16" t="s">
        <v>1135</v>
      </c>
      <c r="D126" s="16">
        <f t="shared" si="0"/>
        <v>700</v>
      </c>
      <c r="E126" s="16">
        <f t="shared" si="1"/>
        <v>925</v>
      </c>
      <c r="F126" s="16">
        <v>3</v>
      </c>
      <c r="G126" s="16" t="s">
        <v>1130</v>
      </c>
      <c r="H126" s="16" t="s">
        <v>1287</v>
      </c>
      <c r="I126" s="16" t="s">
        <v>1140</v>
      </c>
      <c r="J126" s="16"/>
      <c r="K126" s="13" t="s">
        <v>1288</v>
      </c>
      <c r="L126" s="275">
        <v>176</v>
      </c>
      <c r="M126" s="13"/>
      <c r="N126" s="13"/>
      <c r="O126" s="13"/>
      <c r="P126" s="13"/>
      <c r="Q126" s="13"/>
      <c r="R126" s="13"/>
      <c r="S126" s="13"/>
      <c r="T126" s="13"/>
      <c r="U126" s="13"/>
      <c r="V126" s="13"/>
      <c r="W126" s="13"/>
      <c r="X126" s="13"/>
      <c r="Y126" s="13"/>
      <c r="Z126" s="13"/>
      <c r="AA126" s="13"/>
      <c r="AB126" s="13"/>
    </row>
    <row r="127" spans="1:28" ht="13.2">
      <c r="A127" s="53">
        <f t="shared" si="3"/>
        <v>126</v>
      </c>
      <c r="B127" s="13" t="s">
        <v>1291</v>
      </c>
      <c r="C127" s="16" t="s">
        <v>1126</v>
      </c>
      <c r="D127" s="16">
        <f t="shared" si="0"/>
        <v>300</v>
      </c>
      <c r="E127" s="16">
        <f t="shared" si="1"/>
        <v>382</v>
      </c>
      <c r="F127" s="16">
        <v>2</v>
      </c>
      <c r="G127" s="16" t="s">
        <v>1130</v>
      </c>
      <c r="H127" s="16" t="s">
        <v>1287</v>
      </c>
      <c r="I127" s="16" t="s">
        <v>1140</v>
      </c>
      <c r="J127" s="16"/>
      <c r="K127" s="13" t="s">
        <v>1288</v>
      </c>
      <c r="L127" s="275">
        <v>176</v>
      </c>
      <c r="M127" s="13"/>
      <c r="N127" s="13"/>
      <c r="O127" s="13"/>
      <c r="P127" s="13"/>
      <c r="Q127" s="13"/>
      <c r="R127" s="13"/>
      <c r="S127" s="13"/>
      <c r="T127" s="13"/>
      <c r="U127" s="13"/>
      <c r="V127" s="13"/>
      <c r="W127" s="13"/>
      <c r="X127" s="13"/>
      <c r="Y127" s="13"/>
      <c r="Z127" s="13"/>
      <c r="AA127" s="13"/>
      <c r="AB127" s="13"/>
    </row>
    <row r="128" spans="1:28" ht="13.2">
      <c r="A128" s="53">
        <f t="shared" si="3"/>
        <v>127</v>
      </c>
      <c r="B128" s="13" t="s">
        <v>1292</v>
      </c>
      <c r="C128" s="16" t="s">
        <v>1126</v>
      </c>
      <c r="D128" s="16">
        <f t="shared" si="0"/>
        <v>300</v>
      </c>
      <c r="E128" s="16">
        <f t="shared" si="1"/>
        <v>372</v>
      </c>
      <c r="F128" s="16">
        <v>2</v>
      </c>
      <c r="G128" s="16" t="s">
        <v>1130</v>
      </c>
      <c r="H128" s="16" t="s">
        <v>1287</v>
      </c>
      <c r="I128" s="16" t="s">
        <v>1140</v>
      </c>
      <c r="J128" s="16"/>
      <c r="K128" s="13" t="s">
        <v>1288</v>
      </c>
      <c r="L128" s="275">
        <v>176</v>
      </c>
      <c r="M128" s="13"/>
      <c r="N128" s="13"/>
      <c r="O128" s="13"/>
      <c r="P128" s="13"/>
      <c r="Q128" s="13"/>
      <c r="R128" s="13"/>
      <c r="S128" s="13"/>
      <c r="T128" s="13"/>
      <c r="U128" s="13"/>
      <c r="V128" s="13"/>
      <c r="W128" s="13"/>
      <c r="X128" s="13"/>
      <c r="Y128" s="13"/>
      <c r="Z128" s="13"/>
      <c r="AA128" s="13"/>
      <c r="AB128" s="13"/>
    </row>
    <row r="129" spans="1:28" ht="13.2">
      <c r="A129" s="53">
        <f t="shared" si="3"/>
        <v>128</v>
      </c>
      <c r="B129" s="13" t="s">
        <v>1293</v>
      </c>
      <c r="C129" s="16" t="s">
        <v>1126</v>
      </c>
      <c r="D129" s="16">
        <f t="shared" si="0"/>
        <v>300</v>
      </c>
      <c r="E129" s="16">
        <f t="shared" si="1"/>
        <v>384</v>
      </c>
      <c r="F129" s="16">
        <v>2</v>
      </c>
      <c r="G129" s="16" t="s">
        <v>1130</v>
      </c>
      <c r="H129" s="16" t="s">
        <v>1287</v>
      </c>
      <c r="I129" s="16" t="s">
        <v>1140</v>
      </c>
      <c r="J129" s="16"/>
      <c r="K129" s="13" t="s">
        <v>1288</v>
      </c>
      <c r="L129" s="275">
        <v>176</v>
      </c>
      <c r="M129" s="13"/>
      <c r="N129" s="13"/>
      <c r="O129" s="13"/>
      <c r="P129" s="13"/>
      <c r="Q129" s="13"/>
      <c r="R129" s="13"/>
      <c r="S129" s="13"/>
      <c r="T129" s="13"/>
      <c r="U129" s="13"/>
      <c r="V129" s="13"/>
      <c r="W129" s="13"/>
      <c r="X129" s="13"/>
      <c r="Y129" s="13"/>
      <c r="Z129" s="13"/>
      <c r="AA129" s="13"/>
      <c r="AB129" s="13"/>
    </row>
    <row r="130" spans="1:28" ht="13.2">
      <c r="A130" s="53">
        <f t="shared" si="3"/>
        <v>129</v>
      </c>
      <c r="B130" s="13" t="s">
        <v>1294</v>
      </c>
      <c r="C130" s="16" t="s">
        <v>1145</v>
      </c>
      <c r="D130" s="16">
        <f t="shared" si="0"/>
        <v>2000</v>
      </c>
      <c r="E130" s="16">
        <f t="shared" si="1"/>
        <v>3030</v>
      </c>
      <c r="F130" s="16">
        <v>5</v>
      </c>
      <c r="G130" s="16" t="s">
        <v>1130</v>
      </c>
      <c r="H130" s="16" t="s">
        <v>1287</v>
      </c>
      <c r="I130" s="16" t="s">
        <v>1140</v>
      </c>
      <c r="J130" s="16"/>
      <c r="K130" s="13" t="s">
        <v>1288</v>
      </c>
      <c r="L130" s="275">
        <v>176</v>
      </c>
      <c r="M130" s="13"/>
      <c r="N130" s="13"/>
      <c r="O130" s="13"/>
      <c r="P130" s="13"/>
      <c r="Q130" s="13"/>
      <c r="R130" s="13"/>
      <c r="S130" s="13"/>
      <c r="T130" s="13"/>
      <c r="U130" s="13"/>
      <c r="V130" s="13"/>
      <c r="W130" s="13"/>
      <c r="X130" s="13"/>
      <c r="Y130" s="13"/>
      <c r="Z130" s="13"/>
      <c r="AA130" s="13"/>
      <c r="AB130" s="13"/>
    </row>
    <row r="131" spans="1:28" ht="13.2">
      <c r="A131" s="53">
        <f t="shared" ref="A131:A194" si="4">IF(ISBLANK(B131),,A130+1)</f>
        <v>130</v>
      </c>
      <c r="B131" s="13" t="s">
        <v>1295</v>
      </c>
      <c r="C131" s="16" t="s">
        <v>1137</v>
      </c>
      <c r="D131" s="16">
        <f t="shared" si="0"/>
        <v>1100</v>
      </c>
      <c r="E131" s="16">
        <f t="shared" si="1"/>
        <v>1588</v>
      </c>
      <c r="F131" s="16">
        <v>4</v>
      </c>
      <c r="G131" s="16" t="s">
        <v>1130</v>
      </c>
      <c r="H131" s="16" t="s">
        <v>1190</v>
      </c>
      <c r="I131" s="16" t="s">
        <v>1140</v>
      </c>
      <c r="J131" s="16"/>
      <c r="K131" s="13"/>
      <c r="L131" s="275">
        <v>176</v>
      </c>
      <c r="M131" s="13"/>
      <c r="N131" s="13"/>
      <c r="O131" s="13"/>
      <c r="P131" s="13"/>
      <c r="Q131" s="13"/>
      <c r="R131" s="13"/>
      <c r="S131" s="13"/>
      <c r="T131" s="13"/>
      <c r="U131" s="13"/>
      <c r="V131" s="13"/>
      <c r="W131" s="13"/>
      <c r="X131" s="13"/>
      <c r="Y131" s="13"/>
      <c r="Z131" s="13"/>
      <c r="AA131" s="13"/>
      <c r="AB131" s="13"/>
    </row>
    <row r="132" spans="1:28" ht="13.2">
      <c r="A132" s="53">
        <f t="shared" si="4"/>
        <v>131</v>
      </c>
      <c r="B132" s="13" t="s">
        <v>1296</v>
      </c>
      <c r="C132" s="16" t="s">
        <v>1137</v>
      </c>
      <c r="D132" s="16">
        <f t="shared" si="0"/>
        <v>1100</v>
      </c>
      <c r="E132" s="16">
        <f t="shared" si="1"/>
        <v>1564</v>
      </c>
      <c r="F132" s="16">
        <v>4</v>
      </c>
      <c r="G132" s="16" t="s">
        <v>1130</v>
      </c>
      <c r="H132" s="16" t="s">
        <v>1190</v>
      </c>
      <c r="I132" s="16" t="s">
        <v>1140</v>
      </c>
      <c r="J132" s="16"/>
      <c r="K132" s="13"/>
      <c r="L132" s="275">
        <v>176</v>
      </c>
      <c r="M132" s="13"/>
      <c r="N132" s="13"/>
      <c r="O132" s="13"/>
      <c r="P132" s="13"/>
      <c r="Q132" s="13"/>
      <c r="R132" s="13"/>
      <c r="S132" s="13"/>
      <c r="T132" s="13"/>
      <c r="U132" s="13"/>
      <c r="V132" s="13"/>
      <c r="W132" s="13"/>
      <c r="X132" s="13"/>
      <c r="Y132" s="13"/>
      <c r="Z132" s="13"/>
      <c r="AA132" s="13"/>
      <c r="AB132" s="13"/>
    </row>
    <row r="133" spans="1:28" ht="13.2">
      <c r="A133" s="53">
        <f t="shared" si="4"/>
        <v>132</v>
      </c>
      <c r="B133" s="13" t="s">
        <v>1297</v>
      </c>
      <c r="C133" s="16" t="s">
        <v>1135</v>
      </c>
      <c r="D133" s="16">
        <f t="shared" si="0"/>
        <v>700</v>
      </c>
      <c r="E133" s="16">
        <f t="shared" si="1"/>
        <v>946</v>
      </c>
      <c r="F133" s="16">
        <v>3</v>
      </c>
      <c r="G133" s="16" t="s">
        <v>1130</v>
      </c>
      <c r="H133" s="16" t="s">
        <v>1190</v>
      </c>
      <c r="I133" s="16" t="s">
        <v>1140</v>
      </c>
      <c r="J133" s="16"/>
      <c r="K133" s="13"/>
      <c r="L133" s="275">
        <v>176</v>
      </c>
      <c r="M133" s="13"/>
      <c r="N133" s="13"/>
      <c r="O133" s="13"/>
      <c r="P133" s="13"/>
      <c r="Q133" s="13"/>
      <c r="R133" s="13"/>
      <c r="S133" s="13"/>
      <c r="T133" s="13"/>
      <c r="U133" s="13"/>
      <c r="V133" s="13"/>
      <c r="W133" s="13"/>
      <c r="X133" s="13"/>
      <c r="Y133" s="13"/>
      <c r="Z133" s="13"/>
      <c r="AA133" s="13"/>
      <c r="AB133" s="13"/>
    </row>
    <row r="134" spans="1:28" ht="13.2">
      <c r="A134" s="53">
        <f t="shared" si="4"/>
        <v>133</v>
      </c>
      <c r="B134" s="13" t="s">
        <v>1298</v>
      </c>
      <c r="C134" s="16" t="s">
        <v>1137</v>
      </c>
      <c r="D134" s="16">
        <f t="shared" si="0"/>
        <v>1100</v>
      </c>
      <c r="E134" s="16">
        <f t="shared" si="1"/>
        <v>1568</v>
      </c>
      <c r="F134" s="16">
        <v>4</v>
      </c>
      <c r="G134" s="16" t="s">
        <v>1130</v>
      </c>
      <c r="H134" s="16" t="s">
        <v>1190</v>
      </c>
      <c r="I134" s="16" t="s">
        <v>1140</v>
      </c>
      <c r="J134" s="16"/>
      <c r="K134" s="13"/>
      <c r="L134" s="275">
        <v>176</v>
      </c>
      <c r="M134" s="13"/>
      <c r="N134" s="13"/>
      <c r="O134" s="13"/>
      <c r="P134" s="13"/>
      <c r="Q134" s="13"/>
      <c r="R134" s="13"/>
      <c r="S134" s="13"/>
      <c r="T134" s="13"/>
      <c r="U134" s="13"/>
      <c r="V134" s="13"/>
      <c r="W134" s="13"/>
      <c r="X134" s="13"/>
      <c r="Y134" s="13"/>
      <c r="Z134" s="13"/>
      <c r="AA134" s="13"/>
      <c r="AB134" s="13"/>
    </row>
    <row r="135" spans="1:28" ht="13.2">
      <c r="A135" s="53">
        <f t="shared" si="4"/>
        <v>134</v>
      </c>
      <c r="B135" s="13" t="s">
        <v>1299</v>
      </c>
      <c r="C135" s="16" t="s">
        <v>1145</v>
      </c>
      <c r="D135" s="16">
        <f t="shared" si="0"/>
        <v>2000</v>
      </c>
      <c r="E135" s="16">
        <f t="shared" si="1"/>
        <v>3065</v>
      </c>
      <c r="F135" s="16">
        <v>5</v>
      </c>
      <c r="G135" s="16" t="s">
        <v>1130</v>
      </c>
      <c r="H135" s="16" t="s">
        <v>1190</v>
      </c>
      <c r="I135" s="16" t="s">
        <v>1140</v>
      </c>
      <c r="J135" s="16"/>
      <c r="K135" s="13"/>
      <c r="L135" s="275">
        <v>176</v>
      </c>
      <c r="M135" s="13"/>
      <c r="N135" s="13"/>
      <c r="O135" s="13"/>
      <c r="P135" s="13"/>
      <c r="Q135" s="13"/>
      <c r="R135" s="13"/>
      <c r="S135" s="13"/>
      <c r="T135" s="13"/>
      <c r="U135" s="13"/>
      <c r="V135" s="13"/>
      <c r="W135" s="13"/>
      <c r="X135" s="13"/>
      <c r="Y135" s="13"/>
      <c r="Z135" s="13"/>
      <c r="AA135" s="13"/>
      <c r="AB135" s="13"/>
    </row>
    <row r="136" spans="1:28" ht="13.2">
      <c r="A136" s="53">
        <f t="shared" si="4"/>
        <v>135</v>
      </c>
      <c r="B136" s="13" t="s">
        <v>1300</v>
      </c>
      <c r="C136" s="16" t="s">
        <v>1137</v>
      </c>
      <c r="D136" s="16">
        <f t="shared" si="0"/>
        <v>1100</v>
      </c>
      <c r="E136" s="16">
        <f t="shared" si="1"/>
        <v>1568</v>
      </c>
      <c r="F136" s="16">
        <v>4</v>
      </c>
      <c r="G136" s="16" t="s">
        <v>1130</v>
      </c>
      <c r="H136" s="16" t="s">
        <v>1190</v>
      </c>
      <c r="I136" s="16" t="s">
        <v>1140</v>
      </c>
      <c r="J136" s="16"/>
      <c r="K136" s="13"/>
      <c r="L136" s="275">
        <v>176</v>
      </c>
      <c r="M136" s="13"/>
      <c r="N136" s="13"/>
      <c r="O136" s="13"/>
      <c r="P136" s="13"/>
      <c r="Q136" s="13"/>
      <c r="R136" s="13"/>
      <c r="S136" s="13"/>
      <c r="T136" s="13"/>
      <c r="U136" s="13"/>
      <c r="V136" s="13"/>
      <c r="W136" s="13"/>
      <c r="X136" s="13"/>
      <c r="Y136" s="13"/>
      <c r="Z136" s="13"/>
      <c r="AA136" s="13"/>
      <c r="AB136" s="13"/>
    </row>
    <row r="137" spans="1:28" ht="13.2">
      <c r="A137" s="53">
        <f t="shared" si="4"/>
        <v>136</v>
      </c>
      <c r="B137" s="13" t="s">
        <v>1301</v>
      </c>
      <c r="C137" s="16" t="s">
        <v>1137</v>
      </c>
      <c r="D137" s="16">
        <f t="shared" si="0"/>
        <v>1100</v>
      </c>
      <c r="E137" s="16">
        <f t="shared" si="1"/>
        <v>1592</v>
      </c>
      <c r="F137" s="16">
        <v>4</v>
      </c>
      <c r="G137" s="16" t="s">
        <v>1130</v>
      </c>
      <c r="H137" s="16" t="s">
        <v>1190</v>
      </c>
      <c r="I137" s="16" t="s">
        <v>1140</v>
      </c>
      <c r="J137" s="16"/>
      <c r="K137" s="13"/>
      <c r="L137" s="275">
        <v>176</v>
      </c>
      <c r="M137" s="13"/>
      <c r="N137" s="13"/>
      <c r="O137" s="13"/>
      <c r="P137" s="13"/>
      <c r="Q137" s="13"/>
      <c r="R137" s="13"/>
      <c r="S137" s="13"/>
      <c r="T137" s="13"/>
      <c r="U137" s="13"/>
      <c r="V137" s="13"/>
      <c r="W137" s="13"/>
      <c r="X137" s="13"/>
      <c r="Y137" s="13"/>
      <c r="Z137" s="13"/>
      <c r="AA137" s="13"/>
      <c r="AB137" s="13"/>
    </row>
    <row r="138" spans="1:28" ht="13.2">
      <c r="A138" s="53">
        <f t="shared" si="4"/>
        <v>137</v>
      </c>
      <c r="B138" s="13" t="s">
        <v>1302</v>
      </c>
      <c r="C138" s="16" t="s">
        <v>1137</v>
      </c>
      <c r="D138" s="16">
        <f t="shared" si="0"/>
        <v>1100</v>
      </c>
      <c r="E138" s="16">
        <f t="shared" si="1"/>
        <v>1568</v>
      </c>
      <c r="F138" s="16">
        <v>4</v>
      </c>
      <c r="G138" s="16" t="s">
        <v>1130</v>
      </c>
      <c r="H138" s="16" t="s">
        <v>1190</v>
      </c>
      <c r="I138" s="16" t="s">
        <v>1140</v>
      </c>
      <c r="J138" s="16"/>
      <c r="K138" s="13"/>
      <c r="L138" s="275">
        <v>176</v>
      </c>
      <c r="M138" s="13"/>
      <c r="N138" s="13"/>
      <c r="O138" s="13"/>
      <c r="P138" s="13"/>
      <c r="Q138" s="13"/>
      <c r="R138" s="13"/>
      <c r="S138" s="13"/>
      <c r="T138" s="13"/>
      <c r="U138" s="13"/>
      <c r="V138" s="13"/>
      <c r="W138" s="13"/>
      <c r="X138" s="13"/>
      <c r="Y138" s="13"/>
      <c r="Z138" s="13"/>
      <c r="AA138" s="13"/>
      <c r="AB138" s="13"/>
    </row>
    <row r="139" spans="1:28" ht="13.2">
      <c r="A139" s="53">
        <f t="shared" si="4"/>
        <v>138</v>
      </c>
      <c r="B139" s="13" t="s">
        <v>1303</v>
      </c>
      <c r="C139" s="16" t="s">
        <v>1145</v>
      </c>
      <c r="D139" s="16">
        <f t="shared" si="0"/>
        <v>2000</v>
      </c>
      <c r="E139" s="16">
        <f t="shared" si="1"/>
        <v>3065</v>
      </c>
      <c r="F139" s="16">
        <v>5</v>
      </c>
      <c r="G139" s="16" t="s">
        <v>1130</v>
      </c>
      <c r="H139" s="16" t="s">
        <v>1190</v>
      </c>
      <c r="I139" s="16" t="s">
        <v>1140</v>
      </c>
      <c r="J139" s="16"/>
      <c r="K139" s="13"/>
      <c r="L139" s="275">
        <v>176</v>
      </c>
      <c r="M139" s="13"/>
      <c r="N139" s="13"/>
      <c r="O139" s="13"/>
      <c r="P139" s="13"/>
      <c r="Q139" s="13"/>
      <c r="R139" s="13"/>
      <c r="S139" s="13"/>
      <c r="T139" s="13"/>
      <c r="U139" s="13"/>
      <c r="V139" s="13"/>
      <c r="W139" s="13"/>
      <c r="X139" s="13"/>
      <c r="Y139" s="13"/>
      <c r="Z139" s="13"/>
      <c r="AA139" s="13"/>
      <c r="AB139" s="13"/>
    </row>
    <row r="140" spans="1:28" ht="13.2">
      <c r="A140" s="53">
        <f t="shared" si="4"/>
        <v>139</v>
      </c>
      <c r="B140" s="13" t="s">
        <v>1304</v>
      </c>
      <c r="C140" s="16" t="s">
        <v>1135</v>
      </c>
      <c r="D140" s="16">
        <f t="shared" si="0"/>
        <v>700</v>
      </c>
      <c r="E140" s="16">
        <f t="shared" si="1"/>
        <v>934</v>
      </c>
      <c r="F140" s="16">
        <v>3</v>
      </c>
      <c r="G140" s="16" t="s">
        <v>1130</v>
      </c>
      <c r="H140" s="16" t="s">
        <v>1190</v>
      </c>
      <c r="I140" s="16" t="s">
        <v>1140</v>
      </c>
      <c r="J140" s="16"/>
      <c r="K140" s="13"/>
      <c r="L140" s="275">
        <v>176</v>
      </c>
      <c r="M140" s="13"/>
      <c r="N140" s="13"/>
      <c r="O140" s="13"/>
      <c r="P140" s="13"/>
      <c r="Q140" s="13"/>
      <c r="R140" s="13"/>
      <c r="S140" s="13"/>
      <c r="T140" s="13"/>
      <c r="U140" s="13"/>
      <c r="V140" s="13"/>
      <c r="W140" s="13"/>
      <c r="X140" s="13"/>
      <c r="Y140" s="13"/>
      <c r="Z140" s="13"/>
      <c r="AA140" s="13"/>
      <c r="AB140" s="13"/>
    </row>
    <row r="141" spans="1:28" ht="13.2">
      <c r="A141" s="53">
        <f t="shared" si="4"/>
        <v>140</v>
      </c>
      <c r="B141" s="13" t="s">
        <v>1305</v>
      </c>
      <c r="C141" s="16" t="s">
        <v>1145</v>
      </c>
      <c r="D141" s="16">
        <f t="shared" si="0"/>
        <v>2000</v>
      </c>
      <c r="E141" s="16">
        <f t="shared" si="1"/>
        <v>3070</v>
      </c>
      <c r="F141" s="16">
        <v>5</v>
      </c>
      <c r="G141" s="16" t="s">
        <v>1130</v>
      </c>
      <c r="H141" s="16" t="s">
        <v>1190</v>
      </c>
      <c r="I141" s="16" t="s">
        <v>1140</v>
      </c>
      <c r="J141" s="16"/>
      <c r="K141" s="13"/>
      <c r="L141" s="275">
        <v>176</v>
      </c>
      <c r="M141" s="13"/>
      <c r="N141" s="13"/>
      <c r="O141" s="13"/>
      <c r="P141" s="13"/>
      <c r="Q141" s="13"/>
      <c r="R141" s="13"/>
      <c r="S141" s="13"/>
      <c r="T141" s="13"/>
      <c r="U141" s="13"/>
      <c r="V141" s="13"/>
      <c r="W141" s="13"/>
      <c r="X141" s="13"/>
      <c r="Y141" s="13"/>
      <c r="Z141" s="13"/>
      <c r="AA141" s="13"/>
      <c r="AB141" s="13"/>
    </row>
    <row r="142" spans="1:28" ht="13.2">
      <c r="A142" s="53">
        <f t="shared" si="4"/>
        <v>141</v>
      </c>
      <c r="B142" s="13" t="s">
        <v>1306</v>
      </c>
      <c r="C142" s="16" t="s">
        <v>1135</v>
      </c>
      <c r="D142" s="16">
        <f t="shared" si="0"/>
        <v>700</v>
      </c>
      <c r="E142" s="16">
        <f t="shared" si="1"/>
        <v>934</v>
      </c>
      <c r="F142" s="16">
        <v>3</v>
      </c>
      <c r="G142" s="16" t="s">
        <v>1130</v>
      </c>
      <c r="H142" s="16" t="s">
        <v>1190</v>
      </c>
      <c r="I142" s="16" t="s">
        <v>1140</v>
      </c>
      <c r="J142" s="16"/>
      <c r="K142" s="13"/>
      <c r="L142" s="275">
        <v>176</v>
      </c>
      <c r="M142" s="13"/>
      <c r="N142" s="13"/>
      <c r="O142" s="13"/>
      <c r="P142" s="13"/>
      <c r="Q142" s="13"/>
      <c r="R142" s="13"/>
      <c r="S142" s="13"/>
      <c r="T142" s="13"/>
      <c r="U142" s="13"/>
      <c r="V142" s="13"/>
      <c r="W142" s="13"/>
      <c r="X142" s="13"/>
      <c r="Y142" s="13"/>
      <c r="Z142" s="13"/>
      <c r="AA142" s="13"/>
      <c r="AB142" s="13"/>
    </row>
    <row r="143" spans="1:28" ht="13.2">
      <c r="A143" s="53">
        <f t="shared" si="4"/>
        <v>142</v>
      </c>
      <c r="B143" s="13" t="s">
        <v>1307</v>
      </c>
      <c r="C143" s="16" t="s">
        <v>1137</v>
      </c>
      <c r="D143" s="16">
        <f t="shared" si="0"/>
        <v>1100</v>
      </c>
      <c r="E143" s="16">
        <f t="shared" si="1"/>
        <v>1596</v>
      </c>
      <c r="F143" s="16">
        <v>4</v>
      </c>
      <c r="G143" s="16" t="s">
        <v>1130</v>
      </c>
      <c r="H143" s="16" t="s">
        <v>1190</v>
      </c>
      <c r="I143" s="16" t="s">
        <v>1140</v>
      </c>
      <c r="J143" s="16"/>
      <c r="K143" s="13"/>
      <c r="L143" s="275">
        <v>176</v>
      </c>
      <c r="M143" s="13"/>
      <c r="N143" s="13"/>
      <c r="O143" s="13"/>
      <c r="P143" s="13"/>
      <c r="Q143" s="13"/>
      <c r="R143" s="13"/>
      <c r="S143" s="13"/>
      <c r="T143" s="13"/>
      <c r="U143" s="13"/>
      <c r="V143" s="13"/>
      <c r="W143" s="13"/>
      <c r="X143" s="13"/>
      <c r="Y143" s="13"/>
      <c r="Z143" s="13"/>
      <c r="AA143" s="13"/>
      <c r="AB143" s="13"/>
    </row>
    <row r="144" spans="1:28" ht="13.2">
      <c r="A144" s="53">
        <f t="shared" si="4"/>
        <v>143</v>
      </c>
      <c r="B144" s="13" t="s">
        <v>1308</v>
      </c>
      <c r="C144" s="16" t="s">
        <v>1135</v>
      </c>
      <c r="D144" s="16">
        <f t="shared" si="0"/>
        <v>700</v>
      </c>
      <c r="E144" s="16">
        <f t="shared" si="1"/>
        <v>934</v>
      </c>
      <c r="F144" s="16">
        <v>3</v>
      </c>
      <c r="G144" s="16" t="s">
        <v>1130</v>
      </c>
      <c r="H144" s="16" t="s">
        <v>1190</v>
      </c>
      <c r="I144" s="16" t="s">
        <v>1140</v>
      </c>
      <c r="J144" s="16"/>
      <c r="K144" s="13"/>
      <c r="L144" s="275">
        <v>176</v>
      </c>
      <c r="M144" s="13"/>
      <c r="N144" s="13"/>
      <c r="O144" s="13"/>
      <c r="P144" s="13"/>
      <c r="Q144" s="13"/>
      <c r="R144" s="13"/>
      <c r="S144" s="13"/>
      <c r="T144" s="13"/>
      <c r="U144" s="13"/>
      <c r="V144" s="13"/>
      <c r="W144" s="13"/>
      <c r="X144" s="13"/>
      <c r="Y144" s="13"/>
      <c r="Z144" s="13"/>
      <c r="AA144" s="13"/>
      <c r="AB144" s="13"/>
    </row>
    <row r="145" spans="1:28" ht="13.2">
      <c r="A145" s="53">
        <f t="shared" si="4"/>
        <v>144</v>
      </c>
      <c r="B145" s="13" t="s">
        <v>1309</v>
      </c>
      <c r="C145" s="16" t="s">
        <v>1135</v>
      </c>
      <c r="D145" s="16">
        <f t="shared" si="0"/>
        <v>700</v>
      </c>
      <c r="E145" s="16">
        <f t="shared" si="1"/>
        <v>952</v>
      </c>
      <c r="F145" s="16">
        <v>3</v>
      </c>
      <c r="G145" s="16" t="s">
        <v>1130</v>
      </c>
      <c r="H145" s="16"/>
      <c r="I145" s="16"/>
      <c r="J145" s="16"/>
      <c r="K145" s="13"/>
      <c r="L145" s="275">
        <v>177</v>
      </c>
      <c r="M145" s="13"/>
      <c r="N145" s="13"/>
      <c r="O145" s="13"/>
      <c r="P145" s="13"/>
      <c r="Q145" s="13"/>
      <c r="R145" s="13"/>
      <c r="S145" s="13"/>
      <c r="T145" s="13"/>
      <c r="U145" s="13"/>
      <c r="V145" s="13"/>
      <c r="W145" s="13"/>
      <c r="X145" s="13"/>
      <c r="Y145" s="13"/>
      <c r="Z145" s="13"/>
      <c r="AA145" s="13"/>
      <c r="AB145" s="13"/>
    </row>
    <row r="146" spans="1:28" ht="13.2">
      <c r="A146" s="53">
        <f t="shared" si="4"/>
        <v>145</v>
      </c>
      <c r="B146" s="13" t="s">
        <v>1310</v>
      </c>
      <c r="C146" s="16" t="s">
        <v>1145</v>
      </c>
      <c r="D146" s="16">
        <f t="shared" si="0"/>
        <v>2000</v>
      </c>
      <c r="E146" s="16">
        <f t="shared" si="1"/>
        <v>3045</v>
      </c>
      <c r="F146" s="16">
        <v>5</v>
      </c>
      <c r="G146" s="16" t="s">
        <v>1130</v>
      </c>
      <c r="H146" s="16"/>
      <c r="I146" s="16"/>
      <c r="J146" s="16"/>
      <c r="K146" s="13"/>
      <c r="L146" s="275">
        <v>178</v>
      </c>
      <c r="M146" s="13"/>
      <c r="N146" s="13"/>
      <c r="O146" s="13"/>
      <c r="P146" s="13"/>
      <c r="Q146" s="13"/>
      <c r="R146" s="13"/>
      <c r="S146" s="13"/>
      <c r="T146" s="13"/>
      <c r="U146" s="13"/>
      <c r="V146" s="13"/>
      <c r="W146" s="13"/>
      <c r="X146" s="13"/>
      <c r="Y146" s="13"/>
      <c r="Z146" s="13"/>
      <c r="AA146" s="13"/>
      <c r="AB146" s="13"/>
    </row>
    <row r="147" spans="1:28" ht="13.2">
      <c r="A147" s="53">
        <f t="shared" si="4"/>
        <v>146</v>
      </c>
      <c r="B147" s="13" t="s">
        <v>1311</v>
      </c>
      <c r="C147" s="16" t="s">
        <v>1126</v>
      </c>
      <c r="D147" s="16">
        <f t="shared" si="0"/>
        <v>300</v>
      </c>
      <c r="E147" s="16">
        <f t="shared" si="1"/>
        <v>366</v>
      </c>
      <c r="F147" s="16">
        <v>2</v>
      </c>
      <c r="G147" s="16" t="s">
        <v>1173</v>
      </c>
      <c r="H147" s="16" t="s">
        <v>1312</v>
      </c>
      <c r="I147" s="16"/>
      <c r="J147" s="16"/>
      <c r="K147" s="13"/>
      <c r="L147" s="275">
        <v>178</v>
      </c>
      <c r="M147" s="13"/>
      <c r="N147" s="13"/>
      <c r="O147" s="13"/>
      <c r="P147" s="13"/>
      <c r="Q147" s="13"/>
      <c r="R147" s="13"/>
      <c r="S147" s="13"/>
      <c r="T147" s="13"/>
      <c r="U147" s="13"/>
      <c r="V147" s="13"/>
      <c r="W147" s="13"/>
      <c r="X147" s="13"/>
      <c r="Y147" s="13"/>
      <c r="Z147" s="13"/>
      <c r="AA147" s="13"/>
      <c r="AB147" s="13"/>
    </row>
    <row r="148" spans="1:28" ht="13.2">
      <c r="A148" s="53">
        <f t="shared" si="4"/>
        <v>147</v>
      </c>
      <c r="B148" s="13" t="s">
        <v>1313</v>
      </c>
      <c r="C148" s="16" t="s">
        <v>1126</v>
      </c>
      <c r="D148" s="16">
        <f t="shared" si="0"/>
        <v>300</v>
      </c>
      <c r="E148" s="16">
        <f t="shared" si="1"/>
        <v>378</v>
      </c>
      <c r="F148" s="16">
        <v>2</v>
      </c>
      <c r="G148" s="16" t="s">
        <v>1130</v>
      </c>
      <c r="H148" s="16" t="s">
        <v>1160</v>
      </c>
      <c r="I148" s="16"/>
      <c r="J148" s="16"/>
      <c r="K148" s="13"/>
      <c r="L148" s="275">
        <v>179</v>
      </c>
      <c r="M148" s="13"/>
      <c r="N148" s="13"/>
      <c r="O148" s="13"/>
      <c r="P148" s="13"/>
      <c r="Q148" s="13"/>
      <c r="R148" s="13"/>
      <c r="S148" s="13"/>
      <c r="T148" s="13"/>
      <c r="U148" s="13"/>
      <c r="V148" s="13"/>
      <c r="W148" s="13"/>
      <c r="X148" s="13"/>
      <c r="Y148" s="13"/>
      <c r="Z148" s="13"/>
      <c r="AA148" s="13"/>
      <c r="AB148" s="13"/>
    </row>
    <row r="149" spans="1:28" ht="13.2">
      <c r="A149" s="53">
        <f t="shared" si="4"/>
        <v>148</v>
      </c>
      <c r="B149" s="13" t="s">
        <v>1314</v>
      </c>
      <c r="C149" s="16" t="s">
        <v>1126</v>
      </c>
      <c r="D149" s="16">
        <f t="shared" si="0"/>
        <v>300</v>
      </c>
      <c r="E149" s="16">
        <f t="shared" si="1"/>
        <v>366</v>
      </c>
      <c r="F149" s="16">
        <v>2</v>
      </c>
      <c r="G149" s="16" t="s">
        <v>1130</v>
      </c>
      <c r="H149" s="16"/>
      <c r="I149" s="16"/>
      <c r="J149" s="16"/>
      <c r="K149" s="13"/>
      <c r="L149" s="275">
        <v>179</v>
      </c>
      <c r="M149" s="13"/>
      <c r="N149" s="13"/>
      <c r="O149" s="13"/>
      <c r="P149" s="13"/>
      <c r="Q149" s="13"/>
      <c r="R149" s="13"/>
      <c r="S149" s="13"/>
      <c r="T149" s="13"/>
      <c r="U149" s="13"/>
      <c r="V149" s="13"/>
      <c r="W149" s="13"/>
      <c r="X149" s="13"/>
      <c r="Y149" s="13"/>
      <c r="Z149" s="13"/>
      <c r="AA149" s="13"/>
      <c r="AB149" s="13"/>
    </row>
    <row r="150" spans="1:28" ht="13.2">
      <c r="A150" s="53">
        <f t="shared" si="4"/>
        <v>149</v>
      </c>
      <c r="B150" s="13" t="s">
        <v>1315</v>
      </c>
      <c r="C150" s="16" t="s">
        <v>1145</v>
      </c>
      <c r="D150" s="16">
        <f t="shared" si="0"/>
        <v>2000</v>
      </c>
      <c r="E150" s="16">
        <f t="shared" si="1"/>
        <v>3045</v>
      </c>
      <c r="F150" s="16">
        <v>5</v>
      </c>
      <c r="G150" s="16" t="s">
        <v>1173</v>
      </c>
      <c r="H150" s="16" t="s">
        <v>1211</v>
      </c>
      <c r="I150" s="16" t="s">
        <v>1140</v>
      </c>
      <c r="J150" s="16"/>
      <c r="K150" s="13"/>
      <c r="L150" s="275">
        <v>179</v>
      </c>
      <c r="M150" s="13"/>
      <c r="N150" s="13"/>
      <c r="O150" s="13"/>
      <c r="P150" s="13"/>
      <c r="Q150" s="13"/>
      <c r="R150" s="13"/>
      <c r="S150" s="13"/>
      <c r="T150" s="13"/>
      <c r="U150" s="13"/>
      <c r="V150" s="13"/>
      <c r="W150" s="13"/>
      <c r="X150" s="13"/>
      <c r="Y150" s="13"/>
      <c r="Z150" s="13"/>
      <c r="AA150" s="13"/>
      <c r="AB150" s="13"/>
    </row>
    <row r="151" spans="1:28" ht="13.2">
      <c r="A151" s="53">
        <f t="shared" si="4"/>
        <v>150</v>
      </c>
      <c r="B151" s="13" t="s">
        <v>1316</v>
      </c>
      <c r="C151" s="16" t="s">
        <v>1135</v>
      </c>
      <c r="D151" s="16">
        <f t="shared" si="0"/>
        <v>700</v>
      </c>
      <c r="E151" s="16">
        <f t="shared" si="1"/>
        <v>919</v>
      </c>
      <c r="F151" s="16">
        <v>3</v>
      </c>
      <c r="G151" s="16" t="s">
        <v>1173</v>
      </c>
      <c r="H151" s="16" t="s">
        <v>1317</v>
      </c>
      <c r="I151" s="16" t="s">
        <v>1140</v>
      </c>
      <c r="J151" s="16"/>
      <c r="K151" s="13"/>
      <c r="L151" s="275">
        <v>179</v>
      </c>
      <c r="M151" s="13"/>
      <c r="N151" s="13"/>
      <c r="O151" s="13"/>
      <c r="P151" s="13"/>
      <c r="Q151" s="13"/>
      <c r="R151" s="13"/>
      <c r="S151" s="13"/>
      <c r="T151" s="13"/>
      <c r="U151" s="13"/>
      <c r="V151" s="13"/>
      <c r="W151" s="13"/>
      <c r="X151" s="13"/>
      <c r="Y151" s="13"/>
      <c r="Z151" s="13"/>
      <c r="AA151" s="13"/>
      <c r="AB151" s="13"/>
    </row>
    <row r="152" spans="1:28" ht="13.2">
      <c r="A152" s="53">
        <f t="shared" si="4"/>
        <v>151</v>
      </c>
      <c r="B152" s="13" t="s">
        <v>1318</v>
      </c>
      <c r="C152" s="16" t="s">
        <v>1135</v>
      </c>
      <c r="D152" s="16">
        <f t="shared" si="0"/>
        <v>700</v>
      </c>
      <c r="E152" s="16">
        <f t="shared" si="1"/>
        <v>940</v>
      </c>
      <c r="F152" s="16">
        <v>3</v>
      </c>
      <c r="G152" s="16" t="s">
        <v>1173</v>
      </c>
      <c r="H152" s="16" t="s">
        <v>1317</v>
      </c>
      <c r="I152" s="16"/>
      <c r="J152" s="16"/>
      <c r="K152" s="13"/>
      <c r="L152" s="275">
        <v>179</v>
      </c>
      <c r="M152" s="13"/>
      <c r="N152" s="13"/>
      <c r="O152" s="13"/>
      <c r="P152" s="13"/>
      <c r="Q152" s="13"/>
      <c r="R152" s="13"/>
      <c r="S152" s="13"/>
      <c r="T152" s="13"/>
      <c r="U152" s="13"/>
      <c r="V152" s="13"/>
      <c r="W152" s="13"/>
      <c r="X152" s="13"/>
      <c r="Y152" s="13"/>
      <c r="Z152" s="13"/>
      <c r="AA152" s="13"/>
      <c r="AB152" s="13"/>
    </row>
    <row r="153" spans="1:28" ht="13.2">
      <c r="A153" s="53">
        <f t="shared" si="4"/>
        <v>152</v>
      </c>
      <c r="B153" s="13" t="s">
        <v>1319</v>
      </c>
      <c r="C153" s="16" t="s">
        <v>1135</v>
      </c>
      <c r="D153" s="16">
        <f t="shared" si="0"/>
        <v>700</v>
      </c>
      <c r="E153" s="16">
        <f t="shared" si="1"/>
        <v>922</v>
      </c>
      <c r="F153" s="16">
        <v>3</v>
      </c>
      <c r="G153" s="16" t="s">
        <v>1173</v>
      </c>
      <c r="H153" s="16" t="s">
        <v>1317</v>
      </c>
      <c r="I153" s="16" t="s">
        <v>1140</v>
      </c>
      <c r="J153" s="16"/>
      <c r="K153" s="13"/>
      <c r="L153" s="275">
        <v>180</v>
      </c>
      <c r="M153" s="13"/>
      <c r="N153" s="13"/>
      <c r="O153" s="13"/>
      <c r="P153" s="13"/>
      <c r="Q153" s="13"/>
      <c r="R153" s="13"/>
      <c r="S153" s="13"/>
      <c r="T153" s="13"/>
      <c r="U153" s="13"/>
      <c r="V153" s="13"/>
      <c r="W153" s="13"/>
      <c r="X153" s="13"/>
      <c r="Y153" s="13"/>
      <c r="Z153" s="13"/>
      <c r="AA153" s="13"/>
      <c r="AB153" s="13"/>
    </row>
    <row r="154" spans="1:28" ht="13.2">
      <c r="A154" s="53">
        <f t="shared" si="4"/>
        <v>153</v>
      </c>
      <c r="B154" s="13" t="s">
        <v>1320</v>
      </c>
      <c r="C154" s="16" t="s">
        <v>1135</v>
      </c>
      <c r="D154" s="16">
        <f t="shared" si="0"/>
        <v>700</v>
      </c>
      <c r="E154" s="16">
        <f t="shared" si="1"/>
        <v>940</v>
      </c>
      <c r="F154" s="16">
        <v>3</v>
      </c>
      <c r="G154" s="16" t="s">
        <v>1130</v>
      </c>
      <c r="H154" s="16" t="s">
        <v>1192</v>
      </c>
      <c r="I154" s="16" t="s">
        <v>1140</v>
      </c>
      <c r="J154" s="16"/>
      <c r="K154" s="13"/>
      <c r="L154" s="275">
        <v>180</v>
      </c>
      <c r="M154" s="13"/>
      <c r="N154" s="13"/>
      <c r="O154" s="13"/>
      <c r="P154" s="13"/>
      <c r="Q154" s="13"/>
      <c r="R154" s="13"/>
      <c r="S154" s="13"/>
      <c r="T154" s="13"/>
      <c r="U154" s="13"/>
      <c r="V154" s="13"/>
      <c r="W154" s="13"/>
      <c r="X154" s="13"/>
      <c r="Y154" s="13"/>
      <c r="Z154" s="13"/>
      <c r="AA154" s="13"/>
      <c r="AB154" s="13"/>
    </row>
    <row r="155" spans="1:28" ht="13.2">
      <c r="A155" s="53">
        <f t="shared" si="4"/>
        <v>154</v>
      </c>
      <c r="B155" s="13" t="s">
        <v>1321</v>
      </c>
      <c r="C155" s="16" t="s">
        <v>1137</v>
      </c>
      <c r="D155" s="16">
        <f t="shared" si="0"/>
        <v>1100</v>
      </c>
      <c r="E155" s="16">
        <f t="shared" si="1"/>
        <v>1556</v>
      </c>
      <c r="F155" s="16">
        <v>4</v>
      </c>
      <c r="G155" s="16" t="s">
        <v>1130</v>
      </c>
      <c r="H155" s="16" t="s">
        <v>1322</v>
      </c>
      <c r="I155" s="16"/>
      <c r="J155" s="16"/>
      <c r="K155" s="13"/>
      <c r="L155" s="275">
        <v>180</v>
      </c>
      <c r="M155" s="13"/>
      <c r="N155" s="13"/>
      <c r="O155" s="13"/>
      <c r="P155" s="13"/>
      <c r="Q155" s="13"/>
      <c r="R155" s="13"/>
      <c r="S155" s="13"/>
      <c r="T155" s="13"/>
      <c r="U155" s="13"/>
      <c r="V155" s="13"/>
      <c r="W155" s="13"/>
      <c r="X155" s="13"/>
      <c r="Y155" s="13"/>
      <c r="Z155" s="13"/>
      <c r="AA155" s="13"/>
      <c r="AB155" s="13"/>
    </row>
    <row r="156" spans="1:28" ht="13.2">
      <c r="A156" s="53">
        <f t="shared" si="4"/>
        <v>155</v>
      </c>
      <c r="B156" s="13" t="s">
        <v>1323</v>
      </c>
      <c r="C156" s="16" t="s">
        <v>1137</v>
      </c>
      <c r="D156" s="16">
        <f t="shared" si="0"/>
        <v>1100</v>
      </c>
      <c r="E156" s="16">
        <f t="shared" si="1"/>
        <v>1580</v>
      </c>
      <c r="F156" s="16">
        <v>4</v>
      </c>
      <c r="G156" s="16" t="s">
        <v>1130</v>
      </c>
      <c r="H156" s="16" t="s">
        <v>1322</v>
      </c>
      <c r="I156" s="16"/>
      <c r="J156" s="16"/>
      <c r="K156" s="13"/>
      <c r="L156" s="275">
        <v>180</v>
      </c>
      <c r="M156" s="13"/>
      <c r="N156" s="13"/>
      <c r="O156" s="13"/>
      <c r="P156" s="13"/>
      <c r="Q156" s="13"/>
      <c r="R156" s="13"/>
      <c r="S156" s="13"/>
      <c r="T156" s="13"/>
      <c r="U156" s="13"/>
      <c r="V156" s="13"/>
      <c r="W156" s="13"/>
      <c r="X156" s="13"/>
      <c r="Y156" s="13"/>
      <c r="Z156" s="13"/>
      <c r="AA156" s="13"/>
      <c r="AB156" s="13"/>
    </row>
    <row r="157" spans="1:28" ht="13.2">
      <c r="A157" s="53">
        <f t="shared" si="4"/>
        <v>156</v>
      </c>
      <c r="B157" s="13" t="s">
        <v>1324</v>
      </c>
      <c r="C157" s="16" t="s">
        <v>1137</v>
      </c>
      <c r="D157" s="16">
        <f t="shared" si="0"/>
        <v>1100</v>
      </c>
      <c r="E157" s="16">
        <f t="shared" si="1"/>
        <v>1556</v>
      </c>
      <c r="F157" s="16">
        <v>4</v>
      </c>
      <c r="G157" s="16" t="s">
        <v>1130</v>
      </c>
      <c r="H157" s="16" t="s">
        <v>1322</v>
      </c>
      <c r="I157" s="16"/>
      <c r="J157" s="16"/>
      <c r="K157" s="13"/>
      <c r="L157" s="275">
        <v>180</v>
      </c>
      <c r="M157" s="13"/>
      <c r="N157" s="13"/>
      <c r="O157" s="13"/>
      <c r="P157" s="13"/>
      <c r="Q157" s="13"/>
      <c r="R157" s="13"/>
      <c r="S157" s="13"/>
      <c r="T157" s="13"/>
      <c r="U157" s="13"/>
      <c r="V157" s="13"/>
      <c r="W157" s="13"/>
      <c r="X157" s="13"/>
      <c r="Y157" s="13"/>
      <c r="Z157" s="13"/>
      <c r="AA157" s="13"/>
      <c r="AB157" s="13"/>
    </row>
    <row r="158" spans="1:28" ht="13.2">
      <c r="A158" s="53">
        <f t="shared" si="4"/>
        <v>157</v>
      </c>
      <c r="B158" s="13" t="s">
        <v>1325</v>
      </c>
      <c r="C158" s="16" t="s">
        <v>1137</v>
      </c>
      <c r="D158" s="16">
        <f t="shared" si="0"/>
        <v>1100</v>
      </c>
      <c r="E158" s="16">
        <f t="shared" si="1"/>
        <v>1584</v>
      </c>
      <c r="F158" s="16">
        <v>4</v>
      </c>
      <c r="G158" s="16" t="s">
        <v>1130</v>
      </c>
      <c r="H158" s="16" t="s">
        <v>1322</v>
      </c>
      <c r="I158" s="16"/>
      <c r="J158" s="16"/>
      <c r="K158" s="13"/>
      <c r="L158" s="275">
        <v>181</v>
      </c>
      <c r="M158" s="13"/>
      <c r="N158" s="13"/>
      <c r="O158" s="13"/>
      <c r="P158" s="13"/>
      <c r="Q158" s="13"/>
      <c r="R158" s="13"/>
      <c r="S158" s="13"/>
      <c r="T158" s="13"/>
      <c r="U158" s="13"/>
      <c r="V158" s="13"/>
      <c r="W158" s="13"/>
      <c r="X158" s="13"/>
      <c r="Y158" s="13"/>
      <c r="Z158" s="13"/>
      <c r="AA158" s="13"/>
      <c r="AB158" s="13"/>
    </row>
    <row r="159" spans="1:28" ht="13.2">
      <c r="A159" s="53">
        <f t="shared" si="4"/>
        <v>158</v>
      </c>
      <c r="B159" s="13" t="s">
        <v>1326</v>
      </c>
      <c r="C159" s="16" t="s">
        <v>1126</v>
      </c>
      <c r="D159" s="16">
        <f t="shared" si="0"/>
        <v>300</v>
      </c>
      <c r="E159" s="16">
        <f t="shared" si="1"/>
        <v>370</v>
      </c>
      <c r="F159" s="16">
        <v>2</v>
      </c>
      <c r="G159" s="16" t="s">
        <v>1127</v>
      </c>
      <c r="H159" s="16" t="s">
        <v>1147</v>
      </c>
      <c r="I159" s="16"/>
      <c r="J159" s="16"/>
      <c r="K159" s="13"/>
      <c r="L159" s="275">
        <v>181</v>
      </c>
      <c r="M159" s="13"/>
      <c r="N159" s="13"/>
      <c r="O159" s="13"/>
      <c r="P159" s="13"/>
      <c r="Q159" s="13"/>
      <c r="R159" s="13"/>
      <c r="S159" s="13"/>
      <c r="T159" s="13"/>
      <c r="U159" s="13"/>
      <c r="V159" s="13"/>
      <c r="W159" s="13"/>
      <c r="X159" s="13"/>
      <c r="Y159" s="13"/>
      <c r="Z159" s="13"/>
      <c r="AA159" s="13"/>
      <c r="AB159" s="13"/>
    </row>
    <row r="160" spans="1:28" ht="13.2">
      <c r="A160" s="53">
        <f t="shared" si="4"/>
        <v>159</v>
      </c>
      <c r="B160" s="13" t="s">
        <v>1327</v>
      </c>
      <c r="C160" s="16" t="s">
        <v>1126</v>
      </c>
      <c r="D160" s="16">
        <f t="shared" si="0"/>
        <v>300</v>
      </c>
      <c r="E160" s="16">
        <f t="shared" si="1"/>
        <v>382</v>
      </c>
      <c r="F160" s="16">
        <v>2</v>
      </c>
      <c r="G160" s="16" t="s">
        <v>1130</v>
      </c>
      <c r="H160" s="16" t="s">
        <v>1139</v>
      </c>
      <c r="I160" s="16" t="s">
        <v>1140</v>
      </c>
      <c r="J160" s="16"/>
      <c r="K160" s="13"/>
      <c r="L160" s="275">
        <v>181</v>
      </c>
      <c r="M160" s="13"/>
      <c r="N160" s="13"/>
      <c r="O160" s="13"/>
      <c r="P160" s="13"/>
      <c r="Q160" s="13"/>
      <c r="R160" s="13"/>
      <c r="S160" s="13"/>
      <c r="T160" s="13"/>
      <c r="U160" s="13"/>
      <c r="V160" s="13"/>
      <c r="W160" s="13"/>
      <c r="X160" s="13"/>
      <c r="Y160" s="13"/>
      <c r="Z160" s="13"/>
      <c r="AA160" s="13"/>
      <c r="AB160" s="13"/>
    </row>
    <row r="161" spans="1:28" ht="13.2">
      <c r="A161" s="53">
        <f t="shared" si="4"/>
        <v>160</v>
      </c>
      <c r="B161" s="13" t="s">
        <v>1328</v>
      </c>
      <c r="C161" s="16" t="s">
        <v>1137</v>
      </c>
      <c r="D161" s="16">
        <f t="shared" si="0"/>
        <v>1100</v>
      </c>
      <c r="E161" s="16">
        <f t="shared" si="1"/>
        <v>1560</v>
      </c>
      <c r="F161" s="16">
        <v>4</v>
      </c>
      <c r="G161" s="16" t="s">
        <v>1130</v>
      </c>
      <c r="H161" s="16"/>
      <c r="I161" s="16"/>
      <c r="J161" s="16"/>
      <c r="K161" s="13"/>
      <c r="L161" s="275">
        <v>181</v>
      </c>
      <c r="M161" s="13"/>
      <c r="N161" s="13"/>
      <c r="O161" s="13"/>
      <c r="P161" s="13"/>
      <c r="Q161" s="13"/>
      <c r="R161" s="13"/>
      <c r="S161" s="13"/>
      <c r="T161" s="13"/>
      <c r="U161" s="13"/>
      <c r="V161" s="13"/>
      <c r="W161" s="13"/>
      <c r="X161" s="13"/>
      <c r="Y161" s="13"/>
      <c r="Z161" s="13"/>
      <c r="AA161" s="13"/>
      <c r="AB161" s="13"/>
    </row>
    <row r="162" spans="1:28" ht="13.2">
      <c r="A162" s="53">
        <f t="shared" si="4"/>
        <v>161</v>
      </c>
      <c r="B162" s="13" t="s">
        <v>1329</v>
      </c>
      <c r="C162" s="16" t="s">
        <v>1126</v>
      </c>
      <c r="D162" s="16">
        <f t="shared" si="0"/>
        <v>300</v>
      </c>
      <c r="E162" s="16">
        <f t="shared" si="1"/>
        <v>382</v>
      </c>
      <c r="F162" s="16">
        <v>2</v>
      </c>
      <c r="G162" s="16" t="s">
        <v>1127</v>
      </c>
      <c r="H162" s="16" t="s">
        <v>1128</v>
      </c>
      <c r="I162" s="16"/>
      <c r="J162" s="16"/>
      <c r="K162" s="13"/>
      <c r="L162" s="275">
        <v>182</v>
      </c>
      <c r="M162" s="13"/>
      <c r="N162" s="13"/>
      <c r="O162" s="13"/>
      <c r="P162" s="13"/>
      <c r="Q162" s="13"/>
      <c r="R162" s="13"/>
      <c r="S162" s="13"/>
      <c r="T162" s="13"/>
      <c r="U162" s="13"/>
      <c r="V162" s="13"/>
      <c r="W162" s="13"/>
      <c r="X162" s="13"/>
      <c r="Y162" s="13"/>
      <c r="Z162" s="13"/>
      <c r="AA162" s="13"/>
      <c r="AB162" s="13"/>
    </row>
    <row r="163" spans="1:28" ht="13.2">
      <c r="A163" s="53">
        <f t="shared" si="4"/>
        <v>162</v>
      </c>
      <c r="B163" s="13" t="s">
        <v>1330</v>
      </c>
      <c r="C163" s="16" t="s">
        <v>1126</v>
      </c>
      <c r="D163" s="16">
        <f t="shared" si="0"/>
        <v>300</v>
      </c>
      <c r="E163" s="16">
        <f t="shared" si="1"/>
        <v>370</v>
      </c>
      <c r="F163" s="16">
        <v>2</v>
      </c>
      <c r="G163" s="16" t="s">
        <v>1130</v>
      </c>
      <c r="H163" s="16" t="s">
        <v>1139</v>
      </c>
      <c r="I163" s="16" t="s">
        <v>1140</v>
      </c>
      <c r="J163" s="16"/>
      <c r="K163" s="13"/>
      <c r="L163" s="275">
        <v>182</v>
      </c>
      <c r="M163" s="13"/>
      <c r="N163" s="13"/>
      <c r="O163" s="13"/>
      <c r="P163" s="13"/>
      <c r="Q163" s="13"/>
      <c r="R163" s="13"/>
      <c r="S163" s="13"/>
      <c r="T163" s="13"/>
      <c r="U163" s="13"/>
      <c r="V163" s="13"/>
      <c r="W163" s="13"/>
      <c r="X163" s="13"/>
      <c r="Y163" s="13"/>
      <c r="Z163" s="13"/>
      <c r="AA163" s="13"/>
      <c r="AB163" s="13"/>
    </row>
    <row r="164" spans="1:28" ht="13.2">
      <c r="A164" s="53">
        <f t="shared" si="4"/>
        <v>163</v>
      </c>
      <c r="B164" s="13" t="s">
        <v>1331</v>
      </c>
      <c r="C164" s="16" t="s">
        <v>1135</v>
      </c>
      <c r="D164" s="16">
        <f t="shared" si="0"/>
        <v>700</v>
      </c>
      <c r="E164" s="16">
        <f t="shared" si="1"/>
        <v>946</v>
      </c>
      <c r="F164" s="16">
        <v>3</v>
      </c>
      <c r="G164" s="16" t="s">
        <v>1130</v>
      </c>
      <c r="H164" s="16" t="s">
        <v>1160</v>
      </c>
      <c r="I164" s="16"/>
      <c r="J164" s="16"/>
      <c r="K164" s="13"/>
      <c r="L164" s="275">
        <v>182</v>
      </c>
      <c r="M164" s="13"/>
      <c r="N164" s="13"/>
      <c r="O164" s="13"/>
      <c r="P164" s="13"/>
      <c r="Q164" s="13"/>
      <c r="R164" s="13"/>
      <c r="S164" s="13"/>
      <c r="T164" s="13"/>
      <c r="U164" s="13"/>
      <c r="V164" s="13"/>
      <c r="W164" s="13"/>
      <c r="X164" s="13"/>
      <c r="Y164" s="13"/>
      <c r="Z164" s="13"/>
      <c r="AA164" s="13"/>
      <c r="AB164" s="13"/>
    </row>
    <row r="165" spans="1:28" ht="13.2">
      <c r="A165" s="53">
        <f t="shared" si="4"/>
        <v>164</v>
      </c>
      <c r="B165" s="13" t="s">
        <v>1332</v>
      </c>
      <c r="C165" s="16" t="s">
        <v>1135</v>
      </c>
      <c r="D165" s="16">
        <f t="shared" si="0"/>
        <v>700</v>
      </c>
      <c r="E165" s="16">
        <f t="shared" si="1"/>
        <v>928</v>
      </c>
      <c r="F165" s="16">
        <v>3</v>
      </c>
      <c r="G165" s="16" t="s">
        <v>1130</v>
      </c>
      <c r="H165" s="16" t="s">
        <v>1139</v>
      </c>
      <c r="I165" s="16" t="s">
        <v>1140</v>
      </c>
      <c r="J165" s="16"/>
      <c r="K165" s="13" t="s">
        <v>1333</v>
      </c>
      <c r="L165" s="275">
        <v>182</v>
      </c>
      <c r="M165" s="13"/>
      <c r="N165" s="13"/>
      <c r="O165" s="13"/>
      <c r="P165" s="13"/>
      <c r="Q165" s="13"/>
      <c r="R165" s="13"/>
      <c r="S165" s="13"/>
      <c r="T165" s="13"/>
      <c r="U165" s="13"/>
      <c r="V165" s="13"/>
      <c r="W165" s="13"/>
      <c r="X165" s="13"/>
      <c r="Y165" s="13"/>
      <c r="Z165" s="13"/>
      <c r="AA165" s="13"/>
      <c r="AB165" s="13"/>
    </row>
    <row r="166" spans="1:28" ht="13.2">
      <c r="A166" s="53">
        <f t="shared" si="4"/>
        <v>165</v>
      </c>
      <c r="B166" s="13" t="s">
        <v>1334</v>
      </c>
      <c r="C166" s="16" t="s">
        <v>1137</v>
      </c>
      <c r="D166" s="16">
        <f t="shared" si="0"/>
        <v>1100</v>
      </c>
      <c r="E166" s="16">
        <f t="shared" si="1"/>
        <v>1588</v>
      </c>
      <c r="F166" s="16">
        <v>4</v>
      </c>
      <c r="G166" s="16" t="s">
        <v>1173</v>
      </c>
      <c r="H166" s="16" t="s">
        <v>1211</v>
      </c>
      <c r="I166" s="16" t="s">
        <v>1140</v>
      </c>
      <c r="J166" s="16"/>
      <c r="K166" s="13"/>
      <c r="L166" s="275">
        <v>183</v>
      </c>
      <c r="M166" s="13"/>
      <c r="N166" s="13"/>
      <c r="O166" s="13"/>
      <c r="P166" s="13"/>
      <c r="Q166" s="13"/>
      <c r="R166" s="13"/>
      <c r="S166" s="13"/>
      <c r="T166" s="13"/>
      <c r="U166" s="13"/>
      <c r="V166" s="13"/>
      <c r="W166" s="13"/>
      <c r="X166" s="13"/>
      <c r="Y166" s="13"/>
      <c r="Z166" s="13"/>
      <c r="AA166" s="13"/>
      <c r="AB166" s="13"/>
    </row>
    <row r="167" spans="1:28" ht="13.2">
      <c r="A167" s="53">
        <f t="shared" si="4"/>
        <v>166</v>
      </c>
      <c r="B167" s="13" t="s">
        <v>1335</v>
      </c>
      <c r="C167" s="16" t="s">
        <v>1137</v>
      </c>
      <c r="D167" s="16">
        <f t="shared" si="0"/>
        <v>1100</v>
      </c>
      <c r="E167" s="16">
        <f t="shared" si="1"/>
        <v>1564</v>
      </c>
      <c r="F167" s="16">
        <v>4</v>
      </c>
      <c r="G167" s="16" t="s">
        <v>1130</v>
      </c>
      <c r="H167" s="16" t="s">
        <v>1160</v>
      </c>
      <c r="I167" s="16"/>
      <c r="J167" s="16"/>
      <c r="K167" s="13"/>
      <c r="L167" s="275">
        <v>183</v>
      </c>
      <c r="M167" s="13"/>
      <c r="N167" s="13"/>
      <c r="O167" s="13"/>
      <c r="P167" s="13"/>
      <c r="Q167" s="13"/>
      <c r="R167" s="13"/>
      <c r="S167" s="13"/>
      <c r="T167" s="13"/>
      <c r="U167" s="13"/>
      <c r="V167" s="13"/>
      <c r="W167" s="13"/>
      <c r="X167" s="13"/>
      <c r="Y167" s="13"/>
      <c r="Z167" s="13"/>
      <c r="AA167" s="13"/>
      <c r="AB167" s="13"/>
    </row>
    <row r="168" spans="1:28" ht="13.2">
      <c r="A168" s="53">
        <f t="shared" si="4"/>
        <v>167</v>
      </c>
      <c r="B168" s="13" t="s">
        <v>1336</v>
      </c>
      <c r="C168" s="16" t="s">
        <v>1137</v>
      </c>
      <c r="D168" s="16">
        <f t="shared" si="0"/>
        <v>1100</v>
      </c>
      <c r="E168" s="16">
        <f t="shared" si="1"/>
        <v>1588</v>
      </c>
      <c r="F168" s="16">
        <v>4</v>
      </c>
      <c r="G168" s="16" t="s">
        <v>1173</v>
      </c>
      <c r="H168" s="16" t="s">
        <v>1337</v>
      </c>
      <c r="I168" s="16" t="s">
        <v>1140</v>
      </c>
      <c r="J168" s="16"/>
      <c r="K168" s="13"/>
      <c r="L168" s="275">
        <v>183</v>
      </c>
      <c r="M168" s="13"/>
      <c r="N168" s="13"/>
      <c r="O168" s="13"/>
      <c r="P168" s="13"/>
      <c r="Q168" s="13"/>
      <c r="R168" s="13"/>
      <c r="S168" s="13"/>
      <c r="T168" s="13"/>
      <c r="U168" s="13"/>
      <c r="V168" s="13"/>
      <c r="W168" s="13"/>
      <c r="X168" s="13"/>
      <c r="Y168" s="13"/>
      <c r="Z168" s="13"/>
      <c r="AA168" s="13"/>
      <c r="AB168" s="13"/>
    </row>
    <row r="169" spans="1:28" ht="13.2">
      <c r="A169" s="53">
        <f t="shared" si="4"/>
        <v>168</v>
      </c>
      <c r="B169" s="13" t="s">
        <v>1338</v>
      </c>
      <c r="C169" s="16" t="s">
        <v>1135</v>
      </c>
      <c r="D169" s="16">
        <f t="shared" si="0"/>
        <v>700</v>
      </c>
      <c r="E169" s="16">
        <f t="shared" si="1"/>
        <v>928</v>
      </c>
      <c r="F169" s="16">
        <v>3</v>
      </c>
      <c r="G169" s="16" t="s">
        <v>1234</v>
      </c>
      <c r="H169" s="16"/>
      <c r="I169" s="16"/>
      <c r="J169" s="16"/>
      <c r="K169" s="13"/>
      <c r="L169" s="275">
        <v>183</v>
      </c>
      <c r="M169" s="13"/>
      <c r="N169" s="13"/>
      <c r="O169" s="13"/>
      <c r="P169" s="13"/>
      <c r="Q169" s="13"/>
      <c r="R169" s="13"/>
      <c r="S169" s="13"/>
      <c r="T169" s="13"/>
      <c r="U169" s="13"/>
      <c r="V169" s="13"/>
      <c r="W169" s="13"/>
      <c r="X169" s="13"/>
      <c r="Y169" s="13"/>
      <c r="Z169" s="13"/>
      <c r="AA169" s="13"/>
      <c r="AB169" s="13"/>
    </row>
    <row r="170" spans="1:28" ht="13.2">
      <c r="A170" s="53">
        <f t="shared" si="4"/>
        <v>169</v>
      </c>
      <c r="B170" s="13" t="s">
        <v>1339</v>
      </c>
      <c r="C170" s="16" t="s">
        <v>1137</v>
      </c>
      <c r="D170" s="16">
        <f t="shared" si="0"/>
        <v>1100</v>
      </c>
      <c r="E170" s="16">
        <f t="shared" si="1"/>
        <v>1592</v>
      </c>
      <c r="F170" s="16">
        <v>4</v>
      </c>
      <c r="G170" s="16" t="s">
        <v>1234</v>
      </c>
      <c r="H170" s="16"/>
      <c r="I170" s="16"/>
      <c r="J170" s="16"/>
      <c r="K170" s="13"/>
      <c r="L170" s="275">
        <v>184</v>
      </c>
      <c r="M170" s="13"/>
      <c r="N170" s="13"/>
      <c r="O170" s="13"/>
      <c r="P170" s="13"/>
      <c r="Q170" s="13"/>
      <c r="R170" s="13"/>
      <c r="S170" s="13"/>
      <c r="T170" s="13"/>
      <c r="U170" s="13"/>
      <c r="V170" s="13"/>
      <c r="W170" s="13"/>
      <c r="X170" s="13"/>
      <c r="Y170" s="13"/>
      <c r="Z170" s="13"/>
      <c r="AA170" s="13"/>
      <c r="AB170" s="13"/>
    </row>
    <row r="171" spans="1:28" ht="13.2">
      <c r="A171" s="53">
        <f t="shared" si="4"/>
        <v>170</v>
      </c>
      <c r="B171" s="13" t="s">
        <v>1340</v>
      </c>
      <c r="C171" s="16" t="s">
        <v>1126</v>
      </c>
      <c r="D171" s="16">
        <f t="shared" si="0"/>
        <v>300</v>
      </c>
      <c r="E171" s="16">
        <f t="shared" si="1"/>
        <v>374</v>
      </c>
      <c r="F171" s="16">
        <v>2</v>
      </c>
      <c r="G171" s="16" t="s">
        <v>1234</v>
      </c>
      <c r="H171" s="16"/>
      <c r="I171" s="16"/>
      <c r="J171" s="16"/>
      <c r="K171" s="13"/>
      <c r="L171" s="275">
        <v>184</v>
      </c>
      <c r="M171" s="13"/>
      <c r="N171" s="13"/>
      <c r="O171" s="13"/>
      <c r="P171" s="13"/>
      <c r="Q171" s="13"/>
      <c r="R171" s="13"/>
      <c r="S171" s="13"/>
      <c r="T171" s="13"/>
      <c r="U171" s="13"/>
      <c r="V171" s="13"/>
      <c r="W171" s="13"/>
      <c r="X171" s="13"/>
      <c r="Y171" s="13"/>
      <c r="Z171" s="13"/>
      <c r="AA171" s="13"/>
      <c r="AB171" s="13"/>
    </row>
    <row r="172" spans="1:28" ht="13.2">
      <c r="A172" s="53">
        <f t="shared" si="4"/>
        <v>171</v>
      </c>
      <c r="B172" s="13" t="s">
        <v>1341</v>
      </c>
      <c r="C172" s="16" t="s">
        <v>1126</v>
      </c>
      <c r="D172" s="16">
        <f t="shared" si="0"/>
        <v>300</v>
      </c>
      <c r="E172" s="16">
        <f t="shared" si="1"/>
        <v>386</v>
      </c>
      <c r="F172" s="16">
        <v>2</v>
      </c>
      <c r="G172" s="16" t="s">
        <v>1130</v>
      </c>
      <c r="H172" s="16"/>
      <c r="I172" s="16" t="s">
        <v>1140</v>
      </c>
      <c r="J172" s="16"/>
      <c r="K172" s="13" t="s">
        <v>1342</v>
      </c>
      <c r="L172" s="275">
        <v>184</v>
      </c>
      <c r="M172" s="13"/>
      <c r="N172" s="13"/>
      <c r="O172" s="13"/>
      <c r="P172" s="13"/>
      <c r="Q172" s="13"/>
      <c r="R172" s="13"/>
      <c r="S172" s="13"/>
      <c r="T172" s="13"/>
      <c r="U172" s="13"/>
      <c r="V172" s="13"/>
      <c r="W172" s="13"/>
      <c r="X172" s="13"/>
      <c r="Y172" s="13"/>
      <c r="Z172" s="13"/>
      <c r="AA172" s="13"/>
      <c r="AB172" s="13"/>
    </row>
    <row r="173" spans="1:28" ht="13.2">
      <c r="A173" s="53">
        <f t="shared" si="4"/>
        <v>172</v>
      </c>
      <c r="B173" s="13" t="s">
        <v>1343</v>
      </c>
      <c r="C173" s="16" t="s">
        <v>1126</v>
      </c>
      <c r="D173" s="16">
        <f t="shared" si="0"/>
        <v>300</v>
      </c>
      <c r="E173" s="16">
        <f t="shared" si="1"/>
        <v>374</v>
      </c>
      <c r="F173" s="16">
        <v>2</v>
      </c>
      <c r="G173" s="16" t="s">
        <v>1130</v>
      </c>
      <c r="H173" s="16" t="s">
        <v>1139</v>
      </c>
      <c r="I173" s="16"/>
      <c r="J173" s="16"/>
      <c r="K173" s="13"/>
      <c r="L173" s="275">
        <v>184</v>
      </c>
      <c r="M173" s="13"/>
      <c r="N173" s="13"/>
      <c r="O173" s="13"/>
      <c r="P173" s="13"/>
      <c r="Q173" s="13"/>
      <c r="R173" s="13"/>
      <c r="S173" s="13"/>
      <c r="T173" s="13"/>
      <c r="U173" s="13"/>
      <c r="V173" s="13"/>
      <c r="W173" s="13"/>
      <c r="X173" s="13"/>
      <c r="Y173" s="13"/>
      <c r="Z173" s="13"/>
      <c r="AA173" s="13"/>
      <c r="AB173" s="13"/>
    </row>
    <row r="174" spans="1:28" ht="13.2">
      <c r="A174" s="53">
        <f t="shared" si="4"/>
        <v>173</v>
      </c>
      <c r="B174" s="13" t="s">
        <v>1344</v>
      </c>
      <c r="C174" s="16" t="s">
        <v>1135</v>
      </c>
      <c r="D174" s="16">
        <f t="shared" si="0"/>
        <v>700</v>
      </c>
      <c r="E174" s="16">
        <f t="shared" si="1"/>
        <v>949</v>
      </c>
      <c r="F174" s="16">
        <v>3</v>
      </c>
      <c r="G174" s="16" t="s">
        <v>1130</v>
      </c>
      <c r="H174" s="16" t="s">
        <v>1139</v>
      </c>
      <c r="I174" s="16"/>
      <c r="J174" s="16"/>
      <c r="K174" s="13"/>
      <c r="L174" s="275">
        <v>184</v>
      </c>
      <c r="M174" s="13"/>
      <c r="N174" s="13"/>
      <c r="O174" s="13"/>
      <c r="P174" s="13"/>
      <c r="Q174" s="13"/>
      <c r="R174" s="13"/>
      <c r="S174" s="13"/>
      <c r="T174" s="13"/>
      <c r="U174" s="13"/>
      <c r="V174" s="13"/>
      <c r="W174" s="13"/>
      <c r="X174" s="13"/>
      <c r="Y174" s="13"/>
      <c r="Z174" s="13"/>
      <c r="AA174" s="13"/>
      <c r="AB174" s="13"/>
    </row>
    <row r="175" spans="1:28" ht="13.2">
      <c r="A175" s="53">
        <f t="shared" si="4"/>
        <v>174</v>
      </c>
      <c r="B175" s="13" t="s">
        <v>1345</v>
      </c>
      <c r="C175" s="16" t="s">
        <v>1126</v>
      </c>
      <c r="D175" s="16">
        <f t="shared" si="0"/>
        <v>300</v>
      </c>
      <c r="E175" s="16">
        <f t="shared" si="1"/>
        <v>374</v>
      </c>
      <c r="F175" s="16">
        <v>2</v>
      </c>
      <c r="G175" s="16" t="s">
        <v>1130</v>
      </c>
      <c r="H175" s="16" t="s">
        <v>1139</v>
      </c>
      <c r="I175" s="16" t="s">
        <v>1140</v>
      </c>
      <c r="J175" s="16"/>
      <c r="K175" s="13"/>
      <c r="L175" s="275">
        <v>184</v>
      </c>
      <c r="M175" s="13"/>
      <c r="N175" s="13"/>
      <c r="O175" s="13"/>
      <c r="P175" s="13"/>
      <c r="Q175" s="13"/>
      <c r="R175" s="13"/>
      <c r="S175" s="13"/>
      <c r="T175" s="13"/>
      <c r="U175" s="13"/>
      <c r="V175" s="13"/>
      <c r="W175" s="13"/>
      <c r="X175" s="13"/>
      <c r="Y175" s="13"/>
      <c r="Z175" s="13"/>
      <c r="AA175" s="13"/>
      <c r="AB175" s="13"/>
    </row>
    <row r="176" spans="1:28" ht="13.2">
      <c r="A176" s="53">
        <f t="shared" si="4"/>
        <v>175</v>
      </c>
      <c r="B176" s="13" t="s">
        <v>1346</v>
      </c>
      <c r="C176" s="16" t="s">
        <v>1126</v>
      </c>
      <c r="D176" s="16">
        <f t="shared" si="0"/>
        <v>300</v>
      </c>
      <c r="E176" s="16">
        <f t="shared" si="1"/>
        <v>388</v>
      </c>
      <c r="F176" s="16">
        <v>2</v>
      </c>
      <c r="G176" s="16" t="s">
        <v>1234</v>
      </c>
      <c r="H176" s="16"/>
      <c r="I176" s="16"/>
      <c r="J176" s="16"/>
      <c r="K176" s="13"/>
      <c r="L176" s="275">
        <v>184</v>
      </c>
      <c r="M176" s="13"/>
      <c r="N176" s="13"/>
      <c r="O176" s="13"/>
      <c r="P176" s="13"/>
      <c r="Q176" s="13"/>
      <c r="R176" s="13"/>
      <c r="S176" s="13"/>
      <c r="T176" s="13"/>
      <c r="U176" s="13"/>
      <c r="V176" s="13"/>
      <c r="W176" s="13"/>
      <c r="X176" s="13"/>
      <c r="Y176" s="13"/>
      <c r="Z176" s="13"/>
      <c r="AA176" s="13"/>
      <c r="AB176" s="13"/>
    </row>
    <row r="177" spans="1:28" ht="13.2">
      <c r="A177" s="53">
        <f t="shared" si="4"/>
        <v>176</v>
      </c>
      <c r="B177" s="13" t="s">
        <v>1347</v>
      </c>
      <c r="C177" s="16" t="s">
        <v>1126</v>
      </c>
      <c r="D177" s="16">
        <f t="shared" si="0"/>
        <v>300</v>
      </c>
      <c r="E177" s="16">
        <f t="shared" si="1"/>
        <v>376</v>
      </c>
      <c r="F177" s="16">
        <v>2</v>
      </c>
      <c r="G177" s="16" t="s">
        <v>1130</v>
      </c>
      <c r="H177" s="16"/>
      <c r="I177" s="16"/>
      <c r="J177" s="16"/>
      <c r="K177" s="13"/>
      <c r="L177" s="275">
        <v>185</v>
      </c>
      <c r="M177" s="13"/>
      <c r="N177" s="13"/>
      <c r="O177" s="13"/>
      <c r="P177" s="13"/>
      <c r="Q177" s="13"/>
      <c r="R177" s="13"/>
      <c r="S177" s="13"/>
      <c r="T177" s="13"/>
      <c r="U177" s="13"/>
      <c r="V177" s="13"/>
      <c r="W177" s="13"/>
      <c r="X177" s="13"/>
      <c r="Y177" s="13"/>
      <c r="Z177" s="13"/>
      <c r="AA177" s="13"/>
      <c r="AB177" s="13"/>
    </row>
    <row r="178" spans="1:28" ht="13.2">
      <c r="A178" s="53">
        <f t="shared" si="4"/>
        <v>177</v>
      </c>
      <c r="B178" s="13" t="s">
        <v>1348</v>
      </c>
      <c r="C178" s="16" t="s">
        <v>1126</v>
      </c>
      <c r="D178" s="16">
        <f t="shared" si="0"/>
        <v>300</v>
      </c>
      <c r="E178" s="16">
        <f t="shared" si="1"/>
        <v>388</v>
      </c>
      <c r="F178" s="16">
        <v>2</v>
      </c>
      <c r="G178" s="16" t="s">
        <v>1130</v>
      </c>
      <c r="H178" s="16"/>
      <c r="I178" s="16" t="s">
        <v>1140</v>
      </c>
      <c r="J178" s="16"/>
      <c r="K178" s="13"/>
      <c r="L178" s="275">
        <v>185</v>
      </c>
      <c r="M178" s="13"/>
      <c r="N178" s="13"/>
      <c r="O178" s="13"/>
      <c r="P178" s="13"/>
      <c r="Q178" s="13"/>
      <c r="R178" s="13"/>
      <c r="S178" s="13"/>
      <c r="T178" s="13"/>
      <c r="U178" s="13"/>
      <c r="V178" s="13"/>
      <c r="W178" s="13"/>
      <c r="X178" s="13"/>
      <c r="Y178" s="13"/>
      <c r="Z178" s="13"/>
      <c r="AA178" s="13"/>
      <c r="AB178" s="13"/>
    </row>
    <row r="179" spans="1:28" ht="13.2">
      <c r="A179" s="53">
        <f t="shared" si="4"/>
        <v>178</v>
      </c>
      <c r="B179" s="13" t="s">
        <v>1349</v>
      </c>
      <c r="C179" s="16" t="s">
        <v>1145</v>
      </c>
      <c r="D179" s="16">
        <f t="shared" si="0"/>
        <v>2000</v>
      </c>
      <c r="E179" s="16">
        <f t="shared" si="1"/>
        <v>3040</v>
      </c>
      <c r="F179" s="16">
        <v>5</v>
      </c>
      <c r="G179" s="16" t="s">
        <v>1127</v>
      </c>
      <c r="H179" s="16" t="s">
        <v>1151</v>
      </c>
      <c r="I179" s="16" t="s">
        <v>1140</v>
      </c>
      <c r="J179" s="16"/>
      <c r="K179" s="13"/>
      <c r="L179" s="275">
        <v>185</v>
      </c>
      <c r="M179" s="13"/>
      <c r="N179" s="13"/>
      <c r="O179" s="13"/>
      <c r="P179" s="13"/>
      <c r="Q179" s="13"/>
      <c r="R179" s="13"/>
      <c r="S179" s="13"/>
      <c r="T179" s="13"/>
      <c r="U179" s="13"/>
      <c r="V179" s="13"/>
      <c r="W179" s="13"/>
      <c r="X179" s="13"/>
      <c r="Y179" s="13"/>
      <c r="Z179" s="13"/>
      <c r="AA179" s="13"/>
      <c r="AB179" s="13"/>
    </row>
    <row r="180" spans="1:28" ht="13.2">
      <c r="A180" s="53">
        <f t="shared" si="4"/>
        <v>179</v>
      </c>
      <c r="B180" s="13" t="s">
        <v>1350</v>
      </c>
      <c r="C180" s="16" t="s">
        <v>1135</v>
      </c>
      <c r="D180" s="16">
        <f t="shared" si="0"/>
        <v>700</v>
      </c>
      <c r="E180" s="16">
        <f t="shared" si="1"/>
        <v>952</v>
      </c>
      <c r="F180" s="16">
        <v>3</v>
      </c>
      <c r="G180" s="16" t="s">
        <v>1130</v>
      </c>
      <c r="H180" s="16"/>
      <c r="I180" s="16"/>
      <c r="J180" s="16"/>
      <c r="K180" s="13"/>
      <c r="L180" s="275">
        <v>185</v>
      </c>
      <c r="M180" s="13"/>
      <c r="N180" s="13"/>
      <c r="O180" s="13"/>
      <c r="P180" s="13"/>
      <c r="Q180" s="13"/>
      <c r="R180" s="13"/>
      <c r="S180" s="13"/>
      <c r="T180" s="13"/>
      <c r="U180" s="13"/>
      <c r="V180" s="13"/>
      <c r="W180" s="13"/>
      <c r="X180" s="13"/>
      <c r="Y180" s="13"/>
      <c r="Z180" s="13"/>
      <c r="AA180" s="13"/>
      <c r="AB180" s="13"/>
    </row>
    <row r="181" spans="1:28" ht="13.2">
      <c r="A181" s="53">
        <f t="shared" si="4"/>
        <v>180</v>
      </c>
      <c r="B181" s="13" t="s">
        <v>1351</v>
      </c>
      <c r="C181" s="16" t="s">
        <v>1126</v>
      </c>
      <c r="D181" s="16">
        <f t="shared" si="0"/>
        <v>300</v>
      </c>
      <c r="E181" s="16">
        <f t="shared" si="1"/>
        <v>376</v>
      </c>
      <c r="F181" s="16">
        <v>2</v>
      </c>
      <c r="G181" s="16" t="s">
        <v>1234</v>
      </c>
      <c r="H181" s="16"/>
      <c r="I181" s="16"/>
      <c r="J181" s="16"/>
      <c r="K181" s="13"/>
      <c r="L181" s="275">
        <v>187</v>
      </c>
      <c r="M181" s="13"/>
      <c r="N181" s="13"/>
      <c r="O181" s="13"/>
      <c r="P181" s="13"/>
      <c r="Q181" s="13"/>
      <c r="R181" s="13"/>
      <c r="S181" s="13"/>
      <c r="T181" s="13"/>
      <c r="U181" s="13"/>
      <c r="V181" s="13"/>
      <c r="W181" s="13"/>
      <c r="X181" s="13"/>
      <c r="Y181" s="13"/>
      <c r="Z181" s="13"/>
      <c r="AA181" s="13"/>
      <c r="AB181" s="13"/>
    </row>
    <row r="182" spans="1:28" ht="13.2">
      <c r="A182" s="53">
        <f t="shared" si="4"/>
        <v>181</v>
      </c>
      <c r="B182" s="13" t="s">
        <v>1352</v>
      </c>
      <c r="C182" s="16" t="s">
        <v>1135</v>
      </c>
      <c r="D182" s="16">
        <f t="shared" si="0"/>
        <v>700</v>
      </c>
      <c r="E182" s="16">
        <f t="shared" si="1"/>
        <v>919</v>
      </c>
      <c r="F182" s="16">
        <v>3</v>
      </c>
      <c r="G182" s="16" t="s">
        <v>1234</v>
      </c>
      <c r="H182" s="16"/>
      <c r="I182" s="16"/>
      <c r="J182" s="16"/>
      <c r="K182" s="13"/>
      <c r="L182" s="275">
        <v>187</v>
      </c>
      <c r="M182" s="13"/>
      <c r="N182" s="13"/>
      <c r="O182" s="13"/>
      <c r="P182" s="13"/>
      <c r="Q182" s="13"/>
      <c r="R182" s="13"/>
      <c r="S182" s="13"/>
      <c r="T182" s="13"/>
      <c r="U182" s="13"/>
      <c r="V182" s="13"/>
      <c r="W182" s="13"/>
      <c r="X182" s="13"/>
      <c r="Y182" s="13"/>
      <c r="Z182" s="13"/>
      <c r="AA182" s="13"/>
      <c r="AB182" s="13"/>
    </row>
    <row r="183" spans="1:28" ht="13.2">
      <c r="A183" s="53">
        <f t="shared" si="4"/>
        <v>182</v>
      </c>
      <c r="B183" s="13" t="s">
        <v>1353</v>
      </c>
      <c r="C183" s="16" t="s">
        <v>1354</v>
      </c>
      <c r="D183" s="16">
        <f t="shared" si="0"/>
        <v>100</v>
      </c>
      <c r="E183" s="16">
        <f t="shared" si="1"/>
        <v>119</v>
      </c>
      <c r="F183" s="16">
        <v>1</v>
      </c>
      <c r="G183" s="16" t="s">
        <v>1234</v>
      </c>
      <c r="H183" s="16"/>
      <c r="I183" s="16"/>
      <c r="J183" s="16"/>
      <c r="K183" s="13"/>
      <c r="L183" s="275">
        <v>187</v>
      </c>
      <c r="M183" s="13"/>
      <c r="N183" s="13"/>
      <c r="O183" s="13"/>
      <c r="P183" s="13"/>
      <c r="Q183" s="13"/>
      <c r="R183" s="13"/>
      <c r="S183" s="13"/>
      <c r="T183" s="13"/>
      <c r="U183" s="13"/>
      <c r="V183" s="13"/>
      <c r="W183" s="13"/>
      <c r="X183" s="13"/>
      <c r="Y183" s="13"/>
      <c r="Z183" s="13"/>
      <c r="AA183" s="13"/>
      <c r="AB183" s="13"/>
    </row>
    <row r="184" spans="1:28" ht="13.2">
      <c r="A184" s="53">
        <f t="shared" si="4"/>
        <v>183</v>
      </c>
      <c r="B184" s="13" t="s">
        <v>1355</v>
      </c>
      <c r="C184" s="16" t="s">
        <v>1135</v>
      </c>
      <c r="D184" s="16">
        <f t="shared" si="0"/>
        <v>700</v>
      </c>
      <c r="E184" s="16">
        <f t="shared" si="1"/>
        <v>919</v>
      </c>
      <c r="F184" s="16">
        <v>3</v>
      </c>
      <c r="G184" s="16" t="s">
        <v>1234</v>
      </c>
      <c r="H184" s="16"/>
      <c r="I184" s="16"/>
      <c r="J184" s="16"/>
      <c r="K184" s="13"/>
      <c r="L184" s="275">
        <v>187</v>
      </c>
      <c r="M184" s="13"/>
      <c r="N184" s="13"/>
      <c r="O184" s="13"/>
      <c r="P184" s="13"/>
      <c r="Q184" s="13"/>
      <c r="R184" s="13"/>
      <c r="S184" s="13"/>
      <c r="T184" s="13"/>
      <c r="U184" s="13"/>
      <c r="V184" s="13"/>
      <c r="W184" s="13"/>
      <c r="X184" s="13"/>
      <c r="Y184" s="13"/>
      <c r="Z184" s="13"/>
      <c r="AA184" s="13"/>
      <c r="AB184" s="13"/>
    </row>
    <row r="185" spans="1:28" ht="13.2">
      <c r="A185" s="53">
        <f t="shared" si="4"/>
        <v>184</v>
      </c>
      <c r="B185" s="13" t="s">
        <v>1356</v>
      </c>
      <c r="C185" s="16" t="s">
        <v>1126</v>
      </c>
      <c r="D185" s="16">
        <f t="shared" si="0"/>
        <v>300</v>
      </c>
      <c r="E185" s="16">
        <f t="shared" si="1"/>
        <v>378</v>
      </c>
      <c r="F185" s="16">
        <v>2</v>
      </c>
      <c r="G185" s="16" t="s">
        <v>1234</v>
      </c>
      <c r="H185" s="16"/>
      <c r="I185" s="16"/>
      <c r="J185" s="16"/>
      <c r="K185" s="13"/>
      <c r="L185" s="275">
        <v>187</v>
      </c>
      <c r="M185" s="13"/>
      <c r="N185" s="13"/>
      <c r="O185" s="13"/>
      <c r="P185" s="13"/>
      <c r="Q185" s="13"/>
      <c r="R185" s="13"/>
      <c r="S185" s="13"/>
      <c r="T185" s="13"/>
      <c r="U185" s="13"/>
      <c r="V185" s="13"/>
      <c r="W185" s="13"/>
      <c r="X185" s="13"/>
      <c r="Y185" s="13"/>
      <c r="Z185" s="13"/>
      <c r="AA185" s="13"/>
      <c r="AB185" s="13"/>
    </row>
    <row r="186" spans="1:28" ht="13.2">
      <c r="A186" s="53">
        <f t="shared" si="4"/>
        <v>185</v>
      </c>
      <c r="B186" s="13" t="s">
        <v>1357</v>
      </c>
      <c r="C186" s="16" t="s">
        <v>1137</v>
      </c>
      <c r="D186" s="16">
        <f t="shared" si="0"/>
        <v>1100</v>
      </c>
      <c r="E186" s="16">
        <f t="shared" si="1"/>
        <v>1552</v>
      </c>
      <c r="F186" s="16">
        <v>4</v>
      </c>
      <c r="G186" s="16" t="s">
        <v>1234</v>
      </c>
      <c r="H186" s="16"/>
      <c r="I186" s="16"/>
      <c r="J186" s="16"/>
      <c r="K186" s="13"/>
      <c r="L186" s="275">
        <v>187</v>
      </c>
      <c r="M186" s="13"/>
      <c r="N186" s="13"/>
      <c r="O186" s="13"/>
      <c r="P186" s="13"/>
      <c r="Q186" s="13"/>
      <c r="R186" s="13"/>
      <c r="S186" s="13"/>
      <c r="T186" s="13"/>
      <c r="U186" s="13"/>
      <c r="V186" s="13"/>
      <c r="W186" s="13"/>
      <c r="X186" s="13"/>
      <c r="Y186" s="13"/>
      <c r="Z186" s="13"/>
      <c r="AA186" s="13"/>
      <c r="AB186" s="13"/>
    </row>
    <row r="187" spans="1:28" ht="13.2">
      <c r="A187" s="53">
        <f t="shared" si="4"/>
        <v>186</v>
      </c>
      <c r="B187" s="13" t="s">
        <v>1358</v>
      </c>
      <c r="C187" s="16" t="s">
        <v>1135</v>
      </c>
      <c r="D187" s="16">
        <f t="shared" si="0"/>
        <v>700</v>
      </c>
      <c r="E187" s="16">
        <f t="shared" si="1"/>
        <v>937</v>
      </c>
      <c r="F187" s="16">
        <v>3</v>
      </c>
      <c r="G187" s="16" t="s">
        <v>1234</v>
      </c>
      <c r="H187" s="16"/>
      <c r="I187" s="16"/>
      <c r="J187" s="16"/>
      <c r="K187" s="13"/>
      <c r="L187" s="275">
        <v>187</v>
      </c>
      <c r="M187" s="13"/>
      <c r="N187" s="13"/>
      <c r="O187" s="13"/>
      <c r="P187" s="13"/>
      <c r="Q187" s="13"/>
      <c r="R187" s="13"/>
      <c r="S187" s="13"/>
      <c r="T187" s="13"/>
      <c r="U187" s="13"/>
      <c r="V187" s="13"/>
      <c r="W187" s="13"/>
      <c r="X187" s="13"/>
      <c r="Y187" s="13"/>
      <c r="Z187" s="13"/>
      <c r="AA187" s="13"/>
      <c r="AB187" s="13"/>
    </row>
    <row r="188" spans="1:28" ht="13.2">
      <c r="A188" s="53">
        <f t="shared" si="4"/>
        <v>187</v>
      </c>
      <c r="B188" s="13" t="s">
        <v>1359</v>
      </c>
      <c r="C188" s="16" t="s">
        <v>1137</v>
      </c>
      <c r="D188" s="16">
        <f t="shared" si="0"/>
        <v>1100</v>
      </c>
      <c r="E188" s="16">
        <f t="shared" si="1"/>
        <v>1556</v>
      </c>
      <c r="F188" s="16">
        <v>4</v>
      </c>
      <c r="G188" s="16" t="s">
        <v>1234</v>
      </c>
      <c r="H188" s="16"/>
      <c r="I188" s="16"/>
      <c r="J188" s="16"/>
      <c r="K188" s="13"/>
      <c r="L188" s="275">
        <v>187</v>
      </c>
      <c r="M188" s="13"/>
      <c r="N188" s="13"/>
      <c r="O188" s="13"/>
      <c r="P188" s="13"/>
      <c r="Q188" s="13"/>
      <c r="R188" s="13"/>
      <c r="S188" s="13"/>
      <c r="T188" s="13"/>
      <c r="U188" s="13"/>
      <c r="V188" s="13"/>
      <c r="W188" s="13"/>
      <c r="X188" s="13"/>
      <c r="Y188" s="13"/>
      <c r="Z188" s="13"/>
      <c r="AA188" s="13"/>
      <c r="AB188" s="13"/>
    </row>
    <row r="189" spans="1:28" ht="13.2">
      <c r="A189" s="53">
        <f t="shared" si="4"/>
        <v>188</v>
      </c>
      <c r="B189" s="13" t="s">
        <v>1360</v>
      </c>
      <c r="C189" s="16" t="s">
        <v>1135</v>
      </c>
      <c r="D189" s="16">
        <f t="shared" si="0"/>
        <v>700</v>
      </c>
      <c r="E189" s="16">
        <f t="shared" si="1"/>
        <v>940</v>
      </c>
      <c r="F189" s="16">
        <v>3</v>
      </c>
      <c r="G189" s="16" t="s">
        <v>1234</v>
      </c>
      <c r="H189" s="16"/>
      <c r="I189" s="16"/>
      <c r="J189" s="16"/>
      <c r="K189" s="13"/>
      <c r="L189" s="275">
        <v>187</v>
      </c>
      <c r="M189" s="13"/>
      <c r="N189" s="13"/>
      <c r="O189" s="13"/>
      <c r="P189" s="13"/>
      <c r="Q189" s="13"/>
      <c r="R189" s="13"/>
      <c r="S189" s="13"/>
      <c r="T189" s="13"/>
      <c r="U189" s="13"/>
      <c r="V189" s="13"/>
      <c r="W189" s="13"/>
      <c r="X189" s="13"/>
      <c r="Y189" s="13"/>
      <c r="Z189" s="13"/>
      <c r="AA189" s="13"/>
      <c r="AB189" s="13"/>
    </row>
    <row r="190" spans="1:28" ht="13.2">
      <c r="A190" s="53">
        <f t="shared" si="4"/>
        <v>189</v>
      </c>
      <c r="B190" s="13" t="s">
        <v>1361</v>
      </c>
      <c r="C190" s="16" t="s">
        <v>1135</v>
      </c>
      <c r="D190" s="16">
        <f t="shared" si="0"/>
        <v>700</v>
      </c>
      <c r="E190" s="16">
        <f t="shared" si="1"/>
        <v>922</v>
      </c>
      <c r="F190" s="16">
        <v>3</v>
      </c>
      <c r="G190" s="16" t="s">
        <v>1234</v>
      </c>
      <c r="H190" s="16"/>
      <c r="I190" s="16"/>
      <c r="J190" s="16"/>
      <c r="K190" s="13"/>
      <c r="L190" s="275">
        <v>187</v>
      </c>
      <c r="M190" s="13"/>
      <c r="N190" s="13"/>
      <c r="O190" s="13"/>
      <c r="P190" s="13"/>
      <c r="Q190" s="13"/>
      <c r="R190" s="13"/>
      <c r="S190" s="13"/>
      <c r="T190" s="13"/>
      <c r="U190" s="13"/>
      <c r="V190" s="13"/>
      <c r="W190" s="13"/>
      <c r="X190" s="13"/>
      <c r="Y190" s="13"/>
      <c r="Z190" s="13"/>
      <c r="AA190" s="13"/>
      <c r="AB190" s="13"/>
    </row>
    <row r="191" spans="1:28" ht="13.2">
      <c r="A191" s="53">
        <f t="shared" si="4"/>
        <v>190</v>
      </c>
      <c r="B191" s="13" t="s">
        <v>1362</v>
      </c>
      <c r="C191" s="16" t="s">
        <v>1126</v>
      </c>
      <c r="D191" s="16">
        <f t="shared" si="0"/>
        <v>300</v>
      </c>
      <c r="E191" s="16">
        <f t="shared" si="1"/>
        <v>380</v>
      </c>
      <c r="F191" s="16">
        <v>2</v>
      </c>
      <c r="G191" s="16" t="s">
        <v>1234</v>
      </c>
      <c r="H191" s="16"/>
      <c r="I191" s="16"/>
      <c r="J191" s="16"/>
      <c r="K191" s="13"/>
      <c r="L191" s="275">
        <v>187</v>
      </c>
      <c r="M191" s="13"/>
      <c r="N191" s="13"/>
      <c r="O191" s="13"/>
      <c r="P191" s="13"/>
      <c r="Q191" s="13"/>
      <c r="R191" s="13"/>
      <c r="S191" s="13"/>
      <c r="T191" s="13"/>
      <c r="U191" s="13"/>
      <c r="V191" s="13"/>
      <c r="W191" s="13"/>
      <c r="X191" s="13"/>
      <c r="Y191" s="13"/>
      <c r="Z191" s="13"/>
      <c r="AA191" s="13"/>
      <c r="AB191" s="13"/>
    </row>
    <row r="192" spans="1:28" ht="13.2">
      <c r="A192" s="53">
        <f t="shared" si="4"/>
        <v>191</v>
      </c>
      <c r="B192" s="13" t="s">
        <v>1363</v>
      </c>
      <c r="C192" s="16" t="s">
        <v>1145</v>
      </c>
      <c r="D192" s="16">
        <f t="shared" si="0"/>
        <v>2000</v>
      </c>
      <c r="E192" s="16">
        <f t="shared" si="1"/>
        <v>3020</v>
      </c>
      <c r="F192" s="16">
        <v>5</v>
      </c>
      <c r="G192" s="16" t="s">
        <v>1234</v>
      </c>
      <c r="H192" s="16"/>
      <c r="I192" s="16"/>
      <c r="J192" s="16"/>
      <c r="K192" s="13"/>
      <c r="L192" s="275">
        <v>187</v>
      </c>
      <c r="M192" s="13"/>
      <c r="N192" s="13"/>
      <c r="O192" s="13"/>
      <c r="P192" s="13"/>
      <c r="Q192" s="13"/>
      <c r="R192" s="13"/>
      <c r="S192" s="13"/>
      <c r="T192" s="13"/>
      <c r="U192" s="13"/>
      <c r="V192" s="13"/>
      <c r="W192" s="13"/>
      <c r="X192" s="13"/>
      <c r="Y192" s="13"/>
      <c r="Z192" s="13"/>
      <c r="AA192" s="13"/>
      <c r="AB192" s="13"/>
    </row>
    <row r="193" spans="1:28" ht="13.2">
      <c r="A193" s="53">
        <f t="shared" si="4"/>
        <v>192</v>
      </c>
      <c r="B193" s="13" t="s">
        <v>1364</v>
      </c>
      <c r="C193" s="16" t="s">
        <v>1126</v>
      </c>
      <c r="D193" s="16">
        <f t="shared" si="0"/>
        <v>300</v>
      </c>
      <c r="E193" s="16">
        <f t="shared" si="1"/>
        <v>380</v>
      </c>
      <c r="F193" s="16">
        <v>2</v>
      </c>
      <c r="G193" s="16" t="s">
        <v>1234</v>
      </c>
      <c r="H193" s="16"/>
      <c r="I193" s="16"/>
      <c r="J193" s="16"/>
      <c r="K193" s="13"/>
      <c r="L193" s="275">
        <v>187</v>
      </c>
      <c r="M193" s="13"/>
      <c r="N193" s="13"/>
      <c r="O193" s="13"/>
      <c r="P193" s="13"/>
      <c r="Q193" s="13"/>
      <c r="R193" s="13"/>
      <c r="S193" s="13"/>
      <c r="T193" s="13"/>
      <c r="U193" s="13"/>
      <c r="V193" s="13"/>
      <c r="W193" s="13"/>
      <c r="X193" s="13"/>
      <c r="Y193" s="13"/>
      <c r="Z193" s="13"/>
      <c r="AA193" s="13"/>
      <c r="AB193" s="13"/>
    </row>
    <row r="194" spans="1:28" ht="13.2">
      <c r="A194" s="53">
        <f t="shared" si="4"/>
        <v>193</v>
      </c>
      <c r="B194" s="13" t="s">
        <v>1365</v>
      </c>
      <c r="C194" s="16" t="s">
        <v>1126</v>
      </c>
      <c r="D194" s="16">
        <f t="shared" si="0"/>
        <v>300</v>
      </c>
      <c r="E194" s="16">
        <f t="shared" si="1"/>
        <v>370</v>
      </c>
      <c r="F194" s="16">
        <v>2</v>
      </c>
      <c r="G194" s="16" t="s">
        <v>1234</v>
      </c>
      <c r="H194" s="16"/>
      <c r="I194" s="16"/>
      <c r="J194" s="16"/>
      <c r="K194" s="13"/>
      <c r="L194" s="275">
        <v>187</v>
      </c>
      <c r="M194" s="13"/>
      <c r="N194" s="13"/>
      <c r="O194" s="13"/>
      <c r="P194" s="13"/>
      <c r="Q194" s="13"/>
      <c r="R194" s="13"/>
      <c r="S194" s="13"/>
      <c r="T194" s="13"/>
      <c r="U194" s="13"/>
      <c r="V194" s="13"/>
      <c r="W194" s="13"/>
      <c r="X194" s="13"/>
      <c r="Y194" s="13"/>
      <c r="Z194" s="13"/>
      <c r="AA194" s="13"/>
      <c r="AB194" s="13"/>
    </row>
    <row r="195" spans="1:28" ht="13.2">
      <c r="A195" s="53">
        <f t="shared" ref="A195:A258" si="5">IF(ISBLANK(B195),,A194+1)</f>
        <v>194</v>
      </c>
      <c r="B195" s="13" t="s">
        <v>1366</v>
      </c>
      <c r="C195" s="16" t="s">
        <v>1354</v>
      </c>
      <c r="D195" s="16">
        <f t="shared" si="0"/>
        <v>100</v>
      </c>
      <c r="E195" s="16">
        <f t="shared" si="1"/>
        <v>121</v>
      </c>
      <c r="F195" s="16">
        <v>1</v>
      </c>
      <c r="G195" s="16" t="s">
        <v>1234</v>
      </c>
      <c r="H195" s="16"/>
      <c r="I195" s="16"/>
      <c r="J195" s="16"/>
      <c r="K195" s="13"/>
      <c r="L195" s="275">
        <v>187</v>
      </c>
      <c r="M195" s="13"/>
      <c r="N195" s="13"/>
      <c r="O195" s="13"/>
      <c r="P195" s="13"/>
      <c r="Q195" s="13"/>
      <c r="R195" s="13"/>
      <c r="S195" s="13"/>
      <c r="T195" s="13"/>
      <c r="U195" s="13"/>
      <c r="V195" s="13"/>
      <c r="W195" s="13"/>
      <c r="X195" s="13"/>
      <c r="Y195" s="13"/>
      <c r="Z195" s="13"/>
      <c r="AA195" s="13"/>
      <c r="AB195" s="13"/>
    </row>
    <row r="196" spans="1:28" ht="13.2">
      <c r="A196" s="53">
        <f t="shared" si="5"/>
        <v>195</v>
      </c>
      <c r="B196" s="13" t="s">
        <v>1367</v>
      </c>
      <c r="C196" s="16" t="s">
        <v>1135</v>
      </c>
      <c r="D196" s="16">
        <f t="shared" si="0"/>
        <v>700</v>
      </c>
      <c r="E196" s="16">
        <f t="shared" si="1"/>
        <v>925</v>
      </c>
      <c r="F196" s="16">
        <v>3</v>
      </c>
      <c r="G196" s="16" t="s">
        <v>1234</v>
      </c>
      <c r="H196" s="16"/>
      <c r="I196" s="16"/>
      <c r="J196" s="16"/>
      <c r="K196" s="13"/>
      <c r="L196" s="275">
        <v>187</v>
      </c>
      <c r="M196" s="13"/>
      <c r="N196" s="13"/>
      <c r="O196" s="13"/>
      <c r="P196" s="13"/>
      <c r="Q196" s="13"/>
      <c r="R196" s="13"/>
      <c r="S196" s="13"/>
      <c r="T196" s="13"/>
      <c r="U196" s="13"/>
      <c r="V196" s="13"/>
      <c r="W196" s="13"/>
      <c r="X196" s="13"/>
      <c r="Y196" s="13"/>
      <c r="Z196" s="13"/>
      <c r="AA196" s="13"/>
      <c r="AB196" s="13"/>
    </row>
    <row r="197" spans="1:28" ht="13.2">
      <c r="A197" s="53">
        <f t="shared" si="5"/>
        <v>196</v>
      </c>
      <c r="B197" s="13" t="s">
        <v>1368</v>
      </c>
      <c r="C197" s="16" t="s">
        <v>1137</v>
      </c>
      <c r="D197" s="16">
        <f t="shared" si="0"/>
        <v>1100</v>
      </c>
      <c r="E197" s="16">
        <f t="shared" si="1"/>
        <v>1584</v>
      </c>
      <c r="F197" s="16">
        <v>4</v>
      </c>
      <c r="G197" s="16" t="s">
        <v>1234</v>
      </c>
      <c r="H197" s="16"/>
      <c r="I197" s="16"/>
      <c r="J197" s="16"/>
      <c r="K197" s="13"/>
      <c r="L197" s="275">
        <v>187</v>
      </c>
      <c r="M197" s="13"/>
      <c r="N197" s="13"/>
      <c r="O197" s="13"/>
      <c r="P197" s="13"/>
      <c r="Q197" s="13"/>
      <c r="R197" s="13"/>
      <c r="S197" s="13"/>
      <c r="T197" s="13"/>
      <c r="U197" s="13"/>
      <c r="V197" s="13"/>
      <c r="W197" s="13"/>
      <c r="X197" s="13"/>
      <c r="Y197" s="13"/>
      <c r="Z197" s="13"/>
      <c r="AA197" s="13"/>
      <c r="AB197" s="13"/>
    </row>
    <row r="198" spans="1:28" ht="13.2">
      <c r="A198" s="53">
        <f t="shared" si="5"/>
        <v>197</v>
      </c>
      <c r="B198" s="13" t="s">
        <v>1369</v>
      </c>
      <c r="C198" s="16" t="s">
        <v>1135</v>
      </c>
      <c r="D198" s="16">
        <f t="shared" si="0"/>
        <v>700</v>
      </c>
      <c r="E198" s="16">
        <f t="shared" si="1"/>
        <v>925</v>
      </c>
      <c r="F198" s="16">
        <v>3</v>
      </c>
      <c r="G198" s="16" t="s">
        <v>1234</v>
      </c>
      <c r="H198" s="16"/>
      <c r="I198" s="16"/>
      <c r="J198" s="16"/>
      <c r="K198" s="13"/>
      <c r="L198" s="275">
        <v>188</v>
      </c>
      <c r="M198" s="13"/>
      <c r="N198" s="13"/>
      <c r="O198" s="13"/>
      <c r="P198" s="13"/>
      <c r="Q198" s="13"/>
      <c r="R198" s="13"/>
      <c r="S198" s="13"/>
      <c r="T198" s="13"/>
      <c r="U198" s="13"/>
      <c r="V198" s="13"/>
      <c r="W198" s="13"/>
      <c r="X198" s="13"/>
      <c r="Y198" s="13"/>
      <c r="Z198" s="13"/>
      <c r="AA198" s="13"/>
      <c r="AB198" s="13"/>
    </row>
    <row r="199" spans="1:28" ht="13.2">
      <c r="A199" s="53">
        <f t="shared" si="5"/>
        <v>198</v>
      </c>
      <c r="B199" s="13" t="s">
        <v>1370</v>
      </c>
      <c r="C199" s="16" t="s">
        <v>1137</v>
      </c>
      <c r="D199" s="16">
        <f t="shared" si="0"/>
        <v>1100</v>
      </c>
      <c r="E199" s="16">
        <f t="shared" si="1"/>
        <v>1584</v>
      </c>
      <c r="F199" s="16">
        <v>4</v>
      </c>
      <c r="G199" s="16" t="s">
        <v>1234</v>
      </c>
      <c r="H199" s="16"/>
      <c r="I199" s="16"/>
      <c r="J199" s="16"/>
      <c r="K199" s="13"/>
      <c r="L199" s="275">
        <v>188</v>
      </c>
      <c r="M199" s="13"/>
      <c r="N199" s="13"/>
      <c r="O199" s="13"/>
      <c r="P199" s="13"/>
      <c r="Q199" s="13"/>
      <c r="R199" s="13"/>
      <c r="S199" s="13"/>
      <c r="T199" s="13"/>
      <c r="U199" s="13"/>
      <c r="V199" s="13"/>
      <c r="W199" s="13"/>
      <c r="X199" s="13"/>
      <c r="Y199" s="13"/>
      <c r="Z199" s="13"/>
      <c r="AA199" s="13"/>
      <c r="AB199" s="13"/>
    </row>
    <row r="200" spans="1:28" ht="13.2">
      <c r="A200" s="53">
        <f t="shared" si="5"/>
        <v>199</v>
      </c>
      <c r="B200" s="13" t="s">
        <v>1371</v>
      </c>
      <c r="C200" s="16" t="s">
        <v>1135</v>
      </c>
      <c r="D200" s="16">
        <f t="shared" si="0"/>
        <v>700</v>
      </c>
      <c r="E200" s="16">
        <f t="shared" si="1"/>
        <v>928</v>
      </c>
      <c r="F200" s="16">
        <v>3</v>
      </c>
      <c r="G200" s="16" t="s">
        <v>1234</v>
      </c>
      <c r="H200" s="16"/>
      <c r="I200" s="16"/>
      <c r="J200" s="16"/>
      <c r="K200" s="13"/>
      <c r="L200" s="275">
        <v>188</v>
      </c>
      <c r="M200" s="13"/>
      <c r="N200" s="13"/>
      <c r="O200" s="13"/>
      <c r="P200" s="13"/>
      <c r="Q200" s="13"/>
      <c r="R200" s="13"/>
      <c r="S200" s="13"/>
      <c r="T200" s="13"/>
      <c r="U200" s="13"/>
      <c r="V200" s="13"/>
      <c r="W200" s="13"/>
      <c r="X200" s="13"/>
      <c r="Y200" s="13"/>
      <c r="Z200" s="13"/>
      <c r="AA200" s="13"/>
      <c r="AB200" s="13"/>
    </row>
    <row r="201" spans="1:28" ht="13.2">
      <c r="A201" s="53">
        <f t="shared" si="5"/>
        <v>200</v>
      </c>
      <c r="B201" s="13" t="s">
        <v>1372</v>
      </c>
      <c r="C201" s="16" t="s">
        <v>1137</v>
      </c>
      <c r="D201" s="16">
        <f t="shared" si="0"/>
        <v>1100</v>
      </c>
      <c r="E201" s="16">
        <f t="shared" si="1"/>
        <v>1588</v>
      </c>
      <c r="F201" s="16">
        <v>4</v>
      </c>
      <c r="G201" s="16" t="s">
        <v>1234</v>
      </c>
      <c r="H201" s="16"/>
      <c r="I201" s="16"/>
      <c r="J201" s="16"/>
      <c r="K201" s="13"/>
      <c r="L201" s="275">
        <v>188</v>
      </c>
      <c r="M201" s="13"/>
      <c r="N201" s="13"/>
      <c r="O201" s="13"/>
      <c r="P201" s="13"/>
      <c r="Q201" s="13"/>
      <c r="R201" s="13"/>
      <c r="S201" s="13"/>
      <c r="T201" s="13"/>
      <c r="U201" s="13"/>
      <c r="V201" s="13"/>
      <c r="W201" s="13"/>
      <c r="X201" s="13"/>
      <c r="Y201" s="13"/>
      <c r="Z201" s="13"/>
      <c r="AA201" s="13"/>
      <c r="AB201" s="13"/>
    </row>
    <row r="202" spans="1:28" ht="13.2">
      <c r="A202" s="53">
        <f t="shared" si="5"/>
        <v>201</v>
      </c>
      <c r="B202" s="13" t="s">
        <v>1373</v>
      </c>
      <c r="C202" s="16" t="s">
        <v>1135</v>
      </c>
      <c r="D202" s="16">
        <f t="shared" si="0"/>
        <v>700</v>
      </c>
      <c r="E202" s="16">
        <f t="shared" si="1"/>
        <v>928</v>
      </c>
      <c r="F202" s="16">
        <v>3</v>
      </c>
      <c r="G202" s="16" t="s">
        <v>1234</v>
      </c>
      <c r="H202" s="16"/>
      <c r="I202" s="16"/>
      <c r="J202" s="16"/>
      <c r="K202" s="13"/>
      <c r="L202" s="275">
        <v>188</v>
      </c>
      <c r="M202" s="13"/>
      <c r="N202" s="13"/>
      <c r="O202" s="13"/>
      <c r="P202" s="13"/>
      <c r="Q202" s="13"/>
      <c r="R202" s="13"/>
      <c r="S202" s="13"/>
      <c r="T202" s="13"/>
      <c r="U202" s="13"/>
      <c r="V202" s="13"/>
      <c r="W202" s="13"/>
      <c r="X202" s="13"/>
      <c r="Y202" s="13"/>
      <c r="Z202" s="13"/>
      <c r="AA202" s="13"/>
      <c r="AB202" s="13"/>
    </row>
    <row r="203" spans="1:28" ht="13.2">
      <c r="A203" s="53">
        <f t="shared" si="5"/>
        <v>202</v>
      </c>
      <c r="B203" s="13" t="s">
        <v>1374</v>
      </c>
      <c r="C203" s="16" t="s">
        <v>1126</v>
      </c>
      <c r="D203" s="16">
        <f t="shared" si="0"/>
        <v>300</v>
      </c>
      <c r="E203" s="16">
        <f t="shared" si="1"/>
        <v>384</v>
      </c>
      <c r="F203" s="16">
        <v>2</v>
      </c>
      <c r="G203" s="16" t="s">
        <v>1234</v>
      </c>
      <c r="H203" s="16"/>
      <c r="I203" s="16"/>
      <c r="J203" s="16"/>
      <c r="K203" s="13"/>
      <c r="L203" s="275">
        <v>188</v>
      </c>
      <c r="M203" s="13"/>
      <c r="N203" s="13"/>
      <c r="O203" s="13"/>
      <c r="P203" s="13"/>
      <c r="Q203" s="13"/>
      <c r="R203" s="13"/>
      <c r="S203" s="13"/>
      <c r="T203" s="13"/>
      <c r="U203" s="13"/>
      <c r="V203" s="13"/>
      <c r="W203" s="13"/>
      <c r="X203" s="13"/>
      <c r="Y203" s="13"/>
      <c r="Z203" s="13"/>
      <c r="AA203" s="13"/>
      <c r="AB203" s="13"/>
    </row>
    <row r="204" spans="1:28" ht="13.2">
      <c r="A204" s="53">
        <f t="shared" si="5"/>
        <v>203</v>
      </c>
      <c r="B204" s="13" t="s">
        <v>1375</v>
      </c>
      <c r="C204" s="16" t="s">
        <v>1126</v>
      </c>
      <c r="D204" s="16">
        <f t="shared" si="0"/>
        <v>300</v>
      </c>
      <c r="E204" s="16">
        <f t="shared" si="1"/>
        <v>372</v>
      </c>
      <c r="F204" s="16">
        <v>2</v>
      </c>
      <c r="G204" s="16" t="s">
        <v>1234</v>
      </c>
      <c r="H204" s="16"/>
      <c r="I204" s="16"/>
      <c r="J204" s="16"/>
      <c r="K204" s="13"/>
      <c r="L204" s="275">
        <v>188</v>
      </c>
      <c r="M204" s="13"/>
      <c r="N204" s="13"/>
      <c r="O204" s="13"/>
      <c r="P204" s="13"/>
      <c r="Q204" s="13"/>
      <c r="R204" s="13"/>
      <c r="S204" s="13"/>
      <c r="T204" s="13"/>
      <c r="U204" s="13"/>
      <c r="V204" s="13"/>
      <c r="W204" s="13"/>
      <c r="X204" s="13"/>
      <c r="Y204" s="13"/>
      <c r="Z204" s="13"/>
      <c r="AA204" s="13"/>
      <c r="AB204" s="13"/>
    </row>
    <row r="205" spans="1:28" ht="13.2">
      <c r="A205" s="53">
        <f t="shared" si="5"/>
        <v>204</v>
      </c>
      <c r="B205" s="13" t="s">
        <v>1376</v>
      </c>
      <c r="C205" s="16" t="s">
        <v>1137</v>
      </c>
      <c r="D205" s="16">
        <f t="shared" si="0"/>
        <v>1100</v>
      </c>
      <c r="E205" s="16">
        <f t="shared" si="1"/>
        <v>1588</v>
      </c>
      <c r="F205" s="16">
        <v>4</v>
      </c>
      <c r="G205" s="16" t="s">
        <v>1234</v>
      </c>
      <c r="H205" s="16"/>
      <c r="I205" s="16"/>
      <c r="J205" s="16"/>
      <c r="K205" s="13"/>
      <c r="L205" s="275">
        <v>188</v>
      </c>
      <c r="M205" s="13"/>
      <c r="N205" s="13"/>
      <c r="O205" s="13"/>
      <c r="P205" s="13"/>
      <c r="Q205" s="13"/>
      <c r="R205" s="13"/>
      <c r="S205" s="13"/>
      <c r="T205" s="13"/>
      <c r="U205" s="13"/>
      <c r="V205" s="13"/>
      <c r="W205" s="13"/>
      <c r="X205" s="13"/>
      <c r="Y205" s="13"/>
      <c r="Z205" s="13"/>
      <c r="AA205" s="13"/>
      <c r="AB205" s="13"/>
    </row>
    <row r="206" spans="1:28" ht="13.2">
      <c r="A206" s="53">
        <f t="shared" si="5"/>
        <v>205</v>
      </c>
      <c r="B206" s="13" t="s">
        <v>1377</v>
      </c>
      <c r="C206" s="16" t="s">
        <v>1137</v>
      </c>
      <c r="D206" s="16">
        <f t="shared" si="0"/>
        <v>1100</v>
      </c>
      <c r="E206" s="16">
        <f t="shared" si="1"/>
        <v>1568</v>
      </c>
      <c r="F206" s="16">
        <v>4</v>
      </c>
      <c r="G206" s="16" t="s">
        <v>1234</v>
      </c>
      <c r="H206" s="16"/>
      <c r="I206" s="16"/>
      <c r="J206" s="16"/>
      <c r="K206" s="13"/>
      <c r="L206" s="275">
        <v>188</v>
      </c>
      <c r="M206" s="13"/>
      <c r="N206" s="13"/>
      <c r="O206" s="13"/>
      <c r="P206" s="13"/>
      <c r="Q206" s="13"/>
      <c r="R206" s="13"/>
      <c r="S206" s="13"/>
      <c r="T206" s="13"/>
      <c r="U206" s="13"/>
      <c r="V206" s="13"/>
      <c r="W206" s="13"/>
      <c r="X206" s="13"/>
      <c r="Y206" s="13"/>
      <c r="Z206" s="13"/>
      <c r="AA206" s="13"/>
      <c r="AB206" s="13"/>
    </row>
    <row r="207" spans="1:28" ht="13.2">
      <c r="A207" s="53">
        <f t="shared" si="5"/>
        <v>206</v>
      </c>
      <c r="B207" s="13" t="s">
        <v>1378</v>
      </c>
      <c r="C207" s="16" t="s">
        <v>1126</v>
      </c>
      <c r="D207" s="16">
        <f t="shared" si="0"/>
        <v>300</v>
      </c>
      <c r="E207" s="16">
        <f t="shared" si="1"/>
        <v>386</v>
      </c>
      <c r="F207" s="16">
        <v>2</v>
      </c>
      <c r="G207" s="16" t="s">
        <v>1234</v>
      </c>
      <c r="H207" s="16"/>
      <c r="I207" s="16"/>
      <c r="J207" s="16"/>
      <c r="K207" s="13"/>
      <c r="L207" s="275">
        <v>188</v>
      </c>
      <c r="M207" s="13"/>
      <c r="N207" s="13"/>
      <c r="O207" s="13"/>
      <c r="P207" s="13"/>
      <c r="Q207" s="13"/>
      <c r="R207" s="13"/>
      <c r="S207" s="13"/>
      <c r="T207" s="13"/>
      <c r="U207" s="13"/>
      <c r="V207" s="13"/>
      <c r="W207" s="13"/>
      <c r="X207" s="13"/>
      <c r="Y207" s="13"/>
      <c r="Z207" s="13"/>
      <c r="AA207" s="13"/>
      <c r="AB207" s="13"/>
    </row>
    <row r="208" spans="1:28" ht="13.2">
      <c r="A208" s="53">
        <f t="shared" si="5"/>
        <v>207</v>
      </c>
      <c r="B208" s="13" t="s">
        <v>1379</v>
      </c>
      <c r="C208" s="16" t="s">
        <v>1135</v>
      </c>
      <c r="D208" s="16">
        <f t="shared" si="0"/>
        <v>700</v>
      </c>
      <c r="E208" s="16">
        <f t="shared" si="1"/>
        <v>931</v>
      </c>
      <c r="F208" s="16">
        <v>3</v>
      </c>
      <c r="G208" s="16" t="s">
        <v>1130</v>
      </c>
      <c r="H208" s="16" t="s">
        <v>1160</v>
      </c>
      <c r="I208" s="16"/>
      <c r="J208" s="16"/>
      <c r="K208" s="13"/>
      <c r="L208" s="275">
        <v>188</v>
      </c>
      <c r="M208" s="13"/>
      <c r="N208" s="13"/>
      <c r="O208" s="13"/>
      <c r="P208" s="13"/>
      <c r="Q208" s="13"/>
      <c r="R208" s="13"/>
      <c r="S208" s="13"/>
      <c r="T208" s="13"/>
      <c r="U208" s="13"/>
      <c r="V208" s="13"/>
      <c r="W208" s="13"/>
      <c r="X208" s="13"/>
      <c r="Y208" s="13"/>
      <c r="Z208" s="13"/>
      <c r="AA208" s="13"/>
      <c r="AB208" s="13"/>
    </row>
    <row r="209" spans="1:28" ht="13.2">
      <c r="A209" s="53">
        <f t="shared" si="5"/>
        <v>208</v>
      </c>
      <c r="B209" s="13" t="s">
        <v>1380</v>
      </c>
      <c r="C209" s="16" t="s">
        <v>1126</v>
      </c>
      <c r="D209" s="16">
        <f t="shared" si="0"/>
        <v>300</v>
      </c>
      <c r="E209" s="16">
        <f t="shared" si="1"/>
        <v>386</v>
      </c>
      <c r="F209" s="16">
        <v>2</v>
      </c>
      <c r="G209" s="16" t="s">
        <v>1130</v>
      </c>
      <c r="H209" s="16"/>
      <c r="I209" s="16"/>
      <c r="J209" s="16"/>
      <c r="K209" s="13"/>
      <c r="L209" s="275">
        <v>189</v>
      </c>
      <c r="M209" s="13"/>
      <c r="N209" s="13"/>
      <c r="O209" s="13"/>
      <c r="P209" s="13"/>
      <c r="Q209" s="13"/>
      <c r="R209" s="13"/>
      <c r="S209" s="13"/>
      <c r="T209" s="13"/>
      <c r="U209" s="13"/>
      <c r="V209" s="13"/>
      <c r="W209" s="13"/>
      <c r="X209" s="13"/>
      <c r="Y209" s="13"/>
      <c r="Z209" s="13"/>
      <c r="AA209" s="13"/>
      <c r="AB209" s="13"/>
    </row>
    <row r="210" spans="1:28" ht="13.2">
      <c r="A210" s="53">
        <f t="shared" si="5"/>
        <v>209</v>
      </c>
      <c r="B210" s="13" t="s">
        <v>1381</v>
      </c>
      <c r="C210" s="16" t="s">
        <v>1135</v>
      </c>
      <c r="D210" s="16">
        <f t="shared" si="0"/>
        <v>700</v>
      </c>
      <c r="E210" s="16">
        <f t="shared" si="1"/>
        <v>931</v>
      </c>
      <c r="F210" s="16">
        <v>3</v>
      </c>
      <c r="G210" s="16" t="s">
        <v>1382</v>
      </c>
      <c r="H210" s="16"/>
      <c r="I210" s="16"/>
      <c r="J210" s="16"/>
      <c r="K210" s="13"/>
      <c r="L210" s="275">
        <v>189</v>
      </c>
      <c r="M210" s="13"/>
      <c r="N210" s="13"/>
      <c r="O210" s="13"/>
      <c r="P210" s="13"/>
      <c r="Q210" s="13"/>
      <c r="R210" s="13"/>
      <c r="S210" s="13"/>
      <c r="T210" s="13"/>
      <c r="U210" s="13"/>
      <c r="V210" s="13"/>
      <c r="W210" s="13"/>
      <c r="X210" s="13"/>
      <c r="Y210" s="13"/>
      <c r="Z210" s="13"/>
      <c r="AA210" s="13"/>
      <c r="AB210" s="13"/>
    </row>
    <row r="211" spans="1:28" ht="13.2">
      <c r="A211" s="53">
        <f t="shared" si="5"/>
        <v>210</v>
      </c>
      <c r="B211" s="13" t="s">
        <v>1383</v>
      </c>
      <c r="C211" s="16" t="s">
        <v>1145</v>
      </c>
      <c r="D211" s="16">
        <f t="shared" si="0"/>
        <v>2000</v>
      </c>
      <c r="E211" s="16">
        <f t="shared" si="1"/>
        <v>3065</v>
      </c>
      <c r="F211" s="16">
        <v>5</v>
      </c>
      <c r="G211" s="16" t="s">
        <v>1382</v>
      </c>
      <c r="H211" s="16"/>
      <c r="I211" s="16" t="s">
        <v>1140</v>
      </c>
      <c r="J211" s="16"/>
      <c r="K211" s="13"/>
      <c r="L211" s="275">
        <v>190</v>
      </c>
      <c r="M211" s="13"/>
      <c r="N211" s="13"/>
      <c r="O211" s="13"/>
      <c r="P211" s="13"/>
      <c r="Q211" s="13"/>
      <c r="R211" s="13"/>
      <c r="S211" s="13"/>
      <c r="T211" s="13"/>
      <c r="U211" s="13"/>
      <c r="V211" s="13"/>
      <c r="W211" s="13"/>
      <c r="X211" s="13"/>
      <c r="Y211" s="13"/>
      <c r="Z211" s="13"/>
      <c r="AA211" s="13"/>
      <c r="AB211" s="13"/>
    </row>
    <row r="212" spans="1:28" ht="13.2">
      <c r="A212" s="53">
        <f t="shared" si="5"/>
        <v>211</v>
      </c>
      <c r="B212" s="13" t="s">
        <v>1384</v>
      </c>
      <c r="C212" s="16" t="s">
        <v>1145</v>
      </c>
      <c r="D212" s="16">
        <f t="shared" si="0"/>
        <v>2000</v>
      </c>
      <c r="E212" s="16">
        <f t="shared" si="1"/>
        <v>3040</v>
      </c>
      <c r="F212" s="16">
        <v>5</v>
      </c>
      <c r="G212" s="16" t="s">
        <v>1382</v>
      </c>
      <c r="H212" s="16"/>
      <c r="I212" s="16" t="s">
        <v>1140</v>
      </c>
      <c r="J212" s="16"/>
      <c r="K212" s="13"/>
      <c r="L212" s="275">
        <v>190</v>
      </c>
      <c r="M212" s="13"/>
      <c r="N212" s="13"/>
      <c r="O212" s="13"/>
      <c r="P212" s="13"/>
      <c r="Q212" s="13"/>
      <c r="R212" s="13"/>
      <c r="S212" s="13"/>
      <c r="T212" s="13"/>
      <c r="U212" s="13"/>
      <c r="V212" s="13"/>
      <c r="W212" s="13"/>
      <c r="X212" s="13"/>
      <c r="Y212" s="13"/>
      <c r="Z212" s="13"/>
      <c r="AA212" s="13"/>
      <c r="AB212" s="13"/>
    </row>
    <row r="213" spans="1:28" ht="13.2">
      <c r="A213" s="53">
        <f t="shared" si="5"/>
        <v>212</v>
      </c>
      <c r="B213" s="13" t="s">
        <v>1385</v>
      </c>
      <c r="C213" s="16" t="s">
        <v>1135</v>
      </c>
      <c r="D213" s="16">
        <f t="shared" si="0"/>
        <v>700</v>
      </c>
      <c r="E213" s="16">
        <f t="shared" si="1"/>
        <v>952</v>
      </c>
      <c r="F213" s="16">
        <v>3</v>
      </c>
      <c r="G213" s="16" t="s">
        <v>1382</v>
      </c>
      <c r="H213" s="16"/>
      <c r="I213" s="16" t="s">
        <v>1140</v>
      </c>
      <c r="J213" s="16"/>
      <c r="K213" s="13"/>
      <c r="L213" s="275">
        <v>191</v>
      </c>
      <c r="M213" s="13"/>
      <c r="N213" s="13"/>
      <c r="O213" s="13"/>
      <c r="P213" s="13"/>
      <c r="Q213" s="13"/>
      <c r="R213" s="13"/>
      <c r="S213" s="13"/>
      <c r="T213" s="13"/>
      <c r="U213" s="13"/>
      <c r="V213" s="13"/>
      <c r="W213" s="13"/>
      <c r="X213" s="13"/>
      <c r="Y213" s="13"/>
      <c r="Z213" s="13"/>
      <c r="AA213" s="13"/>
      <c r="AB213" s="13"/>
    </row>
    <row r="214" spans="1:28" ht="13.2">
      <c r="A214" s="53">
        <f t="shared" si="5"/>
        <v>213</v>
      </c>
      <c r="B214" s="13" t="s">
        <v>1386</v>
      </c>
      <c r="C214" s="16" t="s">
        <v>1135</v>
      </c>
      <c r="D214" s="16">
        <f t="shared" si="0"/>
        <v>700</v>
      </c>
      <c r="E214" s="16">
        <f t="shared" si="1"/>
        <v>934</v>
      </c>
      <c r="F214" s="16">
        <v>3</v>
      </c>
      <c r="G214" s="16" t="s">
        <v>1382</v>
      </c>
      <c r="H214" s="16"/>
      <c r="I214" s="16" t="s">
        <v>1140</v>
      </c>
      <c r="J214" s="16"/>
      <c r="K214" s="13"/>
      <c r="L214" s="275">
        <v>191</v>
      </c>
      <c r="M214" s="13"/>
      <c r="N214" s="13"/>
      <c r="O214" s="13"/>
      <c r="P214" s="13"/>
      <c r="Q214" s="13"/>
      <c r="R214" s="13"/>
      <c r="S214" s="13"/>
      <c r="T214" s="13"/>
      <c r="U214" s="13"/>
      <c r="V214" s="13"/>
      <c r="W214" s="13"/>
      <c r="X214" s="13"/>
      <c r="Y214" s="13"/>
      <c r="Z214" s="13"/>
      <c r="AA214" s="13"/>
      <c r="AB214" s="13"/>
    </row>
    <row r="215" spans="1:28" ht="13.2">
      <c r="A215" s="53">
        <f t="shared" si="5"/>
        <v>214</v>
      </c>
      <c r="B215" s="13" t="s">
        <v>1387</v>
      </c>
      <c r="C215" s="16" t="s">
        <v>1135</v>
      </c>
      <c r="D215" s="16">
        <f t="shared" si="0"/>
        <v>700</v>
      </c>
      <c r="E215" s="16">
        <f t="shared" si="1"/>
        <v>952</v>
      </c>
      <c r="F215" s="16">
        <v>3</v>
      </c>
      <c r="G215" s="16" t="s">
        <v>1382</v>
      </c>
      <c r="H215" s="16"/>
      <c r="I215" s="16" t="s">
        <v>1140</v>
      </c>
      <c r="J215" s="16"/>
      <c r="K215" s="13"/>
      <c r="L215" s="275">
        <v>191</v>
      </c>
      <c r="M215" s="13"/>
      <c r="N215" s="13"/>
      <c r="O215" s="13"/>
      <c r="P215" s="13"/>
      <c r="Q215" s="13"/>
      <c r="R215" s="13"/>
      <c r="S215" s="13"/>
      <c r="T215" s="13"/>
      <c r="U215" s="13"/>
      <c r="V215" s="13"/>
      <c r="W215" s="13"/>
      <c r="X215" s="13"/>
      <c r="Y215" s="13"/>
      <c r="Z215" s="13"/>
      <c r="AA215" s="13"/>
      <c r="AB215" s="13"/>
    </row>
    <row r="216" spans="1:28" ht="13.2">
      <c r="A216" s="53">
        <f t="shared" si="5"/>
        <v>215</v>
      </c>
      <c r="B216" s="13" t="s">
        <v>1388</v>
      </c>
      <c r="C216" s="16" t="s">
        <v>1145</v>
      </c>
      <c r="D216" s="16">
        <f t="shared" si="0"/>
        <v>2000</v>
      </c>
      <c r="E216" s="16">
        <f t="shared" si="1"/>
        <v>3040</v>
      </c>
      <c r="F216" s="16">
        <v>5</v>
      </c>
      <c r="G216" s="16" t="s">
        <v>1382</v>
      </c>
      <c r="H216" s="16"/>
      <c r="I216" s="16" t="s">
        <v>1140</v>
      </c>
      <c r="J216" s="16"/>
      <c r="K216" s="13"/>
      <c r="L216" s="275">
        <v>191</v>
      </c>
      <c r="M216" s="13"/>
      <c r="N216" s="13"/>
      <c r="O216" s="13"/>
      <c r="P216" s="13"/>
      <c r="Q216" s="13"/>
      <c r="R216" s="13"/>
      <c r="S216" s="13"/>
      <c r="T216" s="13"/>
      <c r="U216" s="13"/>
      <c r="V216" s="13"/>
      <c r="W216" s="13"/>
      <c r="X216" s="13"/>
      <c r="Y216" s="13"/>
      <c r="Z216" s="13"/>
      <c r="AA216" s="13"/>
      <c r="AB216" s="13"/>
    </row>
    <row r="217" spans="1:28" ht="13.2">
      <c r="A217" s="53">
        <f t="shared" si="5"/>
        <v>216</v>
      </c>
      <c r="B217" s="13" t="s">
        <v>1389</v>
      </c>
      <c r="C217" s="16" t="s">
        <v>1126</v>
      </c>
      <c r="D217" s="16">
        <f t="shared" si="0"/>
        <v>300</v>
      </c>
      <c r="E217" s="16">
        <f t="shared" si="1"/>
        <v>388</v>
      </c>
      <c r="F217" s="16">
        <v>2</v>
      </c>
      <c r="G217" s="16" t="s">
        <v>1382</v>
      </c>
      <c r="H217" s="16"/>
      <c r="I217" s="16" t="s">
        <v>1140</v>
      </c>
      <c r="J217" s="16"/>
      <c r="K217" s="13"/>
      <c r="L217" s="275">
        <v>191</v>
      </c>
      <c r="M217" s="13"/>
      <c r="N217" s="13"/>
      <c r="O217" s="13"/>
      <c r="P217" s="13"/>
      <c r="Q217" s="13"/>
      <c r="R217" s="13"/>
      <c r="S217" s="13"/>
      <c r="T217" s="13"/>
      <c r="U217" s="13"/>
      <c r="V217" s="13"/>
      <c r="W217" s="13"/>
      <c r="X217" s="13"/>
      <c r="Y217" s="13"/>
      <c r="Z217" s="13"/>
      <c r="AA217" s="13"/>
      <c r="AB217" s="13"/>
    </row>
    <row r="218" spans="1:28" ht="13.2">
      <c r="A218" s="53">
        <f t="shared" si="5"/>
        <v>217</v>
      </c>
      <c r="B218" s="13" t="s">
        <v>1390</v>
      </c>
      <c r="C218" s="16" t="s">
        <v>1126</v>
      </c>
      <c r="D218" s="16">
        <f t="shared" si="0"/>
        <v>300</v>
      </c>
      <c r="E218" s="16">
        <f t="shared" si="1"/>
        <v>378</v>
      </c>
      <c r="F218" s="16">
        <v>2</v>
      </c>
      <c r="G218" s="16" t="s">
        <v>1382</v>
      </c>
      <c r="H218" s="16"/>
      <c r="I218" s="16" t="s">
        <v>1140</v>
      </c>
      <c r="J218" s="16"/>
      <c r="K218" s="13"/>
      <c r="L218" s="275">
        <v>191</v>
      </c>
      <c r="M218" s="13"/>
      <c r="N218" s="13"/>
      <c r="O218" s="13"/>
      <c r="P218" s="13"/>
      <c r="Q218" s="13"/>
      <c r="R218" s="13"/>
      <c r="S218" s="13"/>
      <c r="T218" s="13"/>
      <c r="U218" s="13"/>
      <c r="V218" s="13"/>
      <c r="W218" s="13"/>
      <c r="X218" s="13"/>
      <c r="Y218" s="13"/>
      <c r="Z218" s="13"/>
      <c r="AA218" s="13"/>
      <c r="AB218" s="13"/>
    </row>
    <row r="219" spans="1:28" ht="13.2">
      <c r="A219" s="53">
        <f t="shared" si="5"/>
        <v>218</v>
      </c>
      <c r="B219" s="13" t="s">
        <v>1391</v>
      </c>
      <c r="C219" s="16" t="s">
        <v>1135</v>
      </c>
      <c r="D219" s="16">
        <f t="shared" si="0"/>
        <v>700</v>
      </c>
      <c r="E219" s="16">
        <f t="shared" si="1"/>
        <v>919</v>
      </c>
      <c r="F219" s="16">
        <v>3</v>
      </c>
      <c r="G219" s="16" t="s">
        <v>1382</v>
      </c>
      <c r="H219" s="16"/>
      <c r="I219" s="16" t="s">
        <v>1140</v>
      </c>
      <c r="J219" s="16"/>
      <c r="K219" s="13"/>
      <c r="L219" s="275">
        <v>191</v>
      </c>
      <c r="M219" s="13"/>
      <c r="N219" s="13"/>
      <c r="O219" s="13"/>
      <c r="P219" s="13"/>
      <c r="Q219" s="13"/>
      <c r="R219" s="13"/>
      <c r="S219" s="13"/>
      <c r="T219" s="13"/>
      <c r="U219" s="13"/>
      <c r="V219" s="13"/>
      <c r="W219" s="13"/>
      <c r="X219" s="13"/>
      <c r="Y219" s="13"/>
      <c r="Z219" s="13"/>
      <c r="AA219" s="13"/>
      <c r="AB219" s="13"/>
    </row>
    <row r="220" spans="1:28" ht="13.2">
      <c r="A220" s="53">
        <f t="shared" si="5"/>
        <v>219</v>
      </c>
      <c r="B220" s="13" t="s">
        <v>1392</v>
      </c>
      <c r="C220" s="16" t="s">
        <v>1137</v>
      </c>
      <c r="D220" s="16">
        <f t="shared" si="0"/>
        <v>1100</v>
      </c>
      <c r="E220" s="16">
        <f t="shared" si="1"/>
        <v>1576</v>
      </c>
      <c r="F220" s="16">
        <v>4</v>
      </c>
      <c r="G220" s="16" t="s">
        <v>1382</v>
      </c>
      <c r="H220" s="16"/>
      <c r="I220" s="16" t="s">
        <v>1140</v>
      </c>
      <c r="J220" s="16"/>
      <c r="K220" s="13"/>
      <c r="L220" s="275">
        <v>191</v>
      </c>
      <c r="M220" s="13"/>
      <c r="N220" s="13"/>
      <c r="O220" s="13"/>
      <c r="P220" s="13"/>
      <c r="Q220" s="13"/>
      <c r="R220" s="13"/>
      <c r="S220" s="13"/>
      <c r="T220" s="13"/>
      <c r="U220" s="13"/>
      <c r="V220" s="13"/>
      <c r="W220" s="13"/>
      <c r="X220" s="13"/>
      <c r="Y220" s="13"/>
      <c r="Z220" s="13"/>
      <c r="AA220" s="13"/>
      <c r="AB220" s="13"/>
    </row>
    <row r="221" spans="1:28" ht="13.2">
      <c r="A221" s="53">
        <f t="shared" si="5"/>
        <v>220</v>
      </c>
      <c r="B221" s="13" t="s">
        <v>1393</v>
      </c>
      <c r="C221" s="16" t="s">
        <v>1135</v>
      </c>
      <c r="D221" s="16">
        <f t="shared" si="0"/>
        <v>700</v>
      </c>
      <c r="E221" s="16">
        <f t="shared" si="1"/>
        <v>919</v>
      </c>
      <c r="F221" s="16">
        <v>3</v>
      </c>
      <c r="G221" s="16" t="s">
        <v>1382</v>
      </c>
      <c r="H221" s="16"/>
      <c r="I221" s="16" t="s">
        <v>1140</v>
      </c>
      <c r="J221" s="16"/>
      <c r="K221" s="13"/>
      <c r="L221" s="275">
        <v>192</v>
      </c>
      <c r="M221" s="13"/>
      <c r="N221" s="13"/>
      <c r="O221" s="13"/>
      <c r="P221" s="13"/>
      <c r="Q221" s="13"/>
      <c r="R221" s="13"/>
      <c r="S221" s="13"/>
      <c r="T221" s="13"/>
      <c r="U221" s="13"/>
      <c r="V221" s="13"/>
      <c r="W221" s="13"/>
      <c r="X221" s="13"/>
      <c r="Y221" s="13"/>
      <c r="Z221" s="13"/>
      <c r="AA221" s="13"/>
      <c r="AB221" s="13"/>
    </row>
    <row r="222" spans="1:28" ht="13.2">
      <c r="A222" s="53">
        <f t="shared" si="5"/>
        <v>221</v>
      </c>
      <c r="B222" s="13" t="s">
        <v>1394</v>
      </c>
      <c r="C222" s="16" t="s">
        <v>1137</v>
      </c>
      <c r="D222" s="16">
        <f t="shared" si="0"/>
        <v>1100</v>
      </c>
      <c r="E222" s="16">
        <f t="shared" si="1"/>
        <v>1576</v>
      </c>
      <c r="F222" s="16">
        <v>4</v>
      </c>
      <c r="G222" s="16" t="s">
        <v>1382</v>
      </c>
      <c r="H222" s="16"/>
      <c r="I222" s="16" t="s">
        <v>1140</v>
      </c>
      <c r="J222" s="16"/>
      <c r="K222" s="13" t="s">
        <v>1395</v>
      </c>
      <c r="L222" s="275">
        <v>192</v>
      </c>
      <c r="M222" s="13"/>
      <c r="N222" s="13"/>
      <c r="O222" s="13"/>
      <c r="P222" s="13"/>
      <c r="Q222" s="13"/>
      <c r="R222" s="13"/>
      <c r="S222" s="13"/>
      <c r="T222" s="13"/>
      <c r="U222" s="13"/>
      <c r="V222" s="13"/>
      <c r="W222" s="13"/>
      <c r="X222" s="13"/>
      <c r="Y222" s="13"/>
      <c r="Z222" s="13"/>
      <c r="AA222" s="13"/>
      <c r="AB222" s="13"/>
    </row>
    <row r="223" spans="1:28" ht="13.2">
      <c r="A223" s="53">
        <f t="shared" si="5"/>
        <v>222</v>
      </c>
      <c r="B223" s="13" t="s">
        <v>1396</v>
      </c>
      <c r="C223" s="16" t="s">
        <v>1135</v>
      </c>
      <c r="D223" s="16">
        <f t="shared" si="0"/>
        <v>700</v>
      </c>
      <c r="E223" s="16">
        <f t="shared" si="1"/>
        <v>919</v>
      </c>
      <c r="F223" s="16">
        <v>3</v>
      </c>
      <c r="G223" s="16" t="s">
        <v>1382</v>
      </c>
      <c r="H223" s="16"/>
      <c r="I223" s="16" t="s">
        <v>1140</v>
      </c>
      <c r="J223" s="16"/>
      <c r="K223" s="13"/>
      <c r="L223" s="275">
        <v>192</v>
      </c>
      <c r="M223" s="13"/>
      <c r="N223" s="13"/>
      <c r="O223" s="13"/>
      <c r="P223" s="13"/>
      <c r="Q223" s="13"/>
      <c r="R223" s="13"/>
      <c r="S223" s="13"/>
      <c r="T223" s="13"/>
      <c r="U223" s="13"/>
      <c r="V223" s="13"/>
      <c r="W223" s="13"/>
      <c r="X223" s="13"/>
      <c r="Y223" s="13"/>
      <c r="Z223" s="13"/>
      <c r="AA223" s="13"/>
      <c r="AB223" s="13"/>
    </row>
    <row r="224" spans="1:28" ht="13.2">
      <c r="A224" s="53">
        <f t="shared" si="5"/>
        <v>223</v>
      </c>
      <c r="B224" s="13" t="s">
        <v>1397</v>
      </c>
      <c r="C224" s="16" t="s">
        <v>1145</v>
      </c>
      <c r="D224" s="16">
        <f t="shared" si="0"/>
        <v>2000</v>
      </c>
      <c r="E224" s="16">
        <f t="shared" si="1"/>
        <v>3050</v>
      </c>
      <c r="F224" s="16">
        <v>5</v>
      </c>
      <c r="G224" s="16" t="s">
        <v>1382</v>
      </c>
      <c r="H224" s="16"/>
      <c r="I224" s="16" t="s">
        <v>1140</v>
      </c>
      <c r="J224" s="16"/>
      <c r="K224" s="13"/>
      <c r="L224" s="275">
        <v>193</v>
      </c>
      <c r="M224" s="13"/>
      <c r="N224" s="13"/>
      <c r="O224" s="13"/>
      <c r="P224" s="13"/>
      <c r="Q224" s="13"/>
      <c r="R224" s="13"/>
      <c r="S224" s="13"/>
      <c r="T224" s="13"/>
      <c r="U224" s="13"/>
      <c r="V224" s="13"/>
      <c r="W224" s="13"/>
      <c r="X224" s="13"/>
      <c r="Y224" s="13"/>
      <c r="Z224" s="13"/>
      <c r="AA224" s="13"/>
      <c r="AB224" s="13"/>
    </row>
    <row r="225" spans="1:28" ht="13.2">
      <c r="A225" s="53">
        <f t="shared" si="5"/>
        <v>224</v>
      </c>
      <c r="B225" s="13" t="s">
        <v>1398</v>
      </c>
      <c r="C225" s="16" t="s">
        <v>1126</v>
      </c>
      <c r="D225" s="16">
        <f t="shared" si="0"/>
        <v>300</v>
      </c>
      <c r="E225" s="16">
        <f t="shared" si="1"/>
        <v>368</v>
      </c>
      <c r="F225" s="16">
        <v>2</v>
      </c>
      <c r="G225" s="16" t="s">
        <v>1382</v>
      </c>
      <c r="H225" s="16"/>
      <c r="I225" s="16"/>
      <c r="J225" s="16"/>
      <c r="K225" s="13"/>
      <c r="L225" s="275">
        <v>193</v>
      </c>
      <c r="M225" s="13"/>
      <c r="N225" s="13"/>
      <c r="O225" s="13"/>
      <c r="P225" s="13"/>
      <c r="Q225" s="13"/>
      <c r="R225" s="13"/>
      <c r="S225" s="13"/>
      <c r="T225" s="13"/>
      <c r="U225" s="13"/>
      <c r="V225" s="13"/>
      <c r="W225" s="13"/>
      <c r="X225" s="13"/>
      <c r="Y225" s="13"/>
      <c r="Z225" s="13"/>
      <c r="AA225" s="13"/>
      <c r="AB225" s="13"/>
    </row>
    <row r="226" spans="1:28" ht="13.2">
      <c r="A226" s="53">
        <f t="shared" si="5"/>
        <v>225</v>
      </c>
      <c r="B226" s="13" t="s">
        <v>1399</v>
      </c>
      <c r="C226" s="16" t="s">
        <v>1137</v>
      </c>
      <c r="D226" s="16">
        <f t="shared" si="0"/>
        <v>1100</v>
      </c>
      <c r="E226" s="16">
        <f t="shared" si="1"/>
        <v>1580</v>
      </c>
      <c r="F226" s="16">
        <v>4</v>
      </c>
      <c r="G226" s="16" t="s">
        <v>1382</v>
      </c>
      <c r="H226" s="16"/>
      <c r="I226" s="16" t="s">
        <v>1140</v>
      </c>
      <c r="J226" s="16"/>
      <c r="K226" s="13"/>
      <c r="L226" s="275">
        <v>193</v>
      </c>
      <c r="M226" s="13"/>
      <c r="N226" s="13"/>
      <c r="O226" s="13"/>
      <c r="P226" s="13"/>
      <c r="Q226" s="13"/>
      <c r="R226" s="13"/>
      <c r="S226" s="13"/>
      <c r="T226" s="13"/>
      <c r="U226" s="13"/>
      <c r="V226" s="13"/>
      <c r="W226" s="13"/>
      <c r="X226" s="13"/>
      <c r="Y226" s="13"/>
      <c r="Z226" s="13"/>
      <c r="AA226" s="13"/>
      <c r="AB226" s="13"/>
    </row>
    <row r="227" spans="1:28" ht="13.2">
      <c r="A227" s="53">
        <f t="shared" si="5"/>
        <v>226</v>
      </c>
      <c r="B227" s="13" t="s">
        <v>1400</v>
      </c>
      <c r="C227" s="16" t="s">
        <v>1135</v>
      </c>
      <c r="D227" s="16">
        <f t="shared" si="0"/>
        <v>700</v>
      </c>
      <c r="E227" s="16">
        <f t="shared" si="1"/>
        <v>922</v>
      </c>
      <c r="F227" s="16">
        <v>3</v>
      </c>
      <c r="G227" s="16" t="s">
        <v>1382</v>
      </c>
      <c r="H227" s="16"/>
      <c r="I227" s="16" t="s">
        <v>1140</v>
      </c>
      <c r="J227" s="16"/>
      <c r="K227" s="13"/>
      <c r="L227" s="275">
        <v>193</v>
      </c>
      <c r="M227" s="13"/>
      <c r="N227" s="13"/>
      <c r="O227" s="13"/>
      <c r="P227" s="13"/>
      <c r="Q227" s="13"/>
      <c r="R227" s="13"/>
      <c r="S227" s="13"/>
      <c r="T227" s="13"/>
      <c r="U227" s="13"/>
      <c r="V227" s="13"/>
      <c r="W227" s="13"/>
      <c r="X227" s="13"/>
      <c r="Y227" s="13"/>
      <c r="Z227" s="13"/>
      <c r="AA227" s="13"/>
      <c r="AB227" s="13"/>
    </row>
    <row r="228" spans="1:28" ht="13.2">
      <c r="A228" s="53">
        <f t="shared" si="5"/>
        <v>227</v>
      </c>
      <c r="B228" s="13" t="s">
        <v>1401</v>
      </c>
      <c r="C228" s="16" t="s">
        <v>1145</v>
      </c>
      <c r="D228" s="16">
        <f t="shared" si="0"/>
        <v>2000</v>
      </c>
      <c r="E228" s="16">
        <f t="shared" si="1"/>
        <v>3050</v>
      </c>
      <c r="F228" s="16">
        <v>5</v>
      </c>
      <c r="G228" s="16" t="s">
        <v>1382</v>
      </c>
      <c r="H228" s="16"/>
      <c r="I228" s="16"/>
      <c r="J228" s="16"/>
      <c r="K228" s="13"/>
      <c r="L228" s="275">
        <v>193</v>
      </c>
      <c r="M228" s="13"/>
      <c r="N228" s="13"/>
      <c r="O228" s="13"/>
      <c r="P228" s="13"/>
      <c r="Q228" s="13"/>
      <c r="R228" s="13"/>
      <c r="S228" s="13"/>
      <c r="T228" s="13"/>
      <c r="U228" s="13"/>
      <c r="V228" s="13"/>
      <c r="W228" s="13"/>
      <c r="X228" s="13"/>
      <c r="Y228" s="13"/>
      <c r="Z228" s="13"/>
      <c r="AA228" s="13"/>
      <c r="AB228" s="13"/>
    </row>
    <row r="229" spans="1:28" ht="13.2">
      <c r="A229" s="53">
        <f t="shared" si="5"/>
        <v>228</v>
      </c>
      <c r="B229" s="13" t="s">
        <v>1402</v>
      </c>
      <c r="C229" s="16" t="s">
        <v>1126</v>
      </c>
      <c r="D229" s="16">
        <f t="shared" si="0"/>
        <v>300</v>
      </c>
      <c r="E229" s="16">
        <f t="shared" si="1"/>
        <v>368</v>
      </c>
      <c r="F229" s="16">
        <v>2</v>
      </c>
      <c r="G229" s="16" t="s">
        <v>1382</v>
      </c>
      <c r="H229" s="16"/>
      <c r="I229" s="16" t="s">
        <v>1140</v>
      </c>
      <c r="J229" s="16"/>
      <c r="K229" s="13"/>
      <c r="L229" s="275">
        <v>193</v>
      </c>
      <c r="M229" s="13"/>
      <c r="N229" s="13"/>
      <c r="O229" s="13"/>
      <c r="P229" s="13"/>
      <c r="Q229" s="13"/>
      <c r="R229" s="13"/>
      <c r="S229" s="13"/>
      <c r="T229" s="13"/>
      <c r="U229" s="13"/>
      <c r="V229" s="13"/>
      <c r="W229" s="13"/>
      <c r="X229" s="13"/>
      <c r="Y229" s="13"/>
      <c r="Z229" s="13"/>
      <c r="AA229" s="13"/>
      <c r="AB229" s="13"/>
    </row>
    <row r="230" spans="1:28" ht="13.2">
      <c r="A230" s="53">
        <f t="shared" si="5"/>
        <v>229</v>
      </c>
      <c r="B230" s="13" t="s">
        <v>1403</v>
      </c>
      <c r="C230" s="16" t="s">
        <v>1126</v>
      </c>
      <c r="D230" s="16">
        <f t="shared" si="0"/>
        <v>300</v>
      </c>
      <c r="E230" s="16">
        <f t="shared" si="1"/>
        <v>382</v>
      </c>
      <c r="F230" s="16">
        <v>2</v>
      </c>
      <c r="G230" s="16" t="s">
        <v>1382</v>
      </c>
      <c r="H230" s="16"/>
      <c r="I230" s="16"/>
      <c r="J230" s="16"/>
      <c r="K230" s="13"/>
      <c r="L230" s="275">
        <v>193</v>
      </c>
      <c r="M230" s="13"/>
      <c r="N230" s="13"/>
      <c r="O230" s="13"/>
      <c r="P230" s="13"/>
      <c r="Q230" s="13"/>
      <c r="R230" s="13"/>
      <c r="S230" s="13"/>
      <c r="T230" s="13"/>
      <c r="U230" s="13"/>
      <c r="V230" s="13"/>
      <c r="W230" s="13"/>
      <c r="X230" s="13"/>
      <c r="Y230" s="13"/>
      <c r="Z230" s="13"/>
      <c r="AA230" s="13"/>
      <c r="AB230" s="13"/>
    </row>
    <row r="231" spans="1:28" ht="13.2">
      <c r="A231" s="53">
        <f t="shared" si="5"/>
        <v>230</v>
      </c>
      <c r="B231" s="13" t="s">
        <v>1404</v>
      </c>
      <c r="C231" s="16" t="s">
        <v>1135</v>
      </c>
      <c r="D231" s="16">
        <f t="shared" si="0"/>
        <v>700</v>
      </c>
      <c r="E231" s="16">
        <f t="shared" si="1"/>
        <v>925</v>
      </c>
      <c r="F231" s="16">
        <v>3</v>
      </c>
      <c r="G231" s="16" t="s">
        <v>1382</v>
      </c>
      <c r="H231" s="16"/>
      <c r="I231" s="16" t="s">
        <v>1140</v>
      </c>
      <c r="J231" s="16"/>
      <c r="K231" s="13"/>
      <c r="L231" s="275">
        <v>193</v>
      </c>
      <c r="M231" s="13"/>
      <c r="N231" s="13"/>
      <c r="O231" s="13"/>
      <c r="P231" s="13"/>
      <c r="Q231" s="13"/>
      <c r="R231" s="13"/>
      <c r="S231" s="13"/>
      <c r="T231" s="13"/>
      <c r="U231" s="13"/>
      <c r="V231" s="13"/>
      <c r="W231" s="13"/>
      <c r="X231" s="13"/>
      <c r="Y231" s="13"/>
      <c r="Z231" s="13"/>
      <c r="AA231" s="13"/>
      <c r="AB231" s="13"/>
    </row>
    <row r="232" spans="1:28" ht="13.2">
      <c r="A232" s="53">
        <f t="shared" si="5"/>
        <v>231</v>
      </c>
      <c r="B232" s="13" t="s">
        <v>1405</v>
      </c>
      <c r="C232" s="16" t="s">
        <v>1135</v>
      </c>
      <c r="D232" s="16">
        <f t="shared" si="0"/>
        <v>700</v>
      </c>
      <c r="E232" s="16">
        <f t="shared" si="1"/>
        <v>943</v>
      </c>
      <c r="F232" s="16">
        <v>3</v>
      </c>
      <c r="G232" s="16" t="s">
        <v>1130</v>
      </c>
      <c r="H232" s="16" t="s">
        <v>1406</v>
      </c>
      <c r="I232" s="16" t="s">
        <v>1140</v>
      </c>
      <c r="J232" s="16"/>
      <c r="K232" s="13"/>
      <c r="L232" s="275">
        <v>193</v>
      </c>
      <c r="M232" s="13"/>
      <c r="N232" s="13"/>
      <c r="O232" s="13"/>
      <c r="P232" s="13"/>
      <c r="Q232" s="13"/>
      <c r="R232" s="13"/>
      <c r="S232" s="13"/>
      <c r="T232" s="13"/>
      <c r="U232" s="13"/>
      <c r="V232" s="13"/>
      <c r="W232" s="13"/>
      <c r="X232" s="13"/>
      <c r="Y232" s="13"/>
      <c r="Z232" s="13"/>
      <c r="AA232" s="13"/>
      <c r="AB232" s="13"/>
    </row>
    <row r="233" spans="1:28" ht="13.2">
      <c r="A233" s="53">
        <f t="shared" si="5"/>
        <v>232</v>
      </c>
      <c r="B233" s="13" t="s">
        <v>1407</v>
      </c>
      <c r="C233" s="16" t="s">
        <v>1137</v>
      </c>
      <c r="D233" s="16">
        <f t="shared" si="0"/>
        <v>1100</v>
      </c>
      <c r="E233" s="16">
        <f t="shared" si="1"/>
        <v>1560</v>
      </c>
      <c r="F233" s="16">
        <v>4</v>
      </c>
      <c r="G233" s="16" t="s">
        <v>1130</v>
      </c>
      <c r="H233" s="16" t="s">
        <v>1406</v>
      </c>
      <c r="I233" s="16" t="s">
        <v>1140</v>
      </c>
      <c r="J233" s="16"/>
      <c r="K233" s="13"/>
      <c r="L233" s="275">
        <v>194</v>
      </c>
      <c r="M233" s="13"/>
      <c r="N233" s="13"/>
      <c r="O233" s="13"/>
      <c r="P233" s="13"/>
      <c r="Q233" s="13"/>
      <c r="R233" s="13"/>
      <c r="S233" s="13"/>
      <c r="T233" s="13"/>
      <c r="U233" s="13"/>
      <c r="V233" s="13"/>
      <c r="W233" s="13"/>
      <c r="X233" s="13"/>
      <c r="Y233" s="13"/>
      <c r="Z233" s="13"/>
      <c r="AA233" s="13"/>
      <c r="AB233" s="13"/>
    </row>
    <row r="234" spans="1:28" ht="13.2">
      <c r="A234" s="53">
        <f t="shared" si="5"/>
        <v>233</v>
      </c>
      <c r="B234" s="13" t="s">
        <v>1408</v>
      </c>
      <c r="C234" s="16" t="s">
        <v>1137</v>
      </c>
      <c r="D234" s="16">
        <f t="shared" si="0"/>
        <v>1100</v>
      </c>
      <c r="E234" s="16">
        <f t="shared" si="1"/>
        <v>1584</v>
      </c>
      <c r="F234" s="16">
        <v>4</v>
      </c>
      <c r="G234" s="16" t="s">
        <v>1130</v>
      </c>
      <c r="H234" s="16" t="s">
        <v>1406</v>
      </c>
      <c r="I234" s="16" t="s">
        <v>1140</v>
      </c>
      <c r="J234" s="16"/>
      <c r="K234" s="13"/>
      <c r="L234" s="275">
        <v>194</v>
      </c>
      <c r="M234" s="13"/>
      <c r="N234" s="13"/>
      <c r="O234" s="13"/>
      <c r="P234" s="13"/>
      <c r="Q234" s="13"/>
      <c r="R234" s="13"/>
      <c r="S234" s="13"/>
      <c r="T234" s="13"/>
      <c r="U234" s="13"/>
      <c r="V234" s="13"/>
      <c r="W234" s="13"/>
      <c r="X234" s="13"/>
      <c r="Y234" s="13"/>
      <c r="Z234" s="13"/>
      <c r="AA234" s="13"/>
      <c r="AB234" s="13"/>
    </row>
    <row r="235" spans="1:28" ht="13.2">
      <c r="A235" s="53">
        <f t="shared" si="5"/>
        <v>234</v>
      </c>
      <c r="B235" s="13" t="s">
        <v>1409</v>
      </c>
      <c r="C235" s="16" t="s">
        <v>1145</v>
      </c>
      <c r="D235" s="16">
        <f t="shared" si="0"/>
        <v>2000</v>
      </c>
      <c r="E235" s="16">
        <f t="shared" si="1"/>
        <v>3025</v>
      </c>
      <c r="F235" s="16">
        <v>5</v>
      </c>
      <c r="G235" s="16" t="s">
        <v>1130</v>
      </c>
      <c r="H235" s="16" t="s">
        <v>1406</v>
      </c>
      <c r="I235" s="16" t="s">
        <v>1140</v>
      </c>
      <c r="J235" s="16"/>
      <c r="K235" s="13"/>
      <c r="L235" s="275">
        <v>194</v>
      </c>
      <c r="M235" s="13"/>
      <c r="N235" s="13"/>
      <c r="O235" s="13"/>
      <c r="P235" s="13"/>
      <c r="Q235" s="13"/>
      <c r="R235" s="13"/>
      <c r="S235" s="13"/>
      <c r="T235" s="13"/>
      <c r="U235" s="13"/>
      <c r="V235" s="13"/>
      <c r="W235" s="13"/>
      <c r="X235" s="13"/>
      <c r="Y235" s="13"/>
      <c r="Z235" s="13"/>
      <c r="AA235" s="13"/>
      <c r="AB235" s="13"/>
    </row>
    <row r="236" spans="1:28" ht="13.2">
      <c r="A236" s="53">
        <f t="shared" si="5"/>
        <v>235</v>
      </c>
      <c r="B236" s="13" t="s">
        <v>1410</v>
      </c>
      <c r="C236" s="16" t="s">
        <v>1126</v>
      </c>
      <c r="D236" s="16">
        <f t="shared" si="0"/>
        <v>300</v>
      </c>
      <c r="E236" s="16">
        <f t="shared" si="1"/>
        <v>384</v>
      </c>
      <c r="F236" s="16">
        <v>2</v>
      </c>
      <c r="G236" s="16" t="s">
        <v>1130</v>
      </c>
      <c r="H236" s="16" t="s">
        <v>1406</v>
      </c>
      <c r="I236" s="16"/>
      <c r="J236" s="16"/>
      <c r="K236" s="13"/>
      <c r="L236" s="275">
        <v>195</v>
      </c>
      <c r="M236" s="13"/>
      <c r="N236" s="13"/>
      <c r="O236" s="13"/>
      <c r="P236" s="13"/>
      <c r="Q236" s="13"/>
      <c r="R236" s="13"/>
      <c r="S236" s="13"/>
      <c r="T236" s="13"/>
      <c r="U236" s="13"/>
      <c r="V236" s="13"/>
      <c r="W236" s="13"/>
      <c r="X236" s="13"/>
      <c r="Y236" s="13"/>
      <c r="Z236" s="13"/>
      <c r="AA236" s="13"/>
      <c r="AB236" s="13"/>
    </row>
    <row r="237" spans="1:28" ht="13.2">
      <c r="A237" s="53">
        <f t="shared" si="5"/>
        <v>236</v>
      </c>
      <c r="B237" s="13" t="s">
        <v>1411</v>
      </c>
      <c r="C237" s="16" t="s">
        <v>1137</v>
      </c>
      <c r="D237" s="16">
        <f t="shared" si="0"/>
        <v>1100</v>
      </c>
      <c r="E237" s="16">
        <f t="shared" si="1"/>
        <v>1564</v>
      </c>
      <c r="F237" s="16">
        <v>4</v>
      </c>
      <c r="G237" s="16" t="s">
        <v>1285</v>
      </c>
      <c r="H237" s="16"/>
      <c r="I237" s="16" t="s">
        <v>1140</v>
      </c>
      <c r="J237" s="16"/>
      <c r="K237" s="13"/>
      <c r="L237" s="275">
        <v>195</v>
      </c>
      <c r="M237" s="13"/>
      <c r="N237" s="13"/>
      <c r="O237" s="13"/>
      <c r="P237" s="13"/>
      <c r="Q237" s="13"/>
      <c r="R237" s="13"/>
      <c r="S237" s="13"/>
      <c r="T237" s="13"/>
      <c r="U237" s="13"/>
      <c r="V237" s="13"/>
      <c r="W237" s="13"/>
      <c r="X237" s="13"/>
      <c r="Y237" s="13"/>
      <c r="Z237" s="13"/>
      <c r="AA237" s="13"/>
      <c r="AB237" s="13"/>
    </row>
    <row r="238" spans="1:28" ht="13.2">
      <c r="A238" s="53">
        <f t="shared" si="5"/>
        <v>237</v>
      </c>
      <c r="B238" s="13" t="s">
        <v>1412</v>
      </c>
      <c r="C238" s="16" t="s">
        <v>1137</v>
      </c>
      <c r="D238" s="16">
        <f t="shared" si="0"/>
        <v>1100</v>
      </c>
      <c r="E238" s="16">
        <f t="shared" si="1"/>
        <v>1588</v>
      </c>
      <c r="F238" s="16">
        <v>4</v>
      </c>
      <c r="G238" s="16" t="s">
        <v>1285</v>
      </c>
      <c r="H238" s="16"/>
      <c r="I238" s="16" t="s">
        <v>1140</v>
      </c>
      <c r="J238" s="16"/>
      <c r="K238" s="13"/>
      <c r="L238" s="275">
        <v>196</v>
      </c>
      <c r="M238" s="13"/>
      <c r="N238" s="13"/>
      <c r="O238" s="13"/>
      <c r="P238" s="13"/>
      <c r="Q238" s="13"/>
      <c r="R238" s="13"/>
      <c r="S238" s="13"/>
      <c r="T238" s="13"/>
      <c r="U238" s="13"/>
      <c r="V238" s="13"/>
      <c r="W238" s="13"/>
      <c r="X238" s="13"/>
      <c r="Y238" s="13"/>
      <c r="Z238" s="13"/>
      <c r="AA238" s="13"/>
      <c r="AB238" s="13"/>
    </row>
    <row r="239" spans="1:28" ht="13.2">
      <c r="A239" s="53">
        <f t="shared" si="5"/>
        <v>238</v>
      </c>
      <c r="B239" s="13" t="s">
        <v>1413</v>
      </c>
      <c r="C239" s="16" t="s">
        <v>1145</v>
      </c>
      <c r="D239" s="16">
        <f t="shared" si="0"/>
        <v>2000</v>
      </c>
      <c r="E239" s="16">
        <f t="shared" si="1"/>
        <v>3030</v>
      </c>
      <c r="F239" s="16">
        <v>5</v>
      </c>
      <c r="G239" s="16" t="s">
        <v>1285</v>
      </c>
      <c r="H239" s="16"/>
      <c r="I239" s="16" t="s">
        <v>1140</v>
      </c>
      <c r="J239" s="16"/>
      <c r="K239" s="13"/>
      <c r="L239" s="275">
        <v>196</v>
      </c>
      <c r="M239" s="13"/>
      <c r="N239" s="13"/>
      <c r="O239" s="13"/>
      <c r="P239" s="13"/>
      <c r="Q239" s="13"/>
      <c r="R239" s="13"/>
      <c r="S239" s="13"/>
      <c r="T239" s="13"/>
      <c r="U239" s="13"/>
      <c r="V239" s="13"/>
      <c r="W239" s="13"/>
      <c r="X239" s="13"/>
      <c r="Y239" s="13"/>
      <c r="Z239" s="13"/>
      <c r="AA239" s="13"/>
      <c r="AB239" s="13"/>
    </row>
    <row r="240" spans="1:28" ht="13.2">
      <c r="A240" s="53">
        <f t="shared" si="5"/>
        <v>239</v>
      </c>
      <c r="B240" s="13" t="s">
        <v>1414</v>
      </c>
      <c r="C240" s="16" t="s">
        <v>1145</v>
      </c>
      <c r="D240" s="16">
        <f t="shared" si="0"/>
        <v>2000</v>
      </c>
      <c r="E240" s="16">
        <f t="shared" si="1"/>
        <v>3060</v>
      </c>
      <c r="F240" s="16">
        <v>5</v>
      </c>
      <c r="G240" s="16" t="s">
        <v>1285</v>
      </c>
      <c r="H240" s="16"/>
      <c r="I240" s="16" t="s">
        <v>1140</v>
      </c>
      <c r="J240" s="16"/>
      <c r="K240" s="13" t="s">
        <v>1415</v>
      </c>
      <c r="L240" s="275">
        <v>197</v>
      </c>
      <c r="M240" s="13"/>
      <c r="N240" s="13"/>
      <c r="O240" s="13"/>
      <c r="P240" s="13"/>
      <c r="Q240" s="13"/>
      <c r="R240" s="13"/>
      <c r="S240" s="13"/>
      <c r="T240" s="13"/>
      <c r="U240" s="13"/>
      <c r="V240" s="13"/>
      <c r="W240" s="13"/>
      <c r="X240" s="13"/>
      <c r="Y240" s="13"/>
      <c r="Z240" s="13"/>
      <c r="AA240" s="13"/>
      <c r="AB240" s="13"/>
    </row>
    <row r="241" spans="1:28" ht="13.2">
      <c r="A241" s="53">
        <f t="shared" si="5"/>
        <v>240</v>
      </c>
      <c r="B241" s="13" t="s">
        <v>1416</v>
      </c>
      <c r="C241" s="16" t="s">
        <v>1135</v>
      </c>
      <c r="D241" s="16">
        <f t="shared" si="0"/>
        <v>700</v>
      </c>
      <c r="E241" s="16">
        <f t="shared" si="1"/>
        <v>928</v>
      </c>
      <c r="F241" s="16">
        <v>3</v>
      </c>
      <c r="G241" s="16" t="s">
        <v>1285</v>
      </c>
      <c r="H241" s="16"/>
      <c r="I241" s="16" t="s">
        <v>1140</v>
      </c>
      <c r="J241" s="16"/>
      <c r="K241" s="13"/>
      <c r="L241" s="275">
        <v>197</v>
      </c>
      <c r="M241" s="13"/>
      <c r="N241" s="13"/>
      <c r="O241" s="13"/>
      <c r="P241" s="13"/>
      <c r="Q241" s="13"/>
      <c r="R241" s="13"/>
      <c r="S241" s="13"/>
      <c r="T241" s="13"/>
      <c r="U241" s="13"/>
      <c r="V241" s="13"/>
      <c r="W241" s="13"/>
      <c r="X241" s="13"/>
      <c r="Y241" s="13"/>
      <c r="Z241" s="13"/>
      <c r="AA241" s="13"/>
      <c r="AB241" s="13"/>
    </row>
    <row r="242" spans="1:28" ht="13.2">
      <c r="A242" s="53">
        <f t="shared" si="5"/>
        <v>241</v>
      </c>
      <c r="B242" s="13" t="s">
        <v>1417</v>
      </c>
      <c r="C242" s="16" t="s">
        <v>1137</v>
      </c>
      <c r="D242" s="16">
        <f t="shared" si="0"/>
        <v>1100</v>
      </c>
      <c r="E242" s="16">
        <f t="shared" si="1"/>
        <v>1592</v>
      </c>
      <c r="F242" s="16">
        <v>4</v>
      </c>
      <c r="G242" s="16" t="s">
        <v>1285</v>
      </c>
      <c r="H242" s="16"/>
      <c r="I242" s="16"/>
      <c r="J242" s="16"/>
      <c r="K242" s="13"/>
      <c r="L242" s="275">
        <v>197</v>
      </c>
      <c r="M242" s="13"/>
      <c r="N242" s="13"/>
      <c r="O242" s="13"/>
      <c r="P242" s="13"/>
      <c r="Q242" s="13"/>
      <c r="R242" s="13"/>
      <c r="S242" s="13"/>
      <c r="T242" s="13"/>
      <c r="U242" s="13"/>
      <c r="V242" s="13"/>
      <c r="W242" s="13"/>
      <c r="X242" s="13"/>
      <c r="Y242" s="13"/>
      <c r="Z242" s="13"/>
      <c r="AA242" s="13"/>
      <c r="AB242" s="13"/>
    </row>
    <row r="243" spans="1:28" ht="13.2">
      <c r="A243" s="53">
        <f t="shared" si="5"/>
        <v>242</v>
      </c>
      <c r="B243" s="13" t="s">
        <v>1418</v>
      </c>
      <c r="C243" s="16" t="s">
        <v>1126</v>
      </c>
      <c r="D243" s="16">
        <f t="shared" si="0"/>
        <v>300</v>
      </c>
      <c r="E243" s="16">
        <f t="shared" si="1"/>
        <v>374</v>
      </c>
      <c r="F243" s="16">
        <v>2</v>
      </c>
      <c r="G243" s="16" t="s">
        <v>1285</v>
      </c>
      <c r="H243" s="16"/>
      <c r="I243" s="16" t="s">
        <v>1140</v>
      </c>
      <c r="J243" s="16"/>
      <c r="K243" s="13"/>
      <c r="L243" s="275">
        <v>197</v>
      </c>
      <c r="M243" s="13"/>
      <c r="N243" s="13"/>
      <c r="O243" s="13"/>
      <c r="P243" s="13"/>
      <c r="Q243" s="13"/>
      <c r="R243" s="13"/>
      <c r="S243" s="13"/>
      <c r="T243" s="13"/>
      <c r="U243" s="13"/>
      <c r="V243" s="13"/>
      <c r="W243" s="13"/>
      <c r="X243" s="13"/>
      <c r="Y243" s="13"/>
      <c r="Z243" s="13"/>
      <c r="AA243" s="13"/>
      <c r="AB243" s="13"/>
    </row>
    <row r="244" spans="1:28" ht="13.2">
      <c r="A244" s="53">
        <f t="shared" si="5"/>
        <v>243</v>
      </c>
      <c r="B244" s="13" t="s">
        <v>1419</v>
      </c>
      <c r="C244" s="16" t="s">
        <v>1135</v>
      </c>
      <c r="D244" s="16">
        <f t="shared" si="0"/>
        <v>700</v>
      </c>
      <c r="E244" s="16">
        <f t="shared" si="1"/>
        <v>949</v>
      </c>
      <c r="F244" s="16">
        <v>3</v>
      </c>
      <c r="G244" s="16" t="s">
        <v>1285</v>
      </c>
      <c r="H244" s="16"/>
      <c r="I244" s="16" t="s">
        <v>1140</v>
      </c>
      <c r="J244" s="16"/>
      <c r="K244" s="13"/>
      <c r="L244" s="275">
        <v>197</v>
      </c>
      <c r="M244" s="13"/>
      <c r="N244" s="13"/>
      <c r="O244" s="13"/>
      <c r="P244" s="13"/>
      <c r="Q244" s="13"/>
      <c r="R244" s="13"/>
      <c r="S244" s="13"/>
      <c r="T244" s="13"/>
      <c r="U244" s="13"/>
      <c r="V244" s="13"/>
      <c r="W244" s="13"/>
      <c r="X244" s="13"/>
      <c r="Y244" s="13"/>
      <c r="Z244" s="13"/>
      <c r="AA244" s="13"/>
      <c r="AB244" s="13"/>
    </row>
    <row r="245" spans="1:28" ht="13.2">
      <c r="A245" s="53">
        <f t="shared" si="5"/>
        <v>244</v>
      </c>
      <c r="B245" s="13" t="s">
        <v>1420</v>
      </c>
      <c r="C245" s="16" t="s">
        <v>1137</v>
      </c>
      <c r="D245" s="16">
        <f t="shared" si="0"/>
        <v>1100</v>
      </c>
      <c r="E245" s="16">
        <f t="shared" si="1"/>
        <v>1568</v>
      </c>
      <c r="F245" s="16">
        <v>4</v>
      </c>
      <c r="G245" s="16" t="s">
        <v>1285</v>
      </c>
      <c r="H245" s="16"/>
      <c r="I245" s="16" t="s">
        <v>1140</v>
      </c>
      <c r="J245" s="16"/>
      <c r="K245" s="13"/>
      <c r="L245" s="275">
        <v>197</v>
      </c>
      <c r="M245" s="13"/>
      <c r="N245" s="13"/>
      <c r="O245" s="13"/>
      <c r="P245" s="13"/>
      <c r="Q245" s="13"/>
      <c r="R245" s="13"/>
      <c r="S245" s="13"/>
      <c r="T245" s="13"/>
      <c r="U245" s="13"/>
      <c r="V245" s="13"/>
      <c r="W245" s="13"/>
      <c r="X245" s="13"/>
      <c r="Y245" s="13"/>
      <c r="Z245" s="13"/>
      <c r="AA245" s="13"/>
      <c r="AB245" s="13"/>
    </row>
    <row r="246" spans="1:28" ht="13.2">
      <c r="A246" s="53">
        <f t="shared" si="5"/>
        <v>245</v>
      </c>
      <c r="B246" s="13" t="s">
        <v>1421</v>
      </c>
      <c r="C246" s="16" t="s">
        <v>1126</v>
      </c>
      <c r="D246" s="16">
        <f t="shared" si="0"/>
        <v>300</v>
      </c>
      <c r="E246" s="16">
        <f t="shared" si="1"/>
        <v>386</v>
      </c>
      <c r="F246" s="16">
        <v>2</v>
      </c>
      <c r="G246" s="16" t="s">
        <v>1130</v>
      </c>
      <c r="H246" s="16"/>
      <c r="I246" s="16"/>
      <c r="J246" s="16"/>
      <c r="K246" s="13"/>
      <c r="L246" s="275">
        <v>197</v>
      </c>
      <c r="M246" s="13"/>
      <c r="N246" s="13"/>
      <c r="O246" s="13"/>
      <c r="P246" s="13"/>
      <c r="Q246" s="13"/>
      <c r="R246" s="13"/>
      <c r="S246" s="13"/>
      <c r="T246" s="13"/>
      <c r="U246" s="13"/>
      <c r="V246" s="13"/>
      <c r="W246" s="13"/>
      <c r="X246" s="13"/>
      <c r="Y246" s="13"/>
      <c r="Z246" s="13"/>
      <c r="AA246" s="13"/>
      <c r="AB246" s="13"/>
    </row>
    <row r="247" spans="1:28" ht="13.2">
      <c r="A247" s="53">
        <f t="shared" si="5"/>
        <v>246</v>
      </c>
      <c r="B247" s="13" t="s">
        <v>1422</v>
      </c>
      <c r="C247" s="16" t="s">
        <v>1135</v>
      </c>
      <c r="D247" s="16">
        <f t="shared" si="0"/>
        <v>700</v>
      </c>
      <c r="E247" s="16">
        <f t="shared" si="1"/>
        <v>931</v>
      </c>
      <c r="F247" s="16">
        <v>3</v>
      </c>
      <c r="G247" s="16" t="s">
        <v>1130</v>
      </c>
      <c r="H247" s="16"/>
      <c r="I247" s="16"/>
      <c r="J247" s="16"/>
      <c r="K247" s="13"/>
      <c r="L247" s="275">
        <v>197</v>
      </c>
      <c r="M247" s="13"/>
      <c r="N247" s="13"/>
      <c r="O247" s="13"/>
      <c r="P247" s="13"/>
      <c r="Q247" s="13"/>
      <c r="R247" s="13"/>
      <c r="S247" s="13"/>
      <c r="T247" s="13"/>
      <c r="U247" s="13"/>
      <c r="V247" s="13"/>
      <c r="W247" s="13"/>
      <c r="X247" s="13"/>
      <c r="Y247" s="13"/>
      <c r="Z247" s="13"/>
      <c r="AA247" s="13"/>
      <c r="AB247" s="13"/>
    </row>
    <row r="248" spans="1:28" ht="13.2">
      <c r="A248" s="53">
        <f t="shared" si="5"/>
        <v>247</v>
      </c>
      <c r="B248" s="13" t="s">
        <v>1423</v>
      </c>
      <c r="C248" s="16" t="s">
        <v>1126</v>
      </c>
      <c r="D248" s="16">
        <f t="shared" si="0"/>
        <v>300</v>
      </c>
      <c r="E248" s="16">
        <f t="shared" si="1"/>
        <v>388</v>
      </c>
      <c r="F248" s="16">
        <v>2</v>
      </c>
      <c r="G248" s="16" t="s">
        <v>1130</v>
      </c>
      <c r="H248" s="16" t="s">
        <v>1282</v>
      </c>
      <c r="I248" s="16"/>
      <c r="J248" s="16"/>
      <c r="K248" s="13"/>
      <c r="L248" s="275">
        <v>199</v>
      </c>
      <c r="M248" s="13"/>
      <c r="N248" s="13"/>
      <c r="O248" s="13"/>
      <c r="P248" s="13"/>
      <c r="Q248" s="13"/>
      <c r="R248" s="13"/>
      <c r="S248" s="13"/>
      <c r="T248" s="13"/>
      <c r="U248" s="13"/>
      <c r="V248" s="13"/>
      <c r="W248" s="13"/>
      <c r="X248" s="13"/>
      <c r="Y248" s="13"/>
      <c r="Z248" s="13"/>
      <c r="AA248" s="13"/>
      <c r="AB248" s="13"/>
    </row>
    <row r="249" spans="1:28" ht="13.2">
      <c r="A249" s="53">
        <f t="shared" si="5"/>
        <v>248</v>
      </c>
      <c r="B249" s="13" t="s">
        <v>1424</v>
      </c>
      <c r="C249" s="16" t="s">
        <v>1145</v>
      </c>
      <c r="D249" s="16">
        <f t="shared" si="0"/>
        <v>2000</v>
      </c>
      <c r="E249" s="16">
        <f t="shared" si="1"/>
        <v>3040</v>
      </c>
      <c r="F249" s="16">
        <v>5</v>
      </c>
      <c r="G249" s="16" t="s">
        <v>1130</v>
      </c>
      <c r="H249" s="16" t="s">
        <v>1160</v>
      </c>
      <c r="I249" s="16" t="s">
        <v>1140</v>
      </c>
      <c r="J249" s="16"/>
      <c r="K249" s="13"/>
      <c r="L249" s="275">
        <v>199</v>
      </c>
      <c r="M249" s="13"/>
      <c r="N249" s="13"/>
      <c r="O249" s="13"/>
      <c r="P249" s="13"/>
      <c r="Q249" s="13"/>
      <c r="R249" s="13"/>
      <c r="S249" s="13"/>
      <c r="T249" s="13"/>
      <c r="U249" s="13"/>
      <c r="V249" s="13"/>
      <c r="W249" s="13"/>
      <c r="X249" s="13"/>
      <c r="Y249" s="13"/>
      <c r="Z249" s="13"/>
      <c r="AA249" s="13"/>
      <c r="AB249" s="13"/>
    </row>
    <row r="250" spans="1:28" ht="13.2">
      <c r="A250" s="53">
        <f t="shared" si="5"/>
        <v>249</v>
      </c>
      <c r="B250" s="13" t="s">
        <v>1425</v>
      </c>
      <c r="C250" s="16" t="s">
        <v>1137</v>
      </c>
      <c r="D250" s="16">
        <f t="shared" si="0"/>
        <v>1100</v>
      </c>
      <c r="E250" s="16">
        <f t="shared" si="1"/>
        <v>1596</v>
      </c>
      <c r="F250" s="16">
        <v>4</v>
      </c>
      <c r="G250" s="16" t="s">
        <v>1173</v>
      </c>
      <c r="H250" s="16" t="s">
        <v>1426</v>
      </c>
      <c r="I250" s="16" t="s">
        <v>1140</v>
      </c>
      <c r="J250" s="16"/>
      <c r="K250" s="13"/>
      <c r="L250" s="275">
        <v>199</v>
      </c>
      <c r="M250" s="13"/>
      <c r="N250" s="13"/>
      <c r="O250" s="13"/>
      <c r="P250" s="13"/>
      <c r="Q250" s="13"/>
      <c r="R250" s="13"/>
      <c r="S250" s="13"/>
      <c r="T250" s="13"/>
      <c r="U250" s="13"/>
      <c r="V250" s="13"/>
      <c r="W250" s="13"/>
      <c r="X250" s="13"/>
      <c r="Y250" s="13"/>
      <c r="Z250" s="13"/>
      <c r="AA250" s="13"/>
      <c r="AB250" s="13"/>
    </row>
    <row r="251" spans="1:28" ht="13.2">
      <c r="A251" s="53">
        <f t="shared" si="5"/>
        <v>250</v>
      </c>
      <c r="B251" s="13" t="s">
        <v>1427</v>
      </c>
      <c r="C251" s="16" t="s">
        <v>1135</v>
      </c>
      <c r="D251" s="16">
        <f t="shared" si="0"/>
        <v>700</v>
      </c>
      <c r="E251" s="16">
        <f t="shared" si="1"/>
        <v>934</v>
      </c>
      <c r="F251" s="16">
        <v>3</v>
      </c>
      <c r="G251" s="16" t="s">
        <v>1428</v>
      </c>
      <c r="H251" s="16"/>
      <c r="I251" s="16"/>
      <c r="J251" s="16"/>
      <c r="K251" s="13"/>
      <c r="L251" s="275">
        <v>199</v>
      </c>
      <c r="M251" s="13"/>
      <c r="N251" s="13"/>
      <c r="O251" s="13"/>
      <c r="P251" s="13"/>
      <c r="Q251" s="13"/>
      <c r="R251" s="13"/>
      <c r="S251" s="13"/>
      <c r="T251" s="13"/>
      <c r="U251" s="13"/>
      <c r="V251" s="13"/>
      <c r="W251" s="13"/>
      <c r="X251" s="13"/>
      <c r="Y251" s="13"/>
      <c r="Z251" s="13"/>
      <c r="AA251" s="13"/>
      <c r="AB251" s="13"/>
    </row>
    <row r="252" spans="1:28" ht="13.2">
      <c r="A252" s="53">
        <f t="shared" si="5"/>
        <v>251</v>
      </c>
      <c r="B252" s="13" t="s">
        <v>1429</v>
      </c>
      <c r="C252" s="16" t="s">
        <v>1126</v>
      </c>
      <c r="D252" s="16">
        <f t="shared" si="0"/>
        <v>300</v>
      </c>
      <c r="E252" s="16">
        <f t="shared" si="1"/>
        <v>388</v>
      </c>
      <c r="F252" s="16">
        <v>2</v>
      </c>
      <c r="G252" s="16" t="s">
        <v>1130</v>
      </c>
      <c r="H252" s="16"/>
      <c r="I252" s="16"/>
      <c r="J252" s="16"/>
      <c r="K252" s="13"/>
      <c r="L252" s="275">
        <v>199</v>
      </c>
      <c r="M252" s="13"/>
      <c r="N252" s="13"/>
      <c r="O252" s="13"/>
      <c r="P252" s="13"/>
      <c r="Q252" s="13"/>
      <c r="R252" s="13"/>
      <c r="S252" s="13"/>
      <c r="T252" s="13"/>
      <c r="U252" s="13"/>
      <c r="V252" s="13"/>
      <c r="W252" s="13"/>
      <c r="X252" s="13"/>
      <c r="Y252" s="13"/>
      <c r="Z252" s="13"/>
      <c r="AA252" s="13"/>
      <c r="AB252" s="13"/>
    </row>
    <row r="253" spans="1:28" ht="13.2">
      <c r="A253" s="53">
        <f t="shared" si="5"/>
        <v>252</v>
      </c>
      <c r="B253" s="13" t="s">
        <v>1430</v>
      </c>
      <c r="C253" s="16" t="s">
        <v>1126</v>
      </c>
      <c r="D253" s="16">
        <f t="shared" si="0"/>
        <v>300</v>
      </c>
      <c r="E253" s="16">
        <f t="shared" si="1"/>
        <v>376</v>
      </c>
      <c r="F253" s="16">
        <v>2</v>
      </c>
      <c r="G253" s="16" t="s">
        <v>1127</v>
      </c>
      <c r="H253" s="16" t="s">
        <v>1158</v>
      </c>
      <c r="I253" s="16"/>
      <c r="J253" s="16"/>
      <c r="K253" s="13"/>
      <c r="L253" s="275">
        <v>199</v>
      </c>
      <c r="M253" s="13"/>
      <c r="N253" s="13"/>
      <c r="O253" s="13"/>
      <c r="P253" s="13"/>
      <c r="Q253" s="13"/>
      <c r="R253" s="13"/>
      <c r="S253" s="13"/>
      <c r="T253" s="13"/>
      <c r="U253" s="13"/>
      <c r="V253" s="13"/>
      <c r="W253" s="13"/>
      <c r="X253" s="13"/>
      <c r="Y253" s="13"/>
      <c r="Z253" s="13"/>
      <c r="AA253" s="13"/>
      <c r="AB253" s="13"/>
    </row>
    <row r="254" spans="1:28" ht="13.2">
      <c r="A254" s="53">
        <f t="shared" si="5"/>
        <v>253</v>
      </c>
      <c r="B254" s="13" t="s">
        <v>1431</v>
      </c>
      <c r="C254" s="16" t="s">
        <v>1126</v>
      </c>
      <c r="D254" s="16">
        <f t="shared" si="0"/>
        <v>300</v>
      </c>
      <c r="E254" s="16">
        <f t="shared" si="1"/>
        <v>366</v>
      </c>
      <c r="F254" s="16">
        <v>2</v>
      </c>
      <c r="G254" s="16" t="s">
        <v>1127</v>
      </c>
      <c r="H254" s="16" t="s">
        <v>1158</v>
      </c>
      <c r="I254" s="16"/>
      <c r="J254" s="16"/>
      <c r="K254" s="13"/>
      <c r="L254" s="275">
        <v>200</v>
      </c>
      <c r="M254" s="13"/>
      <c r="N254" s="13"/>
      <c r="O254" s="13"/>
      <c r="P254" s="13"/>
      <c r="Q254" s="13"/>
      <c r="R254" s="13"/>
      <c r="S254" s="13"/>
      <c r="T254" s="13"/>
      <c r="U254" s="13"/>
      <c r="V254" s="13"/>
      <c r="W254" s="13"/>
      <c r="X254" s="13"/>
      <c r="Y254" s="13"/>
      <c r="Z254" s="13"/>
      <c r="AA254" s="13"/>
      <c r="AB254" s="13"/>
    </row>
    <row r="255" spans="1:28" ht="13.2">
      <c r="A255" s="53">
        <f t="shared" si="5"/>
        <v>254</v>
      </c>
      <c r="B255" s="13" t="s">
        <v>1432</v>
      </c>
      <c r="C255" s="16" t="s">
        <v>1135</v>
      </c>
      <c r="D255" s="16">
        <f t="shared" si="0"/>
        <v>700</v>
      </c>
      <c r="E255" s="16">
        <f t="shared" si="1"/>
        <v>937</v>
      </c>
      <c r="F255" s="16">
        <v>3</v>
      </c>
      <c r="G255" s="16" t="s">
        <v>1127</v>
      </c>
      <c r="H255" s="16" t="s">
        <v>1158</v>
      </c>
      <c r="I255" s="16"/>
      <c r="J255" s="16"/>
      <c r="K255" s="13"/>
      <c r="L255" s="275">
        <v>200</v>
      </c>
      <c r="M255" s="13"/>
      <c r="N255" s="13"/>
      <c r="O255" s="13"/>
      <c r="P255" s="13"/>
      <c r="Q255" s="13"/>
      <c r="R255" s="13"/>
      <c r="S255" s="13"/>
      <c r="T255" s="13"/>
      <c r="U255" s="13"/>
      <c r="V255" s="13"/>
      <c r="W255" s="13"/>
      <c r="X255" s="13"/>
      <c r="Y255" s="13"/>
      <c r="Z255" s="13"/>
      <c r="AA255" s="13"/>
      <c r="AB255" s="13"/>
    </row>
    <row r="256" spans="1:28" ht="13.2">
      <c r="A256" s="53">
        <f t="shared" si="5"/>
        <v>255</v>
      </c>
      <c r="B256" s="13" t="s">
        <v>1433</v>
      </c>
      <c r="C256" s="16" t="s">
        <v>1137</v>
      </c>
      <c r="D256" s="16">
        <f t="shared" si="0"/>
        <v>1100</v>
      </c>
      <c r="E256" s="16">
        <f t="shared" si="1"/>
        <v>1552</v>
      </c>
      <c r="F256" s="16">
        <v>4</v>
      </c>
      <c r="G256" s="16" t="s">
        <v>1127</v>
      </c>
      <c r="H256" s="16" t="s">
        <v>1158</v>
      </c>
      <c r="I256" s="16"/>
      <c r="J256" s="16"/>
      <c r="K256" s="13"/>
      <c r="L256" s="275">
        <v>200</v>
      </c>
      <c r="M256" s="13"/>
      <c r="N256" s="13"/>
      <c r="O256" s="13"/>
      <c r="P256" s="13"/>
      <c r="Q256" s="13"/>
      <c r="R256" s="13"/>
      <c r="S256" s="13"/>
      <c r="T256" s="13"/>
      <c r="U256" s="13"/>
      <c r="V256" s="13"/>
      <c r="W256" s="13"/>
      <c r="X256" s="13"/>
      <c r="Y256" s="13"/>
      <c r="Z256" s="13"/>
      <c r="AA256" s="13"/>
      <c r="AB256" s="13"/>
    </row>
    <row r="257" spans="1:28" ht="13.2">
      <c r="A257" s="53">
        <f t="shared" si="5"/>
        <v>256</v>
      </c>
      <c r="B257" s="13" t="s">
        <v>1434</v>
      </c>
      <c r="C257" s="16" t="s">
        <v>1135</v>
      </c>
      <c r="D257" s="16">
        <f t="shared" ref="D257:D511" si="6">IF(C257="common",100,IF(C257="Uncommon",300,IF(C257="Rare",700,IF(C257="very rare",1100,IF(C257="Legendary",2000,0)))))</f>
        <v>700</v>
      </c>
      <c r="E257" s="16">
        <f t="shared" ref="E257:E511" si="7">(F257*TRUNC(3+(15-3)*(TRUNC(MOD((A257*1103515245 +12345)/ 65536, 32768),0)/32768),0))+D257+(D257/10*F257)</f>
        <v>937</v>
      </c>
      <c r="F257" s="16">
        <v>3</v>
      </c>
      <c r="G257" s="16" t="s">
        <v>1127</v>
      </c>
      <c r="H257" s="16" t="s">
        <v>1158</v>
      </c>
      <c r="I257" s="16" t="s">
        <v>1140</v>
      </c>
      <c r="J257" s="16" t="s">
        <v>1154</v>
      </c>
      <c r="K257" s="13"/>
      <c r="L257" s="275">
        <v>200</v>
      </c>
      <c r="M257" s="13"/>
      <c r="N257" s="13"/>
      <c r="O257" s="13"/>
      <c r="P257" s="13"/>
      <c r="Q257" s="13"/>
      <c r="R257" s="13"/>
      <c r="S257" s="13"/>
      <c r="T257" s="13"/>
      <c r="U257" s="13"/>
      <c r="V257" s="13"/>
      <c r="W257" s="13"/>
      <c r="X257" s="13"/>
      <c r="Y257" s="13"/>
      <c r="Z257" s="13"/>
      <c r="AA257" s="13"/>
      <c r="AB257" s="13"/>
    </row>
    <row r="258" spans="1:28" ht="13.2">
      <c r="A258" s="53">
        <f t="shared" si="5"/>
        <v>257</v>
      </c>
      <c r="B258" s="13" t="s">
        <v>1435</v>
      </c>
      <c r="C258" s="16" t="s">
        <v>1126</v>
      </c>
      <c r="D258" s="16">
        <f t="shared" si="6"/>
        <v>300</v>
      </c>
      <c r="E258" s="16">
        <f t="shared" si="7"/>
        <v>366</v>
      </c>
      <c r="F258" s="16">
        <v>2</v>
      </c>
      <c r="G258" s="16" t="s">
        <v>1130</v>
      </c>
      <c r="H258" s="16" t="s">
        <v>1176</v>
      </c>
      <c r="I258" s="16" t="s">
        <v>1140</v>
      </c>
      <c r="J258" s="16"/>
      <c r="K258" s="13"/>
      <c r="L258" s="275">
        <v>200</v>
      </c>
      <c r="M258" s="13"/>
      <c r="N258" s="13"/>
      <c r="O258" s="13"/>
      <c r="P258" s="13"/>
      <c r="Q258" s="13"/>
      <c r="R258" s="13"/>
      <c r="S258" s="13"/>
      <c r="T258" s="13"/>
      <c r="U258" s="13"/>
      <c r="V258" s="13"/>
      <c r="W258" s="13"/>
      <c r="X258" s="13"/>
      <c r="Y258" s="13"/>
      <c r="Z258" s="13"/>
      <c r="AA258" s="13"/>
      <c r="AB258" s="13"/>
    </row>
    <row r="259" spans="1:28" ht="13.2">
      <c r="A259" s="53">
        <f t="shared" ref="A259:A322" si="8">IF(ISBLANK(B259),,A258+1)</f>
        <v>258</v>
      </c>
      <c r="B259" s="13" t="s">
        <v>1436</v>
      </c>
      <c r="C259" s="16" t="s">
        <v>1145</v>
      </c>
      <c r="D259" s="16">
        <f t="shared" si="6"/>
        <v>2000</v>
      </c>
      <c r="E259" s="16">
        <f t="shared" si="7"/>
        <v>3045</v>
      </c>
      <c r="F259" s="16">
        <v>5</v>
      </c>
      <c r="G259" s="16" t="s">
        <v>1130</v>
      </c>
      <c r="H259" s="16" t="s">
        <v>1160</v>
      </c>
      <c r="I259" s="16"/>
      <c r="J259" s="16"/>
      <c r="K259" s="13"/>
      <c r="L259" s="275">
        <v>200</v>
      </c>
      <c r="M259" s="13"/>
      <c r="N259" s="13"/>
      <c r="O259" s="13"/>
      <c r="P259" s="13"/>
      <c r="Q259" s="13"/>
      <c r="R259" s="13"/>
      <c r="S259" s="13"/>
      <c r="T259" s="13"/>
      <c r="U259" s="13"/>
      <c r="V259" s="13"/>
      <c r="W259" s="13"/>
      <c r="X259" s="13"/>
      <c r="Y259" s="13"/>
      <c r="Z259" s="13"/>
      <c r="AA259" s="13"/>
      <c r="AB259" s="13"/>
    </row>
    <row r="260" spans="1:28" ht="13.2">
      <c r="A260" s="53">
        <f t="shared" si="8"/>
        <v>259</v>
      </c>
      <c r="B260" s="13" t="s">
        <v>1437</v>
      </c>
      <c r="C260" s="16" t="s">
        <v>1354</v>
      </c>
      <c r="D260" s="16">
        <f t="shared" si="6"/>
        <v>100</v>
      </c>
      <c r="E260" s="16">
        <f t="shared" si="7"/>
        <v>114</v>
      </c>
      <c r="F260" s="16">
        <v>1</v>
      </c>
      <c r="G260" s="16" t="s">
        <v>1428</v>
      </c>
      <c r="H260" s="16"/>
      <c r="I260" s="16"/>
      <c r="J260" s="16"/>
      <c r="K260" s="13"/>
      <c r="L260" s="275">
        <v>200</v>
      </c>
      <c r="M260" s="13"/>
      <c r="N260" s="13"/>
      <c r="O260" s="13"/>
      <c r="P260" s="13"/>
      <c r="Q260" s="13"/>
      <c r="R260" s="13"/>
      <c r="S260" s="13"/>
      <c r="T260" s="13"/>
      <c r="U260" s="13"/>
      <c r="V260" s="13"/>
      <c r="W260" s="13"/>
      <c r="X260" s="13"/>
      <c r="Y260" s="13"/>
      <c r="Z260" s="13"/>
      <c r="AA260" s="13"/>
      <c r="AB260" s="13"/>
    </row>
    <row r="261" spans="1:28" ht="13.2">
      <c r="A261" s="53">
        <f t="shared" si="8"/>
        <v>260</v>
      </c>
      <c r="B261" s="13" t="s">
        <v>1438</v>
      </c>
      <c r="C261" s="16" t="s">
        <v>1126</v>
      </c>
      <c r="D261" s="16">
        <f t="shared" si="6"/>
        <v>300</v>
      </c>
      <c r="E261" s="16">
        <f t="shared" si="7"/>
        <v>380</v>
      </c>
      <c r="F261" s="16">
        <v>2</v>
      </c>
      <c r="G261" s="16" t="s">
        <v>1428</v>
      </c>
      <c r="H261" s="16"/>
      <c r="I261" s="16"/>
      <c r="J261" s="16"/>
      <c r="K261" s="13"/>
      <c r="L261" s="275">
        <v>200</v>
      </c>
      <c r="M261" s="13"/>
      <c r="N261" s="13"/>
      <c r="O261" s="13"/>
      <c r="P261" s="13"/>
      <c r="Q261" s="13"/>
      <c r="R261" s="13"/>
      <c r="S261" s="13"/>
      <c r="T261" s="13"/>
      <c r="U261" s="13"/>
      <c r="V261" s="13"/>
      <c r="W261" s="13"/>
      <c r="X261" s="13"/>
      <c r="Y261" s="13"/>
      <c r="Z261" s="13"/>
      <c r="AA261" s="13"/>
      <c r="AB261" s="13"/>
    </row>
    <row r="262" spans="1:28" ht="13.2">
      <c r="A262" s="53">
        <f t="shared" si="8"/>
        <v>261</v>
      </c>
      <c r="B262" s="13" t="s">
        <v>1439</v>
      </c>
      <c r="C262" s="16" t="s">
        <v>1126</v>
      </c>
      <c r="D262" s="16">
        <f t="shared" si="6"/>
        <v>300</v>
      </c>
      <c r="E262" s="16">
        <f t="shared" si="7"/>
        <v>368</v>
      </c>
      <c r="F262" s="16">
        <v>2</v>
      </c>
      <c r="G262" s="16" t="s">
        <v>1428</v>
      </c>
      <c r="H262" s="16"/>
      <c r="I262" s="16"/>
      <c r="J262" s="16"/>
      <c r="K262" s="13"/>
      <c r="L262" s="275">
        <v>200</v>
      </c>
      <c r="M262" s="13"/>
      <c r="N262" s="13"/>
      <c r="O262" s="13"/>
      <c r="P262" s="13"/>
      <c r="Q262" s="13"/>
      <c r="R262" s="13"/>
      <c r="S262" s="13"/>
      <c r="T262" s="13"/>
      <c r="U262" s="13"/>
      <c r="V262" s="13"/>
      <c r="W262" s="13"/>
      <c r="X262" s="13"/>
      <c r="Y262" s="13"/>
      <c r="Z262" s="13"/>
      <c r="AA262" s="13"/>
      <c r="AB262" s="13"/>
    </row>
    <row r="263" spans="1:28" ht="13.2">
      <c r="A263" s="53">
        <f t="shared" si="8"/>
        <v>262</v>
      </c>
      <c r="B263" s="13" t="s">
        <v>1440</v>
      </c>
      <c r="C263" s="16" t="s">
        <v>1135</v>
      </c>
      <c r="D263" s="16">
        <f t="shared" si="6"/>
        <v>700</v>
      </c>
      <c r="E263" s="16">
        <f t="shared" si="7"/>
        <v>940</v>
      </c>
      <c r="F263" s="16">
        <v>3</v>
      </c>
      <c r="G263" s="16" t="s">
        <v>1428</v>
      </c>
      <c r="H263" s="16"/>
      <c r="I263" s="16"/>
      <c r="J263" s="16"/>
      <c r="K263" s="13"/>
      <c r="L263" s="275">
        <v>200</v>
      </c>
      <c r="M263" s="13"/>
      <c r="N263" s="13"/>
      <c r="O263" s="13"/>
      <c r="P263" s="13"/>
      <c r="Q263" s="13"/>
      <c r="R263" s="13"/>
      <c r="S263" s="13"/>
      <c r="T263" s="13"/>
      <c r="U263" s="13"/>
      <c r="V263" s="13"/>
      <c r="W263" s="13"/>
      <c r="X263" s="13"/>
      <c r="Y263" s="13"/>
      <c r="Z263" s="13"/>
      <c r="AA263" s="13"/>
      <c r="AB263" s="13"/>
    </row>
    <row r="264" spans="1:28" ht="13.2">
      <c r="A264" s="53">
        <f t="shared" si="8"/>
        <v>263</v>
      </c>
      <c r="B264" s="13" t="s">
        <v>1441</v>
      </c>
      <c r="C264" s="16" t="s">
        <v>1135</v>
      </c>
      <c r="D264" s="16">
        <f t="shared" si="6"/>
        <v>700</v>
      </c>
      <c r="E264" s="16">
        <f t="shared" si="7"/>
        <v>922</v>
      </c>
      <c r="F264" s="16">
        <v>3</v>
      </c>
      <c r="G264" s="16" t="s">
        <v>1428</v>
      </c>
      <c r="H264" s="16"/>
      <c r="I264" s="16"/>
      <c r="J264" s="16"/>
      <c r="K264" s="13"/>
      <c r="L264" s="275">
        <v>200</v>
      </c>
      <c r="M264" s="13"/>
      <c r="N264" s="13"/>
      <c r="O264" s="13"/>
      <c r="P264" s="13"/>
      <c r="Q264" s="13"/>
      <c r="R264" s="13"/>
      <c r="S264" s="13"/>
      <c r="T264" s="13"/>
      <c r="U264" s="13"/>
      <c r="V264" s="13"/>
      <c r="W264" s="13"/>
      <c r="X264" s="13"/>
      <c r="Y264" s="13"/>
      <c r="Z264" s="13"/>
      <c r="AA264" s="13"/>
      <c r="AB264" s="13"/>
    </row>
    <row r="265" spans="1:28" ht="13.2">
      <c r="A265" s="53">
        <f t="shared" si="8"/>
        <v>264</v>
      </c>
      <c r="B265" s="13" t="s">
        <v>1442</v>
      </c>
      <c r="C265" s="16" t="s">
        <v>1137</v>
      </c>
      <c r="D265" s="16">
        <f t="shared" si="6"/>
        <v>1100</v>
      </c>
      <c r="E265" s="16">
        <f t="shared" si="7"/>
        <v>1580</v>
      </c>
      <c r="F265" s="16">
        <v>4</v>
      </c>
      <c r="G265" s="16" t="s">
        <v>1428</v>
      </c>
      <c r="H265" s="16"/>
      <c r="I265" s="16"/>
      <c r="J265" s="16"/>
      <c r="K265" s="13"/>
      <c r="L265" s="275">
        <v>200</v>
      </c>
      <c r="M265" s="13"/>
      <c r="N265" s="13"/>
      <c r="O265" s="13"/>
      <c r="P265" s="13"/>
      <c r="Q265" s="13"/>
      <c r="R265" s="13"/>
      <c r="S265" s="13"/>
      <c r="T265" s="13"/>
      <c r="U265" s="13"/>
      <c r="V265" s="13"/>
      <c r="W265" s="13"/>
      <c r="X265" s="13"/>
      <c r="Y265" s="13"/>
      <c r="Z265" s="13"/>
      <c r="AA265" s="13"/>
      <c r="AB265" s="13"/>
    </row>
    <row r="266" spans="1:28" ht="13.2">
      <c r="A266" s="53">
        <f t="shared" si="8"/>
        <v>265</v>
      </c>
      <c r="B266" s="13" t="s">
        <v>1443</v>
      </c>
      <c r="C266" s="16" t="s">
        <v>1137</v>
      </c>
      <c r="D266" s="16">
        <f t="shared" si="6"/>
        <v>1100</v>
      </c>
      <c r="E266" s="16">
        <f t="shared" si="7"/>
        <v>1560</v>
      </c>
      <c r="F266" s="16">
        <v>4</v>
      </c>
      <c r="G266" s="16" t="s">
        <v>1428</v>
      </c>
      <c r="H266" s="16"/>
      <c r="I266" s="16"/>
      <c r="J266" s="16"/>
      <c r="K266" s="13"/>
      <c r="L266" s="275">
        <v>200</v>
      </c>
      <c r="M266" s="13"/>
      <c r="N266" s="13"/>
      <c r="O266" s="13"/>
      <c r="P266" s="13"/>
      <c r="Q266" s="13"/>
      <c r="R266" s="13"/>
      <c r="S266" s="13"/>
      <c r="T266" s="13"/>
      <c r="U266" s="13"/>
      <c r="V266" s="13"/>
      <c r="W266" s="13"/>
      <c r="X266" s="13"/>
      <c r="Y266" s="13"/>
      <c r="Z266" s="13"/>
      <c r="AA266" s="13"/>
      <c r="AB266" s="13"/>
    </row>
    <row r="267" spans="1:28" ht="13.2">
      <c r="A267" s="53">
        <f t="shared" si="8"/>
        <v>266</v>
      </c>
      <c r="B267" s="13" t="s">
        <v>1444</v>
      </c>
      <c r="C267" s="16" t="s">
        <v>1137</v>
      </c>
      <c r="D267" s="16">
        <f t="shared" si="6"/>
        <v>1100</v>
      </c>
      <c r="E267" s="16">
        <f t="shared" si="7"/>
        <v>1584</v>
      </c>
      <c r="F267" s="16">
        <v>4</v>
      </c>
      <c r="G267" s="16" t="s">
        <v>1428</v>
      </c>
      <c r="H267" s="16"/>
      <c r="I267" s="16"/>
      <c r="J267" s="16"/>
      <c r="K267" s="13"/>
      <c r="L267" s="275">
        <v>200</v>
      </c>
      <c r="M267" s="13"/>
      <c r="N267" s="13"/>
      <c r="O267" s="13"/>
      <c r="P267" s="13"/>
      <c r="Q267" s="13"/>
      <c r="R267" s="13"/>
      <c r="S267" s="13"/>
      <c r="T267" s="13"/>
      <c r="U267" s="13"/>
      <c r="V267" s="13"/>
      <c r="W267" s="13"/>
      <c r="X267" s="13"/>
      <c r="Y267" s="13"/>
      <c r="Z267" s="13"/>
      <c r="AA267" s="13"/>
      <c r="AB267" s="13"/>
    </row>
    <row r="268" spans="1:28" ht="13.2">
      <c r="A268" s="53">
        <f t="shared" si="8"/>
        <v>267</v>
      </c>
      <c r="B268" s="13" t="s">
        <v>1445</v>
      </c>
      <c r="C268" s="16" t="s">
        <v>1145</v>
      </c>
      <c r="D268" s="16">
        <f t="shared" si="6"/>
        <v>2000</v>
      </c>
      <c r="E268" s="16">
        <f t="shared" si="7"/>
        <v>3025</v>
      </c>
      <c r="F268" s="16">
        <v>5</v>
      </c>
      <c r="G268" s="16" t="s">
        <v>1428</v>
      </c>
      <c r="H268" s="16"/>
      <c r="I268" s="16"/>
      <c r="J268" s="16"/>
      <c r="K268" s="13"/>
      <c r="L268" s="275">
        <v>200</v>
      </c>
      <c r="M268" s="13"/>
      <c r="N268" s="13"/>
      <c r="O268" s="13"/>
      <c r="P268" s="13"/>
      <c r="Q268" s="13"/>
      <c r="R268" s="13"/>
      <c r="S268" s="13"/>
      <c r="T268" s="13"/>
      <c r="U268" s="13"/>
      <c r="V268" s="13"/>
      <c r="W268" s="13"/>
      <c r="X268" s="13"/>
      <c r="Y268" s="13"/>
      <c r="Z268" s="13"/>
      <c r="AA268" s="13"/>
      <c r="AB268" s="13"/>
    </row>
    <row r="269" spans="1:28" ht="13.2">
      <c r="A269" s="53">
        <f t="shared" si="8"/>
        <v>268</v>
      </c>
      <c r="B269" s="13" t="s">
        <v>1446</v>
      </c>
      <c r="C269" s="16" t="s">
        <v>1354</v>
      </c>
      <c r="D269" s="16">
        <f t="shared" si="6"/>
        <v>100</v>
      </c>
      <c r="E269" s="16">
        <f t="shared" si="7"/>
        <v>121</v>
      </c>
      <c r="F269" s="16">
        <v>1</v>
      </c>
      <c r="G269" s="16" t="s">
        <v>1428</v>
      </c>
      <c r="H269" s="16"/>
      <c r="I269" s="16"/>
      <c r="J269" s="16"/>
      <c r="K269" s="13"/>
      <c r="L269" s="275">
        <v>200</v>
      </c>
      <c r="M269" s="13"/>
      <c r="N269" s="13"/>
      <c r="O269" s="13"/>
      <c r="P269" s="13"/>
      <c r="Q269" s="13"/>
      <c r="R269" s="13"/>
      <c r="S269" s="13"/>
      <c r="T269" s="13"/>
      <c r="U269" s="13"/>
      <c r="V269" s="13"/>
      <c r="W269" s="13"/>
      <c r="X269" s="13"/>
      <c r="Y269" s="13"/>
      <c r="Z269" s="13"/>
      <c r="AA269" s="13"/>
      <c r="AB269" s="13"/>
    </row>
    <row r="270" spans="1:28" ht="13.2">
      <c r="A270" s="53">
        <f t="shared" si="8"/>
        <v>269</v>
      </c>
      <c r="B270" s="13" t="s">
        <v>1447</v>
      </c>
      <c r="C270" s="16" t="s">
        <v>1137</v>
      </c>
      <c r="D270" s="16">
        <f t="shared" si="6"/>
        <v>1100</v>
      </c>
      <c r="E270" s="16">
        <f t="shared" si="7"/>
        <v>1560</v>
      </c>
      <c r="F270" s="16">
        <v>4</v>
      </c>
      <c r="G270" s="16" t="s">
        <v>1127</v>
      </c>
      <c r="H270" s="16" t="s">
        <v>1158</v>
      </c>
      <c r="I270" s="16" t="s">
        <v>1140</v>
      </c>
      <c r="J270" s="16"/>
      <c r="K270" s="13"/>
      <c r="L270" s="275">
        <v>201</v>
      </c>
      <c r="M270" s="13"/>
      <c r="N270" s="13"/>
      <c r="O270" s="13"/>
      <c r="P270" s="13"/>
      <c r="Q270" s="13"/>
      <c r="R270" s="13"/>
      <c r="S270" s="13"/>
      <c r="T270" s="13"/>
      <c r="U270" s="13"/>
      <c r="V270" s="13"/>
      <c r="W270" s="13"/>
      <c r="X270" s="13"/>
      <c r="Y270" s="13"/>
      <c r="Z270" s="13"/>
      <c r="AA270" s="13"/>
      <c r="AB270" s="13"/>
    </row>
    <row r="271" spans="1:28" ht="13.2">
      <c r="A271" s="53">
        <f t="shared" si="8"/>
        <v>270</v>
      </c>
      <c r="B271" s="13" t="s">
        <v>1448</v>
      </c>
      <c r="C271" s="16" t="s">
        <v>1145</v>
      </c>
      <c r="D271" s="16">
        <f t="shared" si="6"/>
        <v>2000</v>
      </c>
      <c r="E271" s="16">
        <f t="shared" si="7"/>
        <v>3055</v>
      </c>
      <c r="F271" s="16">
        <v>5</v>
      </c>
      <c r="G271" s="16" t="s">
        <v>1130</v>
      </c>
      <c r="H271" s="16"/>
      <c r="I271" s="16"/>
      <c r="J271" s="16"/>
      <c r="K271" s="13"/>
      <c r="L271" s="275">
        <v>201</v>
      </c>
      <c r="M271" s="13"/>
      <c r="N271" s="13"/>
      <c r="O271" s="13"/>
      <c r="P271" s="13"/>
      <c r="Q271" s="13"/>
      <c r="R271" s="13"/>
      <c r="S271" s="13"/>
      <c r="T271" s="13"/>
      <c r="U271" s="13"/>
      <c r="V271" s="13"/>
      <c r="W271" s="13"/>
      <c r="X271" s="13"/>
      <c r="Y271" s="13"/>
      <c r="Z271" s="13"/>
      <c r="AA271" s="13"/>
      <c r="AB271" s="13"/>
    </row>
    <row r="272" spans="1:28" ht="13.2">
      <c r="A272" s="53">
        <f t="shared" si="8"/>
        <v>271</v>
      </c>
      <c r="B272" s="13" t="s">
        <v>1449</v>
      </c>
      <c r="C272" s="16" t="s">
        <v>1135</v>
      </c>
      <c r="D272" s="16">
        <f t="shared" si="6"/>
        <v>700</v>
      </c>
      <c r="E272" s="16">
        <f t="shared" si="7"/>
        <v>928</v>
      </c>
      <c r="F272" s="16">
        <v>3</v>
      </c>
      <c r="G272" s="16" t="s">
        <v>1450</v>
      </c>
      <c r="H272" s="16"/>
      <c r="I272" s="16" t="s">
        <v>1140</v>
      </c>
      <c r="J272" s="16"/>
      <c r="K272" s="13" t="s">
        <v>1451</v>
      </c>
      <c r="L272" s="275">
        <v>201</v>
      </c>
      <c r="M272" s="13"/>
      <c r="N272" s="13"/>
      <c r="O272" s="13"/>
      <c r="P272" s="13"/>
      <c r="Q272" s="13"/>
      <c r="R272" s="13"/>
      <c r="S272" s="13"/>
      <c r="T272" s="13"/>
      <c r="U272" s="13"/>
      <c r="V272" s="13"/>
      <c r="W272" s="13"/>
      <c r="X272" s="13"/>
      <c r="Y272" s="13"/>
      <c r="Z272" s="13"/>
      <c r="AA272" s="13"/>
      <c r="AB272" s="13"/>
    </row>
    <row r="273" spans="1:28" ht="13.2">
      <c r="A273" s="53">
        <f t="shared" si="8"/>
        <v>272</v>
      </c>
      <c r="B273" s="13" t="s">
        <v>1452</v>
      </c>
      <c r="C273" s="16" t="s">
        <v>1137</v>
      </c>
      <c r="D273" s="16">
        <f t="shared" si="6"/>
        <v>1100</v>
      </c>
      <c r="E273" s="16">
        <f t="shared" si="7"/>
        <v>1588</v>
      </c>
      <c r="F273" s="16">
        <v>4</v>
      </c>
      <c r="G273" s="16" t="s">
        <v>1450</v>
      </c>
      <c r="H273" s="16"/>
      <c r="I273" s="16" t="s">
        <v>1140</v>
      </c>
      <c r="J273" s="16"/>
      <c r="K273" s="13" t="s">
        <v>1453</v>
      </c>
      <c r="L273" s="275">
        <v>201</v>
      </c>
      <c r="M273" s="13"/>
      <c r="N273" s="13"/>
      <c r="O273" s="13"/>
      <c r="P273" s="13"/>
      <c r="Q273" s="13"/>
      <c r="R273" s="13"/>
      <c r="S273" s="13"/>
      <c r="T273" s="13"/>
      <c r="U273" s="13"/>
      <c r="V273" s="13"/>
      <c r="W273" s="13"/>
      <c r="X273" s="13"/>
      <c r="Y273" s="13"/>
      <c r="Z273" s="13"/>
      <c r="AA273" s="13"/>
      <c r="AB273" s="13"/>
    </row>
    <row r="274" spans="1:28" ht="13.2">
      <c r="A274" s="53">
        <f t="shared" si="8"/>
        <v>273</v>
      </c>
      <c r="B274" s="13" t="s">
        <v>1454</v>
      </c>
      <c r="C274" s="16" t="s">
        <v>1137</v>
      </c>
      <c r="D274" s="16">
        <f t="shared" si="6"/>
        <v>1100</v>
      </c>
      <c r="E274" s="16">
        <f t="shared" si="7"/>
        <v>1564</v>
      </c>
      <c r="F274" s="16">
        <v>4</v>
      </c>
      <c r="G274" s="16" t="s">
        <v>1450</v>
      </c>
      <c r="H274" s="16"/>
      <c r="I274" s="16" t="s">
        <v>1140</v>
      </c>
      <c r="J274" s="16"/>
      <c r="K274" s="13" t="s">
        <v>1453</v>
      </c>
      <c r="L274" s="275">
        <v>202</v>
      </c>
      <c r="M274" s="13"/>
      <c r="N274" s="13"/>
      <c r="O274" s="13"/>
      <c r="P274" s="13"/>
      <c r="Q274" s="13"/>
      <c r="R274" s="13"/>
      <c r="S274" s="13"/>
      <c r="T274" s="13"/>
      <c r="U274" s="13"/>
      <c r="V274" s="13"/>
      <c r="W274" s="13"/>
      <c r="X274" s="13"/>
      <c r="Y274" s="13"/>
      <c r="Z274" s="13"/>
      <c r="AA274" s="13"/>
      <c r="AB274" s="13"/>
    </row>
    <row r="275" spans="1:28" ht="13.2">
      <c r="A275" s="53">
        <f t="shared" si="8"/>
        <v>274</v>
      </c>
      <c r="B275" s="13" t="s">
        <v>1455</v>
      </c>
      <c r="C275" s="16" t="s">
        <v>1135</v>
      </c>
      <c r="D275" s="16">
        <f t="shared" si="6"/>
        <v>700</v>
      </c>
      <c r="E275" s="16">
        <f t="shared" si="7"/>
        <v>946</v>
      </c>
      <c r="F275" s="16">
        <v>3</v>
      </c>
      <c r="G275" s="16" t="s">
        <v>1450</v>
      </c>
      <c r="H275" s="16"/>
      <c r="I275" s="16" t="s">
        <v>1140</v>
      </c>
      <c r="J275" s="16"/>
      <c r="K275" s="13" t="s">
        <v>1456</v>
      </c>
      <c r="L275" s="275">
        <v>202</v>
      </c>
      <c r="M275" s="13"/>
      <c r="N275" s="13"/>
      <c r="O275" s="13"/>
      <c r="P275" s="13"/>
      <c r="Q275" s="13"/>
      <c r="R275" s="13"/>
      <c r="S275" s="13"/>
      <c r="T275" s="13"/>
      <c r="U275" s="13"/>
      <c r="V275" s="13"/>
      <c r="W275" s="13"/>
      <c r="X275" s="13"/>
      <c r="Y275" s="13"/>
      <c r="Z275" s="13"/>
      <c r="AA275" s="13"/>
      <c r="AB275" s="13"/>
    </row>
    <row r="276" spans="1:28" ht="13.2">
      <c r="A276" s="53">
        <f t="shared" si="8"/>
        <v>275</v>
      </c>
      <c r="B276" s="13" t="s">
        <v>1457</v>
      </c>
      <c r="C276" s="16" t="s">
        <v>1137</v>
      </c>
      <c r="D276" s="16">
        <f t="shared" si="6"/>
        <v>1100</v>
      </c>
      <c r="E276" s="16">
        <f t="shared" si="7"/>
        <v>1564</v>
      </c>
      <c r="F276" s="16">
        <v>4</v>
      </c>
      <c r="G276" s="16" t="s">
        <v>1450</v>
      </c>
      <c r="H276" s="16"/>
      <c r="I276" s="16" t="s">
        <v>1140</v>
      </c>
      <c r="J276" s="16"/>
      <c r="K276" s="13" t="s">
        <v>1458</v>
      </c>
      <c r="L276" s="275">
        <v>202</v>
      </c>
      <c r="M276" s="13"/>
      <c r="N276" s="13"/>
      <c r="O276" s="13"/>
      <c r="P276" s="13"/>
      <c r="Q276" s="13"/>
      <c r="R276" s="13"/>
      <c r="S276" s="13"/>
      <c r="T276" s="13"/>
      <c r="U276" s="13"/>
      <c r="V276" s="13"/>
      <c r="W276" s="13"/>
      <c r="X276" s="13"/>
      <c r="Y276" s="13"/>
      <c r="Z276" s="13"/>
      <c r="AA276" s="13"/>
      <c r="AB276" s="13"/>
    </row>
    <row r="277" spans="1:28" ht="13.2">
      <c r="A277" s="53">
        <f t="shared" si="8"/>
        <v>276</v>
      </c>
      <c r="B277" s="13" t="s">
        <v>1459</v>
      </c>
      <c r="C277" s="16" t="s">
        <v>1137</v>
      </c>
      <c r="D277" s="16">
        <f t="shared" si="6"/>
        <v>1100</v>
      </c>
      <c r="E277" s="16">
        <f t="shared" si="7"/>
        <v>1588</v>
      </c>
      <c r="F277" s="16">
        <v>4</v>
      </c>
      <c r="G277" s="16" t="s">
        <v>1450</v>
      </c>
      <c r="H277" s="16"/>
      <c r="I277" s="16" t="s">
        <v>1140</v>
      </c>
      <c r="J277" s="16"/>
      <c r="K277" s="13"/>
      <c r="L277" s="275">
        <v>203</v>
      </c>
      <c r="M277" s="13"/>
      <c r="N277" s="13"/>
      <c r="O277" s="13"/>
      <c r="P277" s="13"/>
      <c r="Q277" s="13"/>
      <c r="R277" s="13"/>
      <c r="S277" s="13"/>
      <c r="T277" s="13"/>
      <c r="U277" s="13"/>
      <c r="V277" s="13"/>
      <c r="W277" s="13"/>
      <c r="X277" s="13"/>
      <c r="Y277" s="13"/>
      <c r="Z277" s="13"/>
      <c r="AA277" s="13"/>
      <c r="AB277" s="13"/>
    </row>
    <row r="278" spans="1:28" ht="13.2">
      <c r="A278" s="53">
        <f t="shared" si="8"/>
        <v>277</v>
      </c>
      <c r="B278" s="13" t="s">
        <v>1460</v>
      </c>
      <c r="C278" s="16" t="s">
        <v>1135</v>
      </c>
      <c r="D278" s="16">
        <f t="shared" si="6"/>
        <v>700</v>
      </c>
      <c r="E278" s="16">
        <f t="shared" si="7"/>
        <v>931</v>
      </c>
      <c r="F278" s="16">
        <v>3</v>
      </c>
      <c r="G278" s="16" t="s">
        <v>1450</v>
      </c>
      <c r="H278" s="16"/>
      <c r="I278" s="16" t="s">
        <v>1140</v>
      </c>
      <c r="J278" s="16"/>
      <c r="K278" s="13" t="s">
        <v>1451</v>
      </c>
      <c r="L278" s="275">
        <v>203</v>
      </c>
      <c r="M278" s="13"/>
      <c r="N278" s="13"/>
      <c r="O278" s="13"/>
      <c r="P278" s="13"/>
      <c r="Q278" s="13"/>
      <c r="R278" s="13"/>
      <c r="S278" s="13"/>
      <c r="T278" s="13"/>
      <c r="U278" s="13"/>
      <c r="V278" s="13"/>
      <c r="W278" s="13"/>
      <c r="X278" s="13"/>
      <c r="Y278" s="13"/>
      <c r="Z278" s="13"/>
      <c r="AA278" s="13"/>
      <c r="AB278" s="13"/>
    </row>
    <row r="279" spans="1:28" ht="13.2">
      <c r="A279" s="53">
        <f t="shared" si="8"/>
        <v>278</v>
      </c>
      <c r="B279" s="13" t="s">
        <v>1461</v>
      </c>
      <c r="C279" s="16" t="s">
        <v>1126</v>
      </c>
      <c r="D279" s="16">
        <f t="shared" si="6"/>
        <v>300</v>
      </c>
      <c r="E279" s="16">
        <f t="shared" si="7"/>
        <v>386</v>
      </c>
      <c r="F279" s="16">
        <v>2</v>
      </c>
      <c r="G279" s="16" t="s">
        <v>1450</v>
      </c>
      <c r="H279" s="16"/>
      <c r="I279" s="16" t="s">
        <v>1140</v>
      </c>
      <c r="J279" s="16"/>
      <c r="K279" s="13" t="s">
        <v>1462</v>
      </c>
      <c r="L279" s="275">
        <v>203</v>
      </c>
      <c r="M279" s="13"/>
      <c r="N279" s="13"/>
      <c r="O279" s="13"/>
      <c r="P279" s="13"/>
      <c r="Q279" s="13"/>
      <c r="R279" s="13"/>
      <c r="S279" s="13"/>
      <c r="T279" s="13"/>
      <c r="U279" s="13"/>
      <c r="V279" s="13"/>
      <c r="W279" s="13"/>
      <c r="X279" s="13"/>
      <c r="Y279" s="13"/>
      <c r="Z279" s="13"/>
      <c r="AA279" s="13"/>
      <c r="AB279" s="13"/>
    </row>
    <row r="280" spans="1:28" ht="13.2">
      <c r="A280" s="53">
        <f t="shared" si="8"/>
        <v>279</v>
      </c>
      <c r="B280" s="13" t="s">
        <v>1463</v>
      </c>
      <c r="C280" s="16" t="s">
        <v>1145</v>
      </c>
      <c r="D280" s="16">
        <f t="shared" si="6"/>
        <v>2000</v>
      </c>
      <c r="E280" s="16">
        <f t="shared" si="7"/>
        <v>3035</v>
      </c>
      <c r="F280" s="16">
        <v>5</v>
      </c>
      <c r="G280" s="16" t="s">
        <v>1450</v>
      </c>
      <c r="H280" s="16"/>
      <c r="I280" s="16" t="s">
        <v>1140</v>
      </c>
      <c r="J280" s="16"/>
      <c r="K280" s="13" t="s">
        <v>1458</v>
      </c>
      <c r="L280" s="275">
        <v>203</v>
      </c>
      <c r="M280" s="13"/>
      <c r="N280" s="13"/>
      <c r="O280" s="13"/>
      <c r="P280" s="13"/>
      <c r="Q280" s="13"/>
      <c r="R280" s="13"/>
      <c r="S280" s="13"/>
      <c r="T280" s="13"/>
      <c r="U280" s="13"/>
      <c r="V280" s="13"/>
      <c r="W280" s="13"/>
      <c r="X280" s="13"/>
      <c r="Y280" s="13"/>
      <c r="Z280" s="13"/>
      <c r="AA280" s="13"/>
      <c r="AB280" s="13"/>
    </row>
    <row r="281" spans="1:28" ht="13.2">
      <c r="A281" s="53">
        <f t="shared" si="8"/>
        <v>280</v>
      </c>
      <c r="B281" s="13" t="s">
        <v>1464</v>
      </c>
      <c r="C281" s="16" t="s">
        <v>1126</v>
      </c>
      <c r="D281" s="16">
        <f t="shared" si="6"/>
        <v>300</v>
      </c>
      <c r="E281" s="16">
        <f t="shared" si="7"/>
        <v>386</v>
      </c>
      <c r="F281" s="16">
        <v>2</v>
      </c>
      <c r="G281" s="16" t="s">
        <v>1450</v>
      </c>
      <c r="H281" s="16"/>
      <c r="I281" s="16" t="s">
        <v>1140</v>
      </c>
      <c r="J281" s="16"/>
      <c r="K281" s="13" t="s">
        <v>1462</v>
      </c>
      <c r="L281" s="275">
        <v>204</v>
      </c>
      <c r="M281" s="13"/>
      <c r="N281" s="13"/>
      <c r="O281" s="13"/>
      <c r="P281" s="13"/>
      <c r="Q281" s="13"/>
      <c r="R281" s="13"/>
      <c r="S281" s="13"/>
      <c r="T281" s="13"/>
      <c r="U281" s="13"/>
      <c r="V281" s="13"/>
      <c r="W281" s="13"/>
      <c r="X281" s="13"/>
      <c r="Y281" s="13"/>
      <c r="Z281" s="13"/>
      <c r="AA281" s="13"/>
      <c r="AB281" s="13"/>
    </row>
    <row r="282" spans="1:28" ht="13.2">
      <c r="A282" s="53">
        <f t="shared" si="8"/>
        <v>281</v>
      </c>
      <c r="B282" s="13" t="s">
        <v>1465</v>
      </c>
      <c r="C282" s="16" t="s">
        <v>1135</v>
      </c>
      <c r="D282" s="16">
        <f t="shared" si="6"/>
        <v>700</v>
      </c>
      <c r="E282" s="16">
        <f t="shared" si="7"/>
        <v>931</v>
      </c>
      <c r="F282" s="16">
        <v>3</v>
      </c>
      <c r="G282" s="16" t="s">
        <v>1450</v>
      </c>
      <c r="H282" s="16"/>
      <c r="I282" s="16" t="s">
        <v>1140</v>
      </c>
      <c r="J282" s="16"/>
      <c r="K282" s="13" t="s">
        <v>1466</v>
      </c>
      <c r="L282" s="275">
        <v>204</v>
      </c>
      <c r="M282" s="13"/>
      <c r="N282" s="13"/>
      <c r="O282" s="13"/>
      <c r="P282" s="13"/>
      <c r="Q282" s="13"/>
      <c r="R282" s="13"/>
      <c r="S282" s="13"/>
      <c r="T282" s="13"/>
      <c r="U282" s="13"/>
      <c r="V282" s="13"/>
      <c r="W282" s="13"/>
      <c r="X282" s="13"/>
      <c r="Y282" s="13"/>
      <c r="Z282" s="13"/>
      <c r="AA282" s="13"/>
      <c r="AB282" s="13"/>
    </row>
    <row r="283" spans="1:28" ht="13.2">
      <c r="A283" s="53">
        <f t="shared" si="8"/>
        <v>282</v>
      </c>
      <c r="B283" s="13" t="s">
        <v>1467</v>
      </c>
      <c r="C283" s="16" t="s">
        <v>1137</v>
      </c>
      <c r="D283" s="16">
        <f t="shared" si="6"/>
        <v>1100</v>
      </c>
      <c r="E283" s="16">
        <f t="shared" si="7"/>
        <v>1592</v>
      </c>
      <c r="F283" s="16">
        <v>4</v>
      </c>
      <c r="G283" s="16" t="s">
        <v>1450</v>
      </c>
      <c r="H283" s="16"/>
      <c r="I283" s="16" t="s">
        <v>1140</v>
      </c>
      <c r="J283" s="16"/>
      <c r="K283" s="13"/>
      <c r="L283" s="275">
        <v>204</v>
      </c>
      <c r="M283" s="13"/>
      <c r="N283" s="13"/>
      <c r="O283" s="13"/>
      <c r="P283" s="13"/>
      <c r="Q283" s="13"/>
      <c r="R283" s="13"/>
      <c r="S283" s="13"/>
      <c r="T283" s="13"/>
      <c r="U283" s="13"/>
      <c r="V283" s="13"/>
      <c r="W283" s="13"/>
      <c r="X283" s="13"/>
      <c r="Y283" s="13"/>
      <c r="Z283" s="13"/>
      <c r="AA283" s="13"/>
      <c r="AB283" s="13"/>
    </row>
    <row r="284" spans="1:28" ht="13.2">
      <c r="A284" s="53">
        <f t="shared" si="8"/>
        <v>283</v>
      </c>
      <c r="B284" s="13" t="s">
        <v>1468</v>
      </c>
      <c r="C284" s="16" t="s">
        <v>1135</v>
      </c>
      <c r="D284" s="16">
        <f t="shared" si="6"/>
        <v>700</v>
      </c>
      <c r="E284" s="16">
        <f t="shared" si="7"/>
        <v>934</v>
      </c>
      <c r="F284" s="16">
        <v>3</v>
      </c>
      <c r="G284" s="16" t="s">
        <v>1450</v>
      </c>
      <c r="H284" s="16"/>
      <c r="I284" s="16" t="s">
        <v>1140</v>
      </c>
      <c r="J284" s="16"/>
      <c r="K284" s="13" t="s">
        <v>1462</v>
      </c>
      <c r="L284" s="275">
        <v>205</v>
      </c>
      <c r="M284" s="13"/>
      <c r="N284" s="13"/>
      <c r="O284" s="13"/>
      <c r="P284" s="13"/>
      <c r="Q284" s="13"/>
      <c r="R284" s="13"/>
      <c r="S284" s="13"/>
      <c r="T284" s="13"/>
      <c r="U284" s="13"/>
      <c r="V284" s="13"/>
      <c r="W284" s="13"/>
      <c r="X284" s="13"/>
      <c r="Y284" s="13"/>
      <c r="Z284" s="13"/>
      <c r="AA284" s="13"/>
      <c r="AB284" s="13"/>
    </row>
    <row r="285" spans="1:28" ht="13.2">
      <c r="A285" s="53">
        <f t="shared" si="8"/>
        <v>284</v>
      </c>
      <c r="B285" s="13" t="s">
        <v>1469</v>
      </c>
      <c r="C285" s="16" t="s">
        <v>1135</v>
      </c>
      <c r="D285" s="16">
        <f t="shared" si="6"/>
        <v>700</v>
      </c>
      <c r="E285" s="16">
        <f t="shared" si="7"/>
        <v>952</v>
      </c>
      <c r="F285" s="16">
        <v>3</v>
      </c>
      <c r="G285" s="16" t="s">
        <v>1130</v>
      </c>
      <c r="H285" s="16"/>
      <c r="I285" s="16"/>
      <c r="J285" s="16"/>
      <c r="K285" s="13"/>
      <c r="L285" s="275">
        <v>205</v>
      </c>
      <c r="M285" s="13"/>
      <c r="N285" s="13"/>
      <c r="O285" s="13"/>
      <c r="P285" s="13"/>
      <c r="Q285" s="13"/>
      <c r="R285" s="13"/>
      <c r="S285" s="13"/>
      <c r="T285" s="13"/>
      <c r="U285" s="13"/>
      <c r="V285" s="13"/>
      <c r="W285" s="13"/>
      <c r="X285" s="13"/>
      <c r="Y285" s="13"/>
      <c r="Z285" s="13"/>
      <c r="AA285" s="13"/>
      <c r="AB285" s="13"/>
    </row>
    <row r="286" spans="1:28" ht="13.2">
      <c r="A286" s="53">
        <f t="shared" si="8"/>
        <v>285</v>
      </c>
      <c r="B286" s="13" t="s">
        <v>1470</v>
      </c>
      <c r="C286" s="16" t="s">
        <v>1126</v>
      </c>
      <c r="D286" s="16">
        <f t="shared" si="6"/>
        <v>300</v>
      </c>
      <c r="E286" s="16">
        <f t="shared" si="7"/>
        <v>376</v>
      </c>
      <c r="F286" s="16">
        <v>2</v>
      </c>
      <c r="G286" s="16" t="s">
        <v>1130</v>
      </c>
      <c r="H286" s="16"/>
      <c r="I286" s="16" t="s">
        <v>1140</v>
      </c>
      <c r="J286" s="16"/>
      <c r="K286" s="13"/>
      <c r="L286" s="275">
        <v>205</v>
      </c>
      <c r="M286" s="13"/>
      <c r="N286" s="13"/>
      <c r="O286" s="13"/>
      <c r="P286" s="13"/>
      <c r="Q286" s="13"/>
      <c r="R286" s="13"/>
      <c r="S286" s="13"/>
      <c r="T286" s="13"/>
      <c r="U286" s="13"/>
      <c r="V286" s="13"/>
      <c r="W286" s="13"/>
      <c r="X286" s="13"/>
      <c r="Y286" s="13"/>
      <c r="Z286" s="13"/>
      <c r="AA286" s="13"/>
      <c r="AB286" s="13"/>
    </row>
    <row r="287" spans="1:28" ht="13.2">
      <c r="A287" s="53">
        <f t="shared" si="8"/>
        <v>286</v>
      </c>
      <c r="B287" s="13" t="s">
        <v>1471</v>
      </c>
      <c r="C287" s="16" t="s">
        <v>1135</v>
      </c>
      <c r="D287" s="16">
        <f t="shared" si="6"/>
        <v>700</v>
      </c>
      <c r="E287" s="16">
        <f t="shared" si="7"/>
        <v>952</v>
      </c>
      <c r="F287" s="16">
        <v>3</v>
      </c>
      <c r="G287" s="16" t="s">
        <v>1173</v>
      </c>
      <c r="H287" s="16" t="s">
        <v>1472</v>
      </c>
      <c r="I287" s="16" t="s">
        <v>1140</v>
      </c>
      <c r="J287" s="16"/>
      <c r="K287" s="13"/>
      <c r="L287" s="275">
        <v>205</v>
      </c>
      <c r="M287" s="13"/>
      <c r="N287" s="13"/>
      <c r="O287" s="13"/>
      <c r="P287" s="13"/>
      <c r="Q287" s="13"/>
      <c r="R287" s="13"/>
      <c r="S287" s="13"/>
      <c r="T287" s="13"/>
      <c r="U287" s="13"/>
      <c r="V287" s="13"/>
      <c r="W287" s="13"/>
      <c r="X287" s="13"/>
      <c r="Y287" s="13"/>
      <c r="Z287" s="13"/>
      <c r="AA287" s="13"/>
      <c r="AB287" s="13"/>
    </row>
    <row r="288" spans="1:28" ht="13.2">
      <c r="A288" s="53">
        <f t="shared" si="8"/>
        <v>287</v>
      </c>
      <c r="B288" s="13" t="s">
        <v>1473</v>
      </c>
      <c r="C288" s="16" t="s">
        <v>1145</v>
      </c>
      <c r="D288" s="16">
        <f t="shared" si="6"/>
        <v>2000</v>
      </c>
      <c r="E288" s="16">
        <f t="shared" si="7"/>
        <v>3040</v>
      </c>
      <c r="F288" s="16">
        <v>5</v>
      </c>
      <c r="G288" s="16" t="s">
        <v>1173</v>
      </c>
      <c r="H288" s="16" t="s">
        <v>1472</v>
      </c>
      <c r="I288" s="16" t="s">
        <v>1140</v>
      </c>
      <c r="J288" s="16"/>
      <c r="K288" s="13" t="s">
        <v>1474</v>
      </c>
      <c r="L288" s="275">
        <v>206</v>
      </c>
      <c r="M288" s="13"/>
      <c r="N288" s="13"/>
      <c r="O288" s="13"/>
      <c r="P288" s="13"/>
      <c r="Q288" s="13"/>
      <c r="R288" s="13"/>
      <c r="S288" s="13"/>
      <c r="T288" s="13"/>
      <c r="U288" s="13"/>
      <c r="V288" s="13"/>
      <c r="W288" s="13"/>
      <c r="X288" s="13"/>
      <c r="Y288" s="13"/>
      <c r="Z288" s="13"/>
      <c r="AA288" s="13"/>
      <c r="AB288" s="13"/>
    </row>
    <row r="289" spans="1:28" ht="13.2">
      <c r="A289" s="53">
        <f t="shared" si="8"/>
        <v>288</v>
      </c>
      <c r="B289" s="13" t="s">
        <v>1475</v>
      </c>
      <c r="C289" s="16" t="s">
        <v>1135</v>
      </c>
      <c r="D289" s="16">
        <f t="shared" si="6"/>
        <v>700</v>
      </c>
      <c r="E289" s="16">
        <f t="shared" si="7"/>
        <v>952</v>
      </c>
      <c r="F289" s="16">
        <v>3</v>
      </c>
      <c r="G289" s="16" t="s">
        <v>1173</v>
      </c>
      <c r="H289" s="16" t="s">
        <v>1211</v>
      </c>
      <c r="I289" s="16" t="s">
        <v>1140</v>
      </c>
      <c r="J289" s="16"/>
      <c r="K289" s="13"/>
      <c r="L289" s="275">
        <v>206</v>
      </c>
      <c r="M289" s="13"/>
      <c r="N289" s="13"/>
      <c r="O289" s="13"/>
      <c r="P289" s="13"/>
      <c r="Q289" s="13"/>
      <c r="R289" s="13"/>
      <c r="S289" s="13"/>
      <c r="T289" s="13"/>
      <c r="U289" s="13"/>
      <c r="V289" s="13"/>
      <c r="W289" s="13"/>
      <c r="X289" s="13"/>
      <c r="Y289" s="13"/>
      <c r="Z289" s="13"/>
      <c r="AA289" s="13"/>
      <c r="AB289" s="13"/>
    </row>
    <row r="290" spans="1:28" ht="13.2">
      <c r="A290" s="53">
        <f t="shared" si="8"/>
        <v>289</v>
      </c>
      <c r="B290" s="13" t="s">
        <v>1476</v>
      </c>
      <c r="C290" s="16" t="s">
        <v>1137</v>
      </c>
      <c r="D290" s="16">
        <f t="shared" si="6"/>
        <v>1100</v>
      </c>
      <c r="E290" s="16">
        <f t="shared" si="7"/>
        <v>1576</v>
      </c>
      <c r="F290" s="16">
        <v>4</v>
      </c>
      <c r="G290" s="16" t="s">
        <v>1173</v>
      </c>
      <c r="H290" s="16" t="s">
        <v>1477</v>
      </c>
      <c r="I290" s="16" t="s">
        <v>1140</v>
      </c>
      <c r="J290" s="16"/>
      <c r="K290" s="13"/>
      <c r="L290" s="275">
        <v>206</v>
      </c>
      <c r="M290" s="13"/>
      <c r="N290" s="13"/>
      <c r="O290" s="13"/>
      <c r="P290" s="13"/>
      <c r="Q290" s="13"/>
      <c r="R290" s="13"/>
      <c r="S290" s="13"/>
      <c r="T290" s="13"/>
      <c r="U290" s="13"/>
      <c r="V290" s="13"/>
      <c r="W290" s="13"/>
      <c r="X290" s="13"/>
      <c r="Y290" s="13"/>
      <c r="Z290" s="13"/>
      <c r="AA290" s="13"/>
      <c r="AB290" s="13"/>
    </row>
    <row r="291" spans="1:28" ht="13.2">
      <c r="A291" s="53">
        <f t="shared" si="8"/>
        <v>290</v>
      </c>
      <c r="B291" s="13" t="s">
        <v>1478</v>
      </c>
      <c r="C291" s="16" t="s">
        <v>1126</v>
      </c>
      <c r="D291" s="16">
        <f t="shared" si="6"/>
        <v>300</v>
      </c>
      <c r="E291" s="16">
        <f t="shared" si="7"/>
        <v>366</v>
      </c>
      <c r="F291" s="16">
        <v>2</v>
      </c>
      <c r="G291" s="16" t="s">
        <v>1173</v>
      </c>
      <c r="H291" s="16" t="s">
        <v>1211</v>
      </c>
      <c r="I291" s="16" t="s">
        <v>1140</v>
      </c>
      <c r="J291" s="16"/>
      <c r="K291" s="13"/>
      <c r="L291" s="275">
        <v>206</v>
      </c>
      <c r="M291" s="13"/>
      <c r="N291" s="13"/>
      <c r="O291" s="13"/>
      <c r="P291" s="13"/>
      <c r="Q291" s="13"/>
      <c r="R291" s="13"/>
      <c r="S291" s="13"/>
      <c r="T291" s="13"/>
      <c r="U291" s="13"/>
      <c r="V291" s="13"/>
      <c r="W291" s="13"/>
      <c r="X291" s="13"/>
      <c r="Y291" s="13"/>
      <c r="Z291" s="13"/>
      <c r="AA291" s="13"/>
      <c r="AB291" s="13"/>
    </row>
    <row r="292" spans="1:28" ht="13.2">
      <c r="A292" s="53">
        <f t="shared" si="8"/>
        <v>291</v>
      </c>
      <c r="B292" s="13" t="s">
        <v>1479</v>
      </c>
      <c r="C292" s="16" t="s">
        <v>1135</v>
      </c>
      <c r="D292" s="16">
        <f t="shared" si="6"/>
        <v>700</v>
      </c>
      <c r="E292" s="16">
        <f t="shared" si="7"/>
        <v>937</v>
      </c>
      <c r="F292" s="16">
        <v>3</v>
      </c>
      <c r="G292" s="16" t="s">
        <v>1173</v>
      </c>
      <c r="H292" s="16" t="s">
        <v>1211</v>
      </c>
      <c r="I292" s="16" t="s">
        <v>1140</v>
      </c>
      <c r="J292" s="16"/>
      <c r="K292" s="13"/>
      <c r="L292" s="275">
        <v>207</v>
      </c>
      <c r="M292" s="13"/>
      <c r="N292" s="13"/>
      <c r="O292" s="13"/>
      <c r="P292" s="13"/>
      <c r="Q292" s="13"/>
      <c r="R292" s="13"/>
      <c r="S292" s="13"/>
      <c r="T292" s="13"/>
      <c r="U292" s="13"/>
      <c r="V292" s="13"/>
      <c r="W292" s="13"/>
      <c r="X292" s="13"/>
      <c r="Y292" s="13"/>
      <c r="Z292" s="13"/>
      <c r="AA292" s="13"/>
      <c r="AB292" s="13"/>
    </row>
    <row r="293" spans="1:28" ht="13.2">
      <c r="A293" s="53">
        <f t="shared" si="8"/>
        <v>292</v>
      </c>
      <c r="B293" s="13" t="s">
        <v>1480</v>
      </c>
      <c r="C293" s="16" t="s">
        <v>1145</v>
      </c>
      <c r="D293" s="16">
        <f t="shared" si="6"/>
        <v>2000</v>
      </c>
      <c r="E293" s="16">
        <f t="shared" si="7"/>
        <v>3015</v>
      </c>
      <c r="F293" s="16">
        <v>5</v>
      </c>
      <c r="G293" s="16" t="s">
        <v>1130</v>
      </c>
      <c r="H293" s="16"/>
      <c r="I293" s="16" t="s">
        <v>1140</v>
      </c>
      <c r="J293" s="16"/>
      <c r="K293" s="13" t="s">
        <v>1481</v>
      </c>
      <c r="L293" s="275">
        <v>207</v>
      </c>
      <c r="M293" s="13"/>
      <c r="N293" s="13"/>
      <c r="O293" s="13"/>
      <c r="P293" s="13"/>
      <c r="Q293" s="13"/>
      <c r="R293" s="13"/>
      <c r="S293" s="13"/>
      <c r="T293" s="13"/>
      <c r="U293" s="13"/>
      <c r="V293" s="13"/>
      <c r="W293" s="13"/>
      <c r="X293" s="13"/>
      <c r="Y293" s="13"/>
      <c r="Z293" s="13"/>
      <c r="AA293" s="13"/>
      <c r="AB293" s="13"/>
    </row>
    <row r="294" spans="1:28" ht="13.2">
      <c r="A294" s="53">
        <f t="shared" si="8"/>
        <v>293</v>
      </c>
      <c r="B294" s="13" t="s">
        <v>1482</v>
      </c>
      <c r="C294" s="16" t="s">
        <v>1145</v>
      </c>
      <c r="D294" s="16">
        <f t="shared" si="6"/>
        <v>2000</v>
      </c>
      <c r="E294" s="16">
        <f t="shared" si="7"/>
        <v>3045</v>
      </c>
      <c r="F294" s="16">
        <v>5</v>
      </c>
      <c r="G294" s="16" t="s">
        <v>1130</v>
      </c>
      <c r="H294" s="16"/>
      <c r="I294" s="16" t="s">
        <v>1140</v>
      </c>
      <c r="J294" s="16"/>
      <c r="K294" s="13"/>
      <c r="L294" s="275">
        <v>207</v>
      </c>
      <c r="M294" s="13"/>
      <c r="N294" s="13"/>
      <c r="O294" s="13"/>
      <c r="P294" s="13"/>
      <c r="Q294" s="13"/>
      <c r="R294" s="13"/>
      <c r="S294" s="13"/>
      <c r="T294" s="13"/>
      <c r="U294" s="13"/>
      <c r="V294" s="13"/>
      <c r="W294" s="13"/>
      <c r="X294" s="13"/>
      <c r="Y294" s="13"/>
      <c r="Z294" s="13"/>
      <c r="AA294" s="13"/>
      <c r="AB294" s="13"/>
    </row>
    <row r="295" spans="1:28" ht="13.2">
      <c r="A295" s="53">
        <f t="shared" si="8"/>
        <v>294</v>
      </c>
      <c r="B295" s="13" t="s">
        <v>1483</v>
      </c>
      <c r="C295" s="16" t="s">
        <v>1145</v>
      </c>
      <c r="D295" s="16">
        <f t="shared" si="6"/>
        <v>2000</v>
      </c>
      <c r="E295" s="16">
        <f t="shared" si="7"/>
        <v>3015</v>
      </c>
      <c r="F295" s="16">
        <v>5</v>
      </c>
      <c r="G295" s="16" t="s">
        <v>1130</v>
      </c>
      <c r="H295" s="16"/>
      <c r="I295" s="16" t="s">
        <v>1140</v>
      </c>
      <c r="J295" s="16"/>
      <c r="K295" s="13" t="s">
        <v>1484</v>
      </c>
      <c r="L295" s="275">
        <v>207</v>
      </c>
      <c r="M295" s="13"/>
      <c r="N295" s="13"/>
      <c r="O295" s="13"/>
      <c r="P295" s="13"/>
      <c r="Q295" s="13"/>
      <c r="R295" s="13"/>
      <c r="S295" s="13"/>
      <c r="T295" s="13"/>
      <c r="U295" s="13"/>
      <c r="V295" s="13"/>
      <c r="W295" s="13"/>
      <c r="X295" s="13"/>
      <c r="Y295" s="13"/>
      <c r="Z295" s="13"/>
      <c r="AA295" s="13"/>
      <c r="AB295" s="13"/>
    </row>
    <row r="296" spans="1:28" ht="13.2">
      <c r="A296" s="53">
        <f t="shared" si="8"/>
        <v>295</v>
      </c>
      <c r="B296" s="13" t="s">
        <v>1485</v>
      </c>
      <c r="C296" s="16" t="s">
        <v>1135</v>
      </c>
      <c r="D296" s="16">
        <f t="shared" si="6"/>
        <v>700</v>
      </c>
      <c r="E296" s="16">
        <f t="shared" si="7"/>
        <v>940</v>
      </c>
      <c r="F296" s="16">
        <v>3</v>
      </c>
      <c r="G296" s="16" t="s">
        <v>1285</v>
      </c>
      <c r="H296" s="16"/>
      <c r="I296" s="16" t="s">
        <v>1140</v>
      </c>
      <c r="J296" s="16"/>
      <c r="K296" s="13"/>
      <c r="L296" s="275">
        <v>208</v>
      </c>
      <c r="M296" s="13"/>
      <c r="N296" s="13"/>
      <c r="O296" s="13"/>
      <c r="P296" s="13"/>
      <c r="Q296" s="13"/>
      <c r="R296" s="13"/>
      <c r="S296" s="13"/>
      <c r="T296" s="13"/>
      <c r="U296" s="13"/>
      <c r="V296" s="13"/>
      <c r="W296" s="13"/>
      <c r="X296" s="13"/>
      <c r="Y296" s="13"/>
      <c r="Z296" s="13"/>
      <c r="AA296" s="13"/>
      <c r="AB296" s="13"/>
    </row>
    <row r="297" spans="1:28" ht="13.2">
      <c r="A297" s="53">
        <f t="shared" si="8"/>
        <v>296</v>
      </c>
      <c r="B297" s="13" t="s">
        <v>1486</v>
      </c>
      <c r="C297" s="16" t="s">
        <v>1137</v>
      </c>
      <c r="D297" s="16">
        <f t="shared" si="6"/>
        <v>1100</v>
      </c>
      <c r="E297" s="16">
        <f t="shared" si="7"/>
        <v>1556</v>
      </c>
      <c r="F297" s="16">
        <v>4</v>
      </c>
      <c r="G297" s="16" t="s">
        <v>1130</v>
      </c>
      <c r="H297" s="16" t="s">
        <v>1322</v>
      </c>
      <c r="I297" s="16"/>
      <c r="J297" s="16"/>
      <c r="K297" s="13"/>
      <c r="L297" s="275">
        <v>208</v>
      </c>
      <c r="M297" s="13"/>
      <c r="N297" s="13"/>
      <c r="O297" s="13"/>
      <c r="P297" s="13"/>
      <c r="Q297" s="13"/>
      <c r="R297" s="13"/>
      <c r="S297" s="13"/>
      <c r="T297" s="13"/>
      <c r="U297" s="13"/>
      <c r="V297" s="13"/>
      <c r="W297" s="13"/>
      <c r="X297" s="13"/>
      <c r="Y297" s="13"/>
      <c r="Z297" s="13"/>
      <c r="AA297" s="13"/>
      <c r="AB297" s="13"/>
    </row>
    <row r="298" spans="1:28" ht="13.2">
      <c r="A298" s="53">
        <f t="shared" si="8"/>
        <v>297</v>
      </c>
      <c r="B298" s="13" t="s">
        <v>1487</v>
      </c>
      <c r="C298" s="16" t="s">
        <v>1137</v>
      </c>
      <c r="D298" s="16">
        <f t="shared" si="6"/>
        <v>1100</v>
      </c>
      <c r="E298" s="16">
        <f t="shared" si="7"/>
        <v>1580</v>
      </c>
      <c r="F298" s="16">
        <v>4</v>
      </c>
      <c r="G298" s="16" t="s">
        <v>1130</v>
      </c>
      <c r="H298" s="16" t="s">
        <v>1322</v>
      </c>
      <c r="I298" s="16"/>
      <c r="J298" s="16"/>
      <c r="K298" s="13"/>
      <c r="L298" s="275">
        <v>208</v>
      </c>
      <c r="M298" s="13"/>
      <c r="N298" s="13"/>
      <c r="O298" s="13"/>
      <c r="P298" s="13"/>
      <c r="Q298" s="13"/>
      <c r="R298" s="13"/>
      <c r="S298" s="13"/>
      <c r="T298" s="13"/>
      <c r="U298" s="13"/>
      <c r="V298" s="13"/>
      <c r="W298" s="13"/>
      <c r="X298" s="13"/>
      <c r="Y298" s="13"/>
      <c r="Z298" s="13"/>
      <c r="AA298" s="13"/>
      <c r="AB298" s="13"/>
    </row>
    <row r="299" spans="1:28" ht="13.2">
      <c r="A299" s="53">
        <f t="shared" si="8"/>
        <v>298</v>
      </c>
      <c r="B299" s="13" t="s">
        <v>1488</v>
      </c>
      <c r="C299" s="16" t="s">
        <v>1145</v>
      </c>
      <c r="D299" s="16">
        <f t="shared" si="6"/>
        <v>2000</v>
      </c>
      <c r="E299" s="16">
        <f t="shared" si="7"/>
        <v>3020</v>
      </c>
      <c r="F299" s="16">
        <v>5</v>
      </c>
      <c r="G299" s="16" t="s">
        <v>1130</v>
      </c>
      <c r="H299" s="16" t="s">
        <v>1322</v>
      </c>
      <c r="I299" s="16" t="s">
        <v>1140</v>
      </c>
      <c r="J299" s="16"/>
      <c r="K299" s="13" t="s">
        <v>1489</v>
      </c>
      <c r="L299" s="275">
        <v>208</v>
      </c>
      <c r="M299" s="13"/>
      <c r="N299" s="13"/>
      <c r="O299" s="13"/>
      <c r="P299" s="13"/>
      <c r="Q299" s="13"/>
      <c r="R299" s="13"/>
      <c r="S299" s="13"/>
      <c r="T299" s="13"/>
      <c r="U299" s="13"/>
      <c r="V299" s="13"/>
      <c r="W299" s="13"/>
      <c r="X299" s="13"/>
      <c r="Y299" s="13"/>
      <c r="Z299" s="13"/>
      <c r="AA299" s="13"/>
      <c r="AB299" s="13"/>
    </row>
    <row r="300" spans="1:28" ht="13.2">
      <c r="A300" s="53">
        <f t="shared" si="8"/>
        <v>299</v>
      </c>
      <c r="B300" s="13" t="s">
        <v>1490</v>
      </c>
      <c r="C300" s="16" t="s">
        <v>1137</v>
      </c>
      <c r="D300" s="16">
        <f t="shared" si="6"/>
        <v>1100</v>
      </c>
      <c r="E300" s="16">
        <f t="shared" si="7"/>
        <v>1580</v>
      </c>
      <c r="F300" s="16">
        <v>4</v>
      </c>
      <c r="G300" s="16" t="s">
        <v>1130</v>
      </c>
      <c r="H300" s="16" t="s">
        <v>1322</v>
      </c>
      <c r="I300" s="16"/>
      <c r="J300" s="16"/>
      <c r="K300" s="13"/>
      <c r="L300" s="275">
        <v>209</v>
      </c>
      <c r="M300" s="13"/>
      <c r="N300" s="13"/>
      <c r="O300" s="13"/>
      <c r="P300" s="13"/>
      <c r="Q300" s="13"/>
      <c r="R300" s="13"/>
      <c r="S300" s="13"/>
      <c r="T300" s="13"/>
      <c r="U300" s="13"/>
      <c r="V300" s="13"/>
      <c r="W300" s="13"/>
      <c r="X300" s="13"/>
      <c r="Y300" s="13"/>
      <c r="Z300" s="13"/>
      <c r="AA300" s="13"/>
      <c r="AB300" s="13"/>
    </row>
    <row r="301" spans="1:28" ht="13.2">
      <c r="A301" s="53">
        <f t="shared" si="8"/>
        <v>300</v>
      </c>
      <c r="B301" s="13" t="s">
        <v>1491</v>
      </c>
      <c r="C301" s="16" t="s">
        <v>1126</v>
      </c>
      <c r="D301" s="16">
        <f t="shared" si="6"/>
        <v>300</v>
      </c>
      <c r="E301" s="16">
        <f t="shared" si="7"/>
        <v>368</v>
      </c>
      <c r="F301" s="16">
        <v>2</v>
      </c>
      <c r="G301" s="16" t="s">
        <v>1173</v>
      </c>
      <c r="H301" s="16" t="s">
        <v>1492</v>
      </c>
      <c r="I301" s="16" t="s">
        <v>1140</v>
      </c>
      <c r="J301" s="16"/>
      <c r="K301" s="13"/>
      <c r="L301" s="275">
        <v>209</v>
      </c>
      <c r="M301" s="13"/>
      <c r="N301" s="13"/>
      <c r="O301" s="13"/>
      <c r="P301" s="13"/>
      <c r="Q301" s="13"/>
      <c r="R301" s="13"/>
      <c r="S301" s="13"/>
      <c r="T301" s="13"/>
      <c r="U301" s="13"/>
      <c r="V301" s="13"/>
      <c r="W301" s="13"/>
      <c r="X301" s="13"/>
      <c r="Y301" s="13"/>
      <c r="Z301" s="13"/>
      <c r="AA301" s="13"/>
      <c r="AB301" s="13"/>
    </row>
    <row r="302" spans="1:28" ht="13.2">
      <c r="A302" s="53">
        <f t="shared" si="8"/>
        <v>301</v>
      </c>
      <c r="B302" s="13" t="s">
        <v>1493</v>
      </c>
      <c r="C302" s="16" t="s">
        <v>1145</v>
      </c>
      <c r="D302" s="16">
        <f t="shared" si="6"/>
        <v>2000</v>
      </c>
      <c r="E302" s="16">
        <f t="shared" si="7"/>
        <v>3055</v>
      </c>
      <c r="F302" s="16">
        <v>5</v>
      </c>
      <c r="G302" s="16" t="s">
        <v>1130</v>
      </c>
      <c r="H302" s="16" t="s">
        <v>1160</v>
      </c>
      <c r="I302" s="16"/>
      <c r="J302" s="16"/>
      <c r="K302" s="13"/>
      <c r="L302" s="275">
        <v>209</v>
      </c>
      <c r="M302" s="13"/>
      <c r="N302" s="13"/>
      <c r="O302" s="13"/>
      <c r="P302" s="13"/>
      <c r="Q302" s="13"/>
      <c r="R302" s="13"/>
      <c r="S302" s="13"/>
      <c r="T302" s="13"/>
      <c r="U302" s="13"/>
      <c r="V302" s="13"/>
      <c r="W302" s="13"/>
      <c r="X302" s="13"/>
      <c r="Y302" s="13"/>
      <c r="Z302" s="13"/>
      <c r="AA302" s="13"/>
      <c r="AB302" s="13"/>
    </row>
    <row r="303" spans="1:28" ht="13.2">
      <c r="A303" s="53">
        <f t="shared" si="8"/>
        <v>302</v>
      </c>
      <c r="B303" s="13" t="s">
        <v>1494</v>
      </c>
      <c r="C303" s="16" t="s">
        <v>1135</v>
      </c>
      <c r="D303" s="16">
        <f t="shared" si="6"/>
        <v>700</v>
      </c>
      <c r="E303" s="16">
        <f t="shared" si="7"/>
        <v>925</v>
      </c>
      <c r="F303" s="16">
        <v>3</v>
      </c>
      <c r="G303" s="16" t="s">
        <v>1173</v>
      </c>
      <c r="H303" s="16" t="s">
        <v>1133</v>
      </c>
      <c r="I303" s="16"/>
      <c r="J303" s="16"/>
      <c r="K303" s="13"/>
      <c r="L303" s="275">
        <v>209</v>
      </c>
      <c r="M303" s="13"/>
      <c r="N303" s="13"/>
      <c r="O303" s="13"/>
      <c r="P303" s="13"/>
      <c r="Q303" s="13"/>
      <c r="R303" s="13"/>
      <c r="S303" s="13"/>
      <c r="T303" s="13"/>
      <c r="U303" s="13"/>
      <c r="V303" s="13"/>
      <c r="W303" s="13"/>
      <c r="X303" s="13"/>
      <c r="Y303" s="13"/>
      <c r="Z303" s="13"/>
      <c r="AA303" s="13"/>
      <c r="AB303" s="13"/>
    </row>
    <row r="304" spans="1:28" ht="13.2">
      <c r="A304" s="53">
        <f t="shared" si="8"/>
        <v>303</v>
      </c>
      <c r="B304" s="13" t="s">
        <v>1495</v>
      </c>
      <c r="C304" s="16" t="s">
        <v>1145</v>
      </c>
      <c r="D304" s="16">
        <f t="shared" si="6"/>
        <v>2000</v>
      </c>
      <c r="E304" s="16">
        <f t="shared" si="7"/>
        <v>3055</v>
      </c>
      <c r="F304" s="16">
        <v>5</v>
      </c>
      <c r="G304" s="16" t="s">
        <v>1173</v>
      </c>
      <c r="H304" s="16" t="s">
        <v>1496</v>
      </c>
      <c r="I304" s="16" t="s">
        <v>1140</v>
      </c>
      <c r="J304" s="16"/>
      <c r="K304" s="13"/>
      <c r="L304" s="275">
        <v>209</v>
      </c>
      <c r="M304" s="13"/>
      <c r="N304" s="13"/>
      <c r="O304" s="13"/>
      <c r="P304" s="13"/>
      <c r="Q304" s="13"/>
      <c r="R304" s="13"/>
      <c r="S304" s="13"/>
      <c r="T304" s="13"/>
      <c r="U304" s="13"/>
      <c r="V304" s="13"/>
      <c r="W304" s="13"/>
      <c r="X304" s="13"/>
      <c r="Y304" s="13"/>
      <c r="Z304" s="13"/>
      <c r="AA304" s="13"/>
      <c r="AB304" s="13"/>
    </row>
    <row r="305" spans="1:28" ht="13.2">
      <c r="A305" s="53">
        <f t="shared" si="8"/>
        <v>304</v>
      </c>
      <c r="B305" s="13" t="s">
        <v>1497</v>
      </c>
      <c r="C305" s="16" t="s">
        <v>1135</v>
      </c>
      <c r="D305" s="16">
        <f t="shared" si="6"/>
        <v>700</v>
      </c>
      <c r="E305" s="16">
        <f t="shared" si="7"/>
        <v>925</v>
      </c>
      <c r="F305" s="16">
        <v>3</v>
      </c>
      <c r="G305" s="16" t="s">
        <v>1498</v>
      </c>
      <c r="H305" s="16"/>
      <c r="I305" s="16" t="s">
        <v>1140</v>
      </c>
      <c r="J305" s="16"/>
      <c r="K305" s="13" t="s">
        <v>1342</v>
      </c>
      <c r="L305" s="275">
        <v>209</v>
      </c>
      <c r="M305" s="13"/>
      <c r="N305" s="13"/>
      <c r="O305" s="13"/>
      <c r="P305" s="13"/>
      <c r="Q305" s="13"/>
      <c r="R305" s="13"/>
      <c r="S305" s="13"/>
      <c r="T305" s="13"/>
      <c r="U305" s="13"/>
      <c r="V305" s="13"/>
      <c r="W305" s="13"/>
      <c r="X305" s="13"/>
      <c r="Y305" s="13"/>
      <c r="Z305" s="13"/>
      <c r="AA305" s="13"/>
      <c r="AB305" s="13"/>
    </row>
    <row r="306" spans="1:28" ht="13.2">
      <c r="A306" s="53">
        <f t="shared" si="8"/>
        <v>305</v>
      </c>
      <c r="B306" s="13" t="s">
        <v>1499</v>
      </c>
      <c r="C306" s="16" t="s">
        <v>1135</v>
      </c>
      <c r="D306" s="16">
        <f t="shared" si="6"/>
        <v>700</v>
      </c>
      <c r="E306" s="16">
        <f t="shared" si="7"/>
        <v>943</v>
      </c>
      <c r="F306" s="16">
        <v>3</v>
      </c>
      <c r="G306" s="16" t="s">
        <v>1498</v>
      </c>
      <c r="H306" s="16"/>
      <c r="I306" s="16" t="s">
        <v>1140</v>
      </c>
      <c r="J306" s="16"/>
      <c r="K306" s="13"/>
      <c r="L306" s="275">
        <v>210</v>
      </c>
      <c r="M306" s="13"/>
      <c r="N306" s="13"/>
      <c r="O306" s="13"/>
      <c r="P306" s="13"/>
      <c r="Q306" s="13"/>
      <c r="R306" s="13"/>
      <c r="S306" s="13"/>
      <c r="T306" s="13"/>
      <c r="U306" s="13"/>
      <c r="V306" s="13"/>
      <c r="W306" s="13"/>
      <c r="X306" s="13"/>
      <c r="Y306" s="13"/>
      <c r="Z306" s="13"/>
      <c r="AA306" s="13"/>
      <c r="AB306" s="13"/>
    </row>
    <row r="307" spans="1:28" ht="13.2">
      <c r="A307" s="53">
        <f t="shared" si="8"/>
        <v>306</v>
      </c>
      <c r="B307" s="13" t="s">
        <v>1500</v>
      </c>
      <c r="C307" s="16" t="s">
        <v>1135</v>
      </c>
      <c r="D307" s="16">
        <f t="shared" si="6"/>
        <v>700</v>
      </c>
      <c r="E307" s="16">
        <f t="shared" si="7"/>
        <v>925</v>
      </c>
      <c r="F307" s="16">
        <v>3</v>
      </c>
      <c r="G307" s="16" t="s">
        <v>1498</v>
      </c>
      <c r="H307" s="16"/>
      <c r="I307" s="16" t="s">
        <v>1140</v>
      </c>
      <c r="J307" s="16"/>
      <c r="K307" s="13"/>
      <c r="L307" s="275">
        <v>210</v>
      </c>
      <c r="M307" s="13"/>
      <c r="N307" s="13"/>
      <c r="O307" s="13"/>
      <c r="P307" s="13"/>
      <c r="Q307" s="13"/>
      <c r="R307" s="13"/>
      <c r="S307" s="13"/>
      <c r="T307" s="13"/>
      <c r="U307" s="13"/>
      <c r="V307" s="13"/>
      <c r="W307" s="13"/>
      <c r="X307" s="13"/>
      <c r="Y307" s="13"/>
      <c r="Z307" s="13"/>
      <c r="AA307" s="13"/>
      <c r="AB307" s="13"/>
    </row>
    <row r="308" spans="1:28" ht="13.2">
      <c r="A308" s="53">
        <f t="shared" si="8"/>
        <v>307</v>
      </c>
      <c r="B308" s="13" t="s">
        <v>1501</v>
      </c>
      <c r="C308" s="16" t="s">
        <v>1135</v>
      </c>
      <c r="D308" s="16">
        <f t="shared" si="6"/>
        <v>700</v>
      </c>
      <c r="E308" s="16">
        <f t="shared" si="7"/>
        <v>946</v>
      </c>
      <c r="F308" s="16">
        <v>3</v>
      </c>
      <c r="G308" s="16" t="s">
        <v>1498</v>
      </c>
      <c r="H308" s="16"/>
      <c r="I308" s="16" t="s">
        <v>1140</v>
      </c>
      <c r="J308" s="16"/>
      <c r="K308" s="13" t="s">
        <v>1342</v>
      </c>
      <c r="L308" s="275">
        <v>210</v>
      </c>
      <c r="M308" s="13"/>
      <c r="N308" s="13"/>
      <c r="O308" s="13"/>
      <c r="P308" s="13"/>
      <c r="Q308" s="13"/>
      <c r="R308" s="13"/>
      <c r="S308" s="13"/>
      <c r="T308" s="13"/>
      <c r="U308" s="13"/>
      <c r="V308" s="13"/>
      <c r="W308" s="13"/>
      <c r="X308" s="13"/>
      <c r="Y308" s="13"/>
      <c r="Z308" s="13"/>
      <c r="AA308" s="13"/>
      <c r="AB308" s="13"/>
    </row>
    <row r="309" spans="1:28" ht="13.2">
      <c r="A309" s="53">
        <f t="shared" si="8"/>
        <v>308</v>
      </c>
      <c r="B309" s="13" t="s">
        <v>1502</v>
      </c>
      <c r="C309" s="16" t="s">
        <v>1135</v>
      </c>
      <c r="D309" s="16">
        <f t="shared" si="6"/>
        <v>700</v>
      </c>
      <c r="E309" s="16">
        <f t="shared" si="7"/>
        <v>928</v>
      </c>
      <c r="F309" s="16">
        <v>3</v>
      </c>
      <c r="G309" s="16" t="s">
        <v>1498</v>
      </c>
      <c r="H309" s="16"/>
      <c r="I309" s="16" t="s">
        <v>1140</v>
      </c>
      <c r="J309" s="16"/>
      <c r="K309" s="13" t="s">
        <v>1342</v>
      </c>
      <c r="L309" s="275">
        <v>211</v>
      </c>
      <c r="M309" s="13"/>
      <c r="N309" s="13"/>
      <c r="O309" s="13"/>
      <c r="P309" s="13"/>
      <c r="Q309" s="13"/>
      <c r="R309" s="13"/>
      <c r="S309" s="13"/>
      <c r="T309" s="13"/>
      <c r="U309" s="13"/>
      <c r="V309" s="13"/>
      <c r="W309" s="13"/>
      <c r="X309" s="13"/>
      <c r="Y309" s="13"/>
      <c r="Z309" s="13"/>
      <c r="AA309" s="13"/>
      <c r="AB309" s="13"/>
    </row>
    <row r="310" spans="1:28" ht="13.2">
      <c r="A310" s="53">
        <f t="shared" si="8"/>
        <v>309</v>
      </c>
      <c r="B310" s="13" t="s">
        <v>1503</v>
      </c>
      <c r="C310" s="16" t="s">
        <v>1126</v>
      </c>
      <c r="D310" s="16">
        <f t="shared" si="6"/>
        <v>300</v>
      </c>
      <c r="E310" s="16">
        <f t="shared" si="7"/>
        <v>384</v>
      </c>
      <c r="F310" s="16">
        <v>2</v>
      </c>
      <c r="G310" s="16" t="s">
        <v>1498</v>
      </c>
      <c r="H310" s="16"/>
      <c r="I310" s="16"/>
      <c r="J310" s="16"/>
      <c r="K310" s="13"/>
      <c r="L310" s="275">
        <v>211</v>
      </c>
      <c r="M310" s="13"/>
      <c r="N310" s="13"/>
      <c r="O310" s="13"/>
      <c r="P310" s="13"/>
      <c r="Q310" s="13"/>
      <c r="R310" s="13"/>
      <c r="S310" s="13"/>
      <c r="T310" s="13"/>
      <c r="U310" s="13"/>
      <c r="V310" s="13"/>
      <c r="W310" s="13"/>
      <c r="X310" s="13"/>
      <c r="Y310" s="13"/>
      <c r="Z310" s="13"/>
      <c r="AA310" s="13"/>
      <c r="AB310" s="13"/>
    </row>
    <row r="311" spans="1:28" ht="13.2">
      <c r="A311" s="53">
        <f t="shared" si="8"/>
        <v>310</v>
      </c>
      <c r="B311" s="13" t="s">
        <v>1504</v>
      </c>
      <c r="C311" s="16" t="s">
        <v>1126</v>
      </c>
      <c r="D311" s="16">
        <f t="shared" si="6"/>
        <v>300</v>
      </c>
      <c r="E311" s="16">
        <f t="shared" si="7"/>
        <v>372</v>
      </c>
      <c r="F311" s="16">
        <v>2</v>
      </c>
      <c r="G311" s="16" t="s">
        <v>1498</v>
      </c>
      <c r="H311" s="16"/>
      <c r="I311" s="16"/>
      <c r="J311" s="16"/>
      <c r="K311" s="13"/>
      <c r="L311" s="275">
        <v>211</v>
      </c>
      <c r="M311" s="13"/>
      <c r="N311" s="13"/>
      <c r="O311" s="13"/>
      <c r="P311" s="13"/>
      <c r="Q311" s="13"/>
      <c r="R311" s="13"/>
      <c r="S311" s="13"/>
      <c r="T311" s="13"/>
      <c r="U311" s="13"/>
      <c r="V311" s="13"/>
      <c r="W311" s="13"/>
      <c r="X311" s="13"/>
      <c r="Y311" s="13"/>
      <c r="Z311" s="13"/>
      <c r="AA311" s="13"/>
      <c r="AB311" s="13"/>
    </row>
    <row r="312" spans="1:28" ht="13.2">
      <c r="A312" s="53">
        <f t="shared" si="8"/>
        <v>311</v>
      </c>
      <c r="B312" s="13" t="s">
        <v>1505</v>
      </c>
      <c r="C312" s="16" t="s">
        <v>1135</v>
      </c>
      <c r="D312" s="16">
        <f t="shared" si="6"/>
        <v>700</v>
      </c>
      <c r="E312" s="16">
        <f t="shared" si="7"/>
        <v>946</v>
      </c>
      <c r="F312" s="16">
        <v>3</v>
      </c>
      <c r="G312" s="16" t="s">
        <v>1498</v>
      </c>
      <c r="H312" s="16"/>
      <c r="I312" s="16" t="s">
        <v>1140</v>
      </c>
      <c r="J312" s="16"/>
      <c r="K312" s="13" t="s">
        <v>1342</v>
      </c>
      <c r="L312" s="275">
        <v>211</v>
      </c>
      <c r="M312" s="13"/>
      <c r="N312" s="13"/>
      <c r="O312" s="13"/>
      <c r="P312" s="13"/>
      <c r="Q312" s="13"/>
      <c r="R312" s="13"/>
      <c r="S312" s="13"/>
      <c r="T312" s="13"/>
      <c r="U312" s="13"/>
      <c r="V312" s="13"/>
      <c r="W312" s="13"/>
      <c r="X312" s="13"/>
      <c r="Y312" s="13"/>
      <c r="Z312" s="13"/>
      <c r="AA312" s="13"/>
      <c r="AB312" s="13"/>
    </row>
    <row r="313" spans="1:28" ht="13.2">
      <c r="A313" s="53">
        <f t="shared" si="8"/>
        <v>312</v>
      </c>
      <c r="B313" s="13" t="s">
        <v>1506</v>
      </c>
      <c r="C313" s="16" t="s">
        <v>1137</v>
      </c>
      <c r="D313" s="16">
        <f t="shared" si="6"/>
        <v>1100</v>
      </c>
      <c r="E313" s="16">
        <f t="shared" si="7"/>
        <v>1564</v>
      </c>
      <c r="F313" s="16">
        <v>4</v>
      </c>
      <c r="G313" s="16" t="s">
        <v>1498</v>
      </c>
      <c r="H313" s="16"/>
      <c r="I313" s="16" t="s">
        <v>1140</v>
      </c>
      <c r="J313" s="16"/>
      <c r="K313" s="13" t="s">
        <v>1342</v>
      </c>
      <c r="L313" s="275">
        <v>211</v>
      </c>
      <c r="M313" s="13"/>
      <c r="N313" s="13"/>
      <c r="O313" s="13"/>
      <c r="P313" s="13"/>
      <c r="Q313" s="13"/>
      <c r="R313" s="13"/>
      <c r="S313" s="13"/>
      <c r="T313" s="13"/>
      <c r="U313" s="13"/>
      <c r="V313" s="13"/>
      <c r="W313" s="13"/>
      <c r="X313" s="13"/>
      <c r="Y313" s="13"/>
      <c r="Z313" s="13"/>
      <c r="AA313" s="13"/>
      <c r="AB313" s="13"/>
    </row>
    <row r="314" spans="1:28" ht="13.2">
      <c r="A314" s="53">
        <f t="shared" si="8"/>
        <v>313</v>
      </c>
      <c r="B314" s="13" t="s">
        <v>1507</v>
      </c>
      <c r="C314" s="16" t="s">
        <v>1126</v>
      </c>
      <c r="D314" s="16">
        <f t="shared" si="6"/>
        <v>300</v>
      </c>
      <c r="E314" s="16">
        <f t="shared" si="7"/>
        <v>386</v>
      </c>
      <c r="F314" s="16">
        <v>2</v>
      </c>
      <c r="G314" s="16" t="s">
        <v>1498</v>
      </c>
      <c r="H314" s="16"/>
      <c r="I314" s="16"/>
      <c r="J314" s="16"/>
      <c r="K314" s="13"/>
      <c r="L314" s="275">
        <v>211</v>
      </c>
      <c r="M314" s="13"/>
      <c r="N314" s="13"/>
      <c r="O314" s="13"/>
      <c r="P314" s="13"/>
      <c r="Q314" s="13"/>
      <c r="R314" s="13"/>
      <c r="S314" s="13"/>
      <c r="T314" s="13"/>
      <c r="U314" s="13"/>
      <c r="V314" s="13"/>
      <c r="W314" s="13"/>
      <c r="X314" s="13"/>
      <c r="Y314" s="13"/>
      <c r="Z314" s="13"/>
      <c r="AA314" s="13"/>
      <c r="AB314" s="13"/>
    </row>
    <row r="315" spans="1:28" ht="13.2">
      <c r="A315" s="53">
        <f t="shared" si="8"/>
        <v>314</v>
      </c>
      <c r="B315" s="13" t="s">
        <v>1508</v>
      </c>
      <c r="C315" s="16" t="s">
        <v>1126</v>
      </c>
      <c r="D315" s="16">
        <f t="shared" si="6"/>
        <v>300</v>
      </c>
      <c r="E315" s="16">
        <f t="shared" si="7"/>
        <v>374</v>
      </c>
      <c r="F315" s="16">
        <v>2</v>
      </c>
      <c r="G315" s="16" t="s">
        <v>1498</v>
      </c>
      <c r="H315" s="16"/>
      <c r="I315" s="16" t="s">
        <v>1140</v>
      </c>
      <c r="J315" s="16"/>
      <c r="K315" s="13" t="s">
        <v>1342</v>
      </c>
      <c r="L315" s="275">
        <v>212</v>
      </c>
      <c r="M315" s="13"/>
      <c r="N315" s="13"/>
      <c r="O315" s="13"/>
      <c r="P315" s="13"/>
      <c r="Q315" s="13"/>
      <c r="R315" s="13"/>
      <c r="S315" s="13"/>
      <c r="T315" s="13"/>
      <c r="U315" s="13"/>
      <c r="V315" s="13"/>
      <c r="W315" s="13"/>
      <c r="X315" s="13"/>
      <c r="Y315" s="13"/>
      <c r="Z315" s="13"/>
      <c r="AA315" s="13"/>
      <c r="AB315" s="13"/>
    </row>
    <row r="316" spans="1:28" ht="13.2">
      <c r="A316" s="53">
        <f t="shared" si="8"/>
        <v>315</v>
      </c>
      <c r="B316" s="13" t="s">
        <v>1509</v>
      </c>
      <c r="C316" s="16" t="s">
        <v>1135</v>
      </c>
      <c r="D316" s="16">
        <f t="shared" si="6"/>
        <v>700</v>
      </c>
      <c r="E316" s="16">
        <f t="shared" si="7"/>
        <v>949</v>
      </c>
      <c r="F316" s="16">
        <v>3</v>
      </c>
      <c r="G316" s="16" t="s">
        <v>1498</v>
      </c>
      <c r="H316" s="16"/>
      <c r="I316" s="16" t="s">
        <v>1140</v>
      </c>
      <c r="J316" s="16"/>
      <c r="K316" s="13" t="s">
        <v>1342</v>
      </c>
      <c r="L316" s="275">
        <v>212</v>
      </c>
      <c r="M316" s="13"/>
      <c r="N316" s="13"/>
      <c r="O316" s="13"/>
      <c r="P316" s="13"/>
      <c r="Q316" s="13"/>
      <c r="R316" s="13"/>
      <c r="S316" s="13"/>
      <c r="T316" s="13"/>
      <c r="U316" s="13"/>
      <c r="V316" s="13"/>
      <c r="W316" s="13"/>
      <c r="X316" s="13"/>
      <c r="Y316" s="13"/>
      <c r="Z316" s="13"/>
      <c r="AA316" s="13"/>
      <c r="AB316" s="13"/>
    </row>
    <row r="317" spans="1:28" ht="13.2">
      <c r="A317" s="53">
        <f t="shared" si="8"/>
        <v>316</v>
      </c>
      <c r="B317" s="13" t="s">
        <v>1510</v>
      </c>
      <c r="C317" s="16" t="s">
        <v>1137</v>
      </c>
      <c r="D317" s="16">
        <f t="shared" si="6"/>
        <v>1100</v>
      </c>
      <c r="E317" s="16">
        <f t="shared" si="7"/>
        <v>1568</v>
      </c>
      <c r="F317" s="16">
        <v>4</v>
      </c>
      <c r="G317" s="16" t="s">
        <v>1498</v>
      </c>
      <c r="H317" s="16"/>
      <c r="I317" s="16" t="s">
        <v>1140</v>
      </c>
      <c r="J317" s="16"/>
      <c r="K317" s="13" t="s">
        <v>1342</v>
      </c>
      <c r="L317" s="275">
        <v>212</v>
      </c>
      <c r="M317" s="13"/>
      <c r="N317" s="13"/>
      <c r="O317" s="13"/>
      <c r="P317" s="13"/>
      <c r="Q317" s="13"/>
      <c r="R317" s="13"/>
      <c r="S317" s="13"/>
      <c r="T317" s="13"/>
      <c r="U317" s="13"/>
      <c r="V317" s="13"/>
      <c r="W317" s="13"/>
      <c r="X317" s="13"/>
      <c r="Y317" s="13"/>
      <c r="Z317" s="13"/>
      <c r="AA317" s="13"/>
      <c r="AB317" s="13"/>
    </row>
    <row r="318" spans="1:28" ht="13.2">
      <c r="A318" s="53">
        <f t="shared" si="8"/>
        <v>317</v>
      </c>
      <c r="B318" s="13" t="s">
        <v>1511</v>
      </c>
      <c r="C318" s="16" t="s">
        <v>1126</v>
      </c>
      <c r="D318" s="16">
        <f t="shared" si="6"/>
        <v>300</v>
      </c>
      <c r="E318" s="16">
        <f t="shared" si="7"/>
        <v>386</v>
      </c>
      <c r="F318" s="16">
        <v>2</v>
      </c>
      <c r="G318" s="16" t="s">
        <v>1498</v>
      </c>
      <c r="H318" s="16"/>
      <c r="I318" s="16" t="s">
        <v>1140</v>
      </c>
      <c r="J318" s="16"/>
      <c r="K318" s="13" t="s">
        <v>1342</v>
      </c>
      <c r="L318" s="275">
        <v>212</v>
      </c>
      <c r="M318" s="13"/>
      <c r="N318" s="13"/>
      <c r="O318" s="13"/>
      <c r="P318" s="13"/>
      <c r="Q318" s="13"/>
      <c r="R318" s="13"/>
      <c r="S318" s="13"/>
      <c r="T318" s="13"/>
      <c r="U318" s="13"/>
      <c r="V318" s="13"/>
      <c r="W318" s="13"/>
      <c r="X318" s="13"/>
      <c r="Y318" s="13"/>
      <c r="Z318" s="13"/>
      <c r="AA318" s="13"/>
      <c r="AB318" s="13"/>
    </row>
    <row r="319" spans="1:28" ht="13.2">
      <c r="A319" s="53">
        <f t="shared" si="8"/>
        <v>318</v>
      </c>
      <c r="B319" s="13" t="s">
        <v>1512</v>
      </c>
      <c r="C319" s="16" t="s">
        <v>1135</v>
      </c>
      <c r="D319" s="16">
        <f t="shared" si="6"/>
        <v>700</v>
      </c>
      <c r="E319" s="16">
        <f t="shared" si="7"/>
        <v>931</v>
      </c>
      <c r="F319" s="16">
        <v>3</v>
      </c>
      <c r="G319" s="16" t="s">
        <v>1498</v>
      </c>
      <c r="H319" s="16"/>
      <c r="I319" s="16" t="s">
        <v>1140</v>
      </c>
      <c r="J319" s="16"/>
      <c r="K319" s="13" t="s">
        <v>1342</v>
      </c>
      <c r="L319" s="275">
        <v>212</v>
      </c>
      <c r="M319" s="13"/>
      <c r="N319" s="13"/>
      <c r="O319" s="13"/>
      <c r="P319" s="13"/>
      <c r="Q319" s="13"/>
      <c r="R319" s="13"/>
      <c r="S319" s="13"/>
      <c r="T319" s="13"/>
      <c r="U319" s="13"/>
      <c r="V319" s="13"/>
      <c r="W319" s="13"/>
      <c r="X319" s="13"/>
      <c r="Y319" s="13"/>
      <c r="Z319" s="13"/>
      <c r="AA319" s="13"/>
      <c r="AB319" s="13"/>
    </row>
    <row r="320" spans="1:28" ht="13.2">
      <c r="A320" s="53">
        <f t="shared" si="8"/>
        <v>319</v>
      </c>
      <c r="B320" s="13" t="s">
        <v>1513</v>
      </c>
      <c r="C320" s="16" t="s">
        <v>1126</v>
      </c>
      <c r="D320" s="16">
        <f t="shared" si="6"/>
        <v>300</v>
      </c>
      <c r="E320" s="16">
        <f t="shared" si="7"/>
        <v>388</v>
      </c>
      <c r="F320" s="16">
        <v>2</v>
      </c>
      <c r="G320" s="16" t="s">
        <v>1173</v>
      </c>
      <c r="H320" s="16" t="s">
        <v>1133</v>
      </c>
      <c r="I320" s="16"/>
      <c r="J320" s="16"/>
      <c r="K320" s="13"/>
      <c r="L320" s="275">
        <v>213</v>
      </c>
      <c r="M320" s="13"/>
      <c r="N320" s="13"/>
      <c r="O320" s="13"/>
      <c r="P320" s="13"/>
      <c r="Q320" s="13"/>
      <c r="R320" s="13"/>
      <c r="S320" s="13"/>
      <c r="T320" s="13"/>
      <c r="U320" s="13"/>
      <c r="V320" s="13"/>
      <c r="W320" s="13"/>
      <c r="X320" s="13"/>
      <c r="Y320" s="13"/>
      <c r="Z320" s="13"/>
      <c r="AA320" s="13"/>
      <c r="AB320" s="13"/>
    </row>
    <row r="321" spans="1:28" ht="13.2">
      <c r="A321" s="53">
        <f t="shared" si="8"/>
        <v>320</v>
      </c>
      <c r="B321" s="13" t="s">
        <v>1514</v>
      </c>
      <c r="C321" s="16" t="s">
        <v>1135</v>
      </c>
      <c r="D321" s="16">
        <f t="shared" si="6"/>
        <v>700</v>
      </c>
      <c r="E321" s="16">
        <f t="shared" si="7"/>
        <v>934</v>
      </c>
      <c r="F321" s="16">
        <v>3</v>
      </c>
      <c r="G321" s="16" t="s">
        <v>1173</v>
      </c>
      <c r="H321" s="16" t="s">
        <v>1133</v>
      </c>
      <c r="I321" s="16"/>
      <c r="J321" s="16"/>
      <c r="K321" s="13"/>
      <c r="L321" s="275">
        <v>213</v>
      </c>
      <c r="M321" s="13"/>
      <c r="N321" s="13"/>
      <c r="O321" s="13"/>
      <c r="P321" s="13"/>
      <c r="Q321" s="13"/>
      <c r="R321" s="13"/>
      <c r="S321" s="13"/>
      <c r="T321" s="13"/>
      <c r="U321" s="13"/>
      <c r="V321" s="13"/>
      <c r="W321" s="13"/>
      <c r="X321" s="13"/>
      <c r="Y321" s="13"/>
      <c r="Z321" s="13"/>
      <c r="AA321" s="13"/>
      <c r="AB321" s="13"/>
    </row>
    <row r="322" spans="1:28" ht="13.2">
      <c r="A322" s="53">
        <f t="shared" si="8"/>
        <v>321</v>
      </c>
      <c r="B322" s="13" t="s">
        <v>1515</v>
      </c>
      <c r="C322" s="16" t="s">
        <v>1137</v>
      </c>
      <c r="D322" s="16">
        <f t="shared" si="6"/>
        <v>1100</v>
      </c>
      <c r="E322" s="16">
        <f t="shared" si="7"/>
        <v>1596</v>
      </c>
      <c r="F322" s="16">
        <v>4</v>
      </c>
      <c r="G322" s="16" t="s">
        <v>1173</v>
      </c>
      <c r="H322" s="16" t="s">
        <v>1133</v>
      </c>
      <c r="I322" s="16"/>
      <c r="J322" s="16"/>
      <c r="K322" s="13"/>
      <c r="L322" s="275">
        <v>213</v>
      </c>
      <c r="M322" s="13"/>
      <c r="N322" s="13"/>
      <c r="O322" s="13"/>
      <c r="P322" s="13"/>
      <c r="Q322" s="13"/>
      <c r="R322" s="13"/>
      <c r="S322" s="13"/>
      <c r="T322" s="13"/>
      <c r="U322" s="13"/>
      <c r="V322" s="13"/>
      <c r="W322" s="13"/>
      <c r="X322" s="13"/>
      <c r="Y322" s="13"/>
      <c r="Z322" s="13"/>
      <c r="AA322" s="13"/>
      <c r="AB322" s="13"/>
    </row>
    <row r="323" spans="1:28" ht="13.2">
      <c r="A323" s="53">
        <f t="shared" ref="A323:A386" si="9">IF(ISBLANK(B323),,A322+1)</f>
        <v>322</v>
      </c>
      <c r="B323" s="13" t="s">
        <v>1516</v>
      </c>
      <c r="C323" s="16" t="s">
        <v>1126</v>
      </c>
      <c r="D323" s="16">
        <f t="shared" si="6"/>
        <v>300</v>
      </c>
      <c r="E323" s="16">
        <f t="shared" si="7"/>
        <v>376</v>
      </c>
      <c r="F323" s="16">
        <v>2</v>
      </c>
      <c r="G323" s="16" t="s">
        <v>1173</v>
      </c>
      <c r="H323" s="16" t="s">
        <v>1133</v>
      </c>
      <c r="I323" s="16" t="s">
        <v>1140</v>
      </c>
      <c r="J323" s="16"/>
      <c r="K323" s="13"/>
      <c r="L323" s="275">
        <v>213</v>
      </c>
      <c r="M323" s="13"/>
      <c r="N323" s="13"/>
      <c r="O323" s="13"/>
      <c r="P323" s="13"/>
      <c r="Q323" s="13"/>
      <c r="R323" s="13"/>
      <c r="S323" s="13"/>
      <c r="T323" s="13"/>
      <c r="U323" s="13"/>
      <c r="V323" s="13"/>
      <c r="W323" s="13"/>
      <c r="X323" s="13"/>
      <c r="Y323" s="13"/>
      <c r="Z323" s="13"/>
      <c r="AA323" s="13"/>
      <c r="AB323" s="13"/>
    </row>
    <row r="324" spans="1:28" ht="13.2">
      <c r="A324" s="53">
        <f t="shared" si="9"/>
        <v>323</v>
      </c>
      <c r="B324" s="13" t="s">
        <v>1517</v>
      </c>
      <c r="C324" s="16" t="s">
        <v>1145</v>
      </c>
      <c r="D324" s="16">
        <f t="shared" si="6"/>
        <v>2000</v>
      </c>
      <c r="E324" s="16">
        <f t="shared" si="7"/>
        <v>3070</v>
      </c>
      <c r="F324" s="16">
        <v>5</v>
      </c>
      <c r="G324" s="16" t="s">
        <v>1130</v>
      </c>
      <c r="H324" s="16"/>
      <c r="I324" s="16"/>
      <c r="J324" s="16"/>
      <c r="K324" s="13"/>
      <c r="L324" s="275">
        <v>213</v>
      </c>
      <c r="M324" s="13"/>
      <c r="N324" s="13"/>
      <c r="O324" s="13"/>
      <c r="P324" s="13"/>
      <c r="Q324" s="13"/>
      <c r="R324" s="13"/>
      <c r="S324" s="13"/>
      <c r="T324" s="13"/>
      <c r="U324" s="13"/>
      <c r="V324" s="13"/>
      <c r="W324" s="13"/>
      <c r="X324" s="13"/>
      <c r="Y324" s="13"/>
      <c r="Z324" s="13"/>
      <c r="AA324" s="13"/>
      <c r="AB324" s="13"/>
    </row>
    <row r="325" spans="1:28" ht="13.2">
      <c r="A325" s="53">
        <f t="shared" si="9"/>
        <v>324</v>
      </c>
      <c r="B325" s="13" t="s">
        <v>1518</v>
      </c>
      <c r="C325" s="16" t="s">
        <v>1126</v>
      </c>
      <c r="D325" s="16">
        <f t="shared" si="6"/>
        <v>300</v>
      </c>
      <c r="E325" s="16">
        <f t="shared" si="7"/>
        <v>376</v>
      </c>
      <c r="F325" s="16">
        <v>2</v>
      </c>
      <c r="G325" s="16" t="s">
        <v>1130</v>
      </c>
      <c r="H325" s="16"/>
      <c r="I325" s="16"/>
      <c r="J325" s="16"/>
      <c r="K325" s="13"/>
      <c r="L325" s="275">
        <v>213</v>
      </c>
      <c r="M325" s="13"/>
      <c r="N325" s="13"/>
      <c r="O325" s="13"/>
      <c r="P325" s="13"/>
      <c r="Q325" s="13"/>
      <c r="R325" s="13"/>
      <c r="S325" s="13"/>
      <c r="T325" s="13"/>
      <c r="U325" s="13"/>
      <c r="V325" s="13"/>
      <c r="W325" s="13"/>
      <c r="X325" s="13"/>
      <c r="Y325" s="13"/>
      <c r="Z325" s="13"/>
      <c r="AA325" s="13"/>
      <c r="AB325" s="13"/>
    </row>
    <row r="326" spans="1:28" ht="13.2">
      <c r="A326" s="53">
        <f t="shared" si="9"/>
        <v>325</v>
      </c>
      <c r="B326" s="13" t="s">
        <v>1519</v>
      </c>
      <c r="C326" s="16" t="s">
        <v>1126</v>
      </c>
      <c r="D326" s="16">
        <f t="shared" si="6"/>
        <v>300</v>
      </c>
      <c r="E326" s="16">
        <f t="shared" si="7"/>
        <v>366</v>
      </c>
      <c r="F326" s="16">
        <v>2</v>
      </c>
      <c r="G326" s="16" t="s">
        <v>1130</v>
      </c>
      <c r="H326" s="16" t="s">
        <v>1176</v>
      </c>
      <c r="I326" s="16" t="s">
        <v>1140</v>
      </c>
      <c r="J326" s="16"/>
      <c r="K326" s="13"/>
      <c r="L326" s="275">
        <v>214</v>
      </c>
      <c r="M326" s="13"/>
      <c r="N326" s="13"/>
      <c r="O326" s="13"/>
      <c r="P326" s="13"/>
      <c r="Q326" s="13"/>
      <c r="R326" s="13"/>
      <c r="S326" s="13"/>
      <c r="T326" s="13"/>
      <c r="U326" s="13"/>
      <c r="V326" s="13"/>
      <c r="W326" s="13"/>
      <c r="X326" s="13"/>
      <c r="Y326" s="13"/>
      <c r="Z326" s="13"/>
      <c r="AA326" s="13"/>
      <c r="AB326" s="13"/>
    </row>
    <row r="327" spans="1:28" ht="13.2">
      <c r="A327" s="53">
        <f t="shared" si="9"/>
        <v>326</v>
      </c>
      <c r="B327" s="13" t="s">
        <v>1520</v>
      </c>
      <c r="C327" s="16" t="s">
        <v>1135</v>
      </c>
      <c r="D327" s="16">
        <f t="shared" si="6"/>
        <v>700</v>
      </c>
      <c r="E327" s="16">
        <f t="shared" si="7"/>
        <v>937</v>
      </c>
      <c r="F327" s="16">
        <v>3</v>
      </c>
      <c r="G327" s="16" t="s">
        <v>1130</v>
      </c>
      <c r="H327" s="16" t="s">
        <v>1192</v>
      </c>
      <c r="I327" s="16" t="s">
        <v>1140</v>
      </c>
      <c r="J327" s="16"/>
      <c r="K327" s="13"/>
      <c r="L327" s="275">
        <v>214</v>
      </c>
      <c r="M327" s="13"/>
      <c r="N327" s="13"/>
      <c r="O327" s="13"/>
      <c r="P327" s="13"/>
      <c r="Q327" s="13"/>
      <c r="R327" s="13"/>
      <c r="S327" s="13"/>
      <c r="T327" s="13"/>
      <c r="U327" s="13"/>
      <c r="V327" s="13"/>
      <c r="W327" s="13"/>
      <c r="X327" s="13"/>
      <c r="Y327" s="13"/>
      <c r="Z327" s="13"/>
      <c r="AA327" s="13"/>
      <c r="AB327" s="13"/>
    </row>
    <row r="328" spans="1:28" ht="13.2">
      <c r="A328" s="53">
        <f t="shared" si="9"/>
        <v>327</v>
      </c>
      <c r="B328" s="13" t="s">
        <v>1521</v>
      </c>
      <c r="C328" s="16" t="s">
        <v>1522</v>
      </c>
      <c r="D328" s="16">
        <f t="shared" si="6"/>
        <v>0</v>
      </c>
      <c r="E328" s="16">
        <f t="shared" si="7"/>
        <v>18</v>
      </c>
      <c r="F328" s="16">
        <v>6</v>
      </c>
      <c r="G328" s="16" t="s">
        <v>1173</v>
      </c>
      <c r="H328" s="16" t="s">
        <v>1523</v>
      </c>
      <c r="I328" s="16" t="s">
        <v>1140</v>
      </c>
      <c r="J328" s="16"/>
      <c r="K328" s="13" t="s">
        <v>1524</v>
      </c>
      <c r="L328" s="275">
        <v>216</v>
      </c>
      <c r="M328" s="13"/>
      <c r="N328" s="13"/>
      <c r="O328" s="13"/>
      <c r="P328" s="13"/>
      <c r="Q328" s="13"/>
      <c r="R328" s="13"/>
      <c r="S328" s="13"/>
      <c r="T328" s="13"/>
      <c r="U328" s="13"/>
      <c r="V328" s="13"/>
      <c r="W328" s="13"/>
      <c r="X328" s="13"/>
      <c r="Y328" s="13"/>
      <c r="Z328" s="13"/>
      <c r="AA328" s="13"/>
      <c r="AB328" s="13"/>
    </row>
    <row r="329" spans="1:28" ht="13.2">
      <c r="A329" s="53">
        <f t="shared" si="9"/>
        <v>328</v>
      </c>
      <c r="B329" s="13" t="s">
        <v>1525</v>
      </c>
      <c r="C329" s="16" t="s">
        <v>1522</v>
      </c>
      <c r="D329" s="16">
        <f t="shared" si="6"/>
        <v>0</v>
      </c>
      <c r="E329" s="16">
        <f t="shared" si="7"/>
        <v>54</v>
      </c>
      <c r="F329" s="16">
        <v>6</v>
      </c>
      <c r="G329" s="16" t="s">
        <v>1173</v>
      </c>
      <c r="H329" s="16" t="s">
        <v>1472</v>
      </c>
      <c r="I329" s="16" t="s">
        <v>1140</v>
      </c>
      <c r="J329" s="16"/>
      <c r="K329" s="13" t="s">
        <v>1526</v>
      </c>
      <c r="L329" s="275">
        <v>217</v>
      </c>
      <c r="M329" s="13"/>
      <c r="N329" s="13"/>
      <c r="O329" s="13"/>
      <c r="P329" s="13"/>
      <c r="Q329" s="13"/>
      <c r="R329" s="13"/>
      <c r="S329" s="13"/>
      <c r="T329" s="13"/>
      <c r="U329" s="13"/>
      <c r="V329" s="13"/>
      <c r="W329" s="13"/>
      <c r="X329" s="13"/>
      <c r="Y329" s="13"/>
      <c r="Z329" s="13"/>
      <c r="AA329" s="13"/>
      <c r="AB329" s="13"/>
    </row>
    <row r="330" spans="1:28" ht="13.2">
      <c r="A330" s="53">
        <f t="shared" si="9"/>
        <v>329</v>
      </c>
      <c r="B330" s="13" t="s">
        <v>1527</v>
      </c>
      <c r="C330" s="16" t="s">
        <v>1522</v>
      </c>
      <c r="D330" s="16">
        <f t="shared" si="6"/>
        <v>0</v>
      </c>
      <c r="E330" s="16">
        <f t="shared" si="7"/>
        <v>18</v>
      </c>
      <c r="F330" s="16">
        <v>6</v>
      </c>
      <c r="G330" s="16" t="s">
        <v>1173</v>
      </c>
      <c r="H330" s="16" t="s">
        <v>1492</v>
      </c>
      <c r="I330" s="16" t="s">
        <v>1140</v>
      </c>
      <c r="J330" s="16"/>
      <c r="K330" s="13" t="s">
        <v>1528</v>
      </c>
      <c r="L330" s="275">
        <v>218</v>
      </c>
      <c r="M330" s="13"/>
      <c r="N330" s="13"/>
      <c r="O330" s="13"/>
      <c r="P330" s="13"/>
      <c r="Q330" s="13"/>
      <c r="R330" s="13"/>
      <c r="S330" s="13"/>
      <c r="T330" s="13"/>
      <c r="U330" s="13"/>
      <c r="V330" s="13"/>
      <c r="W330" s="13"/>
      <c r="X330" s="13"/>
      <c r="Y330" s="13"/>
      <c r="Z330" s="13"/>
      <c r="AA330" s="13"/>
      <c r="AB330" s="13"/>
    </row>
    <row r="331" spans="1:28" ht="13.2">
      <c r="A331" s="53">
        <f t="shared" si="9"/>
        <v>330</v>
      </c>
      <c r="B331" s="13" t="s">
        <v>1529</v>
      </c>
      <c r="C331" s="16" t="s">
        <v>1522</v>
      </c>
      <c r="D331" s="16">
        <f t="shared" si="6"/>
        <v>0</v>
      </c>
      <c r="E331" s="16">
        <f t="shared" si="7"/>
        <v>54</v>
      </c>
      <c r="F331" s="16">
        <v>6</v>
      </c>
      <c r="G331" s="16" t="s">
        <v>1173</v>
      </c>
      <c r="H331" s="16" t="s">
        <v>1227</v>
      </c>
      <c r="I331" s="16" t="s">
        <v>1140</v>
      </c>
      <c r="J331" s="16"/>
      <c r="K331" s="13" t="s">
        <v>1228</v>
      </c>
      <c r="L331" s="275">
        <v>218</v>
      </c>
      <c r="M331" s="13"/>
      <c r="N331" s="13"/>
      <c r="O331" s="13"/>
      <c r="P331" s="13"/>
      <c r="Q331" s="13"/>
      <c r="R331" s="13"/>
      <c r="S331" s="13"/>
      <c r="T331" s="13"/>
      <c r="U331" s="13"/>
      <c r="V331" s="13"/>
      <c r="W331" s="13"/>
      <c r="X331" s="13"/>
      <c r="Y331" s="13"/>
      <c r="Z331" s="13"/>
      <c r="AA331" s="13"/>
      <c r="AB331" s="13"/>
    </row>
    <row r="332" spans="1:28" ht="13.2">
      <c r="A332" s="53">
        <f t="shared" si="9"/>
        <v>331</v>
      </c>
      <c r="B332" s="13" t="s">
        <v>1530</v>
      </c>
      <c r="C332" s="16" t="s">
        <v>1531</v>
      </c>
      <c r="D332" s="16">
        <f t="shared" si="6"/>
        <v>0</v>
      </c>
      <c r="E332" s="16">
        <f t="shared" si="7"/>
        <v>28</v>
      </c>
      <c r="F332" s="16">
        <v>7</v>
      </c>
      <c r="G332" s="16" t="s">
        <v>1173</v>
      </c>
      <c r="H332" s="16" t="s">
        <v>1532</v>
      </c>
      <c r="I332" s="16" t="s">
        <v>1140</v>
      </c>
      <c r="J332" s="16"/>
      <c r="K332" s="13"/>
      <c r="L332" s="275">
        <v>221</v>
      </c>
      <c r="M332" s="13"/>
      <c r="N332" s="13"/>
      <c r="O332" s="13"/>
      <c r="P332" s="13"/>
      <c r="Q332" s="13"/>
      <c r="R332" s="13"/>
      <c r="S332" s="13"/>
      <c r="T332" s="13"/>
      <c r="U332" s="13"/>
      <c r="V332" s="13"/>
      <c r="W332" s="13"/>
      <c r="X332" s="13"/>
      <c r="Y332" s="13"/>
      <c r="Z332" s="13"/>
      <c r="AA332" s="13"/>
      <c r="AB332" s="13"/>
    </row>
    <row r="333" spans="1:28" ht="13.2">
      <c r="A333" s="53">
        <f t="shared" si="9"/>
        <v>332</v>
      </c>
      <c r="B333" s="13" t="s">
        <v>1533</v>
      </c>
      <c r="C333" s="16" t="s">
        <v>1531</v>
      </c>
      <c r="D333" s="16">
        <f t="shared" si="6"/>
        <v>0</v>
      </c>
      <c r="E333" s="16">
        <f t="shared" si="7"/>
        <v>70</v>
      </c>
      <c r="F333" s="16">
        <v>7</v>
      </c>
      <c r="G333" s="16" t="s">
        <v>1130</v>
      </c>
      <c r="H333" s="16"/>
      <c r="I333" s="16" t="s">
        <v>1140</v>
      </c>
      <c r="J333" s="16"/>
      <c r="K333" s="13" t="s">
        <v>1481</v>
      </c>
      <c r="L333" s="275">
        <v>222</v>
      </c>
      <c r="M333" s="13"/>
      <c r="N333" s="13"/>
      <c r="O333" s="13"/>
      <c r="P333" s="13"/>
      <c r="Q333" s="13"/>
      <c r="R333" s="13"/>
      <c r="S333" s="13"/>
      <c r="T333" s="13"/>
      <c r="U333" s="13"/>
      <c r="V333" s="13"/>
      <c r="W333" s="13"/>
      <c r="X333" s="13"/>
      <c r="Y333" s="13"/>
      <c r="Z333" s="13"/>
      <c r="AA333" s="13"/>
      <c r="AB333" s="13"/>
    </row>
    <row r="334" spans="1:28" ht="13.2">
      <c r="A334" s="53">
        <f t="shared" si="9"/>
        <v>333</v>
      </c>
      <c r="B334" s="13" t="s">
        <v>1534</v>
      </c>
      <c r="C334" s="16" t="s">
        <v>1531</v>
      </c>
      <c r="D334" s="16">
        <f t="shared" si="6"/>
        <v>0</v>
      </c>
      <c r="E334" s="16">
        <f t="shared" si="7"/>
        <v>28</v>
      </c>
      <c r="F334" s="16">
        <v>7</v>
      </c>
      <c r="G334" s="16" t="s">
        <v>1130</v>
      </c>
      <c r="H334" s="16"/>
      <c r="I334" s="16" t="s">
        <v>1140</v>
      </c>
      <c r="J334" s="16"/>
      <c r="K334" s="13"/>
      <c r="L334" s="275">
        <v>222</v>
      </c>
      <c r="M334" s="13"/>
      <c r="N334" s="13"/>
      <c r="O334" s="13"/>
      <c r="P334" s="13"/>
      <c r="Q334" s="13"/>
      <c r="R334" s="13"/>
      <c r="S334" s="13"/>
      <c r="T334" s="13"/>
      <c r="U334" s="13"/>
      <c r="V334" s="13"/>
      <c r="W334" s="13"/>
      <c r="X334" s="13"/>
      <c r="Y334" s="13"/>
      <c r="Z334" s="13"/>
      <c r="AA334" s="13"/>
      <c r="AB334" s="13"/>
    </row>
    <row r="335" spans="1:28" ht="13.2">
      <c r="A335" s="53">
        <f t="shared" si="9"/>
        <v>334</v>
      </c>
      <c r="B335" s="13" t="s">
        <v>1535</v>
      </c>
      <c r="C335" s="16" t="s">
        <v>1531</v>
      </c>
      <c r="D335" s="16">
        <f t="shared" si="6"/>
        <v>0</v>
      </c>
      <c r="E335" s="16">
        <f t="shared" si="7"/>
        <v>70</v>
      </c>
      <c r="F335" s="16">
        <v>7</v>
      </c>
      <c r="G335" s="16" t="s">
        <v>1130</v>
      </c>
      <c r="H335" s="16"/>
      <c r="I335" s="16" t="s">
        <v>1140</v>
      </c>
      <c r="J335" s="16"/>
      <c r="K335" s="13"/>
      <c r="L335" s="275">
        <v>224</v>
      </c>
      <c r="M335" s="13"/>
      <c r="N335" s="13"/>
      <c r="O335" s="13"/>
      <c r="P335" s="13"/>
      <c r="Q335" s="13"/>
      <c r="R335" s="13"/>
      <c r="S335" s="13"/>
      <c r="T335" s="13"/>
      <c r="U335" s="13"/>
      <c r="V335" s="13"/>
      <c r="W335" s="13"/>
      <c r="X335" s="13"/>
      <c r="Y335" s="13"/>
      <c r="Z335" s="13"/>
      <c r="AA335" s="13"/>
      <c r="AB335" s="13"/>
    </row>
    <row r="336" spans="1:28" ht="13.2">
      <c r="A336" s="53">
        <f t="shared" si="9"/>
        <v>335</v>
      </c>
      <c r="B336" s="13" t="s">
        <v>1536</v>
      </c>
      <c r="C336" s="16" t="s">
        <v>1531</v>
      </c>
      <c r="D336" s="16">
        <f t="shared" si="6"/>
        <v>0</v>
      </c>
      <c r="E336" s="16">
        <f t="shared" si="7"/>
        <v>28</v>
      </c>
      <c r="F336" s="16">
        <v>7</v>
      </c>
      <c r="G336" s="16" t="s">
        <v>1130</v>
      </c>
      <c r="H336" s="16"/>
      <c r="I336" s="16" t="s">
        <v>1140</v>
      </c>
      <c r="J336" s="16"/>
      <c r="K336" s="13"/>
      <c r="L336" s="275">
        <v>225</v>
      </c>
      <c r="M336" s="13"/>
      <c r="N336" s="13"/>
      <c r="O336" s="13"/>
      <c r="P336" s="13"/>
      <c r="Q336" s="13"/>
      <c r="R336" s="13"/>
      <c r="S336" s="13"/>
      <c r="T336" s="13"/>
      <c r="U336" s="13"/>
      <c r="V336" s="13"/>
      <c r="W336" s="13"/>
      <c r="X336" s="13"/>
      <c r="Y336" s="13"/>
      <c r="Z336" s="13"/>
      <c r="AA336" s="13"/>
      <c r="AB336" s="13"/>
    </row>
    <row r="337" spans="1:28" ht="13.2">
      <c r="A337" s="53">
        <f t="shared" si="9"/>
        <v>336</v>
      </c>
      <c r="B337" s="13" t="s">
        <v>1537</v>
      </c>
      <c r="C337" s="16" t="s">
        <v>1531</v>
      </c>
      <c r="D337" s="16">
        <f t="shared" si="6"/>
        <v>0</v>
      </c>
      <c r="E337" s="16">
        <f t="shared" si="7"/>
        <v>70</v>
      </c>
      <c r="F337" s="16">
        <v>7</v>
      </c>
      <c r="G337" s="16" t="s">
        <v>1173</v>
      </c>
      <c r="H337" s="16" t="s">
        <v>1472</v>
      </c>
      <c r="I337" s="16" t="s">
        <v>1140</v>
      </c>
      <c r="J337" s="16"/>
      <c r="K337" s="13"/>
      <c r="L337" s="275">
        <v>226</v>
      </c>
      <c r="M337" s="13"/>
      <c r="N337" s="13"/>
      <c r="O337" s="13"/>
      <c r="P337" s="13"/>
      <c r="Q337" s="13"/>
      <c r="R337" s="13"/>
      <c r="S337" s="13"/>
      <c r="T337" s="13"/>
      <c r="U337" s="13"/>
      <c r="V337" s="13"/>
      <c r="W337" s="13"/>
      <c r="X337" s="13"/>
      <c r="Y337" s="13"/>
      <c r="Z337" s="13"/>
      <c r="AA337" s="13"/>
      <c r="AB337" s="13"/>
    </row>
    <row r="338" spans="1:28" ht="13.2">
      <c r="A338" s="53">
        <f t="shared" si="9"/>
        <v>337</v>
      </c>
      <c r="B338" s="13" t="s">
        <v>1538</v>
      </c>
      <c r="C338" s="16" t="s">
        <v>1531</v>
      </c>
      <c r="D338" s="16">
        <f t="shared" si="6"/>
        <v>0</v>
      </c>
      <c r="E338" s="16">
        <f t="shared" si="7"/>
        <v>35</v>
      </c>
      <c r="F338" s="16">
        <v>7</v>
      </c>
      <c r="G338" s="16" t="s">
        <v>1498</v>
      </c>
      <c r="H338" s="16"/>
      <c r="I338" s="16" t="s">
        <v>1140</v>
      </c>
      <c r="J338" s="16"/>
      <c r="K338" s="13"/>
      <c r="L338" s="275">
        <v>227</v>
      </c>
      <c r="M338" s="13"/>
      <c r="N338" s="13"/>
      <c r="O338" s="13"/>
      <c r="P338" s="13"/>
      <c r="Q338" s="13"/>
      <c r="R338" s="13"/>
      <c r="S338" s="13"/>
      <c r="T338" s="13"/>
      <c r="U338" s="13"/>
      <c r="V338" s="13"/>
      <c r="W338" s="13"/>
      <c r="X338" s="13"/>
      <c r="Y338" s="13"/>
      <c r="Z338" s="13"/>
      <c r="AA338" s="13"/>
      <c r="AB338" s="13"/>
    </row>
    <row r="339" spans="1:28" ht="13.2">
      <c r="A339" s="53">
        <f t="shared" si="9"/>
        <v>0</v>
      </c>
      <c r="B339" s="13"/>
      <c r="C339" s="16"/>
      <c r="D339" s="16">
        <f t="shared" si="6"/>
        <v>0</v>
      </c>
      <c r="E339" s="16">
        <f t="shared" si="7"/>
        <v>0</v>
      </c>
      <c r="F339" s="16"/>
      <c r="G339" s="16"/>
      <c r="H339" s="16"/>
      <c r="I339" s="16"/>
      <c r="J339" s="16"/>
      <c r="K339" s="13"/>
      <c r="L339" s="13"/>
      <c r="M339" s="13"/>
      <c r="N339" s="13"/>
      <c r="O339" s="13"/>
      <c r="P339" s="13"/>
      <c r="Q339" s="13"/>
      <c r="R339" s="13"/>
      <c r="S339" s="13"/>
      <c r="T339" s="13"/>
      <c r="U339" s="13"/>
      <c r="V339" s="13"/>
      <c r="W339" s="13"/>
      <c r="X339" s="13"/>
      <c r="Y339" s="13"/>
      <c r="Z339" s="13"/>
      <c r="AA339" s="13"/>
      <c r="AB339" s="13"/>
    </row>
    <row r="340" spans="1:28" ht="13.2">
      <c r="A340" s="53">
        <f t="shared" si="9"/>
        <v>0</v>
      </c>
      <c r="B340" s="13"/>
      <c r="C340" s="16"/>
      <c r="D340" s="16">
        <f t="shared" si="6"/>
        <v>0</v>
      </c>
      <c r="E340" s="16">
        <f t="shared" si="7"/>
        <v>0</v>
      </c>
      <c r="F340" s="16"/>
      <c r="G340" s="16"/>
      <c r="H340" s="16"/>
      <c r="I340" s="16"/>
      <c r="J340" s="16"/>
      <c r="K340" s="13"/>
      <c r="L340" s="13"/>
      <c r="M340" s="13"/>
      <c r="N340" s="13"/>
      <c r="O340" s="13"/>
      <c r="P340" s="13"/>
      <c r="Q340" s="13"/>
      <c r="R340" s="13"/>
      <c r="S340" s="13"/>
      <c r="T340" s="13"/>
      <c r="U340" s="13"/>
      <c r="V340" s="13"/>
      <c r="W340" s="13"/>
      <c r="X340" s="13"/>
      <c r="Y340" s="13"/>
      <c r="Z340" s="13"/>
      <c r="AA340" s="13"/>
      <c r="AB340" s="13"/>
    </row>
    <row r="341" spans="1:28" ht="13.2">
      <c r="A341" s="53">
        <f t="shared" si="9"/>
        <v>0</v>
      </c>
      <c r="B341" s="13"/>
      <c r="C341" s="16"/>
      <c r="D341" s="16">
        <f t="shared" si="6"/>
        <v>0</v>
      </c>
      <c r="E341" s="16">
        <f t="shared" si="7"/>
        <v>0</v>
      </c>
      <c r="F341" s="16"/>
      <c r="G341" s="16"/>
      <c r="H341" s="16"/>
      <c r="I341" s="16"/>
      <c r="J341" s="16"/>
      <c r="K341" s="13"/>
      <c r="L341" s="13"/>
      <c r="M341" s="13"/>
      <c r="N341" s="13"/>
      <c r="O341" s="13"/>
      <c r="P341" s="13"/>
      <c r="Q341" s="13"/>
      <c r="R341" s="13"/>
      <c r="S341" s="13"/>
      <c r="T341" s="13"/>
      <c r="U341" s="13"/>
      <c r="V341" s="13"/>
      <c r="W341" s="13"/>
      <c r="X341" s="13"/>
      <c r="Y341" s="13"/>
      <c r="Z341" s="13"/>
      <c r="AA341" s="13"/>
      <c r="AB341" s="13"/>
    </row>
    <row r="342" spans="1:28" ht="13.2">
      <c r="A342" s="53">
        <f t="shared" si="9"/>
        <v>0</v>
      </c>
      <c r="B342" s="13"/>
      <c r="C342" s="16"/>
      <c r="D342" s="16">
        <f t="shared" si="6"/>
        <v>0</v>
      </c>
      <c r="E342" s="16">
        <f t="shared" si="7"/>
        <v>0</v>
      </c>
      <c r="F342" s="16"/>
      <c r="G342" s="16"/>
      <c r="H342" s="16"/>
      <c r="I342" s="16"/>
      <c r="J342" s="16"/>
      <c r="K342" s="13"/>
      <c r="L342" s="13"/>
      <c r="M342" s="13"/>
      <c r="N342" s="13"/>
      <c r="O342" s="13"/>
      <c r="P342" s="13"/>
      <c r="Q342" s="13"/>
      <c r="R342" s="13"/>
      <c r="S342" s="13"/>
      <c r="T342" s="13"/>
      <c r="U342" s="13"/>
      <c r="V342" s="13"/>
      <c r="W342" s="13"/>
      <c r="X342" s="13"/>
      <c r="Y342" s="13"/>
      <c r="Z342" s="13"/>
      <c r="AA342" s="13"/>
      <c r="AB342" s="13"/>
    </row>
    <row r="343" spans="1:28" ht="13.2">
      <c r="A343" s="53">
        <f t="shared" si="9"/>
        <v>0</v>
      </c>
      <c r="B343" s="13"/>
      <c r="C343" s="16"/>
      <c r="D343" s="16">
        <f t="shared" si="6"/>
        <v>0</v>
      </c>
      <c r="E343" s="16">
        <f t="shared" si="7"/>
        <v>0</v>
      </c>
      <c r="F343" s="16"/>
      <c r="G343" s="16"/>
      <c r="H343" s="16"/>
      <c r="I343" s="16"/>
      <c r="J343" s="16"/>
      <c r="K343" s="13"/>
      <c r="L343" s="13"/>
      <c r="M343" s="13"/>
      <c r="N343" s="13"/>
      <c r="O343" s="13"/>
      <c r="P343" s="13"/>
      <c r="Q343" s="13"/>
      <c r="R343" s="13"/>
      <c r="S343" s="13"/>
      <c r="T343" s="13"/>
      <c r="U343" s="13"/>
      <c r="V343" s="13"/>
      <c r="W343" s="13"/>
      <c r="X343" s="13"/>
      <c r="Y343" s="13"/>
      <c r="Z343" s="13"/>
      <c r="AA343" s="13"/>
      <c r="AB343" s="13"/>
    </row>
    <row r="344" spans="1:28" ht="13.2">
      <c r="A344" s="53">
        <f t="shared" si="9"/>
        <v>0</v>
      </c>
      <c r="B344" s="13"/>
      <c r="C344" s="16"/>
      <c r="D344" s="16">
        <f t="shared" si="6"/>
        <v>0</v>
      </c>
      <c r="E344" s="16">
        <f t="shared" si="7"/>
        <v>0</v>
      </c>
      <c r="F344" s="16"/>
      <c r="G344" s="16"/>
      <c r="H344" s="16"/>
      <c r="I344" s="16"/>
      <c r="J344" s="16"/>
      <c r="K344" s="13"/>
      <c r="L344" s="13"/>
      <c r="M344" s="13"/>
      <c r="N344" s="13"/>
      <c r="O344" s="13"/>
      <c r="P344" s="13"/>
      <c r="Q344" s="13"/>
      <c r="R344" s="13"/>
      <c r="S344" s="13"/>
      <c r="T344" s="13"/>
      <c r="U344" s="13"/>
      <c r="V344" s="13"/>
      <c r="W344" s="13"/>
      <c r="X344" s="13"/>
      <c r="Y344" s="13"/>
      <c r="Z344" s="13"/>
      <c r="AA344" s="13"/>
      <c r="AB344" s="13"/>
    </row>
    <row r="345" spans="1:28" ht="13.2">
      <c r="A345" s="53">
        <f t="shared" si="9"/>
        <v>0</v>
      </c>
      <c r="B345" s="13"/>
      <c r="C345" s="16"/>
      <c r="D345" s="16">
        <f t="shared" si="6"/>
        <v>0</v>
      </c>
      <c r="E345" s="16">
        <f t="shared" si="7"/>
        <v>0</v>
      </c>
      <c r="F345" s="16"/>
      <c r="G345" s="16"/>
      <c r="H345" s="16"/>
      <c r="I345" s="16"/>
      <c r="J345" s="16"/>
      <c r="K345" s="13"/>
      <c r="L345" s="13"/>
      <c r="M345" s="13"/>
      <c r="N345" s="13"/>
      <c r="O345" s="13"/>
      <c r="P345" s="13"/>
      <c r="Q345" s="13"/>
      <c r="R345" s="13"/>
      <c r="S345" s="13"/>
      <c r="T345" s="13"/>
      <c r="U345" s="13"/>
      <c r="V345" s="13"/>
      <c r="W345" s="13"/>
      <c r="X345" s="13"/>
      <c r="Y345" s="13"/>
      <c r="Z345" s="13"/>
      <c r="AA345" s="13"/>
      <c r="AB345" s="13"/>
    </row>
    <row r="346" spans="1:28" ht="13.2">
      <c r="A346" s="53">
        <f t="shared" si="9"/>
        <v>0</v>
      </c>
      <c r="B346" s="13"/>
      <c r="C346" s="16"/>
      <c r="D346" s="16">
        <f t="shared" si="6"/>
        <v>0</v>
      </c>
      <c r="E346" s="16">
        <f t="shared" si="7"/>
        <v>0</v>
      </c>
      <c r="F346" s="16"/>
      <c r="G346" s="16"/>
      <c r="H346" s="16"/>
      <c r="I346" s="16"/>
      <c r="J346" s="16"/>
      <c r="K346" s="13"/>
      <c r="L346" s="13"/>
      <c r="M346" s="13"/>
      <c r="N346" s="13"/>
      <c r="O346" s="13"/>
      <c r="P346" s="13"/>
      <c r="Q346" s="13"/>
      <c r="R346" s="13"/>
      <c r="S346" s="13"/>
      <c r="T346" s="13"/>
      <c r="U346" s="13"/>
      <c r="V346" s="13"/>
      <c r="W346" s="13"/>
      <c r="X346" s="13"/>
      <c r="Y346" s="13"/>
      <c r="Z346" s="13"/>
      <c r="AA346" s="13"/>
      <c r="AB346" s="13"/>
    </row>
    <row r="347" spans="1:28" ht="13.2">
      <c r="A347" s="53">
        <f t="shared" si="9"/>
        <v>0</v>
      </c>
      <c r="B347" s="13"/>
      <c r="C347" s="16"/>
      <c r="D347" s="16">
        <f t="shared" si="6"/>
        <v>0</v>
      </c>
      <c r="E347" s="16">
        <f t="shared" si="7"/>
        <v>0</v>
      </c>
      <c r="F347" s="16"/>
      <c r="G347" s="16"/>
      <c r="H347" s="16"/>
      <c r="I347" s="16"/>
      <c r="J347" s="16"/>
      <c r="K347" s="13"/>
      <c r="L347" s="13"/>
      <c r="M347" s="13"/>
      <c r="N347" s="13"/>
      <c r="O347" s="13"/>
      <c r="P347" s="13"/>
      <c r="Q347" s="13"/>
      <c r="R347" s="13"/>
      <c r="S347" s="13"/>
      <c r="T347" s="13"/>
      <c r="U347" s="13"/>
      <c r="V347" s="13"/>
      <c r="W347" s="13"/>
      <c r="X347" s="13"/>
      <c r="Y347" s="13"/>
      <c r="Z347" s="13"/>
      <c r="AA347" s="13"/>
      <c r="AB347" s="13"/>
    </row>
    <row r="348" spans="1:28" ht="13.2">
      <c r="A348" s="53">
        <f t="shared" si="9"/>
        <v>0</v>
      </c>
      <c r="B348" s="13"/>
      <c r="C348" s="16"/>
      <c r="D348" s="16">
        <f t="shared" si="6"/>
        <v>0</v>
      </c>
      <c r="E348" s="16">
        <f t="shared" si="7"/>
        <v>0</v>
      </c>
      <c r="F348" s="16"/>
      <c r="G348" s="16"/>
      <c r="H348" s="16"/>
      <c r="I348" s="16"/>
      <c r="J348" s="16"/>
      <c r="K348" s="13"/>
      <c r="L348" s="13"/>
      <c r="M348" s="13"/>
      <c r="N348" s="13"/>
      <c r="O348" s="13"/>
      <c r="P348" s="13"/>
      <c r="Q348" s="13"/>
      <c r="R348" s="13"/>
      <c r="S348" s="13"/>
      <c r="T348" s="13"/>
      <c r="U348" s="13"/>
      <c r="V348" s="13"/>
      <c r="W348" s="13"/>
      <c r="X348" s="13"/>
      <c r="Y348" s="13"/>
      <c r="Z348" s="13"/>
      <c r="AA348" s="13"/>
      <c r="AB348" s="13"/>
    </row>
    <row r="349" spans="1:28" ht="13.2">
      <c r="A349" s="53">
        <f t="shared" si="9"/>
        <v>0</v>
      </c>
      <c r="B349" s="13"/>
      <c r="C349" s="16"/>
      <c r="D349" s="16">
        <f t="shared" si="6"/>
        <v>0</v>
      </c>
      <c r="E349" s="16">
        <f t="shared" si="7"/>
        <v>0</v>
      </c>
      <c r="F349" s="16"/>
      <c r="G349" s="16"/>
      <c r="H349" s="16"/>
      <c r="I349" s="16"/>
      <c r="J349" s="16"/>
      <c r="K349" s="13"/>
      <c r="L349" s="13"/>
      <c r="M349" s="13"/>
      <c r="N349" s="13"/>
      <c r="O349" s="13"/>
      <c r="P349" s="13"/>
      <c r="Q349" s="13"/>
      <c r="R349" s="13"/>
      <c r="S349" s="13"/>
      <c r="T349" s="13"/>
      <c r="U349" s="13"/>
      <c r="V349" s="13"/>
      <c r="W349" s="13"/>
      <c r="X349" s="13"/>
      <c r="Y349" s="13"/>
      <c r="Z349" s="13"/>
      <c r="AA349" s="13"/>
      <c r="AB349" s="13"/>
    </row>
    <row r="350" spans="1:28" ht="13.2">
      <c r="A350" s="53">
        <f t="shared" si="9"/>
        <v>0</v>
      </c>
      <c r="B350" s="13"/>
      <c r="C350" s="16"/>
      <c r="D350" s="16">
        <f t="shared" si="6"/>
        <v>0</v>
      </c>
      <c r="E350" s="16">
        <f t="shared" si="7"/>
        <v>0</v>
      </c>
      <c r="F350" s="16"/>
      <c r="G350" s="16"/>
      <c r="H350" s="16"/>
      <c r="I350" s="16"/>
      <c r="J350" s="16"/>
      <c r="K350" s="13"/>
      <c r="L350" s="13"/>
      <c r="M350" s="13"/>
      <c r="N350" s="13"/>
      <c r="O350" s="13"/>
      <c r="P350" s="13"/>
      <c r="Q350" s="13"/>
      <c r="R350" s="13"/>
      <c r="S350" s="13"/>
      <c r="T350" s="13"/>
      <c r="U350" s="13"/>
      <c r="V350" s="13"/>
      <c r="W350" s="13"/>
      <c r="X350" s="13"/>
      <c r="Y350" s="13"/>
      <c r="Z350" s="13"/>
      <c r="AA350" s="13"/>
      <c r="AB350" s="13"/>
    </row>
    <row r="351" spans="1:28" ht="13.2">
      <c r="A351" s="53">
        <f t="shared" si="9"/>
        <v>0</v>
      </c>
      <c r="B351" s="13"/>
      <c r="C351" s="16"/>
      <c r="D351" s="16">
        <f t="shared" si="6"/>
        <v>0</v>
      </c>
      <c r="E351" s="16">
        <f t="shared" si="7"/>
        <v>0</v>
      </c>
      <c r="F351" s="16"/>
      <c r="G351" s="16"/>
      <c r="H351" s="16"/>
      <c r="I351" s="16"/>
      <c r="J351" s="16"/>
      <c r="K351" s="13"/>
      <c r="L351" s="13"/>
      <c r="M351" s="13"/>
      <c r="N351" s="13"/>
      <c r="O351" s="13"/>
      <c r="P351" s="13"/>
      <c r="Q351" s="13"/>
      <c r="R351" s="13"/>
      <c r="S351" s="13"/>
      <c r="T351" s="13"/>
      <c r="U351" s="13"/>
      <c r="V351" s="13"/>
      <c r="W351" s="13"/>
      <c r="X351" s="13"/>
      <c r="Y351" s="13"/>
      <c r="Z351" s="13"/>
      <c r="AA351" s="13"/>
      <c r="AB351" s="13"/>
    </row>
    <row r="352" spans="1:28" ht="13.2">
      <c r="A352" s="53">
        <f t="shared" si="9"/>
        <v>0</v>
      </c>
      <c r="B352" s="13"/>
      <c r="C352" s="16"/>
      <c r="D352" s="16">
        <f t="shared" si="6"/>
        <v>0</v>
      </c>
      <c r="E352" s="16">
        <f t="shared" si="7"/>
        <v>0</v>
      </c>
      <c r="F352" s="16"/>
      <c r="G352" s="16"/>
      <c r="H352" s="16"/>
      <c r="I352" s="16"/>
      <c r="J352" s="16"/>
      <c r="K352" s="13"/>
      <c r="L352" s="13"/>
      <c r="M352" s="13"/>
      <c r="N352" s="13"/>
      <c r="O352" s="13"/>
      <c r="P352" s="13"/>
      <c r="Q352" s="13"/>
      <c r="R352" s="13"/>
      <c r="S352" s="13"/>
      <c r="T352" s="13"/>
      <c r="U352" s="13"/>
      <c r="V352" s="13"/>
      <c r="W352" s="13"/>
      <c r="X352" s="13"/>
      <c r="Y352" s="13"/>
      <c r="Z352" s="13"/>
      <c r="AA352" s="13"/>
      <c r="AB352" s="13"/>
    </row>
    <row r="353" spans="1:28" ht="13.2">
      <c r="A353" s="53">
        <f t="shared" si="9"/>
        <v>0</v>
      </c>
      <c r="B353" s="13"/>
      <c r="C353" s="16"/>
      <c r="D353" s="16">
        <f t="shared" si="6"/>
        <v>0</v>
      </c>
      <c r="E353" s="16">
        <f t="shared" si="7"/>
        <v>0</v>
      </c>
      <c r="F353" s="16"/>
      <c r="G353" s="16"/>
      <c r="H353" s="16"/>
      <c r="I353" s="16"/>
      <c r="J353" s="16"/>
      <c r="K353" s="13"/>
      <c r="L353" s="13"/>
      <c r="M353" s="13"/>
      <c r="N353" s="13"/>
      <c r="O353" s="13"/>
      <c r="P353" s="13"/>
      <c r="Q353" s="13"/>
      <c r="R353" s="13"/>
      <c r="S353" s="13"/>
      <c r="T353" s="13"/>
      <c r="U353" s="13"/>
      <c r="V353" s="13"/>
      <c r="W353" s="13"/>
      <c r="X353" s="13"/>
      <c r="Y353" s="13"/>
      <c r="Z353" s="13"/>
      <c r="AA353" s="13"/>
      <c r="AB353" s="13"/>
    </row>
    <row r="354" spans="1:28" ht="13.2">
      <c r="A354" s="53">
        <f t="shared" si="9"/>
        <v>0</v>
      </c>
      <c r="B354" s="13"/>
      <c r="C354" s="16"/>
      <c r="D354" s="16">
        <f t="shared" si="6"/>
        <v>0</v>
      </c>
      <c r="E354" s="16">
        <f t="shared" si="7"/>
        <v>0</v>
      </c>
      <c r="F354" s="16"/>
      <c r="G354" s="16"/>
      <c r="H354" s="16"/>
      <c r="I354" s="16"/>
      <c r="J354" s="16"/>
      <c r="K354" s="13"/>
      <c r="L354" s="13"/>
      <c r="M354" s="13"/>
      <c r="N354" s="13"/>
      <c r="O354" s="13"/>
      <c r="P354" s="13"/>
      <c r="Q354" s="13"/>
      <c r="R354" s="13"/>
      <c r="S354" s="13"/>
      <c r="T354" s="13"/>
      <c r="U354" s="13"/>
      <c r="V354" s="13"/>
      <c r="W354" s="13"/>
      <c r="X354" s="13"/>
      <c r="Y354" s="13"/>
      <c r="Z354" s="13"/>
      <c r="AA354" s="13"/>
      <c r="AB354" s="13"/>
    </row>
    <row r="355" spans="1:28" ht="13.2">
      <c r="A355" s="53">
        <f t="shared" si="9"/>
        <v>0</v>
      </c>
      <c r="B355" s="13"/>
      <c r="C355" s="16"/>
      <c r="D355" s="16">
        <f t="shared" si="6"/>
        <v>0</v>
      </c>
      <c r="E355" s="16">
        <f t="shared" si="7"/>
        <v>0</v>
      </c>
      <c r="F355" s="16"/>
      <c r="G355" s="16"/>
      <c r="H355" s="16"/>
      <c r="I355" s="16"/>
      <c r="J355" s="16"/>
      <c r="K355" s="13"/>
      <c r="L355" s="13"/>
      <c r="M355" s="13"/>
      <c r="N355" s="13"/>
      <c r="O355" s="13"/>
      <c r="P355" s="13"/>
      <c r="Q355" s="13"/>
      <c r="R355" s="13"/>
      <c r="S355" s="13"/>
      <c r="T355" s="13"/>
      <c r="U355" s="13"/>
      <c r="V355" s="13"/>
      <c r="W355" s="13"/>
      <c r="X355" s="13"/>
      <c r="Y355" s="13"/>
      <c r="Z355" s="13"/>
      <c r="AA355" s="13"/>
      <c r="AB355" s="13"/>
    </row>
    <row r="356" spans="1:28" ht="13.2">
      <c r="A356" s="53">
        <f t="shared" si="9"/>
        <v>0</v>
      </c>
      <c r="B356" s="13"/>
      <c r="C356" s="16"/>
      <c r="D356" s="16">
        <f t="shared" si="6"/>
        <v>0</v>
      </c>
      <c r="E356" s="16">
        <f t="shared" si="7"/>
        <v>0</v>
      </c>
      <c r="F356" s="16"/>
      <c r="G356" s="16"/>
      <c r="H356" s="16"/>
      <c r="I356" s="16"/>
      <c r="J356" s="16"/>
      <c r="K356" s="13"/>
      <c r="L356" s="13"/>
      <c r="M356" s="13"/>
      <c r="N356" s="13"/>
      <c r="O356" s="13"/>
      <c r="P356" s="13"/>
      <c r="Q356" s="13"/>
      <c r="R356" s="13"/>
      <c r="S356" s="13"/>
      <c r="T356" s="13"/>
      <c r="U356" s="13"/>
      <c r="V356" s="13"/>
      <c r="W356" s="13"/>
      <c r="X356" s="13"/>
      <c r="Y356" s="13"/>
      <c r="Z356" s="13"/>
      <c r="AA356" s="13"/>
      <c r="AB356" s="13"/>
    </row>
    <row r="357" spans="1:28" ht="13.2">
      <c r="A357" s="53">
        <f t="shared" si="9"/>
        <v>0</v>
      </c>
      <c r="B357" s="13"/>
      <c r="C357" s="16"/>
      <c r="D357" s="16">
        <f t="shared" si="6"/>
        <v>0</v>
      </c>
      <c r="E357" s="16">
        <f t="shared" si="7"/>
        <v>0</v>
      </c>
      <c r="F357" s="16"/>
      <c r="G357" s="16"/>
      <c r="H357" s="16"/>
      <c r="I357" s="16"/>
      <c r="J357" s="16"/>
      <c r="K357" s="13"/>
      <c r="L357" s="13"/>
      <c r="M357" s="13"/>
      <c r="N357" s="13"/>
      <c r="O357" s="13"/>
      <c r="P357" s="13"/>
      <c r="Q357" s="13"/>
      <c r="R357" s="13"/>
      <c r="S357" s="13"/>
      <c r="T357" s="13"/>
      <c r="U357" s="13"/>
      <c r="V357" s="13"/>
      <c r="W357" s="13"/>
      <c r="X357" s="13"/>
      <c r="Y357" s="13"/>
      <c r="Z357" s="13"/>
      <c r="AA357" s="13"/>
      <c r="AB357" s="13"/>
    </row>
    <row r="358" spans="1:28" ht="13.2">
      <c r="A358" s="53">
        <f t="shared" si="9"/>
        <v>0</v>
      </c>
      <c r="B358" s="13"/>
      <c r="C358" s="16"/>
      <c r="D358" s="16">
        <f t="shared" si="6"/>
        <v>0</v>
      </c>
      <c r="E358" s="16">
        <f t="shared" si="7"/>
        <v>0</v>
      </c>
      <c r="F358" s="16"/>
      <c r="G358" s="16"/>
      <c r="H358" s="16"/>
      <c r="I358" s="16"/>
      <c r="J358" s="16"/>
      <c r="K358" s="13"/>
      <c r="L358" s="13"/>
      <c r="M358" s="13"/>
      <c r="N358" s="13"/>
      <c r="O358" s="13"/>
      <c r="P358" s="13"/>
      <c r="Q358" s="13"/>
      <c r="R358" s="13"/>
      <c r="S358" s="13"/>
      <c r="T358" s="13"/>
      <c r="U358" s="13"/>
      <c r="V358" s="13"/>
      <c r="W358" s="13"/>
      <c r="X358" s="13"/>
      <c r="Y358" s="13"/>
      <c r="Z358" s="13"/>
      <c r="AA358" s="13"/>
      <c r="AB358" s="13"/>
    </row>
    <row r="359" spans="1:28" ht="13.2">
      <c r="A359" s="53">
        <f t="shared" si="9"/>
        <v>0</v>
      </c>
      <c r="B359" s="13"/>
      <c r="C359" s="16"/>
      <c r="D359" s="16">
        <f t="shared" si="6"/>
        <v>0</v>
      </c>
      <c r="E359" s="16">
        <f t="shared" si="7"/>
        <v>0</v>
      </c>
      <c r="F359" s="16"/>
      <c r="G359" s="16"/>
      <c r="H359" s="16"/>
      <c r="I359" s="16"/>
      <c r="J359" s="16"/>
      <c r="K359" s="13"/>
      <c r="L359" s="13"/>
      <c r="M359" s="13"/>
      <c r="N359" s="13"/>
      <c r="O359" s="13"/>
      <c r="P359" s="13"/>
      <c r="Q359" s="13"/>
      <c r="R359" s="13"/>
      <c r="S359" s="13"/>
      <c r="T359" s="13"/>
      <c r="U359" s="13"/>
      <c r="V359" s="13"/>
      <c r="W359" s="13"/>
      <c r="X359" s="13"/>
      <c r="Y359" s="13"/>
      <c r="Z359" s="13"/>
      <c r="AA359" s="13"/>
      <c r="AB359" s="13"/>
    </row>
    <row r="360" spans="1:28" ht="13.2">
      <c r="A360" s="53">
        <f t="shared" si="9"/>
        <v>0</v>
      </c>
      <c r="B360" s="13"/>
      <c r="C360" s="16"/>
      <c r="D360" s="16">
        <f t="shared" si="6"/>
        <v>0</v>
      </c>
      <c r="E360" s="16">
        <f t="shared" si="7"/>
        <v>0</v>
      </c>
      <c r="F360" s="16"/>
      <c r="G360" s="16"/>
      <c r="H360" s="16"/>
      <c r="I360" s="16"/>
      <c r="J360" s="16"/>
      <c r="K360" s="13"/>
      <c r="L360" s="13"/>
      <c r="M360" s="13"/>
      <c r="N360" s="13"/>
      <c r="O360" s="13"/>
      <c r="P360" s="13"/>
      <c r="Q360" s="13"/>
      <c r="R360" s="13"/>
      <c r="S360" s="13"/>
      <c r="T360" s="13"/>
      <c r="U360" s="13"/>
      <c r="V360" s="13"/>
      <c r="W360" s="13"/>
      <c r="X360" s="13"/>
      <c r="Y360" s="13"/>
      <c r="Z360" s="13"/>
      <c r="AA360" s="13"/>
      <c r="AB360" s="13"/>
    </row>
    <row r="361" spans="1:28" ht="13.2">
      <c r="A361" s="53">
        <f t="shared" si="9"/>
        <v>0</v>
      </c>
      <c r="B361" s="13"/>
      <c r="C361" s="16"/>
      <c r="D361" s="16">
        <f t="shared" si="6"/>
        <v>0</v>
      </c>
      <c r="E361" s="16">
        <f t="shared" si="7"/>
        <v>0</v>
      </c>
      <c r="F361" s="16"/>
      <c r="G361" s="16"/>
      <c r="H361" s="16"/>
      <c r="I361" s="16"/>
      <c r="J361" s="16"/>
      <c r="K361" s="13"/>
      <c r="L361" s="13"/>
      <c r="M361" s="13"/>
      <c r="N361" s="13"/>
      <c r="O361" s="13"/>
      <c r="P361" s="13"/>
      <c r="Q361" s="13"/>
      <c r="R361" s="13"/>
      <c r="S361" s="13"/>
      <c r="T361" s="13"/>
      <c r="U361" s="13"/>
      <c r="V361" s="13"/>
      <c r="W361" s="13"/>
      <c r="X361" s="13"/>
      <c r="Y361" s="13"/>
      <c r="Z361" s="13"/>
      <c r="AA361" s="13"/>
      <c r="AB361" s="13"/>
    </row>
    <row r="362" spans="1:28" ht="13.2">
      <c r="A362" s="53">
        <f t="shared" si="9"/>
        <v>0</v>
      </c>
      <c r="B362" s="13"/>
      <c r="C362" s="16"/>
      <c r="D362" s="16">
        <f t="shared" si="6"/>
        <v>0</v>
      </c>
      <c r="E362" s="16">
        <f t="shared" si="7"/>
        <v>0</v>
      </c>
      <c r="F362" s="16"/>
      <c r="G362" s="16"/>
      <c r="H362" s="16"/>
      <c r="I362" s="16"/>
      <c r="J362" s="16"/>
      <c r="K362" s="13"/>
      <c r="L362" s="13"/>
      <c r="M362" s="13"/>
      <c r="N362" s="13"/>
      <c r="O362" s="13"/>
      <c r="P362" s="13"/>
      <c r="Q362" s="13"/>
      <c r="R362" s="13"/>
      <c r="S362" s="13"/>
      <c r="T362" s="13"/>
      <c r="U362" s="13"/>
      <c r="V362" s="13"/>
      <c r="W362" s="13"/>
      <c r="X362" s="13"/>
      <c r="Y362" s="13"/>
      <c r="Z362" s="13"/>
      <c r="AA362" s="13"/>
      <c r="AB362" s="13"/>
    </row>
    <row r="363" spans="1:28" ht="13.2">
      <c r="A363" s="53">
        <f t="shared" si="9"/>
        <v>0</v>
      </c>
      <c r="B363" s="13"/>
      <c r="C363" s="16"/>
      <c r="D363" s="16">
        <f t="shared" si="6"/>
        <v>0</v>
      </c>
      <c r="E363" s="16">
        <f t="shared" si="7"/>
        <v>0</v>
      </c>
      <c r="F363" s="16"/>
      <c r="G363" s="16"/>
      <c r="H363" s="16"/>
      <c r="I363" s="16"/>
      <c r="J363" s="16"/>
      <c r="K363" s="13"/>
      <c r="L363" s="13"/>
      <c r="M363" s="13"/>
      <c r="N363" s="13"/>
      <c r="O363" s="13"/>
      <c r="P363" s="13"/>
      <c r="Q363" s="13"/>
      <c r="R363" s="13"/>
      <c r="S363" s="13"/>
      <c r="T363" s="13"/>
      <c r="U363" s="13"/>
      <c r="V363" s="13"/>
      <c r="W363" s="13"/>
      <c r="X363" s="13"/>
      <c r="Y363" s="13"/>
      <c r="Z363" s="13"/>
      <c r="AA363" s="13"/>
      <c r="AB363" s="13"/>
    </row>
    <row r="364" spans="1:28" ht="13.2">
      <c r="A364" s="53">
        <f t="shared" si="9"/>
        <v>0</v>
      </c>
      <c r="B364" s="13"/>
      <c r="C364" s="16"/>
      <c r="D364" s="16">
        <f t="shared" si="6"/>
        <v>0</v>
      </c>
      <c r="E364" s="16">
        <f t="shared" si="7"/>
        <v>0</v>
      </c>
      <c r="F364" s="16"/>
      <c r="G364" s="16"/>
      <c r="H364" s="16"/>
      <c r="I364" s="16"/>
      <c r="J364" s="16"/>
      <c r="K364" s="13"/>
      <c r="L364" s="13"/>
      <c r="M364" s="13"/>
      <c r="N364" s="13"/>
      <c r="O364" s="13"/>
      <c r="P364" s="13"/>
      <c r="Q364" s="13"/>
      <c r="R364" s="13"/>
      <c r="S364" s="13"/>
      <c r="T364" s="13"/>
      <c r="U364" s="13"/>
      <c r="V364" s="13"/>
      <c r="W364" s="13"/>
      <c r="X364" s="13"/>
      <c r="Y364" s="13"/>
      <c r="Z364" s="13"/>
      <c r="AA364" s="13"/>
      <c r="AB364" s="13"/>
    </row>
    <row r="365" spans="1:28" ht="13.2">
      <c r="A365" s="53">
        <f t="shared" si="9"/>
        <v>0</v>
      </c>
      <c r="B365" s="13"/>
      <c r="C365" s="16"/>
      <c r="D365" s="16">
        <f t="shared" si="6"/>
        <v>0</v>
      </c>
      <c r="E365" s="16">
        <f t="shared" si="7"/>
        <v>0</v>
      </c>
      <c r="F365" s="16"/>
      <c r="G365" s="16"/>
      <c r="H365" s="16"/>
      <c r="I365" s="16"/>
      <c r="J365" s="16"/>
      <c r="K365" s="13"/>
      <c r="L365" s="13"/>
      <c r="M365" s="13"/>
      <c r="N365" s="13"/>
      <c r="O365" s="13"/>
      <c r="P365" s="13"/>
      <c r="Q365" s="13"/>
      <c r="R365" s="13"/>
      <c r="S365" s="13"/>
      <c r="T365" s="13"/>
      <c r="U365" s="13"/>
      <c r="V365" s="13"/>
      <c r="W365" s="13"/>
      <c r="X365" s="13"/>
      <c r="Y365" s="13"/>
      <c r="Z365" s="13"/>
      <c r="AA365" s="13"/>
      <c r="AB365" s="13"/>
    </row>
    <row r="366" spans="1:28" ht="13.2">
      <c r="A366" s="53">
        <f t="shared" si="9"/>
        <v>0</v>
      </c>
      <c r="B366" s="13"/>
      <c r="C366" s="16"/>
      <c r="D366" s="16">
        <f t="shared" si="6"/>
        <v>0</v>
      </c>
      <c r="E366" s="16">
        <f t="shared" si="7"/>
        <v>0</v>
      </c>
      <c r="F366" s="16"/>
      <c r="G366" s="16"/>
      <c r="H366" s="16"/>
      <c r="I366" s="16"/>
      <c r="J366" s="16"/>
      <c r="K366" s="13"/>
      <c r="L366" s="13"/>
      <c r="M366" s="13"/>
      <c r="N366" s="13"/>
      <c r="O366" s="13"/>
      <c r="P366" s="13"/>
      <c r="Q366" s="13"/>
      <c r="R366" s="13"/>
      <c r="S366" s="13"/>
      <c r="T366" s="13"/>
      <c r="U366" s="13"/>
      <c r="V366" s="13"/>
      <c r="W366" s="13"/>
      <c r="X366" s="13"/>
      <c r="Y366" s="13"/>
      <c r="Z366" s="13"/>
      <c r="AA366" s="13"/>
      <c r="AB366" s="13"/>
    </row>
    <row r="367" spans="1:28" ht="13.2">
      <c r="A367" s="53">
        <f t="shared" si="9"/>
        <v>0</v>
      </c>
      <c r="B367" s="13"/>
      <c r="C367" s="16"/>
      <c r="D367" s="16">
        <f t="shared" si="6"/>
        <v>0</v>
      </c>
      <c r="E367" s="16">
        <f t="shared" si="7"/>
        <v>0</v>
      </c>
      <c r="F367" s="16"/>
      <c r="G367" s="16"/>
      <c r="H367" s="16"/>
      <c r="I367" s="16"/>
      <c r="J367" s="16"/>
      <c r="K367" s="13"/>
      <c r="L367" s="13"/>
      <c r="M367" s="13"/>
      <c r="N367" s="13"/>
      <c r="O367" s="13"/>
      <c r="P367" s="13"/>
      <c r="Q367" s="13"/>
      <c r="R367" s="13"/>
      <c r="S367" s="13"/>
      <c r="T367" s="13"/>
      <c r="U367" s="13"/>
      <c r="V367" s="13"/>
      <c r="W367" s="13"/>
      <c r="X367" s="13"/>
      <c r="Y367" s="13"/>
      <c r="Z367" s="13"/>
      <c r="AA367" s="13"/>
      <c r="AB367" s="13"/>
    </row>
    <row r="368" spans="1:28" ht="13.2">
      <c r="A368" s="53">
        <f t="shared" si="9"/>
        <v>0</v>
      </c>
      <c r="B368" s="13"/>
      <c r="C368" s="16"/>
      <c r="D368" s="16">
        <f t="shared" si="6"/>
        <v>0</v>
      </c>
      <c r="E368" s="16">
        <f t="shared" si="7"/>
        <v>0</v>
      </c>
      <c r="F368" s="16"/>
      <c r="G368" s="16"/>
      <c r="H368" s="16"/>
      <c r="I368" s="16"/>
      <c r="J368" s="16"/>
      <c r="K368" s="13"/>
      <c r="L368" s="13"/>
      <c r="M368" s="13"/>
      <c r="N368" s="13"/>
      <c r="O368" s="13"/>
      <c r="P368" s="13"/>
      <c r="Q368" s="13"/>
      <c r="R368" s="13"/>
      <c r="S368" s="13"/>
      <c r="T368" s="13"/>
      <c r="U368" s="13"/>
      <c r="V368" s="13"/>
      <c r="W368" s="13"/>
      <c r="X368" s="13"/>
      <c r="Y368" s="13"/>
      <c r="Z368" s="13"/>
      <c r="AA368" s="13"/>
      <c r="AB368" s="13"/>
    </row>
    <row r="369" spans="1:28" ht="13.2">
      <c r="A369" s="53">
        <f t="shared" si="9"/>
        <v>0</v>
      </c>
      <c r="B369" s="13"/>
      <c r="C369" s="16"/>
      <c r="D369" s="16">
        <f t="shared" si="6"/>
        <v>0</v>
      </c>
      <c r="E369" s="16">
        <f t="shared" si="7"/>
        <v>0</v>
      </c>
      <c r="F369" s="16"/>
      <c r="G369" s="16"/>
      <c r="H369" s="16"/>
      <c r="I369" s="16"/>
      <c r="J369" s="16"/>
      <c r="K369" s="13"/>
      <c r="L369" s="13"/>
      <c r="M369" s="13"/>
      <c r="N369" s="13"/>
      <c r="O369" s="13"/>
      <c r="P369" s="13"/>
      <c r="Q369" s="13"/>
      <c r="R369" s="13"/>
      <c r="S369" s="13"/>
      <c r="T369" s="13"/>
      <c r="U369" s="13"/>
      <c r="V369" s="13"/>
      <c r="W369" s="13"/>
      <c r="X369" s="13"/>
      <c r="Y369" s="13"/>
      <c r="Z369" s="13"/>
      <c r="AA369" s="13"/>
      <c r="AB369" s="13"/>
    </row>
    <row r="370" spans="1:28" ht="13.2">
      <c r="A370" s="53">
        <f t="shared" si="9"/>
        <v>0</v>
      </c>
      <c r="B370" s="13"/>
      <c r="C370" s="16"/>
      <c r="D370" s="16">
        <f t="shared" si="6"/>
        <v>0</v>
      </c>
      <c r="E370" s="16">
        <f t="shared" si="7"/>
        <v>0</v>
      </c>
      <c r="F370" s="16"/>
      <c r="G370" s="16"/>
      <c r="H370" s="16"/>
      <c r="I370" s="16"/>
      <c r="J370" s="16"/>
      <c r="K370" s="13"/>
      <c r="L370" s="13"/>
      <c r="M370" s="13"/>
      <c r="N370" s="13"/>
      <c r="O370" s="13"/>
      <c r="P370" s="13"/>
      <c r="Q370" s="13"/>
      <c r="R370" s="13"/>
      <c r="S370" s="13"/>
      <c r="T370" s="13"/>
      <c r="U370" s="13"/>
      <c r="V370" s="13"/>
      <c r="W370" s="13"/>
      <c r="X370" s="13"/>
      <c r="Y370" s="13"/>
      <c r="Z370" s="13"/>
      <c r="AA370" s="13"/>
      <c r="AB370" s="13"/>
    </row>
    <row r="371" spans="1:28" ht="13.2">
      <c r="A371" s="53">
        <f t="shared" si="9"/>
        <v>0</v>
      </c>
      <c r="B371" s="13"/>
      <c r="C371" s="16"/>
      <c r="D371" s="16">
        <f t="shared" si="6"/>
        <v>0</v>
      </c>
      <c r="E371" s="16">
        <f t="shared" si="7"/>
        <v>0</v>
      </c>
      <c r="F371" s="16"/>
      <c r="G371" s="16"/>
      <c r="H371" s="16"/>
      <c r="I371" s="16"/>
      <c r="J371" s="16"/>
      <c r="K371" s="13"/>
      <c r="L371" s="13"/>
      <c r="M371" s="13"/>
      <c r="N371" s="13"/>
      <c r="O371" s="13"/>
      <c r="P371" s="13"/>
      <c r="Q371" s="13"/>
      <c r="R371" s="13"/>
      <c r="S371" s="13"/>
      <c r="T371" s="13"/>
      <c r="U371" s="13"/>
      <c r="V371" s="13"/>
      <c r="W371" s="13"/>
      <c r="X371" s="13"/>
      <c r="Y371" s="13"/>
      <c r="Z371" s="13"/>
      <c r="AA371" s="13"/>
      <c r="AB371" s="13"/>
    </row>
    <row r="372" spans="1:28" ht="13.2">
      <c r="A372" s="53">
        <f t="shared" si="9"/>
        <v>0</v>
      </c>
      <c r="B372" s="13"/>
      <c r="C372" s="16"/>
      <c r="D372" s="16">
        <f t="shared" si="6"/>
        <v>0</v>
      </c>
      <c r="E372" s="16">
        <f t="shared" si="7"/>
        <v>0</v>
      </c>
      <c r="F372" s="16"/>
      <c r="G372" s="16"/>
      <c r="H372" s="16"/>
      <c r="I372" s="16"/>
      <c r="J372" s="16"/>
      <c r="K372" s="13"/>
      <c r="L372" s="13"/>
      <c r="M372" s="13"/>
      <c r="N372" s="13"/>
      <c r="O372" s="13"/>
      <c r="P372" s="13"/>
      <c r="Q372" s="13"/>
      <c r="R372" s="13"/>
      <c r="S372" s="13"/>
      <c r="T372" s="13"/>
      <c r="U372" s="13"/>
      <c r="V372" s="13"/>
      <c r="W372" s="13"/>
      <c r="X372" s="13"/>
      <c r="Y372" s="13"/>
      <c r="Z372" s="13"/>
      <c r="AA372" s="13"/>
      <c r="AB372" s="13"/>
    </row>
    <row r="373" spans="1:28" ht="13.2">
      <c r="A373" s="53">
        <f t="shared" si="9"/>
        <v>0</v>
      </c>
      <c r="B373" s="13"/>
      <c r="C373" s="16"/>
      <c r="D373" s="16">
        <f t="shared" si="6"/>
        <v>0</v>
      </c>
      <c r="E373" s="16">
        <f t="shared" si="7"/>
        <v>0</v>
      </c>
      <c r="F373" s="16"/>
      <c r="G373" s="16"/>
      <c r="H373" s="16"/>
      <c r="I373" s="16"/>
      <c r="J373" s="16"/>
      <c r="K373" s="13"/>
      <c r="L373" s="13"/>
      <c r="M373" s="13"/>
      <c r="N373" s="13"/>
      <c r="O373" s="13"/>
      <c r="P373" s="13"/>
      <c r="Q373" s="13"/>
      <c r="R373" s="13"/>
      <c r="S373" s="13"/>
      <c r="T373" s="13"/>
      <c r="U373" s="13"/>
      <c r="V373" s="13"/>
      <c r="W373" s="13"/>
      <c r="X373" s="13"/>
      <c r="Y373" s="13"/>
      <c r="Z373" s="13"/>
      <c r="AA373" s="13"/>
      <c r="AB373" s="13"/>
    </row>
    <row r="374" spans="1:28" ht="13.2">
      <c r="A374" s="53">
        <f t="shared" si="9"/>
        <v>0</v>
      </c>
      <c r="B374" s="13"/>
      <c r="C374" s="16"/>
      <c r="D374" s="16">
        <f t="shared" si="6"/>
        <v>0</v>
      </c>
      <c r="E374" s="16">
        <f t="shared" si="7"/>
        <v>0</v>
      </c>
      <c r="F374" s="16"/>
      <c r="G374" s="16"/>
      <c r="H374" s="16"/>
      <c r="I374" s="16"/>
      <c r="J374" s="16"/>
      <c r="K374" s="13"/>
      <c r="L374" s="13"/>
      <c r="M374" s="13"/>
      <c r="N374" s="13"/>
      <c r="O374" s="13"/>
      <c r="P374" s="13"/>
      <c r="Q374" s="13"/>
      <c r="R374" s="13"/>
      <c r="S374" s="13"/>
      <c r="T374" s="13"/>
      <c r="U374" s="13"/>
      <c r="V374" s="13"/>
      <c r="W374" s="13"/>
      <c r="X374" s="13"/>
      <c r="Y374" s="13"/>
      <c r="Z374" s="13"/>
      <c r="AA374" s="13"/>
      <c r="AB374" s="13"/>
    </row>
    <row r="375" spans="1:28" ht="13.2">
      <c r="A375" s="53">
        <f t="shared" si="9"/>
        <v>0</v>
      </c>
      <c r="B375" s="13"/>
      <c r="C375" s="16"/>
      <c r="D375" s="16">
        <f t="shared" si="6"/>
        <v>0</v>
      </c>
      <c r="E375" s="16">
        <f t="shared" si="7"/>
        <v>0</v>
      </c>
      <c r="F375" s="16"/>
      <c r="G375" s="16"/>
      <c r="H375" s="16"/>
      <c r="I375" s="16"/>
      <c r="J375" s="16"/>
      <c r="K375" s="13"/>
      <c r="L375" s="13"/>
      <c r="M375" s="13"/>
      <c r="N375" s="13"/>
      <c r="O375" s="13"/>
      <c r="P375" s="13"/>
      <c r="Q375" s="13"/>
      <c r="R375" s="13"/>
      <c r="S375" s="13"/>
      <c r="T375" s="13"/>
      <c r="U375" s="13"/>
      <c r="V375" s="13"/>
      <c r="W375" s="13"/>
      <c r="X375" s="13"/>
      <c r="Y375" s="13"/>
      <c r="Z375" s="13"/>
      <c r="AA375" s="13"/>
      <c r="AB375" s="13"/>
    </row>
    <row r="376" spans="1:28" ht="13.2">
      <c r="A376" s="53">
        <f t="shared" si="9"/>
        <v>0</v>
      </c>
      <c r="B376" s="13"/>
      <c r="C376" s="16"/>
      <c r="D376" s="16">
        <f t="shared" si="6"/>
        <v>0</v>
      </c>
      <c r="E376" s="16">
        <f t="shared" si="7"/>
        <v>0</v>
      </c>
      <c r="F376" s="16"/>
      <c r="G376" s="16"/>
      <c r="H376" s="16"/>
      <c r="I376" s="16"/>
      <c r="J376" s="16"/>
      <c r="K376" s="13"/>
      <c r="L376" s="13"/>
      <c r="M376" s="13"/>
      <c r="N376" s="13"/>
      <c r="O376" s="13"/>
      <c r="P376" s="13"/>
      <c r="Q376" s="13"/>
      <c r="R376" s="13"/>
      <c r="S376" s="13"/>
      <c r="T376" s="13"/>
      <c r="U376" s="13"/>
      <c r="V376" s="13"/>
      <c r="W376" s="13"/>
      <c r="X376" s="13"/>
      <c r="Y376" s="13"/>
      <c r="Z376" s="13"/>
      <c r="AA376" s="13"/>
      <c r="AB376" s="13"/>
    </row>
    <row r="377" spans="1:28" ht="13.2">
      <c r="A377" s="53">
        <f t="shared" si="9"/>
        <v>0</v>
      </c>
      <c r="B377" s="13"/>
      <c r="C377" s="16"/>
      <c r="D377" s="16">
        <f t="shared" si="6"/>
        <v>0</v>
      </c>
      <c r="E377" s="16">
        <f t="shared" si="7"/>
        <v>0</v>
      </c>
      <c r="F377" s="16"/>
      <c r="G377" s="16"/>
      <c r="H377" s="16"/>
      <c r="I377" s="16"/>
      <c r="J377" s="16"/>
      <c r="K377" s="13"/>
      <c r="L377" s="13"/>
      <c r="M377" s="13"/>
      <c r="N377" s="13"/>
      <c r="O377" s="13"/>
      <c r="P377" s="13"/>
      <c r="Q377" s="13"/>
      <c r="R377" s="13"/>
      <c r="S377" s="13"/>
      <c r="T377" s="13"/>
      <c r="U377" s="13"/>
      <c r="V377" s="13"/>
      <c r="W377" s="13"/>
      <c r="X377" s="13"/>
      <c r="Y377" s="13"/>
      <c r="Z377" s="13"/>
      <c r="AA377" s="13"/>
      <c r="AB377" s="13"/>
    </row>
    <row r="378" spans="1:28" ht="13.2">
      <c r="A378" s="53">
        <f t="shared" si="9"/>
        <v>0</v>
      </c>
      <c r="B378" s="13"/>
      <c r="C378" s="16"/>
      <c r="D378" s="16">
        <f t="shared" si="6"/>
        <v>0</v>
      </c>
      <c r="E378" s="16">
        <f t="shared" si="7"/>
        <v>0</v>
      </c>
      <c r="F378" s="16"/>
      <c r="G378" s="16"/>
      <c r="H378" s="16"/>
      <c r="I378" s="16"/>
      <c r="J378" s="16"/>
      <c r="K378" s="13"/>
      <c r="L378" s="13"/>
      <c r="M378" s="13"/>
      <c r="N378" s="13"/>
      <c r="O378" s="13"/>
      <c r="P378" s="13"/>
      <c r="Q378" s="13"/>
      <c r="R378" s="13"/>
      <c r="S378" s="13"/>
      <c r="T378" s="13"/>
      <c r="U378" s="13"/>
      <c r="V378" s="13"/>
      <c r="W378" s="13"/>
      <c r="X378" s="13"/>
      <c r="Y378" s="13"/>
      <c r="Z378" s="13"/>
      <c r="AA378" s="13"/>
      <c r="AB378" s="13"/>
    </row>
    <row r="379" spans="1:28" ht="13.2">
      <c r="A379" s="53">
        <f t="shared" si="9"/>
        <v>0</v>
      </c>
      <c r="B379" s="13"/>
      <c r="C379" s="16"/>
      <c r="D379" s="16">
        <f t="shared" si="6"/>
        <v>0</v>
      </c>
      <c r="E379" s="16">
        <f t="shared" si="7"/>
        <v>0</v>
      </c>
      <c r="F379" s="16"/>
      <c r="G379" s="16"/>
      <c r="H379" s="16"/>
      <c r="I379" s="16"/>
      <c r="J379" s="16"/>
      <c r="K379" s="13"/>
      <c r="L379" s="13"/>
      <c r="M379" s="13"/>
      <c r="N379" s="13"/>
      <c r="O379" s="13"/>
      <c r="P379" s="13"/>
      <c r="Q379" s="13"/>
      <c r="R379" s="13"/>
      <c r="S379" s="13"/>
      <c r="T379" s="13"/>
      <c r="U379" s="13"/>
      <c r="V379" s="13"/>
      <c r="W379" s="13"/>
      <c r="X379" s="13"/>
      <c r="Y379" s="13"/>
      <c r="Z379" s="13"/>
      <c r="AA379" s="13"/>
      <c r="AB379" s="13"/>
    </row>
    <row r="380" spans="1:28" ht="13.2">
      <c r="A380" s="53">
        <f t="shared" si="9"/>
        <v>0</v>
      </c>
      <c r="B380" s="13"/>
      <c r="C380" s="16"/>
      <c r="D380" s="16">
        <f t="shared" si="6"/>
        <v>0</v>
      </c>
      <c r="E380" s="16">
        <f t="shared" si="7"/>
        <v>0</v>
      </c>
      <c r="F380" s="16"/>
      <c r="G380" s="16"/>
      <c r="H380" s="16"/>
      <c r="I380" s="16"/>
      <c r="J380" s="16"/>
      <c r="K380" s="13"/>
      <c r="L380" s="13"/>
      <c r="M380" s="13"/>
      <c r="N380" s="13"/>
      <c r="O380" s="13"/>
      <c r="P380" s="13"/>
      <c r="Q380" s="13"/>
      <c r="R380" s="13"/>
      <c r="S380" s="13"/>
      <c r="T380" s="13"/>
      <c r="U380" s="13"/>
      <c r="V380" s="13"/>
      <c r="W380" s="13"/>
      <c r="X380" s="13"/>
      <c r="Y380" s="13"/>
      <c r="Z380" s="13"/>
      <c r="AA380" s="13"/>
      <c r="AB380" s="13"/>
    </row>
    <row r="381" spans="1:28" ht="13.2">
      <c r="A381" s="53">
        <f t="shared" si="9"/>
        <v>0</v>
      </c>
      <c r="B381" s="13"/>
      <c r="C381" s="16"/>
      <c r="D381" s="16">
        <f t="shared" si="6"/>
        <v>0</v>
      </c>
      <c r="E381" s="16">
        <f t="shared" si="7"/>
        <v>0</v>
      </c>
      <c r="F381" s="16"/>
      <c r="G381" s="16"/>
      <c r="H381" s="16"/>
      <c r="I381" s="16"/>
      <c r="J381" s="16"/>
      <c r="K381" s="13"/>
      <c r="L381" s="13"/>
      <c r="M381" s="13"/>
      <c r="N381" s="13"/>
      <c r="O381" s="13"/>
      <c r="P381" s="13"/>
      <c r="Q381" s="13"/>
      <c r="R381" s="13"/>
      <c r="S381" s="13"/>
      <c r="T381" s="13"/>
      <c r="U381" s="13"/>
      <c r="V381" s="13"/>
      <c r="W381" s="13"/>
      <c r="X381" s="13"/>
      <c r="Y381" s="13"/>
      <c r="Z381" s="13"/>
      <c r="AA381" s="13"/>
      <c r="AB381" s="13"/>
    </row>
    <row r="382" spans="1:28" ht="13.2">
      <c r="A382" s="53">
        <f t="shared" si="9"/>
        <v>0</v>
      </c>
      <c r="B382" s="13"/>
      <c r="C382" s="16"/>
      <c r="D382" s="16">
        <f t="shared" si="6"/>
        <v>0</v>
      </c>
      <c r="E382" s="16">
        <f t="shared" si="7"/>
        <v>0</v>
      </c>
      <c r="F382" s="16"/>
      <c r="G382" s="16"/>
      <c r="H382" s="16"/>
      <c r="I382" s="16"/>
      <c r="J382" s="16"/>
      <c r="K382" s="13"/>
      <c r="L382" s="13"/>
      <c r="M382" s="13"/>
      <c r="N382" s="13"/>
      <c r="O382" s="13"/>
      <c r="P382" s="13"/>
      <c r="Q382" s="13"/>
      <c r="R382" s="13"/>
      <c r="S382" s="13"/>
      <c r="T382" s="13"/>
      <c r="U382" s="13"/>
      <c r="V382" s="13"/>
      <c r="W382" s="13"/>
      <c r="X382" s="13"/>
      <c r="Y382" s="13"/>
      <c r="Z382" s="13"/>
      <c r="AA382" s="13"/>
      <c r="AB382" s="13"/>
    </row>
    <row r="383" spans="1:28" ht="13.2">
      <c r="A383" s="53">
        <f t="shared" si="9"/>
        <v>0</v>
      </c>
      <c r="B383" s="13"/>
      <c r="C383" s="16"/>
      <c r="D383" s="16">
        <f t="shared" si="6"/>
        <v>0</v>
      </c>
      <c r="E383" s="16">
        <f t="shared" si="7"/>
        <v>0</v>
      </c>
      <c r="F383" s="16"/>
      <c r="G383" s="16"/>
      <c r="H383" s="16"/>
      <c r="I383" s="16"/>
      <c r="J383" s="16"/>
      <c r="K383" s="13"/>
      <c r="L383" s="13"/>
      <c r="M383" s="13"/>
      <c r="N383" s="13"/>
      <c r="O383" s="13"/>
      <c r="P383" s="13"/>
      <c r="Q383" s="13"/>
      <c r="R383" s="13"/>
      <c r="S383" s="13"/>
      <c r="T383" s="13"/>
      <c r="U383" s="13"/>
      <c r="V383" s="13"/>
      <c r="W383" s="13"/>
      <c r="X383" s="13"/>
      <c r="Y383" s="13"/>
      <c r="Z383" s="13"/>
      <c r="AA383" s="13"/>
      <c r="AB383" s="13"/>
    </row>
    <row r="384" spans="1:28" ht="13.2">
      <c r="A384" s="53">
        <f t="shared" si="9"/>
        <v>0</v>
      </c>
      <c r="B384" s="13"/>
      <c r="C384" s="16"/>
      <c r="D384" s="16">
        <f t="shared" si="6"/>
        <v>0</v>
      </c>
      <c r="E384" s="16">
        <f t="shared" si="7"/>
        <v>0</v>
      </c>
      <c r="F384" s="16"/>
      <c r="G384" s="16"/>
      <c r="H384" s="16"/>
      <c r="I384" s="16"/>
      <c r="J384" s="16"/>
      <c r="K384" s="13"/>
      <c r="L384" s="13"/>
      <c r="M384" s="13"/>
      <c r="N384" s="13"/>
      <c r="O384" s="13"/>
      <c r="P384" s="13"/>
      <c r="Q384" s="13"/>
      <c r="R384" s="13"/>
      <c r="S384" s="13"/>
      <c r="T384" s="13"/>
      <c r="U384" s="13"/>
      <c r="V384" s="13"/>
      <c r="W384" s="13"/>
      <c r="X384" s="13"/>
      <c r="Y384" s="13"/>
      <c r="Z384" s="13"/>
      <c r="AA384" s="13"/>
      <c r="AB384" s="13"/>
    </row>
    <row r="385" spans="1:28" ht="13.2">
      <c r="A385" s="53">
        <f t="shared" si="9"/>
        <v>0</v>
      </c>
      <c r="B385" s="13"/>
      <c r="C385" s="16"/>
      <c r="D385" s="16">
        <f t="shared" si="6"/>
        <v>0</v>
      </c>
      <c r="E385" s="16">
        <f t="shared" si="7"/>
        <v>0</v>
      </c>
      <c r="F385" s="16"/>
      <c r="G385" s="16"/>
      <c r="H385" s="16"/>
      <c r="I385" s="16"/>
      <c r="J385" s="16"/>
      <c r="K385" s="13"/>
      <c r="L385" s="13"/>
      <c r="M385" s="13"/>
      <c r="N385" s="13"/>
      <c r="O385" s="13"/>
      <c r="P385" s="13"/>
      <c r="Q385" s="13"/>
      <c r="R385" s="13"/>
      <c r="S385" s="13"/>
      <c r="T385" s="13"/>
      <c r="U385" s="13"/>
      <c r="V385" s="13"/>
      <c r="W385" s="13"/>
      <c r="X385" s="13"/>
      <c r="Y385" s="13"/>
      <c r="Z385" s="13"/>
      <c r="AA385" s="13"/>
      <c r="AB385" s="13"/>
    </row>
    <row r="386" spans="1:28" ht="13.2">
      <c r="A386" s="53">
        <f t="shared" si="9"/>
        <v>0</v>
      </c>
      <c r="B386" s="13"/>
      <c r="C386" s="16"/>
      <c r="D386" s="16">
        <f t="shared" si="6"/>
        <v>0</v>
      </c>
      <c r="E386" s="16">
        <f t="shared" si="7"/>
        <v>0</v>
      </c>
      <c r="F386" s="16"/>
      <c r="G386" s="16"/>
      <c r="H386" s="16"/>
      <c r="I386" s="16"/>
      <c r="J386" s="16"/>
      <c r="K386" s="13"/>
      <c r="L386" s="13"/>
      <c r="M386" s="13"/>
      <c r="N386" s="13"/>
      <c r="O386" s="13"/>
      <c r="P386" s="13"/>
      <c r="Q386" s="13"/>
      <c r="R386" s="13"/>
      <c r="S386" s="13"/>
      <c r="T386" s="13"/>
      <c r="U386" s="13"/>
      <c r="V386" s="13"/>
      <c r="W386" s="13"/>
      <c r="X386" s="13"/>
      <c r="Y386" s="13"/>
      <c r="Z386" s="13"/>
      <c r="AA386" s="13"/>
      <c r="AB386" s="13"/>
    </row>
    <row r="387" spans="1:28" ht="13.2">
      <c r="A387" s="53">
        <f t="shared" ref="A387:A450" si="10">IF(ISBLANK(B387),,A386+1)</f>
        <v>0</v>
      </c>
      <c r="B387" s="13"/>
      <c r="C387" s="16"/>
      <c r="D387" s="16">
        <f t="shared" si="6"/>
        <v>0</v>
      </c>
      <c r="E387" s="16">
        <f t="shared" si="7"/>
        <v>0</v>
      </c>
      <c r="F387" s="16"/>
      <c r="G387" s="16"/>
      <c r="H387" s="16"/>
      <c r="I387" s="16"/>
      <c r="J387" s="16"/>
      <c r="K387" s="13"/>
      <c r="L387" s="13"/>
      <c r="M387" s="13"/>
      <c r="N387" s="13"/>
      <c r="O387" s="13"/>
      <c r="P387" s="13"/>
      <c r="Q387" s="13"/>
      <c r="R387" s="13"/>
      <c r="S387" s="13"/>
      <c r="T387" s="13"/>
      <c r="U387" s="13"/>
      <c r="V387" s="13"/>
      <c r="W387" s="13"/>
      <c r="X387" s="13"/>
      <c r="Y387" s="13"/>
      <c r="Z387" s="13"/>
      <c r="AA387" s="13"/>
      <c r="AB387" s="13"/>
    </row>
    <row r="388" spans="1:28" ht="13.2">
      <c r="A388" s="53">
        <f t="shared" si="10"/>
        <v>0</v>
      </c>
      <c r="B388" s="13"/>
      <c r="C388" s="16"/>
      <c r="D388" s="16">
        <f t="shared" si="6"/>
        <v>0</v>
      </c>
      <c r="E388" s="16">
        <f t="shared" si="7"/>
        <v>0</v>
      </c>
      <c r="F388" s="16"/>
      <c r="G388" s="16"/>
      <c r="H388" s="16"/>
      <c r="I388" s="16"/>
      <c r="J388" s="16"/>
      <c r="K388" s="13"/>
      <c r="L388" s="13"/>
      <c r="M388" s="13"/>
      <c r="N388" s="13"/>
      <c r="O388" s="13"/>
      <c r="P388" s="13"/>
      <c r="Q388" s="13"/>
      <c r="R388" s="13"/>
      <c r="S388" s="13"/>
      <c r="T388" s="13"/>
      <c r="U388" s="13"/>
      <c r="V388" s="13"/>
      <c r="W388" s="13"/>
      <c r="X388" s="13"/>
      <c r="Y388" s="13"/>
      <c r="Z388" s="13"/>
      <c r="AA388" s="13"/>
      <c r="AB388" s="13"/>
    </row>
    <row r="389" spans="1:28" ht="13.2">
      <c r="A389" s="53">
        <f t="shared" si="10"/>
        <v>0</v>
      </c>
      <c r="B389" s="13"/>
      <c r="C389" s="16"/>
      <c r="D389" s="16">
        <f t="shared" si="6"/>
        <v>0</v>
      </c>
      <c r="E389" s="16">
        <f t="shared" si="7"/>
        <v>0</v>
      </c>
      <c r="F389" s="16"/>
      <c r="G389" s="16"/>
      <c r="H389" s="16"/>
      <c r="I389" s="16"/>
      <c r="J389" s="16"/>
      <c r="K389" s="13"/>
      <c r="L389" s="13"/>
      <c r="M389" s="13"/>
      <c r="N389" s="13"/>
      <c r="O389" s="13"/>
      <c r="P389" s="13"/>
      <c r="Q389" s="13"/>
      <c r="R389" s="13"/>
      <c r="S389" s="13"/>
      <c r="T389" s="13"/>
      <c r="U389" s="13"/>
      <c r="V389" s="13"/>
      <c r="W389" s="13"/>
      <c r="X389" s="13"/>
      <c r="Y389" s="13"/>
      <c r="Z389" s="13"/>
      <c r="AA389" s="13"/>
      <c r="AB389" s="13"/>
    </row>
    <row r="390" spans="1:28" ht="13.2">
      <c r="A390" s="53">
        <f t="shared" si="10"/>
        <v>0</v>
      </c>
      <c r="B390" s="13"/>
      <c r="C390" s="16"/>
      <c r="D390" s="16">
        <f t="shared" si="6"/>
        <v>0</v>
      </c>
      <c r="E390" s="16">
        <f t="shared" si="7"/>
        <v>0</v>
      </c>
      <c r="F390" s="16"/>
      <c r="G390" s="16"/>
      <c r="H390" s="16"/>
      <c r="I390" s="16"/>
      <c r="J390" s="16"/>
      <c r="K390" s="13"/>
      <c r="L390" s="13"/>
      <c r="M390" s="13"/>
      <c r="N390" s="13"/>
      <c r="O390" s="13"/>
      <c r="P390" s="13"/>
      <c r="Q390" s="13"/>
      <c r="R390" s="13"/>
      <c r="S390" s="13"/>
      <c r="T390" s="13"/>
      <c r="U390" s="13"/>
      <c r="V390" s="13"/>
      <c r="W390" s="13"/>
      <c r="X390" s="13"/>
      <c r="Y390" s="13"/>
      <c r="Z390" s="13"/>
      <c r="AA390" s="13"/>
      <c r="AB390" s="13"/>
    </row>
    <row r="391" spans="1:28" ht="13.2">
      <c r="A391" s="53">
        <f t="shared" si="10"/>
        <v>0</v>
      </c>
      <c r="B391" s="13"/>
      <c r="C391" s="16"/>
      <c r="D391" s="16">
        <f t="shared" si="6"/>
        <v>0</v>
      </c>
      <c r="E391" s="16">
        <f t="shared" si="7"/>
        <v>0</v>
      </c>
      <c r="F391" s="16"/>
      <c r="G391" s="16"/>
      <c r="H391" s="16"/>
      <c r="I391" s="16"/>
      <c r="J391" s="16"/>
      <c r="K391" s="13"/>
      <c r="L391" s="13"/>
      <c r="M391" s="13"/>
      <c r="N391" s="13"/>
      <c r="O391" s="13"/>
      <c r="P391" s="13"/>
      <c r="Q391" s="13"/>
      <c r="R391" s="13"/>
      <c r="S391" s="13"/>
      <c r="T391" s="13"/>
      <c r="U391" s="13"/>
      <c r="V391" s="13"/>
      <c r="W391" s="13"/>
      <c r="X391" s="13"/>
      <c r="Y391" s="13"/>
      <c r="Z391" s="13"/>
      <c r="AA391" s="13"/>
      <c r="AB391" s="13"/>
    </row>
    <row r="392" spans="1:28" ht="13.2">
      <c r="A392" s="53">
        <f t="shared" si="10"/>
        <v>0</v>
      </c>
      <c r="B392" s="13"/>
      <c r="C392" s="16"/>
      <c r="D392" s="16">
        <f t="shared" si="6"/>
        <v>0</v>
      </c>
      <c r="E392" s="16">
        <f t="shared" si="7"/>
        <v>0</v>
      </c>
      <c r="F392" s="16"/>
      <c r="G392" s="16"/>
      <c r="H392" s="16"/>
      <c r="I392" s="16"/>
      <c r="J392" s="16"/>
      <c r="K392" s="13"/>
      <c r="L392" s="13"/>
      <c r="M392" s="13"/>
      <c r="N392" s="13"/>
      <c r="O392" s="13"/>
      <c r="P392" s="13"/>
      <c r="Q392" s="13"/>
      <c r="R392" s="13"/>
      <c r="S392" s="13"/>
      <c r="T392" s="13"/>
      <c r="U392" s="13"/>
      <c r="V392" s="13"/>
      <c r="W392" s="13"/>
      <c r="X392" s="13"/>
      <c r="Y392" s="13"/>
      <c r="Z392" s="13"/>
      <c r="AA392" s="13"/>
      <c r="AB392" s="13"/>
    </row>
    <row r="393" spans="1:28" ht="13.2">
      <c r="A393" s="53">
        <f t="shared" si="10"/>
        <v>0</v>
      </c>
      <c r="B393" s="13"/>
      <c r="C393" s="16"/>
      <c r="D393" s="16">
        <f t="shared" si="6"/>
        <v>0</v>
      </c>
      <c r="E393" s="16">
        <f t="shared" si="7"/>
        <v>0</v>
      </c>
      <c r="F393" s="16"/>
      <c r="G393" s="16"/>
      <c r="H393" s="16"/>
      <c r="I393" s="16"/>
      <c r="J393" s="16"/>
      <c r="K393" s="13"/>
      <c r="L393" s="13"/>
      <c r="M393" s="13"/>
      <c r="N393" s="13"/>
      <c r="O393" s="13"/>
      <c r="P393" s="13"/>
      <c r="Q393" s="13"/>
      <c r="R393" s="13"/>
      <c r="S393" s="13"/>
      <c r="T393" s="13"/>
      <c r="U393" s="13"/>
      <c r="V393" s="13"/>
      <c r="W393" s="13"/>
      <c r="X393" s="13"/>
      <c r="Y393" s="13"/>
      <c r="Z393" s="13"/>
      <c r="AA393" s="13"/>
      <c r="AB393" s="13"/>
    </row>
    <row r="394" spans="1:28" ht="13.2">
      <c r="A394" s="53">
        <f t="shared" si="10"/>
        <v>0</v>
      </c>
      <c r="B394" s="13"/>
      <c r="C394" s="16"/>
      <c r="D394" s="16">
        <f t="shared" si="6"/>
        <v>0</v>
      </c>
      <c r="E394" s="16">
        <f t="shared" si="7"/>
        <v>0</v>
      </c>
      <c r="F394" s="16"/>
      <c r="G394" s="16"/>
      <c r="H394" s="16"/>
      <c r="I394" s="16"/>
      <c r="J394" s="16"/>
      <c r="K394" s="13"/>
      <c r="L394" s="13"/>
      <c r="M394" s="13"/>
      <c r="N394" s="13"/>
      <c r="O394" s="13"/>
      <c r="P394" s="13"/>
      <c r="Q394" s="13"/>
      <c r="R394" s="13"/>
      <c r="S394" s="13"/>
      <c r="T394" s="13"/>
      <c r="U394" s="13"/>
      <c r="V394" s="13"/>
      <c r="W394" s="13"/>
      <c r="X394" s="13"/>
      <c r="Y394" s="13"/>
      <c r="Z394" s="13"/>
      <c r="AA394" s="13"/>
      <c r="AB394" s="13"/>
    </row>
    <row r="395" spans="1:28" ht="13.2">
      <c r="A395" s="53">
        <f t="shared" si="10"/>
        <v>0</v>
      </c>
      <c r="B395" s="13"/>
      <c r="C395" s="16"/>
      <c r="D395" s="16">
        <f t="shared" si="6"/>
        <v>0</v>
      </c>
      <c r="E395" s="16">
        <f t="shared" si="7"/>
        <v>0</v>
      </c>
      <c r="F395" s="16"/>
      <c r="G395" s="16"/>
      <c r="H395" s="16"/>
      <c r="I395" s="16"/>
      <c r="J395" s="16"/>
      <c r="K395" s="13"/>
      <c r="L395" s="13"/>
      <c r="M395" s="13"/>
      <c r="N395" s="13"/>
      <c r="O395" s="13"/>
      <c r="P395" s="13"/>
      <c r="Q395" s="13"/>
      <c r="R395" s="13"/>
      <c r="S395" s="13"/>
      <c r="T395" s="13"/>
      <c r="U395" s="13"/>
      <c r="V395" s="13"/>
      <c r="W395" s="13"/>
      <c r="X395" s="13"/>
      <c r="Y395" s="13"/>
      <c r="Z395" s="13"/>
      <c r="AA395" s="13"/>
      <c r="AB395" s="13"/>
    </row>
    <row r="396" spans="1:28" ht="13.2">
      <c r="A396" s="53">
        <f t="shared" si="10"/>
        <v>0</v>
      </c>
      <c r="B396" s="13"/>
      <c r="C396" s="16"/>
      <c r="D396" s="16">
        <f t="shared" si="6"/>
        <v>0</v>
      </c>
      <c r="E396" s="16">
        <f t="shared" si="7"/>
        <v>0</v>
      </c>
      <c r="F396" s="16"/>
      <c r="G396" s="16"/>
      <c r="H396" s="16"/>
      <c r="I396" s="16"/>
      <c r="J396" s="16"/>
      <c r="K396" s="13"/>
      <c r="L396" s="13"/>
      <c r="M396" s="13"/>
      <c r="N396" s="13"/>
      <c r="O396" s="13"/>
      <c r="P396" s="13"/>
      <c r="Q396" s="13"/>
      <c r="R396" s="13"/>
      <c r="S396" s="13"/>
      <c r="T396" s="13"/>
      <c r="U396" s="13"/>
      <c r="V396" s="13"/>
      <c r="W396" s="13"/>
      <c r="X396" s="13"/>
      <c r="Y396" s="13"/>
      <c r="Z396" s="13"/>
      <c r="AA396" s="13"/>
      <c r="AB396" s="13"/>
    </row>
    <row r="397" spans="1:28" ht="13.2">
      <c r="A397" s="53">
        <f t="shared" si="10"/>
        <v>0</v>
      </c>
      <c r="B397" s="13"/>
      <c r="C397" s="16"/>
      <c r="D397" s="16">
        <f t="shared" si="6"/>
        <v>0</v>
      </c>
      <c r="E397" s="16">
        <f t="shared" si="7"/>
        <v>0</v>
      </c>
      <c r="F397" s="16"/>
      <c r="G397" s="16"/>
      <c r="H397" s="16"/>
      <c r="I397" s="16"/>
      <c r="J397" s="16"/>
      <c r="K397" s="13"/>
      <c r="L397" s="13"/>
      <c r="M397" s="13"/>
      <c r="N397" s="13"/>
      <c r="O397" s="13"/>
      <c r="P397" s="13"/>
      <c r="Q397" s="13"/>
      <c r="R397" s="13"/>
      <c r="S397" s="13"/>
      <c r="T397" s="13"/>
      <c r="U397" s="13"/>
      <c r="V397" s="13"/>
      <c r="W397" s="13"/>
      <c r="X397" s="13"/>
      <c r="Y397" s="13"/>
      <c r="Z397" s="13"/>
      <c r="AA397" s="13"/>
      <c r="AB397" s="13"/>
    </row>
    <row r="398" spans="1:28" ht="13.2">
      <c r="A398" s="53">
        <f t="shared" si="10"/>
        <v>0</v>
      </c>
      <c r="B398" s="13"/>
      <c r="C398" s="16"/>
      <c r="D398" s="16">
        <f t="shared" si="6"/>
        <v>0</v>
      </c>
      <c r="E398" s="16">
        <f t="shared" si="7"/>
        <v>0</v>
      </c>
      <c r="F398" s="16"/>
      <c r="G398" s="16"/>
      <c r="H398" s="16"/>
      <c r="I398" s="16"/>
      <c r="J398" s="16"/>
      <c r="K398" s="13"/>
      <c r="L398" s="13"/>
      <c r="M398" s="13"/>
      <c r="N398" s="13"/>
      <c r="O398" s="13"/>
      <c r="P398" s="13"/>
      <c r="Q398" s="13"/>
      <c r="R398" s="13"/>
      <c r="S398" s="13"/>
      <c r="T398" s="13"/>
      <c r="U398" s="13"/>
      <c r="V398" s="13"/>
      <c r="W398" s="13"/>
      <c r="X398" s="13"/>
      <c r="Y398" s="13"/>
      <c r="Z398" s="13"/>
      <c r="AA398" s="13"/>
      <c r="AB398" s="13"/>
    </row>
    <row r="399" spans="1:28" ht="13.2">
      <c r="A399" s="53">
        <f t="shared" si="10"/>
        <v>0</v>
      </c>
      <c r="B399" s="13"/>
      <c r="C399" s="16"/>
      <c r="D399" s="16">
        <f t="shared" si="6"/>
        <v>0</v>
      </c>
      <c r="E399" s="16">
        <f t="shared" si="7"/>
        <v>0</v>
      </c>
      <c r="F399" s="16"/>
      <c r="G399" s="16"/>
      <c r="H399" s="16"/>
      <c r="I399" s="16"/>
      <c r="J399" s="16"/>
      <c r="K399" s="13"/>
      <c r="L399" s="13"/>
      <c r="M399" s="13"/>
      <c r="N399" s="13"/>
      <c r="O399" s="13"/>
      <c r="P399" s="13"/>
      <c r="Q399" s="13"/>
      <c r="R399" s="13"/>
      <c r="S399" s="13"/>
      <c r="T399" s="13"/>
      <c r="U399" s="13"/>
      <c r="V399" s="13"/>
      <c r="W399" s="13"/>
      <c r="X399" s="13"/>
      <c r="Y399" s="13"/>
      <c r="Z399" s="13"/>
      <c r="AA399" s="13"/>
      <c r="AB399" s="13"/>
    </row>
    <row r="400" spans="1:28" ht="13.2">
      <c r="A400" s="53">
        <f t="shared" si="10"/>
        <v>0</v>
      </c>
      <c r="B400" s="13"/>
      <c r="C400" s="16"/>
      <c r="D400" s="16">
        <f t="shared" si="6"/>
        <v>0</v>
      </c>
      <c r="E400" s="16">
        <f t="shared" si="7"/>
        <v>0</v>
      </c>
      <c r="F400" s="16"/>
      <c r="G400" s="16"/>
      <c r="H400" s="16"/>
      <c r="I400" s="16"/>
      <c r="J400" s="16"/>
      <c r="K400" s="13"/>
      <c r="L400" s="13"/>
      <c r="M400" s="13"/>
      <c r="N400" s="13"/>
      <c r="O400" s="13"/>
      <c r="P400" s="13"/>
      <c r="Q400" s="13"/>
      <c r="R400" s="13"/>
      <c r="S400" s="13"/>
      <c r="T400" s="13"/>
      <c r="U400" s="13"/>
      <c r="V400" s="13"/>
      <c r="W400" s="13"/>
      <c r="X400" s="13"/>
      <c r="Y400" s="13"/>
      <c r="Z400" s="13"/>
      <c r="AA400" s="13"/>
      <c r="AB400" s="13"/>
    </row>
    <row r="401" spans="1:28" ht="13.2">
      <c r="A401" s="53">
        <f t="shared" si="10"/>
        <v>0</v>
      </c>
      <c r="B401" s="13"/>
      <c r="C401" s="16"/>
      <c r="D401" s="16">
        <f t="shared" si="6"/>
        <v>0</v>
      </c>
      <c r="E401" s="16">
        <f t="shared" si="7"/>
        <v>0</v>
      </c>
      <c r="F401" s="16"/>
      <c r="G401" s="16"/>
      <c r="H401" s="16"/>
      <c r="I401" s="16"/>
      <c r="J401" s="16"/>
      <c r="K401" s="13"/>
      <c r="L401" s="13"/>
      <c r="M401" s="13"/>
      <c r="N401" s="13"/>
      <c r="O401" s="13"/>
      <c r="P401" s="13"/>
      <c r="Q401" s="13"/>
      <c r="R401" s="13"/>
      <c r="S401" s="13"/>
      <c r="T401" s="13"/>
      <c r="U401" s="13"/>
      <c r="V401" s="13"/>
      <c r="W401" s="13"/>
      <c r="X401" s="13"/>
      <c r="Y401" s="13"/>
      <c r="Z401" s="13"/>
      <c r="AA401" s="13"/>
      <c r="AB401" s="13"/>
    </row>
    <row r="402" spans="1:28" ht="13.2">
      <c r="A402" s="53">
        <f t="shared" si="10"/>
        <v>0</v>
      </c>
      <c r="B402" s="13"/>
      <c r="C402" s="16"/>
      <c r="D402" s="16">
        <f t="shared" si="6"/>
        <v>0</v>
      </c>
      <c r="E402" s="16">
        <f t="shared" si="7"/>
        <v>0</v>
      </c>
      <c r="F402" s="16"/>
      <c r="G402" s="16"/>
      <c r="H402" s="16"/>
      <c r="I402" s="16"/>
      <c r="J402" s="16"/>
      <c r="K402" s="13"/>
      <c r="L402" s="13"/>
      <c r="M402" s="13"/>
      <c r="N402" s="13"/>
      <c r="O402" s="13"/>
      <c r="P402" s="13"/>
      <c r="Q402" s="13"/>
      <c r="R402" s="13"/>
      <c r="S402" s="13"/>
      <c r="T402" s="13"/>
      <c r="U402" s="13"/>
      <c r="V402" s="13"/>
      <c r="W402" s="13"/>
      <c r="X402" s="13"/>
      <c r="Y402" s="13"/>
      <c r="Z402" s="13"/>
      <c r="AA402" s="13"/>
      <c r="AB402" s="13"/>
    </row>
    <row r="403" spans="1:28" ht="13.2">
      <c r="A403" s="53">
        <f t="shared" si="10"/>
        <v>0</v>
      </c>
      <c r="B403" s="13"/>
      <c r="C403" s="16"/>
      <c r="D403" s="16">
        <f t="shared" si="6"/>
        <v>0</v>
      </c>
      <c r="E403" s="16">
        <f t="shared" si="7"/>
        <v>0</v>
      </c>
      <c r="F403" s="16"/>
      <c r="G403" s="16"/>
      <c r="H403" s="16"/>
      <c r="I403" s="16"/>
      <c r="J403" s="16"/>
      <c r="K403" s="13"/>
      <c r="L403" s="13"/>
      <c r="M403" s="13"/>
      <c r="N403" s="13"/>
      <c r="O403" s="13"/>
      <c r="P403" s="13"/>
      <c r="Q403" s="13"/>
      <c r="R403" s="13"/>
      <c r="S403" s="13"/>
      <c r="T403" s="13"/>
      <c r="U403" s="13"/>
      <c r="V403" s="13"/>
      <c r="W403" s="13"/>
      <c r="X403" s="13"/>
      <c r="Y403" s="13"/>
      <c r="Z403" s="13"/>
      <c r="AA403" s="13"/>
      <c r="AB403" s="13"/>
    </row>
    <row r="404" spans="1:28" ht="13.2">
      <c r="A404" s="53">
        <f t="shared" si="10"/>
        <v>0</v>
      </c>
      <c r="B404" s="13"/>
      <c r="C404" s="16"/>
      <c r="D404" s="16">
        <f t="shared" si="6"/>
        <v>0</v>
      </c>
      <c r="E404" s="16">
        <f t="shared" si="7"/>
        <v>0</v>
      </c>
      <c r="F404" s="16"/>
      <c r="G404" s="16"/>
      <c r="H404" s="16"/>
      <c r="I404" s="16"/>
      <c r="J404" s="16"/>
      <c r="K404" s="13"/>
      <c r="L404" s="13"/>
      <c r="M404" s="13"/>
      <c r="N404" s="13"/>
      <c r="O404" s="13"/>
      <c r="P404" s="13"/>
      <c r="Q404" s="13"/>
      <c r="R404" s="13"/>
      <c r="S404" s="13"/>
      <c r="T404" s="13"/>
      <c r="U404" s="13"/>
      <c r="V404" s="13"/>
      <c r="W404" s="13"/>
      <c r="X404" s="13"/>
      <c r="Y404" s="13"/>
      <c r="Z404" s="13"/>
      <c r="AA404" s="13"/>
      <c r="AB404" s="13"/>
    </row>
    <row r="405" spans="1:28" ht="13.2">
      <c r="A405" s="53">
        <f t="shared" si="10"/>
        <v>0</v>
      </c>
      <c r="B405" s="13"/>
      <c r="C405" s="16"/>
      <c r="D405" s="16">
        <f t="shared" si="6"/>
        <v>0</v>
      </c>
      <c r="E405" s="16">
        <f t="shared" si="7"/>
        <v>0</v>
      </c>
      <c r="F405" s="16"/>
      <c r="G405" s="16"/>
      <c r="H405" s="16"/>
      <c r="I405" s="16"/>
      <c r="J405" s="16"/>
      <c r="K405" s="13"/>
      <c r="L405" s="13"/>
      <c r="M405" s="13"/>
      <c r="N405" s="13"/>
      <c r="O405" s="13"/>
      <c r="P405" s="13"/>
      <c r="Q405" s="13"/>
      <c r="R405" s="13"/>
      <c r="S405" s="13"/>
      <c r="T405" s="13"/>
      <c r="U405" s="13"/>
      <c r="V405" s="13"/>
      <c r="W405" s="13"/>
      <c r="X405" s="13"/>
      <c r="Y405" s="13"/>
      <c r="Z405" s="13"/>
      <c r="AA405" s="13"/>
      <c r="AB405" s="13"/>
    </row>
    <row r="406" spans="1:28" ht="13.2">
      <c r="A406" s="53">
        <f t="shared" si="10"/>
        <v>0</v>
      </c>
      <c r="B406" s="13"/>
      <c r="C406" s="16"/>
      <c r="D406" s="16">
        <f t="shared" si="6"/>
        <v>0</v>
      </c>
      <c r="E406" s="16">
        <f t="shared" si="7"/>
        <v>0</v>
      </c>
      <c r="F406" s="16"/>
      <c r="G406" s="16"/>
      <c r="H406" s="16"/>
      <c r="I406" s="16"/>
      <c r="J406" s="16"/>
      <c r="K406" s="13"/>
      <c r="L406" s="13"/>
      <c r="M406" s="13"/>
      <c r="N406" s="13"/>
      <c r="O406" s="13"/>
      <c r="P406" s="13"/>
      <c r="Q406" s="13"/>
      <c r="R406" s="13"/>
      <c r="S406" s="13"/>
      <c r="T406" s="13"/>
      <c r="U406" s="13"/>
      <c r="V406" s="13"/>
      <c r="W406" s="13"/>
      <c r="X406" s="13"/>
      <c r="Y406" s="13"/>
      <c r="Z406" s="13"/>
      <c r="AA406" s="13"/>
      <c r="AB406" s="13"/>
    </row>
    <row r="407" spans="1:28" ht="13.2">
      <c r="A407" s="53">
        <f t="shared" si="10"/>
        <v>0</v>
      </c>
      <c r="B407" s="13"/>
      <c r="C407" s="16"/>
      <c r="D407" s="16">
        <f t="shared" si="6"/>
        <v>0</v>
      </c>
      <c r="E407" s="16">
        <f t="shared" si="7"/>
        <v>0</v>
      </c>
      <c r="F407" s="16"/>
      <c r="G407" s="16"/>
      <c r="H407" s="16"/>
      <c r="I407" s="16"/>
      <c r="J407" s="16"/>
      <c r="K407" s="13"/>
      <c r="L407" s="13"/>
      <c r="M407" s="13"/>
      <c r="N407" s="13"/>
      <c r="O407" s="13"/>
      <c r="P407" s="13"/>
      <c r="Q407" s="13"/>
      <c r="R407" s="13"/>
      <c r="S407" s="13"/>
      <c r="T407" s="13"/>
      <c r="U407" s="13"/>
      <c r="V407" s="13"/>
      <c r="W407" s="13"/>
      <c r="X407" s="13"/>
      <c r="Y407" s="13"/>
      <c r="Z407" s="13"/>
      <c r="AA407" s="13"/>
      <c r="AB407" s="13"/>
    </row>
    <row r="408" spans="1:28" ht="13.2">
      <c r="A408" s="53">
        <f t="shared" si="10"/>
        <v>0</v>
      </c>
      <c r="B408" s="13"/>
      <c r="C408" s="16"/>
      <c r="D408" s="16">
        <f t="shared" si="6"/>
        <v>0</v>
      </c>
      <c r="E408" s="16">
        <f t="shared" si="7"/>
        <v>0</v>
      </c>
      <c r="F408" s="16"/>
      <c r="G408" s="16"/>
      <c r="H408" s="16"/>
      <c r="I408" s="16"/>
      <c r="J408" s="16"/>
      <c r="K408" s="13"/>
      <c r="L408" s="13"/>
      <c r="M408" s="13"/>
      <c r="N408" s="13"/>
      <c r="O408" s="13"/>
      <c r="P408" s="13"/>
      <c r="Q408" s="13"/>
      <c r="R408" s="13"/>
      <c r="S408" s="13"/>
      <c r="T408" s="13"/>
      <c r="U408" s="13"/>
      <c r="V408" s="13"/>
      <c r="W408" s="13"/>
      <c r="X408" s="13"/>
      <c r="Y408" s="13"/>
      <c r="Z408" s="13"/>
      <c r="AA408" s="13"/>
      <c r="AB408" s="13"/>
    </row>
    <row r="409" spans="1:28" ht="13.2">
      <c r="A409" s="53">
        <f t="shared" si="10"/>
        <v>0</v>
      </c>
      <c r="B409" s="13"/>
      <c r="C409" s="16"/>
      <c r="D409" s="16">
        <f t="shared" si="6"/>
        <v>0</v>
      </c>
      <c r="E409" s="16">
        <f t="shared" si="7"/>
        <v>0</v>
      </c>
      <c r="F409" s="16"/>
      <c r="G409" s="16"/>
      <c r="H409" s="16"/>
      <c r="I409" s="16"/>
      <c r="J409" s="16"/>
      <c r="K409" s="13"/>
      <c r="L409" s="13"/>
      <c r="M409" s="13"/>
      <c r="N409" s="13"/>
      <c r="O409" s="13"/>
      <c r="P409" s="13"/>
      <c r="Q409" s="13"/>
      <c r="R409" s="13"/>
      <c r="S409" s="13"/>
      <c r="T409" s="13"/>
      <c r="U409" s="13"/>
      <c r="V409" s="13"/>
      <c r="W409" s="13"/>
      <c r="X409" s="13"/>
      <c r="Y409" s="13"/>
      <c r="Z409" s="13"/>
      <c r="AA409" s="13"/>
      <c r="AB409" s="13"/>
    </row>
    <row r="410" spans="1:28" ht="13.2">
      <c r="A410" s="53">
        <f t="shared" si="10"/>
        <v>0</v>
      </c>
      <c r="B410" s="13"/>
      <c r="C410" s="16"/>
      <c r="D410" s="16">
        <f t="shared" si="6"/>
        <v>0</v>
      </c>
      <c r="E410" s="16">
        <f t="shared" si="7"/>
        <v>0</v>
      </c>
      <c r="F410" s="16"/>
      <c r="G410" s="16"/>
      <c r="H410" s="16"/>
      <c r="I410" s="16"/>
      <c r="J410" s="16"/>
      <c r="K410" s="13"/>
      <c r="L410" s="13"/>
      <c r="M410" s="13"/>
      <c r="N410" s="13"/>
      <c r="O410" s="13"/>
      <c r="P410" s="13"/>
      <c r="Q410" s="13"/>
      <c r="R410" s="13"/>
      <c r="S410" s="13"/>
      <c r="T410" s="13"/>
      <c r="U410" s="13"/>
      <c r="V410" s="13"/>
      <c r="W410" s="13"/>
      <c r="X410" s="13"/>
      <c r="Y410" s="13"/>
      <c r="Z410" s="13"/>
      <c r="AA410" s="13"/>
      <c r="AB410" s="13"/>
    </row>
    <row r="411" spans="1:28" ht="13.2">
      <c r="A411" s="53">
        <f t="shared" si="10"/>
        <v>0</v>
      </c>
      <c r="B411" s="13"/>
      <c r="C411" s="16"/>
      <c r="D411" s="16">
        <f t="shared" si="6"/>
        <v>0</v>
      </c>
      <c r="E411" s="16">
        <f t="shared" si="7"/>
        <v>0</v>
      </c>
      <c r="F411" s="16"/>
      <c r="G411" s="16"/>
      <c r="H411" s="16"/>
      <c r="I411" s="16"/>
      <c r="J411" s="16"/>
      <c r="K411" s="13"/>
      <c r="L411" s="13"/>
      <c r="M411" s="13"/>
      <c r="N411" s="13"/>
      <c r="O411" s="13"/>
      <c r="P411" s="13"/>
      <c r="Q411" s="13"/>
      <c r="R411" s="13"/>
      <c r="S411" s="13"/>
      <c r="T411" s="13"/>
      <c r="U411" s="13"/>
      <c r="V411" s="13"/>
      <c r="W411" s="13"/>
      <c r="X411" s="13"/>
      <c r="Y411" s="13"/>
      <c r="Z411" s="13"/>
      <c r="AA411" s="13"/>
      <c r="AB411" s="13"/>
    </row>
    <row r="412" spans="1:28" ht="13.2">
      <c r="A412" s="53">
        <f t="shared" si="10"/>
        <v>0</v>
      </c>
      <c r="B412" s="13"/>
      <c r="C412" s="16"/>
      <c r="D412" s="16">
        <f t="shared" si="6"/>
        <v>0</v>
      </c>
      <c r="E412" s="16">
        <f t="shared" si="7"/>
        <v>0</v>
      </c>
      <c r="F412" s="16"/>
      <c r="G412" s="16"/>
      <c r="H412" s="16"/>
      <c r="I412" s="16"/>
      <c r="J412" s="16"/>
      <c r="K412" s="13"/>
      <c r="L412" s="13"/>
      <c r="M412" s="13"/>
      <c r="N412" s="13"/>
      <c r="O412" s="13"/>
      <c r="P412" s="13"/>
      <c r="Q412" s="13"/>
      <c r="R412" s="13"/>
      <c r="S412" s="13"/>
      <c r="T412" s="13"/>
      <c r="U412" s="13"/>
      <c r="V412" s="13"/>
      <c r="W412" s="13"/>
      <c r="X412" s="13"/>
      <c r="Y412" s="13"/>
      <c r="Z412" s="13"/>
      <c r="AA412" s="13"/>
      <c r="AB412" s="13"/>
    </row>
    <row r="413" spans="1:28" ht="13.2">
      <c r="A413" s="53">
        <f t="shared" si="10"/>
        <v>0</v>
      </c>
      <c r="B413" s="13"/>
      <c r="C413" s="16"/>
      <c r="D413" s="16">
        <f t="shared" si="6"/>
        <v>0</v>
      </c>
      <c r="E413" s="16">
        <f t="shared" si="7"/>
        <v>0</v>
      </c>
      <c r="F413" s="16"/>
      <c r="G413" s="16"/>
      <c r="H413" s="16"/>
      <c r="I413" s="16"/>
      <c r="J413" s="16"/>
      <c r="K413" s="13"/>
      <c r="L413" s="13"/>
      <c r="M413" s="13"/>
      <c r="N413" s="13"/>
      <c r="O413" s="13"/>
      <c r="P413" s="13"/>
      <c r="Q413" s="13"/>
      <c r="R413" s="13"/>
      <c r="S413" s="13"/>
      <c r="T413" s="13"/>
      <c r="U413" s="13"/>
      <c r="V413" s="13"/>
      <c r="W413" s="13"/>
      <c r="X413" s="13"/>
      <c r="Y413" s="13"/>
      <c r="Z413" s="13"/>
      <c r="AA413" s="13"/>
      <c r="AB413" s="13"/>
    </row>
    <row r="414" spans="1:28" ht="13.2">
      <c r="A414" s="53">
        <f t="shared" si="10"/>
        <v>0</v>
      </c>
      <c r="B414" s="13"/>
      <c r="C414" s="16"/>
      <c r="D414" s="16">
        <f t="shared" si="6"/>
        <v>0</v>
      </c>
      <c r="E414" s="16">
        <f t="shared" si="7"/>
        <v>0</v>
      </c>
      <c r="F414" s="16"/>
      <c r="G414" s="16"/>
      <c r="H414" s="16"/>
      <c r="I414" s="16"/>
      <c r="J414" s="16"/>
      <c r="K414" s="13"/>
      <c r="L414" s="13"/>
      <c r="M414" s="13"/>
      <c r="N414" s="13"/>
      <c r="O414" s="13"/>
      <c r="P414" s="13"/>
      <c r="Q414" s="13"/>
      <c r="R414" s="13"/>
      <c r="S414" s="13"/>
      <c r="T414" s="13"/>
      <c r="U414" s="13"/>
      <c r="V414" s="13"/>
      <c r="W414" s="13"/>
      <c r="X414" s="13"/>
      <c r="Y414" s="13"/>
      <c r="Z414" s="13"/>
      <c r="AA414" s="13"/>
      <c r="AB414" s="13"/>
    </row>
    <row r="415" spans="1:28" ht="13.2">
      <c r="A415" s="53">
        <f t="shared" si="10"/>
        <v>0</v>
      </c>
      <c r="B415" s="13"/>
      <c r="C415" s="16"/>
      <c r="D415" s="16">
        <f t="shared" si="6"/>
        <v>0</v>
      </c>
      <c r="E415" s="16">
        <f t="shared" si="7"/>
        <v>0</v>
      </c>
      <c r="F415" s="16"/>
      <c r="G415" s="16"/>
      <c r="H415" s="16"/>
      <c r="I415" s="16"/>
      <c r="J415" s="16"/>
      <c r="K415" s="13"/>
      <c r="L415" s="13"/>
      <c r="M415" s="13"/>
      <c r="N415" s="13"/>
      <c r="O415" s="13"/>
      <c r="P415" s="13"/>
      <c r="Q415" s="13"/>
      <c r="R415" s="13"/>
      <c r="S415" s="13"/>
      <c r="T415" s="13"/>
      <c r="U415" s="13"/>
      <c r="V415" s="13"/>
      <c r="W415" s="13"/>
      <c r="X415" s="13"/>
      <c r="Y415" s="13"/>
      <c r="Z415" s="13"/>
      <c r="AA415" s="13"/>
      <c r="AB415" s="13"/>
    </row>
    <row r="416" spans="1:28" ht="13.2">
      <c r="A416" s="53">
        <f t="shared" si="10"/>
        <v>0</v>
      </c>
      <c r="B416" s="13"/>
      <c r="C416" s="16"/>
      <c r="D416" s="16">
        <f t="shared" si="6"/>
        <v>0</v>
      </c>
      <c r="E416" s="16">
        <f t="shared" si="7"/>
        <v>0</v>
      </c>
      <c r="F416" s="16"/>
      <c r="G416" s="16"/>
      <c r="H416" s="16"/>
      <c r="I416" s="16"/>
      <c r="J416" s="16"/>
      <c r="K416" s="13"/>
      <c r="L416" s="13"/>
      <c r="M416" s="13"/>
      <c r="N416" s="13"/>
      <c r="O416" s="13"/>
      <c r="P416" s="13"/>
      <c r="Q416" s="13"/>
      <c r="R416" s="13"/>
      <c r="S416" s="13"/>
      <c r="T416" s="13"/>
      <c r="U416" s="13"/>
      <c r="V416" s="13"/>
      <c r="W416" s="13"/>
      <c r="X416" s="13"/>
      <c r="Y416" s="13"/>
      <c r="Z416" s="13"/>
      <c r="AA416" s="13"/>
      <c r="AB416" s="13"/>
    </row>
    <row r="417" spans="1:28" ht="13.2">
      <c r="A417" s="53">
        <f t="shared" si="10"/>
        <v>0</v>
      </c>
      <c r="B417" s="13"/>
      <c r="C417" s="16"/>
      <c r="D417" s="16">
        <f t="shared" si="6"/>
        <v>0</v>
      </c>
      <c r="E417" s="16">
        <f t="shared" si="7"/>
        <v>0</v>
      </c>
      <c r="F417" s="16"/>
      <c r="G417" s="16"/>
      <c r="H417" s="16"/>
      <c r="I417" s="16"/>
      <c r="J417" s="16"/>
      <c r="K417" s="13"/>
      <c r="L417" s="13"/>
      <c r="M417" s="13"/>
      <c r="N417" s="13"/>
      <c r="O417" s="13"/>
      <c r="P417" s="13"/>
      <c r="Q417" s="13"/>
      <c r="R417" s="13"/>
      <c r="S417" s="13"/>
      <c r="T417" s="13"/>
      <c r="U417" s="13"/>
      <c r="V417" s="13"/>
      <c r="W417" s="13"/>
      <c r="X417" s="13"/>
      <c r="Y417" s="13"/>
      <c r="Z417" s="13"/>
      <c r="AA417" s="13"/>
      <c r="AB417" s="13"/>
    </row>
    <row r="418" spans="1:28" ht="13.2">
      <c r="A418" s="53">
        <f t="shared" si="10"/>
        <v>0</v>
      </c>
      <c r="B418" s="13"/>
      <c r="C418" s="16"/>
      <c r="D418" s="16">
        <f t="shared" si="6"/>
        <v>0</v>
      </c>
      <c r="E418" s="16">
        <f t="shared" si="7"/>
        <v>0</v>
      </c>
      <c r="F418" s="16"/>
      <c r="G418" s="16"/>
      <c r="H418" s="16"/>
      <c r="I418" s="16"/>
      <c r="J418" s="16"/>
      <c r="K418" s="13"/>
      <c r="L418" s="13"/>
      <c r="M418" s="13"/>
      <c r="N418" s="13"/>
      <c r="O418" s="13"/>
      <c r="P418" s="13"/>
      <c r="Q418" s="13"/>
      <c r="R418" s="13"/>
      <c r="S418" s="13"/>
      <c r="T418" s="13"/>
      <c r="U418" s="13"/>
      <c r="V418" s="13"/>
      <c r="W418" s="13"/>
      <c r="X418" s="13"/>
      <c r="Y418" s="13"/>
      <c r="Z418" s="13"/>
      <c r="AA418" s="13"/>
      <c r="AB418" s="13"/>
    </row>
    <row r="419" spans="1:28" ht="13.2">
      <c r="A419" s="53">
        <f t="shared" si="10"/>
        <v>0</v>
      </c>
      <c r="B419" s="13"/>
      <c r="C419" s="16"/>
      <c r="D419" s="16">
        <f t="shared" si="6"/>
        <v>0</v>
      </c>
      <c r="E419" s="16">
        <f t="shared" si="7"/>
        <v>0</v>
      </c>
      <c r="F419" s="16"/>
      <c r="G419" s="16"/>
      <c r="H419" s="16"/>
      <c r="I419" s="16"/>
      <c r="J419" s="16"/>
      <c r="K419" s="13"/>
      <c r="L419" s="13"/>
      <c r="M419" s="13"/>
      <c r="N419" s="13"/>
      <c r="O419" s="13"/>
      <c r="P419" s="13"/>
      <c r="Q419" s="13"/>
      <c r="R419" s="13"/>
      <c r="S419" s="13"/>
      <c r="T419" s="13"/>
      <c r="U419" s="13"/>
      <c r="V419" s="13"/>
      <c r="W419" s="13"/>
      <c r="X419" s="13"/>
      <c r="Y419" s="13"/>
      <c r="Z419" s="13"/>
      <c r="AA419" s="13"/>
      <c r="AB419" s="13"/>
    </row>
    <row r="420" spans="1:28" ht="13.2">
      <c r="A420" s="53">
        <f t="shared" si="10"/>
        <v>0</v>
      </c>
      <c r="B420" s="13"/>
      <c r="C420" s="16"/>
      <c r="D420" s="16">
        <f t="shared" si="6"/>
        <v>0</v>
      </c>
      <c r="E420" s="16">
        <f t="shared" si="7"/>
        <v>0</v>
      </c>
      <c r="F420" s="16"/>
      <c r="G420" s="16"/>
      <c r="H420" s="16"/>
      <c r="I420" s="16"/>
      <c r="J420" s="16"/>
      <c r="K420" s="13"/>
      <c r="L420" s="13"/>
      <c r="M420" s="13"/>
      <c r="N420" s="13"/>
      <c r="O420" s="13"/>
      <c r="P420" s="13"/>
      <c r="Q420" s="13"/>
      <c r="R420" s="13"/>
      <c r="S420" s="13"/>
      <c r="T420" s="13"/>
      <c r="U420" s="13"/>
      <c r="V420" s="13"/>
      <c r="W420" s="13"/>
      <c r="X420" s="13"/>
      <c r="Y420" s="13"/>
      <c r="Z420" s="13"/>
      <c r="AA420" s="13"/>
      <c r="AB420" s="13"/>
    </row>
    <row r="421" spans="1:28" ht="13.2">
      <c r="A421" s="53">
        <f t="shared" si="10"/>
        <v>0</v>
      </c>
      <c r="B421" s="13"/>
      <c r="C421" s="16"/>
      <c r="D421" s="16">
        <f t="shared" si="6"/>
        <v>0</v>
      </c>
      <c r="E421" s="16">
        <f t="shared" si="7"/>
        <v>0</v>
      </c>
      <c r="F421" s="16"/>
      <c r="G421" s="16"/>
      <c r="H421" s="16"/>
      <c r="I421" s="16"/>
      <c r="J421" s="16"/>
      <c r="K421" s="13"/>
      <c r="L421" s="13"/>
      <c r="M421" s="13"/>
      <c r="N421" s="13"/>
      <c r="O421" s="13"/>
      <c r="P421" s="13"/>
      <c r="Q421" s="13"/>
      <c r="R421" s="13"/>
      <c r="S421" s="13"/>
      <c r="T421" s="13"/>
      <c r="U421" s="13"/>
      <c r="V421" s="13"/>
      <c r="W421" s="13"/>
      <c r="X421" s="13"/>
      <c r="Y421" s="13"/>
      <c r="Z421" s="13"/>
      <c r="AA421" s="13"/>
      <c r="AB421" s="13"/>
    </row>
    <row r="422" spans="1:28" ht="13.2">
      <c r="A422" s="53">
        <f t="shared" si="10"/>
        <v>0</v>
      </c>
      <c r="B422" s="13"/>
      <c r="C422" s="16"/>
      <c r="D422" s="16">
        <f t="shared" si="6"/>
        <v>0</v>
      </c>
      <c r="E422" s="16">
        <f t="shared" si="7"/>
        <v>0</v>
      </c>
      <c r="F422" s="16"/>
      <c r="G422" s="16"/>
      <c r="H422" s="16"/>
      <c r="I422" s="16"/>
      <c r="J422" s="16"/>
      <c r="K422" s="13"/>
      <c r="L422" s="13"/>
      <c r="M422" s="13"/>
      <c r="N422" s="13"/>
      <c r="O422" s="13"/>
      <c r="P422" s="13"/>
      <c r="Q422" s="13"/>
      <c r="R422" s="13"/>
      <c r="S422" s="13"/>
      <c r="T422" s="13"/>
      <c r="U422" s="13"/>
      <c r="V422" s="13"/>
      <c r="W422" s="13"/>
      <c r="X422" s="13"/>
      <c r="Y422" s="13"/>
      <c r="Z422" s="13"/>
      <c r="AA422" s="13"/>
      <c r="AB422" s="13"/>
    </row>
    <row r="423" spans="1:28" ht="13.2">
      <c r="A423" s="53">
        <f t="shared" si="10"/>
        <v>0</v>
      </c>
      <c r="B423" s="13"/>
      <c r="C423" s="16"/>
      <c r="D423" s="16">
        <f t="shared" si="6"/>
        <v>0</v>
      </c>
      <c r="E423" s="16">
        <f t="shared" si="7"/>
        <v>0</v>
      </c>
      <c r="F423" s="16"/>
      <c r="G423" s="16"/>
      <c r="H423" s="16"/>
      <c r="I423" s="16"/>
      <c r="J423" s="16"/>
      <c r="K423" s="13"/>
      <c r="L423" s="13"/>
      <c r="M423" s="13"/>
      <c r="N423" s="13"/>
      <c r="O423" s="13"/>
      <c r="P423" s="13"/>
      <c r="Q423" s="13"/>
      <c r="R423" s="13"/>
      <c r="S423" s="13"/>
      <c r="T423" s="13"/>
      <c r="U423" s="13"/>
      <c r="V423" s="13"/>
      <c r="W423" s="13"/>
      <c r="X423" s="13"/>
      <c r="Y423" s="13"/>
      <c r="Z423" s="13"/>
      <c r="AA423" s="13"/>
      <c r="AB423" s="13"/>
    </row>
    <row r="424" spans="1:28" ht="13.2">
      <c r="A424" s="53">
        <f t="shared" si="10"/>
        <v>0</v>
      </c>
      <c r="B424" s="13"/>
      <c r="C424" s="16"/>
      <c r="D424" s="16">
        <f t="shared" si="6"/>
        <v>0</v>
      </c>
      <c r="E424" s="16">
        <f t="shared" si="7"/>
        <v>0</v>
      </c>
      <c r="F424" s="16"/>
      <c r="G424" s="16"/>
      <c r="H424" s="16"/>
      <c r="I424" s="16"/>
      <c r="J424" s="16"/>
      <c r="K424" s="13"/>
      <c r="L424" s="13"/>
      <c r="M424" s="13"/>
      <c r="N424" s="13"/>
      <c r="O424" s="13"/>
      <c r="P424" s="13"/>
      <c r="Q424" s="13"/>
      <c r="R424" s="13"/>
      <c r="S424" s="13"/>
      <c r="T424" s="13"/>
      <c r="U424" s="13"/>
      <c r="V424" s="13"/>
      <c r="W424" s="13"/>
      <c r="X424" s="13"/>
      <c r="Y424" s="13"/>
      <c r="Z424" s="13"/>
      <c r="AA424" s="13"/>
      <c r="AB424" s="13"/>
    </row>
    <row r="425" spans="1:28" ht="13.2">
      <c r="A425" s="53">
        <f t="shared" si="10"/>
        <v>0</v>
      </c>
      <c r="B425" s="13"/>
      <c r="C425" s="16"/>
      <c r="D425" s="16">
        <f t="shared" si="6"/>
        <v>0</v>
      </c>
      <c r="E425" s="16">
        <f t="shared" si="7"/>
        <v>0</v>
      </c>
      <c r="F425" s="16"/>
      <c r="G425" s="16"/>
      <c r="H425" s="16"/>
      <c r="I425" s="16"/>
      <c r="J425" s="16"/>
      <c r="K425" s="13"/>
      <c r="L425" s="13"/>
      <c r="M425" s="13"/>
      <c r="N425" s="13"/>
      <c r="O425" s="13"/>
      <c r="P425" s="13"/>
      <c r="Q425" s="13"/>
      <c r="R425" s="13"/>
      <c r="S425" s="13"/>
      <c r="T425" s="13"/>
      <c r="U425" s="13"/>
      <c r="V425" s="13"/>
      <c r="W425" s="13"/>
      <c r="X425" s="13"/>
      <c r="Y425" s="13"/>
      <c r="Z425" s="13"/>
      <c r="AA425" s="13"/>
      <c r="AB425" s="13"/>
    </row>
    <row r="426" spans="1:28" ht="13.2">
      <c r="A426" s="53">
        <f t="shared" si="10"/>
        <v>0</v>
      </c>
      <c r="B426" s="13"/>
      <c r="C426" s="16"/>
      <c r="D426" s="16">
        <f t="shared" si="6"/>
        <v>0</v>
      </c>
      <c r="E426" s="16">
        <f t="shared" si="7"/>
        <v>0</v>
      </c>
      <c r="F426" s="16"/>
      <c r="G426" s="16"/>
      <c r="H426" s="16"/>
      <c r="I426" s="16"/>
      <c r="J426" s="16"/>
      <c r="K426" s="13"/>
      <c r="L426" s="13"/>
      <c r="M426" s="13"/>
      <c r="N426" s="13"/>
      <c r="O426" s="13"/>
      <c r="P426" s="13"/>
      <c r="Q426" s="13"/>
      <c r="R426" s="13"/>
      <c r="S426" s="13"/>
      <c r="T426" s="13"/>
      <c r="U426" s="13"/>
      <c r="V426" s="13"/>
      <c r="W426" s="13"/>
      <c r="X426" s="13"/>
      <c r="Y426" s="13"/>
      <c r="Z426" s="13"/>
      <c r="AA426" s="13"/>
      <c r="AB426" s="13"/>
    </row>
    <row r="427" spans="1:28" ht="13.2">
      <c r="A427" s="53">
        <f t="shared" si="10"/>
        <v>0</v>
      </c>
      <c r="B427" s="13"/>
      <c r="C427" s="16"/>
      <c r="D427" s="16">
        <f t="shared" si="6"/>
        <v>0</v>
      </c>
      <c r="E427" s="16">
        <f t="shared" si="7"/>
        <v>0</v>
      </c>
      <c r="F427" s="16"/>
      <c r="G427" s="16"/>
      <c r="H427" s="16"/>
      <c r="I427" s="16"/>
      <c r="J427" s="16"/>
      <c r="K427" s="13"/>
      <c r="L427" s="13"/>
      <c r="M427" s="13"/>
      <c r="N427" s="13"/>
      <c r="O427" s="13"/>
      <c r="P427" s="13"/>
      <c r="Q427" s="13"/>
      <c r="R427" s="13"/>
      <c r="S427" s="13"/>
      <c r="T427" s="13"/>
      <c r="U427" s="13"/>
      <c r="V427" s="13"/>
      <c r="W427" s="13"/>
      <c r="X427" s="13"/>
      <c r="Y427" s="13"/>
      <c r="Z427" s="13"/>
      <c r="AA427" s="13"/>
      <c r="AB427" s="13"/>
    </row>
    <row r="428" spans="1:28" ht="13.2">
      <c r="A428" s="53">
        <f t="shared" si="10"/>
        <v>0</v>
      </c>
      <c r="B428" s="13"/>
      <c r="C428" s="16"/>
      <c r="D428" s="16">
        <f t="shared" si="6"/>
        <v>0</v>
      </c>
      <c r="E428" s="16">
        <f t="shared" si="7"/>
        <v>0</v>
      </c>
      <c r="F428" s="16"/>
      <c r="G428" s="16"/>
      <c r="H428" s="16"/>
      <c r="I428" s="16"/>
      <c r="J428" s="16"/>
      <c r="K428" s="13"/>
      <c r="L428" s="13"/>
      <c r="M428" s="13"/>
      <c r="N428" s="13"/>
      <c r="O428" s="13"/>
      <c r="P428" s="13"/>
      <c r="Q428" s="13"/>
      <c r="R428" s="13"/>
      <c r="S428" s="13"/>
      <c r="T428" s="13"/>
      <c r="U428" s="13"/>
      <c r="V428" s="13"/>
      <c r="W428" s="13"/>
      <c r="X428" s="13"/>
      <c r="Y428" s="13"/>
      <c r="Z428" s="13"/>
      <c r="AA428" s="13"/>
      <c r="AB428" s="13"/>
    </row>
    <row r="429" spans="1:28" ht="13.2">
      <c r="A429" s="53">
        <f t="shared" si="10"/>
        <v>0</v>
      </c>
      <c r="B429" s="13"/>
      <c r="C429" s="16"/>
      <c r="D429" s="16">
        <f t="shared" si="6"/>
        <v>0</v>
      </c>
      <c r="E429" s="16">
        <f t="shared" si="7"/>
        <v>0</v>
      </c>
      <c r="F429" s="16"/>
      <c r="G429" s="16"/>
      <c r="H429" s="16"/>
      <c r="I429" s="16"/>
      <c r="J429" s="16"/>
      <c r="K429" s="13"/>
      <c r="L429" s="13"/>
      <c r="M429" s="13"/>
      <c r="N429" s="13"/>
      <c r="O429" s="13"/>
      <c r="P429" s="13"/>
      <c r="Q429" s="13"/>
      <c r="R429" s="13"/>
      <c r="S429" s="13"/>
      <c r="T429" s="13"/>
      <c r="U429" s="13"/>
      <c r="V429" s="13"/>
      <c r="W429" s="13"/>
      <c r="X429" s="13"/>
      <c r="Y429" s="13"/>
      <c r="Z429" s="13"/>
      <c r="AA429" s="13"/>
      <c r="AB429" s="13"/>
    </row>
    <row r="430" spans="1:28" ht="13.2">
      <c r="A430" s="53">
        <f t="shared" si="10"/>
        <v>0</v>
      </c>
      <c r="B430" s="13"/>
      <c r="C430" s="16"/>
      <c r="D430" s="16">
        <f t="shared" si="6"/>
        <v>0</v>
      </c>
      <c r="E430" s="16">
        <f t="shared" si="7"/>
        <v>0</v>
      </c>
      <c r="F430" s="16"/>
      <c r="G430" s="16"/>
      <c r="H430" s="16"/>
      <c r="I430" s="16"/>
      <c r="J430" s="16"/>
      <c r="K430" s="13"/>
      <c r="L430" s="13"/>
      <c r="M430" s="13"/>
      <c r="N430" s="13"/>
      <c r="O430" s="13"/>
      <c r="P430" s="13"/>
      <c r="Q430" s="13"/>
      <c r="R430" s="13"/>
      <c r="S430" s="13"/>
      <c r="T430" s="13"/>
      <c r="U430" s="13"/>
      <c r="V430" s="13"/>
      <c r="W430" s="13"/>
      <c r="X430" s="13"/>
      <c r="Y430" s="13"/>
      <c r="Z430" s="13"/>
      <c r="AA430" s="13"/>
      <c r="AB430" s="13"/>
    </row>
    <row r="431" spans="1:28" ht="13.2">
      <c r="A431" s="53">
        <f t="shared" si="10"/>
        <v>0</v>
      </c>
      <c r="B431" s="13"/>
      <c r="C431" s="16"/>
      <c r="D431" s="16">
        <f t="shared" si="6"/>
        <v>0</v>
      </c>
      <c r="E431" s="16">
        <f t="shared" si="7"/>
        <v>0</v>
      </c>
      <c r="F431" s="16"/>
      <c r="G431" s="16"/>
      <c r="H431" s="16"/>
      <c r="I431" s="16"/>
      <c r="J431" s="16"/>
      <c r="K431" s="13"/>
      <c r="L431" s="13"/>
      <c r="M431" s="13"/>
      <c r="N431" s="13"/>
      <c r="O431" s="13"/>
      <c r="P431" s="13"/>
      <c r="Q431" s="13"/>
      <c r="R431" s="13"/>
      <c r="S431" s="13"/>
      <c r="T431" s="13"/>
      <c r="U431" s="13"/>
      <c r="V431" s="13"/>
      <c r="W431" s="13"/>
      <c r="X431" s="13"/>
      <c r="Y431" s="13"/>
      <c r="Z431" s="13"/>
      <c r="AA431" s="13"/>
      <c r="AB431" s="13"/>
    </row>
    <row r="432" spans="1:28" ht="13.2">
      <c r="A432" s="53">
        <f t="shared" si="10"/>
        <v>0</v>
      </c>
      <c r="B432" s="13"/>
      <c r="C432" s="16"/>
      <c r="D432" s="16">
        <f t="shared" si="6"/>
        <v>0</v>
      </c>
      <c r="E432" s="16">
        <f t="shared" si="7"/>
        <v>0</v>
      </c>
      <c r="F432" s="16"/>
      <c r="G432" s="16"/>
      <c r="H432" s="16"/>
      <c r="I432" s="16"/>
      <c r="J432" s="16"/>
      <c r="K432" s="13"/>
      <c r="L432" s="13"/>
      <c r="M432" s="13"/>
      <c r="N432" s="13"/>
      <c r="O432" s="13"/>
      <c r="P432" s="13"/>
      <c r="Q432" s="13"/>
      <c r="R432" s="13"/>
      <c r="S432" s="13"/>
      <c r="T432" s="13"/>
      <c r="U432" s="13"/>
      <c r="V432" s="13"/>
      <c r="W432" s="13"/>
      <c r="X432" s="13"/>
      <c r="Y432" s="13"/>
      <c r="Z432" s="13"/>
      <c r="AA432" s="13"/>
      <c r="AB432" s="13"/>
    </row>
    <row r="433" spans="1:28" ht="13.2">
      <c r="A433" s="53">
        <f t="shared" si="10"/>
        <v>0</v>
      </c>
      <c r="B433" s="13"/>
      <c r="C433" s="16"/>
      <c r="D433" s="16">
        <f t="shared" si="6"/>
        <v>0</v>
      </c>
      <c r="E433" s="16">
        <f t="shared" si="7"/>
        <v>0</v>
      </c>
      <c r="F433" s="16"/>
      <c r="G433" s="16"/>
      <c r="H433" s="16"/>
      <c r="I433" s="16"/>
      <c r="J433" s="16"/>
      <c r="K433" s="13"/>
      <c r="L433" s="13"/>
      <c r="M433" s="13"/>
      <c r="N433" s="13"/>
      <c r="O433" s="13"/>
      <c r="P433" s="13"/>
      <c r="Q433" s="13"/>
      <c r="R433" s="13"/>
      <c r="S433" s="13"/>
      <c r="T433" s="13"/>
      <c r="U433" s="13"/>
      <c r="V433" s="13"/>
      <c r="W433" s="13"/>
      <c r="X433" s="13"/>
      <c r="Y433" s="13"/>
      <c r="Z433" s="13"/>
      <c r="AA433" s="13"/>
      <c r="AB433" s="13"/>
    </row>
    <row r="434" spans="1:28" ht="13.2">
      <c r="A434" s="53">
        <f t="shared" si="10"/>
        <v>0</v>
      </c>
      <c r="B434" s="13"/>
      <c r="C434" s="16"/>
      <c r="D434" s="16">
        <f t="shared" si="6"/>
        <v>0</v>
      </c>
      <c r="E434" s="16">
        <f t="shared" si="7"/>
        <v>0</v>
      </c>
      <c r="F434" s="16"/>
      <c r="G434" s="16"/>
      <c r="H434" s="16"/>
      <c r="I434" s="16"/>
      <c r="J434" s="16"/>
      <c r="K434" s="13"/>
      <c r="L434" s="13"/>
      <c r="M434" s="13"/>
      <c r="N434" s="13"/>
      <c r="O434" s="13"/>
      <c r="P434" s="13"/>
      <c r="Q434" s="13"/>
      <c r="R434" s="13"/>
      <c r="S434" s="13"/>
      <c r="T434" s="13"/>
      <c r="U434" s="13"/>
      <c r="V434" s="13"/>
      <c r="W434" s="13"/>
      <c r="X434" s="13"/>
      <c r="Y434" s="13"/>
      <c r="Z434" s="13"/>
      <c r="AA434" s="13"/>
      <c r="AB434" s="13"/>
    </row>
    <row r="435" spans="1:28" ht="13.2">
      <c r="A435" s="53">
        <f t="shared" si="10"/>
        <v>0</v>
      </c>
      <c r="B435" s="13"/>
      <c r="C435" s="16"/>
      <c r="D435" s="16">
        <f t="shared" si="6"/>
        <v>0</v>
      </c>
      <c r="E435" s="16">
        <f t="shared" si="7"/>
        <v>0</v>
      </c>
      <c r="F435" s="16"/>
      <c r="G435" s="16"/>
      <c r="H435" s="16"/>
      <c r="I435" s="16"/>
      <c r="J435" s="16"/>
      <c r="K435" s="13"/>
      <c r="L435" s="13"/>
      <c r="M435" s="13"/>
      <c r="N435" s="13"/>
      <c r="O435" s="13"/>
      <c r="P435" s="13"/>
      <c r="Q435" s="13"/>
      <c r="R435" s="13"/>
      <c r="S435" s="13"/>
      <c r="T435" s="13"/>
      <c r="U435" s="13"/>
      <c r="V435" s="13"/>
      <c r="W435" s="13"/>
      <c r="X435" s="13"/>
      <c r="Y435" s="13"/>
      <c r="Z435" s="13"/>
      <c r="AA435" s="13"/>
      <c r="AB435" s="13"/>
    </row>
    <row r="436" spans="1:28" ht="13.2">
      <c r="A436" s="53">
        <f t="shared" si="10"/>
        <v>0</v>
      </c>
      <c r="B436" s="13"/>
      <c r="C436" s="16"/>
      <c r="D436" s="16">
        <f t="shared" si="6"/>
        <v>0</v>
      </c>
      <c r="E436" s="16">
        <f t="shared" si="7"/>
        <v>0</v>
      </c>
      <c r="F436" s="16"/>
      <c r="G436" s="16"/>
      <c r="H436" s="16"/>
      <c r="I436" s="16"/>
      <c r="J436" s="16"/>
      <c r="K436" s="13"/>
      <c r="L436" s="13"/>
      <c r="M436" s="13"/>
      <c r="N436" s="13"/>
      <c r="O436" s="13"/>
      <c r="P436" s="13"/>
      <c r="Q436" s="13"/>
      <c r="R436" s="13"/>
      <c r="S436" s="13"/>
      <c r="T436" s="13"/>
      <c r="U436" s="13"/>
      <c r="V436" s="13"/>
      <c r="W436" s="13"/>
      <c r="X436" s="13"/>
      <c r="Y436" s="13"/>
      <c r="Z436" s="13"/>
      <c r="AA436" s="13"/>
      <c r="AB436" s="13"/>
    </row>
    <row r="437" spans="1:28" ht="13.2">
      <c r="A437" s="53">
        <f t="shared" si="10"/>
        <v>0</v>
      </c>
      <c r="B437" s="13"/>
      <c r="C437" s="16"/>
      <c r="D437" s="16">
        <f t="shared" si="6"/>
        <v>0</v>
      </c>
      <c r="E437" s="16">
        <f t="shared" si="7"/>
        <v>0</v>
      </c>
      <c r="F437" s="16"/>
      <c r="G437" s="16"/>
      <c r="H437" s="16"/>
      <c r="I437" s="16"/>
      <c r="J437" s="16"/>
      <c r="K437" s="13"/>
      <c r="L437" s="13"/>
      <c r="M437" s="13"/>
      <c r="N437" s="13"/>
      <c r="O437" s="13"/>
      <c r="P437" s="13"/>
      <c r="Q437" s="13"/>
      <c r="R437" s="13"/>
      <c r="S437" s="13"/>
      <c r="T437" s="13"/>
      <c r="U437" s="13"/>
      <c r="V437" s="13"/>
      <c r="W437" s="13"/>
      <c r="X437" s="13"/>
      <c r="Y437" s="13"/>
      <c r="Z437" s="13"/>
      <c r="AA437" s="13"/>
      <c r="AB437" s="13"/>
    </row>
    <row r="438" spans="1:28" ht="13.2">
      <c r="A438" s="53">
        <f t="shared" si="10"/>
        <v>0</v>
      </c>
      <c r="B438" s="13"/>
      <c r="C438" s="16"/>
      <c r="D438" s="16">
        <f t="shared" si="6"/>
        <v>0</v>
      </c>
      <c r="E438" s="16">
        <f t="shared" si="7"/>
        <v>0</v>
      </c>
      <c r="F438" s="16"/>
      <c r="G438" s="16"/>
      <c r="H438" s="16"/>
      <c r="I438" s="16"/>
      <c r="J438" s="16"/>
      <c r="K438" s="13"/>
      <c r="L438" s="13"/>
      <c r="M438" s="13"/>
      <c r="N438" s="13"/>
      <c r="O438" s="13"/>
      <c r="P438" s="13"/>
      <c r="Q438" s="13"/>
      <c r="R438" s="13"/>
      <c r="S438" s="13"/>
      <c r="T438" s="13"/>
      <c r="U438" s="13"/>
      <c r="V438" s="13"/>
      <c r="W438" s="13"/>
      <c r="X438" s="13"/>
      <c r="Y438" s="13"/>
      <c r="Z438" s="13"/>
      <c r="AA438" s="13"/>
      <c r="AB438" s="13"/>
    </row>
    <row r="439" spans="1:28" ht="13.2">
      <c r="A439" s="53">
        <f t="shared" si="10"/>
        <v>0</v>
      </c>
      <c r="B439" s="13"/>
      <c r="C439" s="16"/>
      <c r="D439" s="16">
        <f t="shared" si="6"/>
        <v>0</v>
      </c>
      <c r="E439" s="16">
        <f t="shared" si="7"/>
        <v>0</v>
      </c>
      <c r="F439" s="16"/>
      <c r="G439" s="16"/>
      <c r="H439" s="16"/>
      <c r="I439" s="16"/>
      <c r="J439" s="16"/>
      <c r="K439" s="13"/>
      <c r="L439" s="13"/>
      <c r="M439" s="13"/>
      <c r="N439" s="13"/>
      <c r="O439" s="13"/>
      <c r="P439" s="13"/>
      <c r="Q439" s="13"/>
      <c r="R439" s="13"/>
      <c r="S439" s="13"/>
      <c r="T439" s="13"/>
      <c r="U439" s="13"/>
      <c r="V439" s="13"/>
      <c r="W439" s="13"/>
      <c r="X439" s="13"/>
      <c r="Y439" s="13"/>
      <c r="Z439" s="13"/>
      <c r="AA439" s="13"/>
      <c r="AB439" s="13"/>
    </row>
    <row r="440" spans="1:28" ht="13.2">
      <c r="A440" s="53">
        <f t="shared" si="10"/>
        <v>0</v>
      </c>
      <c r="B440" s="13"/>
      <c r="C440" s="16"/>
      <c r="D440" s="16">
        <f t="shared" si="6"/>
        <v>0</v>
      </c>
      <c r="E440" s="16">
        <f t="shared" si="7"/>
        <v>0</v>
      </c>
      <c r="F440" s="16"/>
      <c r="G440" s="16"/>
      <c r="H440" s="16"/>
      <c r="I440" s="16"/>
      <c r="J440" s="16"/>
      <c r="K440" s="13"/>
      <c r="L440" s="13"/>
      <c r="M440" s="13"/>
      <c r="N440" s="13"/>
      <c r="O440" s="13"/>
      <c r="P440" s="13"/>
      <c r="Q440" s="13"/>
      <c r="R440" s="13"/>
      <c r="S440" s="13"/>
      <c r="T440" s="13"/>
      <c r="U440" s="13"/>
      <c r="V440" s="13"/>
      <c r="W440" s="13"/>
      <c r="X440" s="13"/>
      <c r="Y440" s="13"/>
      <c r="Z440" s="13"/>
      <c r="AA440" s="13"/>
      <c r="AB440" s="13"/>
    </row>
    <row r="441" spans="1:28" ht="13.2">
      <c r="A441" s="53">
        <f t="shared" si="10"/>
        <v>0</v>
      </c>
      <c r="B441" s="13"/>
      <c r="C441" s="16"/>
      <c r="D441" s="16">
        <f t="shared" si="6"/>
        <v>0</v>
      </c>
      <c r="E441" s="16">
        <f t="shared" si="7"/>
        <v>0</v>
      </c>
      <c r="F441" s="16"/>
      <c r="G441" s="16"/>
      <c r="H441" s="16"/>
      <c r="I441" s="16"/>
      <c r="J441" s="16"/>
      <c r="K441" s="13"/>
      <c r="L441" s="13"/>
      <c r="M441" s="13"/>
      <c r="N441" s="13"/>
      <c r="O441" s="13"/>
      <c r="P441" s="13"/>
      <c r="Q441" s="13"/>
      <c r="R441" s="13"/>
      <c r="S441" s="13"/>
      <c r="T441" s="13"/>
      <c r="U441" s="13"/>
      <c r="V441" s="13"/>
      <c r="W441" s="13"/>
      <c r="X441" s="13"/>
      <c r="Y441" s="13"/>
      <c r="Z441" s="13"/>
      <c r="AA441" s="13"/>
      <c r="AB441" s="13"/>
    </row>
    <row r="442" spans="1:28" ht="13.2">
      <c r="A442" s="53">
        <f t="shared" si="10"/>
        <v>0</v>
      </c>
      <c r="B442" s="13"/>
      <c r="C442" s="16"/>
      <c r="D442" s="16">
        <f t="shared" si="6"/>
        <v>0</v>
      </c>
      <c r="E442" s="16">
        <f t="shared" si="7"/>
        <v>0</v>
      </c>
      <c r="F442" s="16"/>
      <c r="G442" s="16"/>
      <c r="H442" s="16"/>
      <c r="I442" s="16"/>
      <c r="J442" s="16"/>
      <c r="K442" s="13"/>
      <c r="L442" s="13"/>
      <c r="M442" s="13"/>
      <c r="N442" s="13"/>
      <c r="O442" s="13"/>
      <c r="P442" s="13"/>
      <c r="Q442" s="13"/>
      <c r="R442" s="13"/>
      <c r="S442" s="13"/>
      <c r="T442" s="13"/>
      <c r="U442" s="13"/>
      <c r="V442" s="13"/>
      <c r="W442" s="13"/>
      <c r="X442" s="13"/>
      <c r="Y442" s="13"/>
      <c r="Z442" s="13"/>
      <c r="AA442" s="13"/>
      <c r="AB442" s="13"/>
    </row>
    <row r="443" spans="1:28" ht="13.2">
      <c r="A443" s="53">
        <f t="shared" si="10"/>
        <v>0</v>
      </c>
      <c r="B443" s="13"/>
      <c r="C443" s="16"/>
      <c r="D443" s="16">
        <f t="shared" si="6"/>
        <v>0</v>
      </c>
      <c r="E443" s="16">
        <f t="shared" si="7"/>
        <v>0</v>
      </c>
      <c r="F443" s="16"/>
      <c r="G443" s="16"/>
      <c r="H443" s="16"/>
      <c r="I443" s="16"/>
      <c r="J443" s="16"/>
      <c r="K443" s="13"/>
      <c r="L443" s="13"/>
      <c r="M443" s="13"/>
      <c r="N443" s="13"/>
      <c r="O443" s="13"/>
      <c r="P443" s="13"/>
      <c r="Q443" s="13"/>
      <c r="R443" s="13"/>
      <c r="S443" s="13"/>
      <c r="T443" s="13"/>
      <c r="U443" s="13"/>
      <c r="V443" s="13"/>
      <c r="W443" s="13"/>
      <c r="X443" s="13"/>
      <c r="Y443" s="13"/>
      <c r="Z443" s="13"/>
      <c r="AA443" s="13"/>
      <c r="AB443" s="13"/>
    </row>
    <row r="444" spans="1:28" ht="13.2">
      <c r="A444" s="53">
        <f t="shared" si="10"/>
        <v>0</v>
      </c>
      <c r="B444" s="13"/>
      <c r="C444" s="16"/>
      <c r="D444" s="16">
        <f t="shared" si="6"/>
        <v>0</v>
      </c>
      <c r="E444" s="16">
        <f t="shared" si="7"/>
        <v>0</v>
      </c>
      <c r="F444" s="16"/>
      <c r="G444" s="16"/>
      <c r="H444" s="16"/>
      <c r="I444" s="16"/>
      <c r="J444" s="16"/>
      <c r="K444" s="13"/>
      <c r="L444" s="13"/>
      <c r="M444" s="13"/>
      <c r="N444" s="13"/>
      <c r="O444" s="13"/>
      <c r="P444" s="13"/>
      <c r="Q444" s="13"/>
      <c r="R444" s="13"/>
      <c r="S444" s="13"/>
      <c r="T444" s="13"/>
      <c r="U444" s="13"/>
      <c r="V444" s="13"/>
      <c r="W444" s="13"/>
      <c r="X444" s="13"/>
      <c r="Y444" s="13"/>
      <c r="Z444" s="13"/>
      <c r="AA444" s="13"/>
      <c r="AB444" s="13"/>
    </row>
    <row r="445" spans="1:28" ht="13.2">
      <c r="A445" s="53">
        <f t="shared" si="10"/>
        <v>0</v>
      </c>
      <c r="B445" s="13"/>
      <c r="C445" s="16"/>
      <c r="D445" s="16">
        <f t="shared" si="6"/>
        <v>0</v>
      </c>
      <c r="E445" s="16">
        <f t="shared" si="7"/>
        <v>0</v>
      </c>
      <c r="F445" s="16"/>
      <c r="G445" s="16"/>
      <c r="H445" s="16"/>
      <c r="I445" s="16"/>
      <c r="J445" s="16"/>
      <c r="K445" s="13"/>
      <c r="L445" s="13"/>
      <c r="M445" s="13"/>
      <c r="N445" s="13"/>
      <c r="O445" s="13"/>
      <c r="P445" s="13"/>
      <c r="Q445" s="13"/>
      <c r="R445" s="13"/>
      <c r="S445" s="13"/>
      <c r="T445" s="13"/>
      <c r="U445" s="13"/>
      <c r="V445" s="13"/>
      <c r="W445" s="13"/>
      <c r="X445" s="13"/>
      <c r="Y445" s="13"/>
      <c r="Z445" s="13"/>
      <c r="AA445" s="13"/>
      <c r="AB445" s="13"/>
    </row>
    <row r="446" spans="1:28" ht="13.2">
      <c r="A446" s="53">
        <f t="shared" si="10"/>
        <v>0</v>
      </c>
      <c r="B446" s="13"/>
      <c r="C446" s="16"/>
      <c r="D446" s="16">
        <f t="shared" si="6"/>
        <v>0</v>
      </c>
      <c r="E446" s="16">
        <f t="shared" si="7"/>
        <v>0</v>
      </c>
      <c r="F446" s="16"/>
      <c r="G446" s="16"/>
      <c r="H446" s="16"/>
      <c r="I446" s="16"/>
      <c r="J446" s="16"/>
      <c r="K446" s="13"/>
      <c r="L446" s="13"/>
      <c r="M446" s="13"/>
      <c r="N446" s="13"/>
      <c r="O446" s="13"/>
      <c r="P446" s="13"/>
      <c r="Q446" s="13"/>
      <c r="R446" s="13"/>
      <c r="S446" s="13"/>
      <c r="T446" s="13"/>
      <c r="U446" s="13"/>
      <c r="V446" s="13"/>
      <c r="W446" s="13"/>
      <c r="X446" s="13"/>
      <c r="Y446" s="13"/>
      <c r="Z446" s="13"/>
      <c r="AA446" s="13"/>
      <c r="AB446" s="13"/>
    </row>
    <row r="447" spans="1:28" ht="13.2">
      <c r="A447" s="53">
        <f t="shared" si="10"/>
        <v>0</v>
      </c>
      <c r="B447" s="13"/>
      <c r="C447" s="16"/>
      <c r="D447" s="16">
        <f t="shared" si="6"/>
        <v>0</v>
      </c>
      <c r="E447" s="16">
        <f t="shared" si="7"/>
        <v>0</v>
      </c>
      <c r="F447" s="16"/>
      <c r="G447" s="16"/>
      <c r="H447" s="16"/>
      <c r="I447" s="16"/>
      <c r="J447" s="16"/>
      <c r="K447" s="13"/>
      <c r="L447" s="13"/>
      <c r="M447" s="13"/>
      <c r="N447" s="13"/>
      <c r="O447" s="13"/>
      <c r="P447" s="13"/>
      <c r="Q447" s="13"/>
      <c r="R447" s="13"/>
      <c r="S447" s="13"/>
      <c r="T447" s="13"/>
      <c r="U447" s="13"/>
      <c r="V447" s="13"/>
      <c r="W447" s="13"/>
      <c r="X447" s="13"/>
      <c r="Y447" s="13"/>
      <c r="Z447" s="13"/>
      <c r="AA447" s="13"/>
      <c r="AB447" s="13"/>
    </row>
    <row r="448" spans="1:28" ht="13.2">
      <c r="A448" s="53">
        <f t="shared" si="10"/>
        <v>0</v>
      </c>
      <c r="B448" s="13"/>
      <c r="C448" s="16"/>
      <c r="D448" s="16">
        <f t="shared" si="6"/>
        <v>0</v>
      </c>
      <c r="E448" s="16">
        <f t="shared" si="7"/>
        <v>0</v>
      </c>
      <c r="F448" s="16"/>
      <c r="G448" s="16"/>
      <c r="H448" s="16"/>
      <c r="I448" s="16"/>
      <c r="J448" s="16"/>
      <c r="K448" s="13"/>
      <c r="L448" s="13"/>
      <c r="M448" s="13"/>
      <c r="N448" s="13"/>
      <c r="O448" s="13"/>
      <c r="P448" s="13"/>
      <c r="Q448" s="13"/>
      <c r="R448" s="13"/>
      <c r="S448" s="13"/>
      <c r="T448" s="13"/>
      <c r="U448" s="13"/>
      <c r="V448" s="13"/>
      <c r="W448" s="13"/>
      <c r="X448" s="13"/>
      <c r="Y448" s="13"/>
      <c r="Z448" s="13"/>
      <c r="AA448" s="13"/>
      <c r="AB448" s="13"/>
    </row>
    <row r="449" spans="1:28" ht="13.2">
      <c r="A449" s="53">
        <f t="shared" si="10"/>
        <v>0</v>
      </c>
      <c r="B449" s="13"/>
      <c r="C449" s="16"/>
      <c r="D449" s="16">
        <f t="shared" si="6"/>
        <v>0</v>
      </c>
      <c r="E449" s="16">
        <f t="shared" si="7"/>
        <v>0</v>
      </c>
      <c r="F449" s="16"/>
      <c r="G449" s="16"/>
      <c r="H449" s="16"/>
      <c r="I449" s="16"/>
      <c r="J449" s="16"/>
      <c r="K449" s="13"/>
      <c r="L449" s="13"/>
      <c r="M449" s="13"/>
      <c r="N449" s="13"/>
      <c r="O449" s="13"/>
      <c r="P449" s="13"/>
      <c r="Q449" s="13"/>
      <c r="R449" s="13"/>
      <c r="S449" s="13"/>
      <c r="T449" s="13"/>
      <c r="U449" s="13"/>
      <c r="V449" s="13"/>
      <c r="W449" s="13"/>
      <c r="X449" s="13"/>
      <c r="Y449" s="13"/>
      <c r="Z449" s="13"/>
      <c r="AA449" s="13"/>
      <c r="AB449" s="13"/>
    </row>
    <row r="450" spans="1:28" ht="13.2">
      <c r="A450" s="53">
        <f t="shared" si="10"/>
        <v>0</v>
      </c>
      <c r="B450" s="13"/>
      <c r="C450" s="16"/>
      <c r="D450" s="16">
        <f t="shared" si="6"/>
        <v>0</v>
      </c>
      <c r="E450" s="16">
        <f t="shared" si="7"/>
        <v>0</v>
      </c>
      <c r="F450" s="16"/>
      <c r="G450" s="16"/>
      <c r="H450" s="16"/>
      <c r="I450" s="16"/>
      <c r="J450" s="16"/>
      <c r="K450" s="13"/>
      <c r="L450" s="13"/>
      <c r="M450" s="13"/>
      <c r="N450" s="13"/>
      <c r="O450" s="13"/>
      <c r="P450" s="13"/>
      <c r="Q450" s="13"/>
      <c r="R450" s="13"/>
      <c r="S450" s="13"/>
      <c r="T450" s="13"/>
      <c r="U450" s="13"/>
      <c r="V450" s="13"/>
      <c r="W450" s="13"/>
      <c r="X450" s="13"/>
      <c r="Y450" s="13"/>
      <c r="Z450" s="13"/>
      <c r="AA450" s="13"/>
      <c r="AB450" s="13"/>
    </row>
    <row r="451" spans="1:28" ht="13.2">
      <c r="A451" s="53">
        <f t="shared" ref="A451:A459" si="11">IF(ISBLANK(B451),,A450+1)</f>
        <v>0</v>
      </c>
      <c r="B451" s="13"/>
      <c r="C451" s="16"/>
      <c r="D451" s="16">
        <f t="shared" si="6"/>
        <v>0</v>
      </c>
      <c r="E451" s="16">
        <f t="shared" si="7"/>
        <v>0</v>
      </c>
      <c r="F451" s="16"/>
      <c r="G451" s="16"/>
      <c r="H451" s="16"/>
      <c r="I451" s="16"/>
      <c r="J451" s="16"/>
      <c r="K451" s="13"/>
      <c r="L451" s="13"/>
      <c r="M451" s="13"/>
      <c r="N451" s="13"/>
      <c r="O451" s="13"/>
      <c r="P451" s="13"/>
      <c r="Q451" s="13"/>
      <c r="R451" s="13"/>
      <c r="S451" s="13"/>
      <c r="T451" s="13"/>
      <c r="U451" s="13"/>
      <c r="V451" s="13"/>
      <c r="W451" s="13"/>
      <c r="X451" s="13"/>
      <c r="Y451" s="13"/>
      <c r="Z451" s="13"/>
      <c r="AA451" s="13"/>
      <c r="AB451" s="13"/>
    </row>
    <row r="452" spans="1:28" ht="13.2">
      <c r="A452" s="53">
        <f t="shared" si="11"/>
        <v>0</v>
      </c>
      <c r="B452" s="13"/>
      <c r="C452" s="16"/>
      <c r="D452" s="16">
        <f t="shared" si="6"/>
        <v>0</v>
      </c>
      <c r="E452" s="16">
        <f t="shared" si="7"/>
        <v>0</v>
      </c>
      <c r="F452" s="16"/>
      <c r="G452" s="16"/>
      <c r="H452" s="16"/>
      <c r="I452" s="16"/>
      <c r="J452" s="16"/>
      <c r="K452" s="13"/>
      <c r="L452" s="13"/>
      <c r="M452" s="13"/>
      <c r="N452" s="13"/>
      <c r="O452" s="13"/>
      <c r="P452" s="13"/>
      <c r="Q452" s="13"/>
      <c r="R452" s="13"/>
      <c r="S452" s="13"/>
      <c r="T452" s="13"/>
      <c r="U452" s="13"/>
      <c r="V452" s="13"/>
      <c r="W452" s="13"/>
      <c r="X452" s="13"/>
      <c r="Y452" s="13"/>
      <c r="Z452" s="13"/>
      <c r="AA452" s="13"/>
      <c r="AB452" s="13"/>
    </row>
    <row r="453" spans="1:28" ht="13.2">
      <c r="A453" s="53">
        <f t="shared" si="11"/>
        <v>0</v>
      </c>
      <c r="B453" s="13"/>
      <c r="C453" s="16"/>
      <c r="D453" s="16">
        <f t="shared" si="6"/>
        <v>0</v>
      </c>
      <c r="E453" s="16">
        <f t="shared" si="7"/>
        <v>0</v>
      </c>
      <c r="F453" s="16"/>
      <c r="G453" s="16"/>
      <c r="H453" s="16"/>
      <c r="I453" s="16"/>
      <c r="J453" s="16"/>
      <c r="K453" s="13"/>
      <c r="L453" s="13"/>
      <c r="M453" s="13"/>
      <c r="N453" s="13"/>
      <c r="O453" s="13"/>
      <c r="P453" s="13"/>
      <c r="Q453" s="13"/>
      <c r="R453" s="13"/>
      <c r="S453" s="13"/>
      <c r="T453" s="13"/>
      <c r="U453" s="13"/>
      <c r="V453" s="13"/>
      <c r="W453" s="13"/>
      <c r="X453" s="13"/>
      <c r="Y453" s="13"/>
      <c r="Z453" s="13"/>
      <c r="AA453" s="13"/>
      <c r="AB453" s="13"/>
    </row>
    <row r="454" spans="1:28" ht="13.2">
      <c r="A454" s="53">
        <f t="shared" si="11"/>
        <v>0</v>
      </c>
      <c r="B454" s="13"/>
      <c r="C454" s="16"/>
      <c r="D454" s="16">
        <f t="shared" si="6"/>
        <v>0</v>
      </c>
      <c r="E454" s="16">
        <f t="shared" si="7"/>
        <v>0</v>
      </c>
      <c r="F454" s="16"/>
      <c r="G454" s="16"/>
      <c r="H454" s="16"/>
      <c r="I454" s="16"/>
      <c r="J454" s="16"/>
      <c r="K454" s="13"/>
      <c r="L454" s="13"/>
      <c r="M454" s="13"/>
      <c r="N454" s="13"/>
      <c r="O454" s="13"/>
      <c r="P454" s="13"/>
      <c r="Q454" s="13"/>
      <c r="R454" s="13"/>
      <c r="S454" s="13"/>
      <c r="T454" s="13"/>
      <c r="U454" s="13"/>
      <c r="V454" s="13"/>
      <c r="W454" s="13"/>
      <c r="X454" s="13"/>
      <c r="Y454" s="13"/>
      <c r="Z454" s="13"/>
      <c r="AA454" s="13"/>
      <c r="AB454" s="13"/>
    </row>
    <row r="455" spans="1:28" ht="13.2">
      <c r="A455" s="53">
        <f t="shared" si="11"/>
        <v>0</v>
      </c>
      <c r="B455" s="13"/>
      <c r="C455" s="16"/>
      <c r="D455" s="16">
        <f t="shared" si="6"/>
        <v>0</v>
      </c>
      <c r="E455" s="16">
        <f t="shared" si="7"/>
        <v>0</v>
      </c>
      <c r="F455" s="16"/>
      <c r="G455" s="16"/>
      <c r="H455" s="16"/>
      <c r="I455" s="16"/>
      <c r="J455" s="16"/>
      <c r="K455" s="13"/>
      <c r="L455" s="13"/>
      <c r="M455" s="13"/>
      <c r="N455" s="13"/>
      <c r="O455" s="13"/>
      <c r="P455" s="13"/>
      <c r="Q455" s="13"/>
      <c r="R455" s="13"/>
      <c r="S455" s="13"/>
      <c r="T455" s="13"/>
      <c r="U455" s="13"/>
      <c r="V455" s="13"/>
      <c r="W455" s="13"/>
      <c r="X455" s="13"/>
      <c r="Y455" s="13"/>
      <c r="Z455" s="13"/>
      <c r="AA455" s="13"/>
      <c r="AB455" s="13"/>
    </row>
    <row r="456" spans="1:28" ht="13.2">
      <c r="A456" s="53">
        <f t="shared" si="11"/>
        <v>0</v>
      </c>
      <c r="B456" s="13"/>
      <c r="C456" s="16"/>
      <c r="D456" s="16">
        <f t="shared" si="6"/>
        <v>0</v>
      </c>
      <c r="E456" s="16">
        <f t="shared" si="7"/>
        <v>0</v>
      </c>
      <c r="F456" s="16"/>
      <c r="G456" s="16"/>
      <c r="H456" s="16"/>
      <c r="I456" s="16"/>
      <c r="J456" s="16"/>
      <c r="K456" s="13"/>
      <c r="L456" s="13"/>
      <c r="M456" s="13"/>
      <c r="N456" s="13"/>
      <c r="O456" s="13"/>
      <c r="P456" s="13"/>
      <c r="Q456" s="13"/>
      <c r="R456" s="13"/>
      <c r="S456" s="13"/>
      <c r="T456" s="13"/>
      <c r="U456" s="13"/>
      <c r="V456" s="13"/>
      <c r="W456" s="13"/>
      <c r="X456" s="13"/>
      <c r="Y456" s="13"/>
      <c r="Z456" s="13"/>
      <c r="AA456" s="13"/>
      <c r="AB456" s="13"/>
    </row>
    <row r="457" spans="1:28" ht="13.2">
      <c r="A457" s="53">
        <f t="shared" si="11"/>
        <v>0</v>
      </c>
      <c r="B457" s="13"/>
      <c r="C457" s="16"/>
      <c r="D457" s="16">
        <f t="shared" si="6"/>
        <v>0</v>
      </c>
      <c r="E457" s="16">
        <f t="shared" si="7"/>
        <v>0</v>
      </c>
      <c r="F457" s="16"/>
      <c r="G457" s="16"/>
      <c r="H457" s="16"/>
      <c r="I457" s="16"/>
      <c r="J457" s="16"/>
      <c r="K457" s="13"/>
      <c r="L457" s="13"/>
      <c r="M457" s="13"/>
      <c r="N457" s="13"/>
      <c r="O457" s="13"/>
      <c r="P457" s="13"/>
      <c r="Q457" s="13"/>
      <c r="R457" s="13"/>
      <c r="S457" s="13"/>
      <c r="T457" s="13"/>
      <c r="U457" s="13"/>
      <c r="V457" s="13"/>
      <c r="W457" s="13"/>
      <c r="X457" s="13"/>
      <c r="Y457" s="13"/>
      <c r="Z457" s="13"/>
      <c r="AA457" s="13"/>
      <c r="AB457" s="13"/>
    </row>
    <row r="458" spans="1:28" ht="13.2">
      <c r="A458" s="53">
        <f t="shared" si="11"/>
        <v>0</v>
      </c>
      <c r="B458" s="13"/>
      <c r="C458" s="16"/>
      <c r="D458" s="16">
        <f t="shared" si="6"/>
        <v>0</v>
      </c>
      <c r="E458" s="16">
        <f t="shared" si="7"/>
        <v>0</v>
      </c>
      <c r="F458" s="16"/>
      <c r="G458" s="16"/>
      <c r="H458" s="16"/>
      <c r="I458" s="16"/>
      <c r="J458" s="16"/>
      <c r="K458" s="13"/>
      <c r="L458" s="13"/>
      <c r="M458" s="13"/>
      <c r="N458" s="13"/>
      <c r="O458" s="13"/>
      <c r="P458" s="13"/>
      <c r="Q458" s="13"/>
      <c r="R458" s="13"/>
      <c r="S458" s="13"/>
      <c r="T458" s="13"/>
      <c r="U458" s="13"/>
      <c r="V458" s="13"/>
      <c r="W458" s="13"/>
      <c r="X458" s="13"/>
      <c r="Y458" s="13"/>
      <c r="Z458" s="13"/>
      <c r="AA458" s="13"/>
      <c r="AB458" s="13"/>
    </row>
    <row r="459" spans="1:28" ht="13.2">
      <c r="A459" s="53">
        <f t="shared" si="11"/>
        <v>0</v>
      </c>
      <c r="B459" s="13"/>
      <c r="C459" s="16"/>
      <c r="D459" s="16">
        <f t="shared" si="6"/>
        <v>0</v>
      </c>
      <c r="E459" s="16">
        <f t="shared" si="7"/>
        <v>0</v>
      </c>
      <c r="F459" s="16"/>
      <c r="G459" s="16"/>
      <c r="H459" s="16"/>
      <c r="I459" s="16"/>
      <c r="J459" s="16"/>
      <c r="K459" s="13"/>
      <c r="L459" s="13"/>
      <c r="M459" s="13"/>
      <c r="N459" s="13"/>
      <c r="O459" s="13"/>
      <c r="P459" s="13"/>
      <c r="Q459" s="13"/>
      <c r="R459" s="13"/>
      <c r="S459" s="13"/>
      <c r="T459" s="13"/>
      <c r="U459" s="13"/>
      <c r="V459" s="13"/>
      <c r="W459" s="13"/>
      <c r="X459" s="13"/>
      <c r="Y459" s="13"/>
      <c r="Z459" s="13"/>
      <c r="AA459" s="13"/>
      <c r="AB459" s="13"/>
    </row>
    <row r="460" spans="1:28" ht="13.2">
      <c r="A460" s="53"/>
      <c r="B460" s="13"/>
      <c r="C460" s="16"/>
      <c r="D460" s="16">
        <f t="shared" si="6"/>
        <v>0</v>
      </c>
      <c r="E460" s="16">
        <f t="shared" si="7"/>
        <v>0</v>
      </c>
      <c r="F460" s="16"/>
      <c r="G460" s="16"/>
      <c r="H460" s="16"/>
      <c r="I460" s="16"/>
      <c r="J460" s="16"/>
      <c r="K460" s="13"/>
      <c r="L460" s="13"/>
      <c r="M460" s="13"/>
      <c r="N460" s="13"/>
      <c r="O460" s="13"/>
      <c r="P460" s="13"/>
      <c r="Q460" s="13"/>
      <c r="R460" s="13"/>
      <c r="S460" s="13"/>
      <c r="T460" s="13"/>
      <c r="U460" s="13"/>
      <c r="V460" s="13"/>
      <c r="W460" s="13"/>
      <c r="X460" s="13"/>
      <c r="Y460" s="13"/>
      <c r="Z460" s="13"/>
      <c r="AA460" s="13"/>
      <c r="AB460" s="13"/>
    </row>
    <row r="461" spans="1:28" ht="13.2">
      <c r="A461" s="53"/>
      <c r="B461" s="13"/>
      <c r="C461" s="16"/>
      <c r="D461" s="16">
        <f t="shared" si="6"/>
        <v>0</v>
      </c>
      <c r="E461" s="16">
        <f t="shared" si="7"/>
        <v>0</v>
      </c>
      <c r="F461" s="16"/>
      <c r="G461" s="16"/>
      <c r="H461" s="16"/>
      <c r="I461" s="16"/>
      <c r="J461" s="16"/>
      <c r="K461" s="13"/>
      <c r="L461" s="13"/>
      <c r="M461" s="13"/>
      <c r="N461" s="13"/>
      <c r="O461" s="13"/>
      <c r="P461" s="13"/>
      <c r="Q461" s="13"/>
      <c r="R461" s="13"/>
      <c r="S461" s="13"/>
      <c r="T461" s="13"/>
      <c r="U461" s="13"/>
      <c r="V461" s="13"/>
      <c r="W461" s="13"/>
      <c r="X461" s="13"/>
      <c r="Y461" s="13"/>
      <c r="Z461" s="13"/>
      <c r="AA461" s="13"/>
      <c r="AB461" s="13"/>
    </row>
    <row r="462" spans="1:28" ht="13.2">
      <c r="A462" s="53"/>
      <c r="B462" s="13"/>
      <c r="C462" s="16"/>
      <c r="D462" s="16">
        <f t="shared" si="6"/>
        <v>0</v>
      </c>
      <c r="E462" s="16">
        <f t="shared" si="7"/>
        <v>0</v>
      </c>
      <c r="F462" s="16"/>
      <c r="G462" s="16"/>
      <c r="H462" s="16"/>
      <c r="I462" s="16"/>
      <c r="J462" s="16"/>
      <c r="K462" s="13"/>
      <c r="L462" s="13"/>
      <c r="M462" s="13"/>
      <c r="N462" s="13"/>
      <c r="O462" s="13"/>
      <c r="P462" s="13"/>
      <c r="Q462" s="13"/>
      <c r="R462" s="13"/>
      <c r="S462" s="13"/>
      <c r="T462" s="13"/>
      <c r="U462" s="13"/>
      <c r="V462" s="13"/>
      <c r="W462" s="13"/>
      <c r="X462" s="13"/>
      <c r="Y462" s="13"/>
      <c r="Z462" s="13"/>
      <c r="AA462" s="13"/>
      <c r="AB462" s="13"/>
    </row>
    <row r="463" spans="1:28" ht="13.2">
      <c r="A463" s="53"/>
      <c r="B463" s="13"/>
      <c r="C463" s="16"/>
      <c r="D463" s="16">
        <f t="shared" si="6"/>
        <v>0</v>
      </c>
      <c r="E463" s="16">
        <f t="shared" si="7"/>
        <v>0</v>
      </c>
      <c r="F463" s="16"/>
      <c r="G463" s="16"/>
      <c r="H463" s="16"/>
      <c r="I463" s="16"/>
      <c r="J463" s="16"/>
      <c r="K463" s="13"/>
      <c r="L463" s="13"/>
      <c r="M463" s="13"/>
      <c r="N463" s="13"/>
      <c r="O463" s="13"/>
      <c r="P463" s="13"/>
      <c r="Q463" s="13"/>
      <c r="R463" s="13"/>
      <c r="S463" s="13"/>
      <c r="T463" s="13"/>
      <c r="U463" s="13"/>
      <c r="V463" s="13"/>
      <c r="W463" s="13"/>
      <c r="X463" s="13"/>
      <c r="Y463" s="13"/>
      <c r="Z463" s="13"/>
      <c r="AA463" s="13"/>
      <c r="AB463" s="13"/>
    </row>
    <row r="464" spans="1:28" ht="13.2">
      <c r="A464" s="53"/>
      <c r="B464" s="13"/>
      <c r="C464" s="16"/>
      <c r="D464" s="16">
        <f t="shared" si="6"/>
        <v>0</v>
      </c>
      <c r="E464" s="16">
        <f t="shared" si="7"/>
        <v>0</v>
      </c>
      <c r="F464" s="16"/>
      <c r="G464" s="16"/>
      <c r="H464" s="16"/>
      <c r="I464" s="16"/>
      <c r="J464" s="16"/>
      <c r="K464" s="13"/>
      <c r="L464" s="13"/>
      <c r="M464" s="13"/>
      <c r="N464" s="13"/>
      <c r="O464" s="13"/>
      <c r="P464" s="13"/>
      <c r="Q464" s="13"/>
      <c r="R464" s="13"/>
      <c r="S464" s="13"/>
      <c r="T464" s="13"/>
      <c r="U464" s="13"/>
      <c r="V464" s="13"/>
      <c r="W464" s="13"/>
      <c r="X464" s="13"/>
      <c r="Y464" s="13"/>
      <c r="Z464" s="13"/>
      <c r="AA464" s="13"/>
      <c r="AB464" s="13"/>
    </row>
    <row r="465" spans="1:28" ht="13.2">
      <c r="A465" s="53"/>
      <c r="B465" s="13"/>
      <c r="C465" s="16"/>
      <c r="D465" s="16">
        <f t="shared" si="6"/>
        <v>0</v>
      </c>
      <c r="E465" s="16">
        <f t="shared" si="7"/>
        <v>0</v>
      </c>
      <c r="F465" s="16"/>
      <c r="G465" s="16"/>
      <c r="H465" s="16"/>
      <c r="I465" s="16"/>
      <c r="J465" s="16"/>
      <c r="K465" s="13"/>
      <c r="L465" s="13"/>
      <c r="M465" s="13"/>
      <c r="N465" s="13"/>
      <c r="O465" s="13"/>
      <c r="P465" s="13"/>
      <c r="Q465" s="13"/>
      <c r="R465" s="13"/>
      <c r="S465" s="13"/>
      <c r="T465" s="13"/>
      <c r="U465" s="13"/>
      <c r="V465" s="13"/>
      <c r="W465" s="13"/>
      <c r="X465" s="13"/>
      <c r="Y465" s="13"/>
      <c r="Z465" s="13"/>
      <c r="AA465" s="13"/>
      <c r="AB465" s="13"/>
    </row>
    <row r="466" spans="1:28" ht="13.2">
      <c r="A466" s="53"/>
      <c r="B466" s="13"/>
      <c r="C466" s="16"/>
      <c r="D466" s="16">
        <f t="shared" si="6"/>
        <v>0</v>
      </c>
      <c r="E466" s="16">
        <f t="shared" si="7"/>
        <v>0</v>
      </c>
      <c r="F466" s="16"/>
      <c r="G466" s="16"/>
      <c r="H466" s="16"/>
      <c r="I466" s="16"/>
      <c r="J466" s="16"/>
      <c r="K466" s="13"/>
      <c r="L466" s="13"/>
      <c r="M466" s="13"/>
      <c r="N466" s="13"/>
      <c r="O466" s="13"/>
      <c r="P466" s="13"/>
      <c r="Q466" s="13"/>
      <c r="R466" s="13"/>
      <c r="S466" s="13"/>
      <c r="T466" s="13"/>
      <c r="U466" s="13"/>
      <c r="V466" s="13"/>
      <c r="W466" s="13"/>
      <c r="X466" s="13"/>
      <c r="Y466" s="13"/>
      <c r="Z466" s="13"/>
      <c r="AA466" s="13"/>
      <c r="AB466" s="13"/>
    </row>
    <row r="467" spans="1:28" ht="13.2">
      <c r="A467" s="53"/>
      <c r="B467" s="13"/>
      <c r="C467" s="16"/>
      <c r="D467" s="16">
        <f t="shared" si="6"/>
        <v>0</v>
      </c>
      <c r="E467" s="16">
        <f t="shared" si="7"/>
        <v>0</v>
      </c>
      <c r="F467" s="16"/>
      <c r="G467" s="16"/>
      <c r="H467" s="16"/>
      <c r="I467" s="16"/>
      <c r="J467" s="16"/>
      <c r="K467" s="13"/>
      <c r="L467" s="13"/>
      <c r="M467" s="13"/>
      <c r="N467" s="13"/>
      <c r="O467" s="13"/>
      <c r="P467" s="13"/>
      <c r="Q467" s="13"/>
      <c r="R467" s="13"/>
      <c r="S467" s="13"/>
      <c r="T467" s="13"/>
      <c r="U467" s="13"/>
      <c r="V467" s="13"/>
      <c r="W467" s="13"/>
      <c r="X467" s="13"/>
      <c r="Y467" s="13"/>
      <c r="Z467" s="13"/>
      <c r="AA467" s="13"/>
      <c r="AB467" s="13"/>
    </row>
    <row r="468" spans="1:28" ht="13.2">
      <c r="A468" s="53"/>
      <c r="B468" s="13"/>
      <c r="C468" s="16"/>
      <c r="D468" s="16">
        <f t="shared" si="6"/>
        <v>0</v>
      </c>
      <c r="E468" s="16">
        <f t="shared" si="7"/>
        <v>0</v>
      </c>
      <c r="F468" s="16"/>
      <c r="G468" s="16"/>
      <c r="H468" s="16"/>
      <c r="I468" s="16"/>
      <c r="J468" s="16"/>
      <c r="K468" s="13"/>
      <c r="L468" s="13"/>
      <c r="M468" s="13"/>
      <c r="N468" s="13"/>
      <c r="O468" s="13"/>
      <c r="P468" s="13"/>
      <c r="Q468" s="13"/>
      <c r="R468" s="13"/>
      <c r="S468" s="13"/>
      <c r="T468" s="13"/>
      <c r="U468" s="13"/>
      <c r="V468" s="13"/>
      <c r="W468" s="13"/>
      <c r="X468" s="13"/>
      <c r="Y468" s="13"/>
      <c r="Z468" s="13"/>
      <c r="AA468" s="13"/>
      <c r="AB468" s="13"/>
    </row>
    <row r="469" spans="1:28" ht="13.2">
      <c r="A469" s="53"/>
      <c r="B469" s="13"/>
      <c r="C469" s="16"/>
      <c r="D469" s="16">
        <f t="shared" si="6"/>
        <v>0</v>
      </c>
      <c r="E469" s="16">
        <f t="shared" si="7"/>
        <v>0</v>
      </c>
      <c r="F469" s="16"/>
      <c r="G469" s="16"/>
      <c r="H469" s="16"/>
      <c r="I469" s="16"/>
      <c r="J469" s="16"/>
      <c r="K469" s="13"/>
      <c r="L469" s="13"/>
      <c r="M469" s="13"/>
      <c r="N469" s="13"/>
      <c r="O469" s="13"/>
      <c r="P469" s="13"/>
      <c r="Q469" s="13"/>
      <c r="R469" s="13"/>
      <c r="S469" s="13"/>
      <c r="T469" s="13"/>
      <c r="U469" s="13"/>
      <c r="V469" s="13"/>
      <c r="W469" s="13"/>
      <c r="X469" s="13"/>
      <c r="Y469" s="13"/>
      <c r="Z469" s="13"/>
      <c r="AA469" s="13"/>
      <c r="AB469" s="13"/>
    </row>
    <row r="470" spans="1:28" ht="13.2">
      <c r="A470" s="53"/>
      <c r="B470" s="13"/>
      <c r="C470" s="16"/>
      <c r="D470" s="16">
        <f t="shared" si="6"/>
        <v>0</v>
      </c>
      <c r="E470" s="16">
        <f t="shared" si="7"/>
        <v>0</v>
      </c>
      <c r="F470" s="16"/>
      <c r="G470" s="16"/>
      <c r="H470" s="16"/>
      <c r="I470" s="16"/>
      <c r="J470" s="16"/>
      <c r="K470" s="13"/>
      <c r="L470" s="13"/>
      <c r="M470" s="13"/>
      <c r="N470" s="13"/>
      <c r="O470" s="13"/>
      <c r="P470" s="13"/>
      <c r="Q470" s="13"/>
      <c r="R470" s="13"/>
      <c r="S470" s="13"/>
      <c r="T470" s="13"/>
      <c r="U470" s="13"/>
      <c r="V470" s="13"/>
      <c r="W470" s="13"/>
      <c r="X470" s="13"/>
      <c r="Y470" s="13"/>
      <c r="Z470" s="13"/>
      <c r="AA470" s="13"/>
      <c r="AB470" s="13"/>
    </row>
    <row r="471" spans="1:28" ht="13.2">
      <c r="A471" s="53"/>
      <c r="B471" s="13"/>
      <c r="C471" s="16"/>
      <c r="D471" s="16">
        <f t="shared" si="6"/>
        <v>0</v>
      </c>
      <c r="E471" s="16">
        <f t="shared" si="7"/>
        <v>0</v>
      </c>
      <c r="F471" s="16"/>
      <c r="G471" s="16"/>
      <c r="H471" s="16"/>
      <c r="I471" s="16"/>
      <c r="J471" s="16"/>
      <c r="K471" s="13"/>
      <c r="L471" s="13"/>
      <c r="M471" s="13"/>
      <c r="N471" s="13"/>
      <c r="O471" s="13"/>
      <c r="P471" s="13"/>
      <c r="Q471" s="13"/>
      <c r="R471" s="13"/>
      <c r="S471" s="13"/>
      <c r="T471" s="13"/>
      <c r="U471" s="13"/>
      <c r="V471" s="13"/>
      <c r="W471" s="13"/>
      <c r="X471" s="13"/>
      <c r="Y471" s="13"/>
      <c r="Z471" s="13"/>
      <c r="AA471" s="13"/>
      <c r="AB471" s="13"/>
    </row>
    <row r="472" spans="1:28" ht="13.2">
      <c r="A472" s="53"/>
      <c r="B472" s="13"/>
      <c r="C472" s="16"/>
      <c r="D472" s="16">
        <f t="shared" si="6"/>
        <v>0</v>
      </c>
      <c r="E472" s="16">
        <f t="shared" si="7"/>
        <v>0</v>
      </c>
      <c r="F472" s="16"/>
      <c r="G472" s="16"/>
      <c r="H472" s="16"/>
      <c r="I472" s="16"/>
      <c r="J472" s="16"/>
      <c r="K472" s="13"/>
      <c r="L472" s="13"/>
      <c r="M472" s="13"/>
      <c r="N472" s="13"/>
      <c r="O472" s="13"/>
      <c r="P472" s="13"/>
      <c r="Q472" s="13"/>
      <c r="R472" s="13"/>
      <c r="S472" s="13"/>
      <c r="T472" s="13"/>
      <c r="U472" s="13"/>
      <c r="V472" s="13"/>
      <c r="W472" s="13"/>
      <c r="X472" s="13"/>
      <c r="Y472" s="13"/>
      <c r="Z472" s="13"/>
      <c r="AA472" s="13"/>
      <c r="AB472" s="13"/>
    </row>
    <row r="473" spans="1:28" ht="13.2">
      <c r="A473" s="53"/>
      <c r="B473" s="13"/>
      <c r="C473" s="16"/>
      <c r="D473" s="16">
        <f t="shared" si="6"/>
        <v>0</v>
      </c>
      <c r="E473" s="16">
        <f t="shared" si="7"/>
        <v>0</v>
      </c>
      <c r="F473" s="16"/>
      <c r="G473" s="16"/>
      <c r="H473" s="16"/>
      <c r="I473" s="16"/>
      <c r="J473" s="16"/>
      <c r="K473" s="13"/>
      <c r="L473" s="13"/>
      <c r="M473" s="13"/>
      <c r="N473" s="13"/>
      <c r="O473" s="13"/>
      <c r="P473" s="13"/>
      <c r="Q473" s="13"/>
      <c r="R473" s="13"/>
      <c r="S473" s="13"/>
      <c r="T473" s="13"/>
      <c r="U473" s="13"/>
      <c r="V473" s="13"/>
      <c r="W473" s="13"/>
      <c r="X473" s="13"/>
      <c r="Y473" s="13"/>
      <c r="Z473" s="13"/>
      <c r="AA473" s="13"/>
      <c r="AB473" s="13"/>
    </row>
    <row r="474" spans="1:28" ht="13.2">
      <c r="A474" s="53"/>
      <c r="B474" s="13"/>
      <c r="C474" s="16"/>
      <c r="D474" s="16">
        <f t="shared" si="6"/>
        <v>0</v>
      </c>
      <c r="E474" s="16">
        <f t="shared" si="7"/>
        <v>0</v>
      </c>
      <c r="F474" s="16"/>
      <c r="G474" s="16"/>
      <c r="H474" s="16"/>
      <c r="I474" s="16"/>
      <c r="J474" s="16"/>
      <c r="K474" s="13"/>
      <c r="L474" s="13"/>
      <c r="M474" s="13"/>
      <c r="N474" s="13"/>
      <c r="O474" s="13"/>
      <c r="P474" s="13"/>
      <c r="Q474" s="13"/>
      <c r="R474" s="13"/>
      <c r="S474" s="13"/>
      <c r="T474" s="13"/>
      <c r="U474" s="13"/>
      <c r="V474" s="13"/>
      <c r="W474" s="13"/>
      <c r="X474" s="13"/>
      <c r="Y474" s="13"/>
      <c r="Z474" s="13"/>
      <c r="AA474" s="13"/>
      <c r="AB474" s="13"/>
    </row>
    <row r="475" spans="1:28" ht="13.2">
      <c r="A475" s="53"/>
      <c r="B475" s="13"/>
      <c r="C475" s="16"/>
      <c r="D475" s="16">
        <f t="shared" si="6"/>
        <v>0</v>
      </c>
      <c r="E475" s="16">
        <f t="shared" si="7"/>
        <v>0</v>
      </c>
      <c r="F475" s="16"/>
      <c r="G475" s="16"/>
      <c r="H475" s="16"/>
      <c r="I475" s="16"/>
      <c r="J475" s="16"/>
      <c r="K475" s="13"/>
      <c r="L475" s="13"/>
      <c r="M475" s="13"/>
      <c r="N475" s="13"/>
      <c r="O475" s="13"/>
      <c r="P475" s="13"/>
      <c r="Q475" s="13"/>
      <c r="R475" s="13"/>
      <c r="S475" s="13"/>
      <c r="T475" s="13"/>
      <c r="U475" s="13"/>
      <c r="V475" s="13"/>
      <c r="W475" s="13"/>
      <c r="X475" s="13"/>
      <c r="Y475" s="13"/>
      <c r="Z475" s="13"/>
      <c r="AA475" s="13"/>
      <c r="AB475" s="13"/>
    </row>
    <row r="476" spans="1:28" ht="13.2">
      <c r="A476" s="53"/>
      <c r="B476" s="13"/>
      <c r="C476" s="16"/>
      <c r="D476" s="16">
        <f t="shared" si="6"/>
        <v>0</v>
      </c>
      <c r="E476" s="16">
        <f t="shared" si="7"/>
        <v>0</v>
      </c>
      <c r="F476" s="16"/>
      <c r="G476" s="16"/>
      <c r="H476" s="16"/>
      <c r="I476" s="16"/>
      <c r="J476" s="16"/>
      <c r="K476" s="13"/>
      <c r="L476" s="13"/>
      <c r="M476" s="13"/>
      <c r="N476" s="13"/>
      <c r="O476" s="13"/>
      <c r="P476" s="13"/>
      <c r="Q476" s="13"/>
      <c r="R476" s="13"/>
      <c r="S476" s="13"/>
      <c r="T476" s="13"/>
      <c r="U476" s="13"/>
      <c r="V476" s="13"/>
      <c r="W476" s="13"/>
      <c r="X476" s="13"/>
      <c r="Y476" s="13"/>
      <c r="Z476" s="13"/>
      <c r="AA476" s="13"/>
      <c r="AB476" s="13"/>
    </row>
    <row r="477" spans="1:28" ht="13.2">
      <c r="A477" s="53"/>
      <c r="B477" s="13"/>
      <c r="C477" s="16"/>
      <c r="D477" s="16">
        <f t="shared" si="6"/>
        <v>0</v>
      </c>
      <c r="E477" s="16">
        <f t="shared" si="7"/>
        <v>0</v>
      </c>
      <c r="F477" s="16"/>
      <c r="G477" s="16"/>
      <c r="H477" s="16"/>
      <c r="I477" s="16"/>
      <c r="J477" s="16"/>
      <c r="K477" s="13"/>
      <c r="L477" s="13"/>
      <c r="M477" s="13"/>
      <c r="N477" s="13"/>
      <c r="O477" s="13"/>
      <c r="P477" s="13"/>
      <c r="Q477" s="13"/>
      <c r="R477" s="13"/>
      <c r="S477" s="13"/>
      <c r="T477" s="13"/>
      <c r="U477" s="13"/>
      <c r="V477" s="13"/>
      <c r="W477" s="13"/>
      <c r="X477" s="13"/>
      <c r="Y477" s="13"/>
      <c r="Z477" s="13"/>
      <c r="AA477" s="13"/>
      <c r="AB477" s="13"/>
    </row>
    <row r="478" spans="1:28" ht="13.2">
      <c r="A478" s="53"/>
      <c r="B478" s="13"/>
      <c r="C478" s="16"/>
      <c r="D478" s="16">
        <f t="shared" si="6"/>
        <v>0</v>
      </c>
      <c r="E478" s="16">
        <f t="shared" si="7"/>
        <v>0</v>
      </c>
      <c r="F478" s="16"/>
      <c r="G478" s="16"/>
      <c r="H478" s="16"/>
      <c r="I478" s="16"/>
      <c r="J478" s="16"/>
      <c r="K478" s="13"/>
      <c r="L478" s="13"/>
      <c r="M478" s="13"/>
      <c r="N478" s="13"/>
      <c r="O478" s="13"/>
      <c r="P478" s="13"/>
      <c r="Q478" s="13"/>
      <c r="R478" s="13"/>
      <c r="S478" s="13"/>
      <c r="T478" s="13"/>
      <c r="U478" s="13"/>
      <c r="V478" s="13"/>
      <c r="W478" s="13"/>
      <c r="X478" s="13"/>
      <c r="Y478" s="13"/>
      <c r="Z478" s="13"/>
      <c r="AA478" s="13"/>
      <c r="AB478" s="13"/>
    </row>
    <row r="479" spans="1:28" ht="13.2">
      <c r="A479" s="53"/>
      <c r="B479" s="13"/>
      <c r="C479" s="16"/>
      <c r="D479" s="16">
        <f t="shared" si="6"/>
        <v>0</v>
      </c>
      <c r="E479" s="16">
        <f t="shared" si="7"/>
        <v>0</v>
      </c>
      <c r="F479" s="16"/>
      <c r="G479" s="16"/>
      <c r="H479" s="16"/>
      <c r="I479" s="16"/>
      <c r="J479" s="16"/>
      <c r="K479" s="13"/>
      <c r="L479" s="13"/>
      <c r="M479" s="13"/>
      <c r="N479" s="13"/>
      <c r="O479" s="13"/>
      <c r="P479" s="13"/>
      <c r="Q479" s="13"/>
      <c r="R479" s="13"/>
      <c r="S479" s="13"/>
      <c r="T479" s="13"/>
      <c r="U479" s="13"/>
      <c r="V479" s="13"/>
      <c r="W479" s="13"/>
      <c r="X479" s="13"/>
      <c r="Y479" s="13"/>
      <c r="Z479" s="13"/>
      <c r="AA479" s="13"/>
      <c r="AB479" s="13"/>
    </row>
    <row r="480" spans="1:28" ht="13.2">
      <c r="A480" s="53"/>
      <c r="B480" s="13"/>
      <c r="C480" s="16"/>
      <c r="D480" s="16">
        <f t="shared" si="6"/>
        <v>0</v>
      </c>
      <c r="E480" s="16">
        <f t="shared" si="7"/>
        <v>0</v>
      </c>
      <c r="F480" s="16"/>
      <c r="G480" s="16"/>
      <c r="H480" s="16"/>
      <c r="I480" s="16"/>
      <c r="J480" s="16"/>
      <c r="K480" s="13"/>
      <c r="L480" s="13"/>
      <c r="M480" s="13"/>
      <c r="N480" s="13"/>
      <c r="O480" s="13"/>
      <c r="P480" s="13"/>
      <c r="Q480" s="13"/>
      <c r="R480" s="13"/>
      <c r="S480" s="13"/>
      <c r="T480" s="13"/>
      <c r="U480" s="13"/>
      <c r="V480" s="13"/>
      <c r="W480" s="13"/>
      <c r="X480" s="13"/>
      <c r="Y480" s="13"/>
      <c r="Z480" s="13"/>
      <c r="AA480" s="13"/>
      <c r="AB480" s="13"/>
    </row>
    <row r="481" spans="1:28" ht="13.2">
      <c r="A481" s="53"/>
      <c r="B481" s="13"/>
      <c r="C481" s="16"/>
      <c r="D481" s="16">
        <f t="shared" si="6"/>
        <v>0</v>
      </c>
      <c r="E481" s="16">
        <f t="shared" si="7"/>
        <v>0</v>
      </c>
      <c r="F481" s="16"/>
      <c r="G481" s="16"/>
      <c r="H481" s="16"/>
      <c r="I481" s="16"/>
      <c r="J481" s="16"/>
      <c r="K481" s="13"/>
      <c r="L481" s="13"/>
      <c r="M481" s="13"/>
      <c r="N481" s="13"/>
      <c r="O481" s="13"/>
      <c r="P481" s="13"/>
      <c r="Q481" s="13"/>
      <c r="R481" s="13"/>
      <c r="S481" s="13"/>
      <c r="T481" s="13"/>
      <c r="U481" s="13"/>
      <c r="V481" s="13"/>
      <c r="W481" s="13"/>
      <c r="X481" s="13"/>
      <c r="Y481" s="13"/>
      <c r="Z481" s="13"/>
      <c r="AA481" s="13"/>
      <c r="AB481" s="13"/>
    </row>
    <row r="482" spans="1:28" ht="13.2">
      <c r="A482" s="53"/>
      <c r="B482" s="13"/>
      <c r="C482" s="16"/>
      <c r="D482" s="16">
        <f t="shared" si="6"/>
        <v>0</v>
      </c>
      <c r="E482" s="16">
        <f t="shared" si="7"/>
        <v>0</v>
      </c>
      <c r="F482" s="16"/>
      <c r="G482" s="16"/>
      <c r="H482" s="16"/>
      <c r="I482" s="16"/>
      <c r="J482" s="16"/>
      <c r="K482" s="13"/>
      <c r="L482" s="13"/>
      <c r="M482" s="13"/>
      <c r="N482" s="13"/>
      <c r="O482" s="13"/>
      <c r="P482" s="13"/>
      <c r="Q482" s="13"/>
      <c r="R482" s="13"/>
      <c r="S482" s="13"/>
      <c r="T482" s="13"/>
      <c r="U482" s="13"/>
      <c r="V482" s="13"/>
      <c r="W482" s="13"/>
      <c r="X482" s="13"/>
      <c r="Y482" s="13"/>
      <c r="Z482" s="13"/>
      <c r="AA482" s="13"/>
      <c r="AB482" s="13"/>
    </row>
    <row r="483" spans="1:28" ht="13.2">
      <c r="A483" s="53"/>
      <c r="B483" s="13"/>
      <c r="C483" s="16"/>
      <c r="D483" s="16">
        <f t="shared" si="6"/>
        <v>0</v>
      </c>
      <c r="E483" s="16">
        <f t="shared" si="7"/>
        <v>0</v>
      </c>
      <c r="F483" s="16"/>
      <c r="G483" s="16"/>
      <c r="H483" s="16"/>
      <c r="I483" s="16"/>
      <c r="J483" s="16"/>
      <c r="K483" s="13"/>
      <c r="L483" s="13"/>
      <c r="M483" s="13"/>
      <c r="N483" s="13"/>
      <c r="O483" s="13"/>
      <c r="P483" s="13"/>
      <c r="Q483" s="13"/>
      <c r="R483" s="13"/>
      <c r="S483" s="13"/>
      <c r="T483" s="13"/>
      <c r="U483" s="13"/>
      <c r="V483" s="13"/>
      <c r="W483" s="13"/>
      <c r="X483" s="13"/>
      <c r="Y483" s="13"/>
      <c r="Z483" s="13"/>
      <c r="AA483" s="13"/>
      <c r="AB483" s="13"/>
    </row>
    <row r="484" spans="1:28" ht="13.2">
      <c r="A484" s="53"/>
      <c r="B484" s="13"/>
      <c r="C484" s="16"/>
      <c r="D484" s="16">
        <f t="shared" si="6"/>
        <v>0</v>
      </c>
      <c r="E484" s="16">
        <f t="shared" si="7"/>
        <v>0</v>
      </c>
      <c r="F484" s="16"/>
      <c r="G484" s="16"/>
      <c r="H484" s="16"/>
      <c r="I484" s="16"/>
      <c r="J484" s="16"/>
      <c r="K484" s="13"/>
      <c r="L484" s="13"/>
      <c r="M484" s="13"/>
      <c r="N484" s="13"/>
      <c r="O484" s="13"/>
      <c r="P484" s="13"/>
      <c r="Q484" s="13"/>
      <c r="R484" s="13"/>
      <c r="S484" s="13"/>
      <c r="T484" s="13"/>
      <c r="U484" s="13"/>
      <c r="V484" s="13"/>
      <c r="W484" s="13"/>
      <c r="X484" s="13"/>
      <c r="Y484" s="13"/>
      <c r="Z484" s="13"/>
      <c r="AA484" s="13"/>
      <c r="AB484" s="13"/>
    </row>
    <row r="485" spans="1:28" ht="13.2">
      <c r="A485" s="53"/>
      <c r="B485" s="13"/>
      <c r="C485" s="16"/>
      <c r="D485" s="16">
        <f t="shared" si="6"/>
        <v>0</v>
      </c>
      <c r="E485" s="16">
        <f t="shared" si="7"/>
        <v>0</v>
      </c>
      <c r="F485" s="16"/>
      <c r="G485" s="16"/>
      <c r="H485" s="16"/>
      <c r="I485" s="16"/>
      <c r="J485" s="16"/>
      <c r="K485" s="13"/>
      <c r="L485" s="13"/>
      <c r="M485" s="13"/>
      <c r="N485" s="13"/>
      <c r="O485" s="13"/>
      <c r="P485" s="13"/>
      <c r="Q485" s="13"/>
      <c r="R485" s="13"/>
      <c r="S485" s="13"/>
      <c r="T485" s="13"/>
      <c r="U485" s="13"/>
      <c r="V485" s="13"/>
      <c r="W485" s="13"/>
      <c r="X485" s="13"/>
      <c r="Y485" s="13"/>
      <c r="Z485" s="13"/>
      <c r="AA485" s="13"/>
      <c r="AB485" s="13"/>
    </row>
    <row r="486" spans="1:28" ht="13.2">
      <c r="A486" s="53"/>
      <c r="B486" s="13"/>
      <c r="C486" s="16"/>
      <c r="D486" s="16">
        <f t="shared" si="6"/>
        <v>0</v>
      </c>
      <c r="E486" s="16">
        <f t="shared" si="7"/>
        <v>0</v>
      </c>
      <c r="F486" s="16"/>
      <c r="G486" s="16"/>
      <c r="H486" s="16"/>
      <c r="I486" s="16"/>
      <c r="J486" s="16"/>
      <c r="K486" s="13"/>
      <c r="L486" s="13"/>
      <c r="M486" s="13"/>
      <c r="N486" s="13"/>
      <c r="O486" s="13"/>
      <c r="P486" s="13"/>
      <c r="Q486" s="13"/>
      <c r="R486" s="13"/>
      <c r="S486" s="13"/>
      <c r="T486" s="13"/>
      <c r="U486" s="13"/>
      <c r="V486" s="13"/>
      <c r="W486" s="13"/>
      <c r="X486" s="13"/>
      <c r="Y486" s="13"/>
      <c r="Z486" s="13"/>
      <c r="AA486" s="13"/>
      <c r="AB486" s="13"/>
    </row>
    <row r="487" spans="1:28" ht="13.2">
      <c r="A487" s="53"/>
      <c r="B487" s="13"/>
      <c r="C487" s="16"/>
      <c r="D487" s="16">
        <f t="shared" si="6"/>
        <v>0</v>
      </c>
      <c r="E487" s="16">
        <f t="shared" si="7"/>
        <v>0</v>
      </c>
      <c r="F487" s="16"/>
      <c r="G487" s="16"/>
      <c r="H487" s="16"/>
      <c r="I487" s="16"/>
      <c r="J487" s="16"/>
      <c r="K487" s="13"/>
      <c r="L487" s="13"/>
      <c r="M487" s="13"/>
      <c r="N487" s="13"/>
      <c r="O487" s="13"/>
      <c r="P487" s="13"/>
      <c r="Q487" s="13"/>
      <c r="R487" s="13"/>
      <c r="S487" s="13"/>
      <c r="T487" s="13"/>
      <c r="U487" s="13"/>
      <c r="V487" s="13"/>
      <c r="W487" s="13"/>
      <c r="X487" s="13"/>
      <c r="Y487" s="13"/>
      <c r="Z487" s="13"/>
      <c r="AA487" s="13"/>
      <c r="AB487" s="13"/>
    </row>
    <row r="488" spans="1:28" ht="13.2">
      <c r="A488" s="53"/>
      <c r="B488" s="13"/>
      <c r="C488" s="16"/>
      <c r="D488" s="16">
        <f t="shared" si="6"/>
        <v>0</v>
      </c>
      <c r="E488" s="16">
        <f t="shared" si="7"/>
        <v>0</v>
      </c>
      <c r="F488" s="16"/>
      <c r="G488" s="16"/>
      <c r="H488" s="16"/>
      <c r="I488" s="16"/>
      <c r="J488" s="16"/>
      <c r="K488" s="13"/>
      <c r="L488" s="13"/>
      <c r="M488" s="13"/>
      <c r="N488" s="13"/>
      <c r="O488" s="13"/>
      <c r="P488" s="13"/>
      <c r="Q488" s="13"/>
      <c r="R488" s="13"/>
      <c r="S488" s="13"/>
      <c r="T488" s="13"/>
      <c r="U488" s="13"/>
      <c r="V488" s="13"/>
      <c r="W488" s="13"/>
      <c r="X488" s="13"/>
      <c r="Y488" s="13"/>
      <c r="Z488" s="13"/>
      <c r="AA488" s="13"/>
      <c r="AB488" s="13"/>
    </row>
    <row r="489" spans="1:28" ht="13.2">
      <c r="A489" s="53"/>
      <c r="B489" s="13"/>
      <c r="C489" s="16"/>
      <c r="D489" s="16">
        <f t="shared" si="6"/>
        <v>0</v>
      </c>
      <c r="E489" s="16">
        <f t="shared" si="7"/>
        <v>0</v>
      </c>
      <c r="F489" s="16"/>
      <c r="G489" s="16"/>
      <c r="H489" s="16"/>
      <c r="I489" s="16"/>
      <c r="J489" s="16"/>
      <c r="K489" s="13"/>
      <c r="L489" s="13"/>
      <c r="M489" s="13"/>
      <c r="N489" s="13"/>
      <c r="O489" s="13"/>
      <c r="P489" s="13"/>
      <c r="Q489" s="13"/>
      <c r="R489" s="13"/>
      <c r="S489" s="13"/>
      <c r="T489" s="13"/>
      <c r="U489" s="13"/>
      <c r="V489" s="13"/>
      <c r="W489" s="13"/>
      <c r="X489" s="13"/>
      <c r="Y489" s="13"/>
      <c r="Z489" s="13"/>
      <c r="AA489" s="13"/>
      <c r="AB489" s="13"/>
    </row>
    <row r="490" spans="1:28" ht="13.2">
      <c r="A490" s="53"/>
      <c r="B490" s="13"/>
      <c r="C490" s="16"/>
      <c r="D490" s="16">
        <f t="shared" si="6"/>
        <v>0</v>
      </c>
      <c r="E490" s="16">
        <f t="shared" si="7"/>
        <v>0</v>
      </c>
      <c r="F490" s="16"/>
      <c r="G490" s="16"/>
      <c r="H490" s="16"/>
      <c r="I490" s="16"/>
      <c r="J490" s="16"/>
      <c r="K490" s="13"/>
      <c r="L490" s="13"/>
      <c r="M490" s="13"/>
      <c r="N490" s="13"/>
      <c r="O490" s="13"/>
      <c r="P490" s="13"/>
      <c r="Q490" s="13"/>
      <c r="R490" s="13"/>
      <c r="S490" s="13"/>
      <c r="T490" s="13"/>
      <c r="U490" s="13"/>
      <c r="V490" s="13"/>
      <c r="W490" s="13"/>
      <c r="X490" s="13"/>
      <c r="Y490" s="13"/>
      <c r="Z490" s="13"/>
      <c r="AA490" s="13"/>
      <c r="AB490" s="13"/>
    </row>
    <row r="491" spans="1:28" ht="13.2">
      <c r="A491" s="53"/>
      <c r="B491" s="13"/>
      <c r="C491" s="16"/>
      <c r="D491" s="16">
        <f t="shared" si="6"/>
        <v>0</v>
      </c>
      <c r="E491" s="16">
        <f t="shared" si="7"/>
        <v>0</v>
      </c>
      <c r="F491" s="16"/>
      <c r="G491" s="16"/>
      <c r="H491" s="16"/>
      <c r="I491" s="16"/>
      <c r="J491" s="16"/>
      <c r="K491" s="13"/>
      <c r="L491" s="13"/>
      <c r="M491" s="13"/>
      <c r="N491" s="13"/>
      <c r="O491" s="13"/>
      <c r="P491" s="13"/>
      <c r="Q491" s="13"/>
      <c r="R491" s="13"/>
      <c r="S491" s="13"/>
      <c r="T491" s="13"/>
      <c r="U491" s="13"/>
      <c r="V491" s="13"/>
      <c r="W491" s="13"/>
      <c r="X491" s="13"/>
      <c r="Y491" s="13"/>
      <c r="Z491" s="13"/>
      <c r="AA491" s="13"/>
      <c r="AB491" s="13"/>
    </row>
    <row r="492" spans="1:28" ht="13.2">
      <c r="A492" s="53"/>
      <c r="B492" s="13"/>
      <c r="C492" s="16"/>
      <c r="D492" s="16">
        <f t="shared" si="6"/>
        <v>0</v>
      </c>
      <c r="E492" s="16">
        <f t="shared" si="7"/>
        <v>0</v>
      </c>
      <c r="F492" s="16"/>
      <c r="G492" s="16"/>
      <c r="H492" s="16"/>
      <c r="I492" s="16"/>
      <c r="J492" s="16"/>
      <c r="K492" s="13"/>
      <c r="L492" s="13"/>
      <c r="M492" s="13"/>
      <c r="N492" s="13"/>
      <c r="O492" s="13"/>
      <c r="P492" s="13"/>
      <c r="Q492" s="13"/>
      <c r="R492" s="13"/>
      <c r="S492" s="13"/>
      <c r="T492" s="13"/>
      <c r="U492" s="13"/>
      <c r="V492" s="13"/>
      <c r="W492" s="13"/>
      <c r="X492" s="13"/>
      <c r="Y492" s="13"/>
      <c r="Z492" s="13"/>
      <c r="AA492" s="13"/>
      <c r="AB492" s="13"/>
    </row>
    <row r="493" spans="1:28" ht="13.2">
      <c r="A493" s="53"/>
      <c r="B493" s="13"/>
      <c r="C493" s="16"/>
      <c r="D493" s="16">
        <f t="shared" si="6"/>
        <v>0</v>
      </c>
      <c r="E493" s="16">
        <f t="shared" si="7"/>
        <v>0</v>
      </c>
      <c r="F493" s="16"/>
      <c r="G493" s="16"/>
      <c r="H493" s="16"/>
      <c r="I493" s="16"/>
      <c r="J493" s="16"/>
      <c r="K493" s="13"/>
      <c r="L493" s="13"/>
      <c r="M493" s="13"/>
      <c r="N493" s="13"/>
      <c r="O493" s="13"/>
      <c r="P493" s="13"/>
      <c r="Q493" s="13"/>
      <c r="R493" s="13"/>
      <c r="S493" s="13"/>
      <c r="T493" s="13"/>
      <c r="U493" s="13"/>
      <c r="V493" s="13"/>
      <c r="W493" s="13"/>
      <c r="X493" s="13"/>
      <c r="Y493" s="13"/>
      <c r="Z493" s="13"/>
      <c r="AA493" s="13"/>
      <c r="AB493" s="13"/>
    </row>
    <row r="494" spans="1:28" ht="13.2">
      <c r="A494" s="53"/>
      <c r="B494" s="13"/>
      <c r="C494" s="16"/>
      <c r="D494" s="16">
        <f t="shared" si="6"/>
        <v>0</v>
      </c>
      <c r="E494" s="16">
        <f t="shared" si="7"/>
        <v>0</v>
      </c>
      <c r="F494" s="16"/>
      <c r="G494" s="16"/>
      <c r="H494" s="16"/>
      <c r="I494" s="16"/>
      <c r="J494" s="16"/>
      <c r="K494" s="13"/>
      <c r="L494" s="13"/>
      <c r="M494" s="13"/>
      <c r="N494" s="13"/>
      <c r="O494" s="13"/>
      <c r="P494" s="13"/>
      <c r="Q494" s="13"/>
      <c r="R494" s="13"/>
      <c r="S494" s="13"/>
      <c r="T494" s="13"/>
      <c r="U494" s="13"/>
      <c r="V494" s="13"/>
      <c r="W494" s="13"/>
      <c r="X494" s="13"/>
      <c r="Y494" s="13"/>
      <c r="Z494" s="13"/>
      <c r="AA494" s="13"/>
      <c r="AB494" s="13"/>
    </row>
    <row r="495" spans="1:28" ht="13.2">
      <c r="A495" s="53"/>
      <c r="B495" s="13"/>
      <c r="C495" s="16"/>
      <c r="D495" s="16">
        <f t="shared" si="6"/>
        <v>0</v>
      </c>
      <c r="E495" s="16">
        <f t="shared" si="7"/>
        <v>0</v>
      </c>
      <c r="F495" s="16"/>
      <c r="G495" s="16"/>
      <c r="H495" s="16"/>
      <c r="I495" s="16"/>
      <c r="J495" s="16"/>
      <c r="K495" s="13"/>
      <c r="L495" s="13"/>
      <c r="M495" s="13"/>
      <c r="N495" s="13"/>
      <c r="O495" s="13"/>
      <c r="P495" s="13"/>
      <c r="Q495" s="13"/>
      <c r="R495" s="13"/>
      <c r="S495" s="13"/>
      <c r="T495" s="13"/>
      <c r="U495" s="13"/>
      <c r="V495" s="13"/>
      <c r="W495" s="13"/>
      <c r="X495" s="13"/>
      <c r="Y495" s="13"/>
      <c r="Z495" s="13"/>
      <c r="AA495" s="13"/>
      <c r="AB495" s="13"/>
    </row>
    <row r="496" spans="1:28" ht="13.2">
      <c r="A496" s="53"/>
      <c r="B496" s="13"/>
      <c r="C496" s="16"/>
      <c r="D496" s="16">
        <f t="shared" si="6"/>
        <v>0</v>
      </c>
      <c r="E496" s="16">
        <f t="shared" si="7"/>
        <v>0</v>
      </c>
      <c r="F496" s="16"/>
      <c r="G496" s="16"/>
      <c r="H496" s="16"/>
      <c r="I496" s="16"/>
      <c r="J496" s="16"/>
      <c r="K496" s="13"/>
      <c r="L496" s="13"/>
      <c r="M496" s="13"/>
      <c r="N496" s="13"/>
      <c r="O496" s="13"/>
      <c r="P496" s="13"/>
      <c r="Q496" s="13"/>
      <c r="R496" s="13"/>
      <c r="S496" s="13"/>
      <c r="T496" s="13"/>
      <c r="U496" s="13"/>
      <c r="V496" s="13"/>
      <c r="W496" s="13"/>
      <c r="X496" s="13"/>
      <c r="Y496" s="13"/>
      <c r="Z496" s="13"/>
      <c r="AA496" s="13"/>
      <c r="AB496" s="13"/>
    </row>
    <row r="497" spans="1:28" ht="13.2">
      <c r="A497" s="53"/>
      <c r="B497" s="13"/>
      <c r="C497" s="16"/>
      <c r="D497" s="16">
        <f t="shared" si="6"/>
        <v>0</v>
      </c>
      <c r="E497" s="16">
        <f t="shared" si="7"/>
        <v>0</v>
      </c>
      <c r="F497" s="16"/>
      <c r="G497" s="16"/>
      <c r="H497" s="16"/>
      <c r="I497" s="16"/>
      <c r="J497" s="16"/>
      <c r="K497" s="13"/>
      <c r="L497" s="13"/>
      <c r="M497" s="13"/>
      <c r="N497" s="13"/>
      <c r="O497" s="13"/>
      <c r="P497" s="13"/>
      <c r="Q497" s="13"/>
      <c r="R497" s="13"/>
      <c r="S497" s="13"/>
      <c r="T497" s="13"/>
      <c r="U497" s="13"/>
      <c r="V497" s="13"/>
      <c r="W497" s="13"/>
      <c r="X497" s="13"/>
      <c r="Y497" s="13"/>
      <c r="Z497" s="13"/>
      <c r="AA497" s="13"/>
      <c r="AB497" s="13"/>
    </row>
    <row r="498" spans="1:28" ht="13.2">
      <c r="A498" s="53"/>
      <c r="B498" s="13"/>
      <c r="C498" s="16"/>
      <c r="D498" s="16">
        <f t="shared" si="6"/>
        <v>0</v>
      </c>
      <c r="E498" s="16">
        <f t="shared" si="7"/>
        <v>0</v>
      </c>
      <c r="F498" s="16"/>
      <c r="G498" s="16"/>
      <c r="H498" s="16"/>
      <c r="I498" s="16"/>
      <c r="J498" s="16"/>
      <c r="K498" s="13"/>
      <c r="L498" s="13"/>
      <c r="M498" s="13"/>
      <c r="N498" s="13"/>
      <c r="O498" s="13"/>
      <c r="P498" s="13"/>
      <c r="Q498" s="13"/>
      <c r="R498" s="13"/>
      <c r="S498" s="13"/>
      <c r="T498" s="13"/>
      <c r="U498" s="13"/>
      <c r="V498" s="13"/>
      <c r="W498" s="13"/>
      <c r="X498" s="13"/>
      <c r="Y498" s="13"/>
      <c r="Z498" s="13"/>
      <c r="AA498" s="13"/>
      <c r="AB498" s="13"/>
    </row>
    <row r="499" spans="1:28" ht="13.2">
      <c r="A499" s="53"/>
      <c r="B499" s="13"/>
      <c r="C499" s="16"/>
      <c r="D499" s="16">
        <f t="shared" si="6"/>
        <v>0</v>
      </c>
      <c r="E499" s="16">
        <f t="shared" si="7"/>
        <v>0</v>
      </c>
      <c r="F499" s="16"/>
      <c r="G499" s="16"/>
      <c r="H499" s="16"/>
      <c r="I499" s="16"/>
      <c r="J499" s="16"/>
      <c r="K499" s="13"/>
      <c r="L499" s="13"/>
      <c r="M499" s="13"/>
      <c r="N499" s="13"/>
      <c r="O499" s="13"/>
      <c r="P499" s="13"/>
      <c r="Q499" s="13"/>
      <c r="R499" s="13"/>
      <c r="S499" s="13"/>
      <c r="T499" s="13"/>
      <c r="U499" s="13"/>
      <c r="V499" s="13"/>
      <c r="W499" s="13"/>
      <c r="X499" s="13"/>
      <c r="Y499" s="13"/>
      <c r="Z499" s="13"/>
      <c r="AA499" s="13"/>
      <c r="AB499" s="13"/>
    </row>
    <row r="500" spans="1:28" ht="13.2">
      <c r="A500" s="53"/>
      <c r="B500" s="13"/>
      <c r="C500" s="16"/>
      <c r="D500" s="16">
        <f t="shared" si="6"/>
        <v>0</v>
      </c>
      <c r="E500" s="16">
        <f t="shared" si="7"/>
        <v>0</v>
      </c>
      <c r="F500" s="16"/>
      <c r="G500" s="16"/>
      <c r="H500" s="16"/>
      <c r="I500" s="16"/>
      <c r="J500" s="16"/>
      <c r="K500" s="13"/>
      <c r="L500" s="13"/>
      <c r="M500" s="13"/>
      <c r="N500" s="13"/>
      <c r="O500" s="13"/>
      <c r="P500" s="13"/>
      <c r="Q500" s="13"/>
      <c r="R500" s="13"/>
      <c r="S500" s="13"/>
      <c r="T500" s="13"/>
      <c r="U500" s="13"/>
      <c r="V500" s="13"/>
      <c r="W500" s="13"/>
      <c r="X500" s="13"/>
      <c r="Y500" s="13"/>
      <c r="Z500" s="13"/>
      <c r="AA500" s="13"/>
      <c r="AB500" s="13"/>
    </row>
    <row r="501" spans="1:28" ht="13.2">
      <c r="A501" s="53"/>
      <c r="B501" s="13"/>
      <c r="C501" s="16"/>
      <c r="D501" s="16">
        <f t="shared" si="6"/>
        <v>0</v>
      </c>
      <c r="E501" s="16">
        <f t="shared" si="7"/>
        <v>0</v>
      </c>
      <c r="F501" s="16"/>
      <c r="G501" s="16"/>
      <c r="H501" s="16"/>
      <c r="I501" s="16"/>
      <c r="J501" s="16"/>
      <c r="K501" s="13"/>
      <c r="L501" s="13"/>
      <c r="M501" s="13"/>
      <c r="N501" s="13"/>
      <c r="O501" s="13"/>
      <c r="P501" s="13"/>
      <c r="Q501" s="13"/>
      <c r="R501" s="13"/>
      <c r="S501" s="13"/>
      <c r="T501" s="13"/>
      <c r="U501" s="13"/>
      <c r="V501" s="13"/>
      <c r="W501" s="13"/>
      <c r="X501" s="13"/>
      <c r="Y501" s="13"/>
      <c r="Z501" s="13"/>
      <c r="AA501" s="13"/>
      <c r="AB501" s="13"/>
    </row>
    <row r="502" spans="1:28" ht="13.2">
      <c r="A502" s="53"/>
      <c r="B502" s="13"/>
      <c r="C502" s="16"/>
      <c r="D502" s="16">
        <f t="shared" si="6"/>
        <v>0</v>
      </c>
      <c r="E502" s="16">
        <f t="shared" si="7"/>
        <v>0</v>
      </c>
      <c r="F502" s="16"/>
      <c r="G502" s="16"/>
      <c r="H502" s="16"/>
      <c r="I502" s="16"/>
      <c r="J502" s="16"/>
      <c r="K502" s="13"/>
      <c r="L502" s="13"/>
      <c r="M502" s="13"/>
      <c r="N502" s="13"/>
      <c r="O502" s="13"/>
      <c r="P502" s="13"/>
      <c r="Q502" s="13"/>
      <c r="R502" s="13"/>
      <c r="S502" s="13"/>
      <c r="T502" s="13"/>
      <c r="U502" s="13"/>
      <c r="V502" s="13"/>
      <c r="W502" s="13"/>
      <c r="X502" s="13"/>
      <c r="Y502" s="13"/>
      <c r="Z502" s="13"/>
      <c r="AA502" s="13"/>
      <c r="AB502" s="13"/>
    </row>
    <row r="503" spans="1:28" ht="13.2">
      <c r="A503" s="53"/>
      <c r="B503" s="13"/>
      <c r="C503" s="16"/>
      <c r="D503" s="16">
        <f t="shared" si="6"/>
        <v>0</v>
      </c>
      <c r="E503" s="16">
        <f t="shared" si="7"/>
        <v>0</v>
      </c>
      <c r="F503" s="16"/>
      <c r="G503" s="16"/>
      <c r="H503" s="16"/>
      <c r="I503" s="16"/>
      <c r="J503" s="16"/>
      <c r="K503" s="13"/>
      <c r="L503" s="13"/>
      <c r="M503" s="13"/>
      <c r="N503" s="13"/>
      <c r="O503" s="13"/>
      <c r="P503" s="13"/>
      <c r="Q503" s="13"/>
      <c r="R503" s="13"/>
      <c r="S503" s="13"/>
      <c r="T503" s="13"/>
      <c r="U503" s="13"/>
      <c r="V503" s="13"/>
      <c r="W503" s="13"/>
      <c r="X503" s="13"/>
      <c r="Y503" s="13"/>
      <c r="Z503" s="13"/>
      <c r="AA503" s="13"/>
      <c r="AB503" s="13"/>
    </row>
    <row r="504" spans="1:28" ht="13.2">
      <c r="A504" s="53"/>
      <c r="B504" s="13"/>
      <c r="C504" s="16"/>
      <c r="D504" s="16">
        <f t="shared" si="6"/>
        <v>0</v>
      </c>
      <c r="E504" s="16">
        <f t="shared" si="7"/>
        <v>0</v>
      </c>
      <c r="F504" s="16"/>
      <c r="G504" s="16"/>
      <c r="H504" s="16"/>
      <c r="I504" s="16"/>
      <c r="J504" s="16"/>
      <c r="K504" s="13"/>
      <c r="L504" s="13"/>
      <c r="M504" s="13"/>
      <c r="N504" s="13"/>
      <c r="O504" s="13"/>
      <c r="P504" s="13"/>
      <c r="Q504" s="13"/>
      <c r="R504" s="13"/>
      <c r="S504" s="13"/>
      <c r="T504" s="13"/>
      <c r="U504" s="13"/>
      <c r="V504" s="13"/>
      <c r="W504" s="13"/>
      <c r="X504" s="13"/>
      <c r="Y504" s="13"/>
      <c r="Z504" s="13"/>
      <c r="AA504" s="13"/>
      <c r="AB504" s="13"/>
    </row>
    <row r="505" spans="1:28" ht="13.2">
      <c r="A505" s="53"/>
      <c r="B505" s="13"/>
      <c r="C505" s="16"/>
      <c r="D505" s="16">
        <f t="shared" si="6"/>
        <v>0</v>
      </c>
      <c r="E505" s="16">
        <f t="shared" si="7"/>
        <v>0</v>
      </c>
      <c r="F505" s="16"/>
      <c r="G505" s="16"/>
      <c r="H505" s="16"/>
      <c r="I505" s="16"/>
      <c r="J505" s="16"/>
      <c r="K505" s="13"/>
      <c r="L505" s="13"/>
      <c r="M505" s="13"/>
      <c r="N505" s="13"/>
      <c r="O505" s="13"/>
      <c r="P505" s="13"/>
      <c r="Q505" s="13"/>
      <c r="R505" s="13"/>
      <c r="S505" s="13"/>
      <c r="T505" s="13"/>
      <c r="U505" s="13"/>
      <c r="V505" s="13"/>
      <c r="W505" s="13"/>
      <c r="X505" s="13"/>
      <c r="Y505" s="13"/>
      <c r="Z505" s="13"/>
      <c r="AA505" s="13"/>
      <c r="AB505" s="13"/>
    </row>
    <row r="506" spans="1:28" ht="13.2">
      <c r="A506" s="53"/>
      <c r="B506" s="13"/>
      <c r="C506" s="16"/>
      <c r="D506" s="16">
        <f t="shared" si="6"/>
        <v>0</v>
      </c>
      <c r="E506" s="16">
        <f t="shared" si="7"/>
        <v>0</v>
      </c>
      <c r="F506" s="16"/>
      <c r="G506" s="16"/>
      <c r="H506" s="16"/>
      <c r="I506" s="16"/>
      <c r="J506" s="16"/>
      <c r="K506" s="13"/>
      <c r="L506" s="13"/>
      <c r="M506" s="13"/>
      <c r="N506" s="13"/>
      <c r="O506" s="13"/>
      <c r="P506" s="13"/>
      <c r="Q506" s="13"/>
      <c r="R506" s="13"/>
      <c r="S506" s="13"/>
      <c r="T506" s="13"/>
      <c r="U506" s="13"/>
      <c r="V506" s="13"/>
      <c r="W506" s="13"/>
      <c r="X506" s="13"/>
      <c r="Y506" s="13"/>
      <c r="Z506" s="13"/>
      <c r="AA506" s="13"/>
      <c r="AB506" s="13"/>
    </row>
    <row r="507" spans="1:28" ht="13.2">
      <c r="A507" s="53"/>
      <c r="B507" s="13"/>
      <c r="C507" s="16"/>
      <c r="D507" s="16">
        <f t="shared" si="6"/>
        <v>0</v>
      </c>
      <c r="E507" s="16">
        <f t="shared" si="7"/>
        <v>0</v>
      </c>
      <c r="F507" s="16"/>
      <c r="G507" s="16"/>
      <c r="H507" s="16"/>
      <c r="I507" s="16"/>
      <c r="J507" s="16"/>
      <c r="K507" s="13"/>
      <c r="L507" s="13"/>
      <c r="M507" s="13"/>
      <c r="N507" s="13"/>
      <c r="O507" s="13"/>
      <c r="P507" s="13"/>
      <c r="Q507" s="13"/>
      <c r="R507" s="13"/>
      <c r="S507" s="13"/>
      <c r="T507" s="13"/>
      <c r="U507" s="13"/>
      <c r="V507" s="13"/>
      <c r="W507" s="13"/>
      <c r="X507" s="13"/>
      <c r="Y507" s="13"/>
      <c r="Z507" s="13"/>
      <c r="AA507" s="13"/>
      <c r="AB507" s="13"/>
    </row>
    <row r="508" spans="1:28" ht="13.2">
      <c r="A508" s="53"/>
      <c r="B508" s="13"/>
      <c r="C508" s="16"/>
      <c r="D508" s="16">
        <f t="shared" si="6"/>
        <v>0</v>
      </c>
      <c r="E508" s="16">
        <f t="shared" si="7"/>
        <v>0</v>
      </c>
      <c r="F508" s="16"/>
      <c r="G508" s="16"/>
      <c r="H508" s="16"/>
      <c r="I508" s="16"/>
      <c r="J508" s="16"/>
      <c r="K508" s="13"/>
      <c r="L508" s="13"/>
      <c r="M508" s="13"/>
      <c r="N508" s="13"/>
      <c r="O508" s="13"/>
      <c r="P508" s="13"/>
      <c r="Q508" s="13"/>
      <c r="R508" s="13"/>
      <c r="S508" s="13"/>
      <c r="T508" s="13"/>
      <c r="U508" s="13"/>
      <c r="V508" s="13"/>
      <c r="W508" s="13"/>
      <c r="X508" s="13"/>
      <c r="Y508" s="13"/>
      <c r="Z508" s="13"/>
      <c r="AA508" s="13"/>
      <c r="AB508" s="13"/>
    </row>
    <row r="509" spans="1:28" ht="13.2">
      <c r="A509" s="53"/>
      <c r="B509" s="13"/>
      <c r="C509" s="16"/>
      <c r="D509" s="16">
        <f t="shared" si="6"/>
        <v>0</v>
      </c>
      <c r="E509" s="16">
        <f t="shared" si="7"/>
        <v>0</v>
      </c>
      <c r="F509" s="16"/>
      <c r="G509" s="16"/>
      <c r="H509" s="16"/>
      <c r="I509" s="16"/>
      <c r="J509" s="16"/>
      <c r="K509" s="13"/>
      <c r="L509" s="13"/>
      <c r="M509" s="13"/>
      <c r="N509" s="13"/>
      <c r="O509" s="13"/>
      <c r="P509" s="13"/>
      <c r="Q509" s="13"/>
      <c r="R509" s="13"/>
      <c r="S509" s="13"/>
      <c r="T509" s="13"/>
      <c r="U509" s="13"/>
      <c r="V509" s="13"/>
      <c r="W509" s="13"/>
      <c r="X509" s="13"/>
      <c r="Y509" s="13"/>
      <c r="Z509" s="13"/>
      <c r="AA509" s="13"/>
      <c r="AB509" s="13"/>
    </row>
    <row r="510" spans="1:28" ht="13.2">
      <c r="A510" s="53"/>
      <c r="B510" s="13"/>
      <c r="C510" s="16"/>
      <c r="D510" s="16">
        <f t="shared" si="6"/>
        <v>0</v>
      </c>
      <c r="E510" s="16">
        <f t="shared" si="7"/>
        <v>0</v>
      </c>
      <c r="F510" s="16"/>
      <c r="G510" s="16"/>
      <c r="H510" s="16"/>
      <c r="I510" s="16"/>
      <c r="J510" s="16"/>
      <c r="K510" s="13"/>
      <c r="L510" s="13"/>
      <c r="M510" s="13"/>
      <c r="N510" s="13"/>
      <c r="O510" s="13"/>
      <c r="P510" s="13"/>
      <c r="Q510" s="13"/>
      <c r="R510" s="13"/>
      <c r="S510" s="13"/>
      <c r="T510" s="13"/>
      <c r="U510" s="13"/>
      <c r="V510" s="13"/>
      <c r="W510" s="13"/>
      <c r="X510" s="13"/>
      <c r="Y510" s="13"/>
      <c r="Z510" s="13"/>
      <c r="AA510" s="13"/>
      <c r="AB510" s="13"/>
    </row>
    <row r="511" spans="1:28" ht="13.2">
      <c r="A511" s="53"/>
      <c r="B511" s="13"/>
      <c r="C511" s="16"/>
      <c r="D511" s="16">
        <f t="shared" si="6"/>
        <v>0</v>
      </c>
      <c r="E511" s="16">
        <f t="shared" si="7"/>
        <v>0</v>
      </c>
      <c r="F511" s="16"/>
      <c r="G511" s="16"/>
      <c r="H511" s="16"/>
      <c r="I511" s="16"/>
      <c r="J511" s="16"/>
      <c r="K511" s="13"/>
      <c r="L511" s="13"/>
      <c r="M511" s="13"/>
      <c r="N511" s="13"/>
      <c r="O511" s="13"/>
      <c r="P511" s="13"/>
      <c r="Q511" s="13"/>
      <c r="R511" s="13"/>
      <c r="S511" s="13"/>
      <c r="T511" s="13"/>
      <c r="U511" s="13"/>
      <c r="V511" s="13"/>
      <c r="W511" s="13"/>
      <c r="X511" s="13"/>
      <c r="Y511" s="13"/>
      <c r="Z511" s="13"/>
      <c r="AA511" s="13"/>
      <c r="AB511" s="13"/>
    </row>
    <row r="512" spans="1:28" ht="13.2">
      <c r="A512" s="53"/>
      <c r="B512" s="13"/>
      <c r="C512" s="16"/>
      <c r="D512" s="16">
        <f t="shared" ref="D512:D766" si="12">IF(C512="common",100,IF(C512="Uncommon",300,IF(C512="Rare",700,IF(C512="very rare",1100,IF(C512="Legendary",2000,0)))))</f>
        <v>0</v>
      </c>
      <c r="E512" s="16">
        <f t="shared" ref="E512:E766" si="13">(F512*TRUNC(3+(15-3)*(TRUNC(MOD((A512*1103515245 +12345)/ 65536, 32768),0)/32768),0))+D512+(D512/10*F512)</f>
        <v>0</v>
      </c>
      <c r="F512" s="16"/>
      <c r="G512" s="16"/>
      <c r="H512" s="16"/>
      <c r="I512" s="16"/>
      <c r="J512" s="16"/>
      <c r="K512" s="13"/>
      <c r="L512" s="13"/>
      <c r="M512" s="13"/>
      <c r="N512" s="13"/>
      <c r="O512" s="13"/>
      <c r="P512" s="13"/>
      <c r="Q512" s="13"/>
      <c r="R512" s="13"/>
      <c r="S512" s="13"/>
      <c r="T512" s="13"/>
      <c r="U512" s="13"/>
      <c r="V512" s="13"/>
      <c r="W512" s="13"/>
      <c r="X512" s="13"/>
      <c r="Y512" s="13"/>
      <c r="Z512" s="13"/>
      <c r="AA512" s="13"/>
      <c r="AB512" s="13"/>
    </row>
    <row r="513" spans="1:28" ht="13.2">
      <c r="A513" s="53"/>
      <c r="B513" s="13"/>
      <c r="C513" s="16"/>
      <c r="D513" s="16">
        <f t="shared" si="12"/>
        <v>0</v>
      </c>
      <c r="E513" s="16">
        <f t="shared" si="13"/>
        <v>0</v>
      </c>
      <c r="F513" s="16"/>
      <c r="G513" s="16"/>
      <c r="H513" s="16"/>
      <c r="I513" s="16"/>
      <c r="J513" s="16"/>
      <c r="K513" s="13"/>
      <c r="L513" s="13"/>
      <c r="M513" s="13"/>
      <c r="N513" s="13"/>
      <c r="O513" s="13"/>
      <c r="P513" s="13"/>
      <c r="Q513" s="13"/>
      <c r="R513" s="13"/>
      <c r="S513" s="13"/>
      <c r="T513" s="13"/>
      <c r="U513" s="13"/>
      <c r="V513" s="13"/>
      <c r="W513" s="13"/>
      <c r="X513" s="13"/>
      <c r="Y513" s="13"/>
      <c r="Z513" s="13"/>
      <c r="AA513" s="13"/>
      <c r="AB513" s="13"/>
    </row>
    <row r="514" spans="1:28" ht="13.2">
      <c r="A514" s="53"/>
      <c r="B514" s="13"/>
      <c r="C514" s="16"/>
      <c r="D514" s="16">
        <f t="shared" si="12"/>
        <v>0</v>
      </c>
      <c r="E514" s="16">
        <f t="shared" si="13"/>
        <v>0</v>
      </c>
      <c r="F514" s="16"/>
      <c r="G514" s="16"/>
      <c r="H514" s="16"/>
      <c r="I514" s="16"/>
      <c r="J514" s="16"/>
      <c r="K514" s="13"/>
      <c r="L514" s="13"/>
      <c r="M514" s="13"/>
      <c r="N514" s="13"/>
      <c r="O514" s="13"/>
      <c r="P514" s="13"/>
      <c r="Q514" s="13"/>
      <c r="R514" s="13"/>
      <c r="S514" s="13"/>
      <c r="T514" s="13"/>
      <c r="U514" s="13"/>
      <c r="V514" s="13"/>
      <c r="W514" s="13"/>
      <c r="X514" s="13"/>
      <c r="Y514" s="13"/>
      <c r="Z514" s="13"/>
      <c r="AA514" s="13"/>
      <c r="AB514" s="13"/>
    </row>
    <row r="515" spans="1:28" ht="13.2">
      <c r="A515" s="53"/>
      <c r="B515" s="13"/>
      <c r="C515" s="16"/>
      <c r="D515" s="16">
        <f t="shared" si="12"/>
        <v>0</v>
      </c>
      <c r="E515" s="16">
        <f t="shared" si="13"/>
        <v>0</v>
      </c>
      <c r="F515" s="16"/>
      <c r="G515" s="16"/>
      <c r="H515" s="16"/>
      <c r="I515" s="16"/>
      <c r="J515" s="16"/>
      <c r="K515" s="13"/>
      <c r="L515" s="13"/>
      <c r="M515" s="13"/>
      <c r="N515" s="13"/>
      <c r="O515" s="13"/>
      <c r="P515" s="13"/>
      <c r="Q515" s="13"/>
      <c r="R515" s="13"/>
      <c r="S515" s="13"/>
      <c r="T515" s="13"/>
      <c r="U515" s="13"/>
      <c r="V515" s="13"/>
      <c r="W515" s="13"/>
      <c r="X515" s="13"/>
      <c r="Y515" s="13"/>
      <c r="Z515" s="13"/>
      <c r="AA515" s="13"/>
      <c r="AB515" s="13"/>
    </row>
    <row r="516" spans="1:28" ht="13.2">
      <c r="A516" s="53"/>
      <c r="B516" s="13"/>
      <c r="C516" s="16"/>
      <c r="D516" s="16">
        <f t="shared" si="12"/>
        <v>0</v>
      </c>
      <c r="E516" s="16">
        <f t="shared" si="13"/>
        <v>0</v>
      </c>
      <c r="F516" s="16"/>
      <c r="G516" s="16"/>
      <c r="H516" s="16"/>
      <c r="I516" s="16"/>
      <c r="J516" s="16"/>
      <c r="K516" s="13"/>
      <c r="L516" s="13"/>
      <c r="M516" s="13"/>
      <c r="N516" s="13"/>
      <c r="O516" s="13"/>
      <c r="P516" s="13"/>
      <c r="Q516" s="13"/>
      <c r="R516" s="13"/>
      <c r="S516" s="13"/>
      <c r="T516" s="13"/>
      <c r="U516" s="13"/>
      <c r="V516" s="13"/>
      <c r="W516" s="13"/>
      <c r="X516" s="13"/>
      <c r="Y516" s="13"/>
      <c r="Z516" s="13"/>
      <c r="AA516" s="13"/>
      <c r="AB516" s="13"/>
    </row>
    <row r="517" spans="1:28" ht="13.2">
      <c r="A517" s="53"/>
      <c r="B517" s="13"/>
      <c r="C517" s="16"/>
      <c r="D517" s="16">
        <f t="shared" si="12"/>
        <v>0</v>
      </c>
      <c r="E517" s="16">
        <f t="shared" si="13"/>
        <v>0</v>
      </c>
      <c r="F517" s="16"/>
      <c r="G517" s="16"/>
      <c r="H517" s="16"/>
      <c r="I517" s="16"/>
      <c r="J517" s="16"/>
      <c r="K517" s="13"/>
      <c r="L517" s="13"/>
      <c r="M517" s="13"/>
      <c r="N517" s="13"/>
      <c r="O517" s="13"/>
      <c r="P517" s="13"/>
      <c r="Q517" s="13"/>
      <c r="R517" s="13"/>
      <c r="S517" s="13"/>
      <c r="T517" s="13"/>
      <c r="U517" s="13"/>
      <c r="V517" s="13"/>
      <c r="W517" s="13"/>
      <c r="X517" s="13"/>
      <c r="Y517" s="13"/>
      <c r="Z517" s="13"/>
      <c r="AA517" s="13"/>
      <c r="AB517" s="13"/>
    </row>
    <row r="518" spans="1:28" ht="13.2">
      <c r="A518" s="53"/>
      <c r="B518" s="13"/>
      <c r="C518" s="16"/>
      <c r="D518" s="16">
        <f t="shared" si="12"/>
        <v>0</v>
      </c>
      <c r="E518" s="16">
        <f t="shared" si="13"/>
        <v>0</v>
      </c>
      <c r="F518" s="16"/>
      <c r="G518" s="16"/>
      <c r="H518" s="16"/>
      <c r="I518" s="16"/>
      <c r="J518" s="16"/>
      <c r="K518" s="13"/>
      <c r="L518" s="13"/>
      <c r="M518" s="13"/>
      <c r="N518" s="13"/>
      <c r="O518" s="13"/>
      <c r="P518" s="13"/>
      <c r="Q518" s="13"/>
      <c r="R518" s="13"/>
      <c r="S518" s="13"/>
      <c r="T518" s="13"/>
      <c r="U518" s="13"/>
      <c r="V518" s="13"/>
      <c r="W518" s="13"/>
      <c r="X518" s="13"/>
      <c r="Y518" s="13"/>
      <c r="Z518" s="13"/>
      <c r="AA518" s="13"/>
      <c r="AB518" s="13"/>
    </row>
    <row r="519" spans="1:28" ht="13.2">
      <c r="A519" s="53"/>
      <c r="B519" s="13"/>
      <c r="C519" s="16"/>
      <c r="D519" s="16">
        <f t="shared" si="12"/>
        <v>0</v>
      </c>
      <c r="E519" s="16">
        <f t="shared" si="13"/>
        <v>0</v>
      </c>
      <c r="F519" s="16"/>
      <c r="G519" s="16"/>
      <c r="H519" s="16"/>
      <c r="I519" s="16"/>
      <c r="J519" s="16"/>
      <c r="K519" s="13"/>
      <c r="L519" s="13"/>
      <c r="M519" s="13"/>
      <c r="N519" s="13"/>
      <c r="O519" s="13"/>
      <c r="P519" s="13"/>
      <c r="Q519" s="13"/>
      <c r="R519" s="13"/>
      <c r="S519" s="13"/>
      <c r="T519" s="13"/>
      <c r="U519" s="13"/>
      <c r="V519" s="13"/>
      <c r="W519" s="13"/>
      <c r="X519" s="13"/>
      <c r="Y519" s="13"/>
      <c r="Z519" s="13"/>
      <c r="AA519" s="13"/>
      <c r="AB519" s="13"/>
    </row>
    <row r="520" spans="1:28" ht="13.2">
      <c r="A520" s="53"/>
      <c r="B520" s="13"/>
      <c r="C520" s="16"/>
      <c r="D520" s="16">
        <f t="shared" si="12"/>
        <v>0</v>
      </c>
      <c r="E520" s="16">
        <f t="shared" si="13"/>
        <v>0</v>
      </c>
      <c r="F520" s="16"/>
      <c r="G520" s="16"/>
      <c r="H520" s="16"/>
      <c r="I520" s="16"/>
      <c r="J520" s="16"/>
      <c r="K520" s="13"/>
      <c r="L520" s="13"/>
      <c r="M520" s="13"/>
      <c r="N520" s="13"/>
      <c r="O520" s="13"/>
      <c r="P520" s="13"/>
      <c r="Q520" s="13"/>
      <c r="R520" s="13"/>
      <c r="S520" s="13"/>
      <c r="T520" s="13"/>
      <c r="U520" s="13"/>
      <c r="V520" s="13"/>
      <c r="W520" s="13"/>
      <c r="X520" s="13"/>
      <c r="Y520" s="13"/>
      <c r="Z520" s="13"/>
      <c r="AA520" s="13"/>
      <c r="AB520" s="13"/>
    </row>
    <row r="521" spans="1:28" ht="13.2">
      <c r="A521" s="53"/>
      <c r="B521" s="13"/>
      <c r="C521" s="16"/>
      <c r="D521" s="16">
        <f t="shared" si="12"/>
        <v>0</v>
      </c>
      <c r="E521" s="16">
        <f t="shared" si="13"/>
        <v>0</v>
      </c>
      <c r="F521" s="16"/>
      <c r="G521" s="16"/>
      <c r="H521" s="16"/>
      <c r="I521" s="16"/>
      <c r="J521" s="16"/>
      <c r="K521" s="13"/>
      <c r="L521" s="13"/>
      <c r="M521" s="13"/>
      <c r="N521" s="13"/>
      <c r="O521" s="13"/>
      <c r="P521" s="13"/>
      <c r="Q521" s="13"/>
      <c r="R521" s="13"/>
      <c r="S521" s="13"/>
      <c r="T521" s="13"/>
      <c r="U521" s="13"/>
      <c r="V521" s="13"/>
      <c r="W521" s="13"/>
      <c r="X521" s="13"/>
      <c r="Y521" s="13"/>
      <c r="Z521" s="13"/>
      <c r="AA521" s="13"/>
      <c r="AB521" s="13"/>
    </row>
    <row r="522" spans="1:28" ht="13.2">
      <c r="A522" s="53"/>
      <c r="B522" s="13"/>
      <c r="C522" s="16"/>
      <c r="D522" s="16">
        <f t="shared" si="12"/>
        <v>0</v>
      </c>
      <c r="E522" s="16">
        <f t="shared" si="13"/>
        <v>0</v>
      </c>
      <c r="F522" s="16"/>
      <c r="G522" s="16"/>
      <c r="H522" s="16"/>
      <c r="I522" s="16"/>
      <c r="J522" s="16"/>
      <c r="K522" s="13"/>
      <c r="L522" s="13"/>
      <c r="M522" s="13"/>
      <c r="N522" s="13"/>
      <c r="O522" s="13"/>
      <c r="P522" s="13"/>
      <c r="Q522" s="13"/>
      <c r="R522" s="13"/>
      <c r="S522" s="13"/>
      <c r="T522" s="13"/>
      <c r="U522" s="13"/>
      <c r="V522" s="13"/>
      <c r="W522" s="13"/>
      <c r="X522" s="13"/>
      <c r="Y522" s="13"/>
      <c r="Z522" s="13"/>
      <c r="AA522" s="13"/>
      <c r="AB522" s="13"/>
    </row>
    <row r="523" spans="1:28" ht="13.2">
      <c r="A523" s="53"/>
      <c r="B523" s="13"/>
      <c r="C523" s="16"/>
      <c r="D523" s="16">
        <f t="shared" si="12"/>
        <v>0</v>
      </c>
      <c r="E523" s="16">
        <f t="shared" si="13"/>
        <v>0</v>
      </c>
      <c r="F523" s="16"/>
      <c r="G523" s="16"/>
      <c r="H523" s="16"/>
      <c r="I523" s="16"/>
      <c r="J523" s="16"/>
      <c r="K523" s="13"/>
      <c r="L523" s="13"/>
      <c r="M523" s="13"/>
      <c r="N523" s="13"/>
      <c r="O523" s="13"/>
      <c r="P523" s="13"/>
      <c r="Q523" s="13"/>
      <c r="R523" s="13"/>
      <c r="S523" s="13"/>
      <c r="T523" s="13"/>
      <c r="U523" s="13"/>
      <c r="V523" s="13"/>
      <c r="W523" s="13"/>
      <c r="X523" s="13"/>
      <c r="Y523" s="13"/>
      <c r="Z523" s="13"/>
      <c r="AA523" s="13"/>
      <c r="AB523" s="13"/>
    </row>
    <row r="524" spans="1:28" ht="13.2">
      <c r="A524" s="53"/>
      <c r="B524" s="13"/>
      <c r="C524" s="16"/>
      <c r="D524" s="16">
        <f t="shared" si="12"/>
        <v>0</v>
      </c>
      <c r="E524" s="16">
        <f t="shared" si="13"/>
        <v>0</v>
      </c>
      <c r="F524" s="16"/>
      <c r="G524" s="16"/>
      <c r="H524" s="16"/>
      <c r="I524" s="16"/>
      <c r="J524" s="16"/>
      <c r="K524" s="13"/>
      <c r="L524" s="13"/>
      <c r="M524" s="13"/>
      <c r="N524" s="13"/>
      <c r="O524" s="13"/>
      <c r="P524" s="13"/>
      <c r="Q524" s="13"/>
      <c r="R524" s="13"/>
      <c r="S524" s="13"/>
      <c r="T524" s="13"/>
      <c r="U524" s="13"/>
      <c r="V524" s="13"/>
      <c r="W524" s="13"/>
      <c r="X524" s="13"/>
      <c r="Y524" s="13"/>
      <c r="Z524" s="13"/>
      <c r="AA524" s="13"/>
      <c r="AB524" s="13"/>
    </row>
    <row r="525" spans="1:28" ht="13.2">
      <c r="A525" s="53"/>
      <c r="B525" s="13"/>
      <c r="C525" s="16"/>
      <c r="D525" s="16">
        <f t="shared" si="12"/>
        <v>0</v>
      </c>
      <c r="E525" s="16">
        <f t="shared" si="13"/>
        <v>0</v>
      </c>
      <c r="F525" s="16"/>
      <c r="G525" s="16"/>
      <c r="H525" s="16"/>
      <c r="I525" s="16"/>
      <c r="J525" s="16"/>
      <c r="K525" s="13"/>
      <c r="L525" s="13"/>
      <c r="M525" s="13"/>
      <c r="N525" s="13"/>
      <c r="O525" s="13"/>
      <c r="P525" s="13"/>
      <c r="Q525" s="13"/>
      <c r="R525" s="13"/>
      <c r="S525" s="13"/>
      <c r="T525" s="13"/>
      <c r="U525" s="13"/>
      <c r="V525" s="13"/>
      <c r="W525" s="13"/>
      <c r="X525" s="13"/>
      <c r="Y525" s="13"/>
      <c r="Z525" s="13"/>
      <c r="AA525" s="13"/>
      <c r="AB525" s="13"/>
    </row>
    <row r="526" spans="1:28" ht="13.2">
      <c r="A526" s="53"/>
      <c r="B526" s="13"/>
      <c r="C526" s="16"/>
      <c r="D526" s="16">
        <f t="shared" si="12"/>
        <v>0</v>
      </c>
      <c r="E526" s="16">
        <f t="shared" si="13"/>
        <v>0</v>
      </c>
      <c r="F526" s="16"/>
      <c r="G526" s="16"/>
      <c r="H526" s="16"/>
      <c r="I526" s="16"/>
      <c r="J526" s="16"/>
      <c r="K526" s="13"/>
      <c r="L526" s="13"/>
      <c r="M526" s="13"/>
      <c r="N526" s="13"/>
      <c r="O526" s="13"/>
      <c r="P526" s="13"/>
      <c r="Q526" s="13"/>
      <c r="R526" s="13"/>
      <c r="S526" s="13"/>
      <c r="T526" s="13"/>
      <c r="U526" s="13"/>
      <c r="V526" s="13"/>
      <c r="W526" s="13"/>
      <c r="X526" s="13"/>
      <c r="Y526" s="13"/>
      <c r="Z526" s="13"/>
      <c r="AA526" s="13"/>
      <c r="AB526" s="13"/>
    </row>
    <row r="527" spans="1:28" ht="13.2">
      <c r="A527" s="53"/>
      <c r="B527" s="13"/>
      <c r="C527" s="16"/>
      <c r="D527" s="16">
        <f t="shared" si="12"/>
        <v>0</v>
      </c>
      <c r="E527" s="16">
        <f t="shared" si="13"/>
        <v>0</v>
      </c>
      <c r="F527" s="16"/>
      <c r="G527" s="16"/>
      <c r="H527" s="16"/>
      <c r="I527" s="16"/>
      <c r="J527" s="16"/>
      <c r="K527" s="13"/>
      <c r="L527" s="13"/>
      <c r="M527" s="13"/>
      <c r="N527" s="13"/>
      <c r="O527" s="13"/>
      <c r="P527" s="13"/>
      <c r="Q527" s="13"/>
      <c r="R527" s="13"/>
      <c r="S527" s="13"/>
      <c r="T527" s="13"/>
      <c r="U527" s="13"/>
      <c r="V527" s="13"/>
      <c r="W527" s="13"/>
      <c r="X527" s="13"/>
      <c r="Y527" s="13"/>
      <c r="Z527" s="13"/>
      <c r="AA527" s="13"/>
      <c r="AB527" s="13"/>
    </row>
    <row r="528" spans="1:28" ht="13.2">
      <c r="A528" s="53"/>
      <c r="B528" s="13"/>
      <c r="C528" s="16"/>
      <c r="D528" s="16">
        <f t="shared" si="12"/>
        <v>0</v>
      </c>
      <c r="E528" s="16">
        <f t="shared" si="13"/>
        <v>0</v>
      </c>
      <c r="F528" s="16"/>
      <c r="G528" s="16"/>
      <c r="H528" s="16"/>
      <c r="I528" s="16"/>
      <c r="J528" s="16"/>
      <c r="K528" s="13"/>
      <c r="L528" s="13"/>
      <c r="M528" s="13"/>
      <c r="N528" s="13"/>
      <c r="O528" s="13"/>
      <c r="P528" s="13"/>
      <c r="Q528" s="13"/>
      <c r="R528" s="13"/>
      <c r="S528" s="13"/>
      <c r="T528" s="13"/>
      <c r="U528" s="13"/>
      <c r="V528" s="13"/>
      <c r="W528" s="13"/>
      <c r="X528" s="13"/>
      <c r="Y528" s="13"/>
      <c r="Z528" s="13"/>
      <c r="AA528" s="13"/>
      <c r="AB528" s="13"/>
    </row>
    <row r="529" spans="1:28" ht="13.2">
      <c r="A529" s="53"/>
      <c r="B529" s="13"/>
      <c r="C529" s="16"/>
      <c r="D529" s="16">
        <f t="shared" si="12"/>
        <v>0</v>
      </c>
      <c r="E529" s="16">
        <f t="shared" si="13"/>
        <v>0</v>
      </c>
      <c r="F529" s="16"/>
      <c r="G529" s="16"/>
      <c r="H529" s="16"/>
      <c r="I529" s="16"/>
      <c r="J529" s="16"/>
      <c r="K529" s="13"/>
      <c r="L529" s="13"/>
      <c r="M529" s="13"/>
      <c r="N529" s="13"/>
      <c r="O529" s="13"/>
      <c r="P529" s="13"/>
      <c r="Q529" s="13"/>
      <c r="R529" s="13"/>
      <c r="S529" s="13"/>
      <c r="T529" s="13"/>
      <c r="U529" s="13"/>
      <c r="V529" s="13"/>
      <c r="W529" s="13"/>
      <c r="X529" s="13"/>
      <c r="Y529" s="13"/>
      <c r="Z529" s="13"/>
      <c r="AA529" s="13"/>
      <c r="AB529" s="13"/>
    </row>
    <row r="530" spans="1:28" ht="13.2">
      <c r="A530" s="53"/>
      <c r="B530" s="13"/>
      <c r="C530" s="16"/>
      <c r="D530" s="16">
        <f t="shared" si="12"/>
        <v>0</v>
      </c>
      <c r="E530" s="16">
        <f t="shared" si="13"/>
        <v>0</v>
      </c>
      <c r="F530" s="16"/>
      <c r="G530" s="16"/>
      <c r="H530" s="16"/>
      <c r="I530" s="16"/>
      <c r="J530" s="16"/>
      <c r="K530" s="13"/>
      <c r="L530" s="13"/>
      <c r="M530" s="13"/>
      <c r="N530" s="13"/>
      <c r="O530" s="13"/>
      <c r="P530" s="13"/>
      <c r="Q530" s="13"/>
      <c r="R530" s="13"/>
      <c r="S530" s="13"/>
      <c r="T530" s="13"/>
      <c r="U530" s="13"/>
      <c r="V530" s="13"/>
      <c r="W530" s="13"/>
      <c r="X530" s="13"/>
      <c r="Y530" s="13"/>
      <c r="Z530" s="13"/>
      <c r="AA530" s="13"/>
      <c r="AB530" s="13"/>
    </row>
    <row r="531" spans="1:28" ht="13.2">
      <c r="A531" s="53"/>
      <c r="B531" s="13"/>
      <c r="C531" s="16"/>
      <c r="D531" s="16">
        <f t="shared" si="12"/>
        <v>0</v>
      </c>
      <c r="E531" s="16">
        <f t="shared" si="13"/>
        <v>0</v>
      </c>
      <c r="F531" s="16"/>
      <c r="G531" s="16"/>
      <c r="H531" s="16"/>
      <c r="I531" s="16"/>
      <c r="J531" s="16"/>
      <c r="K531" s="13"/>
      <c r="L531" s="13"/>
      <c r="M531" s="13"/>
      <c r="N531" s="13"/>
      <c r="O531" s="13"/>
      <c r="P531" s="13"/>
      <c r="Q531" s="13"/>
      <c r="R531" s="13"/>
      <c r="S531" s="13"/>
      <c r="T531" s="13"/>
      <c r="U531" s="13"/>
      <c r="V531" s="13"/>
      <c r="W531" s="13"/>
      <c r="X531" s="13"/>
      <c r="Y531" s="13"/>
      <c r="Z531" s="13"/>
      <c r="AA531" s="13"/>
      <c r="AB531" s="13"/>
    </row>
    <row r="532" spans="1:28" ht="13.2">
      <c r="A532" s="53"/>
      <c r="B532" s="13"/>
      <c r="C532" s="16"/>
      <c r="D532" s="16">
        <f t="shared" si="12"/>
        <v>0</v>
      </c>
      <c r="E532" s="16">
        <f t="shared" si="13"/>
        <v>0</v>
      </c>
      <c r="F532" s="16"/>
      <c r="G532" s="16"/>
      <c r="H532" s="16"/>
      <c r="I532" s="16"/>
      <c r="J532" s="16"/>
      <c r="K532" s="13"/>
      <c r="L532" s="13"/>
      <c r="M532" s="13"/>
      <c r="N532" s="13"/>
      <c r="O532" s="13"/>
      <c r="P532" s="13"/>
      <c r="Q532" s="13"/>
      <c r="R532" s="13"/>
      <c r="S532" s="13"/>
      <c r="T532" s="13"/>
      <c r="U532" s="13"/>
      <c r="V532" s="13"/>
      <c r="W532" s="13"/>
      <c r="X532" s="13"/>
      <c r="Y532" s="13"/>
      <c r="Z532" s="13"/>
      <c r="AA532" s="13"/>
      <c r="AB532" s="13"/>
    </row>
    <row r="533" spans="1:28" ht="13.2">
      <c r="A533" s="53"/>
      <c r="B533" s="13"/>
      <c r="C533" s="16"/>
      <c r="D533" s="16">
        <f t="shared" si="12"/>
        <v>0</v>
      </c>
      <c r="E533" s="16">
        <f t="shared" si="13"/>
        <v>0</v>
      </c>
      <c r="F533" s="16"/>
      <c r="G533" s="16"/>
      <c r="H533" s="16"/>
      <c r="I533" s="16"/>
      <c r="J533" s="16"/>
      <c r="K533" s="13"/>
      <c r="L533" s="13"/>
      <c r="M533" s="13"/>
      <c r="N533" s="13"/>
      <c r="O533" s="13"/>
      <c r="P533" s="13"/>
      <c r="Q533" s="13"/>
      <c r="R533" s="13"/>
      <c r="S533" s="13"/>
      <c r="T533" s="13"/>
      <c r="U533" s="13"/>
      <c r="V533" s="13"/>
      <c r="W533" s="13"/>
      <c r="X533" s="13"/>
      <c r="Y533" s="13"/>
      <c r="Z533" s="13"/>
      <c r="AA533" s="13"/>
      <c r="AB533" s="13"/>
    </row>
    <row r="534" spans="1:28" ht="13.2">
      <c r="A534" s="53"/>
      <c r="B534" s="13"/>
      <c r="C534" s="16"/>
      <c r="D534" s="16">
        <f t="shared" si="12"/>
        <v>0</v>
      </c>
      <c r="E534" s="16">
        <f t="shared" si="13"/>
        <v>0</v>
      </c>
      <c r="F534" s="16"/>
      <c r="G534" s="16"/>
      <c r="H534" s="16"/>
      <c r="I534" s="16"/>
      <c r="J534" s="16"/>
      <c r="K534" s="13"/>
      <c r="L534" s="13"/>
      <c r="M534" s="13"/>
      <c r="N534" s="13"/>
      <c r="O534" s="13"/>
      <c r="P534" s="13"/>
      <c r="Q534" s="13"/>
      <c r="R534" s="13"/>
      <c r="S534" s="13"/>
      <c r="T534" s="13"/>
      <c r="U534" s="13"/>
      <c r="V534" s="13"/>
      <c r="W534" s="13"/>
      <c r="X534" s="13"/>
      <c r="Y534" s="13"/>
      <c r="Z534" s="13"/>
      <c r="AA534" s="13"/>
      <c r="AB534" s="13"/>
    </row>
    <row r="535" spans="1:28" ht="13.2">
      <c r="A535" s="53"/>
      <c r="B535" s="13"/>
      <c r="C535" s="16"/>
      <c r="D535" s="16">
        <f t="shared" si="12"/>
        <v>0</v>
      </c>
      <c r="E535" s="16">
        <f t="shared" si="13"/>
        <v>0</v>
      </c>
      <c r="F535" s="16"/>
      <c r="G535" s="16"/>
      <c r="H535" s="16"/>
      <c r="I535" s="16"/>
      <c r="J535" s="16"/>
      <c r="K535" s="13"/>
      <c r="L535" s="13"/>
      <c r="M535" s="13"/>
      <c r="N535" s="13"/>
      <c r="O535" s="13"/>
      <c r="P535" s="13"/>
      <c r="Q535" s="13"/>
      <c r="R535" s="13"/>
      <c r="S535" s="13"/>
      <c r="T535" s="13"/>
      <c r="U535" s="13"/>
      <c r="V535" s="13"/>
      <c r="W535" s="13"/>
      <c r="X535" s="13"/>
      <c r="Y535" s="13"/>
      <c r="Z535" s="13"/>
      <c r="AA535" s="13"/>
      <c r="AB535" s="13"/>
    </row>
    <row r="536" spans="1:28" ht="13.2">
      <c r="A536" s="53"/>
      <c r="B536" s="13"/>
      <c r="C536" s="16"/>
      <c r="D536" s="16">
        <f t="shared" si="12"/>
        <v>0</v>
      </c>
      <c r="E536" s="16">
        <f t="shared" si="13"/>
        <v>0</v>
      </c>
      <c r="F536" s="16"/>
      <c r="G536" s="16"/>
      <c r="H536" s="16"/>
      <c r="I536" s="16"/>
      <c r="J536" s="16"/>
      <c r="K536" s="13"/>
      <c r="L536" s="13"/>
      <c r="M536" s="13"/>
      <c r="N536" s="13"/>
      <c r="O536" s="13"/>
      <c r="P536" s="13"/>
      <c r="Q536" s="13"/>
      <c r="R536" s="13"/>
      <c r="S536" s="13"/>
      <c r="T536" s="13"/>
      <c r="U536" s="13"/>
      <c r="V536" s="13"/>
      <c r="W536" s="13"/>
      <c r="X536" s="13"/>
      <c r="Y536" s="13"/>
      <c r="Z536" s="13"/>
      <c r="AA536" s="13"/>
      <c r="AB536" s="13"/>
    </row>
    <row r="537" spans="1:28" ht="13.2">
      <c r="A537" s="53"/>
      <c r="B537" s="13"/>
      <c r="C537" s="16"/>
      <c r="D537" s="16">
        <f t="shared" si="12"/>
        <v>0</v>
      </c>
      <c r="E537" s="16">
        <f t="shared" si="13"/>
        <v>0</v>
      </c>
      <c r="F537" s="16"/>
      <c r="G537" s="16"/>
      <c r="H537" s="16"/>
      <c r="I537" s="16"/>
      <c r="J537" s="16"/>
      <c r="K537" s="13"/>
      <c r="L537" s="13"/>
      <c r="M537" s="13"/>
      <c r="N537" s="13"/>
      <c r="O537" s="13"/>
      <c r="P537" s="13"/>
      <c r="Q537" s="13"/>
      <c r="R537" s="13"/>
      <c r="S537" s="13"/>
      <c r="T537" s="13"/>
      <c r="U537" s="13"/>
      <c r="V537" s="13"/>
      <c r="W537" s="13"/>
      <c r="X537" s="13"/>
      <c r="Y537" s="13"/>
      <c r="Z537" s="13"/>
      <c r="AA537" s="13"/>
      <c r="AB537" s="13"/>
    </row>
    <row r="538" spans="1:28" ht="13.2">
      <c r="A538" s="53"/>
      <c r="B538" s="13"/>
      <c r="C538" s="16"/>
      <c r="D538" s="16">
        <f t="shared" si="12"/>
        <v>0</v>
      </c>
      <c r="E538" s="16">
        <f t="shared" si="13"/>
        <v>0</v>
      </c>
      <c r="F538" s="16"/>
      <c r="G538" s="16"/>
      <c r="H538" s="16"/>
      <c r="I538" s="16"/>
      <c r="J538" s="16"/>
      <c r="K538" s="13"/>
      <c r="L538" s="13"/>
      <c r="M538" s="13"/>
      <c r="N538" s="13"/>
      <c r="O538" s="13"/>
      <c r="P538" s="13"/>
      <c r="Q538" s="13"/>
      <c r="R538" s="13"/>
      <c r="S538" s="13"/>
      <c r="T538" s="13"/>
      <c r="U538" s="13"/>
      <c r="V538" s="13"/>
      <c r="W538" s="13"/>
      <c r="X538" s="13"/>
      <c r="Y538" s="13"/>
      <c r="Z538" s="13"/>
      <c r="AA538" s="13"/>
      <c r="AB538" s="13"/>
    </row>
    <row r="539" spans="1:28" ht="13.2">
      <c r="A539" s="53"/>
      <c r="B539" s="13"/>
      <c r="C539" s="16"/>
      <c r="D539" s="16">
        <f t="shared" si="12"/>
        <v>0</v>
      </c>
      <c r="E539" s="16">
        <f t="shared" si="13"/>
        <v>0</v>
      </c>
      <c r="F539" s="16"/>
      <c r="G539" s="16"/>
      <c r="H539" s="16"/>
      <c r="I539" s="16"/>
      <c r="J539" s="16"/>
      <c r="K539" s="13"/>
      <c r="L539" s="13"/>
      <c r="M539" s="13"/>
      <c r="N539" s="13"/>
      <c r="O539" s="13"/>
      <c r="P539" s="13"/>
      <c r="Q539" s="13"/>
      <c r="R539" s="13"/>
      <c r="S539" s="13"/>
      <c r="T539" s="13"/>
      <c r="U539" s="13"/>
      <c r="V539" s="13"/>
      <c r="W539" s="13"/>
      <c r="X539" s="13"/>
      <c r="Y539" s="13"/>
      <c r="Z539" s="13"/>
      <c r="AA539" s="13"/>
      <c r="AB539" s="13"/>
    </row>
    <row r="540" spans="1:28" ht="13.2">
      <c r="A540" s="53"/>
      <c r="B540" s="13"/>
      <c r="C540" s="16"/>
      <c r="D540" s="16">
        <f t="shared" si="12"/>
        <v>0</v>
      </c>
      <c r="E540" s="16">
        <f t="shared" si="13"/>
        <v>0</v>
      </c>
      <c r="F540" s="16"/>
      <c r="G540" s="16"/>
      <c r="H540" s="16"/>
      <c r="I540" s="16"/>
      <c r="J540" s="16"/>
      <c r="K540" s="13"/>
      <c r="L540" s="13"/>
      <c r="M540" s="13"/>
      <c r="N540" s="13"/>
      <c r="O540" s="13"/>
      <c r="P540" s="13"/>
      <c r="Q540" s="13"/>
      <c r="R540" s="13"/>
      <c r="S540" s="13"/>
      <c r="T540" s="13"/>
      <c r="U540" s="13"/>
      <c r="V540" s="13"/>
      <c r="W540" s="13"/>
      <c r="X540" s="13"/>
      <c r="Y540" s="13"/>
      <c r="Z540" s="13"/>
      <c r="AA540" s="13"/>
      <c r="AB540" s="13"/>
    </row>
    <row r="541" spans="1:28" ht="13.2">
      <c r="A541" s="53"/>
      <c r="B541" s="13"/>
      <c r="C541" s="16"/>
      <c r="D541" s="16">
        <f t="shared" si="12"/>
        <v>0</v>
      </c>
      <c r="E541" s="16">
        <f t="shared" si="13"/>
        <v>0</v>
      </c>
      <c r="F541" s="16"/>
      <c r="G541" s="16"/>
      <c r="H541" s="16"/>
      <c r="I541" s="16"/>
      <c r="J541" s="16"/>
      <c r="K541" s="13"/>
      <c r="L541" s="13"/>
      <c r="M541" s="13"/>
      <c r="N541" s="13"/>
      <c r="O541" s="13"/>
      <c r="P541" s="13"/>
      <c r="Q541" s="13"/>
      <c r="R541" s="13"/>
      <c r="S541" s="13"/>
      <c r="T541" s="13"/>
      <c r="U541" s="13"/>
      <c r="V541" s="13"/>
      <c r="W541" s="13"/>
      <c r="X541" s="13"/>
      <c r="Y541" s="13"/>
      <c r="Z541" s="13"/>
      <c r="AA541" s="13"/>
      <c r="AB541" s="13"/>
    </row>
    <row r="542" spans="1:28" ht="13.2">
      <c r="A542" s="53"/>
      <c r="B542" s="13"/>
      <c r="C542" s="16"/>
      <c r="D542" s="16">
        <f t="shared" si="12"/>
        <v>0</v>
      </c>
      <c r="E542" s="16">
        <f t="shared" si="13"/>
        <v>0</v>
      </c>
      <c r="F542" s="16"/>
      <c r="G542" s="16"/>
      <c r="H542" s="16"/>
      <c r="I542" s="16"/>
      <c r="J542" s="16"/>
      <c r="K542" s="13"/>
      <c r="L542" s="13"/>
      <c r="M542" s="13"/>
      <c r="N542" s="13"/>
      <c r="O542" s="13"/>
      <c r="P542" s="13"/>
      <c r="Q542" s="13"/>
      <c r="R542" s="13"/>
      <c r="S542" s="13"/>
      <c r="T542" s="13"/>
      <c r="U542" s="13"/>
      <c r="V542" s="13"/>
      <c r="W542" s="13"/>
      <c r="X542" s="13"/>
      <c r="Y542" s="13"/>
      <c r="Z542" s="13"/>
      <c r="AA542" s="13"/>
      <c r="AB542" s="13"/>
    </row>
    <row r="543" spans="1:28" ht="13.2">
      <c r="A543" s="53"/>
      <c r="B543" s="13"/>
      <c r="C543" s="16"/>
      <c r="D543" s="16">
        <f t="shared" si="12"/>
        <v>0</v>
      </c>
      <c r="E543" s="16">
        <f t="shared" si="13"/>
        <v>0</v>
      </c>
      <c r="F543" s="16"/>
      <c r="G543" s="16"/>
      <c r="H543" s="16"/>
      <c r="I543" s="16"/>
      <c r="J543" s="16"/>
      <c r="K543" s="13"/>
      <c r="L543" s="13"/>
      <c r="M543" s="13"/>
      <c r="N543" s="13"/>
      <c r="O543" s="13"/>
      <c r="P543" s="13"/>
      <c r="Q543" s="13"/>
      <c r="R543" s="13"/>
      <c r="S543" s="13"/>
      <c r="T543" s="13"/>
      <c r="U543" s="13"/>
      <c r="V543" s="13"/>
      <c r="W543" s="13"/>
      <c r="X543" s="13"/>
      <c r="Y543" s="13"/>
      <c r="Z543" s="13"/>
      <c r="AA543" s="13"/>
      <c r="AB543" s="13"/>
    </row>
    <row r="544" spans="1:28" ht="13.2">
      <c r="A544" s="53"/>
      <c r="B544" s="13"/>
      <c r="C544" s="16"/>
      <c r="D544" s="16">
        <f t="shared" si="12"/>
        <v>0</v>
      </c>
      <c r="E544" s="16">
        <f t="shared" si="13"/>
        <v>0</v>
      </c>
      <c r="F544" s="16"/>
      <c r="G544" s="16"/>
      <c r="H544" s="16"/>
      <c r="I544" s="16"/>
      <c r="J544" s="16"/>
      <c r="K544" s="13"/>
      <c r="L544" s="13"/>
      <c r="M544" s="13"/>
      <c r="N544" s="13"/>
      <c r="O544" s="13"/>
      <c r="P544" s="13"/>
      <c r="Q544" s="13"/>
      <c r="R544" s="13"/>
      <c r="S544" s="13"/>
      <c r="T544" s="13"/>
      <c r="U544" s="13"/>
      <c r="V544" s="13"/>
      <c r="W544" s="13"/>
      <c r="X544" s="13"/>
      <c r="Y544" s="13"/>
      <c r="Z544" s="13"/>
      <c r="AA544" s="13"/>
      <c r="AB544" s="13"/>
    </row>
    <row r="545" spans="1:28" ht="13.2">
      <c r="A545" s="53"/>
      <c r="B545" s="13"/>
      <c r="C545" s="16"/>
      <c r="D545" s="16">
        <f t="shared" si="12"/>
        <v>0</v>
      </c>
      <c r="E545" s="16">
        <f t="shared" si="13"/>
        <v>0</v>
      </c>
      <c r="F545" s="16"/>
      <c r="G545" s="16"/>
      <c r="H545" s="16"/>
      <c r="I545" s="16"/>
      <c r="J545" s="16"/>
      <c r="K545" s="13"/>
      <c r="L545" s="13"/>
      <c r="M545" s="13"/>
      <c r="N545" s="13"/>
      <c r="O545" s="13"/>
      <c r="P545" s="13"/>
      <c r="Q545" s="13"/>
      <c r="R545" s="13"/>
      <c r="S545" s="13"/>
      <c r="T545" s="13"/>
      <c r="U545" s="13"/>
      <c r="V545" s="13"/>
      <c r="W545" s="13"/>
      <c r="X545" s="13"/>
      <c r="Y545" s="13"/>
      <c r="Z545" s="13"/>
      <c r="AA545" s="13"/>
      <c r="AB545" s="13"/>
    </row>
    <row r="546" spans="1:28" ht="13.2">
      <c r="A546" s="53"/>
      <c r="B546" s="13"/>
      <c r="C546" s="16"/>
      <c r="D546" s="16">
        <f t="shared" si="12"/>
        <v>0</v>
      </c>
      <c r="E546" s="16">
        <f t="shared" si="13"/>
        <v>0</v>
      </c>
      <c r="F546" s="16"/>
      <c r="G546" s="16"/>
      <c r="H546" s="16"/>
      <c r="I546" s="16"/>
      <c r="J546" s="16"/>
      <c r="K546" s="13"/>
      <c r="L546" s="13"/>
      <c r="M546" s="13"/>
      <c r="N546" s="13"/>
      <c r="O546" s="13"/>
      <c r="P546" s="13"/>
      <c r="Q546" s="13"/>
      <c r="R546" s="13"/>
      <c r="S546" s="13"/>
      <c r="T546" s="13"/>
      <c r="U546" s="13"/>
      <c r="V546" s="13"/>
      <c r="W546" s="13"/>
      <c r="X546" s="13"/>
      <c r="Y546" s="13"/>
      <c r="Z546" s="13"/>
      <c r="AA546" s="13"/>
      <c r="AB546" s="13"/>
    </row>
    <row r="547" spans="1:28" ht="13.2">
      <c r="A547" s="53"/>
      <c r="B547" s="13"/>
      <c r="C547" s="16"/>
      <c r="D547" s="16">
        <f t="shared" si="12"/>
        <v>0</v>
      </c>
      <c r="E547" s="16">
        <f t="shared" si="13"/>
        <v>0</v>
      </c>
      <c r="F547" s="16"/>
      <c r="G547" s="16"/>
      <c r="H547" s="16"/>
      <c r="I547" s="16"/>
      <c r="J547" s="16"/>
      <c r="K547" s="13"/>
      <c r="L547" s="13"/>
      <c r="M547" s="13"/>
      <c r="N547" s="13"/>
      <c r="O547" s="13"/>
      <c r="P547" s="13"/>
      <c r="Q547" s="13"/>
      <c r="R547" s="13"/>
      <c r="S547" s="13"/>
      <c r="T547" s="13"/>
      <c r="U547" s="13"/>
      <c r="V547" s="13"/>
      <c r="W547" s="13"/>
      <c r="X547" s="13"/>
      <c r="Y547" s="13"/>
      <c r="Z547" s="13"/>
      <c r="AA547" s="13"/>
      <c r="AB547" s="13"/>
    </row>
    <row r="548" spans="1:28" ht="13.2">
      <c r="A548" s="53"/>
      <c r="B548" s="13"/>
      <c r="C548" s="16"/>
      <c r="D548" s="16">
        <f t="shared" si="12"/>
        <v>0</v>
      </c>
      <c r="E548" s="16">
        <f t="shared" si="13"/>
        <v>0</v>
      </c>
      <c r="F548" s="16"/>
      <c r="G548" s="16"/>
      <c r="H548" s="16"/>
      <c r="I548" s="16"/>
      <c r="J548" s="16"/>
      <c r="K548" s="13"/>
      <c r="L548" s="13"/>
      <c r="M548" s="13"/>
      <c r="N548" s="13"/>
      <c r="O548" s="13"/>
      <c r="P548" s="13"/>
      <c r="Q548" s="13"/>
      <c r="R548" s="13"/>
      <c r="S548" s="13"/>
      <c r="T548" s="13"/>
      <c r="U548" s="13"/>
      <c r="V548" s="13"/>
      <c r="W548" s="13"/>
      <c r="X548" s="13"/>
      <c r="Y548" s="13"/>
      <c r="Z548" s="13"/>
      <c r="AA548" s="13"/>
      <c r="AB548" s="13"/>
    </row>
    <row r="549" spans="1:28" ht="13.2">
      <c r="A549" s="53"/>
      <c r="B549" s="13"/>
      <c r="C549" s="16"/>
      <c r="D549" s="16">
        <f t="shared" si="12"/>
        <v>0</v>
      </c>
      <c r="E549" s="16">
        <f t="shared" si="13"/>
        <v>0</v>
      </c>
      <c r="F549" s="16"/>
      <c r="G549" s="16"/>
      <c r="H549" s="16"/>
      <c r="I549" s="16"/>
      <c r="J549" s="16"/>
      <c r="K549" s="13"/>
      <c r="L549" s="13"/>
      <c r="M549" s="13"/>
      <c r="N549" s="13"/>
      <c r="O549" s="13"/>
      <c r="P549" s="13"/>
      <c r="Q549" s="13"/>
      <c r="R549" s="13"/>
      <c r="S549" s="13"/>
      <c r="T549" s="13"/>
      <c r="U549" s="13"/>
      <c r="V549" s="13"/>
      <c r="W549" s="13"/>
      <c r="X549" s="13"/>
      <c r="Y549" s="13"/>
      <c r="Z549" s="13"/>
      <c r="AA549" s="13"/>
      <c r="AB549" s="13"/>
    </row>
    <row r="550" spans="1:28" ht="13.2">
      <c r="A550" s="53"/>
      <c r="B550" s="13"/>
      <c r="C550" s="16"/>
      <c r="D550" s="16">
        <f t="shared" si="12"/>
        <v>0</v>
      </c>
      <c r="E550" s="16">
        <f t="shared" si="13"/>
        <v>0</v>
      </c>
      <c r="F550" s="16"/>
      <c r="G550" s="16"/>
      <c r="H550" s="16"/>
      <c r="I550" s="16"/>
      <c r="J550" s="16"/>
      <c r="K550" s="13"/>
      <c r="L550" s="13"/>
      <c r="M550" s="13"/>
      <c r="N550" s="13"/>
      <c r="O550" s="13"/>
      <c r="P550" s="13"/>
      <c r="Q550" s="13"/>
      <c r="R550" s="13"/>
      <c r="S550" s="13"/>
      <c r="T550" s="13"/>
      <c r="U550" s="13"/>
      <c r="V550" s="13"/>
      <c r="W550" s="13"/>
      <c r="X550" s="13"/>
      <c r="Y550" s="13"/>
      <c r="Z550" s="13"/>
      <c r="AA550" s="13"/>
      <c r="AB550" s="13"/>
    </row>
    <row r="551" spans="1:28" ht="13.2">
      <c r="A551" s="53"/>
      <c r="B551" s="13"/>
      <c r="C551" s="16"/>
      <c r="D551" s="16">
        <f t="shared" si="12"/>
        <v>0</v>
      </c>
      <c r="E551" s="16">
        <f t="shared" si="13"/>
        <v>0</v>
      </c>
      <c r="F551" s="16"/>
      <c r="G551" s="16"/>
      <c r="H551" s="16"/>
      <c r="I551" s="16"/>
      <c r="J551" s="16"/>
      <c r="K551" s="13"/>
      <c r="L551" s="13"/>
      <c r="M551" s="13"/>
      <c r="N551" s="13"/>
      <c r="O551" s="13"/>
      <c r="P551" s="13"/>
      <c r="Q551" s="13"/>
      <c r="R551" s="13"/>
      <c r="S551" s="13"/>
      <c r="T551" s="13"/>
      <c r="U551" s="13"/>
      <c r="V551" s="13"/>
      <c r="W551" s="13"/>
      <c r="X551" s="13"/>
      <c r="Y551" s="13"/>
      <c r="Z551" s="13"/>
      <c r="AA551" s="13"/>
      <c r="AB551" s="13"/>
    </row>
    <row r="552" spans="1:28" ht="13.2">
      <c r="A552" s="53"/>
      <c r="B552" s="13"/>
      <c r="C552" s="16"/>
      <c r="D552" s="16">
        <f t="shared" si="12"/>
        <v>0</v>
      </c>
      <c r="E552" s="16">
        <f t="shared" si="13"/>
        <v>0</v>
      </c>
      <c r="F552" s="16"/>
      <c r="G552" s="16"/>
      <c r="H552" s="16"/>
      <c r="I552" s="16"/>
      <c r="J552" s="16"/>
      <c r="K552" s="13"/>
      <c r="L552" s="13"/>
      <c r="M552" s="13"/>
      <c r="N552" s="13"/>
      <c r="O552" s="13"/>
      <c r="P552" s="13"/>
      <c r="Q552" s="13"/>
      <c r="R552" s="13"/>
      <c r="S552" s="13"/>
      <c r="T552" s="13"/>
      <c r="U552" s="13"/>
      <c r="V552" s="13"/>
      <c r="W552" s="13"/>
      <c r="X552" s="13"/>
      <c r="Y552" s="13"/>
      <c r="Z552" s="13"/>
      <c r="AA552" s="13"/>
      <c r="AB552" s="13"/>
    </row>
    <row r="553" spans="1:28" ht="13.2">
      <c r="A553" s="53"/>
      <c r="B553" s="13"/>
      <c r="C553" s="16"/>
      <c r="D553" s="16">
        <f t="shared" si="12"/>
        <v>0</v>
      </c>
      <c r="E553" s="16">
        <f t="shared" si="13"/>
        <v>0</v>
      </c>
      <c r="F553" s="16"/>
      <c r="G553" s="16"/>
      <c r="H553" s="16"/>
      <c r="I553" s="16"/>
      <c r="J553" s="16"/>
      <c r="K553" s="13"/>
      <c r="L553" s="13"/>
      <c r="M553" s="13"/>
      <c r="N553" s="13"/>
      <c r="O553" s="13"/>
      <c r="P553" s="13"/>
      <c r="Q553" s="13"/>
      <c r="R553" s="13"/>
      <c r="S553" s="13"/>
      <c r="T553" s="13"/>
      <c r="U553" s="13"/>
      <c r="V553" s="13"/>
      <c r="W553" s="13"/>
      <c r="X553" s="13"/>
      <c r="Y553" s="13"/>
      <c r="Z553" s="13"/>
      <c r="AA553" s="13"/>
      <c r="AB553" s="13"/>
    </row>
    <row r="554" spans="1:28" ht="13.2">
      <c r="A554" s="53"/>
      <c r="B554" s="13"/>
      <c r="C554" s="16"/>
      <c r="D554" s="16">
        <f t="shared" si="12"/>
        <v>0</v>
      </c>
      <c r="E554" s="16">
        <f t="shared" si="13"/>
        <v>0</v>
      </c>
      <c r="F554" s="16"/>
      <c r="G554" s="16"/>
      <c r="H554" s="16"/>
      <c r="I554" s="16"/>
      <c r="J554" s="16"/>
      <c r="K554" s="13"/>
      <c r="L554" s="13"/>
      <c r="M554" s="13"/>
      <c r="N554" s="13"/>
      <c r="O554" s="13"/>
      <c r="P554" s="13"/>
      <c r="Q554" s="13"/>
      <c r="R554" s="13"/>
      <c r="S554" s="13"/>
      <c r="T554" s="13"/>
      <c r="U554" s="13"/>
      <c r="V554" s="13"/>
      <c r="W554" s="13"/>
      <c r="X554" s="13"/>
      <c r="Y554" s="13"/>
      <c r="Z554" s="13"/>
      <c r="AA554" s="13"/>
      <c r="AB554" s="13"/>
    </row>
    <row r="555" spans="1:28" ht="13.2">
      <c r="A555" s="53"/>
      <c r="B555" s="13"/>
      <c r="C555" s="16"/>
      <c r="D555" s="16">
        <f t="shared" si="12"/>
        <v>0</v>
      </c>
      <c r="E555" s="16">
        <f t="shared" si="13"/>
        <v>0</v>
      </c>
      <c r="F555" s="16"/>
      <c r="G555" s="16"/>
      <c r="H555" s="16"/>
      <c r="I555" s="16"/>
      <c r="J555" s="16"/>
      <c r="K555" s="13"/>
      <c r="L555" s="13"/>
      <c r="M555" s="13"/>
      <c r="N555" s="13"/>
      <c r="O555" s="13"/>
      <c r="P555" s="13"/>
      <c r="Q555" s="13"/>
      <c r="R555" s="13"/>
      <c r="S555" s="13"/>
      <c r="T555" s="13"/>
      <c r="U555" s="13"/>
      <c r="V555" s="13"/>
      <c r="W555" s="13"/>
      <c r="X555" s="13"/>
      <c r="Y555" s="13"/>
      <c r="Z555" s="13"/>
      <c r="AA555" s="13"/>
      <c r="AB555" s="13"/>
    </row>
    <row r="556" spans="1:28" ht="13.2">
      <c r="A556" s="53"/>
      <c r="B556" s="13"/>
      <c r="C556" s="16"/>
      <c r="D556" s="16">
        <f t="shared" si="12"/>
        <v>0</v>
      </c>
      <c r="E556" s="16">
        <f t="shared" si="13"/>
        <v>0</v>
      </c>
      <c r="F556" s="16"/>
      <c r="G556" s="16"/>
      <c r="H556" s="16"/>
      <c r="I556" s="16"/>
      <c r="J556" s="16"/>
      <c r="K556" s="13"/>
      <c r="L556" s="13"/>
      <c r="M556" s="13"/>
      <c r="N556" s="13"/>
      <c r="O556" s="13"/>
      <c r="P556" s="13"/>
      <c r="Q556" s="13"/>
      <c r="R556" s="13"/>
      <c r="S556" s="13"/>
      <c r="T556" s="13"/>
      <c r="U556" s="13"/>
      <c r="V556" s="13"/>
      <c r="W556" s="13"/>
      <c r="X556" s="13"/>
      <c r="Y556" s="13"/>
      <c r="Z556" s="13"/>
      <c r="AA556" s="13"/>
      <c r="AB556" s="13"/>
    </row>
    <row r="557" spans="1:28" ht="13.2">
      <c r="A557" s="53"/>
      <c r="B557" s="13"/>
      <c r="C557" s="16"/>
      <c r="D557" s="16">
        <f t="shared" si="12"/>
        <v>0</v>
      </c>
      <c r="E557" s="16">
        <f t="shared" si="13"/>
        <v>0</v>
      </c>
      <c r="F557" s="16"/>
      <c r="G557" s="16"/>
      <c r="H557" s="16"/>
      <c r="I557" s="16"/>
      <c r="J557" s="16"/>
      <c r="K557" s="13"/>
      <c r="L557" s="13"/>
      <c r="M557" s="13"/>
      <c r="N557" s="13"/>
      <c r="O557" s="13"/>
      <c r="P557" s="13"/>
      <c r="Q557" s="13"/>
      <c r="R557" s="13"/>
      <c r="S557" s="13"/>
      <c r="T557" s="13"/>
      <c r="U557" s="13"/>
      <c r="V557" s="13"/>
      <c r="W557" s="13"/>
      <c r="X557" s="13"/>
      <c r="Y557" s="13"/>
      <c r="Z557" s="13"/>
      <c r="AA557" s="13"/>
      <c r="AB557" s="13"/>
    </row>
    <row r="558" spans="1:28" ht="13.2">
      <c r="A558" s="53"/>
      <c r="B558" s="13"/>
      <c r="C558" s="16"/>
      <c r="D558" s="16">
        <f t="shared" si="12"/>
        <v>0</v>
      </c>
      <c r="E558" s="16">
        <f t="shared" si="13"/>
        <v>0</v>
      </c>
      <c r="F558" s="16"/>
      <c r="G558" s="16"/>
      <c r="H558" s="16"/>
      <c r="I558" s="16"/>
      <c r="J558" s="16"/>
      <c r="K558" s="13"/>
      <c r="L558" s="13"/>
      <c r="M558" s="13"/>
      <c r="N558" s="13"/>
      <c r="O558" s="13"/>
      <c r="P558" s="13"/>
      <c r="Q558" s="13"/>
      <c r="R558" s="13"/>
      <c r="S558" s="13"/>
      <c r="T558" s="13"/>
      <c r="U558" s="13"/>
      <c r="V558" s="13"/>
      <c r="W558" s="13"/>
      <c r="X558" s="13"/>
      <c r="Y558" s="13"/>
      <c r="Z558" s="13"/>
      <c r="AA558" s="13"/>
      <c r="AB558" s="13"/>
    </row>
    <row r="559" spans="1:28" ht="13.2">
      <c r="A559" s="53"/>
      <c r="B559" s="13"/>
      <c r="C559" s="16"/>
      <c r="D559" s="16">
        <f t="shared" si="12"/>
        <v>0</v>
      </c>
      <c r="E559" s="16">
        <f t="shared" si="13"/>
        <v>0</v>
      </c>
      <c r="F559" s="16"/>
      <c r="G559" s="16"/>
      <c r="H559" s="16"/>
      <c r="I559" s="16"/>
      <c r="J559" s="16"/>
      <c r="K559" s="13"/>
      <c r="L559" s="13"/>
      <c r="M559" s="13"/>
      <c r="N559" s="13"/>
      <c r="O559" s="13"/>
      <c r="P559" s="13"/>
      <c r="Q559" s="13"/>
      <c r="R559" s="13"/>
      <c r="S559" s="13"/>
      <c r="T559" s="13"/>
      <c r="U559" s="13"/>
      <c r="V559" s="13"/>
      <c r="W559" s="13"/>
      <c r="X559" s="13"/>
      <c r="Y559" s="13"/>
      <c r="Z559" s="13"/>
      <c r="AA559" s="13"/>
      <c r="AB559" s="13"/>
    </row>
    <row r="560" spans="1:28" ht="13.2">
      <c r="A560" s="53"/>
      <c r="B560" s="13"/>
      <c r="C560" s="16"/>
      <c r="D560" s="16">
        <f t="shared" si="12"/>
        <v>0</v>
      </c>
      <c r="E560" s="16">
        <f t="shared" si="13"/>
        <v>0</v>
      </c>
      <c r="F560" s="16"/>
      <c r="G560" s="16"/>
      <c r="H560" s="16"/>
      <c r="I560" s="16"/>
      <c r="J560" s="16"/>
      <c r="K560" s="13"/>
      <c r="L560" s="13"/>
      <c r="M560" s="13"/>
      <c r="N560" s="13"/>
      <c r="O560" s="13"/>
      <c r="P560" s="13"/>
      <c r="Q560" s="13"/>
      <c r="R560" s="13"/>
      <c r="S560" s="13"/>
      <c r="T560" s="13"/>
      <c r="U560" s="13"/>
      <c r="V560" s="13"/>
      <c r="W560" s="13"/>
      <c r="X560" s="13"/>
      <c r="Y560" s="13"/>
      <c r="Z560" s="13"/>
      <c r="AA560" s="13"/>
      <c r="AB560" s="13"/>
    </row>
    <row r="561" spans="1:28" ht="13.2">
      <c r="A561" s="53"/>
      <c r="B561" s="13"/>
      <c r="C561" s="16"/>
      <c r="D561" s="16">
        <f t="shared" si="12"/>
        <v>0</v>
      </c>
      <c r="E561" s="16">
        <f t="shared" si="13"/>
        <v>0</v>
      </c>
      <c r="F561" s="16"/>
      <c r="G561" s="16"/>
      <c r="H561" s="16"/>
      <c r="I561" s="16"/>
      <c r="J561" s="16"/>
      <c r="K561" s="13"/>
      <c r="L561" s="13"/>
      <c r="M561" s="13"/>
      <c r="N561" s="13"/>
      <c r="O561" s="13"/>
      <c r="P561" s="13"/>
      <c r="Q561" s="13"/>
      <c r="R561" s="13"/>
      <c r="S561" s="13"/>
      <c r="T561" s="13"/>
      <c r="U561" s="13"/>
      <c r="V561" s="13"/>
      <c r="W561" s="13"/>
      <c r="X561" s="13"/>
      <c r="Y561" s="13"/>
      <c r="Z561" s="13"/>
      <c r="AA561" s="13"/>
      <c r="AB561" s="13"/>
    </row>
    <row r="562" spans="1:28" ht="13.2">
      <c r="A562" s="53"/>
      <c r="B562" s="13"/>
      <c r="C562" s="16"/>
      <c r="D562" s="16">
        <f t="shared" si="12"/>
        <v>0</v>
      </c>
      <c r="E562" s="16">
        <f t="shared" si="13"/>
        <v>0</v>
      </c>
      <c r="F562" s="16"/>
      <c r="G562" s="16"/>
      <c r="H562" s="16"/>
      <c r="I562" s="16"/>
      <c r="J562" s="16"/>
      <c r="K562" s="13"/>
      <c r="L562" s="13"/>
      <c r="M562" s="13"/>
      <c r="N562" s="13"/>
      <c r="O562" s="13"/>
      <c r="P562" s="13"/>
      <c r="Q562" s="13"/>
      <c r="R562" s="13"/>
      <c r="S562" s="13"/>
      <c r="T562" s="13"/>
      <c r="U562" s="13"/>
      <c r="V562" s="13"/>
      <c r="W562" s="13"/>
      <c r="X562" s="13"/>
      <c r="Y562" s="13"/>
      <c r="Z562" s="13"/>
      <c r="AA562" s="13"/>
      <c r="AB562" s="13"/>
    </row>
    <row r="563" spans="1:28" ht="13.2">
      <c r="A563" s="53"/>
      <c r="B563" s="13"/>
      <c r="C563" s="16"/>
      <c r="D563" s="16">
        <f t="shared" si="12"/>
        <v>0</v>
      </c>
      <c r="E563" s="16">
        <f t="shared" si="13"/>
        <v>0</v>
      </c>
      <c r="F563" s="16"/>
      <c r="G563" s="16"/>
      <c r="H563" s="16"/>
      <c r="I563" s="16"/>
      <c r="J563" s="16"/>
      <c r="K563" s="13"/>
      <c r="L563" s="13"/>
      <c r="M563" s="13"/>
      <c r="N563" s="13"/>
      <c r="O563" s="13"/>
      <c r="P563" s="13"/>
      <c r="Q563" s="13"/>
      <c r="R563" s="13"/>
      <c r="S563" s="13"/>
      <c r="T563" s="13"/>
      <c r="U563" s="13"/>
      <c r="V563" s="13"/>
      <c r="W563" s="13"/>
      <c r="X563" s="13"/>
      <c r="Y563" s="13"/>
      <c r="Z563" s="13"/>
      <c r="AA563" s="13"/>
      <c r="AB563" s="13"/>
    </row>
    <row r="564" spans="1:28" ht="13.2">
      <c r="A564" s="53"/>
      <c r="B564" s="13"/>
      <c r="C564" s="16"/>
      <c r="D564" s="16">
        <f t="shared" si="12"/>
        <v>0</v>
      </c>
      <c r="E564" s="16">
        <f t="shared" si="13"/>
        <v>0</v>
      </c>
      <c r="F564" s="16"/>
      <c r="G564" s="16"/>
      <c r="H564" s="16"/>
      <c r="I564" s="16"/>
      <c r="J564" s="16"/>
      <c r="K564" s="13"/>
      <c r="L564" s="13"/>
      <c r="M564" s="13"/>
      <c r="N564" s="13"/>
      <c r="O564" s="13"/>
      <c r="P564" s="13"/>
      <c r="Q564" s="13"/>
      <c r="R564" s="13"/>
      <c r="S564" s="13"/>
      <c r="T564" s="13"/>
      <c r="U564" s="13"/>
      <c r="V564" s="13"/>
      <c r="W564" s="13"/>
      <c r="X564" s="13"/>
      <c r="Y564" s="13"/>
      <c r="Z564" s="13"/>
      <c r="AA564" s="13"/>
      <c r="AB564" s="13"/>
    </row>
    <row r="565" spans="1:28" ht="13.2">
      <c r="A565" s="53"/>
      <c r="B565" s="13"/>
      <c r="C565" s="16"/>
      <c r="D565" s="16">
        <f t="shared" si="12"/>
        <v>0</v>
      </c>
      <c r="E565" s="16">
        <f t="shared" si="13"/>
        <v>0</v>
      </c>
      <c r="F565" s="16"/>
      <c r="G565" s="16"/>
      <c r="H565" s="16"/>
      <c r="I565" s="16"/>
      <c r="J565" s="16"/>
      <c r="K565" s="13"/>
      <c r="L565" s="13"/>
      <c r="M565" s="13"/>
      <c r="N565" s="13"/>
      <c r="O565" s="13"/>
      <c r="P565" s="13"/>
      <c r="Q565" s="13"/>
      <c r="R565" s="13"/>
      <c r="S565" s="13"/>
      <c r="T565" s="13"/>
      <c r="U565" s="13"/>
      <c r="V565" s="13"/>
      <c r="W565" s="13"/>
      <c r="X565" s="13"/>
      <c r="Y565" s="13"/>
      <c r="Z565" s="13"/>
      <c r="AA565" s="13"/>
      <c r="AB565" s="13"/>
    </row>
    <row r="566" spans="1:28" ht="13.2">
      <c r="A566" s="53"/>
      <c r="B566" s="13"/>
      <c r="C566" s="16"/>
      <c r="D566" s="16">
        <f t="shared" si="12"/>
        <v>0</v>
      </c>
      <c r="E566" s="16">
        <f t="shared" si="13"/>
        <v>0</v>
      </c>
      <c r="F566" s="16"/>
      <c r="G566" s="16"/>
      <c r="H566" s="16"/>
      <c r="I566" s="16"/>
      <c r="J566" s="16"/>
      <c r="K566" s="13"/>
      <c r="L566" s="13"/>
      <c r="M566" s="13"/>
      <c r="N566" s="13"/>
      <c r="O566" s="13"/>
      <c r="P566" s="13"/>
      <c r="Q566" s="13"/>
      <c r="R566" s="13"/>
      <c r="S566" s="13"/>
      <c r="T566" s="13"/>
      <c r="U566" s="13"/>
      <c r="V566" s="13"/>
      <c r="W566" s="13"/>
      <c r="X566" s="13"/>
      <c r="Y566" s="13"/>
      <c r="Z566" s="13"/>
      <c r="AA566" s="13"/>
      <c r="AB566" s="13"/>
    </row>
    <row r="567" spans="1:28" ht="13.2">
      <c r="A567" s="53"/>
      <c r="B567" s="13"/>
      <c r="C567" s="16"/>
      <c r="D567" s="16">
        <f t="shared" si="12"/>
        <v>0</v>
      </c>
      <c r="E567" s="16">
        <f t="shared" si="13"/>
        <v>0</v>
      </c>
      <c r="F567" s="16"/>
      <c r="G567" s="16"/>
      <c r="H567" s="16"/>
      <c r="I567" s="16"/>
      <c r="J567" s="16"/>
      <c r="K567" s="13"/>
      <c r="L567" s="13"/>
      <c r="M567" s="13"/>
      <c r="N567" s="13"/>
      <c r="O567" s="13"/>
      <c r="P567" s="13"/>
      <c r="Q567" s="13"/>
      <c r="R567" s="13"/>
      <c r="S567" s="13"/>
      <c r="T567" s="13"/>
      <c r="U567" s="13"/>
      <c r="V567" s="13"/>
      <c r="W567" s="13"/>
      <c r="X567" s="13"/>
      <c r="Y567" s="13"/>
      <c r="Z567" s="13"/>
      <c r="AA567" s="13"/>
      <c r="AB567" s="13"/>
    </row>
    <row r="568" spans="1:28" ht="13.2">
      <c r="A568" s="53"/>
      <c r="B568" s="13"/>
      <c r="C568" s="16"/>
      <c r="D568" s="16">
        <f t="shared" si="12"/>
        <v>0</v>
      </c>
      <c r="E568" s="16">
        <f t="shared" si="13"/>
        <v>0</v>
      </c>
      <c r="F568" s="16"/>
      <c r="G568" s="16"/>
      <c r="H568" s="16"/>
      <c r="I568" s="16"/>
      <c r="J568" s="16"/>
      <c r="K568" s="13"/>
      <c r="L568" s="13"/>
      <c r="M568" s="13"/>
      <c r="N568" s="13"/>
      <c r="O568" s="13"/>
      <c r="P568" s="13"/>
      <c r="Q568" s="13"/>
      <c r="R568" s="13"/>
      <c r="S568" s="13"/>
      <c r="T568" s="13"/>
      <c r="U568" s="13"/>
      <c r="V568" s="13"/>
      <c r="W568" s="13"/>
      <c r="X568" s="13"/>
      <c r="Y568" s="13"/>
      <c r="Z568" s="13"/>
      <c r="AA568" s="13"/>
      <c r="AB568" s="13"/>
    </row>
    <row r="569" spans="1:28" ht="13.2">
      <c r="A569" s="53"/>
      <c r="B569" s="13"/>
      <c r="C569" s="16"/>
      <c r="D569" s="16">
        <f t="shared" si="12"/>
        <v>0</v>
      </c>
      <c r="E569" s="16">
        <f t="shared" si="13"/>
        <v>0</v>
      </c>
      <c r="F569" s="16"/>
      <c r="G569" s="16"/>
      <c r="H569" s="16"/>
      <c r="I569" s="16"/>
      <c r="J569" s="16"/>
      <c r="K569" s="13"/>
      <c r="L569" s="13"/>
      <c r="M569" s="13"/>
      <c r="N569" s="13"/>
      <c r="O569" s="13"/>
      <c r="P569" s="13"/>
      <c r="Q569" s="13"/>
      <c r="R569" s="13"/>
      <c r="S569" s="13"/>
      <c r="T569" s="13"/>
      <c r="U569" s="13"/>
      <c r="V569" s="13"/>
      <c r="W569" s="13"/>
      <c r="X569" s="13"/>
      <c r="Y569" s="13"/>
      <c r="Z569" s="13"/>
      <c r="AA569" s="13"/>
      <c r="AB569" s="13"/>
    </row>
    <row r="570" spans="1:28" ht="13.2">
      <c r="A570" s="53"/>
      <c r="B570" s="13"/>
      <c r="C570" s="16"/>
      <c r="D570" s="16">
        <f t="shared" si="12"/>
        <v>0</v>
      </c>
      <c r="E570" s="16">
        <f t="shared" si="13"/>
        <v>0</v>
      </c>
      <c r="F570" s="16"/>
      <c r="G570" s="16"/>
      <c r="H570" s="16"/>
      <c r="I570" s="16"/>
      <c r="J570" s="16"/>
      <c r="K570" s="13"/>
      <c r="L570" s="13"/>
      <c r="M570" s="13"/>
      <c r="N570" s="13"/>
      <c r="O570" s="13"/>
      <c r="P570" s="13"/>
      <c r="Q570" s="13"/>
      <c r="R570" s="13"/>
      <c r="S570" s="13"/>
      <c r="T570" s="13"/>
      <c r="U570" s="13"/>
      <c r="V570" s="13"/>
      <c r="W570" s="13"/>
      <c r="X570" s="13"/>
      <c r="Y570" s="13"/>
      <c r="Z570" s="13"/>
      <c r="AA570" s="13"/>
      <c r="AB570" s="13"/>
    </row>
    <row r="571" spans="1:28" ht="13.2">
      <c r="A571" s="53"/>
      <c r="B571" s="13"/>
      <c r="C571" s="16"/>
      <c r="D571" s="16">
        <f t="shared" si="12"/>
        <v>0</v>
      </c>
      <c r="E571" s="16">
        <f t="shared" si="13"/>
        <v>0</v>
      </c>
      <c r="F571" s="16"/>
      <c r="G571" s="16"/>
      <c r="H571" s="16"/>
      <c r="I571" s="16"/>
      <c r="J571" s="16"/>
      <c r="K571" s="13"/>
      <c r="L571" s="13"/>
      <c r="M571" s="13"/>
      <c r="N571" s="13"/>
      <c r="O571" s="13"/>
      <c r="P571" s="13"/>
      <c r="Q571" s="13"/>
      <c r="R571" s="13"/>
      <c r="S571" s="13"/>
      <c r="T571" s="13"/>
      <c r="U571" s="13"/>
      <c r="V571" s="13"/>
      <c r="W571" s="13"/>
      <c r="X571" s="13"/>
      <c r="Y571" s="13"/>
      <c r="Z571" s="13"/>
      <c r="AA571" s="13"/>
      <c r="AB571" s="13"/>
    </row>
    <row r="572" spans="1:28" ht="13.2">
      <c r="A572" s="53"/>
      <c r="B572" s="13"/>
      <c r="C572" s="16"/>
      <c r="D572" s="16">
        <f t="shared" si="12"/>
        <v>0</v>
      </c>
      <c r="E572" s="16">
        <f t="shared" si="13"/>
        <v>0</v>
      </c>
      <c r="F572" s="16"/>
      <c r="G572" s="16"/>
      <c r="H572" s="16"/>
      <c r="I572" s="16"/>
      <c r="J572" s="16"/>
      <c r="K572" s="13"/>
      <c r="L572" s="13"/>
      <c r="M572" s="13"/>
      <c r="N572" s="13"/>
      <c r="O572" s="13"/>
      <c r="P572" s="13"/>
      <c r="Q572" s="13"/>
      <c r="R572" s="13"/>
      <c r="S572" s="13"/>
      <c r="T572" s="13"/>
      <c r="U572" s="13"/>
      <c r="V572" s="13"/>
      <c r="W572" s="13"/>
      <c r="X572" s="13"/>
      <c r="Y572" s="13"/>
      <c r="Z572" s="13"/>
      <c r="AA572" s="13"/>
      <c r="AB572" s="13"/>
    </row>
    <row r="573" spans="1:28" ht="13.2">
      <c r="A573" s="53"/>
      <c r="B573" s="13"/>
      <c r="C573" s="16"/>
      <c r="D573" s="16">
        <f t="shared" si="12"/>
        <v>0</v>
      </c>
      <c r="E573" s="16">
        <f t="shared" si="13"/>
        <v>0</v>
      </c>
      <c r="F573" s="16"/>
      <c r="G573" s="16"/>
      <c r="H573" s="16"/>
      <c r="I573" s="16"/>
      <c r="J573" s="16"/>
      <c r="K573" s="13"/>
      <c r="L573" s="13"/>
      <c r="M573" s="13"/>
      <c r="N573" s="13"/>
      <c r="O573" s="13"/>
      <c r="P573" s="13"/>
      <c r="Q573" s="13"/>
      <c r="R573" s="13"/>
      <c r="S573" s="13"/>
      <c r="T573" s="13"/>
      <c r="U573" s="13"/>
      <c r="V573" s="13"/>
      <c r="W573" s="13"/>
      <c r="X573" s="13"/>
      <c r="Y573" s="13"/>
      <c r="Z573" s="13"/>
      <c r="AA573" s="13"/>
      <c r="AB573" s="13"/>
    </row>
    <row r="574" spans="1:28" ht="13.2">
      <c r="A574" s="53"/>
      <c r="B574" s="13"/>
      <c r="C574" s="16"/>
      <c r="D574" s="16">
        <f t="shared" si="12"/>
        <v>0</v>
      </c>
      <c r="E574" s="16">
        <f t="shared" si="13"/>
        <v>0</v>
      </c>
      <c r="F574" s="16"/>
      <c r="G574" s="16"/>
      <c r="H574" s="16"/>
      <c r="I574" s="16"/>
      <c r="J574" s="16"/>
      <c r="K574" s="13"/>
      <c r="L574" s="13"/>
      <c r="M574" s="13"/>
      <c r="N574" s="13"/>
      <c r="O574" s="13"/>
      <c r="P574" s="13"/>
      <c r="Q574" s="13"/>
      <c r="R574" s="13"/>
      <c r="S574" s="13"/>
      <c r="T574" s="13"/>
      <c r="U574" s="13"/>
      <c r="V574" s="13"/>
      <c r="W574" s="13"/>
      <c r="X574" s="13"/>
      <c r="Y574" s="13"/>
      <c r="Z574" s="13"/>
      <c r="AA574" s="13"/>
      <c r="AB574" s="13"/>
    </row>
    <row r="575" spans="1:28" ht="13.2">
      <c r="A575" s="53"/>
      <c r="B575" s="13"/>
      <c r="C575" s="16"/>
      <c r="D575" s="16">
        <f t="shared" si="12"/>
        <v>0</v>
      </c>
      <c r="E575" s="16">
        <f t="shared" si="13"/>
        <v>0</v>
      </c>
      <c r="F575" s="16"/>
      <c r="G575" s="16"/>
      <c r="H575" s="16"/>
      <c r="I575" s="16"/>
      <c r="J575" s="16"/>
      <c r="K575" s="13"/>
      <c r="L575" s="13"/>
      <c r="M575" s="13"/>
      <c r="N575" s="13"/>
      <c r="O575" s="13"/>
      <c r="P575" s="13"/>
      <c r="Q575" s="13"/>
      <c r="R575" s="13"/>
      <c r="S575" s="13"/>
      <c r="T575" s="13"/>
      <c r="U575" s="13"/>
      <c r="V575" s="13"/>
      <c r="W575" s="13"/>
      <c r="X575" s="13"/>
      <c r="Y575" s="13"/>
      <c r="Z575" s="13"/>
      <c r="AA575" s="13"/>
      <c r="AB575" s="13"/>
    </row>
    <row r="576" spans="1:28" ht="13.2">
      <c r="A576" s="53"/>
      <c r="B576" s="13"/>
      <c r="C576" s="16"/>
      <c r="D576" s="16">
        <f t="shared" si="12"/>
        <v>0</v>
      </c>
      <c r="E576" s="16">
        <f t="shared" si="13"/>
        <v>0</v>
      </c>
      <c r="F576" s="16"/>
      <c r="G576" s="16"/>
      <c r="H576" s="16"/>
      <c r="I576" s="16"/>
      <c r="J576" s="16"/>
      <c r="K576" s="13"/>
      <c r="L576" s="13"/>
      <c r="M576" s="13"/>
      <c r="N576" s="13"/>
      <c r="O576" s="13"/>
      <c r="P576" s="13"/>
      <c r="Q576" s="13"/>
      <c r="R576" s="13"/>
      <c r="S576" s="13"/>
      <c r="T576" s="13"/>
      <c r="U576" s="13"/>
      <c r="V576" s="13"/>
      <c r="W576" s="13"/>
      <c r="X576" s="13"/>
      <c r="Y576" s="13"/>
      <c r="Z576" s="13"/>
      <c r="AA576" s="13"/>
      <c r="AB576" s="13"/>
    </row>
    <row r="577" spans="1:28" ht="13.2">
      <c r="A577" s="53"/>
      <c r="B577" s="13"/>
      <c r="C577" s="16"/>
      <c r="D577" s="16">
        <f t="shared" si="12"/>
        <v>0</v>
      </c>
      <c r="E577" s="16">
        <f t="shared" si="13"/>
        <v>0</v>
      </c>
      <c r="F577" s="16"/>
      <c r="G577" s="16"/>
      <c r="H577" s="16"/>
      <c r="I577" s="16"/>
      <c r="J577" s="16"/>
      <c r="K577" s="13"/>
      <c r="L577" s="13"/>
      <c r="M577" s="13"/>
      <c r="N577" s="13"/>
      <c r="O577" s="13"/>
      <c r="P577" s="13"/>
      <c r="Q577" s="13"/>
      <c r="R577" s="13"/>
      <c r="S577" s="13"/>
      <c r="T577" s="13"/>
      <c r="U577" s="13"/>
      <c r="V577" s="13"/>
      <c r="W577" s="13"/>
      <c r="X577" s="13"/>
      <c r="Y577" s="13"/>
      <c r="Z577" s="13"/>
      <c r="AA577" s="13"/>
      <c r="AB577" s="13"/>
    </row>
    <row r="578" spans="1:28" ht="13.2">
      <c r="A578" s="53"/>
      <c r="B578" s="13"/>
      <c r="C578" s="16"/>
      <c r="D578" s="16">
        <f t="shared" si="12"/>
        <v>0</v>
      </c>
      <c r="E578" s="16">
        <f t="shared" si="13"/>
        <v>0</v>
      </c>
      <c r="F578" s="16"/>
      <c r="G578" s="16"/>
      <c r="H578" s="16"/>
      <c r="I578" s="16"/>
      <c r="J578" s="16"/>
      <c r="K578" s="13"/>
      <c r="L578" s="13"/>
      <c r="M578" s="13"/>
      <c r="N578" s="13"/>
      <c r="O578" s="13"/>
      <c r="P578" s="13"/>
      <c r="Q578" s="13"/>
      <c r="R578" s="13"/>
      <c r="S578" s="13"/>
      <c r="T578" s="13"/>
      <c r="U578" s="13"/>
      <c r="V578" s="13"/>
      <c r="W578" s="13"/>
      <c r="X578" s="13"/>
      <c r="Y578" s="13"/>
      <c r="Z578" s="13"/>
      <c r="AA578" s="13"/>
      <c r="AB578" s="13"/>
    </row>
    <row r="579" spans="1:28" ht="13.2">
      <c r="A579" s="53"/>
      <c r="B579" s="13"/>
      <c r="C579" s="16"/>
      <c r="D579" s="16">
        <f t="shared" si="12"/>
        <v>0</v>
      </c>
      <c r="E579" s="16">
        <f t="shared" si="13"/>
        <v>0</v>
      </c>
      <c r="F579" s="16"/>
      <c r="G579" s="16"/>
      <c r="H579" s="16"/>
      <c r="I579" s="16"/>
      <c r="J579" s="16"/>
      <c r="K579" s="13"/>
      <c r="L579" s="13"/>
      <c r="M579" s="13"/>
      <c r="N579" s="13"/>
      <c r="O579" s="13"/>
      <c r="P579" s="13"/>
      <c r="Q579" s="13"/>
      <c r="R579" s="13"/>
      <c r="S579" s="13"/>
      <c r="T579" s="13"/>
      <c r="U579" s="13"/>
      <c r="V579" s="13"/>
      <c r="W579" s="13"/>
      <c r="X579" s="13"/>
      <c r="Y579" s="13"/>
      <c r="Z579" s="13"/>
      <c r="AA579" s="13"/>
      <c r="AB579" s="13"/>
    </row>
    <row r="580" spans="1:28" ht="13.2">
      <c r="A580" s="53"/>
      <c r="B580" s="13"/>
      <c r="C580" s="16"/>
      <c r="D580" s="16">
        <f t="shared" si="12"/>
        <v>0</v>
      </c>
      <c r="E580" s="16">
        <f t="shared" si="13"/>
        <v>0</v>
      </c>
      <c r="F580" s="16"/>
      <c r="G580" s="16"/>
      <c r="H580" s="16"/>
      <c r="I580" s="16"/>
      <c r="J580" s="16"/>
      <c r="K580" s="13"/>
      <c r="L580" s="13"/>
      <c r="M580" s="13"/>
      <c r="N580" s="13"/>
      <c r="O580" s="13"/>
      <c r="P580" s="13"/>
      <c r="Q580" s="13"/>
      <c r="R580" s="13"/>
      <c r="S580" s="13"/>
      <c r="T580" s="13"/>
      <c r="U580" s="13"/>
      <c r="V580" s="13"/>
      <c r="W580" s="13"/>
      <c r="X580" s="13"/>
      <c r="Y580" s="13"/>
      <c r="Z580" s="13"/>
      <c r="AA580" s="13"/>
      <c r="AB580" s="13"/>
    </row>
    <row r="581" spans="1:28" ht="13.2">
      <c r="A581" s="53"/>
      <c r="B581" s="13"/>
      <c r="C581" s="16"/>
      <c r="D581" s="16">
        <f t="shared" si="12"/>
        <v>0</v>
      </c>
      <c r="E581" s="16">
        <f t="shared" si="13"/>
        <v>0</v>
      </c>
      <c r="F581" s="16"/>
      <c r="G581" s="16"/>
      <c r="H581" s="16"/>
      <c r="I581" s="16"/>
      <c r="J581" s="16"/>
      <c r="K581" s="13"/>
      <c r="L581" s="13"/>
      <c r="M581" s="13"/>
      <c r="N581" s="13"/>
      <c r="O581" s="13"/>
      <c r="P581" s="13"/>
      <c r="Q581" s="13"/>
      <c r="R581" s="13"/>
      <c r="S581" s="13"/>
      <c r="T581" s="13"/>
      <c r="U581" s="13"/>
      <c r="V581" s="13"/>
      <c r="W581" s="13"/>
      <c r="X581" s="13"/>
      <c r="Y581" s="13"/>
      <c r="Z581" s="13"/>
      <c r="AA581" s="13"/>
      <c r="AB581" s="13"/>
    </row>
    <row r="582" spans="1:28" ht="13.2">
      <c r="A582" s="53"/>
      <c r="B582" s="13"/>
      <c r="C582" s="16"/>
      <c r="D582" s="16">
        <f t="shared" si="12"/>
        <v>0</v>
      </c>
      <c r="E582" s="16">
        <f t="shared" si="13"/>
        <v>0</v>
      </c>
      <c r="F582" s="16"/>
      <c r="G582" s="16"/>
      <c r="H582" s="16"/>
      <c r="I582" s="16"/>
      <c r="J582" s="16"/>
      <c r="K582" s="13"/>
      <c r="L582" s="13"/>
      <c r="M582" s="13"/>
      <c r="N582" s="13"/>
      <c r="O582" s="13"/>
      <c r="P582" s="13"/>
      <c r="Q582" s="13"/>
      <c r="R582" s="13"/>
      <c r="S582" s="13"/>
      <c r="T582" s="13"/>
      <c r="U582" s="13"/>
      <c r="V582" s="13"/>
      <c r="W582" s="13"/>
      <c r="X582" s="13"/>
      <c r="Y582" s="13"/>
      <c r="Z582" s="13"/>
      <c r="AA582" s="13"/>
      <c r="AB582" s="13"/>
    </row>
    <row r="583" spans="1:28" ht="13.2">
      <c r="A583" s="53"/>
      <c r="B583" s="13"/>
      <c r="C583" s="16"/>
      <c r="D583" s="16">
        <f t="shared" si="12"/>
        <v>0</v>
      </c>
      <c r="E583" s="16">
        <f t="shared" si="13"/>
        <v>0</v>
      </c>
      <c r="F583" s="16"/>
      <c r="G583" s="16"/>
      <c r="H583" s="16"/>
      <c r="I583" s="16"/>
      <c r="J583" s="16"/>
      <c r="K583" s="13"/>
      <c r="L583" s="13"/>
      <c r="M583" s="13"/>
      <c r="N583" s="13"/>
      <c r="O583" s="13"/>
      <c r="P583" s="13"/>
      <c r="Q583" s="13"/>
      <c r="R583" s="13"/>
      <c r="S583" s="13"/>
      <c r="T583" s="13"/>
      <c r="U583" s="13"/>
      <c r="V583" s="13"/>
      <c r="W583" s="13"/>
      <c r="X583" s="13"/>
      <c r="Y583" s="13"/>
      <c r="Z583" s="13"/>
      <c r="AA583" s="13"/>
      <c r="AB583" s="13"/>
    </row>
    <row r="584" spans="1:28" ht="13.2">
      <c r="A584" s="53"/>
      <c r="B584" s="13"/>
      <c r="C584" s="16"/>
      <c r="D584" s="16">
        <f t="shared" si="12"/>
        <v>0</v>
      </c>
      <c r="E584" s="16">
        <f t="shared" si="13"/>
        <v>0</v>
      </c>
      <c r="F584" s="16"/>
      <c r="G584" s="16"/>
      <c r="H584" s="16"/>
      <c r="I584" s="16"/>
      <c r="J584" s="16"/>
      <c r="K584" s="13"/>
      <c r="L584" s="13"/>
      <c r="M584" s="13"/>
      <c r="N584" s="13"/>
      <c r="O584" s="13"/>
      <c r="P584" s="13"/>
      <c r="Q584" s="13"/>
      <c r="R584" s="13"/>
      <c r="S584" s="13"/>
      <c r="T584" s="13"/>
      <c r="U584" s="13"/>
      <c r="V584" s="13"/>
      <c r="W584" s="13"/>
      <c r="X584" s="13"/>
      <c r="Y584" s="13"/>
      <c r="Z584" s="13"/>
      <c r="AA584" s="13"/>
      <c r="AB584" s="13"/>
    </row>
    <row r="585" spans="1:28" ht="13.2">
      <c r="A585" s="53"/>
      <c r="B585" s="13"/>
      <c r="C585" s="16"/>
      <c r="D585" s="16">
        <f t="shared" si="12"/>
        <v>0</v>
      </c>
      <c r="E585" s="16">
        <f t="shared" si="13"/>
        <v>0</v>
      </c>
      <c r="F585" s="16"/>
      <c r="G585" s="16"/>
      <c r="H585" s="16"/>
      <c r="I585" s="16"/>
      <c r="J585" s="16"/>
      <c r="K585" s="13"/>
      <c r="L585" s="13"/>
      <c r="M585" s="13"/>
      <c r="N585" s="13"/>
      <c r="O585" s="13"/>
      <c r="P585" s="13"/>
      <c r="Q585" s="13"/>
      <c r="R585" s="13"/>
      <c r="S585" s="13"/>
      <c r="T585" s="13"/>
      <c r="U585" s="13"/>
      <c r="V585" s="13"/>
      <c r="W585" s="13"/>
      <c r="X585" s="13"/>
      <c r="Y585" s="13"/>
      <c r="Z585" s="13"/>
      <c r="AA585" s="13"/>
      <c r="AB585" s="13"/>
    </row>
    <row r="586" spans="1:28" ht="13.2">
      <c r="A586" s="53"/>
      <c r="B586" s="13"/>
      <c r="C586" s="16"/>
      <c r="D586" s="16">
        <f t="shared" si="12"/>
        <v>0</v>
      </c>
      <c r="E586" s="16">
        <f t="shared" si="13"/>
        <v>0</v>
      </c>
      <c r="F586" s="16"/>
      <c r="G586" s="16"/>
      <c r="H586" s="16"/>
      <c r="I586" s="16"/>
      <c r="J586" s="16"/>
      <c r="K586" s="13"/>
      <c r="L586" s="13"/>
      <c r="M586" s="13"/>
      <c r="N586" s="13"/>
      <c r="O586" s="13"/>
      <c r="P586" s="13"/>
      <c r="Q586" s="13"/>
      <c r="R586" s="13"/>
      <c r="S586" s="13"/>
      <c r="T586" s="13"/>
      <c r="U586" s="13"/>
      <c r="V586" s="13"/>
      <c r="W586" s="13"/>
      <c r="X586" s="13"/>
      <c r="Y586" s="13"/>
      <c r="Z586" s="13"/>
      <c r="AA586" s="13"/>
      <c r="AB586" s="13"/>
    </row>
    <row r="587" spans="1:28" ht="13.2">
      <c r="A587" s="53"/>
      <c r="B587" s="13"/>
      <c r="C587" s="16"/>
      <c r="D587" s="16">
        <f t="shared" si="12"/>
        <v>0</v>
      </c>
      <c r="E587" s="16">
        <f t="shared" si="13"/>
        <v>0</v>
      </c>
      <c r="F587" s="16"/>
      <c r="G587" s="16"/>
      <c r="H587" s="16"/>
      <c r="I587" s="16"/>
      <c r="J587" s="16"/>
      <c r="K587" s="13"/>
      <c r="L587" s="13"/>
      <c r="M587" s="13"/>
      <c r="N587" s="13"/>
      <c r="O587" s="13"/>
      <c r="P587" s="13"/>
      <c r="Q587" s="13"/>
      <c r="R587" s="13"/>
      <c r="S587" s="13"/>
      <c r="T587" s="13"/>
      <c r="U587" s="13"/>
      <c r="V587" s="13"/>
      <c r="W587" s="13"/>
      <c r="X587" s="13"/>
      <c r="Y587" s="13"/>
      <c r="Z587" s="13"/>
      <c r="AA587" s="13"/>
      <c r="AB587" s="13"/>
    </row>
    <row r="588" spans="1:28" ht="13.2">
      <c r="A588" s="53"/>
      <c r="B588" s="13"/>
      <c r="C588" s="16"/>
      <c r="D588" s="16">
        <f t="shared" si="12"/>
        <v>0</v>
      </c>
      <c r="E588" s="16">
        <f t="shared" si="13"/>
        <v>0</v>
      </c>
      <c r="F588" s="16"/>
      <c r="G588" s="16"/>
      <c r="H588" s="16"/>
      <c r="I588" s="16"/>
      <c r="J588" s="16"/>
      <c r="K588" s="13"/>
      <c r="L588" s="13"/>
      <c r="M588" s="13"/>
      <c r="N588" s="13"/>
      <c r="O588" s="13"/>
      <c r="P588" s="13"/>
      <c r="Q588" s="13"/>
      <c r="R588" s="13"/>
      <c r="S588" s="13"/>
      <c r="T588" s="13"/>
      <c r="U588" s="13"/>
      <c r="V588" s="13"/>
      <c r="W588" s="13"/>
      <c r="X588" s="13"/>
      <c r="Y588" s="13"/>
      <c r="Z588" s="13"/>
      <c r="AA588" s="13"/>
      <c r="AB588" s="13"/>
    </row>
    <row r="589" spans="1:28" ht="13.2">
      <c r="A589" s="53"/>
      <c r="B589" s="13"/>
      <c r="C589" s="16"/>
      <c r="D589" s="16">
        <f t="shared" si="12"/>
        <v>0</v>
      </c>
      <c r="E589" s="16">
        <f t="shared" si="13"/>
        <v>0</v>
      </c>
      <c r="F589" s="16"/>
      <c r="G589" s="16"/>
      <c r="H589" s="16"/>
      <c r="I589" s="16"/>
      <c r="J589" s="16"/>
      <c r="K589" s="13"/>
      <c r="L589" s="13"/>
      <c r="M589" s="13"/>
      <c r="N589" s="13"/>
      <c r="O589" s="13"/>
      <c r="P589" s="13"/>
      <c r="Q589" s="13"/>
      <c r="R589" s="13"/>
      <c r="S589" s="13"/>
      <c r="T589" s="13"/>
      <c r="U589" s="13"/>
      <c r="V589" s="13"/>
      <c r="W589" s="13"/>
      <c r="X589" s="13"/>
      <c r="Y589" s="13"/>
      <c r="Z589" s="13"/>
      <c r="AA589" s="13"/>
      <c r="AB589" s="13"/>
    </row>
    <row r="590" spans="1:28" ht="13.2">
      <c r="A590" s="53"/>
      <c r="B590" s="13"/>
      <c r="C590" s="16"/>
      <c r="D590" s="16">
        <f t="shared" si="12"/>
        <v>0</v>
      </c>
      <c r="E590" s="16">
        <f t="shared" si="13"/>
        <v>0</v>
      </c>
      <c r="F590" s="16"/>
      <c r="G590" s="16"/>
      <c r="H590" s="16"/>
      <c r="I590" s="16"/>
      <c r="J590" s="16"/>
      <c r="K590" s="13"/>
      <c r="L590" s="13"/>
      <c r="M590" s="13"/>
      <c r="N590" s="13"/>
      <c r="O590" s="13"/>
      <c r="P590" s="13"/>
      <c r="Q590" s="13"/>
      <c r="R590" s="13"/>
      <c r="S590" s="13"/>
      <c r="T590" s="13"/>
      <c r="U590" s="13"/>
      <c r="V590" s="13"/>
      <c r="W590" s="13"/>
      <c r="X590" s="13"/>
      <c r="Y590" s="13"/>
      <c r="Z590" s="13"/>
      <c r="AA590" s="13"/>
      <c r="AB590" s="13"/>
    </row>
    <row r="591" spans="1:28" ht="13.2">
      <c r="A591" s="53"/>
      <c r="B591" s="13"/>
      <c r="C591" s="16"/>
      <c r="D591" s="16">
        <f t="shared" si="12"/>
        <v>0</v>
      </c>
      <c r="E591" s="16">
        <f t="shared" si="13"/>
        <v>0</v>
      </c>
      <c r="F591" s="16"/>
      <c r="G591" s="16"/>
      <c r="H591" s="16"/>
      <c r="I591" s="16"/>
      <c r="J591" s="16"/>
      <c r="K591" s="13"/>
      <c r="L591" s="13"/>
      <c r="M591" s="13"/>
      <c r="N591" s="13"/>
      <c r="O591" s="13"/>
      <c r="P591" s="13"/>
      <c r="Q591" s="13"/>
      <c r="R591" s="13"/>
      <c r="S591" s="13"/>
      <c r="T591" s="13"/>
      <c r="U591" s="13"/>
      <c r="V591" s="13"/>
      <c r="W591" s="13"/>
      <c r="X591" s="13"/>
      <c r="Y591" s="13"/>
      <c r="Z591" s="13"/>
      <c r="AA591" s="13"/>
      <c r="AB591" s="13"/>
    </row>
    <row r="592" spans="1:28" ht="13.2">
      <c r="A592" s="53"/>
      <c r="B592" s="13"/>
      <c r="C592" s="16"/>
      <c r="D592" s="16">
        <f t="shared" si="12"/>
        <v>0</v>
      </c>
      <c r="E592" s="16">
        <f t="shared" si="13"/>
        <v>0</v>
      </c>
      <c r="F592" s="16"/>
      <c r="G592" s="16"/>
      <c r="H592" s="16"/>
      <c r="I592" s="16"/>
      <c r="J592" s="16"/>
      <c r="K592" s="13"/>
      <c r="L592" s="13"/>
      <c r="M592" s="13"/>
      <c r="N592" s="13"/>
      <c r="O592" s="13"/>
      <c r="P592" s="13"/>
      <c r="Q592" s="13"/>
      <c r="R592" s="13"/>
      <c r="S592" s="13"/>
      <c r="T592" s="13"/>
      <c r="U592" s="13"/>
      <c r="V592" s="13"/>
      <c r="W592" s="13"/>
      <c r="X592" s="13"/>
      <c r="Y592" s="13"/>
      <c r="Z592" s="13"/>
      <c r="AA592" s="13"/>
      <c r="AB592" s="13"/>
    </row>
    <row r="593" spans="1:28" ht="13.2">
      <c r="A593" s="53"/>
      <c r="B593" s="13"/>
      <c r="C593" s="16"/>
      <c r="D593" s="16">
        <f t="shared" si="12"/>
        <v>0</v>
      </c>
      <c r="E593" s="16">
        <f t="shared" si="13"/>
        <v>0</v>
      </c>
      <c r="F593" s="16"/>
      <c r="G593" s="16"/>
      <c r="H593" s="16"/>
      <c r="I593" s="16"/>
      <c r="J593" s="16"/>
      <c r="K593" s="13"/>
      <c r="L593" s="13"/>
      <c r="M593" s="13"/>
      <c r="N593" s="13"/>
      <c r="O593" s="13"/>
      <c r="P593" s="13"/>
      <c r="Q593" s="13"/>
      <c r="R593" s="13"/>
      <c r="S593" s="13"/>
      <c r="T593" s="13"/>
      <c r="U593" s="13"/>
      <c r="V593" s="13"/>
      <c r="W593" s="13"/>
      <c r="X593" s="13"/>
      <c r="Y593" s="13"/>
      <c r="Z593" s="13"/>
      <c r="AA593" s="13"/>
      <c r="AB593" s="13"/>
    </row>
    <row r="594" spans="1:28" ht="13.2">
      <c r="A594" s="53"/>
      <c r="B594" s="13"/>
      <c r="C594" s="16"/>
      <c r="D594" s="16">
        <f t="shared" si="12"/>
        <v>0</v>
      </c>
      <c r="E594" s="16">
        <f t="shared" si="13"/>
        <v>0</v>
      </c>
      <c r="F594" s="16"/>
      <c r="G594" s="16"/>
      <c r="H594" s="16"/>
      <c r="I594" s="16"/>
      <c r="J594" s="16"/>
      <c r="K594" s="13"/>
      <c r="L594" s="13"/>
      <c r="M594" s="13"/>
      <c r="N594" s="13"/>
      <c r="O594" s="13"/>
      <c r="P594" s="13"/>
      <c r="Q594" s="13"/>
      <c r="R594" s="13"/>
      <c r="S594" s="13"/>
      <c r="T594" s="13"/>
      <c r="U594" s="13"/>
      <c r="V594" s="13"/>
      <c r="W594" s="13"/>
      <c r="X594" s="13"/>
      <c r="Y594" s="13"/>
      <c r="Z594" s="13"/>
      <c r="AA594" s="13"/>
      <c r="AB594" s="13"/>
    </row>
    <row r="595" spans="1:28" ht="13.2">
      <c r="A595" s="53"/>
      <c r="B595" s="13"/>
      <c r="C595" s="16"/>
      <c r="D595" s="16">
        <f t="shared" si="12"/>
        <v>0</v>
      </c>
      <c r="E595" s="16">
        <f t="shared" si="13"/>
        <v>0</v>
      </c>
      <c r="F595" s="16"/>
      <c r="G595" s="16"/>
      <c r="H595" s="16"/>
      <c r="I595" s="16"/>
      <c r="J595" s="16"/>
      <c r="K595" s="13"/>
      <c r="L595" s="13"/>
      <c r="M595" s="13"/>
      <c r="N595" s="13"/>
      <c r="O595" s="13"/>
      <c r="P595" s="13"/>
      <c r="Q595" s="13"/>
      <c r="R595" s="13"/>
      <c r="S595" s="13"/>
      <c r="T595" s="13"/>
      <c r="U595" s="13"/>
      <c r="V595" s="13"/>
      <c r="W595" s="13"/>
      <c r="X595" s="13"/>
      <c r="Y595" s="13"/>
      <c r="Z595" s="13"/>
      <c r="AA595" s="13"/>
      <c r="AB595" s="13"/>
    </row>
    <row r="596" spans="1:28" ht="13.2">
      <c r="A596" s="53"/>
      <c r="B596" s="13"/>
      <c r="C596" s="16"/>
      <c r="D596" s="16">
        <f t="shared" si="12"/>
        <v>0</v>
      </c>
      <c r="E596" s="16">
        <f t="shared" si="13"/>
        <v>0</v>
      </c>
      <c r="F596" s="16"/>
      <c r="G596" s="16"/>
      <c r="H596" s="16"/>
      <c r="I596" s="16"/>
      <c r="J596" s="16"/>
      <c r="K596" s="13"/>
      <c r="L596" s="13"/>
      <c r="M596" s="13"/>
      <c r="N596" s="13"/>
      <c r="O596" s="13"/>
      <c r="P596" s="13"/>
      <c r="Q596" s="13"/>
      <c r="R596" s="13"/>
      <c r="S596" s="13"/>
      <c r="T596" s="13"/>
      <c r="U596" s="13"/>
      <c r="V596" s="13"/>
      <c r="W596" s="13"/>
      <c r="X596" s="13"/>
      <c r="Y596" s="13"/>
      <c r="Z596" s="13"/>
      <c r="AA596" s="13"/>
      <c r="AB596" s="13"/>
    </row>
    <row r="597" spans="1:28" ht="13.2">
      <c r="A597" s="53"/>
      <c r="B597" s="13"/>
      <c r="C597" s="16"/>
      <c r="D597" s="16">
        <f t="shared" si="12"/>
        <v>0</v>
      </c>
      <c r="E597" s="16">
        <f t="shared" si="13"/>
        <v>0</v>
      </c>
      <c r="F597" s="16"/>
      <c r="G597" s="16"/>
      <c r="H597" s="16"/>
      <c r="I597" s="16"/>
      <c r="J597" s="16"/>
      <c r="K597" s="13"/>
      <c r="L597" s="13"/>
      <c r="M597" s="13"/>
      <c r="N597" s="13"/>
      <c r="O597" s="13"/>
      <c r="P597" s="13"/>
      <c r="Q597" s="13"/>
      <c r="R597" s="13"/>
      <c r="S597" s="13"/>
      <c r="T597" s="13"/>
      <c r="U597" s="13"/>
      <c r="V597" s="13"/>
      <c r="W597" s="13"/>
      <c r="X597" s="13"/>
      <c r="Y597" s="13"/>
      <c r="Z597" s="13"/>
      <c r="AA597" s="13"/>
      <c r="AB597" s="13"/>
    </row>
    <row r="598" spans="1:28" ht="13.2">
      <c r="A598" s="53"/>
      <c r="B598" s="13"/>
      <c r="C598" s="16"/>
      <c r="D598" s="16">
        <f t="shared" si="12"/>
        <v>0</v>
      </c>
      <c r="E598" s="16">
        <f t="shared" si="13"/>
        <v>0</v>
      </c>
      <c r="F598" s="16"/>
      <c r="G598" s="16"/>
      <c r="H598" s="16"/>
      <c r="I598" s="16"/>
      <c r="J598" s="16"/>
      <c r="K598" s="13"/>
      <c r="L598" s="13"/>
      <c r="M598" s="13"/>
      <c r="N598" s="13"/>
      <c r="O598" s="13"/>
      <c r="P598" s="13"/>
      <c r="Q598" s="13"/>
      <c r="R598" s="13"/>
      <c r="S598" s="13"/>
      <c r="T598" s="13"/>
      <c r="U598" s="13"/>
      <c r="V598" s="13"/>
      <c r="W598" s="13"/>
      <c r="X598" s="13"/>
      <c r="Y598" s="13"/>
      <c r="Z598" s="13"/>
      <c r="AA598" s="13"/>
      <c r="AB598" s="13"/>
    </row>
    <row r="599" spans="1:28" ht="13.2">
      <c r="A599" s="53"/>
      <c r="B599" s="13"/>
      <c r="C599" s="16"/>
      <c r="D599" s="16">
        <f t="shared" si="12"/>
        <v>0</v>
      </c>
      <c r="E599" s="16">
        <f t="shared" si="13"/>
        <v>0</v>
      </c>
      <c r="F599" s="16"/>
      <c r="G599" s="16"/>
      <c r="H599" s="16"/>
      <c r="I599" s="16"/>
      <c r="J599" s="16"/>
      <c r="K599" s="13"/>
      <c r="L599" s="13"/>
      <c r="M599" s="13"/>
      <c r="N599" s="13"/>
      <c r="O599" s="13"/>
      <c r="P599" s="13"/>
      <c r="Q599" s="13"/>
      <c r="R599" s="13"/>
      <c r="S599" s="13"/>
      <c r="T599" s="13"/>
      <c r="U599" s="13"/>
      <c r="V599" s="13"/>
      <c r="W599" s="13"/>
      <c r="X599" s="13"/>
      <c r="Y599" s="13"/>
      <c r="Z599" s="13"/>
      <c r="AA599" s="13"/>
      <c r="AB599" s="13"/>
    </row>
    <row r="600" spans="1:28" ht="13.2">
      <c r="A600" s="53"/>
      <c r="B600" s="13"/>
      <c r="C600" s="16"/>
      <c r="D600" s="16">
        <f t="shared" si="12"/>
        <v>0</v>
      </c>
      <c r="E600" s="16">
        <f t="shared" si="13"/>
        <v>0</v>
      </c>
      <c r="F600" s="16"/>
      <c r="G600" s="16"/>
      <c r="H600" s="16"/>
      <c r="I600" s="16"/>
      <c r="J600" s="16"/>
      <c r="K600" s="13"/>
      <c r="L600" s="13"/>
      <c r="M600" s="13"/>
      <c r="N600" s="13"/>
      <c r="O600" s="13"/>
      <c r="P600" s="13"/>
      <c r="Q600" s="13"/>
      <c r="R600" s="13"/>
      <c r="S600" s="13"/>
      <c r="T600" s="13"/>
      <c r="U600" s="13"/>
      <c r="V600" s="13"/>
      <c r="W600" s="13"/>
      <c r="X600" s="13"/>
      <c r="Y600" s="13"/>
      <c r="Z600" s="13"/>
      <c r="AA600" s="13"/>
      <c r="AB600" s="13"/>
    </row>
    <row r="601" spans="1:28" ht="13.2">
      <c r="A601" s="53"/>
      <c r="B601" s="13"/>
      <c r="C601" s="16"/>
      <c r="D601" s="16">
        <f t="shared" si="12"/>
        <v>0</v>
      </c>
      <c r="E601" s="16">
        <f t="shared" si="13"/>
        <v>0</v>
      </c>
      <c r="F601" s="16"/>
      <c r="G601" s="16"/>
      <c r="H601" s="16"/>
      <c r="I601" s="16"/>
      <c r="J601" s="16"/>
      <c r="K601" s="13"/>
      <c r="L601" s="13"/>
      <c r="M601" s="13"/>
      <c r="N601" s="13"/>
      <c r="O601" s="13"/>
      <c r="P601" s="13"/>
      <c r="Q601" s="13"/>
      <c r="R601" s="13"/>
      <c r="S601" s="13"/>
      <c r="T601" s="13"/>
      <c r="U601" s="13"/>
      <c r="V601" s="13"/>
      <c r="W601" s="13"/>
      <c r="X601" s="13"/>
      <c r="Y601" s="13"/>
      <c r="Z601" s="13"/>
      <c r="AA601" s="13"/>
      <c r="AB601" s="13"/>
    </row>
    <row r="602" spans="1:28" ht="13.2">
      <c r="A602" s="53"/>
      <c r="B602" s="13"/>
      <c r="C602" s="16"/>
      <c r="D602" s="16">
        <f t="shared" si="12"/>
        <v>0</v>
      </c>
      <c r="E602" s="16">
        <f t="shared" si="13"/>
        <v>0</v>
      </c>
      <c r="F602" s="16"/>
      <c r="G602" s="16"/>
      <c r="H602" s="16"/>
      <c r="I602" s="16"/>
      <c r="J602" s="16"/>
      <c r="K602" s="13"/>
      <c r="L602" s="13"/>
      <c r="M602" s="13"/>
      <c r="N602" s="13"/>
      <c r="O602" s="13"/>
      <c r="P602" s="13"/>
      <c r="Q602" s="13"/>
      <c r="R602" s="13"/>
      <c r="S602" s="13"/>
      <c r="T602" s="13"/>
      <c r="U602" s="13"/>
      <c r="V602" s="13"/>
      <c r="W602" s="13"/>
      <c r="X602" s="13"/>
      <c r="Y602" s="13"/>
      <c r="Z602" s="13"/>
      <c r="AA602" s="13"/>
      <c r="AB602" s="13"/>
    </row>
    <row r="603" spans="1:28" ht="13.2">
      <c r="A603" s="53"/>
      <c r="B603" s="13"/>
      <c r="C603" s="16"/>
      <c r="D603" s="16">
        <f t="shared" si="12"/>
        <v>0</v>
      </c>
      <c r="E603" s="16">
        <f t="shared" si="13"/>
        <v>0</v>
      </c>
      <c r="F603" s="16"/>
      <c r="G603" s="16"/>
      <c r="H603" s="16"/>
      <c r="I603" s="16"/>
      <c r="J603" s="16"/>
      <c r="K603" s="13"/>
      <c r="L603" s="13"/>
      <c r="M603" s="13"/>
      <c r="N603" s="13"/>
      <c r="O603" s="13"/>
      <c r="P603" s="13"/>
      <c r="Q603" s="13"/>
      <c r="R603" s="13"/>
      <c r="S603" s="13"/>
      <c r="T603" s="13"/>
      <c r="U603" s="13"/>
      <c r="V603" s="13"/>
      <c r="W603" s="13"/>
      <c r="X603" s="13"/>
      <c r="Y603" s="13"/>
      <c r="Z603" s="13"/>
      <c r="AA603" s="13"/>
      <c r="AB603" s="13"/>
    </row>
    <row r="604" spans="1:28" ht="13.2">
      <c r="A604" s="53"/>
      <c r="B604" s="13"/>
      <c r="C604" s="16"/>
      <c r="D604" s="16">
        <f t="shared" si="12"/>
        <v>0</v>
      </c>
      <c r="E604" s="16">
        <f t="shared" si="13"/>
        <v>0</v>
      </c>
      <c r="F604" s="16"/>
      <c r="G604" s="16"/>
      <c r="H604" s="16"/>
      <c r="I604" s="16"/>
      <c r="J604" s="16"/>
      <c r="K604" s="13"/>
      <c r="L604" s="13"/>
      <c r="M604" s="13"/>
      <c r="N604" s="13"/>
      <c r="O604" s="13"/>
      <c r="P604" s="13"/>
      <c r="Q604" s="13"/>
      <c r="R604" s="13"/>
      <c r="S604" s="13"/>
      <c r="T604" s="13"/>
      <c r="U604" s="13"/>
      <c r="V604" s="13"/>
      <c r="W604" s="13"/>
      <c r="X604" s="13"/>
      <c r="Y604" s="13"/>
      <c r="Z604" s="13"/>
      <c r="AA604" s="13"/>
      <c r="AB604" s="13"/>
    </row>
    <row r="605" spans="1:28" ht="13.2">
      <c r="A605" s="53"/>
      <c r="B605" s="13"/>
      <c r="C605" s="16"/>
      <c r="D605" s="16">
        <f t="shared" si="12"/>
        <v>0</v>
      </c>
      <c r="E605" s="16">
        <f t="shared" si="13"/>
        <v>0</v>
      </c>
      <c r="F605" s="16"/>
      <c r="G605" s="16"/>
      <c r="H605" s="16"/>
      <c r="I605" s="16"/>
      <c r="J605" s="16"/>
      <c r="K605" s="13"/>
      <c r="L605" s="13"/>
      <c r="M605" s="13"/>
      <c r="N605" s="13"/>
      <c r="O605" s="13"/>
      <c r="P605" s="13"/>
      <c r="Q605" s="13"/>
      <c r="R605" s="13"/>
      <c r="S605" s="13"/>
      <c r="T605" s="13"/>
      <c r="U605" s="13"/>
      <c r="V605" s="13"/>
      <c r="W605" s="13"/>
      <c r="X605" s="13"/>
      <c r="Y605" s="13"/>
      <c r="Z605" s="13"/>
      <c r="AA605" s="13"/>
      <c r="AB605" s="13"/>
    </row>
    <row r="606" spans="1:28" ht="13.2">
      <c r="A606" s="53"/>
      <c r="B606" s="13"/>
      <c r="C606" s="16"/>
      <c r="D606" s="16">
        <f t="shared" si="12"/>
        <v>0</v>
      </c>
      <c r="E606" s="16">
        <f t="shared" si="13"/>
        <v>0</v>
      </c>
      <c r="F606" s="16"/>
      <c r="G606" s="16"/>
      <c r="H606" s="16"/>
      <c r="I606" s="16"/>
      <c r="J606" s="16"/>
      <c r="K606" s="13"/>
      <c r="L606" s="13"/>
      <c r="M606" s="13"/>
      <c r="N606" s="13"/>
      <c r="O606" s="13"/>
      <c r="P606" s="13"/>
      <c r="Q606" s="13"/>
      <c r="R606" s="13"/>
      <c r="S606" s="13"/>
      <c r="T606" s="13"/>
      <c r="U606" s="13"/>
      <c r="V606" s="13"/>
      <c r="W606" s="13"/>
      <c r="X606" s="13"/>
      <c r="Y606" s="13"/>
      <c r="Z606" s="13"/>
      <c r="AA606" s="13"/>
      <c r="AB606" s="13"/>
    </row>
    <row r="607" spans="1:28" ht="13.2">
      <c r="A607" s="53"/>
      <c r="B607" s="13"/>
      <c r="C607" s="16"/>
      <c r="D607" s="16">
        <f t="shared" si="12"/>
        <v>0</v>
      </c>
      <c r="E607" s="16">
        <f t="shared" si="13"/>
        <v>0</v>
      </c>
      <c r="F607" s="16"/>
      <c r="G607" s="16"/>
      <c r="H607" s="16"/>
      <c r="I607" s="16"/>
      <c r="J607" s="16"/>
      <c r="K607" s="13"/>
      <c r="L607" s="13"/>
      <c r="M607" s="13"/>
      <c r="N607" s="13"/>
      <c r="O607" s="13"/>
      <c r="P607" s="13"/>
      <c r="Q607" s="13"/>
      <c r="R607" s="13"/>
      <c r="S607" s="13"/>
      <c r="T607" s="13"/>
      <c r="U607" s="13"/>
      <c r="V607" s="13"/>
      <c r="W607" s="13"/>
      <c r="X607" s="13"/>
      <c r="Y607" s="13"/>
      <c r="Z607" s="13"/>
      <c r="AA607" s="13"/>
      <c r="AB607" s="13"/>
    </row>
    <row r="608" spans="1:28" ht="13.2">
      <c r="A608" s="53"/>
      <c r="B608" s="13"/>
      <c r="C608" s="16"/>
      <c r="D608" s="16">
        <f t="shared" si="12"/>
        <v>0</v>
      </c>
      <c r="E608" s="16">
        <f t="shared" si="13"/>
        <v>0</v>
      </c>
      <c r="F608" s="16"/>
      <c r="G608" s="16"/>
      <c r="H608" s="16"/>
      <c r="I608" s="16"/>
      <c r="J608" s="16"/>
      <c r="K608" s="13"/>
      <c r="L608" s="13"/>
      <c r="M608" s="13"/>
      <c r="N608" s="13"/>
      <c r="O608" s="13"/>
      <c r="P608" s="13"/>
      <c r="Q608" s="13"/>
      <c r="R608" s="13"/>
      <c r="S608" s="13"/>
      <c r="T608" s="13"/>
      <c r="U608" s="13"/>
      <c r="V608" s="13"/>
      <c r="W608" s="13"/>
      <c r="X608" s="13"/>
      <c r="Y608" s="13"/>
      <c r="Z608" s="13"/>
      <c r="AA608" s="13"/>
      <c r="AB608" s="13"/>
    </row>
    <row r="609" spans="1:28" ht="13.2">
      <c r="A609" s="53"/>
      <c r="B609" s="13"/>
      <c r="C609" s="16"/>
      <c r="D609" s="16">
        <f t="shared" si="12"/>
        <v>0</v>
      </c>
      <c r="E609" s="16">
        <f t="shared" si="13"/>
        <v>0</v>
      </c>
      <c r="F609" s="16"/>
      <c r="G609" s="16"/>
      <c r="H609" s="16"/>
      <c r="I609" s="16"/>
      <c r="J609" s="16"/>
      <c r="K609" s="13"/>
      <c r="L609" s="13"/>
      <c r="M609" s="13"/>
      <c r="N609" s="13"/>
      <c r="O609" s="13"/>
      <c r="P609" s="13"/>
      <c r="Q609" s="13"/>
      <c r="R609" s="13"/>
      <c r="S609" s="13"/>
      <c r="T609" s="13"/>
      <c r="U609" s="13"/>
      <c r="V609" s="13"/>
      <c r="W609" s="13"/>
      <c r="X609" s="13"/>
      <c r="Y609" s="13"/>
      <c r="Z609" s="13"/>
      <c r="AA609" s="13"/>
      <c r="AB609" s="13"/>
    </row>
    <row r="610" spans="1:28" ht="13.2">
      <c r="A610" s="53"/>
      <c r="B610" s="13"/>
      <c r="C610" s="16"/>
      <c r="D610" s="16">
        <f t="shared" si="12"/>
        <v>0</v>
      </c>
      <c r="E610" s="16">
        <f t="shared" si="13"/>
        <v>0</v>
      </c>
      <c r="F610" s="16"/>
      <c r="G610" s="16"/>
      <c r="H610" s="16"/>
      <c r="I610" s="16"/>
      <c r="J610" s="16"/>
      <c r="K610" s="13"/>
      <c r="L610" s="13"/>
      <c r="M610" s="13"/>
      <c r="N610" s="13"/>
      <c r="O610" s="13"/>
      <c r="P610" s="13"/>
      <c r="Q610" s="13"/>
      <c r="R610" s="13"/>
      <c r="S610" s="13"/>
      <c r="T610" s="13"/>
      <c r="U610" s="13"/>
      <c r="V610" s="13"/>
      <c r="W610" s="13"/>
      <c r="X610" s="13"/>
      <c r="Y610" s="13"/>
      <c r="Z610" s="13"/>
      <c r="AA610" s="13"/>
      <c r="AB610" s="13"/>
    </row>
    <row r="611" spans="1:28" ht="13.2">
      <c r="A611" s="53"/>
      <c r="B611" s="13"/>
      <c r="C611" s="16"/>
      <c r="D611" s="16">
        <f t="shared" si="12"/>
        <v>0</v>
      </c>
      <c r="E611" s="16">
        <f t="shared" si="13"/>
        <v>0</v>
      </c>
      <c r="F611" s="16"/>
      <c r="G611" s="16"/>
      <c r="H611" s="16"/>
      <c r="I611" s="16"/>
      <c r="J611" s="16"/>
      <c r="K611" s="13"/>
      <c r="L611" s="13"/>
      <c r="M611" s="13"/>
      <c r="N611" s="13"/>
      <c r="O611" s="13"/>
      <c r="P611" s="13"/>
      <c r="Q611" s="13"/>
      <c r="R611" s="13"/>
      <c r="S611" s="13"/>
      <c r="T611" s="13"/>
      <c r="U611" s="13"/>
      <c r="V611" s="13"/>
      <c r="W611" s="13"/>
      <c r="X611" s="13"/>
      <c r="Y611" s="13"/>
      <c r="Z611" s="13"/>
      <c r="AA611" s="13"/>
      <c r="AB611" s="13"/>
    </row>
    <row r="612" spans="1:28" ht="13.2">
      <c r="A612" s="53"/>
      <c r="B612" s="13"/>
      <c r="C612" s="16"/>
      <c r="D612" s="16">
        <f t="shared" si="12"/>
        <v>0</v>
      </c>
      <c r="E612" s="16">
        <f t="shared" si="13"/>
        <v>0</v>
      </c>
      <c r="F612" s="16"/>
      <c r="G612" s="16"/>
      <c r="H612" s="16"/>
      <c r="I612" s="16"/>
      <c r="J612" s="16"/>
      <c r="K612" s="13"/>
      <c r="L612" s="13"/>
      <c r="M612" s="13"/>
      <c r="N612" s="13"/>
      <c r="O612" s="13"/>
      <c r="P612" s="13"/>
      <c r="Q612" s="13"/>
      <c r="R612" s="13"/>
      <c r="S612" s="13"/>
      <c r="T612" s="13"/>
      <c r="U612" s="13"/>
      <c r="V612" s="13"/>
      <c r="W612" s="13"/>
      <c r="X612" s="13"/>
      <c r="Y612" s="13"/>
      <c r="Z612" s="13"/>
      <c r="AA612" s="13"/>
      <c r="AB612" s="13"/>
    </row>
    <row r="613" spans="1:28" ht="13.2">
      <c r="A613" s="53"/>
      <c r="B613" s="13"/>
      <c r="C613" s="16"/>
      <c r="D613" s="16">
        <f t="shared" si="12"/>
        <v>0</v>
      </c>
      <c r="E613" s="16">
        <f t="shared" si="13"/>
        <v>0</v>
      </c>
      <c r="F613" s="16"/>
      <c r="G613" s="16"/>
      <c r="H613" s="16"/>
      <c r="I613" s="16"/>
      <c r="J613" s="16"/>
      <c r="K613" s="13"/>
      <c r="L613" s="13"/>
      <c r="M613" s="13"/>
      <c r="N613" s="13"/>
      <c r="O613" s="13"/>
      <c r="P613" s="13"/>
      <c r="Q613" s="13"/>
      <c r="R613" s="13"/>
      <c r="S613" s="13"/>
      <c r="T613" s="13"/>
      <c r="U613" s="13"/>
      <c r="V613" s="13"/>
      <c r="W613" s="13"/>
      <c r="X613" s="13"/>
      <c r="Y613" s="13"/>
      <c r="Z613" s="13"/>
      <c r="AA613" s="13"/>
      <c r="AB613" s="13"/>
    </row>
    <row r="614" spans="1:28" ht="13.2">
      <c r="A614" s="53"/>
      <c r="B614" s="13"/>
      <c r="C614" s="16"/>
      <c r="D614" s="16">
        <f t="shared" si="12"/>
        <v>0</v>
      </c>
      <c r="E614" s="16">
        <f t="shared" si="13"/>
        <v>0</v>
      </c>
      <c r="F614" s="16"/>
      <c r="G614" s="16"/>
      <c r="H614" s="16"/>
      <c r="I614" s="16"/>
      <c r="J614" s="16"/>
      <c r="K614" s="13"/>
      <c r="L614" s="13"/>
      <c r="M614" s="13"/>
      <c r="N614" s="13"/>
      <c r="O614" s="13"/>
      <c r="P614" s="13"/>
      <c r="Q614" s="13"/>
      <c r="R614" s="13"/>
      <c r="S614" s="13"/>
      <c r="T614" s="13"/>
      <c r="U614" s="13"/>
      <c r="V614" s="13"/>
      <c r="W614" s="13"/>
      <c r="X614" s="13"/>
      <c r="Y614" s="13"/>
      <c r="Z614" s="13"/>
      <c r="AA614" s="13"/>
      <c r="AB614" s="13"/>
    </row>
    <row r="615" spans="1:28" ht="13.2">
      <c r="A615" s="53"/>
      <c r="B615" s="13"/>
      <c r="C615" s="16"/>
      <c r="D615" s="16">
        <f t="shared" si="12"/>
        <v>0</v>
      </c>
      <c r="E615" s="16">
        <f t="shared" si="13"/>
        <v>0</v>
      </c>
      <c r="F615" s="16"/>
      <c r="G615" s="16"/>
      <c r="H615" s="16"/>
      <c r="I615" s="16"/>
      <c r="J615" s="16"/>
      <c r="K615" s="13"/>
      <c r="L615" s="13"/>
      <c r="M615" s="13"/>
      <c r="N615" s="13"/>
      <c r="O615" s="13"/>
      <c r="P615" s="13"/>
      <c r="Q615" s="13"/>
      <c r="R615" s="13"/>
      <c r="S615" s="13"/>
      <c r="T615" s="13"/>
      <c r="U615" s="13"/>
      <c r="V615" s="13"/>
      <c r="W615" s="13"/>
      <c r="X615" s="13"/>
      <c r="Y615" s="13"/>
      <c r="Z615" s="13"/>
      <c r="AA615" s="13"/>
      <c r="AB615" s="13"/>
    </row>
    <row r="616" spans="1:28" ht="13.2">
      <c r="A616" s="53"/>
      <c r="B616" s="13"/>
      <c r="C616" s="16"/>
      <c r="D616" s="16">
        <f t="shared" si="12"/>
        <v>0</v>
      </c>
      <c r="E616" s="16">
        <f t="shared" si="13"/>
        <v>0</v>
      </c>
      <c r="F616" s="16"/>
      <c r="G616" s="16"/>
      <c r="H616" s="16"/>
      <c r="I616" s="16"/>
      <c r="J616" s="16"/>
      <c r="K616" s="13"/>
      <c r="L616" s="13"/>
      <c r="M616" s="13"/>
      <c r="N616" s="13"/>
      <c r="O616" s="13"/>
      <c r="P616" s="13"/>
      <c r="Q616" s="13"/>
      <c r="R616" s="13"/>
      <c r="S616" s="13"/>
      <c r="T616" s="13"/>
      <c r="U616" s="13"/>
      <c r="V616" s="13"/>
      <c r="W616" s="13"/>
      <c r="X616" s="13"/>
      <c r="Y616" s="13"/>
      <c r="Z616" s="13"/>
      <c r="AA616" s="13"/>
      <c r="AB616" s="13"/>
    </row>
    <row r="617" spans="1:28" ht="13.2">
      <c r="A617" s="53"/>
      <c r="B617" s="13"/>
      <c r="C617" s="16"/>
      <c r="D617" s="16">
        <f t="shared" si="12"/>
        <v>0</v>
      </c>
      <c r="E617" s="16">
        <f t="shared" si="13"/>
        <v>0</v>
      </c>
      <c r="F617" s="16"/>
      <c r="G617" s="16"/>
      <c r="H617" s="16"/>
      <c r="I617" s="16"/>
      <c r="J617" s="16"/>
      <c r="K617" s="13"/>
      <c r="L617" s="13"/>
      <c r="M617" s="13"/>
      <c r="N617" s="13"/>
      <c r="O617" s="13"/>
      <c r="P617" s="13"/>
      <c r="Q617" s="13"/>
      <c r="R617" s="13"/>
      <c r="S617" s="13"/>
      <c r="T617" s="13"/>
      <c r="U617" s="13"/>
      <c r="V617" s="13"/>
      <c r="W617" s="13"/>
      <c r="X617" s="13"/>
      <c r="Y617" s="13"/>
      <c r="Z617" s="13"/>
      <c r="AA617" s="13"/>
      <c r="AB617" s="13"/>
    </row>
    <row r="618" spans="1:28" ht="13.2">
      <c r="A618" s="53"/>
      <c r="B618" s="13"/>
      <c r="C618" s="16"/>
      <c r="D618" s="16">
        <f t="shared" si="12"/>
        <v>0</v>
      </c>
      <c r="E618" s="16">
        <f t="shared" si="13"/>
        <v>0</v>
      </c>
      <c r="F618" s="16"/>
      <c r="G618" s="16"/>
      <c r="H618" s="16"/>
      <c r="I618" s="16"/>
      <c r="J618" s="16"/>
      <c r="K618" s="13"/>
      <c r="L618" s="13"/>
      <c r="M618" s="13"/>
      <c r="N618" s="13"/>
      <c r="O618" s="13"/>
      <c r="P618" s="13"/>
      <c r="Q618" s="13"/>
      <c r="R618" s="13"/>
      <c r="S618" s="13"/>
      <c r="T618" s="13"/>
      <c r="U618" s="13"/>
      <c r="V618" s="13"/>
      <c r="W618" s="13"/>
      <c r="X618" s="13"/>
      <c r="Y618" s="13"/>
      <c r="Z618" s="13"/>
      <c r="AA618" s="13"/>
      <c r="AB618" s="13"/>
    </row>
    <row r="619" spans="1:28" ht="13.2">
      <c r="A619" s="53"/>
      <c r="B619" s="13"/>
      <c r="C619" s="16"/>
      <c r="D619" s="16">
        <f t="shared" si="12"/>
        <v>0</v>
      </c>
      <c r="E619" s="16">
        <f t="shared" si="13"/>
        <v>0</v>
      </c>
      <c r="F619" s="16"/>
      <c r="G619" s="16"/>
      <c r="H619" s="16"/>
      <c r="I619" s="16"/>
      <c r="J619" s="16"/>
      <c r="K619" s="13"/>
      <c r="L619" s="13"/>
      <c r="M619" s="13"/>
      <c r="N619" s="13"/>
      <c r="O619" s="13"/>
      <c r="P619" s="13"/>
      <c r="Q619" s="13"/>
      <c r="R619" s="13"/>
      <c r="S619" s="13"/>
      <c r="T619" s="13"/>
      <c r="U619" s="13"/>
      <c r="V619" s="13"/>
      <c r="W619" s="13"/>
      <c r="X619" s="13"/>
      <c r="Y619" s="13"/>
      <c r="Z619" s="13"/>
      <c r="AA619" s="13"/>
      <c r="AB619" s="13"/>
    </row>
    <row r="620" spans="1:28" ht="13.2">
      <c r="A620" s="53"/>
      <c r="B620" s="13"/>
      <c r="C620" s="16"/>
      <c r="D620" s="16">
        <f t="shared" si="12"/>
        <v>0</v>
      </c>
      <c r="E620" s="16">
        <f t="shared" si="13"/>
        <v>0</v>
      </c>
      <c r="F620" s="16"/>
      <c r="G620" s="16"/>
      <c r="H620" s="16"/>
      <c r="I620" s="16"/>
      <c r="J620" s="16"/>
      <c r="K620" s="13"/>
      <c r="L620" s="13"/>
      <c r="M620" s="13"/>
      <c r="N620" s="13"/>
      <c r="O620" s="13"/>
      <c r="P620" s="13"/>
      <c r="Q620" s="13"/>
      <c r="R620" s="13"/>
      <c r="S620" s="13"/>
      <c r="T620" s="13"/>
      <c r="U620" s="13"/>
      <c r="V620" s="13"/>
      <c r="W620" s="13"/>
      <c r="X620" s="13"/>
      <c r="Y620" s="13"/>
      <c r="Z620" s="13"/>
      <c r="AA620" s="13"/>
      <c r="AB620" s="13"/>
    </row>
    <row r="621" spans="1:28" ht="13.2">
      <c r="A621" s="53"/>
      <c r="B621" s="13"/>
      <c r="C621" s="16"/>
      <c r="D621" s="16">
        <f t="shared" si="12"/>
        <v>0</v>
      </c>
      <c r="E621" s="16">
        <f t="shared" si="13"/>
        <v>0</v>
      </c>
      <c r="F621" s="16"/>
      <c r="G621" s="16"/>
      <c r="H621" s="16"/>
      <c r="I621" s="16"/>
      <c r="J621" s="16"/>
      <c r="K621" s="13"/>
      <c r="L621" s="13"/>
      <c r="M621" s="13"/>
      <c r="N621" s="13"/>
      <c r="O621" s="13"/>
      <c r="P621" s="13"/>
      <c r="Q621" s="13"/>
      <c r="R621" s="13"/>
      <c r="S621" s="13"/>
      <c r="T621" s="13"/>
      <c r="U621" s="13"/>
      <c r="V621" s="13"/>
      <c r="W621" s="13"/>
      <c r="X621" s="13"/>
      <c r="Y621" s="13"/>
      <c r="Z621" s="13"/>
      <c r="AA621" s="13"/>
      <c r="AB621" s="13"/>
    </row>
    <row r="622" spans="1:28" ht="13.2">
      <c r="A622" s="53"/>
      <c r="B622" s="13"/>
      <c r="C622" s="16"/>
      <c r="D622" s="16">
        <f t="shared" si="12"/>
        <v>0</v>
      </c>
      <c r="E622" s="16">
        <f t="shared" si="13"/>
        <v>0</v>
      </c>
      <c r="F622" s="16"/>
      <c r="G622" s="16"/>
      <c r="H622" s="16"/>
      <c r="I622" s="16"/>
      <c r="J622" s="16"/>
      <c r="K622" s="13"/>
      <c r="L622" s="13"/>
      <c r="M622" s="13"/>
      <c r="N622" s="13"/>
      <c r="O622" s="13"/>
      <c r="P622" s="13"/>
      <c r="Q622" s="13"/>
      <c r="R622" s="13"/>
      <c r="S622" s="13"/>
      <c r="T622" s="13"/>
      <c r="U622" s="13"/>
      <c r="V622" s="13"/>
      <c r="W622" s="13"/>
      <c r="X622" s="13"/>
      <c r="Y622" s="13"/>
      <c r="Z622" s="13"/>
      <c r="AA622" s="13"/>
      <c r="AB622" s="13"/>
    </row>
    <row r="623" spans="1:28" ht="13.2">
      <c r="A623" s="53"/>
      <c r="B623" s="13"/>
      <c r="C623" s="16"/>
      <c r="D623" s="16">
        <f t="shared" si="12"/>
        <v>0</v>
      </c>
      <c r="E623" s="16">
        <f t="shared" si="13"/>
        <v>0</v>
      </c>
      <c r="F623" s="16"/>
      <c r="G623" s="16"/>
      <c r="H623" s="16"/>
      <c r="I623" s="16"/>
      <c r="J623" s="16"/>
      <c r="K623" s="13"/>
      <c r="L623" s="13"/>
      <c r="M623" s="13"/>
      <c r="N623" s="13"/>
      <c r="O623" s="13"/>
      <c r="P623" s="13"/>
      <c r="Q623" s="13"/>
      <c r="R623" s="13"/>
      <c r="S623" s="13"/>
      <c r="T623" s="13"/>
      <c r="U623" s="13"/>
      <c r="V623" s="13"/>
      <c r="W623" s="13"/>
      <c r="X623" s="13"/>
      <c r="Y623" s="13"/>
      <c r="Z623" s="13"/>
      <c r="AA623" s="13"/>
      <c r="AB623" s="13"/>
    </row>
    <row r="624" spans="1:28" ht="13.2">
      <c r="A624" s="53"/>
      <c r="B624" s="13"/>
      <c r="C624" s="16"/>
      <c r="D624" s="16">
        <f t="shared" si="12"/>
        <v>0</v>
      </c>
      <c r="E624" s="16">
        <f t="shared" si="13"/>
        <v>0</v>
      </c>
      <c r="F624" s="16"/>
      <c r="G624" s="16"/>
      <c r="H624" s="16"/>
      <c r="I624" s="16"/>
      <c r="J624" s="16"/>
      <c r="K624" s="13"/>
      <c r="L624" s="13"/>
      <c r="M624" s="13"/>
      <c r="N624" s="13"/>
      <c r="O624" s="13"/>
      <c r="P624" s="13"/>
      <c r="Q624" s="13"/>
      <c r="R624" s="13"/>
      <c r="S624" s="13"/>
      <c r="T624" s="13"/>
      <c r="U624" s="13"/>
      <c r="V624" s="13"/>
      <c r="W624" s="13"/>
      <c r="X624" s="13"/>
      <c r="Y624" s="13"/>
      <c r="Z624" s="13"/>
      <c r="AA624" s="13"/>
      <c r="AB624" s="13"/>
    </row>
    <row r="625" spans="1:28" ht="13.2">
      <c r="A625" s="53"/>
      <c r="B625" s="13"/>
      <c r="C625" s="16"/>
      <c r="D625" s="16">
        <f t="shared" si="12"/>
        <v>0</v>
      </c>
      <c r="E625" s="16">
        <f t="shared" si="13"/>
        <v>0</v>
      </c>
      <c r="F625" s="16"/>
      <c r="G625" s="16"/>
      <c r="H625" s="16"/>
      <c r="I625" s="16"/>
      <c r="J625" s="16"/>
      <c r="K625" s="13"/>
      <c r="L625" s="13"/>
      <c r="M625" s="13"/>
      <c r="N625" s="13"/>
      <c r="O625" s="13"/>
      <c r="P625" s="13"/>
      <c r="Q625" s="13"/>
      <c r="R625" s="13"/>
      <c r="S625" s="13"/>
      <c r="T625" s="13"/>
      <c r="U625" s="13"/>
      <c r="V625" s="13"/>
      <c r="W625" s="13"/>
      <c r="X625" s="13"/>
      <c r="Y625" s="13"/>
      <c r="Z625" s="13"/>
      <c r="AA625" s="13"/>
      <c r="AB625" s="13"/>
    </row>
    <row r="626" spans="1:28" ht="13.2">
      <c r="A626" s="53"/>
      <c r="B626" s="13"/>
      <c r="C626" s="16"/>
      <c r="D626" s="16">
        <f t="shared" si="12"/>
        <v>0</v>
      </c>
      <c r="E626" s="16">
        <f t="shared" si="13"/>
        <v>0</v>
      </c>
      <c r="F626" s="16"/>
      <c r="G626" s="16"/>
      <c r="H626" s="16"/>
      <c r="I626" s="16"/>
      <c r="J626" s="16"/>
      <c r="K626" s="13"/>
      <c r="L626" s="13"/>
      <c r="M626" s="13"/>
      <c r="N626" s="13"/>
      <c r="O626" s="13"/>
      <c r="P626" s="13"/>
      <c r="Q626" s="13"/>
      <c r="R626" s="13"/>
      <c r="S626" s="13"/>
      <c r="T626" s="13"/>
      <c r="U626" s="13"/>
      <c r="V626" s="13"/>
      <c r="W626" s="13"/>
      <c r="X626" s="13"/>
      <c r="Y626" s="13"/>
      <c r="Z626" s="13"/>
      <c r="AA626" s="13"/>
      <c r="AB626" s="13"/>
    </row>
    <row r="627" spans="1:28" ht="13.2">
      <c r="A627" s="53"/>
      <c r="B627" s="13"/>
      <c r="C627" s="16"/>
      <c r="D627" s="16">
        <f t="shared" si="12"/>
        <v>0</v>
      </c>
      <c r="E627" s="16">
        <f t="shared" si="13"/>
        <v>0</v>
      </c>
      <c r="F627" s="16"/>
      <c r="G627" s="16"/>
      <c r="H627" s="16"/>
      <c r="I627" s="16"/>
      <c r="J627" s="16"/>
      <c r="K627" s="13"/>
      <c r="L627" s="13"/>
      <c r="M627" s="13"/>
      <c r="N627" s="13"/>
      <c r="O627" s="13"/>
      <c r="P627" s="13"/>
      <c r="Q627" s="13"/>
      <c r="R627" s="13"/>
      <c r="S627" s="13"/>
      <c r="T627" s="13"/>
      <c r="U627" s="13"/>
      <c r="V627" s="13"/>
      <c r="W627" s="13"/>
      <c r="X627" s="13"/>
      <c r="Y627" s="13"/>
      <c r="Z627" s="13"/>
      <c r="AA627" s="13"/>
      <c r="AB627" s="13"/>
    </row>
    <row r="628" spans="1:28" ht="13.2">
      <c r="A628" s="53"/>
      <c r="B628" s="13"/>
      <c r="C628" s="16"/>
      <c r="D628" s="16">
        <f t="shared" si="12"/>
        <v>0</v>
      </c>
      <c r="E628" s="16">
        <f t="shared" si="13"/>
        <v>0</v>
      </c>
      <c r="F628" s="16"/>
      <c r="G628" s="16"/>
      <c r="H628" s="16"/>
      <c r="I628" s="16"/>
      <c r="J628" s="16"/>
      <c r="K628" s="13"/>
      <c r="L628" s="13"/>
      <c r="M628" s="13"/>
      <c r="N628" s="13"/>
      <c r="O628" s="13"/>
      <c r="P628" s="13"/>
      <c r="Q628" s="13"/>
      <c r="R628" s="13"/>
      <c r="S628" s="13"/>
      <c r="T628" s="13"/>
      <c r="U628" s="13"/>
      <c r="V628" s="13"/>
      <c r="W628" s="13"/>
      <c r="X628" s="13"/>
      <c r="Y628" s="13"/>
      <c r="Z628" s="13"/>
      <c r="AA628" s="13"/>
      <c r="AB628" s="13"/>
    </row>
    <row r="629" spans="1:28" ht="13.2">
      <c r="A629" s="53"/>
      <c r="B629" s="13"/>
      <c r="C629" s="16"/>
      <c r="D629" s="16">
        <f t="shared" si="12"/>
        <v>0</v>
      </c>
      <c r="E629" s="16">
        <f t="shared" si="13"/>
        <v>0</v>
      </c>
      <c r="F629" s="16"/>
      <c r="G629" s="16"/>
      <c r="H629" s="16"/>
      <c r="I629" s="16"/>
      <c r="J629" s="16"/>
      <c r="K629" s="13"/>
      <c r="L629" s="13"/>
      <c r="M629" s="13"/>
      <c r="N629" s="13"/>
      <c r="O629" s="13"/>
      <c r="P629" s="13"/>
      <c r="Q629" s="13"/>
      <c r="R629" s="13"/>
      <c r="S629" s="13"/>
      <c r="T629" s="13"/>
      <c r="U629" s="13"/>
      <c r="V629" s="13"/>
      <c r="W629" s="13"/>
      <c r="X629" s="13"/>
      <c r="Y629" s="13"/>
      <c r="Z629" s="13"/>
      <c r="AA629" s="13"/>
      <c r="AB629" s="13"/>
    </row>
    <row r="630" spans="1:28" ht="13.2">
      <c r="A630" s="53"/>
      <c r="B630" s="13"/>
      <c r="C630" s="16"/>
      <c r="D630" s="16">
        <f t="shared" si="12"/>
        <v>0</v>
      </c>
      <c r="E630" s="16">
        <f t="shared" si="13"/>
        <v>0</v>
      </c>
      <c r="F630" s="16"/>
      <c r="G630" s="16"/>
      <c r="H630" s="16"/>
      <c r="I630" s="16"/>
      <c r="J630" s="16"/>
      <c r="K630" s="13"/>
      <c r="L630" s="13"/>
      <c r="M630" s="13"/>
      <c r="N630" s="13"/>
      <c r="O630" s="13"/>
      <c r="P630" s="13"/>
      <c r="Q630" s="13"/>
      <c r="R630" s="13"/>
      <c r="S630" s="13"/>
      <c r="T630" s="13"/>
      <c r="U630" s="13"/>
      <c r="V630" s="13"/>
      <c r="W630" s="13"/>
      <c r="X630" s="13"/>
      <c r="Y630" s="13"/>
      <c r="Z630" s="13"/>
      <c r="AA630" s="13"/>
      <c r="AB630" s="13"/>
    </row>
    <row r="631" spans="1:28" ht="13.2">
      <c r="A631" s="53"/>
      <c r="B631" s="13"/>
      <c r="C631" s="16"/>
      <c r="D631" s="16">
        <f t="shared" si="12"/>
        <v>0</v>
      </c>
      <c r="E631" s="16">
        <f t="shared" si="13"/>
        <v>0</v>
      </c>
      <c r="F631" s="16"/>
      <c r="G631" s="16"/>
      <c r="H631" s="16"/>
      <c r="I631" s="16"/>
      <c r="J631" s="16"/>
      <c r="K631" s="13"/>
      <c r="L631" s="13"/>
      <c r="M631" s="13"/>
      <c r="N631" s="13"/>
      <c r="O631" s="13"/>
      <c r="P631" s="13"/>
      <c r="Q631" s="13"/>
      <c r="R631" s="13"/>
      <c r="S631" s="13"/>
      <c r="T631" s="13"/>
      <c r="U631" s="13"/>
      <c r="V631" s="13"/>
      <c r="W631" s="13"/>
      <c r="X631" s="13"/>
      <c r="Y631" s="13"/>
      <c r="Z631" s="13"/>
      <c r="AA631" s="13"/>
      <c r="AB631" s="13"/>
    </row>
    <row r="632" spans="1:28" ht="13.2">
      <c r="A632" s="53"/>
      <c r="B632" s="13"/>
      <c r="C632" s="16"/>
      <c r="D632" s="16">
        <f t="shared" si="12"/>
        <v>0</v>
      </c>
      <c r="E632" s="16">
        <f t="shared" si="13"/>
        <v>0</v>
      </c>
      <c r="F632" s="16"/>
      <c r="G632" s="16"/>
      <c r="H632" s="16"/>
      <c r="I632" s="16"/>
      <c r="J632" s="16"/>
      <c r="K632" s="13"/>
      <c r="L632" s="13"/>
      <c r="M632" s="13"/>
      <c r="N632" s="13"/>
      <c r="O632" s="13"/>
      <c r="P632" s="13"/>
      <c r="Q632" s="13"/>
      <c r="R632" s="13"/>
      <c r="S632" s="13"/>
      <c r="T632" s="13"/>
      <c r="U632" s="13"/>
      <c r="V632" s="13"/>
      <c r="W632" s="13"/>
      <c r="X632" s="13"/>
      <c r="Y632" s="13"/>
      <c r="Z632" s="13"/>
      <c r="AA632" s="13"/>
      <c r="AB632" s="13"/>
    </row>
    <row r="633" spans="1:28" ht="13.2">
      <c r="A633" s="53"/>
      <c r="B633" s="13"/>
      <c r="C633" s="16"/>
      <c r="D633" s="16">
        <f t="shared" si="12"/>
        <v>0</v>
      </c>
      <c r="E633" s="16">
        <f t="shared" si="13"/>
        <v>0</v>
      </c>
      <c r="F633" s="16"/>
      <c r="G633" s="16"/>
      <c r="H633" s="16"/>
      <c r="I633" s="16"/>
      <c r="J633" s="16"/>
      <c r="K633" s="13"/>
      <c r="L633" s="13"/>
      <c r="M633" s="13"/>
      <c r="N633" s="13"/>
      <c r="O633" s="13"/>
      <c r="P633" s="13"/>
      <c r="Q633" s="13"/>
      <c r="R633" s="13"/>
      <c r="S633" s="13"/>
      <c r="T633" s="13"/>
      <c r="U633" s="13"/>
      <c r="V633" s="13"/>
      <c r="W633" s="13"/>
      <c r="X633" s="13"/>
      <c r="Y633" s="13"/>
      <c r="Z633" s="13"/>
      <c r="AA633" s="13"/>
      <c r="AB633" s="13"/>
    </row>
    <row r="634" spans="1:28" ht="13.2">
      <c r="A634" s="53"/>
      <c r="B634" s="13"/>
      <c r="C634" s="16"/>
      <c r="D634" s="16">
        <f t="shared" si="12"/>
        <v>0</v>
      </c>
      <c r="E634" s="16">
        <f t="shared" si="13"/>
        <v>0</v>
      </c>
      <c r="F634" s="16"/>
      <c r="G634" s="16"/>
      <c r="H634" s="16"/>
      <c r="I634" s="16"/>
      <c r="J634" s="16"/>
      <c r="K634" s="13"/>
      <c r="L634" s="13"/>
      <c r="M634" s="13"/>
      <c r="N634" s="13"/>
      <c r="O634" s="13"/>
      <c r="P634" s="13"/>
      <c r="Q634" s="13"/>
      <c r="R634" s="13"/>
      <c r="S634" s="13"/>
      <c r="T634" s="13"/>
      <c r="U634" s="13"/>
      <c r="V634" s="13"/>
      <c r="W634" s="13"/>
      <c r="X634" s="13"/>
      <c r="Y634" s="13"/>
      <c r="Z634" s="13"/>
      <c r="AA634" s="13"/>
      <c r="AB634" s="13"/>
    </row>
    <row r="635" spans="1:28" ht="13.2">
      <c r="A635" s="53"/>
      <c r="B635" s="13"/>
      <c r="C635" s="16"/>
      <c r="D635" s="16">
        <f t="shared" si="12"/>
        <v>0</v>
      </c>
      <c r="E635" s="16">
        <f t="shared" si="13"/>
        <v>0</v>
      </c>
      <c r="F635" s="16"/>
      <c r="G635" s="16"/>
      <c r="H635" s="16"/>
      <c r="I635" s="16"/>
      <c r="J635" s="16"/>
      <c r="K635" s="13"/>
      <c r="L635" s="13"/>
      <c r="M635" s="13"/>
      <c r="N635" s="13"/>
      <c r="O635" s="13"/>
      <c r="P635" s="13"/>
      <c r="Q635" s="13"/>
      <c r="R635" s="13"/>
      <c r="S635" s="13"/>
      <c r="T635" s="13"/>
      <c r="U635" s="13"/>
      <c r="V635" s="13"/>
      <c r="W635" s="13"/>
      <c r="X635" s="13"/>
      <c r="Y635" s="13"/>
      <c r="Z635" s="13"/>
      <c r="AA635" s="13"/>
      <c r="AB635" s="13"/>
    </row>
    <row r="636" spans="1:28" ht="13.2">
      <c r="A636" s="53"/>
      <c r="B636" s="13"/>
      <c r="C636" s="16"/>
      <c r="D636" s="16">
        <f t="shared" si="12"/>
        <v>0</v>
      </c>
      <c r="E636" s="16">
        <f t="shared" si="13"/>
        <v>0</v>
      </c>
      <c r="F636" s="16"/>
      <c r="G636" s="16"/>
      <c r="H636" s="16"/>
      <c r="I636" s="16"/>
      <c r="J636" s="16"/>
      <c r="K636" s="13"/>
      <c r="L636" s="13"/>
      <c r="M636" s="13"/>
      <c r="N636" s="13"/>
      <c r="O636" s="13"/>
      <c r="P636" s="13"/>
      <c r="Q636" s="13"/>
      <c r="R636" s="13"/>
      <c r="S636" s="13"/>
      <c r="T636" s="13"/>
      <c r="U636" s="13"/>
      <c r="V636" s="13"/>
      <c r="W636" s="13"/>
      <c r="X636" s="13"/>
      <c r="Y636" s="13"/>
      <c r="Z636" s="13"/>
      <c r="AA636" s="13"/>
      <c r="AB636" s="13"/>
    </row>
    <row r="637" spans="1:28" ht="13.2">
      <c r="A637" s="53"/>
      <c r="B637" s="13"/>
      <c r="C637" s="16"/>
      <c r="D637" s="16">
        <f t="shared" si="12"/>
        <v>0</v>
      </c>
      <c r="E637" s="16">
        <f t="shared" si="13"/>
        <v>0</v>
      </c>
      <c r="F637" s="16"/>
      <c r="G637" s="16"/>
      <c r="H637" s="16"/>
      <c r="I637" s="16"/>
      <c r="J637" s="16"/>
      <c r="K637" s="13"/>
      <c r="L637" s="13"/>
      <c r="M637" s="13"/>
      <c r="N637" s="13"/>
      <c r="O637" s="13"/>
      <c r="P637" s="13"/>
      <c r="Q637" s="13"/>
      <c r="R637" s="13"/>
      <c r="S637" s="13"/>
      <c r="T637" s="13"/>
      <c r="U637" s="13"/>
      <c r="V637" s="13"/>
      <c r="W637" s="13"/>
      <c r="X637" s="13"/>
      <c r="Y637" s="13"/>
      <c r="Z637" s="13"/>
      <c r="AA637" s="13"/>
      <c r="AB637" s="13"/>
    </row>
    <row r="638" spans="1:28" ht="13.2">
      <c r="A638" s="53"/>
      <c r="B638" s="13"/>
      <c r="C638" s="16"/>
      <c r="D638" s="16">
        <f t="shared" si="12"/>
        <v>0</v>
      </c>
      <c r="E638" s="16">
        <f t="shared" si="13"/>
        <v>0</v>
      </c>
      <c r="F638" s="16"/>
      <c r="G638" s="16"/>
      <c r="H638" s="16"/>
      <c r="I638" s="16"/>
      <c r="J638" s="16"/>
      <c r="K638" s="13"/>
      <c r="L638" s="13"/>
      <c r="M638" s="13"/>
      <c r="N638" s="13"/>
      <c r="O638" s="13"/>
      <c r="P638" s="13"/>
      <c r="Q638" s="13"/>
      <c r="R638" s="13"/>
      <c r="S638" s="13"/>
      <c r="T638" s="13"/>
      <c r="U638" s="13"/>
      <c r="V638" s="13"/>
      <c r="W638" s="13"/>
      <c r="X638" s="13"/>
      <c r="Y638" s="13"/>
      <c r="Z638" s="13"/>
      <c r="AA638" s="13"/>
      <c r="AB638" s="13"/>
    </row>
    <row r="639" spans="1:28" ht="13.2">
      <c r="A639" s="53"/>
      <c r="B639" s="13"/>
      <c r="C639" s="16"/>
      <c r="D639" s="16">
        <f t="shared" si="12"/>
        <v>0</v>
      </c>
      <c r="E639" s="16">
        <f t="shared" si="13"/>
        <v>0</v>
      </c>
      <c r="F639" s="16"/>
      <c r="G639" s="16"/>
      <c r="H639" s="16"/>
      <c r="I639" s="16"/>
      <c r="J639" s="16"/>
      <c r="K639" s="13"/>
      <c r="L639" s="13"/>
      <c r="M639" s="13"/>
      <c r="N639" s="13"/>
      <c r="O639" s="13"/>
      <c r="P639" s="13"/>
      <c r="Q639" s="13"/>
      <c r="R639" s="13"/>
      <c r="S639" s="13"/>
      <c r="T639" s="13"/>
      <c r="U639" s="13"/>
      <c r="V639" s="13"/>
      <c r="W639" s="13"/>
      <c r="X639" s="13"/>
      <c r="Y639" s="13"/>
      <c r="Z639" s="13"/>
      <c r="AA639" s="13"/>
      <c r="AB639" s="13"/>
    </row>
    <row r="640" spans="1:28" ht="13.2">
      <c r="A640" s="53"/>
      <c r="B640" s="13"/>
      <c r="C640" s="16"/>
      <c r="D640" s="16">
        <f t="shared" si="12"/>
        <v>0</v>
      </c>
      <c r="E640" s="16">
        <f t="shared" si="13"/>
        <v>0</v>
      </c>
      <c r="F640" s="16"/>
      <c r="G640" s="16"/>
      <c r="H640" s="16"/>
      <c r="I640" s="16"/>
      <c r="J640" s="16"/>
      <c r="K640" s="13"/>
      <c r="L640" s="13"/>
      <c r="M640" s="13"/>
      <c r="N640" s="13"/>
      <c r="O640" s="13"/>
      <c r="P640" s="13"/>
      <c r="Q640" s="13"/>
      <c r="R640" s="13"/>
      <c r="S640" s="13"/>
      <c r="T640" s="13"/>
      <c r="U640" s="13"/>
      <c r="V640" s="13"/>
      <c r="W640" s="13"/>
      <c r="X640" s="13"/>
      <c r="Y640" s="13"/>
      <c r="Z640" s="13"/>
      <c r="AA640" s="13"/>
      <c r="AB640" s="13"/>
    </row>
    <row r="641" spans="1:28" ht="13.2">
      <c r="A641" s="53"/>
      <c r="B641" s="13"/>
      <c r="C641" s="16"/>
      <c r="D641" s="16">
        <f t="shared" si="12"/>
        <v>0</v>
      </c>
      <c r="E641" s="16">
        <f t="shared" si="13"/>
        <v>0</v>
      </c>
      <c r="F641" s="16"/>
      <c r="G641" s="16"/>
      <c r="H641" s="16"/>
      <c r="I641" s="16"/>
      <c r="J641" s="16"/>
      <c r="K641" s="13"/>
      <c r="L641" s="13"/>
      <c r="M641" s="13"/>
      <c r="N641" s="13"/>
      <c r="O641" s="13"/>
      <c r="P641" s="13"/>
      <c r="Q641" s="13"/>
      <c r="R641" s="13"/>
      <c r="S641" s="13"/>
      <c r="T641" s="13"/>
      <c r="U641" s="13"/>
      <c r="V641" s="13"/>
      <c r="W641" s="13"/>
      <c r="X641" s="13"/>
      <c r="Y641" s="13"/>
      <c r="Z641" s="13"/>
      <c r="AA641" s="13"/>
      <c r="AB641" s="13"/>
    </row>
    <row r="642" spans="1:28" ht="13.2">
      <c r="A642" s="53"/>
      <c r="B642" s="13"/>
      <c r="C642" s="16"/>
      <c r="D642" s="16">
        <f t="shared" si="12"/>
        <v>0</v>
      </c>
      <c r="E642" s="16">
        <f t="shared" si="13"/>
        <v>0</v>
      </c>
      <c r="F642" s="16"/>
      <c r="G642" s="16"/>
      <c r="H642" s="16"/>
      <c r="I642" s="16"/>
      <c r="J642" s="16"/>
      <c r="K642" s="13"/>
      <c r="L642" s="13"/>
      <c r="M642" s="13"/>
      <c r="N642" s="13"/>
      <c r="O642" s="13"/>
      <c r="P642" s="13"/>
      <c r="Q642" s="13"/>
      <c r="R642" s="13"/>
      <c r="S642" s="13"/>
      <c r="T642" s="13"/>
      <c r="U642" s="13"/>
      <c r="V642" s="13"/>
      <c r="W642" s="13"/>
      <c r="X642" s="13"/>
      <c r="Y642" s="13"/>
      <c r="Z642" s="13"/>
      <c r="AA642" s="13"/>
      <c r="AB642" s="13"/>
    </row>
    <row r="643" spans="1:28" ht="13.2">
      <c r="A643" s="53"/>
      <c r="B643" s="13"/>
      <c r="C643" s="16"/>
      <c r="D643" s="16">
        <f t="shared" si="12"/>
        <v>0</v>
      </c>
      <c r="E643" s="16">
        <f t="shared" si="13"/>
        <v>0</v>
      </c>
      <c r="F643" s="16"/>
      <c r="G643" s="16"/>
      <c r="H643" s="16"/>
      <c r="I643" s="16"/>
      <c r="J643" s="16"/>
      <c r="K643" s="13"/>
      <c r="L643" s="13"/>
      <c r="M643" s="13"/>
      <c r="N643" s="13"/>
      <c r="O643" s="13"/>
      <c r="P643" s="13"/>
      <c r="Q643" s="13"/>
      <c r="R643" s="13"/>
      <c r="S643" s="13"/>
      <c r="T643" s="13"/>
      <c r="U643" s="13"/>
      <c r="V643" s="13"/>
      <c r="W643" s="13"/>
      <c r="X643" s="13"/>
      <c r="Y643" s="13"/>
      <c r="Z643" s="13"/>
      <c r="AA643" s="13"/>
      <c r="AB643" s="13"/>
    </row>
    <row r="644" spans="1:28" ht="13.2">
      <c r="A644" s="53"/>
      <c r="B644" s="13"/>
      <c r="C644" s="16"/>
      <c r="D644" s="16">
        <f t="shared" si="12"/>
        <v>0</v>
      </c>
      <c r="E644" s="16">
        <f t="shared" si="13"/>
        <v>0</v>
      </c>
      <c r="F644" s="16"/>
      <c r="G644" s="16"/>
      <c r="H644" s="16"/>
      <c r="I644" s="16"/>
      <c r="J644" s="16"/>
      <c r="K644" s="13"/>
      <c r="L644" s="13"/>
      <c r="M644" s="13"/>
      <c r="N644" s="13"/>
      <c r="O644" s="13"/>
      <c r="P644" s="13"/>
      <c r="Q644" s="13"/>
      <c r="R644" s="13"/>
      <c r="S644" s="13"/>
      <c r="T644" s="13"/>
      <c r="U644" s="13"/>
      <c r="V644" s="13"/>
      <c r="W644" s="13"/>
      <c r="X644" s="13"/>
      <c r="Y644" s="13"/>
      <c r="Z644" s="13"/>
      <c r="AA644" s="13"/>
      <c r="AB644" s="13"/>
    </row>
    <row r="645" spans="1:28" ht="13.2">
      <c r="A645" s="53"/>
      <c r="B645" s="13"/>
      <c r="C645" s="16"/>
      <c r="D645" s="16">
        <f t="shared" si="12"/>
        <v>0</v>
      </c>
      <c r="E645" s="16">
        <f t="shared" si="13"/>
        <v>0</v>
      </c>
      <c r="F645" s="16"/>
      <c r="G645" s="16"/>
      <c r="H645" s="16"/>
      <c r="I645" s="16"/>
      <c r="J645" s="16"/>
      <c r="K645" s="13"/>
      <c r="L645" s="13"/>
      <c r="M645" s="13"/>
      <c r="N645" s="13"/>
      <c r="O645" s="13"/>
      <c r="P645" s="13"/>
      <c r="Q645" s="13"/>
      <c r="R645" s="13"/>
      <c r="S645" s="13"/>
      <c r="T645" s="13"/>
      <c r="U645" s="13"/>
      <c r="V645" s="13"/>
      <c r="W645" s="13"/>
      <c r="X645" s="13"/>
      <c r="Y645" s="13"/>
      <c r="Z645" s="13"/>
      <c r="AA645" s="13"/>
      <c r="AB645" s="13"/>
    </row>
    <row r="646" spans="1:28" ht="13.2">
      <c r="A646" s="53"/>
      <c r="B646" s="13"/>
      <c r="C646" s="16"/>
      <c r="D646" s="16">
        <f t="shared" si="12"/>
        <v>0</v>
      </c>
      <c r="E646" s="16">
        <f t="shared" si="13"/>
        <v>0</v>
      </c>
      <c r="F646" s="16"/>
      <c r="G646" s="16"/>
      <c r="H646" s="16"/>
      <c r="I646" s="16"/>
      <c r="J646" s="16"/>
      <c r="K646" s="13"/>
      <c r="L646" s="13"/>
      <c r="M646" s="13"/>
      <c r="N646" s="13"/>
      <c r="O646" s="13"/>
      <c r="P646" s="13"/>
      <c r="Q646" s="13"/>
      <c r="R646" s="13"/>
      <c r="S646" s="13"/>
      <c r="T646" s="13"/>
      <c r="U646" s="13"/>
      <c r="V646" s="13"/>
      <c r="W646" s="13"/>
      <c r="X646" s="13"/>
      <c r="Y646" s="13"/>
      <c r="Z646" s="13"/>
      <c r="AA646" s="13"/>
      <c r="AB646" s="13"/>
    </row>
    <row r="647" spans="1:28" ht="13.2">
      <c r="A647" s="53"/>
      <c r="B647" s="13"/>
      <c r="C647" s="16"/>
      <c r="D647" s="16">
        <f t="shared" si="12"/>
        <v>0</v>
      </c>
      <c r="E647" s="16">
        <f t="shared" si="13"/>
        <v>0</v>
      </c>
      <c r="F647" s="16"/>
      <c r="G647" s="16"/>
      <c r="H647" s="16"/>
      <c r="I647" s="16"/>
      <c r="J647" s="16"/>
      <c r="K647" s="13"/>
      <c r="L647" s="13"/>
      <c r="M647" s="13"/>
      <c r="N647" s="13"/>
      <c r="O647" s="13"/>
      <c r="P647" s="13"/>
      <c r="Q647" s="13"/>
      <c r="R647" s="13"/>
      <c r="S647" s="13"/>
      <c r="T647" s="13"/>
      <c r="U647" s="13"/>
      <c r="V647" s="13"/>
      <c r="W647" s="13"/>
      <c r="X647" s="13"/>
      <c r="Y647" s="13"/>
      <c r="Z647" s="13"/>
      <c r="AA647" s="13"/>
      <c r="AB647" s="13"/>
    </row>
    <row r="648" spans="1:28" ht="13.2">
      <c r="A648" s="53"/>
      <c r="B648" s="13"/>
      <c r="C648" s="16"/>
      <c r="D648" s="16">
        <f t="shared" si="12"/>
        <v>0</v>
      </c>
      <c r="E648" s="16">
        <f t="shared" si="13"/>
        <v>0</v>
      </c>
      <c r="F648" s="16"/>
      <c r="G648" s="16"/>
      <c r="H648" s="16"/>
      <c r="I648" s="16"/>
      <c r="J648" s="16"/>
      <c r="K648" s="13"/>
      <c r="L648" s="13"/>
      <c r="M648" s="13"/>
      <c r="N648" s="13"/>
      <c r="O648" s="13"/>
      <c r="P648" s="13"/>
      <c r="Q648" s="13"/>
      <c r="R648" s="13"/>
      <c r="S648" s="13"/>
      <c r="T648" s="13"/>
      <c r="U648" s="13"/>
      <c r="V648" s="13"/>
      <c r="W648" s="13"/>
      <c r="X648" s="13"/>
      <c r="Y648" s="13"/>
      <c r="Z648" s="13"/>
      <c r="AA648" s="13"/>
      <c r="AB648" s="13"/>
    </row>
    <row r="649" spans="1:28" ht="13.2">
      <c r="A649" s="53"/>
      <c r="B649" s="13"/>
      <c r="C649" s="16"/>
      <c r="D649" s="16">
        <f t="shared" si="12"/>
        <v>0</v>
      </c>
      <c r="E649" s="16">
        <f t="shared" si="13"/>
        <v>0</v>
      </c>
      <c r="F649" s="16"/>
      <c r="G649" s="16"/>
      <c r="H649" s="16"/>
      <c r="I649" s="16"/>
      <c r="J649" s="16"/>
      <c r="K649" s="13"/>
      <c r="L649" s="13"/>
      <c r="M649" s="13"/>
      <c r="N649" s="13"/>
      <c r="O649" s="13"/>
      <c r="P649" s="13"/>
      <c r="Q649" s="13"/>
      <c r="R649" s="13"/>
      <c r="S649" s="13"/>
      <c r="T649" s="13"/>
      <c r="U649" s="13"/>
      <c r="V649" s="13"/>
      <c r="W649" s="13"/>
      <c r="X649" s="13"/>
      <c r="Y649" s="13"/>
      <c r="Z649" s="13"/>
      <c r="AA649" s="13"/>
      <c r="AB649" s="13"/>
    </row>
    <row r="650" spans="1:28" ht="13.2">
      <c r="A650" s="53"/>
      <c r="B650" s="13"/>
      <c r="C650" s="16"/>
      <c r="D650" s="16">
        <f t="shared" si="12"/>
        <v>0</v>
      </c>
      <c r="E650" s="16">
        <f t="shared" si="13"/>
        <v>0</v>
      </c>
      <c r="F650" s="16"/>
      <c r="G650" s="16"/>
      <c r="H650" s="16"/>
      <c r="I650" s="16"/>
      <c r="J650" s="16"/>
      <c r="K650" s="13"/>
      <c r="L650" s="13"/>
      <c r="M650" s="13"/>
      <c r="N650" s="13"/>
      <c r="O650" s="13"/>
      <c r="P650" s="13"/>
      <c r="Q650" s="13"/>
      <c r="R650" s="13"/>
      <c r="S650" s="13"/>
      <c r="T650" s="13"/>
      <c r="U650" s="13"/>
      <c r="V650" s="13"/>
      <c r="W650" s="13"/>
      <c r="X650" s="13"/>
      <c r="Y650" s="13"/>
      <c r="Z650" s="13"/>
      <c r="AA650" s="13"/>
      <c r="AB650" s="13"/>
    </row>
    <row r="651" spans="1:28" ht="13.2">
      <c r="A651" s="53"/>
      <c r="B651" s="13"/>
      <c r="C651" s="16"/>
      <c r="D651" s="16">
        <f t="shared" si="12"/>
        <v>0</v>
      </c>
      <c r="E651" s="16">
        <f t="shared" si="13"/>
        <v>0</v>
      </c>
      <c r="F651" s="16"/>
      <c r="G651" s="16"/>
      <c r="H651" s="16"/>
      <c r="I651" s="16"/>
      <c r="J651" s="16"/>
      <c r="K651" s="13"/>
      <c r="L651" s="13"/>
      <c r="M651" s="13"/>
      <c r="N651" s="13"/>
      <c r="O651" s="13"/>
      <c r="P651" s="13"/>
      <c r="Q651" s="13"/>
      <c r="R651" s="13"/>
      <c r="S651" s="13"/>
      <c r="T651" s="13"/>
      <c r="U651" s="13"/>
      <c r="V651" s="13"/>
      <c r="W651" s="13"/>
      <c r="X651" s="13"/>
      <c r="Y651" s="13"/>
      <c r="Z651" s="13"/>
      <c r="AA651" s="13"/>
      <c r="AB651" s="13"/>
    </row>
    <row r="652" spans="1:28" ht="13.2">
      <c r="A652" s="53"/>
      <c r="B652" s="13"/>
      <c r="C652" s="16"/>
      <c r="D652" s="16">
        <f t="shared" si="12"/>
        <v>0</v>
      </c>
      <c r="E652" s="16">
        <f t="shared" si="13"/>
        <v>0</v>
      </c>
      <c r="F652" s="16"/>
      <c r="G652" s="16"/>
      <c r="H652" s="16"/>
      <c r="I652" s="16"/>
      <c r="J652" s="16"/>
      <c r="K652" s="13"/>
      <c r="L652" s="13"/>
      <c r="M652" s="13"/>
      <c r="N652" s="13"/>
      <c r="O652" s="13"/>
      <c r="P652" s="13"/>
      <c r="Q652" s="13"/>
      <c r="R652" s="13"/>
      <c r="S652" s="13"/>
      <c r="T652" s="13"/>
      <c r="U652" s="13"/>
      <c r="V652" s="13"/>
      <c r="W652" s="13"/>
      <c r="X652" s="13"/>
      <c r="Y652" s="13"/>
      <c r="Z652" s="13"/>
      <c r="AA652" s="13"/>
      <c r="AB652" s="13"/>
    </row>
    <row r="653" spans="1:28" ht="13.2">
      <c r="A653" s="53"/>
      <c r="B653" s="13"/>
      <c r="C653" s="16"/>
      <c r="D653" s="16">
        <f t="shared" si="12"/>
        <v>0</v>
      </c>
      <c r="E653" s="16">
        <f t="shared" si="13"/>
        <v>0</v>
      </c>
      <c r="F653" s="16"/>
      <c r="G653" s="16"/>
      <c r="H653" s="16"/>
      <c r="I653" s="16"/>
      <c r="J653" s="16"/>
      <c r="K653" s="13"/>
      <c r="L653" s="13"/>
      <c r="M653" s="13"/>
      <c r="N653" s="13"/>
      <c r="O653" s="13"/>
      <c r="P653" s="13"/>
      <c r="Q653" s="13"/>
      <c r="R653" s="13"/>
      <c r="S653" s="13"/>
      <c r="T653" s="13"/>
      <c r="U653" s="13"/>
      <c r="V653" s="13"/>
      <c r="W653" s="13"/>
      <c r="X653" s="13"/>
      <c r="Y653" s="13"/>
      <c r="Z653" s="13"/>
      <c r="AA653" s="13"/>
      <c r="AB653" s="13"/>
    </row>
    <row r="654" spans="1:28" ht="13.2">
      <c r="A654" s="53"/>
      <c r="B654" s="13"/>
      <c r="C654" s="16"/>
      <c r="D654" s="16">
        <f t="shared" si="12"/>
        <v>0</v>
      </c>
      <c r="E654" s="16">
        <f t="shared" si="13"/>
        <v>0</v>
      </c>
      <c r="F654" s="16"/>
      <c r="G654" s="16"/>
      <c r="H654" s="16"/>
      <c r="I654" s="16"/>
      <c r="J654" s="16"/>
      <c r="K654" s="13"/>
      <c r="L654" s="13"/>
      <c r="M654" s="13"/>
      <c r="N654" s="13"/>
      <c r="O654" s="13"/>
      <c r="P654" s="13"/>
      <c r="Q654" s="13"/>
      <c r="R654" s="13"/>
      <c r="S654" s="13"/>
      <c r="T654" s="13"/>
      <c r="U654" s="13"/>
      <c r="V654" s="13"/>
      <c r="W654" s="13"/>
      <c r="X654" s="13"/>
      <c r="Y654" s="13"/>
      <c r="Z654" s="13"/>
      <c r="AA654" s="13"/>
      <c r="AB654" s="13"/>
    </row>
    <row r="655" spans="1:28" ht="13.2">
      <c r="A655" s="53"/>
      <c r="B655" s="13"/>
      <c r="C655" s="16"/>
      <c r="D655" s="16">
        <f t="shared" si="12"/>
        <v>0</v>
      </c>
      <c r="E655" s="16">
        <f t="shared" si="13"/>
        <v>0</v>
      </c>
      <c r="F655" s="16"/>
      <c r="G655" s="16"/>
      <c r="H655" s="16"/>
      <c r="I655" s="16"/>
      <c r="J655" s="16"/>
      <c r="K655" s="13"/>
      <c r="L655" s="13"/>
      <c r="M655" s="13"/>
      <c r="N655" s="13"/>
      <c r="O655" s="13"/>
      <c r="P655" s="13"/>
      <c r="Q655" s="13"/>
      <c r="R655" s="13"/>
      <c r="S655" s="13"/>
      <c r="T655" s="13"/>
      <c r="U655" s="13"/>
      <c r="V655" s="13"/>
      <c r="W655" s="13"/>
      <c r="X655" s="13"/>
      <c r="Y655" s="13"/>
      <c r="Z655" s="13"/>
      <c r="AA655" s="13"/>
      <c r="AB655" s="13"/>
    </row>
    <row r="656" spans="1:28" ht="13.2">
      <c r="A656" s="53"/>
      <c r="B656" s="13"/>
      <c r="C656" s="16"/>
      <c r="D656" s="16">
        <f t="shared" si="12"/>
        <v>0</v>
      </c>
      <c r="E656" s="16">
        <f t="shared" si="13"/>
        <v>0</v>
      </c>
      <c r="F656" s="16"/>
      <c r="G656" s="16"/>
      <c r="H656" s="16"/>
      <c r="I656" s="16"/>
      <c r="J656" s="16"/>
      <c r="K656" s="13"/>
      <c r="L656" s="13"/>
      <c r="M656" s="13"/>
      <c r="N656" s="13"/>
      <c r="O656" s="13"/>
      <c r="P656" s="13"/>
      <c r="Q656" s="13"/>
      <c r="R656" s="13"/>
      <c r="S656" s="13"/>
      <c r="T656" s="13"/>
      <c r="U656" s="13"/>
      <c r="V656" s="13"/>
      <c r="W656" s="13"/>
      <c r="X656" s="13"/>
      <c r="Y656" s="13"/>
      <c r="Z656" s="13"/>
      <c r="AA656" s="13"/>
      <c r="AB656" s="13"/>
    </row>
    <row r="657" spans="1:28" ht="13.2">
      <c r="A657" s="53"/>
      <c r="B657" s="13"/>
      <c r="C657" s="16"/>
      <c r="D657" s="16">
        <f t="shared" si="12"/>
        <v>0</v>
      </c>
      <c r="E657" s="16">
        <f t="shared" si="13"/>
        <v>0</v>
      </c>
      <c r="F657" s="16"/>
      <c r="G657" s="16"/>
      <c r="H657" s="16"/>
      <c r="I657" s="16"/>
      <c r="J657" s="16"/>
      <c r="K657" s="13"/>
      <c r="L657" s="13"/>
      <c r="M657" s="13"/>
      <c r="N657" s="13"/>
      <c r="O657" s="13"/>
      <c r="P657" s="13"/>
      <c r="Q657" s="13"/>
      <c r="R657" s="13"/>
      <c r="S657" s="13"/>
      <c r="T657" s="13"/>
      <c r="U657" s="13"/>
      <c r="V657" s="13"/>
      <c r="W657" s="13"/>
      <c r="X657" s="13"/>
      <c r="Y657" s="13"/>
      <c r="Z657" s="13"/>
      <c r="AA657" s="13"/>
      <c r="AB657" s="13"/>
    </row>
    <row r="658" spans="1:28" ht="13.2">
      <c r="A658" s="53"/>
      <c r="B658" s="13"/>
      <c r="C658" s="16"/>
      <c r="D658" s="16">
        <f t="shared" si="12"/>
        <v>0</v>
      </c>
      <c r="E658" s="16">
        <f t="shared" si="13"/>
        <v>0</v>
      </c>
      <c r="F658" s="16"/>
      <c r="G658" s="16"/>
      <c r="H658" s="16"/>
      <c r="I658" s="16"/>
      <c r="J658" s="16"/>
      <c r="K658" s="13"/>
      <c r="L658" s="13"/>
      <c r="M658" s="13"/>
      <c r="N658" s="13"/>
      <c r="O658" s="13"/>
      <c r="P658" s="13"/>
      <c r="Q658" s="13"/>
      <c r="R658" s="13"/>
      <c r="S658" s="13"/>
      <c r="T658" s="13"/>
      <c r="U658" s="13"/>
      <c r="V658" s="13"/>
      <c r="W658" s="13"/>
      <c r="X658" s="13"/>
      <c r="Y658" s="13"/>
      <c r="Z658" s="13"/>
      <c r="AA658" s="13"/>
      <c r="AB658" s="13"/>
    </row>
    <row r="659" spans="1:28" ht="13.2">
      <c r="A659" s="53"/>
      <c r="B659" s="13"/>
      <c r="C659" s="16"/>
      <c r="D659" s="16">
        <f t="shared" si="12"/>
        <v>0</v>
      </c>
      <c r="E659" s="16">
        <f t="shared" si="13"/>
        <v>0</v>
      </c>
      <c r="F659" s="16"/>
      <c r="G659" s="16"/>
      <c r="H659" s="16"/>
      <c r="I659" s="16"/>
      <c r="J659" s="16"/>
      <c r="K659" s="13"/>
      <c r="L659" s="13"/>
      <c r="M659" s="13"/>
      <c r="N659" s="13"/>
      <c r="O659" s="13"/>
      <c r="P659" s="13"/>
      <c r="Q659" s="13"/>
      <c r="R659" s="13"/>
      <c r="S659" s="13"/>
      <c r="T659" s="13"/>
      <c r="U659" s="13"/>
      <c r="V659" s="13"/>
      <c r="W659" s="13"/>
      <c r="X659" s="13"/>
      <c r="Y659" s="13"/>
      <c r="Z659" s="13"/>
      <c r="AA659" s="13"/>
      <c r="AB659" s="13"/>
    </row>
    <row r="660" spans="1:28" ht="13.2">
      <c r="A660" s="53"/>
      <c r="B660" s="13"/>
      <c r="C660" s="16"/>
      <c r="D660" s="16">
        <f t="shared" si="12"/>
        <v>0</v>
      </c>
      <c r="E660" s="16">
        <f t="shared" si="13"/>
        <v>0</v>
      </c>
      <c r="F660" s="16"/>
      <c r="G660" s="16"/>
      <c r="H660" s="16"/>
      <c r="I660" s="16"/>
      <c r="J660" s="16"/>
      <c r="K660" s="13"/>
      <c r="L660" s="13"/>
      <c r="M660" s="13"/>
      <c r="N660" s="13"/>
      <c r="O660" s="13"/>
      <c r="P660" s="13"/>
      <c r="Q660" s="13"/>
      <c r="R660" s="13"/>
      <c r="S660" s="13"/>
      <c r="T660" s="13"/>
      <c r="U660" s="13"/>
      <c r="V660" s="13"/>
      <c r="W660" s="13"/>
      <c r="X660" s="13"/>
      <c r="Y660" s="13"/>
      <c r="Z660" s="13"/>
      <c r="AA660" s="13"/>
      <c r="AB660" s="13"/>
    </row>
    <row r="661" spans="1:28" ht="13.2">
      <c r="A661" s="53"/>
      <c r="B661" s="13"/>
      <c r="C661" s="16"/>
      <c r="D661" s="16">
        <f t="shared" si="12"/>
        <v>0</v>
      </c>
      <c r="E661" s="16">
        <f t="shared" si="13"/>
        <v>0</v>
      </c>
      <c r="F661" s="16"/>
      <c r="G661" s="16"/>
      <c r="H661" s="16"/>
      <c r="I661" s="16"/>
      <c r="J661" s="16"/>
      <c r="K661" s="13"/>
      <c r="L661" s="13"/>
      <c r="M661" s="13"/>
      <c r="N661" s="13"/>
      <c r="O661" s="13"/>
      <c r="P661" s="13"/>
      <c r="Q661" s="13"/>
      <c r="R661" s="13"/>
      <c r="S661" s="13"/>
      <c r="T661" s="13"/>
      <c r="U661" s="13"/>
      <c r="V661" s="13"/>
      <c r="W661" s="13"/>
      <c r="X661" s="13"/>
      <c r="Y661" s="13"/>
      <c r="Z661" s="13"/>
      <c r="AA661" s="13"/>
      <c r="AB661" s="13"/>
    </row>
    <row r="662" spans="1:28" ht="13.2">
      <c r="A662" s="53"/>
      <c r="B662" s="13"/>
      <c r="C662" s="16"/>
      <c r="D662" s="16">
        <f t="shared" si="12"/>
        <v>0</v>
      </c>
      <c r="E662" s="16">
        <f t="shared" si="13"/>
        <v>0</v>
      </c>
      <c r="F662" s="16"/>
      <c r="G662" s="16"/>
      <c r="H662" s="16"/>
      <c r="I662" s="16"/>
      <c r="J662" s="16"/>
      <c r="K662" s="13"/>
      <c r="L662" s="13"/>
      <c r="M662" s="13"/>
      <c r="N662" s="13"/>
      <c r="O662" s="13"/>
      <c r="P662" s="13"/>
      <c r="Q662" s="13"/>
      <c r="R662" s="13"/>
      <c r="S662" s="13"/>
      <c r="T662" s="13"/>
      <c r="U662" s="13"/>
      <c r="V662" s="13"/>
      <c r="W662" s="13"/>
      <c r="X662" s="13"/>
      <c r="Y662" s="13"/>
      <c r="Z662" s="13"/>
      <c r="AA662" s="13"/>
      <c r="AB662" s="13"/>
    </row>
    <row r="663" spans="1:28" ht="13.2">
      <c r="A663" s="53"/>
      <c r="B663" s="13"/>
      <c r="C663" s="16"/>
      <c r="D663" s="16">
        <f t="shared" si="12"/>
        <v>0</v>
      </c>
      <c r="E663" s="16">
        <f t="shared" si="13"/>
        <v>0</v>
      </c>
      <c r="F663" s="16"/>
      <c r="G663" s="16"/>
      <c r="H663" s="16"/>
      <c r="I663" s="16"/>
      <c r="J663" s="16"/>
      <c r="K663" s="13"/>
      <c r="L663" s="13"/>
      <c r="M663" s="13"/>
      <c r="N663" s="13"/>
      <c r="O663" s="13"/>
      <c r="P663" s="13"/>
      <c r="Q663" s="13"/>
      <c r="R663" s="13"/>
      <c r="S663" s="13"/>
      <c r="T663" s="13"/>
      <c r="U663" s="13"/>
      <c r="V663" s="13"/>
      <c r="W663" s="13"/>
      <c r="X663" s="13"/>
      <c r="Y663" s="13"/>
      <c r="Z663" s="13"/>
      <c r="AA663" s="13"/>
      <c r="AB663" s="13"/>
    </row>
    <row r="664" spans="1:28" ht="13.2">
      <c r="A664" s="53"/>
      <c r="B664" s="13"/>
      <c r="C664" s="16"/>
      <c r="D664" s="16">
        <f t="shared" si="12"/>
        <v>0</v>
      </c>
      <c r="E664" s="16">
        <f t="shared" si="13"/>
        <v>0</v>
      </c>
      <c r="F664" s="16"/>
      <c r="G664" s="16"/>
      <c r="H664" s="16"/>
      <c r="I664" s="16"/>
      <c r="J664" s="16"/>
      <c r="K664" s="13"/>
      <c r="L664" s="13"/>
      <c r="M664" s="13"/>
      <c r="N664" s="13"/>
      <c r="O664" s="13"/>
      <c r="P664" s="13"/>
      <c r="Q664" s="13"/>
      <c r="R664" s="13"/>
      <c r="S664" s="13"/>
      <c r="T664" s="13"/>
      <c r="U664" s="13"/>
      <c r="V664" s="13"/>
      <c r="W664" s="13"/>
      <c r="X664" s="13"/>
      <c r="Y664" s="13"/>
      <c r="Z664" s="13"/>
      <c r="AA664" s="13"/>
      <c r="AB664" s="13"/>
    </row>
    <row r="665" spans="1:28" ht="13.2">
      <c r="A665" s="53"/>
      <c r="B665" s="13"/>
      <c r="C665" s="16"/>
      <c r="D665" s="16">
        <f t="shared" si="12"/>
        <v>0</v>
      </c>
      <c r="E665" s="16">
        <f t="shared" si="13"/>
        <v>0</v>
      </c>
      <c r="F665" s="16"/>
      <c r="G665" s="16"/>
      <c r="H665" s="16"/>
      <c r="I665" s="16"/>
      <c r="J665" s="16"/>
      <c r="K665" s="13"/>
      <c r="L665" s="13"/>
      <c r="M665" s="13"/>
      <c r="N665" s="13"/>
      <c r="O665" s="13"/>
      <c r="P665" s="13"/>
      <c r="Q665" s="13"/>
      <c r="R665" s="13"/>
      <c r="S665" s="13"/>
      <c r="T665" s="13"/>
      <c r="U665" s="13"/>
      <c r="V665" s="13"/>
      <c r="W665" s="13"/>
      <c r="X665" s="13"/>
      <c r="Y665" s="13"/>
      <c r="Z665" s="13"/>
      <c r="AA665" s="13"/>
      <c r="AB665" s="13"/>
    </row>
    <row r="666" spans="1:28" ht="13.2">
      <c r="A666" s="53"/>
      <c r="B666" s="13"/>
      <c r="C666" s="16"/>
      <c r="D666" s="16">
        <f t="shared" si="12"/>
        <v>0</v>
      </c>
      <c r="E666" s="16">
        <f t="shared" si="13"/>
        <v>0</v>
      </c>
      <c r="F666" s="16"/>
      <c r="G666" s="16"/>
      <c r="H666" s="16"/>
      <c r="I666" s="16"/>
      <c r="J666" s="16"/>
      <c r="K666" s="13"/>
      <c r="L666" s="13"/>
      <c r="M666" s="13"/>
      <c r="N666" s="13"/>
      <c r="O666" s="13"/>
      <c r="P666" s="13"/>
      <c r="Q666" s="13"/>
      <c r="R666" s="13"/>
      <c r="S666" s="13"/>
      <c r="T666" s="13"/>
      <c r="U666" s="13"/>
      <c r="V666" s="13"/>
      <c r="W666" s="13"/>
      <c r="X666" s="13"/>
      <c r="Y666" s="13"/>
      <c r="Z666" s="13"/>
      <c r="AA666" s="13"/>
      <c r="AB666" s="13"/>
    </row>
    <row r="667" spans="1:28" ht="13.2">
      <c r="A667" s="53"/>
      <c r="B667" s="13"/>
      <c r="C667" s="16"/>
      <c r="D667" s="16">
        <f t="shared" si="12"/>
        <v>0</v>
      </c>
      <c r="E667" s="16">
        <f t="shared" si="13"/>
        <v>0</v>
      </c>
      <c r="F667" s="16"/>
      <c r="G667" s="16"/>
      <c r="H667" s="16"/>
      <c r="I667" s="16"/>
      <c r="J667" s="16"/>
      <c r="K667" s="13"/>
      <c r="L667" s="13"/>
      <c r="M667" s="13"/>
      <c r="N667" s="13"/>
      <c r="O667" s="13"/>
      <c r="P667" s="13"/>
      <c r="Q667" s="13"/>
      <c r="R667" s="13"/>
      <c r="S667" s="13"/>
      <c r="T667" s="13"/>
      <c r="U667" s="13"/>
      <c r="V667" s="13"/>
      <c r="W667" s="13"/>
      <c r="X667" s="13"/>
      <c r="Y667" s="13"/>
      <c r="Z667" s="13"/>
      <c r="AA667" s="13"/>
      <c r="AB667" s="13"/>
    </row>
    <row r="668" spans="1:28" ht="13.2">
      <c r="A668" s="53"/>
      <c r="B668" s="13"/>
      <c r="C668" s="16"/>
      <c r="D668" s="16">
        <f t="shared" si="12"/>
        <v>0</v>
      </c>
      <c r="E668" s="16">
        <f t="shared" si="13"/>
        <v>0</v>
      </c>
      <c r="F668" s="16"/>
      <c r="G668" s="16"/>
      <c r="H668" s="16"/>
      <c r="I668" s="16"/>
      <c r="J668" s="16"/>
      <c r="K668" s="13"/>
      <c r="L668" s="13"/>
      <c r="M668" s="13"/>
      <c r="N668" s="13"/>
      <c r="O668" s="13"/>
      <c r="P668" s="13"/>
      <c r="Q668" s="13"/>
      <c r="R668" s="13"/>
      <c r="S668" s="13"/>
      <c r="T668" s="13"/>
      <c r="U668" s="13"/>
      <c r="V668" s="13"/>
      <c r="W668" s="13"/>
      <c r="X668" s="13"/>
      <c r="Y668" s="13"/>
      <c r="Z668" s="13"/>
      <c r="AA668" s="13"/>
      <c r="AB668" s="13"/>
    </row>
    <row r="669" spans="1:28" ht="13.2">
      <c r="A669" s="53"/>
      <c r="B669" s="13"/>
      <c r="C669" s="16"/>
      <c r="D669" s="16">
        <f t="shared" si="12"/>
        <v>0</v>
      </c>
      <c r="E669" s="16">
        <f t="shared" si="13"/>
        <v>0</v>
      </c>
      <c r="F669" s="16"/>
      <c r="G669" s="16"/>
      <c r="H669" s="16"/>
      <c r="I669" s="16"/>
      <c r="J669" s="16"/>
      <c r="K669" s="13"/>
      <c r="L669" s="13"/>
      <c r="M669" s="13"/>
      <c r="N669" s="13"/>
      <c r="O669" s="13"/>
      <c r="P669" s="13"/>
      <c r="Q669" s="13"/>
      <c r="R669" s="13"/>
      <c r="S669" s="13"/>
      <c r="T669" s="13"/>
      <c r="U669" s="13"/>
      <c r="V669" s="13"/>
      <c r="W669" s="13"/>
      <c r="X669" s="13"/>
      <c r="Y669" s="13"/>
      <c r="Z669" s="13"/>
      <c r="AA669" s="13"/>
      <c r="AB669" s="13"/>
    </row>
    <row r="670" spans="1:28" ht="13.2">
      <c r="A670" s="53"/>
      <c r="B670" s="13"/>
      <c r="C670" s="16"/>
      <c r="D670" s="16">
        <f t="shared" si="12"/>
        <v>0</v>
      </c>
      <c r="E670" s="16">
        <f t="shared" si="13"/>
        <v>0</v>
      </c>
      <c r="F670" s="16"/>
      <c r="G670" s="16"/>
      <c r="H670" s="16"/>
      <c r="I670" s="16"/>
      <c r="J670" s="16"/>
      <c r="K670" s="13"/>
      <c r="L670" s="13"/>
      <c r="M670" s="13"/>
      <c r="N670" s="13"/>
      <c r="O670" s="13"/>
      <c r="P670" s="13"/>
      <c r="Q670" s="13"/>
      <c r="R670" s="13"/>
      <c r="S670" s="13"/>
      <c r="T670" s="13"/>
      <c r="U670" s="13"/>
      <c r="V670" s="13"/>
      <c r="W670" s="13"/>
      <c r="X670" s="13"/>
      <c r="Y670" s="13"/>
      <c r="Z670" s="13"/>
      <c r="AA670" s="13"/>
      <c r="AB670" s="13"/>
    </row>
    <row r="671" spans="1:28" ht="13.2">
      <c r="A671" s="53"/>
      <c r="B671" s="13"/>
      <c r="C671" s="16"/>
      <c r="D671" s="16">
        <f t="shared" si="12"/>
        <v>0</v>
      </c>
      <c r="E671" s="16">
        <f t="shared" si="13"/>
        <v>0</v>
      </c>
      <c r="F671" s="16"/>
      <c r="G671" s="16"/>
      <c r="H671" s="16"/>
      <c r="I671" s="16"/>
      <c r="J671" s="16"/>
      <c r="K671" s="13"/>
      <c r="L671" s="13"/>
      <c r="M671" s="13"/>
      <c r="N671" s="13"/>
      <c r="O671" s="13"/>
      <c r="P671" s="13"/>
      <c r="Q671" s="13"/>
      <c r="R671" s="13"/>
      <c r="S671" s="13"/>
      <c r="T671" s="13"/>
      <c r="U671" s="13"/>
      <c r="V671" s="13"/>
      <c r="W671" s="13"/>
      <c r="X671" s="13"/>
      <c r="Y671" s="13"/>
      <c r="Z671" s="13"/>
      <c r="AA671" s="13"/>
      <c r="AB671" s="13"/>
    </row>
    <row r="672" spans="1:28" ht="13.2">
      <c r="A672" s="53"/>
      <c r="B672" s="13"/>
      <c r="C672" s="16"/>
      <c r="D672" s="16">
        <f t="shared" si="12"/>
        <v>0</v>
      </c>
      <c r="E672" s="16">
        <f t="shared" si="13"/>
        <v>0</v>
      </c>
      <c r="F672" s="16"/>
      <c r="G672" s="16"/>
      <c r="H672" s="16"/>
      <c r="I672" s="16"/>
      <c r="J672" s="16"/>
      <c r="K672" s="13"/>
      <c r="L672" s="13"/>
      <c r="M672" s="13"/>
      <c r="N672" s="13"/>
      <c r="O672" s="13"/>
      <c r="P672" s="13"/>
      <c r="Q672" s="13"/>
      <c r="R672" s="13"/>
      <c r="S672" s="13"/>
      <c r="T672" s="13"/>
      <c r="U672" s="13"/>
      <c r="V672" s="13"/>
      <c r="W672" s="13"/>
      <c r="X672" s="13"/>
      <c r="Y672" s="13"/>
      <c r="Z672" s="13"/>
      <c r="AA672" s="13"/>
      <c r="AB672" s="13"/>
    </row>
    <row r="673" spans="1:28" ht="13.2">
      <c r="A673" s="53"/>
      <c r="B673" s="13"/>
      <c r="C673" s="16"/>
      <c r="D673" s="16">
        <f t="shared" si="12"/>
        <v>0</v>
      </c>
      <c r="E673" s="16">
        <f t="shared" si="13"/>
        <v>0</v>
      </c>
      <c r="F673" s="16"/>
      <c r="G673" s="16"/>
      <c r="H673" s="16"/>
      <c r="I673" s="16"/>
      <c r="J673" s="16"/>
      <c r="K673" s="13"/>
      <c r="L673" s="13"/>
      <c r="M673" s="13"/>
      <c r="N673" s="13"/>
      <c r="O673" s="13"/>
      <c r="P673" s="13"/>
      <c r="Q673" s="13"/>
      <c r="R673" s="13"/>
      <c r="S673" s="13"/>
      <c r="T673" s="13"/>
      <c r="U673" s="13"/>
      <c r="V673" s="13"/>
      <c r="W673" s="13"/>
      <c r="X673" s="13"/>
      <c r="Y673" s="13"/>
      <c r="Z673" s="13"/>
      <c r="AA673" s="13"/>
      <c r="AB673" s="13"/>
    </row>
    <row r="674" spans="1:28" ht="13.2">
      <c r="A674" s="53"/>
      <c r="B674" s="13"/>
      <c r="C674" s="16"/>
      <c r="D674" s="16">
        <f t="shared" si="12"/>
        <v>0</v>
      </c>
      <c r="E674" s="16">
        <f t="shared" si="13"/>
        <v>0</v>
      </c>
      <c r="F674" s="16"/>
      <c r="G674" s="16"/>
      <c r="H674" s="16"/>
      <c r="I674" s="16"/>
      <c r="J674" s="16"/>
      <c r="K674" s="13"/>
      <c r="L674" s="13"/>
      <c r="M674" s="13"/>
      <c r="N674" s="13"/>
      <c r="O674" s="13"/>
      <c r="P674" s="13"/>
      <c r="Q674" s="13"/>
      <c r="R674" s="13"/>
      <c r="S674" s="13"/>
      <c r="T674" s="13"/>
      <c r="U674" s="13"/>
      <c r="V674" s="13"/>
      <c r="W674" s="13"/>
      <c r="X674" s="13"/>
      <c r="Y674" s="13"/>
      <c r="Z674" s="13"/>
      <c r="AA674" s="13"/>
      <c r="AB674" s="13"/>
    </row>
    <row r="675" spans="1:28" ht="13.2">
      <c r="A675" s="53"/>
      <c r="B675" s="13"/>
      <c r="C675" s="16"/>
      <c r="D675" s="16">
        <f t="shared" si="12"/>
        <v>0</v>
      </c>
      <c r="E675" s="16">
        <f t="shared" si="13"/>
        <v>0</v>
      </c>
      <c r="F675" s="16"/>
      <c r="G675" s="16"/>
      <c r="H675" s="16"/>
      <c r="I675" s="16"/>
      <c r="J675" s="16"/>
      <c r="K675" s="13"/>
      <c r="L675" s="13"/>
      <c r="M675" s="13"/>
      <c r="N675" s="13"/>
      <c r="O675" s="13"/>
      <c r="P675" s="13"/>
      <c r="Q675" s="13"/>
      <c r="R675" s="13"/>
      <c r="S675" s="13"/>
      <c r="T675" s="13"/>
      <c r="U675" s="13"/>
      <c r="V675" s="13"/>
      <c r="W675" s="13"/>
      <c r="X675" s="13"/>
      <c r="Y675" s="13"/>
      <c r="Z675" s="13"/>
      <c r="AA675" s="13"/>
      <c r="AB675" s="13"/>
    </row>
    <row r="676" spans="1:28" ht="13.2">
      <c r="A676" s="53"/>
      <c r="B676" s="13"/>
      <c r="C676" s="16"/>
      <c r="D676" s="16">
        <f t="shared" si="12"/>
        <v>0</v>
      </c>
      <c r="E676" s="16">
        <f t="shared" si="13"/>
        <v>0</v>
      </c>
      <c r="F676" s="16"/>
      <c r="G676" s="16"/>
      <c r="H676" s="16"/>
      <c r="I676" s="16"/>
      <c r="J676" s="16"/>
      <c r="K676" s="13"/>
      <c r="L676" s="13"/>
      <c r="M676" s="13"/>
      <c r="N676" s="13"/>
      <c r="O676" s="13"/>
      <c r="P676" s="13"/>
      <c r="Q676" s="13"/>
      <c r="R676" s="13"/>
      <c r="S676" s="13"/>
      <c r="T676" s="13"/>
      <c r="U676" s="13"/>
      <c r="V676" s="13"/>
      <c r="W676" s="13"/>
      <c r="X676" s="13"/>
      <c r="Y676" s="13"/>
      <c r="Z676" s="13"/>
      <c r="AA676" s="13"/>
      <c r="AB676" s="13"/>
    </row>
    <row r="677" spans="1:28" ht="13.2">
      <c r="A677" s="53"/>
      <c r="B677" s="13"/>
      <c r="C677" s="16"/>
      <c r="D677" s="16">
        <f t="shared" si="12"/>
        <v>0</v>
      </c>
      <c r="E677" s="16">
        <f t="shared" si="13"/>
        <v>0</v>
      </c>
      <c r="F677" s="16"/>
      <c r="G677" s="16"/>
      <c r="H677" s="16"/>
      <c r="I677" s="16"/>
      <c r="J677" s="16"/>
      <c r="K677" s="13"/>
      <c r="L677" s="13"/>
      <c r="M677" s="13"/>
      <c r="N677" s="13"/>
      <c r="O677" s="13"/>
      <c r="P677" s="13"/>
      <c r="Q677" s="13"/>
      <c r="R677" s="13"/>
      <c r="S677" s="13"/>
      <c r="T677" s="13"/>
      <c r="U677" s="13"/>
      <c r="V677" s="13"/>
      <c r="W677" s="13"/>
      <c r="X677" s="13"/>
      <c r="Y677" s="13"/>
      <c r="Z677" s="13"/>
      <c r="AA677" s="13"/>
      <c r="AB677" s="13"/>
    </row>
    <row r="678" spans="1:28" ht="13.2">
      <c r="A678" s="53"/>
      <c r="B678" s="13"/>
      <c r="C678" s="16"/>
      <c r="D678" s="16">
        <f t="shared" si="12"/>
        <v>0</v>
      </c>
      <c r="E678" s="16">
        <f t="shared" si="13"/>
        <v>0</v>
      </c>
      <c r="F678" s="16"/>
      <c r="G678" s="16"/>
      <c r="H678" s="16"/>
      <c r="I678" s="16"/>
      <c r="J678" s="16"/>
      <c r="K678" s="13"/>
      <c r="L678" s="13"/>
      <c r="M678" s="13"/>
      <c r="N678" s="13"/>
      <c r="O678" s="13"/>
      <c r="P678" s="13"/>
      <c r="Q678" s="13"/>
      <c r="R678" s="13"/>
      <c r="S678" s="13"/>
      <c r="T678" s="13"/>
      <c r="U678" s="13"/>
      <c r="V678" s="13"/>
      <c r="W678" s="13"/>
      <c r="X678" s="13"/>
      <c r="Y678" s="13"/>
      <c r="Z678" s="13"/>
      <c r="AA678" s="13"/>
      <c r="AB678" s="13"/>
    </row>
    <row r="679" spans="1:28" ht="13.2">
      <c r="A679" s="53"/>
      <c r="B679" s="13"/>
      <c r="C679" s="16"/>
      <c r="D679" s="16">
        <f t="shared" si="12"/>
        <v>0</v>
      </c>
      <c r="E679" s="16">
        <f t="shared" si="13"/>
        <v>0</v>
      </c>
      <c r="F679" s="16"/>
      <c r="G679" s="16"/>
      <c r="H679" s="16"/>
      <c r="I679" s="16"/>
      <c r="J679" s="16"/>
      <c r="K679" s="13"/>
      <c r="L679" s="13"/>
      <c r="M679" s="13"/>
      <c r="N679" s="13"/>
      <c r="O679" s="13"/>
      <c r="P679" s="13"/>
      <c r="Q679" s="13"/>
      <c r="R679" s="13"/>
      <c r="S679" s="13"/>
      <c r="T679" s="13"/>
      <c r="U679" s="13"/>
      <c r="V679" s="13"/>
      <c r="W679" s="13"/>
      <c r="X679" s="13"/>
      <c r="Y679" s="13"/>
      <c r="Z679" s="13"/>
      <c r="AA679" s="13"/>
      <c r="AB679" s="13"/>
    </row>
    <row r="680" spans="1:28" ht="13.2">
      <c r="A680" s="53"/>
      <c r="B680" s="13"/>
      <c r="C680" s="16"/>
      <c r="D680" s="16">
        <f t="shared" si="12"/>
        <v>0</v>
      </c>
      <c r="E680" s="16">
        <f t="shared" si="13"/>
        <v>0</v>
      </c>
      <c r="F680" s="16"/>
      <c r="G680" s="16"/>
      <c r="H680" s="16"/>
      <c r="I680" s="16"/>
      <c r="J680" s="16"/>
      <c r="K680" s="13"/>
      <c r="L680" s="13"/>
      <c r="M680" s="13"/>
      <c r="N680" s="13"/>
      <c r="O680" s="13"/>
      <c r="P680" s="13"/>
      <c r="Q680" s="13"/>
      <c r="R680" s="13"/>
      <c r="S680" s="13"/>
      <c r="T680" s="13"/>
      <c r="U680" s="13"/>
      <c r="V680" s="13"/>
      <c r="W680" s="13"/>
      <c r="X680" s="13"/>
      <c r="Y680" s="13"/>
      <c r="Z680" s="13"/>
      <c r="AA680" s="13"/>
      <c r="AB680" s="13"/>
    </row>
    <row r="681" spans="1:28" ht="13.2">
      <c r="A681" s="53"/>
      <c r="B681" s="13"/>
      <c r="C681" s="16"/>
      <c r="D681" s="16">
        <f t="shared" si="12"/>
        <v>0</v>
      </c>
      <c r="E681" s="16">
        <f t="shared" si="13"/>
        <v>0</v>
      </c>
      <c r="F681" s="16"/>
      <c r="G681" s="16"/>
      <c r="H681" s="16"/>
      <c r="I681" s="16"/>
      <c r="J681" s="16"/>
      <c r="K681" s="13"/>
      <c r="L681" s="13"/>
      <c r="M681" s="13"/>
      <c r="N681" s="13"/>
      <c r="O681" s="13"/>
      <c r="P681" s="13"/>
      <c r="Q681" s="13"/>
      <c r="R681" s="13"/>
      <c r="S681" s="13"/>
      <c r="T681" s="13"/>
      <c r="U681" s="13"/>
      <c r="V681" s="13"/>
      <c r="W681" s="13"/>
      <c r="X681" s="13"/>
      <c r="Y681" s="13"/>
      <c r="Z681" s="13"/>
      <c r="AA681" s="13"/>
      <c r="AB681" s="13"/>
    </row>
    <row r="682" spans="1:28" ht="13.2">
      <c r="A682" s="53"/>
      <c r="B682" s="13"/>
      <c r="C682" s="16"/>
      <c r="D682" s="16">
        <f t="shared" si="12"/>
        <v>0</v>
      </c>
      <c r="E682" s="16">
        <f t="shared" si="13"/>
        <v>0</v>
      </c>
      <c r="F682" s="16"/>
      <c r="G682" s="16"/>
      <c r="H682" s="16"/>
      <c r="I682" s="16"/>
      <c r="J682" s="16"/>
      <c r="K682" s="13"/>
      <c r="L682" s="13"/>
      <c r="M682" s="13"/>
      <c r="N682" s="13"/>
      <c r="O682" s="13"/>
      <c r="P682" s="13"/>
      <c r="Q682" s="13"/>
      <c r="R682" s="13"/>
      <c r="S682" s="13"/>
      <c r="T682" s="13"/>
      <c r="U682" s="13"/>
      <c r="V682" s="13"/>
      <c r="W682" s="13"/>
      <c r="X682" s="13"/>
      <c r="Y682" s="13"/>
      <c r="Z682" s="13"/>
      <c r="AA682" s="13"/>
      <c r="AB682" s="13"/>
    </row>
    <row r="683" spans="1:28" ht="13.2">
      <c r="A683" s="53"/>
      <c r="B683" s="13"/>
      <c r="C683" s="16"/>
      <c r="D683" s="16">
        <f t="shared" si="12"/>
        <v>0</v>
      </c>
      <c r="E683" s="16">
        <f t="shared" si="13"/>
        <v>0</v>
      </c>
      <c r="F683" s="16"/>
      <c r="G683" s="16"/>
      <c r="H683" s="16"/>
      <c r="I683" s="16"/>
      <c r="J683" s="16"/>
      <c r="K683" s="13"/>
      <c r="L683" s="13"/>
      <c r="M683" s="13"/>
      <c r="N683" s="13"/>
      <c r="O683" s="13"/>
      <c r="P683" s="13"/>
      <c r="Q683" s="13"/>
      <c r="R683" s="13"/>
      <c r="S683" s="13"/>
      <c r="T683" s="13"/>
      <c r="U683" s="13"/>
      <c r="V683" s="13"/>
      <c r="W683" s="13"/>
      <c r="X683" s="13"/>
      <c r="Y683" s="13"/>
      <c r="Z683" s="13"/>
      <c r="AA683" s="13"/>
      <c r="AB683" s="13"/>
    </row>
    <row r="684" spans="1:28" ht="13.2">
      <c r="A684" s="53"/>
      <c r="B684" s="13"/>
      <c r="C684" s="16"/>
      <c r="D684" s="16">
        <f t="shared" si="12"/>
        <v>0</v>
      </c>
      <c r="E684" s="16">
        <f t="shared" si="13"/>
        <v>0</v>
      </c>
      <c r="F684" s="16"/>
      <c r="G684" s="16"/>
      <c r="H684" s="16"/>
      <c r="I684" s="16"/>
      <c r="J684" s="16"/>
      <c r="K684" s="13"/>
      <c r="L684" s="13"/>
      <c r="M684" s="13"/>
      <c r="N684" s="13"/>
      <c r="O684" s="13"/>
      <c r="P684" s="13"/>
      <c r="Q684" s="13"/>
      <c r="R684" s="13"/>
      <c r="S684" s="13"/>
      <c r="T684" s="13"/>
      <c r="U684" s="13"/>
      <c r="V684" s="13"/>
      <c r="W684" s="13"/>
      <c r="X684" s="13"/>
      <c r="Y684" s="13"/>
      <c r="Z684" s="13"/>
      <c r="AA684" s="13"/>
      <c r="AB684" s="13"/>
    </row>
    <row r="685" spans="1:28" ht="13.2">
      <c r="A685" s="53"/>
      <c r="B685" s="13"/>
      <c r="C685" s="16"/>
      <c r="D685" s="16">
        <f t="shared" si="12"/>
        <v>0</v>
      </c>
      <c r="E685" s="16">
        <f t="shared" si="13"/>
        <v>0</v>
      </c>
      <c r="F685" s="16"/>
      <c r="G685" s="16"/>
      <c r="H685" s="16"/>
      <c r="I685" s="16"/>
      <c r="J685" s="16"/>
      <c r="K685" s="13"/>
      <c r="L685" s="13"/>
      <c r="M685" s="13"/>
      <c r="N685" s="13"/>
      <c r="O685" s="13"/>
      <c r="P685" s="13"/>
      <c r="Q685" s="13"/>
      <c r="R685" s="13"/>
      <c r="S685" s="13"/>
      <c r="T685" s="13"/>
      <c r="U685" s="13"/>
      <c r="V685" s="13"/>
      <c r="W685" s="13"/>
      <c r="X685" s="13"/>
      <c r="Y685" s="13"/>
      <c r="Z685" s="13"/>
      <c r="AA685" s="13"/>
      <c r="AB685" s="13"/>
    </row>
    <row r="686" spans="1:28" ht="13.2">
      <c r="A686" s="53"/>
      <c r="B686" s="13"/>
      <c r="C686" s="16"/>
      <c r="D686" s="16">
        <f t="shared" si="12"/>
        <v>0</v>
      </c>
      <c r="E686" s="16">
        <f t="shared" si="13"/>
        <v>0</v>
      </c>
      <c r="F686" s="16"/>
      <c r="G686" s="16"/>
      <c r="H686" s="16"/>
      <c r="I686" s="16"/>
      <c r="J686" s="16"/>
      <c r="K686" s="13"/>
      <c r="L686" s="13"/>
      <c r="M686" s="13"/>
      <c r="N686" s="13"/>
      <c r="O686" s="13"/>
      <c r="P686" s="13"/>
      <c r="Q686" s="13"/>
      <c r="R686" s="13"/>
      <c r="S686" s="13"/>
      <c r="T686" s="13"/>
      <c r="U686" s="13"/>
      <c r="V686" s="13"/>
      <c r="W686" s="13"/>
      <c r="X686" s="13"/>
      <c r="Y686" s="13"/>
      <c r="Z686" s="13"/>
      <c r="AA686" s="13"/>
      <c r="AB686" s="13"/>
    </row>
    <row r="687" spans="1:28" ht="13.2">
      <c r="A687" s="53"/>
      <c r="B687" s="13"/>
      <c r="C687" s="16"/>
      <c r="D687" s="16">
        <f t="shared" si="12"/>
        <v>0</v>
      </c>
      <c r="E687" s="16">
        <f t="shared" si="13"/>
        <v>0</v>
      </c>
      <c r="F687" s="16"/>
      <c r="G687" s="16"/>
      <c r="H687" s="16"/>
      <c r="I687" s="16"/>
      <c r="J687" s="16"/>
      <c r="K687" s="13"/>
      <c r="L687" s="13"/>
      <c r="M687" s="13"/>
      <c r="N687" s="13"/>
      <c r="O687" s="13"/>
      <c r="P687" s="13"/>
      <c r="Q687" s="13"/>
      <c r="R687" s="13"/>
      <c r="S687" s="13"/>
      <c r="T687" s="13"/>
      <c r="U687" s="13"/>
      <c r="V687" s="13"/>
      <c r="W687" s="13"/>
      <c r="X687" s="13"/>
      <c r="Y687" s="13"/>
      <c r="Z687" s="13"/>
      <c r="AA687" s="13"/>
      <c r="AB687" s="13"/>
    </row>
    <row r="688" spans="1:28" ht="13.2">
      <c r="A688" s="53"/>
      <c r="B688" s="13"/>
      <c r="C688" s="16"/>
      <c r="D688" s="16">
        <f t="shared" si="12"/>
        <v>0</v>
      </c>
      <c r="E688" s="16">
        <f t="shared" si="13"/>
        <v>0</v>
      </c>
      <c r="F688" s="16"/>
      <c r="G688" s="16"/>
      <c r="H688" s="16"/>
      <c r="I688" s="16"/>
      <c r="J688" s="16"/>
      <c r="K688" s="13"/>
      <c r="L688" s="13"/>
      <c r="M688" s="13"/>
      <c r="N688" s="13"/>
      <c r="O688" s="13"/>
      <c r="P688" s="13"/>
      <c r="Q688" s="13"/>
      <c r="R688" s="13"/>
      <c r="S688" s="13"/>
      <c r="T688" s="13"/>
      <c r="U688" s="13"/>
      <c r="V688" s="13"/>
      <c r="W688" s="13"/>
      <c r="X688" s="13"/>
      <c r="Y688" s="13"/>
      <c r="Z688" s="13"/>
      <c r="AA688" s="13"/>
      <c r="AB688" s="13"/>
    </row>
    <row r="689" spans="1:28" ht="13.2">
      <c r="A689" s="53"/>
      <c r="B689" s="13"/>
      <c r="C689" s="16"/>
      <c r="D689" s="16">
        <f t="shared" si="12"/>
        <v>0</v>
      </c>
      <c r="E689" s="16">
        <f t="shared" si="13"/>
        <v>0</v>
      </c>
      <c r="F689" s="16"/>
      <c r="G689" s="16"/>
      <c r="H689" s="16"/>
      <c r="I689" s="16"/>
      <c r="J689" s="16"/>
      <c r="K689" s="13"/>
      <c r="L689" s="13"/>
      <c r="M689" s="13"/>
      <c r="N689" s="13"/>
      <c r="O689" s="13"/>
      <c r="P689" s="13"/>
      <c r="Q689" s="13"/>
      <c r="R689" s="13"/>
      <c r="S689" s="13"/>
      <c r="T689" s="13"/>
      <c r="U689" s="13"/>
      <c r="V689" s="13"/>
      <c r="W689" s="13"/>
      <c r="X689" s="13"/>
      <c r="Y689" s="13"/>
      <c r="Z689" s="13"/>
      <c r="AA689" s="13"/>
      <c r="AB689" s="13"/>
    </row>
    <row r="690" spans="1:28" ht="13.2">
      <c r="A690" s="53"/>
      <c r="B690" s="13"/>
      <c r="C690" s="16"/>
      <c r="D690" s="16">
        <f t="shared" si="12"/>
        <v>0</v>
      </c>
      <c r="E690" s="16">
        <f t="shared" si="13"/>
        <v>0</v>
      </c>
      <c r="F690" s="16"/>
      <c r="G690" s="16"/>
      <c r="H690" s="16"/>
      <c r="I690" s="16"/>
      <c r="J690" s="16"/>
      <c r="K690" s="13"/>
      <c r="L690" s="13"/>
      <c r="M690" s="13"/>
      <c r="N690" s="13"/>
      <c r="O690" s="13"/>
      <c r="P690" s="13"/>
      <c r="Q690" s="13"/>
      <c r="R690" s="13"/>
      <c r="S690" s="13"/>
      <c r="T690" s="13"/>
      <c r="U690" s="13"/>
      <c r="V690" s="13"/>
      <c r="W690" s="13"/>
      <c r="X690" s="13"/>
      <c r="Y690" s="13"/>
      <c r="Z690" s="13"/>
      <c r="AA690" s="13"/>
      <c r="AB690" s="13"/>
    </row>
    <row r="691" spans="1:28" ht="13.2">
      <c r="A691" s="53"/>
      <c r="B691" s="13"/>
      <c r="C691" s="16"/>
      <c r="D691" s="16">
        <f t="shared" si="12"/>
        <v>0</v>
      </c>
      <c r="E691" s="16">
        <f t="shared" si="13"/>
        <v>0</v>
      </c>
      <c r="F691" s="16"/>
      <c r="G691" s="16"/>
      <c r="H691" s="16"/>
      <c r="I691" s="16"/>
      <c r="J691" s="16"/>
      <c r="K691" s="13"/>
      <c r="L691" s="13"/>
      <c r="M691" s="13"/>
      <c r="N691" s="13"/>
      <c r="O691" s="13"/>
      <c r="P691" s="13"/>
      <c r="Q691" s="13"/>
      <c r="R691" s="13"/>
      <c r="S691" s="13"/>
      <c r="T691" s="13"/>
      <c r="U691" s="13"/>
      <c r="V691" s="13"/>
      <c r="W691" s="13"/>
      <c r="X691" s="13"/>
      <c r="Y691" s="13"/>
      <c r="Z691" s="13"/>
      <c r="AA691" s="13"/>
      <c r="AB691" s="13"/>
    </row>
    <row r="692" spans="1:28" ht="13.2">
      <c r="A692" s="53"/>
      <c r="B692" s="13"/>
      <c r="C692" s="16"/>
      <c r="D692" s="16">
        <f t="shared" si="12"/>
        <v>0</v>
      </c>
      <c r="E692" s="16">
        <f t="shared" si="13"/>
        <v>0</v>
      </c>
      <c r="F692" s="16"/>
      <c r="G692" s="16"/>
      <c r="H692" s="16"/>
      <c r="I692" s="16"/>
      <c r="J692" s="16"/>
      <c r="K692" s="13"/>
      <c r="L692" s="13"/>
      <c r="M692" s="13"/>
      <c r="N692" s="13"/>
      <c r="O692" s="13"/>
      <c r="P692" s="13"/>
      <c r="Q692" s="13"/>
      <c r="R692" s="13"/>
      <c r="S692" s="13"/>
      <c r="T692" s="13"/>
      <c r="U692" s="13"/>
      <c r="V692" s="13"/>
      <c r="W692" s="13"/>
      <c r="X692" s="13"/>
      <c r="Y692" s="13"/>
      <c r="Z692" s="13"/>
      <c r="AA692" s="13"/>
      <c r="AB692" s="13"/>
    </row>
    <row r="693" spans="1:28" ht="13.2">
      <c r="A693" s="53"/>
      <c r="B693" s="13"/>
      <c r="C693" s="16"/>
      <c r="D693" s="16">
        <f t="shared" si="12"/>
        <v>0</v>
      </c>
      <c r="E693" s="16">
        <f t="shared" si="13"/>
        <v>0</v>
      </c>
      <c r="F693" s="16"/>
      <c r="G693" s="16"/>
      <c r="H693" s="16"/>
      <c r="I693" s="16"/>
      <c r="J693" s="16"/>
      <c r="K693" s="13"/>
      <c r="L693" s="13"/>
      <c r="M693" s="13"/>
      <c r="N693" s="13"/>
      <c r="O693" s="13"/>
      <c r="P693" s="13"/>
      <c r="Q693" s="13"/>
      <c r="R693" s="13"/>
      <c r="S693" s="13"/>
      <c r="T693" s="13"/>
      <c r="U693" s="13"/>
      <c r="V693" s="13"/>
      <c r="W693" s="13"/>
      <c r="X693" s="13"/>
      <c r="Y693" s="13"/>
      <c r="Z693" s="13"/>
      <c r="AA693" s="13"/>
      <c r="AB693" s="13"/>
    </row>
    <row r="694" spans="1:28" ht="13.2">
      <c r="A694" s="53"/>
      <c r="B694" s="13"/>
      <c r="C694" s="16"/>
      <c r="D694" s="16">
        <f t="shared" si="12"/>
        <v>0</v>
      </c>
      <c r="E694" s="16">
        <f t="shared" si="13"/>
        <v>0</v>
      </c>
      <c r="F694" s="16"/>
      <c r="G694" s="16"/>
      <c r="H694" s="16"/>
      <c r="I694" s="16"/>
      <c r="J694" s="16"/>
      <c r="K694" s="13"/>
      <c r="L694" s="13"/>
      <c r="M694" s="13"/>
      <c r="N694" s="13"/>
      <c r="O694" s="13"/>
      <c r="P694" s="13"/>
      <c r="Q694" s="13"/>
      <c r="R694" s="13"/>
      <c r="S694" s="13"/>
      <c r="T694" s="13"/>
      <c r="U694" s="13"/>
      <c r="V694" s="13"/>
      <c r="W694" s="13"/>
      <c r="X694" s="13"/>
      <c r="Y694" s="13"/>
      <c r="Z694" s="13"/>
      <c r="AA694" s="13"/>
      <c r="AB694" s="13"/>
    </row>
    <row r="695" spans="1:28" ht="13.2">
      <c r="A695" s="53"/>
      <c r="B695" s="13"/>
      <c r="C695" s="16"/>
      <c r="D695" s="16">
        <f t="shared" si="12"/>
        <v>0</v>
      </c>
      <c r="E695" s="16">
        <f t="shared" si="13"/>
        <v>0</v>
      </c>
      <c r="F695" s="16"/>
      <c r="G695" s="16"/>
      <c r="H695" s="16"/>
      <c r="I695" s="16"/>
      <c r="J695" s="16"/>
      <c r="K695" s="13"/>
      <c r="L695" s="13"/>
      <c r="M695" s="13"/>
      <c r="N695" s="13"/>
      <c r="O695" s="13"/>
      <c r="P695" s="13"/>
      <c r="Q695" s="13"/>
      <c r="R695" s="13"/>
      <c r="S695" s="13"/>
      <c r="T695" s="13"/>
      <c r="U695" s="13"/>
      <c r="V695" s="13"/>
      <c r="W695" s="13"/>
      <c r="X695" s="13"/>
      <c r="Y695" s="13"/>
      <c r="Z695" s="13"/>
      <c r="AA695" s="13"/>
      <c r="AB695" s="13"/>
    </row>
    <row r="696" spans="1:28" ht="13.2">
      <c r="A696" s="53"/>
      <c r="B696" s="13"/>
      <c r="C696" s="16"/>
      <c r="D696" s="16">
        <f t="shared" si="12"/>
        <v>0</v>
      </c>
      <c r="E696" s="16">
        <f t="shared" si="13"/>
        <v>0</v>
      </c>
      <c r="F696" s="16"/>
      <c r="G696" s="16"/>
      <c r="H696" s="16"/>
      <c r="I696" s="16"/>
      <c r="J696" s="16"/>
      <c r="K696" s="13"/>
      <c r="L696" s="13"/>
      <c r="M696" s="13"/>
      <c r="N696" s="13"/>
      <c r="O696" s="13"/>
      <c r="P696" s="13"/>
      <c r="Q696" s="13"/>
      <c r="R696" s="13"/>
      <c r="S696" s="13"/>
      <c r="T696" s="13"/>
      <c r="U696" s="13"/>
      <c r="V696" s="13"/>
      <c r="W696" s="13"/>
      <c r="X696" s="13"/>
      <c r="Y696" s="13"/>
      <c r="Z696" s="13"/>
      <c r="AA696" s="13"/>
      <c r="AB696" s="13"/>
    </row>
    <row r="697" spans="1:28" ht="13.2">
      <c r="A697" s="53"/>
      <c r="B697" s="13"/>
      <c r="C697" s="16"/>
      <c r="D697" s="16">
        <f t="shared" si="12"/>
        <v>0</v>
      </c>
      <c r="E697" s="16">
        <f t="shared" si="13"/>
        <v>0</v>
      </c>
      <c r="F697" s="16"/>
      <c r="G697" s="16"/>
      <c r="H697" s="16"/>
      <c r="I697" s="16"/>
      <c r="J697" s="16"/>
      <c r="K697" s="13"/>
      <c r="L697" s="13"/>
      <c r="M697" s="13"/>
      <c r="N697" s="13"/>
      <c r="O697" s="13"/>
      <c r="P697" s="13"/>
      <c r="Q697" s="13"/>
      <c r="R697" s="13"/>
      <c r="S697" s="13"/>
      <c r="T697" s="13"/>
      <c r="U697" s="13"/>
      <c r="V697" s="13"/>
      <c r="W697" s="13"/>
      <c r="X697" s="13"/>
      <c r="Y697" s="13"/>
      <c r="Z697" s="13"/>
      <c r="AA697" s="13"/>
      <c r="AB697" s="13"/>
    </row>
    <row r="698" spans="1:28" ht="13.2">
      <c r="A698" s="53"/>
      <c r="B698" s="13"/>
      <c r="C698" s="16"/>
      <c r="D698" s="16">
        <f t="shared" si="12"/>
        <v>0</v>
      </c>
      <c r="E698" s="16">
        <f t="shared" si="13"/>
        <v>0</v>
      </c>
      <c r="F698" s="16"/>
      <c r="G698" s="16"/>
      <c r="H698" s="16"/>
      <c r="I698" s="16"/>
      <c r="J698" s="16"/>
      <c r="K698" s="13"/>
      <c r="L698" s="13"/>
      <c r="M698" s="13"/>
      <c r="N698" s="13"/>
      <c r="O698" s="13"/>
      <c r="P698" s="13"/>
      <c r="Q698" s="13"/>
      <c r="R698" s="13"/>
      <c r="S698" s="13"/>
      <c r="T698" s="13"/>
      <c r="U698" s="13"/>
      <c r="V698" s="13"/>
      <c r="W698" s="13"/>
      <c r="X698" s="13"/>
      <c r="Y698" s="13"/>
      <c r="Z698" s="13"/>
      <c r="AA698" s="13"/>
      <c r="AB698" s="13"/>
    </row>
    <row r="699" spans="1:28" ht="13.2">
      <c r="A699" s="53"/>
      <c r="B699" s="13"/>
      <c r="C699" s="16"/>
      <c r="D699" s="16">
        <f t="shared" si="12"/>
        <v>0</v>
      </c>
      <c r="E699" s="16">
        <f t="shared" si="13"/>
        <v>0</v>
      </c>
      <c r="F699" s="16"/>
      <c r="G699" s="16"/>
      <c r="H699" s="16"/>
      <c r="I699" s="16"/>
      <c r="J699" s="16"/>
      <c r="K699" s="13"/>
      <c r="L699" s="13"/>
      <c r="M699" s="13"/>
      <c r="N699" s="13"/>
      <c r="O699" s="13"/>
      <c r="P699" s="13"/>
      <c r="Q699" s="13"/>
      <c r="R699" s="13"/>
      <c r="S699" s="13"/>
      <c r="T699" s="13"/>
      <c r="U699" s="13"/>
      <c r="V699" s="13"/>
      <c r="W699" s="13"/>
      <c r="X699" s="13"/>
      <c r="Y699" s="13"/>
      <c r="Z699" s="13"/>
      <c r="AA699" s="13"/>
      <c r="AB699" s="13"/>
    </row>
    <row r="700" spans="1:28" ht="13.2">
      <c r="A700" s="53"/>
      <c r="B700" s="13"/>
      <c r="C700" s="16"/>
      <c r="D700" s="16">
        <f t="shared" si="12"/>
        <v>0</v>
      </c>
      <c r="E700" s="16">
        <f t="shared" si="13"/>
        <v>0</v>
      </c>
      <c r="F700" s="16"/>
      <c r="G700" s="16"/>
      <c r="H700" s="16"/>
      <c r="I700" s="16"/>
      <c r="J700" s="16"/>
      <c r="K700" s="13"/>
      <c r="L700" s="13"/>
      <c r="M700" s="13"/>
      <c r="N700" s="13"/>
      <c r="O700" s="13"/>
      <c r="P700" s="13"/>
      <c r="Q700" s="13"/>
      <c r="R700" s="13"/>
      <c r="S700" s="13"/>
      <c r="T700" s="13"/>
      <c r="U700" s="13"/>
      <c r="V700" s="13"/>
      <c r="W700" s="13"/>
      <c r="X700" s="13"/>
      <c r="Y700" s="13"/>
      <c r="Z700" s="13"/>
      <c r="AA700" s="13"/>
      <c r="AB700" s="13"/>
    </row>
    <row r="701" spans="1:28" ht="13.2">
      <c r="A701" s="53"/>
      <c r="B701" s="13"/>
      <c r="C701" s="16"/>
      <c r="D701" s="16">
        <f t="shared" si="12"/>
        <v>0</v>
      </c>
      <c r="E701" s="16">
        <f t="shared" si="13"/>
        <v>0</v>
      </c>
      <c r="F701" s="16"/>
      <c r="G701" s="16"/>
      <c r="H701" s="16"/>
      <c r="I701" s="16"/>
      <c r="J701" s="16"/>
      <c r="K701" s="13"/>
      <c r="L701" s="13"/>
      <c r="M701" s="13"/>
      <c r="N701" s="13"/>
      <c r="O701" s="13"/>
      <c r="P701" s="13"/>
      <c r="Q701" s="13"/>
      <c r="R701" s="13"/>
      <c r="S701" s="13"/>
      <c r="T701" s="13"/>
      <c r="U701" s="13"/>
      <c r="V701" s="13"/>
      <c r="W701" s="13"/>
      <c r="X701" s="13"/>
      <c r="Y701" s="13"/>
      <c r="Z701" s="13"/>
      <c r="AA701" s="13"/>
      <c r="AB701" s="13"/>
    </row>
    <row r="702" spans="1:28" ht="13.2">
      <c r="A702" s="53"/>
      <c r="B702" s="13"/>
      <c r="C702" s="16"/>
      <c r="D702" s="16">
        <f t="shared" si="12"/>
        <v>0</v>
      </c>
      <c r="E702" s="16">
        <f t="shared" si="13"/>
        <v>0</v>
      </c>
      <c r="F702" s="16"/>
      <c r="G702" s="16"/>
      <c r="H702" s="16"/>
      <c r="I702" s="16"/>
      <c r="J702" s="16"/>
      <c r="K702" s="13"/>
      <c r="L702" s="13"/>
      <c r="M702" s="13"/>
      <c r="N702" s="13"/>
      <c r="O702" s="13"/>
      <c r="P702" s="13"/>
      <c r="Q702" s="13"/>
      <c r="R702" s="13"/>
      <c r="S702" s="13"/>
      <c r="T702" s="13"/>
      <c r="U702" s="13"/>
      <c r="V702" s="13"/>
      <c r="W702" s="13"/>
      <c r="X702" s="13"/>
      <c r="Y702" s="13"/>
      <c r="Z702" s="13"/>
      <c r="AA702" s="13"/>
      <c r="AB702" s="13"/>
    </row>
    <row r="703" spans="1:28" ht="13.2">
      <c r="A703" s="53"/>
      <c r="B703" s="13"/>
      <c r="C703" s="16"/>
      <c r="D703" s="16">
        <f t="shared" si="12"/>
        <v>0</v>
      </c>
      <c r="E703" s="16">
        <f t="shared" si="13"/>
        <v>0</v>
      </c>
      <c r="F703" s="16"/>
      <c r="G703" s="16"/>
      <c r="H703" s="16"/>
      <c r="I703" s="16"/>
      <c r="J703" s="16"/>
      <c r="K703" s="13"/>
      <c r="L703" s="13"/>
      <c r="M703" s="13"/>
      <c r="N703" s="13"/>
      <c r="O703" s="13"/>
      <c r="P703" s="13"/>
      <c r="Q703" s="13"/>
      <c r="R703" s="13"/>
      <c r="S703" s="13"/>
      <c r="T703" s="13"/>
      <c r="U703" s="13"/>
      <c r="V703" s="13"/>
      <c r="W703" s="13"/>
      <c r="X703" s="13"/>
      <c r="Y703" s="13"/>
      <c r="Z703" s="13"/>
      <c r="AA703" s="13"/>
      <c r="AB703" s="13"/>
    </row>
    <row r="704" spans="1:28" ht="13.2">
      <c r="A704" s="53"/>
      <c r="B704" s="13"/>
      <c r="C704" s="16"/>
      <c r="D704" s="16">
        <f t="shared" si="12"/>
        <v>0</v>
      </c>
      <c r="E704" s="16">
        <f t="shared" si="13"/>
        <v>0</v>
      </c>
      <c r="F704" s="16"/>
      <c r="G704" s="16"/>
      <c r="H704" s="16"/>
      <c r="I704" s="16"/>
      <c r="J704" s="16"/>
      <c r="K704" s="13"/>
      <c r="L704" s="13"/>
      <c r="M704" s="13"/>
      <c r="N704" s="13"/>
      <c r="O704" s="13"/>
      <c r="P704" s="13"/>
      <c r="Q704" s="13"/>
      <c r="R704" s="13"/>
      <c r="S704" s="13"/>
      <c r="T704" s="13"/>
      <c r="U704" s="13"/>
      <c r="V704" s="13"/>
      <c r="W704" s="13"/>
      <c r="X704" s="13"/>
      <c r="Y704" s="13"/>
      <c r="Z704" s="13"/>
      <c r="AA704" s="13"/>
      <c r="AB704" s="13"/>
    </row>
    <row r="705" spans="1:28" ht="13.2">
      <c r="A705" s="53"/>
      <c r="B705" s="13"/>
      <c r="C705" s="16"/>
      <c r="D705" s="16">
        <f t="shared" si="12"/>
        <v>0</v>
      </c>
      <c r="E705" s="16">
        <f t="shared" si="13"/>
        <v>0</v>
      </c>
      <c r="F705" s="16"/>
      <c r="G705" s="16"/>
      <c r="H705" s="16"/>
      <c r="I705" s="16"/>
      <c r="J705" s="16"/>
      <c r="K705" s="13"/>
      <c r="L705" s="13"/>
      <c r="M705" s="13"/>
      <c r="N705" s="13"/>
      <c r="O705" s="13"/>
      <c r="P705" s="13"/>
      <c r="Q705" s="13"/>
      <c r="R705" s="13"/>
      <c r="S705" s="13"/>
      <c r="T705" s="13"/>
      <c r="U705" s="13"/>
      <c r="V705" s="13"/>
      <c r="W705" s="13"/>
      <c r="X705" s="13"/>
      <c r="Y705" s="13"/>
      <c r="Z705" s="13"/>
      <c r="AA705" s="13"/>
      <c r="AB705" s="13"/>
    </row>
    <row r="706" spans="1:28" ht="13.2">
      <c r="A706" s="53"/>
      <c r="B706" s="13"/>
      <c r="C706" s="16"/>
      <c r="D706" s="16">
        <f t="shared" si="12"/>
        <v>0</v>
      </c>
      <c r="E706" s="16">
        <f t="shared" si="13"/>
        <v>0</v>
      </c>
      <c r="F706" s="16"/>
      <c r="G706" s="16"/>
      <c r="H706" s="16"/>
      <c r="I706" s="16"/>
      <c r="J706" s="16"/>
      <c r="K706" s="13"/>
      <c r="L706" s="13"/>
      <c r="M706" s="13"/>
      <c r="N706" s="13"/>
      <c r="O706" s="13"/>
      <c r="P706" s="13"/>
      <c r="Q706" s="13"/>
      <c r="R706" s="13"/>
      <c r="S706" s="13"/>
      <c r="T706" s="13"/>
      <c r="U706" s="13"/>
      <c r="V706" s="13"/>
      <c r="W706" s="13"/>
      <c r="X706" s="13"/>
      <c r="Y706" s="13"/>
      <c r="Z706" s="13"/>
      <c r="AA706" s="13"/>
      <c r="AB706" s="13"/>
    </row>
    <row r="707" spans="1:28" ht="13.2">
      <c r="A707" s="53"/>
      <c r="B707" s="13"/>
      <c r="C707" s="16"/>
      <c r="D707" s="16">
        <f t="shared" si="12"/>
        <v>0</v>
      </c>
      <c r="E707" s="16">
        <f t="shared" si="13"/>
        <v>0</v>
      </c>
      <c r="F707" s="16"/>
      <c r="G707" s="16"/>
      <c r="H707" s="16"/>
      <c r="I707" s="16"/>
      <c r="J707" s="16"/>
      <c r="K707" s="13"/>
      <c r="L707" s="13"/>
      <c r="M707" s="13"/>
      <c r="N707" s="13"/>
      <c r="O707" s="13"/>
      <c r="P707" s="13"/>
      <c r="Q707" s="13"/>
      <c r="R707" s="13"/>
      <c r="S707" s="13"/>
      <c r="T707" s="13"/>
      <c r="U707" s="13"/>
      <c r="V707" s="13"/>
      <c r="W707" s="13"/>
      <c r="X707" s="13"/>
      <c r="Y707" s="13"/>
      <c r="Z707" s="13"/>
      <c r="AA707" s="13"/>
      <c r="AB707" s="13"/>
    </row>
    <row r="708" spans="1:28" ht="13.2">
      <c r="A708" s="53"/>
      <c r="B708" s="13"/>
      <c r="C708" s="16"/>
      <c r="D708" s="16">
        <f t="shared" si="12"/>
        <v>0</v>
      </c>
      <c r="E708" s="16">
        <f t="shared" si="13"/>
        <v>0</v>
      </c>
      <c r="F708" s="16"/>
      <c r="G708" s="16"/>
      <c r="H708" s="16"/>
      <c r="I708" s="16"/>
      <c r="J708" s="16"/>
      <c r="K708" s="13"/>
      <c r="L708" s="13"/>
      <c r="M708" s="13"/>
      <c r="N708" s="13"/>
      <c r="O708" s="13"/>
      <c r="P708" s="13"/>
      <c r="Q708" s="13"/>
      <c r="R708" s="13"/>
      <c r="S708" s="13"/>
      <c r="T708" s="13"/>
      <c r="U708" s="13"/>
      <c r="V708" s="13"/>
      <c r="W708" s="13"/>
      <c r="X708" s="13"/>
      <c r="Y708" s="13"/>
      <c r="Z708" s="13"/>
      <c r="AA708" s="13"/>
      <c r="AB708" s="13"/>
    </row>
    <row r="709" spans="1:28" ht="13.2">
      <c r="A709" s="53"/>
      <c r="B709" s="13"/>
      <c r="C709" s="16"/>
      <c r="D709" s="16">
        <f t="shared" si="12"/>
        <v>0</v>
      </c>
      <c r="E709" s="16">
        <f t="shared" si="13"/>
        <v>0</v>
      </c>
      <c r="F709" s="16"/>
      <c r="G709" s="16"/>
      <c r="H709" s="16"/>
      <c r="I709" s="16"/>
      <c r="J709" s="16"/>
      <c r="K709" s="13"/>
      <c r="L709" s="13"/>
      <c r="M709" s="13"/>
      <c r="N709" s="13"/>
      <c r="O709" s="13"/>
      <c r="P709" s="13"/>
      <c r="Q709" s="13"/>
      <c r="R709" s="13"/>
      <c r="S709" s="13"/>
      <c r="T709" s="13"/>
      <c r="U709" s="13"/>
      <c r="V709" s="13"/>
      <c r="W709" s="13"/>
      <c r="X709" s="13"/>
      <c r="Y709" s="13"/>
      <c r="Z709" s="13"/>
      <c r="AA709" s="13"/>
      <c r="AB709" s="13"/>
    </row>
    <row r="710" spans="1:28" ht="13.2">
      <c r="A710" s="53"/>
      <c r="B710" s="13"/>
      <c r="C710" s="16"/>
      <c r="D710" s="16">
        <f t="shared" si="12"/>
        <v>0</v>
      </c>
      <c r="E710" s="16">
        <f t="shared" si="13"/>
        <v>0</v>
      </c>
      <c r="F710" s="16"/>
      <c r="G710" s="16"/>
      <c r="H710" s="16"/>
      <c r="I710" s="16"/>
      <c r="J710" s="16"/>
      <c r="K710" s="13"/>
      <c r="L710" s="13"/>
      <c r="M710" s="13"/>
      <c r="N710" s="13"/>
      <c r="O710" s="13"/>
      <c r="P710" s="13"/>
      <c r="Q710" s="13"/>
      <c r="R710" s="13"/>
      <c r="S710" s="13"/>
      <c r="T710" s="13"/>
      <c r="U710" s="13"/>
      <c r="V710" s="13"/>
      <c r="W710" s="13"/>
      <c r="X710" s="13"/>
      <c r="Y710" s="13"/>
      <c r="Z710" s="13"/>
      <c r="AA710" s="13"/>
      <c r="AB710" s="13"/>
    </row>
    <row r="711" spans="1:28" ht="13.2">
      <c r="A711" s="53"/>
      <c r="B711" s="13"/>
      <c r="C711" s="16"/>
      <c r="D711" s="16">
        <f t="shared" si="12"/>
        <v>0</v>
      </c>
      <c r="E711" s="16">
        <f t="shared" si="13"/>
        <v>0</v>
      </c>
      <c r="F711" s="16"/>
      <c r="G711" s="16"/>
      <c r="H711" s="16"/>
      <c r="I711" s="16"/>
      <c r="J711" s="16"/>
      <c r="K711" s="13"/>
      <c r="L711" s="13"/>
      <c r="M711" s="13"/>
      <c r="N711" s="13"/>
      <c r="O711" s="13"/>
      <c r="P711" s="13"/>
      <c r="Q711" s="13"/>
      <c r="R711" s="13"/>
      <c r="S711" s="13"/>
      <c r="T711" s="13"/>
      <c r="U711" s="13"/>
      <c r="V711" s="13"/>
      <c r="W711" s="13"/>
      <c r="X711" s="13"/>
      <c r="Y711" s="13"/>
      <c r="Z711" s="13"/>
      <c r="AA711" s="13"/>
      <c r="AB711" s="13"/>
    </row>
    <row r="712" spans="1:28" ht="13.2">
      <c r="A712" s="53"/>
      <c r="B712" s="13"/>
      <c r="C712" s="16"/>
      <c r="D712" s="16">
        <f t="shared" si="12"/>
        <v>0</v>
      </c>
      <c r="E712" s="16">
        <f t="shared" si="13"/>
        <v>0</v>
      </c>
      <c r="F712" s="16"/>
      <c r="G712" s="16"/>
      <c r="H712" s="16"/>
      <c r="I712" s="16"/>
      <c r="J712" s="16"/>
      <c r="K712" s="13"/>
      <c r="L712" s="13"/>
      <c r="M712" s="13"/>
      <c r="N712" s="13"/>
      <c r="O712" s="13"/>
      <c r="P712" s="13"/>
      <c r="Q712" s="13"/>
      <c r="R712" s="13"/>
      <c r="S712" s="13"/>
      <c r="T712" s="13"/>
      <c r="U712" s="13"/>
      <c r="V712" s="13"/>
      <c r="W712" s="13"/>
      <c r="X712" s="13"/>
      <c r="Y712" s="13"/>
      <c r="Z712" s="13"/>
      <c r="AA712" s="13"/>
      <c r="AB712" s="13"/>
    </row>
    <row r="713" spans="1:28" ht="13.2">
      <c r="A713" s="53"/>
      <c r="B713" s="13"/>
      <c r="C713" s="16"/>
      <c r="D713" s="16">
        <f t="shared" si="12"/>
        <v>0</v>
      </c>
      <c r="E713" s="16">
        <f t="shared" si="13"/>
        <v>0</v>
      </c>
      <c r="F713" s="16"/>
      <c r="G713" s="16"/>
      <c r="H713" s="16"/>
      <c r="I713" s="16"/>
      <c r="J713" s="16"/>
      <c r="K713" s="13"/>
      <c r="L713" s="13"/>
      <c r="M713" s="13"/>
      <c r="N713" s="13"/>
      <c r="O713" s="13"/>
      <c r="P713" s="13"/>
      <c r="Q713" s="13"/>
      <c r="R713" s="13"/>
      <c r="S713" s="13"/>
      <c r="T713" s="13"/>
      <c r="U713" s="13"/>
      <c r="V713" s="13"/>
      <c r="W713" s="13"/>
      <c r="X713" s="13"/>
      <c r="Y713" s="13"/>
      <c r="Z713" s="13"/>
      <c r="AA713" s="13"/>
      <c r="AB713" s="13"/>
    </row>
    <row r="714" spans="1:28" ht="13.2">
      <c r="A714" s="53"/>
      <c r="B714" s="13"/>
      <c r="C714" s="16"/>
      <c r="D714" s="16">
        <f t="shared" si="12"/>
        <v>0</v>
      </c>
      <c r="E714" s="16">
        <f t="shared" si="13"/>
        <v>0</v>
      </c>
      <c r="F714" s="16"/>
      <c r="G714" s="16"/>
      <c r="H714" s="16"/>
      <c r="I714" s="16"/>
      <c r="J714" s="16"/>
      <c r="K714" s="13"/>
      <c r="L714" s="13"/>
      <c r="M714" s="13"/>
      <c r="N714" s="13"/>
      <c r="O714" s="13"/>
      <c r="P714" s="13"/>
      <c r="Q714" s="13"/>
      <c r="R714" s="13"/>
      <c r="S714" s="13"/>
      <c r="T714" s="13"/>
      <c r="U714" s="13"/>
      <c r="V714" s="13"/>
      <c r="W714" s="13"/>
      <c r="X714" s="13"/>
      <c r="Y714" s="13"/>
      <c r="Z714" s="13"/>
      <c r="AA714" s="13"/>
      <c r="AB714" s="13"/>
    </row>
    <row r="715" spans="1:28" ht="13.2">
      <c r="A715" s="53"/>
      <c r="B715" s="13"/>
      <c r="C715" s="16"/>
      <c r="D715" s="16">
        <f t="shared" si="12"/>
        <v>0</v>
      </c>
      <c r="E715" s="16">
        <f t="shared" si="13"/>
        <v>0</v>
      </c>
      <c r="F715" s="16"/>
      <c r="G715" s="16"/>
      <c r="H715" s="16"/>
      <c r="I715" s="16"/>
      <c r="J715" s="16"/>
      <c r="K715" s="13"/>
      <c r="L715" s="13"/>
      <c r="M715" s="13"/>
      <c r="N715" s="13"/>
      <c r="O715" s="13"/>
      <c r="P715" s="13"/>
      <c r="Q715" s="13"/>
      <c r="R715" s="13"/>
      <c r="S715" s="13"/>
      <c r="T715" s="13"/>
      <c r="U715" s="13"/>
      <c r="V715" s="13"/>
      <c r="W715" s="13"/>
      <c r="X715" s="13"/>
      <c r="Y715" s="13"/>
      <c r="Z715" s="13"/>
      <c r="AA715" s="13"/>
      <c r="AB715" s="13"/>
    </row>
    <row r="716" spans="1:28" ht="13.2">
      <c r="A716" s="53"/>
      <c r="B716" s="13"/>
      <c r="C716" s="16"/>
      <c r="D716" s="16">
        <f t="shared" si="12"/>
        <v>0</v>
      </c>
      <c r="E716" s="16">
        <f t="shared" si="13"/>
        <v>0</v>
      </c>
      <c r="F716" s="16"/>
      <c r="G716" s="16"/>
      <c r="H716" s="16"/>
      <c r="I716" s="16"/>
      <c r="J716" s="16"/>
      <c r="K716" s="13"/>
      <c r="L716" s="13"/>
      <c r="M716" s="13"/>
      <c r="N716" s="13"/>
      <c r="O716" s="13"/>
      <c r="P716" s="13"/>
      <c r="Q716" s="13"/>
      <c r="R716" s="13"/>
      <c r="S716" s="13"/>
      <c r="T716" s="13"/>
      <c r="U716" s="13"/>
      <c r="V716" s="13"/>
      <c r="W716" s="13"/>
      <c r="X716" s="13"/>
      <c r="Y716" s="13"/>
      <c r="Z716" s="13"/>
      <c r="AA716" s="13"/>
      <c r="AB716" s="13"/>
    </row>
    <row r="717" spans="1:28" ht="13.2">
      <c r="A717" s="53"/>
      <c r="B717" s="13"/>
      <c r="C717" s="16"/>
      <c r="D717" s="16">
        <f t="shared" si="12"/>
        <v>0</v>
      </c>
      <c r="E717" s="16">
        <f t="shared" si="13"/>
        <v>0</v>
      </c>
      <c r="F717" s="16"/>
      <c r="G717" s="16"/>
      <c r="H717" s="16"/>
      <c r="I717" s="16"/>
      <c r="J717" s="16"/>
      <c r="K717" s="13"/>
      <c r="L717" s="13"/>
      <c r="M717" s="13"/>
      <c r="N717" s="13"/>
      <c r="O717" s="13"/>
      <c r="P717" s="13"/>
      <c r="Q717" s="13"/>
      <c r="R717" s="13"/>
      <c r="S717" s="13"/>
      <c r="T717" s="13"/>
      <c r="U717" s="13"/>
      <c r="V717" s="13"/>
      <c r="W717" s="13"/>
      <c r="X717" s="13"/>
      <c r="Y717" s="13"/>
      <c r="Z717" s="13"/>
      <c r="AA717" s="13"/>
      <c r="AB717" s="13"/>
    </row>
    <row r="718" spans="1:28" ht="13.2">
      <c r="A718" s="53"/>
      <c r="B718" s="13"/>
      <c r="C718" s="16"/>
      <c r="D718" s="16">
        <f t="shared" si="12"/>
        <v>0</v>
      </c>
      <c r="E718" s="16">
        <f t="shared" si="13"/>
        <v>0</v>
      </c>
      <c r="F718" s="16"/>
      <c r="G718" s="16"/>
      <c r="H718" s="16"/>
      <c r="I718" s="16"/>
      <c r="J718" s="16"/>
      <c r="K718" s="13"/>
      <c r="L718" s="13"/>
      <c r="M718" s="13"/>
      <c r="N718" s="13"/>
      <c r="O718" s="13"/>
      <c r="P718" s="13"/>
      <c r="Q718" s="13"/>
      <c r="R718" s="13"/>
      <c r="S718" s="13"/>
      <c r="T718" s="13"/>
      <c r="U718" s="13"/>
      <c r="V718" s="13"/>
      <c r="W718" s="13"/>
      <c r="X718" s="13"/>
      <c r="Y718" s="13"/>
      <c r="Z718" s="13"/>
      <c r="AA718" s="13"/>
      <c r="AB718" s="13"/>
    </row>
    <row r="719" spans="1:28" ht="13.2">
      <c r="A719" s="53"/>
      <c r="B719" s="13"/>
      <c r="C719" s="16"/>
      <c r="D719" s="16">
        <f t="shared" si="12"/>
        <v>0</v>
      </c>
      <c r="E719" s="16">
        <f t="shared" si="13"/>
        <v>0</v>
      </c>
      <c r="F719" s="16"/>
      <c r="G719" s="16"/>
      <c r="H719" s="16"/>
      <c r="I719" s="16"/>
      <c r="J719" s="16"/>
      <c r="K719" s="13"/>
      <c r="L719" s="13"/>
      <c r="M719" s="13"/>
      <c r="N719" s="13"/>
      <c r="O719" s="13"/>
      <c r="P719" s="13"/>
      <c r="Q719" s="13"/>
      <c r="R719" s="13"/>
      <c r="S719" s="13"/>
      <c r="T719" s="13"/>
      <c r="U719" s="13"/>
      <c r="V719" s="13"/>
      <c r="W719" s="13"/>
      <c r="X719" s="13"/>
      <c r="Y719" s="13"/>
      <c r="Z719" s="13"/>
      <c r="AA719" s="13"/>
      <c r="AB719" s="13"/>
    </row>
    <row r="720" spans="1:28" ht="13.2">
      <c r="A720" s="53"/>
      <c r="B720" s="13"/>
      <c r="C720" s="16"/>
      <c r="D720" s="16">
        <f t="shared" si="12"/>
        <v>0</v>
      </c>
      <c r="E720" s="16">
        <f t="shared" si="13"/>
        <v>0</v>
      </c>
      <c r="F720" s="16"/>
      <c r="G720" s="16"/>
      <c r="H720" s="16"/>
      <c r="I720" s="16"/>
      <c r="J720" s="16"/>
      <c r="K720" s="13"/>
      <c r="L720" s="13"/>
      <c r="M720" s="13"/>
      <c r="N720" s="13"/>
      <c r="O720" s="13"/>
      <c r="P720" s="13"/>
      <c r="Q720" s="13"/>
      <c r="R720" s="13"/>
      <c r="S720" s="13"/>
      <c r="T720" s="13"/>
      <c r="U720" s="13"/>
      <c r="V720" s="13"/>
      <c r="W720" s="13"/>
      <c r="X720" s="13"/>
      <c r="Y720" s="13"/>
      <c r="Z720" s="13"/>
      <c r="AA720" s="13"/>
      <c r="AB720" s="13"/>
    </row>
    <row r="721" spans="1:28" ht="13.2">
      <c r="A721" s="53"/>
      <c r="B721" s="13"/>
      <c r="C721" s="16"/>
      <c r="D721" s="16">
        <f t="shared" si="12"/>
        <v>0</v>
      </c>
      <c r="E721" s="16">
        <f t="shared" si="13"/>
        <v>0</v>
      </c>
      <c r="F721" s="16"/>
      <c r="G721" s="16"/>
      <c r="H721" s="16"/>
      <c r="I721" s="16"/>
      <c r="J721" s="16"/>
      <c r="K721" s="13"/>
      <c r="L721" s="13"/>
      <c r="M721" s="13"/>
      <c r="N721" s="13"/>
      <c r="O721" s="13"/>
      <c r="P721" s="13"/>
      <c r="Q721" s="13"/>
      <c r="R721" s="13"/>
      <c r="S721" s="13"/>
      <c r="T721" s="13"/>
      <c r="U721" s="13"/>
      <c r="V721" s="13"/>
      <c r="W721" s="13"/>
      <c r="X721" s="13"/>
      <c r="Y721" s="13"/>
      <c r="Z721" s="13"/>
      <c r="AA721" s="13"/>
      <c r="AB721" s="13"/>
    </row>
    <row r="722" spans="1:28" ht="13.2">
      <c r="A722" s="53"/>
      <c r="B722" s="13"/>
      <c r="C722" s="16"/>
      <c r="D722" s="16">
        <f t="shared" si="12"/>
        <v>0</v>
      </c>
      <c r="E722" s="16">
        <f t="shared" si="13"/>
        <v>0</v>
      </c>
      <c r="F722" s="16"/>
      <c r="G722" s="16"/>
      <c r="H722" s="16"/>
      <c r="I722" s="16"/>
      <c r="J722" s="16"/>
      <c r="K722" s="13"/>
      <c r="L722" s="13"/>
      <c r="M722" s="13"/>
      <c r="N722" s="13"/>
      <c r="O722" s="13"/>
      <c r="P722" s="13"/>
      <c r="Q722" s="13"/>
      <c r="R722" s="13"/>
      <c r="S722" s="13"/>
      <c r="T722" s="13"/>
      <c r="U722" s="13"/>
      <c r="V722" s="13"/>
      <c r="W722" s="13"/>
      <c r="X722" s="13"/>
      <c r="Y722" s="13"/>
      <c r="Z722" s="13"/>
      <c r="AA722" s="13"/>
      <c r="AB722" s="13"/>
    </row>
    <row r="723" spans="1:28" ht="13.2">
      <c r="A723" s="53"/>
      <c r="B723" s="13"/>
      <c r="C723" s="16"/>
      <c r="D723" s="16">
        <f t="shared" si="12"/>
        <v>0</v>
      </c>
      <c r="E723" s="16">
        <f t="shared" si="13"/>
        <v>0</v>
      </c>
      <c r="F723" s="16"/>
      <c r="G723" s="16"/>
      <c r="H723" s="16"/>
      <c r="I723" s="16"/>
      <c r="J723" s="16"/>
      <c r="K723" s="13"/>
      <c r="L723" s="13"/>
      <c r="M723" s="13"/>
      <c r="N723" s="13"/>
      <c r="O723" s="13"/>
      <c r="P723" s="13"/>
      <c r="Q723" s="13"/>
      <c r="R723" s="13"/>
      <c r="S723" s="13"/>
      <c r="T723" s="13"/>
      <c r="U723" s="13"/>
      <c r="V723" s="13"/>
      <c r="W723" s="13"/>
      <c r="X723" s="13"/>
      <c r="Y723" s="13"/>
      <c r="Z723" s="13"/>
      <c r="AA723" s="13"/>
      <c r="AB723" s="13"/>
    </row>
    <row r="724" spans="1:28" ht="13.2">
      <c r="A724" s="53"/>
      <c r="B724" s="13"/>
      <c r="C724" s="16"/>
      <c r="D724" s="16">
        <f t="shared" si="12"/>
        <v>0</v>
      </c>
      <c r="E724" s="16">
        <f t="shared" si="13"/>
        <v>0</v>
      </c>
      <c r="F724" s="16"/>
      <c r="G724" s="16"/>
      <c r="H724" s="16"/>
      <c r="I724" s="16"/>
      <c r="J724" s="16"/>
      <c r="K724" s="13"/>
      <c r="L724" s="13"/>
      <c r="M724" s="13"/>
      <c r="N724" s="13"/>
      <c r="O724" s="13"/>
      <c r="P724" s="13"/>
      <c r="Q724" s="13"/>
      <c r="R724" s="13"/>
      <c r="S724" s="13"/>
      <c r="T724" s="13"/>
      <c r="U724" s="13"/>
      <c r="V724" s="13"/>
      <c r="W724" s="13"/>
      <c r="X724" s="13"/>
      <c r="Y724" s="13"/>
      <c r="Z724" s="13"/>
      <c r="AA724" s="13"/>
      <c r="AB724" s="13"/>
    </row>
    <row r="725" spans="1:28" ht="13.2">
      <c r="A725" s="53"/>
      <c r="B725" s="13"/>
      <c r="C725" s="16"/>
      <c r="D725" s="16">
        <f t="shared" si="12"/>
        <v>0</v>
      </c>
      <c r="E725" s="16">
        <f t="shared" si="13"/>
        <v>0</v>
      </c>
      <c r="F725" s="16"/>
      <c r="G725" s="16"/>
      <c r="H725" s="16"/>
      <c r="I725" s="16"/>
      <c r="J725" s="16"/>
      <c r="K725" s="13"/>
      <c r="L725" s="13"/>
      <c r="M725" s="13"/>
      <c r="N725" s="13"/>
      <c r="O725" s="13"/>
      <c r="P725" s="13"/>
      <c r="Q725" s="13"/>
      <c r="R725" s="13"/>
      <c r="S725" s="13"/>
      <c r="T725" s="13"/>
      <c r="U725" s="13"/>
      <c r="V725" s="13"/>
      <c r="W725" s="13"/>
      <c r="X725" s="13"/>
      <c r="Y725" s="13"/>
      <c r="Z725" s="13"/>
      <c r="AA725" s="13"/>
      <c r="AB725" s="13"/>
    </row>
    <row r="726" spans="1:28" ht="13.2">
      <c r="A726" s="53"/>
      <c r="B726" s="13"/>
      <c r="C726" s="16"/>
      <c r="D726" s="16">
        <f t="shared" si="12"/>
        <v>0</v>
      </c>
      <c r="E726" s="16">
        <f t="shared" si="13"/>
        <v>0</v>
      </c>
      <c r="F726" s="16"/>
      <c r="G726" s="16"/>
      <c r="H726" s="16"/>
      <c r="I726" s="16"/>
      <c r="J726" s="16"/>
      <c r="K726" s="13"/>
      <c r="L726" s="13"/>
      <c r="M726" s="13"/>
      <c r="N726" s="13"/>
      <c r="O726" s="13"/>
      <c r="P726" s="13"/>
      <c r="Q726" s="13"/>
      <c r="R726" s="13"/>
      <c r="S726" s="13"/>
      <c r="T726" s="13"/>
      <c r="U726" s="13"/>
      <c r="V726" s="13"/>
      <c r="W726" s="13"/>
      <c r="X726" s="13"/>
      <c r="Y726" s="13"/>
      <c r="Z726" s="13"/>
      <c r="AA726" s="13"/>
      <c r="AB726" s="13"/>
    </row>
    <row r="727" spans="1:28" ht="13.2">
      <c r="A727" s="53"/>
      <c r="B727" s="13"/>
      <c r="C727" s="16"/>
      <c r="D727" s="16">
        <f t="shared" si="12"/>
        <v>0</v>
      </c>
      <c r="E727" s="16">
        <f t="shared" si="13"/>
        <v>0</v>
      </c>
      <c r="F727" s="16"/>
      <c r="G727" s="16"/>
      <c r="H727" s="16"/>
      <c r="I727" s="16"/>
      <c r="J727" s="16"/>
      <c r="K727" s="13"/>
      <c r="L727" s="13"/>
      <c r="M727" s="13"/>
      <c r="N727" s="13"/>
      <c r="O727" s="13"/>
      <c r="P727" s="13"/>
      <c r="Q727" s="13"/>
      <c r="R727" s="13"/>
      <c r="S727" s="13"/>
      <c r="T727" s="13"/>
      <c r="U727" s="13"/>
      <c r="V727" s="13"/>
      <c r="W727" s="13"/>
      <c r="X727" s="13"/>
      <c r="Y727" s="13"/>
      <c r="Z727" s="13"/>
      <c r="AA727" s="13"/>
      <c r="AB727" s="13"/>
    </row>
    <row r="728" spans="1:28" ht="13.2">
      <c r="A728" s="53"/>
      <c r="B728" s="13"/>
      <c r="C728" s="16"/>
      <c r="D728" s="16">
        <f t="shared" si="12"/>
        <v>0</v>
      </c>
      <c r="E728" s="16">
        <f t="shared" si="13"/>
        <v>0</v>
      </c>
      <c r="F728" s="16"/>
      <c r="G728" s="16"/>
      <c r="H728" s="16"/>
      <c r="I728" s="16"/>
      <c r="J728" s="16"/>
      <c r="K728" s="13"/>
      <c r="L728" s="13"/>
      <c r="M728" s="13"/>
      <c r="N728" s="13"/>
      <c r="O728" s="13"/>
      <c r="P728" s="13"/>
      <c r="Q728" s="13"/>
      <c r="R728" s="13"/>
      <c r="S728" s="13"/>
      <c r="T728" s="13"/>
      <c r="U728" s="13"/>
      <c r="V728" s="13"/>
      <c r="W728" s="13"/>
      <c r="X728" s="13"/>
      <c r="Y728" s="13"/>
      <c r="Z728" s="13"/>
      <c r="AA728" s="13"/>
      <c r="AB728" s="13"/>
    </row>
    <row r="729" spans="1:28" ht="13.2">
      <c r="A729" s="53"/>
      <c r="B729" s="13"/>
      <c r="C729" s="16"/>
      <c r="D729" s="16">
        <f t="shared" si="12"/>
        <v>0</v>
      </c>
      <c r="E729" s="16">
        <f t="shared" si="13"/>
        <v>0</v>
      </c>
      <c r="F729" s="16"/>
      <c r="G729" s="16"/>
      <c r="H729" s="16"/>
      <c r="I729" s="16"/>
      <c r="J729" s="16"/>
      <c r="K729" s="13"/>
      <c r="L729" s="13"/>
      <c r="M729" s="13"/>
      <c r="N729" s="13"/>
      <c r="O729" s="13"/>
      <c r="P729" s="13"/>
      <c r="Q729" s="13"/>
      <c r="R729" s="13"/>
      <c r="S729" s="13"/>
      <c r="T729" s="13"/>
      <c r="U729" s="13"/>
      <c r="V729" s="13"/>
      <c r="W729" s="13"/>
      <c r="X729" s="13"/>
      <c r="Y729" s="13"/>
      <c r="Z729" s="13"/>
      <c r="AA729" s="13"/>
      <c r="AB729" s="13"/>
    </row>
    <row r="730" spans="1:28" ht="13.2">
      <c r="A730" s="53"/>
      <c r="B730" s="13"/>
      <c r="C730" s="16"/>
      <c r="D730" s="16">
        <f t="shared" si="12"/>
        <v>0</v>
      </c>
      <c r="E730" s="16">
        <f t="shared" si="13"/>
        <v>0</v>
      </c>
      <c r="F730" s="16"/>
      <c r="G730" s="16"/>
      <c r="H730" s="16"/>
      <c r="I730" s="16"/>
      <c r="J730" s="16"/>
      <c r="K730" s="13"/>
      <c r="L730" s="13"/>
      <c r="M730" s="13"/>
      <c r="N730" s="13"/>
      <c r="O730" s="13"/>
      <c r="P730" s="13"/>
      <c r="Q730" s="13"/>
      <c r="R730" s="13"/>
      <c r="S730" s="13"/>
      <c r="T730" s="13"/>
      <c r="U730" s="13"/>
      <c r="V730" s="13"/>
      <c r="W730" s="13"/>
      <c r="X730" s="13"/>
      <c r="Y730" s="13"/>
      <c r="Z730" s="13"/>
      <c r="AA730" s="13"/>
      <c r="AB730" s="13"/>
    </row>
    <row r="731" spans="1:28" ht="13.2">
      <c r="A731" s="53"/>
      <c r="B731" s="13"/>
      <c r="C731" s="16"/>
      <c r="D731" s="16">
        <f t="shared" si="12"/>
        <v>0</v>
      </c>
      <c r="E731" s="16">
        <f t="shared" si="13"/>
        <v>0</v>
      </c>
      <c r="F731" s="16"/>
      <c r="G731" s="16"/>
      <c r="H731" s="16"/>
      <c r="I731" s="16"/>
      <c r="J731" s="16"/>
      <c r="K731" s="13"/>
      <c r="L731" s="13"/>
      <c r="M731" s="13"/>
      <c r="N731" s="13"/>
      <c r="O731" s="13"/>
      <c r="P731" s="13"/>
      <c r="Q731" s="13"/>
      <c r="R731" s="13"/>
      <c r="S731" s="13"/>
      <c r="T731" s="13"/>
      <c r="U731" s="13"/>
      <c r="V731" s="13"/>
      <c r="W731" s="13"/>
      <c r="X731" s="13"/>
      <c r="Y731" s="13"/>
      <c r="Z731" s="13"/>
      <c r="AA731" s="13"/>
      <c r="AB731" s="13"/>
    </row>
    <row r="732" spans="1:28" ht="13.2">
      <c r="A732" s="53"/>
      <c r="B732" s="13"/>
      <c r="C732" s="16"/>
      <c r="D732" s="16">
        <f t="shared" si="12"/>
        <v>0</v>
      </c>
      <c r="E732" s="16">
        <f t="shared" si="13"/>
        <v>0</v>
      </c>
      <c r="F732" s="16"/>
      <c r="G732" s="16"/>
      <c r="H732" s="16"/>
      <c r="I732" s="16"/>
      <c r="J732" s="16"/>
      <c r="K732" s="13"/>
      <c r="L732" s="13"/>
      <c r="M732" s="13"/>
      <c r="N732" s="13"/>
      <c r="O732" s="13"/>
      <c r="P732" s="13"/>
      <c r="Q732" s="13"/>
      <c r="R732" s="13"/>
      <c r="S732" s="13"/>
      <c r="T732" s="13"/>
      <c r="U732" s="13"/>
      <c r="V732" s="13"/>
      <c r="W732" s="13"/>
      <c r="X732" s="13"/>
      <c r="Y732" s="13"/>
      <c r="Z732" s="13"/>
      <c r="AA732" s="13"/>
      <c r="AB732" s="13"/>
    </row>
    <row r="733" spans="1:28" ht="13.2">
      <c r="A733" s="53"/>
      <c r="B733" s="13"/>
      <c r="C733" s="16"/>
      <c r="D733" s="16">
        <f t="shared" si="12"/>
        <v>0</v>
      </c>
      <c r="E733" s="16">
        <f t="shared" si="13"/>
        <v>0</v>
      </c>
      <c r="F733" s="16"/>
      <c r="G733" s="16"/>
      <c r="H733" s="16"/>
      <c r="I733" s="16"/>
      <c r="J733" s="16"/>
      <c r="K733" s="13"/>
      <c r="L733" s="13"/>
      <c r="M733" s="13"/>
      <c r="N733" s="13"/>
      <c r="O733" s="13"/>
      <c r="P733" s="13"/>
      <c r="Q733" s="13"/>
      <c r="R733" s="13"/>
      <c r="S733" s="13"/>
      <c r="T733" s="13"/>
      <c r="U733" s="13"/>
      <c r="V733" s="13"/>
      <c r="W733" s="13"/>
      <c r="X733" s="13"/>
      <c r="Y733" s="13"/>
      <c r="Z733" s="13"/>
      <c r="AA733" s="13"/>
      <c r="AB733" s="13"/>
    </row>
    <row r="734" spans="1:28" ht="13.2">
      <c r="A734" s="53"/>
      <c r="B734" s="13"/>
      <c r="C734" s="16"/>
      <c r="D734" s="16">
        <f t="shared" si="12"/>
        <v>0</v>
      </c>
      <c r="E734" s="16">
        <f t="shared" si="13"/>
        <v>0</v>
      </c>
      <c r="F734" s="16"/>
      <c r="G734" s="16"/>
      <c r="H734" s="16"/>
      <c r="I734" s="16"/>
      <c r="J734" s="16"/>
      <c r="K734" s="13"/>
      <c r="L734" s="13"/>
      <c r="M734" s="13"/>
      <c r="N734" s="13"/>
      <c r="O734" s="13"/>
      <c r="P734" s="13"/>
      <c r="Q734" s="13"/>
      <c r="R734" s="13"/>
      <c r="S734" s="13"/>
      <c r="T734" s="13"/>
      <c r="U734" s="13"/>
      <c r="V734" s="13"/>
      <c r="W734" s="13"/>
      <c r="X734" s="13"/>
      <c r="Y734" s="13"/>
      <c r="Z734" s="13"/>
      <c r="AA734" s="13"/>
      <c r="AB734" s="13"/>
    </row>
    <row r="735" spans="1:28" ht="13.2">
      <c r="A735" s="53"/>
      <c r="B735" s="13"/>
      <c r="C735" s="16"/>
      <c r="D735" s="16">
        <f t="shared" si="12"/>
        <v>0</v>
      </c>
      <c r="E735" s="16">
        <f t="shared" si="13"/>
        <v>0</v>
      </c>
      <c r="F735" s="16"/>
      <c r="G735" s="16"/>
      <c r="H735" s="16"/>
      <c r="I735" s="16"/>
      <c r="J735" s="16"/>
      <c r="K735" s="13"/>
      <c r="L735" s="13"/>
      <c r="M735" s="13"/>
      <c r="N735" s="13"/>
      <c r="O735" s="13"/>
      <c r="P735" s="13"/>
      <c r="Q735" s="13"/>
      <c r="R735" s="13"/>
      <c r="S735" s="13"/>
      <c r="T735" s="13"/>
      <c r="U735" s="13"/>
      <c r="V735" s="13"/>
      <c r="W735" s="13"/>
      <c r="X735" s="13"/>
      <c r="Y735" s="13"/>
      <c r="Z735" s="13"/>
      <c r="AA735" s="13"/>
      <c r="AB735" s="13"/>
    </row>
    <row r="736" spans="1:28" ht="13.2">
      <c r="A736" s="53"/>
      <c r="B736" s="13"/>
      <c r="C736" s="16"/>
      <c r="D736" s="16">
        <f t="shared" si="12"/>
        <v>0</v>
      </c>
      <c r="E736" s="16">
        <f t="shared" si="13"/>
        <v>0</v>
      </c>
      <c r="F736" s="16"/>
      <c r="G736" s="16"/>
      <c r="H736" s="16"/>
      <c r="I736" s="16"/>
      <c r="J736" s="16"/>
      <c r="K736" s="13"/>
      <c r="L736" s="13"/>
      <c r="M736" s="13"/>
      <c r="N736" s="13"/>
      <c r="O736" s="13"/>
      <c r="P736" s="13"/>
      <c r="Q736" s="13"/>
      <c r="R736" s="13"/>
      <c r="S736" s="13"/>
      <c r="T736" s="13"/>
      <c r="U736" s="13"/>
      <c r="V736" s="13"/>
      <c r="W736" s="13"/>
      <c r="X736" s="13"/>
      <c r="Y736" s="13"/>
      <c r="Z736" s="13"/>
      <c r="AA736" s="13"/>
      <c r="AB736" s="13"/>
    </row>
    <row r="737" spans="1:28" ht="13.2">
      <c r="A737" s="53"/>
      <c r="B737" s="13"/>
      <c r="C737" s="16"/>
      <c r="D737" s="16">
        <f t="shared" si="12"/>
        <v>0</v>
      </c>
      <c r="E737" s="16">
        <f t="shared" si="13"/>
        <v>0</v>
      </c>
      <c r="F737" s="16"/>
      <c r="G737" s="16"/>
      <c r="H737" s="16"/>
      <c r="I737" s="16"/>
      <c r="J737" s="16"/>
      <c r="K737" s="13"/>
      <c r="L737" s="13"/>
      <c r="M737" s="13"/>
      <c r="N737" s="13"/>
      <c r="O737" s="13"/>
      <c r="P737" s="13"/>
      <c r="Q737" s="13"/>
      <c r="R737" s="13"/>
      <c r="S737" s="13"/>
      <c r="T737" s="13"/>
      <c r="U737" s="13"/>
      <c r="V737" s="13"/>
      <c r="W737" s="13"/>
      <c r="X737" s="13"/>
      <c r="Y737" s="13"/>
      <c r="Z737" s="13"/>
      <c r="AA737" s="13"/>
      <c r="AB737" s="13"/>
    </row>
    <row r="738" spans="1:28" ht="13.2">
      <c r="A738" s="53"/>
      <c r="B738" s="13"/>
      <c r="C738" s="16"/>
      <c r="D738" s="16">
        <f t="shared" si="12"/>
        <v>0</v>
      </c>
      <c r="E738" s="16">
        <f t="shared" si="13"/>
        <v>0</v>
      </c>
      <c r="F738" s="16"/>
      <c r="G738" s="16"/>
      <c r="H738" s="16"/>
      <c r="I738" s="16"/>
      <c r="J738" s="16"/>
      <c r="K738" s="13"/>
      <c r="L738" s="13"/>
      <c r="M738" s="13"/>
      <c r="N738" s="13"/>
      <c r="O738" s="13"/>
      <c r="P738" s="13"/>
      <c r="Q738" s="13"/>
      <c r="R738" s="13"/>
      <c r="S738" s="13"/>
      <c r="T738" s="13"/>
      <c r="U738" s="13"/>
      <c r="V738" s="13"/>
      <c r="W738" s="13"/>
      <c r="X738" s="13"/>
      <c r="Y738" s="13"/>
      <c r="Z738" s="13"/>
      <c r="AA738" s="13"/>
      <c r="AB738" s="13"/>
    </row>
    <row r="739" spans="1:28" ht="13.2">
      <c r="A739" s="53"/>
      <c r="B739" s="13"/>
      <c r="C739" s="16"/>
      <c r="D739" s="16">
        <f t="shared" si="12"/>
        <v>0</v>
      </c>
      <c r="E739" s="16">
        <f t="shared" si="13"/>
        <v>0</v>
      </c>
      <c r="F739" s="16"/>
      <c r="G739" s="16"/>
      <c r="H739" s="16"/>
      <c r="I739" s="16"/>
      <c r="J739" s="16"/>
      <c r="K739" s="13"/>
      <c r="L739" s="13"/>
      <c r="M739" s="13"/>
      <c r="N739" s="13"/>
      <c r="O739" s="13"/>
      <c r="P739" s="13"/>
      <c r="Q739" s="13"/>
      <c r="R739" s="13"/>
      <c r="S739" s="13"/>
      <c r="T739" s="13"/>
      <c r="U739" s="13"/>
      <c r="V739" s="13"/>
      <c r="W739" s="13"/>
      <c r="X739" s="13"/>
      <c r="Y739" s="13"/>
      <c r="Z739" s="13"/>
      <c r="AA739" s="13"/>
      <c r="AB739" s="13"/>
    </row>
    <row r="740" spans="1:28" ht="13.2">
      <c r="A740" s="53"/>
      <c r="B740" s="13"/>
      <c r="C740" s="16"/>
      <c r="D740" s="16">
        <f t="shared" si="12"/>
        <v>0</v>
      </c>
      <c r="E740" s="16">
        <f t="shared" si="13"/>
        <v>0</v>
      </c>
      <c r="F740" s="16"/>
      <c r="G740" s="16"/>
      <c r="H740" s="16"/>
      <c r="I740" s="16"/>
      <c r="J740" s="16"/>
      <c r="K740" s="13"/>
      <c r="L740" s="13"/>
      <c r="M740" s="13"/>
      <c r="N740" s="13"/>
      <c r="O740" s="13"/>
      <c r="P740" s="13"/>
      <c r="Q740" s="13"/>
      <c r="R740" s="13"/>
      <c r="S740" s="13"/>
      <c r="T740" s="13"/>
      <c r="U740" s="13"/>
      <c r="V740" s="13"/>
      <c r="W740" s="13"/>
      <c r="X740" s="13"/>
      <c r="Y740" s="13"/>
      <c r="Z740" s="13"/>
      <c r="AA740" s="13"/>
      <c r="AB740" s="13"/>
    </row>
    <row r="741" spans="1:28" ht="13.2">
      <c r="A741" s="53"/>
      <c r="B741" s="13"/>
      <c r="C741" s="16"/>
      <c r="D741" s="16">
        <f t="shared" si="12"/>
        <v>0</v>
      </c>
      <c r="E741" s="16">
        <f t="shared" si="13"/>
        <v>0</v>
      </c>
      <c r="F741" s="16"/>
      <c r="G741" s="16"/>
      <c r="H741" s="16"/>
      <c r="I741" s="16"/>
      <c r="J741" s="16"/>
      <c r="K741" s="13"/>
      <c r="L741" s="13"/>
      <c r="M741" s="13"/>
      <c r="N741" s="13"/>
      <c r="O741" s="13"/>
      <c r="P741" s="13"/>
      <c r="Q741" s="13"/>
      <c r="R741" s="13"/>
      <c r="S741" s="13"/>
      <c r="T741" s="13"/>
      <c r="U741" s="13"/>
      <c r="V741" s="13"/>
      <c r="W741" s="13"/>
      <c r="X741" s="13"/>
      <c r="Y741" s="13"/>
      <c r="Z741" s="13"/>
      <c r="AA741" s="13"/>
      <c r="AB741" s="13"/>
    </row>
    <row r="742" spans="1:28" ht="13.2">
      <c r="A742" s="53"/>
      <c r="B742" s="13"/>
      <c r="C742" s="16"/>
      <c r="D742" s="16">
        <f t="shared" si="12"/>
        <v>0</v>
      </c>
      <c r="E742" s="16">
        <f t="shared" si="13"/>
        <v>0</v>
      </c>
      <c r="F742" s="16"/>
      <c r="G742" s="16"/>
      <c r="H742" s="16"/>
      <c r="I742" s="16"/>
      <c r="J742" s="16"/>
      <c r="K742" s="13"/>
      <c r="L742" s="13"/>
      <c r="M742" s="13"/>
      <c r="N742" s="13"/>
      <c r="O742" s="13"/>
      <c r="P742" s="13"/>
      <c r="Q742" s="13"/>
      <c r="R742" s="13"/>
      <c r="S742" s="13"/>
      <c r="T742" s="13"/>
      <c r="U742" s="13"/>
      <c r="V742" s="13"/>
      <c r="W742" s="13"/>
      <c r="X742" s="13"/>
      <c r="Y742" s="13"/>
      <c r="Z742" s="13"/>
      <c r="AA742" s="13"/>
      <c r="AB742" s="13"/>
    </row>
    <row r="743" spans="1:28" ht="13.2">
      <c r="A743" s="53"/>
      <c r="B743" s="13"/>
      <c r="C743" s="16"/>
      <c r="D743" s="16">
        <f t="shared" si="12"/>
        <v>0</v>
      </c>
      <c r="E743" s="16">
        <f t="shared" si="13"/>
        <v>0</v>
      </c>
      <c r="F743" s="16"/>
      <c r="G743" s="16"/>
      <c r="H743" s="16"/>
      <c r="I743" s="16"/>
      <c r="J743" s="16"/>
      <c r="K743" s="13"/>
      <c r="L743" s="13"/>
      <c r="M743" s="13"/>
      <c r="N743" s="13"/>
      <c r="O743" s="13"/>
      <c r="P743" s="13"/>
      <c r="Q743" s="13"/>
      <c r="R743" s="13"/>
      <c r="S743" s="13"/>
      <c r="T743" s="13"/>
      <c r="U743" s="13"/>
      <c r="V743" s="13"/>
      <c r="W743" s="13"/>
      <c r="X743" s="13"/>
      <c r="Y743" s="13"/>
      <c r="Z743" s="13"/>
      <c r="AA743" s="13"/>
      <c r="AB743" s="13"/>
    </row>
    <row r="744" spans="1:28" ht="13.2">
      <c r="A744" s="53"/>
      <c r="B744" s="13"/>
      <c r="C744" s="16"/>
      <c r="D744" s="16">
        <f t="shared" si="12"/>
        <v>0</v>
      </c>
      <c r="E744" s="16">
        <f t="shared" si="13"/>
        <v>0</v>
      </c>
      <c r="F744" s="16"/>
      <c r="G744" s="16"/>
      <c r="H744" s="16"/>
      <c r="I744" s="16"/>
      <c r="J744" s="16"/>
      <c r="K744" s="13"/>
      <c r="L744" s="13"/>
      <c r="M744" s="13"/>
      <c r="N744" s="13"/>
      <c r="O744" s="13"/>
      <c r="P744" s="13"/>
      <c r="Q744" s="13"/>
      <c r="R744" s="13"/>
      <c r="S744" s="13"/>
      <c r="T744" s="13"/>
      <c r="U744" s="13"/>
      <c r="V744" s="13"/>
      <c r="W744" s="13"/>
      <c r="X744" s="13"/>
      <c r="Y744" s="13"/>
      <c r="Z744" s="13"/>
      <c r="AA744" s="13"/>
      <c r="AB744" s="13"/>
    </row>
    <row r="745" spans="1:28" ht="13.2">
      <c r="A745" s="53"/>
      <c r="B745" s="13"/>
      <c r="C745" s="16"/>
      <c r="D745" s="16">
        <f t="shared" si="12"/>
        <v>0</v>
      </c>
      <c r="E745" s="16">
        <f t="shared" si="13"/>
        <v>0</v>
      </c>
      <c r="F745" s="16"/>
      <c r="G745" s="16"/>
      <c r="H745" s="16"/>
      <c r="I745" s="16"/>
      <c r="J745" s="16"/>
      <c r="K745" s="13"/>
      <c r="L745" s="13"/>
      <c r="M745" s="13"/>
      <c r="N745" s="13"/>
      <c r="O745" s="13"/>
      <c r="P745" s="13"/>
      <c r="Q745" s="13"/>
      <c r="R745" s="13"/>
      <c r="S745" s="13"/>
      <c r="T745" s="13"/>
      <c r="U745" s="13"/>
      <c r="V745" s="13"/>
      <c r="W745" s="13"/>
      <c r="X745" s="13"/>
      <c r="Y745" s="13"/>
      <c r="Z745" s="13"/>
      <c r="AA745" s="13"/>
      <c r="AB745" s="13"/>
    </row>
    <row r="746" spans="1:28" ht="13.2">
      <c r="A746" s="53"/>
      <c r="B746" s="13"/>
      <c r="C746" s="16"/>
      <c r="D746" s="16">
        <f t="shared" si="12"/>
        <v>0</v>
      </c>
      <c r="E746" s="16">
        <f t="shared" si="13"/>
        <v>0</v>
      </c>
      <c r="F746" s="16"/>
      <c r="G746" s="16"/>
      <c r="H746" s="16"/>
      <c r="I746" s="16"/>
      <c r="J746" s="16"/>
      <c r="K746" s="13"/>
      <c r="L746" s="13"/>
      <c r="M746" s="13"/>
      <c r="N746" s="13"/>
      <c r="O746" s="13"/>
      <c r="P746" s="13"/>
      <c r="Q746" s="13"/>
      <c r="R746" s="13"/>
      <c r="S746" s="13"/>
      <c r="T746" s="13"/>
      <c r="U746" s="13"/>
      <c r="V746" s="13"/>
      <c r="W746" s="13"/>
      <c r="X746" s="13"/>
      <c r="Y746" s="13"/>
      <c r="Z746" s="13"/>
      <c r="AA746" s="13"/>
      <c r="AB746" s="13"/>
    </row>
    <row r="747" spans="1:28" ht="13.2">
      <c r="A747" s="53"/>
      <c r="B747" s="13"/>
      <c r="C747" s="16"/>
      <c r="D747" s="16">
        <f t="shared" si="12"/>
        <v>0</v>
      </c>
      <c r="E747" s="16">
        <f t="shared" si="13"/>
        <v>0</v>
      </c>
      <c r="F747" s="16"/>
      <c r="G747" s="16"/>
      <c r="H747" s="16"/>
      <c r="I747" s="16"/>
      <c r="J747" s="16"/>
      <c r="K747" s="13"/>
      <c r="L747" s="13"/>
      <c r="M747" s="13"/>
      <c r="N747" s="13"/>
      <c r="O747" s="13"/>
      <c r="P747" s="13"/>
      <c r="Q747" s="13"/>
      <c r="R747" s="13"/>
      <c r="S747" s="13"/>
      <c r="T747" s="13"/>
      <c r="U747" s="13"/>
      <c r="V747" s="13"/>
      <c r="W747" s="13"/>
      <c r="X747" s="13"/>
      <c r="Y747" s="13"/>
      <c r="Z747" s="13"/>
      <c r="AA747" s="13"/>
      <c r="AB747" s="13"/>
    </row>
    <row r="748" spans="1:28" ht="13.2">
      <c r="A748" s="53"/>
      <c r="B748" s="13"/>
      <c r="C748" s="16"/>
      <c r="D748" s="16">
        <f t="shared" si="12"/>
        <v>0</v>
      </c>
      <c r="E748" s="16">
        <f t="shared" si="13"/>
        <v>0</v>
      </c>
      <c r="F748" s="16"/>
      <c r="G748" s="16"/>
      <c r="H748" s="16"/>
      <c r="I748" s="16"/>
      <c r="J748" s="16"/>
      <c r="K748" s="13"/>
      <c r="L748" s="13"/>
      <c r="M748" s="13"/>
      <c r="N748" s="13"/>
      <c r="O748" s="13"/>
      <c r="P748" s="13"/>
      <c r="Q748" s="13"/>
      <c r="R748" s="13"/>
      <c r="S748" s="13"/>
      <c r="T748" s="13"/>
      <c r="U748" s="13"/>
      <c r="V748" s="13"/>
      <c r="W748" s="13"/>
      <c r="X748" s="13"/>
      <c r="Y748" s="13"/>
      <c r="Z748" s="13"/>
      <c r="AA748" s="13"/>
      <c r="AB748" s="13"/>
    </row>
    <row r="749" spans="1:28" ht="13.2">
      <c r="A749" s="53"/>
      <c r="B749" s="13"/>
      <c r="C749" s="16"/>
      <c r="D749" s="16">
        <f t="shared" si="12"/>
        <v>0</v>
      </c>
      <c r="E749" s="16">
        <f t="shared" si="13"/>
        <v>0</v>
      </c>
      <c r="F749" s="16"/>
      <c r="G749" s="16"/>
      <c r="H749" s="16"/>
      <c r="I749" s="16"/>
      <c r="J749" s="16"/>
      <c r="K749" s="13"/>
      <c r="L749" s="13"/>
      <c r="M749" s="13"/>
      <c r="N749" s="13"/>
      <c r="O749" s="13"/>
      <c r="P749" s="13"/>
      <c r="Q749" s="13"/>
      <c r="R749" s="13"/>
      <c r="S749" s="13"/>
      <c r="T749" s="13"/>
      <c r="U749" s="13"/>
      <c r="V749" s="13"/>
      <c r="W749" s="13"/>
      <c r="X749" s="13"/>
      <c r="Y749" s="13"/>
      <c r="Z749" s="13"/>
      <c r="AA749" s="13"/>
      <c r="AB749" s="13"/>
    </row>
    <row r="750" spans="1:28" ht="13.2">
      <c r="A750" s="53"/>
      <c r="B750" s="13"/>
      <c r="C750" s="16"/>
      <c r="D750" s="16">
        <f t="shared" si="12"/>
        <v>0</v>
      </c>
      <c r="E750" s="16">
        <f t="shared" si="13"/>
        <v>0</v>
      </c>
      <c r="F750" s="16"/>
      <c r="G750" s="16"/>
      <c r="H750" s="16"/>
      <c r="I750" s="16"/>
      <c r="J750" s="16"/>
      <c r="K750" s="13"/>
      <c r="L750" s="13"/>
      <c r="M750" s="13"/>
      <c r="N750" s="13"/>
      <c r="O750" s="13"/>
      <c r="P750" s="13"/>
      <c r="Q750" s="13"/>
      <c r="R750" s="13"/>
      <c r="S750" s="13"/>
      <c r="T750" s="13"/>
      <c r="U750" s="13"/>
      <c r="V750" s="13"/>
      <c r="W750" s="13"/>
      <c r="X750" s="13"/>
      <c r="Y750" s="13"/>
      <c r="Z750" s="13"/>
      <c r="AA750" s="13"/>
      <c r="AB750" s="13"/>
    </row>
    <row r="751" spans="1:28" ht="13.2">
      <c r="A751" s="53"/>
      <c r="B751" s="13"/>
      <c r="C751" s="16"/>
      <c r="D751" s="16">
        <f t="shared" si="12"/>
        <v>0</v>
      </c>
      <c r="E751" s="16">
        <f t="shared" si="13"/>
        <v>0</v>
      </c>
      <c r="F751" s="16"/>
      <c r="G751" s="16"/>
      <c r="H751" s="16"/>
      <c r="I751" s="16"/>
      <c r="J751" s="16"/>
      <c r="K751" s="13"/>
      <c r="L751" s="13"/>
      <c r="M751" s="13"/>
      <c r="N751" s="13"/>
      <c r="O751" s="13"/>
      <c r="P751" s="13"/>
      <c r="Q751" s="13"/>
      <c r="R751" s="13"/>
      <c r="S751" s="13"/>
      <c r="T751" s="13"/>
      <c r="U751" s="13"/>
      <c r="V751" s="13"/>
      <c r="W751" s="13"/>
      <c r="X751" s="13"/>
      <c r="Y751" s="13"/>
      <c r="Z751" s="13"/>
      <c r="AA751" s="13"/>
      <c r="AB751" s="13"/>
    </row>
    <row r="752" spans="1:28" ht="13.2">
      <c r="A752" s="53"/>
      <c r="B752" s="13"/>
      <c r="C752" s="16"/>
      <c r="D752" s="16">
        <f t="shared" si="12"/>
        <v>0</v>
      </c>
      <c r="E752" s="16">
        <f t="shared" si="13"/>
        <v>0</v>
      </c>
      <c r="F752" s="16"/>
      <c r="G752" s="16"/>
      <c r="H752" s="16"/>
      <c r="I752" s="16"/>
      <c r="J752" s="16"/>
      <c r="K752" s="13"/>
      <c r="L752" s="13"/>
      <c r="M752" s="13"/>
      <c r="N752" s="13"/>
      <c r="O752" s="13"/>
      <c r="P752" s="13"/>
      <c r="Q752" s="13"/>
      <c r="R752" s="13"/>
      <c r="S752" s="13"/>
      <c r="T752" s="13"/>
      <c r="U752" s="13"/>
      <c r="V752" s="13"/>
      <c r="W752" s="13"/>
      <c r="X752" s="13"/>
      <c r="Y752" s="13"/>
      <c r="Z752" s="13"/>
      <c r="AA752" s="13"/>
      <c r="AB752" s="13"/>
    </row>
    <row r="753" spans="1:28" ht="13.2">
      <c r="A753" s="53"/>
      <c r="B753" s="13"/>
      <c r="C753" s="16"/>
      <c r="D753" s="16">
        <f t="shared" si="12"/>
        <v>0</v>
      </c>
      <c r="E753" s="16">
        <f t="shared" si="13"/>
        <v>0</v>
      </c>
      <c r="F753" s="16"/>
      <c r="G753" s="16"/>
      <c r="H753" s="16"/>
      <c r="I753" s="16"/>
      <c r="J753" s="16"/>
      <c r="K753" s="13"/>
      <c r="L753" s="13"/>
      <c r="M753" s="13"/>
      <c r="N753" s="13"/>
      <c r="O753" s="13"/>
      <c r="P753" s="13"/>
      <c r="Q753" s="13"/>
      <c r="R753" s="13"/>
      <c r="S753" s="13"/>
      <c r="T753" s="13"/>
      <c r="U753" s="13"/>
      <c r="V753" s="13"/>
      <c r="W753" s="13"/>
      <c r="X753" s="13"/>
      <c r="Y753" s="13"/>
      <c r="Z753" s="13"/>
      <c r="AA753" s="13"/>
      <c r="AB753" s="13"/>
    </row>
    <row r="754" spans="1:28" ht="13.2">
      <c r="A754" s="53"/>
      <c r="B754" s="13"/>
      <c r="C754" s="16"/>
      <c r="D754" s="16">
        <f t="shared" si="12"/>
        <v>0</v>
      </c>
      <c r="E754" s="16">
        <f t="shared" si="13"/>
        <v>0</v>
      </c>
      <c r="F754" s="16"/>
      <c r="G754" s="16"/>
      <c r="H754" s="16"/>
      <c r="I754" s="16"/>
      <c r="J754" s="16"/>
      <c r="K754" s="13"/>
      <c r="L754" s="13"/>
      <c r="M754" s="13"/>
      <c r="N754" s="13"/>
      <c r="O754" s="13"/>
      <c r="P754" s="13"/>
      <c r="Q754" s="13"/>
      <c r="R754" s="13"/>
      <c r="S754" s="13"/>
      <c r="T754" s="13"/>
      <c r="U754" s="13"/>
      <c r="V754" s="13"/>
      <c r="W754" s="13"/>
      <c r="X754" s="13"/>
      <c r="Y754" s="13"/>
      <c r="Z754" s="13"/>
      <c r="AA754" s="13"/>
      <c r="AB754" s="13"/>
    </row>
    <row r="755" spans="1:28" ht="13.2">
      <c r="A755" s="53"/>
      <c r="B755" s="13"/>
      <c r="C755" s="16"/>
      <c r="D755" s="16">
        <f t="shared" si="12"/>
        <v>0</v>
      </c>
      <c r="E755" s="16">
        <f t="shared" si="13"/>
        <v>0</v>
      </c>
      <c r="F755" s="16"/>
      <c r="G755" s="16"/>
      <c r="H755" s="16"/>
      <c r="I755" s="16"/>
      <c r="J755" s="16"/>
      <c r="K755" s="13"/>
      <c r="L755" s="13"/>
      <c r="M755" s="13"/>
      <c r="N755" s="13"/>
      <c r="O755" s="13"/>
      <c r="P755" s="13"/>
      <c r="Q755" s="13"/>
      <c r="R755" s="13"/>
      <c r="S755" s="13"/>
      <c r="T755" s="13"/>
      <c r="U755" s="13"/>
      <c r="V755" s="13"/>
      <c r="W755" s="13"/>
      <c r="X755" s="13"/>
      <c r="Y755" s="13"/>
      <c r="Z755" s="13"/>
      <c r="AA755" s="13"/>
      <c r="AB755" s="13"/>
    </row>
    <row r="756" spans="1:28" ht="13.2">
      <c r="A756" s="53"/>
      <c r="B756" s="13"/>
      <c r="C756" s="16"/>
      <c r="D756" s="16">
        <f t="shared" si="12"/>
        <v>0</v>
      </c>
      <c r="E756" s="16">
        <f t="shared" si="13"/>
        <v>0</v>
      </c>
      <c r="F756" s="16"/>
      <c r="G756" s="16"/>
      <c r="H756" s="16"/>
      <c r="I756" s="16"/>
      <c r="J756" s="16"/>
      <c r="K756" s="13"/>
      <c r="L756" s="13"/>
      <c r="M756" s="13"/>
      <c r="N756" s="13"/>
      <c r="O756" s="13"/>
      <c r="P756" s="13"/>
      <c r="Q756" s="13"/>
      <c r="R756" s="13"/>
      <c r="S756" s="13"/>
      <c r="T756" s="13"/>
      <c r="U756" s="13"/>
      <c r="V756" s="13"/>
      <c r="W756" s="13"/>
      <c r="X756" s="13"/>
      <c r="Y756" s="13"/>
      <c r="Z756" s="13"/>
      <c r="AA756" s="13"/>
      <c r="AB756" s="13"/>
    </row>
    <row r="757" spans="1:28" ht="13.2">
      <c r="A757" s="53"/>
      <c r="B757" s="13"/>
      <c r="C757" s="16"/>
      <c r="D757" s="16">
        <f t="shared" si="12"/>
        <v>0</v>
      </c>
      <c r="E757" s="16">
        <f t="shared" si="13"/>
        <v>0</v>
      </c>
      <c r="F757" s="16"/>
      <c r="G757" s="16"/>
      <c r="H757" s="16"/>
      <c r="I757" s="16"/>
      <c r="J757" s="16"/>
      <c r="K757" s="13"/>
      <c r="L757" s="13"/>
      <c r="M757" s="13"/>
      <c r="N757" s="13"/>
      <c r="O757" s="13"/>
      <c r="P757" s="13"/>
      <c r="Q757" s="13"/>
      <c r="R757" s="13"/>
      <c r="S757" s="13"/>
      <c r="T757" s="13"/>
      <c r="U757" s="13"/>
      <c r="V757" s="13"/>
      <c r="W757" s="13"/>
      <c r="X757" s="13"/>
      <c r="Y757" s="13"/>
      <c r="Z757" s="13"/>
      <c r="AA757" s="13"/>
      <c r="AB757" s="13"/>
    </row>
    <row r="758" spans="1:28" ht="13.2">
      <c r="A758" s="53"/>
      <c r="B758" s="13"/>
      <c r="C758" s="16"/>
      <c r="D758" s="16">
        <f t="shared" si="12"/>
        <v>0</v>
      </c>
      <c r="E758" s="16">
        <f t="shared" si="13"/>
        <v>0</v>
      </c>
      <c r="F758" s="16"/>
      <c r="G758" s="16"/>
      <c r="H758" s="16"/>
      <c r="I758" s="16"/>
      <c r="J758" s="16"/>
      <c r="K758" s="13"/>
      <c r="L758" s="13"/>
      <c r="M758" s="13"/>
      <c r="N758" s="13"/>
      <c r="O758" s="13"/>
      <c r="P758" s="13"/>
      <c r="Q758" s="13"/>
      <c r="R758" s="13"/>
      <c r="S758" s="13"/>
      <c r="T758" s="13"/>
      <c r="U758" s="13"/>
      <c r="V758" s="13"/>
      <c r="W758" s="13"/>
      <c r="X758" s="13"/>
      <c r="Y758" s="13"/>
      <c r="Z758" s="13"/>
      <c r="AA758" s="13"/>
      <c r="AB758" s="13"/>
    </row>
    <row r="759" spans="1:28" ht="13.2">
      <c r="A759" s="53"/>
      <c r="B759" s="13"/>
      <c r="C759" s="16"/>
      <c r="D759" s="16">
        <f t="shared" si="12"/>
        <v>0</v>
      </c>
      <c r="E759" s="16">
        <f t="shared" si="13"/>
        <v>0</v>
      </c>
      <c r="F759" s="16"/>
      <c r="G759" s="16"/>
      <c r="H759" s="16"/>
      <c r="I759" s="16"/>
      <c r="J759" s="16"/>
      <c r="K759" s="13"/>
      <c r="L759" s="13"/>
      <c r="M759" s="13"/>
      <c r="N759" s="13"/>
      <c r="O759" s="13"/>
      <c r="P759" s="13"/>
      <c r="Q759" s="13"/>
      <c r="R759" s="13"/>
      <c r="S759" s="13"/>
      <c r="T759" s="13"/>
      <c r="U759" s="13"/>
      <c r="V759" s="13"/>
      <c r="W759" s="13"/>
      <c r="X759" s="13"/>
      <c r="Y759" s="13"/>
      <c r="Z759" s="13"/>
      <c r="AA759" s="13"/>
      <c r="AB759" s="13"/>
    </row>
    <row r="760" spans="1:28" ht="13.2">
      <c r="A760" s="53"/>
      <c r="B760" s="13"/>
      <c r="C760" s="16"/>
      <c r="D760" s="16">
        <f t="shared" si="12"/>
        <v>0</v>
      </c>
      <c r="E760" s="16">
        <f t="shared" si="13"/>
        <v>0</v>
      </c>
      <c r="F760" s="16"/>
      <c r="G760" s="16"/>
      <c r="H760" s="16"/>
      <c r="I760" s="16"/>
      <c r="J760" s="16"/>
      <c r="K760" s="13"/>
      <c r="L760" s="13"/>
      <c r="M760" s="13"/>
      <c r="N760" s="13"/>
      <c r="O760" s="13"/>
      <c r="P760" s="13"/>
      <c r="Q760" s="13"/>
      <c r="R760" s="13"/>
      <c r="S760" s="13"/>
      <c r="T760" s="13"/>
      <c r="U760" s="13"/>
      <c r="V760" s="13"/>
      <c r="W760" s="13"/>
      <c r="X760" s="13"/>
      <c r="Y760" s="13"/>
      <c r="Z760" s="13"/>
      <c r="AA760" s="13"/>
      <c r="AB760" s="13"/>
    </row>
    <row r="761" spans="1:28" ht="13.2">
      <c r="A761" s="53"/>
      <c r="B761" s="13"/>
      <c r="C761" s="16"/>
      <c r="D761" s="16">
        <f t="shared" si="12"/>
        <v>0</v>
      </c>
      <c r="E761" s="16">
        <f t="shared" si="13"/>
        <v>0</v>
      </c>
      <c r="F761" s="16"/>
      <c r="G761" s="16"/>
      <c r="H761" s="16"/>
      <c r="I761" s="16"/>
      <c r="J761" s="16"/>
      <c r="K761" s="13"/>
      <c r="L761" s="13"/>
      <c r="M761" s="13"/>
      <c r="N761" s="13"/>
      <c r="O761" s="13"/>
      <c r="P761" s="13"/>
      <c r="Q761" s="13"/>
      <c r="R761" s="13"/>
      <c r="S761" s="13"/>
      <c r="T761" s="13"/>
      <c r="U761" s="13"/>
      <c r="V761" s="13"/>
      <c r="W761" s="13"/>
      <c r="X761" s="13"/>
      <c r="Y761" s="13"/>
      <c r="Z761" s="13"/>
      <c r="AA761" s="13"/>
      <c r="AB761" s="13"/>
    </row>
    <row r="762" spans="1:28" ht="13.2">
      <c r="A762" s="53"/>
      <c r="B762" s="13"/>
      <c r="C762" s="16"/>
      <c r="D762" s="16">
        <f t="shared" si="12"/>
        <v>0</v>
      </c>
      <c r="E762" s="16">
        <f t="shared" si="13"/>
        <v>0</v>
      </c>
      <c r="F762" s="16"/>
      <c r="G762" s="16"/>
      <c r="H762" s="16"/>
      <c r="I762" s="16"/>
      <c r="J762" s="16"/>
      <c r="K762" s="13"/>
      <c r="L762" s="13"/>
      <c r="M762" s="13"/>
      <c r="N762" s="13"/>
      <c r="O762" s="13"/>
      <c r="P762" s="13"/>
      <c r="Q762" s="13"/>
      <c r="R762" s="13"/>
      <c r="S762" s="13"/>
      <c r="T762" s="13"/>
      <c r="U762" s="13"/>
      <c r="V762" s="13"/>
      <c r="W762" s="13"/>
      <c r="X762" s="13"/>
      <c r="Y762" s="13"/>
      <c r="Z762" s="13"/>
      <c r="AA762" s="13"/>
      <c r="AB762" s="13"/>
    </row>
    <row r="763" spans="1:28" ht="13.2">
      <c r="A763" s="53"/>
      <c r="B763" s="13"/>
      <c r="C763" s="16"/>
      <c r="D763" s="16">
        <f t="shared" si="12"/>
        <v>0</v>
      </c>
      <c r="E763" s="16">
        <f t="shared" si="13"/>
        <v>0</v>
      </c>
      <c r="F763" s="16"/>
      <c r="G763" s="16"/>
      <c r="H763" s="16"/>
      <c r="I763" s="16"/>
      <c r="J763" s="16"/>
      <c r="K763" s="13"/>
      <c r="L763" s="13"/>
      <c r="M763" s="13"/>
      <c r="N763" s="13"/>
      <c r="O763" s="13"/>
      <c r="P763" s="13"/>
      <c r="Q763" s="13"/>
      <c r="R763" s="13"/>
      <c r="S763" s="13"/>
      <c r="T763" s="13"/>
      <c r="U763" s="13"/>
      <c r="V763" s="13"/>
      <c r="W763" s="13"/>
      <c r="X763" s="13"/>
      <c r="Y763" s="13"/>
      <c r="Z763" s="13"/>
      <c r="AA763" s="13"/>
      <c r="AB763" s="13"/>
    </row>
    <row r="764" spans="1:28" ht="13.2">
      <c r="A764" s="53"/>
      <c r="B764" s="13"/>
      <c r="C764" s="16"/>
      <c r="D764" s="16">
        <f t="shared" si="12"/>
        <v>0</v>
      </c>
      <c r="E764" s="16">
        <f t="shared" si="13"/>
        <v>0</v>
      </c>
      <c r="F764" s="16"/>
      <c r="G764" s="16"/>
      <c r="H764" s="16"/>
      <c r="I764" s="16"/>
      <c r="J764" s="16"/>
      <c r="K764" s="13"/>
      <c r="L764" s="13"/>
      <c r="M764" s="13"/>
      <c r="N764" s="13"/>
      <c r="O764" s="13"/>
      <c r="P764" s="13"/>
      <c r="Q764" s="13"/>
      <c r="R764" s="13"/>
      <c r="S764" s="13"/>
      <c r="T764" s="13"/>
      <c r="U764" s="13"/>
      <c r="V764" s="13"/>
      <c r="W764" s="13"/>
      <c r="X764" s="13"/>
      <c r="Y764" s="13"/>
      <c r="Z764" s="13"/>
      <c r="AA764" s="13"/>
      <c r="AB764" s="13"/>
    </row>
    <row r="765" spans="1:28" ht="13.2">
      <c r="A765" s="53"/>
      <c r="B765" s="13"/>
      <c r="C765" s="16"/>
      <c r="D765" s="16">
        <f t="shared" si="12"/>
        <v>0</v>
      </c>
      <c r="E765" s="16">
        <f t="shared" si="13"/>
        <v>0</v>
      </c>
      <c r="F765" s="16"/>
      <c r="G765" s="16"/>
      <c r="H765" s="16"/>
      <c r="I765" s="16"/>
      <c r="J765" s="16"/>
      <c r="K765" s="13"/>
      <c r="L765" s="13"/>
      <c r="M765" s="13"/>
      <c r="N765" s="13"/>
      <c r="O765" s="13"/>
      <c r="P765" s="13"/>
      <c r="Q765" s="13"/>
      <c r="R765" s="13"/>
      <c r="S765" s="13"/>
      <c r="T765" s="13"/>
      <c r="U765" s="13"/>
      <c r="V765" s="13"/>
      <c r="W765" s="13"/>
      <c r="X765" s="13"/>
      <c r="Y765" s="13"/>
      <c r="Z765" s="13"/>
      <c r="AA765" s="13"/>
      <c r="AB765" s="13"/>
    </row>
    <row r="766" spans="1:28" ht="13.2">
      <c r="A766" s="53"/>
      <c r="B766" s="13"/>
      <c r="C766" s="16"/>
      <c r="D766" s="16">
        <f t="shared" si="12"/>
        <v>0</v>
      </c>
      <c r="E766" s="16">
        <f t="shared" si="13"/>
        <v>0</v>
      </c>
      <c r="F766" s="16"/>
      <c r="G766" s="16"/>
      <c r="H766" s="16"/>
      <c r="I766" s="16"/>
      <c r="J766" s="16"/>
      <c r="K766" s="13"/>
      <c r="L766" s="13"/>
      <c r="M766" s="13"/>
      <c r="N766" s="13"/>
      <c r="O766" s="13"/>
      <c r="P766" s="13"/>
      <c r="Q766" s="13"/>
      <c r="R766" s="13"/>
      <c r="S766" s="13"/>
      <c r="T766" s="13"/>
      <c r="U766" s="13"/>
      <c r="V766" s="13"/>
      <c r="W766" s="13"/>
      <c r="X766" s="13"/>
      <c r="Y766" s="13"/>
      <c r="Z766" s="13"/>
      <c r="AA766" s="13"/>
      <c r="AB766" s="13"/>
    </row>
    <row r="767" spans="1:28" ht="13.2">
      <c r="A767" s="53"/>
      <c r="B767" s="13"/>
      <c r="C767" s="16"/>
      <c r="D767" s="16">
        <f t="shared" ref="D767:D1000" si="14">IF(C767="common",100,IF(C767="Uncommon",300,IF(C767="Rare",700,IF(C767="very rare",1100,IF(C767="Legendary",2000,0)))))</f>
        <v>0</v>
      </c>
      <c r="E767" s="16">
        <f t="shared" ref="E767:E1000" si="15">(F767*TRUNC(3+(15-3)*(TRUNC(MOD((A767*1103515245 +12345)/ 65536, 32768),0)/32768),0))+D767+(D767/10*F767)</f>
        <v>0</v>
      </c>
      <c r="F767" s="16"/>
      <c r="G767" s="16"/>
      <c r="H767" s="16"/>
      <c r="I767" s="16"/>
      <c r="J767" s="16"/>
      <c r="K767" s="13"/>
      <c r="L767" s="13"/>
      <c r="M767" s="13"/>
      <c r="N767" s="13"/>
      <c r="O767" s="13"/>
      <c r="P767" s="13"/>
      <c r="Q767" s="13"/>
      <c r="R767" s="13"/>
      <c r="S767" s="13"/>
      <c r="T767" s="13"/>
      <c r="U767" s="13"/>
      <c r="V767" s="13"/>
      <c r="W767" s="13"/>
      <c r="X767" s="13"/>
      <c r="Y767" s="13"/>
      <c r="Z767" s="13"/>
      <c r="AA767" s="13"/>
      <c r="AB767" s="13"/>
    </row>
    <row r="768" spans="1:28" ht="13.2">
      <c r="A768" s="53"/>
      <c r="B768" s="13"/>
      <c r="C768" s="16"/>
      <c r="D768" s="16">
        <f t="shared" si="14"/>
        <v>0</v>
      </c>
      <c r="E768" s="16">
        <f t="shared" si="15"/>
        <v>0</v>
      </c>
      <c r="F768" s="16"/>
      <c r="G768" s="16"/>
      <c r="H768" s="16"/>
      <c r="I768" s="16"/>
      <c r="J768" s="16"/>
      <c r="K768" s="13"/>
      <c r="L768" s="13"/>
      <c r="M768" s="13"/>
      <c r="N768" s="13"/>
      <c r="O768" s="13"/>
      <c r="P768" s="13"/>
      <c r="Q768" s="13"/>
      <c r="R768" s="13"/>
      <c r="S768" s="13"/>
      <c r="T768" s="13"/>
      <c r="U768" s="13"/>
      <c r="V768" s="13"/>
      <c r="W768" s="13"/>
      <c r="X768" s="13"/>
      <c r="Y768" s="13"/>
      <c r="Z768" s="13"/>
      <c r="AA768" s="13"/>
      <c r="AB768" s="13"/>
    </row>
    <row r="769" spans="1:28" ht="13.2">
      <c r="A769" s="53"/>
      <c r="B769" s="13"/>
      <c r="C769" s="16"/>
      <c r="D769" s="16">
        <f t="shared" si="14"/>
        <v>0</v>
      </c>
      <c r="E769" s="16">
        <f t="shared" si="15"/>
        <v>0</v>
      </c>
      <c r="F769" s="16"/>
      <c r="G769" s="16"/>
      <c r="H769" s="16"/>
      <c r="I769" s="16"/>
      <c r="J769" s="16"/>
      <c r="K769" s="13"/>
      <c r="L769" s="13"/>
      <c r="M769" s="13"/>
      <c r="N769" s="13"/>
      <c r="O769" s="13"/>
      <c r="P769" s="13"/>
      <c r="Q769" s="13"/>
      <c r="R769" s="13"/>
      <c r="S769" s="13"/>
      <c r="T769" s="13"/>
      <c r="U769" s="13"/>
      <c r="V769" s="13"/>
      <c r="W769" s="13"/>
      <c r="X769" s="13"/>
      <c r="Y769" s="13"/>
      <c r="Z769" s="13"/>
      <c r="AA769" s="13"/>
      <c r="AB769" s="13"/>
    </row>
    <row r="770" spans="1:28" ht="13.2">
      <c r="A770" s="53"/>
      <c r="B770" s="13"/>
      <c r="C770" s="16"/>
      <c r="D770" s="16">
        <f t="shared" si="14"/>
        <v>0</v>
      </c>
      <c r="E770" s="16">
        <f t="shared" si="15"/>
        <v>0</v>
      </c>
      <c r="F770" s="16"/>
      <c r="G770" s="16"/>
      <c r="H770" s="16"/>
      <c r="I770" s="16"/>
      <c r="J770" s="16"/>
      <c r="K770" s="13"/>
      <c r="L770" s="13"/>
      <c r="M770" s="13"/>
      <c r="N770" s="13"/>
      <c r="O770" s="13"/>
      <c r="P770" s="13"/>
      <c r="Q770" s="13"/>
      <c r="R770" s="13"/>
      <c r="S770" s="13"/>
      <c r="T770" s="13"/>
      <c r="U770" s="13"/>
      <c r="V770" s="13"/>
      <c r="W770" s="13"/>
      <c r="X770" s="13"/>
      <c r="Y770" s="13"/>
      <c r="Z770" s="13"/>
      <c r="AA770" s="13"/>
      <c r="AB770" s="13"/>
    </row>
    <row r="771" spans="1:28" ht="13.2">
      <c r="A771" s="53"/>
      <c r="B771" s="13"/>
      <c r="C771" s="16"/>
      <c r="D771" s="16">
        <f t="shared" si="14"/>
        <v>0</v>
      </c>
      <c r="E771" s="16">
        <f t="shared" si="15"/>
        <v>0</v>
      </c>
      <c r="F771" s="16"/>
      <c r="G771" s="16"/>
      <c r="H771" s="16"/>
      <c r="I771" s="16"/>
      <c r="J771" s="16"/>
      <c r="K771" s="13"/>
      <c r="L771" s="13"/>
      <c r="M771" s="13"/>
      <c r="N771" s="13"/>
      <c r="O771" s="13"/>
      <c r="P771" s="13"/>
      <c r="Q771" s="13"/>
      <c r="R771" s="13"/>
      <c r="S771" s="13"/>
      <c r="T771" s="13"/>
      <c r="U771" s="13"/>
      <c r="V771" s="13"/>
      <c r="W771" s="13"/>
      <c r="X771" s="13"/>
      <c r="Y771" s="13"/>
      <c r="Z771" s="13"/>
      <c r="AA771" s="13"/>
      <c r="AB771" s="13"/>
    </row>
    <row r="772" spans="1:28" ht="13.2">
      <c r="A772" s="53"/>
      <c r="B772" s="13"/>
      <c r="C772" s="16"/>
      <c r="D772" s="16">
        <f t="shared" si="14"/>
        <v>0</v>
      </c>
      <c r="E772" s="16">
        <f t="shared" si="15"/>
        <v>0</v>
      </c>
      <c r="F772" s="16"/>
      <c r="G772" s="16"/>
      <c r="H772" s="16"/>
      <c r="I772" s="16"/>
      <c r="J772" s="16"/>
      <c r="K772" s="13"/>
      <c r="L772" s="13"/>
      <c r="M772" s="13"/>
      <c r="N772" s="13"/>
      <c r="O772" s="13"/>
      <c r="P772" s="13"/>
      <c r="Q772" s="13"/>
      <c r="R772" s="13"/>
      <c r="S772" s="13"/>
      <c r="T772" s="13"/>
      <c r="U772" s="13"/>
      <c r="V772" s="13"/>
      <c r="W772" s="13"/>
      <c r="X772" s="13"/>
      <c r="Y772" s="13"/>
      <c r="Z772" s="13"/>
      <c r="AA772" s="13"/>
      <c r="AB772" s="13"/>
    </row>
    <row r="773" spans="1:28" ht="13.2">
      <c r="A773" s="53"/>
      <c r="B773" s="13"/>
      <c r="C773" s="16"/>
      <c r="D773" s="16">
        <f t="shared" si="14"/>
        <v>0</v>
      </c>
      <c r="E773" s="16">
        <f t="shared" si="15"/>
        <v>0</v>
      </c>
      <c r="F773" s="16"/>
      <c r="G773" s="16"/>
      <c r="H773" s="16"/>
      <c r="I773" s="16"/>
      <c r="J773" s="16"/>
      <c r="K773" s="13"/>
      <c r="L773" s="13"/>
      <c r="M773" s="13"/>
      <c r="N773" s="13"/>
      <c r="O773" s="13"/>
      <c r="P773" s="13"/>
      <c r="Q773" s="13"/>
      <c r="R773" s="13"/>
      <c r="S773" s="13"/>
      <c r="T773" s="13"/>
      <c r="U773" s="13"/>
      <c r="V773" s="13"/>
      <c r="W773" s="13"/>
      <c r="X773" s="13"/>
      <c r="Y773" s="13"/>
      <c r="Z773" s="13"/>
      <c r="AA773" s="13"/>
      <c r="AB773" s="13"/>
    </row>
    <row r="774" spans="1:28" ht="13.2">
      <c r="A774" s="53"/>
      <c r="B774" s="13"/>
      <c r="C774" s="16"/>
      <c r="D774" s="16">
        <f t="shared" si="14"/>
        <v>0</v>
      </c>
      <c r="E774" s="16">
        <f t="shared" si="15"/>
        <v>0</v>
      </c>
      <c r="F774" s="16"/>
      <c r="G774" s="16"/>
      <c r="H774" s="16"/>
      <c r="I774" s="16"/>
      <c r="J774" s="16"/>
      <c r="K774" s="13"/>
      <c r="L774" s="13"/>
      <c r="M774" s="13"/>
      <c r="N774" s="13"/>
      <c r="O774" s="13"/>
      <c r="P774" s="13"/>
      <c r="Q774" s="13"/>
      <c r="R774" s="13"/>
      <c r="S774" s="13"/>
      <c r="T774" s="13"/>
      <c r="U774" s="13"/>
      <c r="V774" s="13"/>
      <c r="W774" s="13"/>
      <c r="X774" s="13"/>
      <c r="Y774" s="13"/>
      <c r="Z774" s="13"/>
      <c r="AA774" s="13"/>
      <c r="AB774" s="13"/>
    </row>
    <row r="775" spans="1:28" ht="13.2">
      <c r="A775" s="53"/>
      <c r="B775" s="13"/>
      <c r="C775" s="16"/>
      <c r="D775" s="16">
        <f t="shared" si="14"/>
        <v>0</v>
      </c>
      <c r="E775" s="16">
        <f t="shared" si="15"/>
        <v>0</v>
      </c>
      <c r="F775" s="16"/>
      <c r="G775" s="16"/>
      <c r="H775" s="16"/>
      <c r="I775" s="16"/>
      <c r="J775" s="16"/>
      <c r="K775" s="13"/>
      <c r="L775" s="13"/>
      <c r="M775" s="13"/>
      <c r="N775" s="13"/>
      <c r="O775" s="13"/>
      <c r="P775" s="13"/>
      <c r="Q775" s="13"/>
      <c r="R775" s="13"/>
      <c r="S775" s="13"/>
      <c r="T775" s="13"/>
      <c r="U775" s="13"/>
      <c r="V775" s="13"/>
      <c r="W775" s="13"/>
      <c r="X775" s="13"/>
      <c r="Y775" s="13"/>
      <c r="Z775" s="13"/>
      <c r="AA775" s="13"/>
      <c r="AB775" s="13"/>
    </row>
    <row r="776" spans="1:28" ht="13.2">
      <c r="A776" s="53"/>
      <c r="B776" s="13"/>
      <c r="C776" s="16"/>
      <c r="D776" s="16">
        <f t="shared" si="14"/>
        <v>0</v>
      </c>
      <c r="E776" s="16">
        <f t="shared" si="15"/>
        <v>0</v>
      </c>
      <c r="F776" s="16"/>
      <c r="G776" s="16"/>
      <c r="H776" s="16"/>
      <c r="I776" s="16"/>
      <c r="J776" s="16"/>
      <c r="K776" s="13"/>
      <c r="L776" s="13"/>
      <c r="M776" s="13"/>
      <c r="N776" s="13"/>
      <c r="O776" s="13"/>
      <c r="P776" s="13"/>
      <c r="Q776" s="13"/>
      <c r="R776" s="13"/>
      <c r="S776" s="13"/>
      <c r="T776" s="13"/>
      <c r="U776" s="13"/>
      <c r="V776" s="13"/>
      <c r="W776" s="13"/>
      <c r="X776" s="13"/>
      <c r="Y776" s="13"/>
      <c r="Z776" s="13"/>
      <c r="AA776" s="13"/>
      <c r="AB776" s="13"/>
    </row>
    <row r="777" spans="1:28" ht="13.2">
      <c r="A777" s="53"/>
      <c r="B777" s="13"/>
      <c r="C777" s="16"/>
      <c r="D777" s="16">
        <f t="shared" si="14"/>
        <v>0</v>
      </c>
      <c r="E777" s="16">
        <f t="shared" si="15"/>
        <v>0</v>
      </c>
      <c r="F777" s="16"/>
      <c r="G777" s="16"/>
      <c r="H777" s="16"/>
      <c r="I777" s="16"/>
      <c r="J777" s="16"/>
      <c r="K777" s="13"/>
      <c r="L777" s="13"/>
      <c r="M777" s="13"/>
      <c r="N777" s="13"/>
      <c r="O777" s="13"/>
      <c r="P777" s="13"/>
      <c r="Q777" s="13"/>
      <c r="R777" s="13"/>
      <c r="S777" s="13"/>
      <c r="T777" s="13"/>
      <c r="U777" s="13"/>
      <c r="V777" s="13"/>
      <c r="W777" s="13"/>
      <c r="X777" s="13"/>
      <c r="Y777" s="13"/>
      <c r="Z777" s="13"/>
      <c r="AA777" s="13"/>
      <c r="AB777" s="13"/>
    </row>
    <row r="778" spans="1:28" ht="13.2">
      <c r="A778" s="53"/>
      <c r="B778" s="13"/>
      <c r="C778" s="16"/>
      <c r="D778" s="16">
        <f t="shared" si="14"/>
        <v>0</v>
      </c>
      <c r="E778" s="16">
        <f t="shared" si="15"/>
        <v>0</v>
      </c>
      <c r="F778" s="16"/>
      <c r="G778" s="16"/>
      <c r="H778" s="16"/>
      <c r="I778" s="16"/>
      <c r="J778" s="16"/>
      <c r="K778" s="13"/>
      <c r="L778" s="13"/>
      <c r="M778" s="13"/>
      <c r="N778" s="13"/>
      <c r="O778" s="13"/>
      <c r="P778" s="13"/>
      <c r="Q778" s="13"/>
      <c r="R778" s="13"/>
      <c r="S778" s="13"/>
      <c r="T778" s="13"/>
      <c r="U778" s="13"/>
      <c r="V778" s="13"/>
      <c r="W778" s="13"/>
      <c r="X778" s="13"/>
      <c r="Y778" s="13"/>
      <c r="Z778" s="13"/>
      <c r="AA778" s="13"/>
      <c r="AB778" s="13"/>
    </row>
    <row r="779" spans="1:28" ht="13.2">
      <c r="A779" s="53"/>
      <c r="B779" s="13"/>
      <c r="C779" s="16"/>
      <c r="D779" s="16">
        <f t="shared" si="14"/>
        <v>0</v>
      </c>
      <c r="E779" s="16">
        <f t="shared" si="15"/>
        <v>0</v>
      </c>
      <c r="F779" s="16"/>
      <c r="G779" s="16"/>
      <c r="H779" s="16"/>
      <c r="I779" s="16"/>
      <c r="J779" s="16"/>
      <c r="K779" s="13"/>
      <c r="L779" s="13"/>
      <c r="M779" s="13"/>
      <c r="N779" s="13"/>
      <c r="O779" s="13"/>
      <c r="P779" s="13"/>
      <c r="Q779" s="13"/>
      <c r="R779" s="13"/>
      <c r="S779" s="13"/>
      <c r="T779" s="13"/>
      <c r="U779" s="13"/>
      <c r="V779" s="13"/>
      <c r="W779" s="13"/>
      <c r="X779" s="13"/>
      <c r="Y779" s="13"/>
      <c r="Z779" s="13"/>
      <c r="AA779" s="13"/>
      <c r="AB779" s="13"/>
    </row>
    <row r="780" spans="1:28" ht="13.2">
      <c r="A780" s="53"/>
      <c r="B780" s="13"/>
      <c r="C780" s="16"/>
      <c r="D780" s="16">
        <f t="shared" si="14"/>
        <v>0</v>
      </c>
      <c r="E780" s="16">
        <f t="shared" si="15"/>
        <v>0</v>
      </c>
      <c r="F780" s="16"/>
      <c r="G780" s="16"/>
      <c r="H780" s="16"/>
      <c r="I780" s="16"/>
      <c r="J780" s="16"/>
      <c r="K780" s="13"/>
      <c r="L780" s="13"/>
      <c r="M780" s="13"/>
      <c r="N780" s="13"/>
      <c r="O780" s="13"/>
      <c r="P780" s="13"/>
      <c r="Q780" s="13"/>
      <c r="R780" s="13"/>
      <c r="S780" s="13"/>
      <c r="T780" s="13"/>
      <c r="U780" s="13"/>
      <c r="V780" s="13"/>
      <c r="W780" s="13"/>
      <c r="X780" s="13"/>
      <c r="Y780" s="13"/>
      <c r="Z780" s="13"/>
      <c r="AA780" s="13"/>
      <c r="AB780" s="13"/>
    </row>
    <row r="781" spans="1:28" ht="13.2">
      <c r="A781" s="53"/>
      <c r="B781" s="13"/>
      <c r="C781" s="16"/>
      <c r="D781" s="16">
        <f t="shared" si="14"/>
        <v>0</v>
      </c>
      <c r="E781" s="16">
        <f t="shared" si="15"/>
        <v>0</v>
      </c>
      <c r="F781" s="16"/>
      <c r="G781" s="16"/>
      <c r="H781" s="16"/>
      <c r="I781" s="16"/>
      <c r="J781" s="16"/>
      <c r="K781" s="13"/>
      <c r="L781" s="13"/>
      <c r="M781" s="13"/>
      <c r="N781" s="13"/>
      <c r="O781" s="13"/>
      <c r="P781" s="13"/>
      <c r="Q781" s="13"/>
      <c r="R781" s="13"/>
      <c r="S781" s="13"/>
      <c r="T781" s="13"/>
      <c r="U781" s="13"/>
      <c r="V781" s="13"/>
      <c r="W781" s="13"/>
      <c r="X781" s="13"/>
      <c r="Y781" s="13"/>
      <c r="Z781" s="13"/>
      <c r="AA781" s="13"/>
      <c r="AB781" s="13"/>
    </row>
    <row r="782" spans="1:28" ht="13.2">
      <c r="A782" s="53"/>
      <c r="B782" s="13"/>
      <c r="C782" s="16"/>
      <c r="D782" s="16">
        <f t="shared" si="14"/>
        <v>0</v>
      </c>
      <c r="E782" s="16">
        <f t="shared" si="15"/>
        <v>0</v>
      </c>
      <c r="F782" s="16"/>
      <c r="G782" s="16"/>
      <c r="H782" s="16"/>
      <c r="I782" s="16"/>
      <c r="J782" s="16"/>
      <c r="K782" s="13"/>
      <c r="L782" s="13"/>
      <c r="M782" s="13"/>
      <c r="N782" s="13"/>
      <c r="O782" s="13"/>
      <c r="P782" s="13"/>
      <c r="Q782" s="13"/>
      <c r="R782" s="13"/>
      <c r="S782" s="13"/>
      <c r="T782" s="13"/>
      <c r="U782" s="13"/>
      <c r="V782" s="13"/>
      <c r="W782" s="13"/>
      <c r="X782" s="13"/>
      <c r="Y782" s="13"/>
      <c r="Z782" s="13"/>
      <c r="AA782" s="13"/>
      <c r="AB782" s="13"/>
    </row>
    <row r="783" spans="1:28" ht="13.2">
      <c r="A783" s="53"/>
      <c r="B783" s="13"/>
      <c r="C783" s="16"/>
      <c r="D783" s="16">
        <f t="shared" si="14"/>
        <v>0</v>
      </c>
      <c r="E783" s="16">
        <f t="shared" si="15"/>
        <v>0</v>
      </c>
      <c r="F783" s="16"/>
      <c r="G783" s="16"/>
      <c r="H783" s="16"/>
      <c r="I783" s="16"/>
      <c r="J783" s="16"/>
      <c r="K783" s="13"/>
      <c r="L783" s="13"/>
      <c r="M783" s="13"/>
      <c r="N783" s="13"/>
      <c r="O783" s="13"/>
      <c r="P783" s="13"/>
      <c r="Q783" s="13"/>
      <c r="R783" s="13"/>
      <c r="S783" s="13"/>
      <c r="T783" s="13"/>
      <c r="U783" s="13"/>
      <c r="V783" s="13"/>
      <c r="W783" s="13"/>
      <c r="X783" s="13"/>
      <c r="Y783" s="13"/>
      <c r="Z783" s="13"/>
      <c r="AA783" s="13"/>
      <c r="AB783" s="13"/>
    </row>
    <row r="784" spans="1:28" ht="13.2">
      <c r="A784" s="53"/>
      <c r="B784" s="13"/>
      <c r="C784" s="16"/>
      <c r="D784" s="16">
        <f t="shared" si="14"/>
        <v>0</v>
      </c>
      <c r="E784" s="16">
        <f t="shared" si="15"/>
        <v>0</v>
      </c>
      <c r="F784" s="16"/>
      <c r="G784" s="16"/>
      <c r="H784" s="16"/>
      <c r="I784" s="16"/>
      <c r="J784" s="16"/>
      <c r="K784" s="13"/>
      <c r="L784" s="13"/>
      <c r="M784" s="13"/>
      <c r="N784" s="13"/>
      <c r="O784" s="13"/>
      <c r="P784" s="13"/>
      <c r="Q784" s="13"/>
      <c r="R784" s="13"/>
      <c r="S784" s="13"/>
      <c r="T784" s="13"/>
      <c r="U784" s="13"/>
      <c r="V784" s="13"/>
      <c r="W784" s="13"/>
      <c r="X784" s="13"/>
      <c r="Y784" s="13"/>
      <c r="Z784" s="13"/>
      <c r="AA784" s="13"/>
      <c r="AB784" s="13"/>
    </row>
    <row r="785" spans="1:28" ht="13.2">
      <c r="A785" s="53"/>
      <c r="B785" s="13"/>
      <c r="C785" s="16"/>
      <c r="D785" s="16">
        <f t="shared" si="14"/>
        <v>0</v>
      </c>
      <c r="E785" s="16">
        <f t="shared" si="15"/>
        <v>0</v>
      </c>
      <c r="F785" s="16"/>
      <c r="G785" s="16"/>
      <c r="H785" s="16"/>
      <c r="I785" s="16"/>
      <c r="J785" s="16"/>
      <c r="K785" s="13"/>
      <c r="L785" s="13"/>
      <c r="M785" s="13"/>
      <c r="N785" s="13"/>
      <c r="O785" s="13"/>
      <c r="P785" s="13"/>
      <c r="Q785" s="13"/>
      <c r="R785" s="13"/>
      <c r="S785" s="13"/>
      <c r="T785" s="13"/>
      <c r="U785" s="13"/>
      <c r="V785" s="13"/>
      <c r="W785" s="13"/>
      <c r="X785" s="13"/>
      <c r="Y785" s="13"/>
      <c r="Z785" s="13"/>
      <c r="AA785" s="13"/>
      <c r="AB785" s="13"/>
    </row>
    <row r="786" spans="1:28" ht="13.2">
      <c r="A786" s="53"/>
      <c r="B786" s="13"/>
      <c r="C786" s="16"/>
      <c r="D786" s="16">
        <f t="shared" si="14"/>
        <v>0</v>
      </c>
      <c r="E786" s="16">
        <f t="shared" si="15"/>
        <v>0</v>
      </c>
      <c r="F786" s="16"/>
      <c r="G786" s="16"/>
      <c r="H786" s="16"/>
      <c r="I786" s="16"/>
      <c r="J786" s="16"/>
      <c r="K786" s="13"/>
      <c r="L786" s="13"/>
      <c r="M786" s="13"/>
      <c r="N786" s="13"/>
      <c r="O786" s="13"/>
      <c r="P786" s="13"/>
      <c r="Q786" s="13"/>
      <c r="R786" s="13"/>
      <c r="S786" s="13"/>
      <c r="T786" s="13"/>
      <c r="U786" s="13"/>
      <c r="V786" s="13"/>
      <c r="W786" s="13"/>
      <c r="X786" s="13"/>
      <c r="Y786" s="13"/>
      <c r="Z786" s="13"/>
      <c r="AA786" s="13"/>
      <c r="AB786" s="13"/>
    </row>
    <row r="787" spans="1:28" ht="13.2">
      <c r="A787" s="53"/>
      <c r="B787" s="13"/>
      <c r="C787" s="16"/>
      <c r="D787" s="16">
        <f t="shared" si="14"/>
        <v>0</v>
      </c>
      <c r="E787" s="16">
        <f t="shared" si="15"/>
        <v>0</v>
      </c>
      <c r="F787" s="16"/>
      <c r="G787" s="16"/>
      <c r="H787" s="16"/>
      <c r="I787" s="16"/>
      <c r="J787" s="16"/>
      <c r="K787" s="13"/>
      <c r="L787" s="13"/>
      <c r="M787" s="13"/>
      <c r="N787" s="13"/>
      <c r="O787" s="13"/>
      <c r="P787" s="13"/>
      <c r="Q787" s="13"/>
      <c r="R787" s="13"/>
      <c r="S787" s="13"/>
      <c r="T787" s="13"/>
      <c r="U787" s="13"/>
      <c r="V787" s="13"/>
      <c r="W787" s="13"/>
      <c r="X787" s="13"/>
      <c r="Y787" s="13"/>
      <c r="Z787" s="13"/>
      <c r="AA787" s="13"/>
      <c r="AB787" s="13"/>
    </row>
    <row r="788" spans="1:28" ht="13.2">
      <c r="A788" s="53"/>
      <c r="B788" s="13"/>
      <c r="C788" s="16"/>
      <c r="D788" s="16">
        <f t="shared" si="14"/>
        <v>0</v>
      </c>
      <c r="E788" s="16">
        <f t="shared" si="15"/>
        <v>0</v>
      </c>
      <c r="F788" s="16"/>
      <c r="G788" s="16"/>
      <c r="H788" s="16"/>
      <c r="I788" s="16"/>
      <c r="J788" s="16"/>
      <c r="K788" s="13"/>
      <c r="L788" s="13"/>
      <c r="M788" s="13"/>
      <c r="N788" s="13"/>
      <c r="O788" s="13"/>
      <c r="P788" s="13"/>
      <c r="Q788" s="13"/>
      <c r="R788" s="13"/>
      <c r="S788" s="13"/>
      <c r="T788" s="13"/>
      <c r="U788" s="13"/>
      <c r="V788" s="13"/>
      <c r="W788" s="13"/>
      <c r="X788" s="13"/>
      <c r="Y788" s="13"/>
      <c r="Z788" s="13"/>
      <c r="AA788" s="13"/>
      <c r="AB788" s="13"/>
    </row>
    <row r="789" spans="1:28" ht="13.2">
      <c r="A789" s="53"/>
      <c r="B789" s="13"/>
      <c r="C789" s="16"/>
      <c r="D789" s="16">
        <f t="shared" si="14"/>
        <v>0</v>
      </c>
      <c r="E789" s="16">
        <f t="shared" si="15"/>
        <v>0</v>
      </c>
      <c r="F789" s="16"/>
      <c r="G789" s="16"/>
      <c r="H789" s="16"/>
      <c r="I789" s="16"/>
      <c r="J789" s="16"/>
      <c r="K789" s="13"/>
      <c r="L789" s="13"/>
      <c r="M789" s="13"/>
      <c r="N789" s="13"/>
      <c r="O789" s="13"/>
      <c r="P789" s="13"/>
      <c r="Q789" s="13"/>
      <c r="R789" s="13"/>
      <c r="S789" s="13"/>
      <c r="T789" s="13"/>
      <c r="U789" s="13"/>
      <c r="V789" s="13"/>
      <c r="W789" s="13"/>
      <c r="X789" s="13"/>
      <c r="Y789" s="13"/>
      <c r="Z789" s="13"/>
      <c r="AA789" s="13"/>
      <c r="AB789" s="13"/>
    </row>
    <row r="790" spans="1:28" ht="13.2">
      <c r="A790" s="53"/>
      <c r="B790" s="13"/>
      <c r="C790" s="16"/>
      <c r="D790" s="16">
        <f t="shared" si="14"/>
        <v>0</v>
      </c>
      <c r="E790" s="16">
        <f t="shared" si="15"/>
        <v>0</v>
      </c>
      <c r="F790" s="16"/>
      <c r="G790" s="16"/>
      <c r="H790" s="16"/>
      <c r="I790" s="16"/>
      <c r="J790" s="16"/>
      <c r="K790" s="13"/>
      <c r="L790" s="13"/>
      <c r="M790" s="13"/>
      <c r="N790" s="13"/>
      <c r="O790" s="13"/>
      <c r="P790" s="13"/>
      <c r="Q790" s="13"/>
      <c r="R790" s="13"/>
      <c r="S790" s="13"/>
      <c r="T790" s="13"/>
      <c r="U790" s="13"/>
      <c r="V790" s="13"/>
      <c r="W790" s="13"/>
      <c r="X790" s="13"/>
      <c r="Y790" s="13"/>
      <c r="Z790" s="13"/>
      <c r="AA790" s="13"/>
      <c r="AB790" s="13"/>
    </row>
    <row r="791" spans="1:28" ht="13.2">
      <c r="A791" s="53"/>
      <c r="B791" s="13"/>
      <c r="C791" s="16"/>
      <c r="D791" s="16">
        <f t="shared" si="14"/>
        <v>0</v>
      </c>
      <c r="E791" s="16">
        <f t="shared" si="15"/>
        <v>0</v>
      </c>
      <c r="F791" s="16"/>
      <c r="G791" s="16"/>
      <c r="H791" s="16"/>
      <c r="I791" s="16"/>
      <c r="J791" s="16"/>
      <c r="K791" s="13"/>
      <c r="L791" s="13"/>
      <c r="M791" s="13"/>
      <c r="N791" s="13"/>
      <c r="O791" s="13"/>
      <c r="P791" s="13"/>
      <c r="Q791" s="13"/>
      <c r="R791" s="13"/>
      <c r="S791" s="13"/>
      <c r="T791" s="13"/>
      <c r="U791" s="13"/>
      <c r="V791" s="13"/>
      <c r="W791" s="13"/>
      <c r="X791" s="13"/>
      <c r="Y791" s="13"/>
      <c r="Z791" s="13"/>
      <c r="AA791" s="13"/>
      <c r="AB791" s="13"/>
    </row>
    <row r="792" spans="1:28" ht="13.2">
      <c r="A792" s="53"/>
      <c r="B792" s="13"/>
      <c r="C792" s="16"/>
      <c r="D792" s="16">
        <f t="shared" si="14"/>
        <v>0</v>
      </c>
      <c r="E792" s="16">
        <f t="shared" si="15"/>
        <v>0</v>
      </c>
      <c r="F792" s="16"/>
      <c r="G792" s="16"/>
      <c r="H792" s="16"/>
      <c r="I792" s="16"/>
      <c r="J792" s="16"/>
      <c r="K792" s="13"/>
      <c r="L792" s="13"/>
      <c r="M792" s="13"/>
      <c r="N792" s="13"/>
      <c r="O792" s="13"/>
      <c r="P792" s="13"/>
      <c r="Q792" s="13"/>
      <c r="R792" s="13"/>
      <c r="S792" s="13"/>
      <c r="T792" s="13"/>
      <c r="U792" s="13"/>
      <c r="V792" s="13"/>
      <c r="W792" s="13"/>
      <c r="X792" s="13"/>
      <c r="Y792" s="13"/>
      <c r="Z792" s="13"/>
      <c r="AA792" s="13"/>
      <c r="AB792" s="13"/>
    </row>
    <row r="793" spans="1:28" ht="13.2">
      <c r="A793" s="53"/>
      <c r="B793" s="13"/>
      <c r="C793" s="16"/>
      <c r="D793" s="16">
        <f t="shared" si="14"/>
        <v>0</v>
      </c>
      <c r="E793" s="16">
        <f t="shared" si="15"/>
        <v>0</v>
      </c>
      <c r="F793" s="16"/>
      <c r="G793" s="16"/>
      <c r="H793" s="16"/>
      <c r="I793" s="16"/>
      <c r="J793" s="16"/>
      <c r="K793" s="13"/>
      <c r="L793" s="13"/>
      <c r="M793" s="13"/>
      <c r="N793" s="13"/>
      <c r="O793" s="13"/>
      <c r="P793" s="13"/>
      <c r="Q793" s="13"/>
      <c r="R793" s="13"/>
      <c r="S793" s="13"/>
      <c r="T793" s="13"/>
      <c r="U793" s="13"/>
      <c r="V793" s="13"/>
      <c r="W793" s="13"/>
      <c r="X793" s="13"/>
      <c r="Y793" s="13"/>
      <c r="Z793" s="13"/>
      <c r="AA793" s="13"/>
      <c r="AB793" s="13"/>
    </row>
    <row r="794" spans="1:28" ht="13.2">
      <c r="A794" s="53"/>
      <c r="B794" s="13"/>
      <c r="C794" s="16"/>
      <c r="D794" s="16">
        <f t="shared" si="14"/>
        <v>0</v>
      </c>
      <c r="E794" s="16">
        <f t="shared" si="15"/>
        <v>0</v>
      </c>
      <c r="F794" s="16"/>
      <c r="G794" s="16"/>
      <c r="H794" s="16"/>
      <c r="I794" s="16"/>
      <c r="J794" s="16"/>
      <c r="K794" s="13"/>
      <c r="L794" s="13"/>
      <c r="M794" s="13"/>
      <c r="N794" s="13"/>
      <c r="O794" s="13"/>
      <c r="P794" s="13"/>
      <c r="Q794" s="13"/>
      <c r="R794" s="13"/>
      <c r="S794" s="13"/>
      <c r="T794" s="13"/>
      <c r="U794" s="13"/>
      <c r="V794" s="13"/>
      <c r="W794" s="13"/>
      <c r="X794" s="13"/>
      <c r="Y794" s="13"/>
      <c r="Z794" s="13"/>
      <c r="AA794" s="13"/>
      <c r="AB794" s="13"/>
    </row>
    <row r="795" spans="1:28" ht="13.2">
      <c r="A795" s="53"/>
      <c r="B795" s="13"/>
      <c r="C795" s="16"/>
      <c r="D795" s="16">
        <f t="shared" si="14"/>
        <v>0</v>
      </c>
      <c r="E795" s="16">
        <f t="shared" si="15"/>
        <v>0</v>
      </c>
      <c r="F795" s="16"/>
      <c r="G795" s="16"/>
      <c r="H795" s="16"/>
      <c r="I795" s="16"/>
      <c r="J795" s="16"/>
      <c r="K795" s="13"/>
      <c r="L795" s="13"/>
      <c r="M795" s="13"/>
      <c r="N795" s="13"/>
      <c r="O795" s="13"/>
      <c r="P795" s="13"/>
      <c r="Q795" s="13"/>
      <c r="R795" s="13"/>
      <c r="S795" s="13"/>
      <c r="T795" s="13"/>
      <c r="U795" s="13"/>
      <c r="V795" s="13"/>
      <c r="W795" s="13"/>
      <c r="X795" s="13"/>
      <c r="Y795" s="13"/>
      <c r="Z795" s="13"/>
      <c r="AA795" s="13"/>
      <c r="AB795" s="13"/>
    </row>
    <row r="796" spans="1:28" ht="13.2">
      <c r="A796" s="53"/>
      <c r="B796" s="13"/>
      <c r="C796" s="16"/>
      <c r="D796" s="16">
        <f t="shared" si="14"/>
        <v>0</v>
      </c>
      <c r="E796" s="16">
        <f t="shared" si="15"/>
        <v>0</v>
      </c>
      <c r="F796" s="16"/>
      <c r="G796" s="16"/>
      <c r="H796" s="16"/>
      <c r="I796" s="16"/>
      <c r="J796" s="16"/>
      <c r="K796" s="13"/>
      <c r="L796" s="13"/>
      <c r="M796" s="13"/>
      <c r="N796" s="13"/>
      <c r="O796" s="13"/>
      <c r="P796" s="13"/>
      <c r="Q796" s="13"/>
      <c r="R796" s="13"/>
      <c r="S796" s="13"/>
      <c r="T796" s="13"/>
      <c r="U796" s="13"/>
      <c r="V796" s="13"/>
      <c r="W796" s="13"/>
      <c r="X796" s="13"/>
      <c r="Y796" s="13"/>
      <c r="Z796" s="13"/>
      <c r="AA796" s="13"/>
      <c r="AB796" s="13"/>
    </row>
    <row r="797" spans="1:28" ht="13.2">
      <c r="A797" s="53"/>
      <c r="B797" s="13"/>
      <c r="C797" s="16"/>
      <c r="D797" s="16">
        <f t="shared" si="14"/>
        <v>0</v>
      </c>
      <c r="E797" s="16">
        <f t="shared" si="15"/>
        <v>0</v>
      </c>
      <c r="F797" s="16"/>
      <c r="G797" s="16"/>
      <c r="H797" s="16"/>
      <c r="I797" s="16"/>
      <c r="J797" s="16"/>
      <c r="K797" s="13"/>
      <c r="L797" s="13"/>
      <c r="M797" s="13"/>
      <c r="N797" s="13"/>
      <c r="O797" s="13"/>
      <c r="P797" s="13"/>
      <c r="Q797" s="13"/>
      <c r="R797" s="13"/>
      <c r="S797" s="13"/>
      <c r="T797" s="13"/>
      <c r="U797" s="13"/>
      <c r="V797" s="13"/>
      <c r="W797" s="13"/>
      <c r="X797" s="13"/>
      <c r="Y797" s="13"/>
      <c r="Z797" s="13"/>
      <c r="AA797" s="13"/>
      <c r="AB797" s="13"/>
    </row>
    <row r="798" spans="1:28" ht="13.2">
      <c r="A798" s="53"/>
      <c r="B798" s="13"/>
      <c r="C798" s="16"/>
      <c r="D798" s="16">
        <f t="shared" si="14"/>
        <v>0</v>
      </c>
      <c r="E798" s="16">
        <f t="shared" si="15"/>
        <v>0</v>
      </c>
      <c r="F798" s="16"/>
      <c r="G798" s="16"/>
      <c r="H798" s="16"/>
      <c r="I798" s="16"/>
      <c r="J798" s="16"/>
      <c r="K798" s="13"/>
      <c r="L798" s="13"/>
      <c r="M798" s="13"/>
      <c r="N798" s="13"/>
      <c r="O798" s="13"/>
      <c r="P798" s="13"/>
      <c r="Q798" s="13"/>
      <c r="R798" s="13"/>
      <c r="S798" s="13"/>
      <c r="T798" s="13"/>
      <c r="U798" s="13"/>
      <c r="V798" s="13"/>
      <c r="W798" s="13"/>
      <c r="X798" s="13"/>
      <c r="Y798" s="13"/>
      <c r="Z798" s="13"/>
      <c r="AA798" s="13"/>
      <c r="AB798" s="13"/>
    </row>
    <row r="799" spans="1:28" ht="13.2">
      <c r="A799" s="53"/>
      <c r="B799" s="13"/>
      <c r="C799" s="16"/>
      <c r="D799" s="16">
        <f t="shared" si="14"/>
        <v>0</v>
      </c>
      <c r="E799" s="16">
        <f t="shared" si="15"/>
        <v>0</v>
      </c>
      <c r="F799" s="16"/>
      <c r="G799" s="16"/>
      <c r="H799" s="16"/>
      <c r="I799" s="16"/>
      <c r="J799" s="16"/>
      <c r="K799" s="13"/>
      <c r="L799" s="13"/>
      <c r="M799" s="13"/>
      <c r="N799" s="13"/>
      <c r="O799" s="13"/>
      <c r="P799" s="13"/>
      <c r="Q799" s="13"/>
      <c r="R799" s="13"/>
      <c r="S799" s="13"/>
      <c r="T799" s="13"/>
      <c r="U799" s="13"/>
      <c r="V799" s="13"/>
      <c r="W799" s="13"/>
      <c r="X799" s="13"/>
      <c r="Y799" s="13"/>
      <c r="Z799" s="13"/>
      <c r="AA799" s="13"/>
      <c r="AB799" s="13"/>
    </row>
    <row r="800" spans="1:28" ht="13.2">
      <c r="A800" s="53"/>
      <c r="B800" s="13"/>
      <c r="C800" s="16"/>
      <c r="D800" s="16">
        <f t="shared" si="14"/>
        <v>0</v>
      </c>
      <c r="E800" s="16">
        <f t="shared" si="15"/>
        <v>0</v>
      </c>
      <c r="F800" s="16"/>
      <c r="G800" s="16"/>
      <c r="H800" s="16"/>
      <c r="I800" s="16"/>
      <c r="J800" s="16"/>
      <c r="K800" s="13"/>
      <c r="L800" s="13"/>
      <c r="M800" s="13"/>
      <c r="N800" s="13"/>
      <c r="O800" s="13"/>
      <c r="P800" s="13"/>
      <c r="Q800" s="13"/>
      <c r="R800" s="13"/>
      <c r="S800" s="13"/>
      <c r="T800" s="13"/>
      <c r="U800" s="13"/>
      <c r="V800" s="13"/>
      <c r="W800" s="13"/>
      <c r="X800" s="13"/>
      <c r="Y800" s="13"/>
      <c r="Z800" s="13"/>
      <c r="AA800" s="13"/>
      <c r="AB800" s="13"/>
    </row>
    <row r="801" spans="1:28" ht="13.2">
      <c r="A801" s="53"/>
      <c r="B801" s="13"/>
      <c r="C801" s="16"/>
      <c r="D801" s="16">
        <f t="shared" si="14"/>
        <v>0</v>
      </c>
      <c r="E801" s="16">
        <f t="shared" si="15"/>
        <v>0</v>
      </c>
      <c r="F801" s="16"/>
      <c r="G801" s="16"/>
      <c r="H801" s="16"/>
      <c r="I801" s="16"/>
      <c r="J801" s="16"/>
      <c r="K801" s="13"/>
      <c r="L801" s="13"/>
      <c r="M801" s="13"/>
      <c r="N801" s="13"/>
      <c r="O801" s="13"/>
      <c r="P801" s="13"/>
      <c r="Q801" s="13"/>
      <c r="R801" s="13"/>
      <c r="S801" s="13"/>
      <c r="T801" s="13"/>
      <c r="U801" s="13"/>
      <c r="V801" s="13"/>
      <c r="W801" s="13"/>
      <c r="X801" s="13"/>
      <c r="Y801" s="13"/>
      <c r="Z801" s="13"/>
      <c r="AA801" s="13"/>
      <c r="AB801" s="13"/>
    </row>
    <row r="802" spans="1:28" ht="13.2">
      <c r="A802" s="53"/>
      <c r="B802" s="13"/>
      <c r="C802" s="16"/>
      <c r="D802" s="16">
        <f t="shared" si="14"/>
        <v>0</v>
      </c>
      <c r="E802" s="16">
        <f t="shared" si="15"/>
        <v>0</v>
      </c>
      <c r="F802" s="16"/>
      <c r="G802" s="16"/>
      <c r="H802" s="16"/>
      <c r="I802" s="16"/>
      <c r="J802" s="16"/>
      <c r="K802" s="13"/>
      <c r="L802" s="13"/>
      <c r="M802" s="13"/>
      <c r="N802" s="13"/>
      <c r="O802" s="13"/>
      <c r="P802" s="13"/>
      <c r="Q802" s="13"/>
      <c r="R802" s="13"/>
      <c r="S802" s="13"/>
      <c r="T802" s="13"/>
      <c r="U802" s="13"/>
      <c r="V802" s="13"/>
      <c r="W802" s="13"/>
      <c r="X802" s="13"/>
      <c r="Y802" s="13"/>
      <c r="Z802" s="13"/>
      <c r="AA802" s="13"/>
      <c r="AB802" s="13"/>
    </row>
    <row r="803" spans="1:28" ht="13.2">
      <c r="A803" s="53"/>
      <c r="B803" s="13"/>
      <c r="C803" s="16"/>
      <c r="D803" s="16">
        <f t="shared" si="14"/>
        <v>0</v>
      </c>
      <c r="E803" s="16">
        <f t="shared" si="15"/>
        <v>0</v>
      </c>
      <c r="F803" s="16"/>
      <c r="G803" s="16"/>
      <c r="H803" s="16"/>
      <c r="I803" s="16"/>
      <c r="J803" s="16"/>
      <c r="K803" s="13"/>
      <c r="L803" s="13"/>
      <c r="M803" s="13"/>
      <c r="N803" s="13"/>
      <c r="O803" s="13"/>
      <c r="P803" s="13"/>
      <c r="Q803" s="13"/>
      <c r="R803" s="13"/>
      <c r="S803" s="13"/>
      <c r="T803" s="13"/>
      <c r="U803" s="13"/>
      <c r="V803" s="13"/>
      <c r="W803" s="13"/>
      <c r="X803" s="13"/>
      <c r="Y803" s="13"/>
      <c r="Z803" s="13"/>
      <c r="AA803" s="13"/>
      <c r="AB803" s="13"/>
    </row>
    <row r="804" spans="1:28" ht="13.2">
      <c r="A804" s="53"/>
      <c r="B804" s="13"/>
      <c r="C804" s="16"/>
      <c r="D804" s="16">
        <f t="shared" si="14"/>
        <v>0</v>
      </c>
      <c r="E804" s="16">
        <f t="shared" si="15"/>
        <v>0</v>
      </c>
      <c r="F804" s="16"/>
      <c r="G804" s="16"/>
      <c r="H804" s="16"/>
      <c r="I804" s="16"/>
      <c r="J804" s="16"/>
      <c r="K804" s="13"/>
      <c r="L804" s="13"/>
      <c r="M804" s="13"/>
      <c r="N804" s="13"/>
      <c r="O804" s="13"/>
      <c r="P804" s="13"/>
      <c r="Q804" s="13"/>
      <c r="R804" s="13"/>
      <c r="S804" s="13"/>
      <c r="T804" s="13"/>
      <c r="U804" s="13"/>
      <c r="V804" s="13"/>
      <c r="W804" s="13"/>
      <c r="X804" s="13"/>
      <c r="Y804" s="13"/>
      <c r="Z804" s="13"/>
      <c r="AA804" s="13"/>
      <c r="AB804" s="13"/>
    </row>
    <row r="805" spans="1:28" ht="13.2">
      <c r="A805" s="53"/>
      <c r="B805" s="13"/>
      <c r="C805" s="16"/>
      <c r="D805" s="16">
        <f t="shared" si="14"/>
        <v>0</v>
      </c>
      <c r="E805" s="16">
        <f t="shared" si="15"/>
        <v>0</v>
      </c>
      <c r="F805" s="16"/>
      <c r="G805" s="16"/>
      <c r="H805" s="16"/>
      <c r="I805" s="16"/>
      <c r="J805" s="16"/>
      <c r="K805" s="13"/>
      <c r="L805" s="13"/>
      <c r="M805" s="13"/>
      <c r="N805" s="13"/>
      <c r="O805" s="13"/>
      <c r="P805" s="13"/>
      <c r="Q805" s="13"/>
      <c r="R805" s="13"/>
      <c r="S805" s="13"/>
      <c r="T805" s="13"/>
      <c r="U805" s="13"/>
      <c r="V805" s="13"/>
      <c r="W805" s="13"/>
      <c r="X805" s="13"/>
      <c r="Y805" s="13"/>
      <c r="Z805" s="13"/>
      <c r="AA805" s="13"/>
      <c r="AB805" s="13"/>
    </row>
    <row r="806" spans="1:28" ht="13.2">
      <c r="A806" s="53"/>
      <c r="B806" s="13"/>
      <c r="C806" s="16"/>
      <c r="D806" s="16">
        <f t="shared" si="14"/>
        <v>0</v>
      </c>
      <c r="E806" s="16">
        <f t="shared" si="15"/>
        <v>0</v>
      </c>
      <c r="F806" s="16"/>
      <c r="G806" s="16"/>
      <c r="H806" s="16"/>
      <c r="I806" s="16"/>
      <c r="J806" s="16"/>
      <c r="K806" s="13"/>
      <c r="L806" s="13"/>
      <c r="M806" s="13"/>
      <c r="N806" s="13"/>
      <c r="O806" s="13"/>
      <c r="P806" s="13"/>
      <c r="Q806" s="13"/>
      <c r="R806" s="13"/>
      <c r="S806" s="13"/>
      <c r="T806" s="13"/>
      <c r="U806" s="13"/>
      <c r="V806" s="13"/>
      <c r="W806" s="13"/>
      <c r="X806" s="13"/>
      <c r="Y806" s="13"/>
      <c r="Z806" s="13"/>
      <c r="AA806" s="13"/>
      <c r="AB806" s="13"/>
    </row>
    <row r="807" spans="1:28" ht="13.2">
      <c r="A807" s="53"/>
      <c r="B807" s="13"/>
      <c r="C807" s="16"/>
      <c r="D807" s="16">
        <f t="shared" si="14"/>
        <v>0</v>
      </c>
      <c r="E807" s="16">
        <f t="shared" si="15"/>
        <v>0</v>
      </c>
      <c r="F807" s="16"/>
      <c r="G807" s="16"/>
      <c r="H807" s="16"/>
      <c r="I807" s="16"/>
      <c r="J807" s="16"/>
      <c r="K807" s="13"/>
      <c r="L807" s="13"/>
      <c r="M807" s="13"/>
      <c r="N807" s="13"/>
      <c r="O807" s="13"/>
      <c r="P807" s="13"/>
      <c r="Q807" s="13"/>
      <c r="R807" s="13"/>
      <c r="S807" s="13"/>
      <c r="T807" s="13"/>
      <c r="U807" s="13"/>
      <c r="V807" s="13"/>
      <c r="W807" s="13"/>
      <c r="X807" s="13"/>
      <c r="Y807" s="13"/>
      <c r="Z807" s="13"/>
      <c r="AA807" s="13"/>
      <c r="AB807" s="13"/>
    </row>
    <row r="808" spans="1:28" ht="13.2">
      <c r="A808" s="53"/>
      <c r="B808" s="13"/>
      <c r="C808" s="16"/>
      <c r="D808" s="16">
        <f t="shared" si="14"/>
        <v>0</v>
      </c>
      <c r="E808" s="16">
        <f t="shared" si="15"/>
        <v>0</v>
      </c>
      <c r="F808" s="16"/>
      <c r="G808" s="16"/>
      <c r="H808" s="16"/>
      <c r="I808" s="16"/>
      <c r="J808" s="16"/>
      <c r="K808" s="13"/>
      <c r="L808" s="13"/>
      <c r="M808" s="13"/>
      <c r="N808" s="13"/>
      <c r="O808" s="13"/>
      <c r="P808" s="13"/>
      <c r="Q808" s="13"/>
      <c r="R808" s="13"/>
      <c r="S808" s="13"/>
      <c r="T808" s="13"/>
      <c r="U808" s="13"/>
      <c r="V808" s="13"/>
      <c r="W808" s="13"/>
      <c r="X808" s="13"/>
      <c r="Y808" s="13"/>
      <c r="Z808" s="13"/>
      <c r="AA808" s="13"/>
      <c r="AB808" s="13"/>
    </row>
    <row r="809" spans="1:28" ht="13.2">
      <c r="A809" s="53"/>
      <c r="B809" s="13"/>
      <c r="C809" s="16"/>
      <c r="D809" s="16">
        <f t="shared" si="14"/>
        <v>0</v>
      </c>
      <c r="E809" s="16">
        <f t="shared" si="15"/>
        <v>0</v>
      </c>
      <c r="F809" s="16"/>
      <c r="G809" s="16"/>
      <c r="H809" s="16"/>
      <c r="I809" s="16"/>
      <c r="J809" s="16"/>
      <c r="K809" s="13"/>
      <c r="L809" s="13"/>
      <c r="M809" s="13"/>
      <c r="N809" s="13"/>
      <c r="O809" s="13"/>
      <c r="P809" s="13"/>
      <c r="Q809" s="13"/>
      <c r="R809" s="13"/>
      <c r="S809" s="13"/>
      <c r="T809" s="13"/>
      <c r="U809" s="13"/>
      <c r="V809" s="13"/>
      <c r="W809" s="13"/>
      <c r="X809" s="13"/>
      <c r="Y809" s="13"/>
      <c r="Z809" s="13"/>
      <c r="AA809" s="13"/>
      <c r="AB809" s="13"/>
    </row>
    <row r="810" spans="1:28" ht="13.2">
      <c r="A810" s="53"/>
      <c r="B810" s="13"/>
      <c r="C810" s="16"/>
      <c r="D810" s="16">
        <f t="shared" si="14"/>
        <v>0</v>
      </c>
      <c r="E810" s="16">
        <f t="shared" si="15"/>
        <v>0</v>
      </c>
      <c r="F810" s="16"/>
      <c r="G810" s="16"/>
      <c r="H810" s="16"/>
      <c r="I810" s="16"/>
      <c r="J810" s="16"/>
      <c r="K810" s="13"/>
      <c r="L810" s="13"/>
      <c r="M810" s="13"/>
      <c r="N810" s="13"/>
      <c r="O810" s="13"/>
      <c r="P810" s="13"/>
      <c r="Q810" s="13"/>
      <c r="R810" s="13"/>
      <c r="S810" s="13"/>
      <c r="T810" s="13"/>
      <c r="U810" s="13"/>
      <c r="V810" s="13"/>
      <c r="W810" s="13"/>
      <c r="X810" s="13"/>
      <c r="Y810" s="13"/>
      <c r="Z810" s="13"/>
      <c r="AA810" s="13"/>
      <c r="AB810" s="13"/>
    </row>
    <row r="811" spans="1:28" ht="13.2">
      <c r="A811" s="53"/>
      <c r="B811" s="13"/>
      <c r="C811" s="16"/>
      <c r="D811" s="16">
        <f t="shared" si="14"/>
        <v>0</v>
      </c>
      <c r="E811" s="16">
        <f t="shared" si="15"/>
        <v>0</v>
      </c>
      <c r="F811" s="16"/>
      <c r="G811" s="16"/>
      <c r="H811" s="16"/>
      <c r="I811" s="16"/>
      <c r="J811" s="16"/>
      <c r="K811" s="13"/>
      <c r="L811" s="13"/>
      <c r="M811" s="13"/>
      <c r="N811" s="13"/>
      <c r="O811" s="13"/>
      <c r="P811" s="13"/>
      <c r="Q811" s="13"/>
      <c r="R811" s="13"/>
      <c r="S811" s="13"/>
      <c r="T811" s="13"/>
      <c r="U811" s="13"/>
      <c r="V811" s="13"/>
      <c r="W811" s="13"/>
      <c r="X811" s="13"/>
      <c r="Y811" s="13"/>
      <c r="Z811" s="13"/>
      <c r="AA811" s="13"/>
      <c r="AB811" s="13"/>
    </row>
    <row r="812" spans="1:28" ht="13.2">
      <c r="A812" s="53"/>
      <c r="B812" s="13"/>
      <c r="C812" s="16"/>
      <c r="D812" s="16">
        <f t="shared" si="14"/>
        <v>0</v>
      </c>
      <c r="E812" s="16">
        <f t="shared" si="15"/>
        <v>0</v>
      </c>
      <c r="F812" s="16"/>
      <c r="G812" s="16"/>
      <c r="H812" s="16"/>
      <c r="I812" s="16"/>
      <c r="J812" s="16"/>
      <c r="K812" s="13"/>
      <c r="L812" s="13"/>
      <c r="M812" s="13"/>
      <c r="N812" s="13"/>
      <c r="O812" s="13"/>
      <c r="P812" s="13"/>
      <c r="Q812" s="13"/>
      <c r="R812" s="13"/>
      <c r="S812" s="13"/>
      <c r="T812" s="13"/>
      <c r="U812" s="13"/>
      <c r="V812" s="13"/>
      <c r="W812" s="13"/>
      <c r="X812" s="13"/>
      <c r="Y812" s="13"/>
      <c r="Z812" s="13"/>
      <c r="AA812" s="13"/>
      <c r="AB812" s="13"/>
    </row>
    <row r="813" spans="1:28" ht="13.2">
      <c r="A813" s="53"/>
      <c r="B813" s="13"/>
      <c r="C813" s="16"/>
      <c r="D813" s="16">
        <f t="shared" si="14"/>
        <v>0</v>
      </c>
      <c r="E813" s="16">
        <f t="shared" si="15"/>
        <v>0</v>
      </c>
      <c r="F813" s="16"/>
      <c r="G813" s="16"/>
      <c r="H813" s="16"/>
      <c r="I813" s="16"/>
      <c r="J813" s="16"/>
      <c r="K813" s="13"/>
      <c r="L813" s="13"/>
      <c r="M813" s="13"/>
      <c r="N813" s="13"/>
      <c r="O813" s="13"/>
      <c r="P813" s="13"/>
      <c r="Q813" s="13"/>
      <c r="R813" s="13"/>
      <c r="S813" s="13"/>
      <c r="T813" s="13"/>
      <c r="U813" s="13"/>
      <c r="V813" s="13"/>
      <c r="W813" s="13"/>
      <c r="X813" s="13"/>
      <c r="Y813" s="13"/>
      <c r="Z813" s="13"/>
      <c r="AA813" s="13"/>
      <c r="AB813" s="13"/>
    </row>
    <row r="814" spans="1:28" ht="13.2">
      <c r="A814" s="53"/>
      <c r="B814" s="13"/>
      <c r="C814" s="16"/>
      <c r="D814" s="16">
        <f t="shared" si="14"/>
        <v>0</v>
      </c>
      <c r="E814" s="16">
        <f t="shared" si="15"/>
        <v>0</v>
      </c>
      <c r="F814" s="16"/>
      <c r="G814" s="16"/>
      <c r="H814" s="16"/>
      <c r="I814" s="16"/>
      <c r="J814" s="16"/>
      <c r="K814" s="13"/>
      <c r="L814" s="13"/>
      <c r="M814" s="13"/>
      <c r="N814" s="13"/>
      <c r="O814" s="13"/>
      <c r="P814" s="13"/>
      <c r="Q814" s="13"/>
      <c r="R814" s="13"/>
      <c r="S814" s="13"/>
      <c r="T814" s="13"/>
      <c r="U814" s="13"/>
      <c r="V814" s="13"/>
      <c r="W814" s="13"/>
      <c r="X814" s="13"/>
      <c r="Y814" s="13"/>
      <c r="Z814" s="13"/>
      <c r="AA814" s="13"/>
      <c r="AB814" s="13"/>
    </row>
    <row r="815" spans="1:28" ht="13.2">
      <c r="A815" s="53"/>
      <c r="B815" s="13"/>
      <c r="C815" s="16"/>
      <c r="D815" s="16">
        <f t="shared" si="14"/>
        <v>0</v>
      </c>
      <c r="E815" s="16">
        <f t="shared" si="15"/>
        <v>0</v>
      </c>
      <c r="F815" s="16"/>
      <c r="G815" s="16"/>
      <c r="H815" s="16"/>
      <c r="I815" s="16"/>
      <c r="J815" s="16"/>
      <c r="K815" s="13"/>
      <c r="L815" s="13"/>
      <c r="M815" s="13"/>
      <c r="N815" s="13"/>
      <c r="O815" s="13"/>
      <c r="P815" s="13"/>
      <c r="Q815" s="13"/>
      <c r="R815" s="13"/>
      <c r="S815" s="13"/>
      <c r="T815" s="13"/>
      <c r="U815" s="13"/>
      <c r="V815" s="13"/>
      <c r="W815" s="13"/>
      <c r="X815" s="13"/>
      <c r="Y815" s="13"/>
      <c r="Z815" s="13"/>
      <c r="AA815" s="13"/>
      <c r="AB815" s="13"/>
    </row>
    <row r="816" spans="1:28" ht="13.2">
      <c r="A816" s="53"/>
      <c r="B816" s="13"/>
      <c r="C816" s="16"/>
      <c r="D816" s="16">
        <f t="shared" si="14"/>
        <v>0</v>
      </c>
      <c r="E816" s="16">
        <f t="shared" si="15"/>
        <v>0</v>
      </c>
      <c r="F816" s="16"/>
      <c r="G816" s="16"/>
      <c r="H816" s="16"/>
      <c r="I816" s="16"/>
      <c r="J816" s="16"/>
      <c r="K816" s="13"/>
      <c r="L816" s="13"/>
      <c r="M816" s="13"/>
      <c r="N816" s="13"/>
      <c r="O816" s="13"/>
      <c r="P816" s="13"/>
      <c r="Q816" s="13"/>
      <c r="R816" s="13"/>
      <c r="S816" s="13"/>
      <c r="T816" s="13"/>
      <c r="U816" s="13"/>
      <c r="V816" s="13"/>
      <c r="W816" s="13"/>
      <c r="X816" s="13"/>
      <c r="Y816" s="13"/>
      <c r="Z816" s="13"/>
      <c r="AA816" s="13"/>
      <c r="AB816" s="13"/>
    </row>
    <row r="817" spans="1:28" ht="13.2">
      <c r="A817" s="53"/>
      <c r="B817" s="13"/>
      <c r="C817" s="16"/>
      <c r="D817" s="16">
        <f t="shared" si="14"/>
        <v>0</v>
      </c>
      <c r="E817" s="16">
        <f t="shared" si="15"/>
        <v>0</v>
      </c>
      <c r="F817" s="16"/>
      <c r="G817" s="16"/>
      <c r="H817" s="16"/>
      <c r="I817" s="16"/>
      <c r="J817" s="16"/>
      <c r="K817" s="13"/>
      <c r="L817" s="13"/>
      <c r="M817" s="13"/>
      <c r="N817" s="13"/>
      <c r="O817" s="13"/>
      <c r="P817" s="13"/>
      <c r="Q817" s="13"/>
      <c r="R817" s="13"/>
      <c r="S817" s="13"/>
      <c r="T817" s="13"/>
      <c r="U817" s="13"/>
      <c r="V817" s="13"/>
      <c r="W817" s="13"/>
      <c r="X817" s="13"/>
      <c r="Y817" s="13"/>
      <c r="Z817" s="13"/>
      <c r="AA817" s="13"/>
      <c r="AB817" s="13"/>
    </row>
    <row r="818" spans="1:28" ht="13.2">
      <c r="A818" s="53"/>
      <c r="B818" s="13"/>
      <c r="C818" s="16"/>
      <c r="D818" s="16">
        <f t="shared" si="14"/>
        <v>0</v>
      </c>
      <c r="E818" s="16">
        <f t="shared" si="15"/>
        <v>0</v>
      </c>
      <c r="F818" s="16"/>
      <c r="G818" s="16"/>
      <c r="H818" s="16"/>
      <c r="I818" s="16"/>
      <c r="J818" s="16"/>
      <c r="K818" s="13"/>
      <c r="L818" s="13"/>
      <c r="M818" s="13"/>
      <c r="N818" s="13"/>
      <c r="O818" s="13"/>
      <c r="P818" s="13"/>
      <c r="Q818" s="13"/>
      <c r="R818" s="13"/>
      <c r="S818" s="13"/>
      <c r="T818" s="13"/>
      <c r="U818" s="13"/>
      <c r="V818" s="13"/>
      <c r="W818" s="13"/>
      <c r="X818" s="13"/>
      <c r="Y818" s="13"/>
      <c r="Z818" s="13"/>
      <c r="AA818" s="13"/>
      <c r="AB818" s="13"/>
    </row>
    <row r="819" spans="1:28" ht="13.2">
      <c r="A819" s="53"/>
      <c r="B819" s="13"/>
      <c r="C819" s="16"/>
      <c r="D819" s="16">
        <f t="shared" si="14"/>
        <v>0</v>
      </c>
      <c r="E819" s="16">
        <f t="shared" si="15"/>
        <v>0</v>
      </c>
      <c r="F819" s="16"/>
      <c r="G819" s="16"/>
      <c r="H819" s="16"/>
      <c r="I819" s="16"/>
      <c r="J819" s="16"/>
      <c r="K819" s="13"/>
      <c r="L819" s="13"/>
      <c r="M819" s="13"/>
      <c r="N819" s="13"/>
      <c r="O819" s="13"/>
      <c r="P819" s="13"/>
      <c r="Q819" s="13"/>
      <c r="R819" s="13"/>
      <c r="S819" s="13"/>
      <c r="T819" s="13"/>
      <c r="U819" s="13"/>
      <c r="V819" s="13"/>
      <c r="W819" s="13"/>
      <c r="X819" s="13"/>
      <c r="Y819" s="13"/>
      <c r="Z819" s="13"/>
      <c r="AA819" s="13"/>
      <c r="AB819" s="13"/>
    </row>
    <row r="820" spans="1:28" ht="13.2">
      <c r="A820" s="53"/>
      <c r="B820" s="13"/>
      <c r="C820" s="16"/>
      <c r="D820" s="16">
        <f t="shared" si="14"/>
        <v>0</v>
      </c>
      <c r="E820" s="16">
        <f t="shared" si="15"/>
        <v>0</v>
      </c>
      <c r="F820" s="16"/>
      <c r="G820" s="16"/>
      <c r="H820" s="16"/>
      <c r="I820" s="16"/>
      <c r="J820" s="16"/>
      <c r="K820" s="13"/>
      <c r="L820" s="13"/>
      <c r="M820" s="13"/>
      <c r="N820" s="13"/>
      <c r="O820" s="13"/>
      <c r="P820" s="13"/>
      <c r="Q820" s="13"/>
      <c r="R820" s="13"/>
      <c r="S820" s="13"/>
      <c r="T820" s="13"/>
      <c r="U820" s="13"/>
      <c r="V820" s="13"/>
      <c r="W820" s="13"/>
      <c r="X820" s="13"/>
      <c r="Y820" s="13"/>
      <c r="Z820" s="13"/>
      <c r="AA820" s="13"/>
      <c r="AB820" s="13"/>
    </row>
    <row r="821" spans="1:28" ht="13.2">
      <c r="A821" s="53"/>
      <c r="B821" s="13"/>
      <c r="C821" s="16"/>
      <c r="D821" s="16">
        <f t="shared" si="14"/>
        <v>0</v>
      </c>
      <c r="E821" s="16">
        <f t="shared" si="15"/>
        <v>0</v>
      </c>
      <c r="F821" s="16"/>
      <c r="G821" s="16"/>
      <c r="H821" s="16"/>
      <c r="I821" s="16"/>
      <c r="J821" s="16"/>
      <c r="K821" s="13"/>
      <c r="L821" s="13"/>
      <c r="M821" s="13"/>
      <c r="N821" s="13"/>
      <c r="O821" s="13"/>
      <c r="P821" s="13"/>
      <c r="Q821" s="13"/>
      <c r="R821" s="13"/>
      <c r="S821" s="13"/>
      <c r="T821" s="13"/>
      <c r="U821" s="13"/>
      <c r="V821" s="13"/>
      <c r="W821" s="13"/>
      <c r="X821" s="13"/>
      <c r="Y821" s="13"/>
      <c r="Z821" s="13"/>
      <c r="AA821" s="13"/>
      <c r="AB821" s="13"/>
    </row>
    <row r="822" spans="1:28" ht="13.2">
      <c r="A822" s="53"/>
      <c r="B822" s="13"/>
      <c r="C822" s="16"/>
      <c r="D822" s="16">
        <f t="shared" si="14"/>
        <v>0</v>
      </c>
      <c r="E822" s="16">
        <f t="shared" si="15"/>
        <v>0</v>
      </c>
      <c r="F822" s="16"/>
      <c r="G822" s="16"/>
      <c r="H822" s="16"/>
      <c r="I822" s="16"/>
      <c r="J822" s="16"/>
      <c r="K822" s="13"/>
      <c r="L822" s="13"/>
      <c r="M822" s="13"/>
      <c r="N822" s="13"/>
      <c r="O822" s="13"/>
      <c r="P822" s="13"/>
      <c r="Q822" s="13"/>
      <c r="R822" s="13"/>
      <c r="S822" s="13"/>
      <c r="T822" s="13"/>
      <c r="U822" s="13"/>
      <c r="V822" s="13"/>
      <c r="W822" s="13"/>
      <c r="X822" s="13"/>
      <c r="Y822" s="13"/>
      <c r="Z822" s="13"/>
      <c r="AA822" s="13"/>
      <c r="AB822" s="13"/>
    </row>
    <row r="823" spans="1:28" ht="13.2">
      <c r="A823" s="53"/>
      <c r="B823" s="13"/>
      <c r="C823" s="16"/>
      <c r="D823" s="16">
        <f t="shared" si="14"/>
        <v>0</v>
      </c>
      <c r="E823" s="16">
        <f t="shared" si="15"/>
        <v>0</v>
      </c>
      <c r="F823" s="16"/>
      <c r="G823" s="16"/>
      <c r="H823" s="16"/>
      <c r="I823" s="16"/>
      <c r="J823" s="16"/>
      <c r="K823" s="13"/>
      <c r="L823" s="13"/>
      <c r="M823" s="13"/>
      <c r="N823" s="13"/>
      <c r="O823" s="13"/>
      <c r="P823" s="13"/>
      <c r="Q823" s="13"/>
      <c r="R823" s="13"/>
      <c r="S823" s="13"/>
      <c r="T823" s="13"/>
      <c r="U823" s="13"/>
      <c r="V823" s="13"/>
      <c r="W823" s="13"/>
      <c r="X823" s="13"/>
      <c r="Y823" s="13"/>
      <c r="Z823" s="13"/>
      <c r="AA823" s="13"/>
      <c r="AB823" s="13"/>
    </row>
    <row r="824" spans="1:28" ht="13.2">
      <c r="A824" s="53"/>
      <c r="B824" s="13"/>
      <c r="C824" s="16"/>
      <c r="D824" s="16">
        <f t="shared" si="14"/>
        <v>0</v>
      </c>
      <c r="E824" s="16">
        <f t="shared" si="15"/>
        <v>0</v>
      </c>
      <c r="F824" s="16"/>
      <c r="G824" s="16"/>
      <c r="H824" s="16"/>
      <c r="I824" s="16"/>
      <c r="J824" s="16"/>
      <c r="K824" s="13"/>
      <c r="L824" s="13"/>
      <c r="M824" s="13"/>
      <c r="N824" s="13"/>
      <c r="O824" s="13"/>
      <c r="P824" s="13"/>
      <c r="Q824" s="13"/>
      <c r="R824" s="13"/>
      <c r="S824" s="13"/>
      <c r="T824" s="13"/>
      <c r="U824" s="13"/>
      <c r="V824" s="13"/>
      <c r="W824" s="13"/>
      <c r="X824" s="13"/>
      <c r="Y824" s="13"/>
      <c r="Z824" s="13"/>
      <c r="AA824" s="13"/>
      <c r="AB824" s="13"/>
    </row>
    <row r="825" spans="1:28" ht="13.2">
      <c r="A825" s="53"/>
      <c r="B825" s="13"/>
      <c r="C825" s="16"/>
      <c r="D825" s="16">
        <f t="shared" si="14"/>
        <v>0</v>
      </c>
      <c r="E825" s="16">
        <f t="shared" si="15"/>
        <v>0</v>
      </c>
      <c r="F825" s="16"/>
      <c r="G825" s="16"/>
      <c r="H825" s="16"/>
      <c r="I825" s="16"/>
      <c r="J825" s="16"/>
      <c r="K825" s="13"/>
      <c r="L825" s="13"/>
      <c r="M825" s="13"/>
      <c r="N825" s="13"/>
      <c r="O825" s="13"/>
      <c r="P825" s="13"/>
      <c r="Q825" s="13"/>
      <c r="R825" s="13"/>
      <c r="S825" s="13"/>
      <c r="T825" s="13"/>
      <c r="U825" s="13"/>
      <c r="V825" s="13"/>
      <c r="W825" s="13"/>
      <c r="X825" s="13"/>
      <c r="Y825" s="13"/>
      <c r="Z825" s="13"/>
      <c r="AA825" s="13"/>
      <c r="AB825" s="13"/>
    </row>
    <row r="826" spans="1:28" ht="13.2">
      <c r="A826" s="53"/>
      <c r="B826" s="13"/>
      <c r="C826" s="16"/>
      <c r="D826" s="16">
        <f t="shared" si="14"/>
        <v>0</v>
      </c>
      <c r="E826" s="16">
        <f t="shared" si="15"/>
        <v>0</v>
      </c>
      <c r="F826" s="16"/>
      <c r="G826" s="16"/>
      <c r="H826" s="16"/>
      <c r="I826" s="16"/>
      <c r="J826" s="16"/>
      <c r="K826" s="13"/>
      <c r="L826" s="13"/>
      <c r="M826" s="13"/>
      <c r="N826" s="13"/>
      <c r="O826" s="13"/>
      <c r="P826" s="13"/>
      <c r="Q826" s="13"/>
      <c r="R826" s="13"/>
      <c r="S826" s="13"/>
      <c r="T826" s="13"/>
      <c r="U826" s="13"/>
      <c r="V826" s="13"/>
      <c r="W826" s="13"/>
      <c r="X826" s="13"/>
      <c r="Y826" s="13"/>
      <c r="Z826" s="13"/>
      <c r="AA826" s="13"/>
      <c r="AB826" s="13"/>
    </row>
    <row r="827" spans="1:28" ht="13.2">
      <c r="A827" s="53"/>
      <c r="B827" s="13"/>
      <c r="C827" s="16"/>
      <c r="D827" s="16">
        <f t="shared" si="14"/>
        <v>0</v>
      </c>
      <c r="E827" s="16">
        <f t="shared" si="15"/>
        <v>0</v>
      </c>
      <c r="F827" s="16"/>
      <c r="G827" s="16"/>
      <c r="H827" s="16"/>
      <c r="I827" s="16"/>
      <c r="J827" s="16"/>
      <c r="K827" s="13"/>
      <c r="L827" s="13"/>
      <c r="M827" s="13"/>
      <c r="N827" s="13"/>
      <c r="O827" s="13"/>
      <c r="P827" s="13"/>
      <c r="Q827" s="13"/>
      <c r="R827" s="13"/>
      <c r="S827" s="13"/>
      <c r="T827" s="13"/>
      <c r="U827" s="13"/>
      <c r="V827" s="13"/>
      <c r="W827" s="13"/>
      <c r="X827" s="13"/>
      <c r="Y827" s="13"/>
      <c r="Z827" s="13"/>
      <c r="AA827" s="13"/>
      <c r="AB827" s="13"/>
    </row>
    <row r="828" spans="1:28" ht="13.2">
      <c r="A828" s="53"/>
      <c r="B828" s="13"/>
      <c r="C828" s="16"/>
      <c r="D828" s="16">
        <f t="shared" si="14"/>
        <v>0</v>
      </c>
      <c r="E828" s="16">
        <f t="shared" si="15"/>
        <v>0</v>
      </c>
      <c r="F828" s="16"/>
      <c r="G828" s="16"/>
      <c r="H828" s="16"/>
      <c r="I828" s="16"/>
      <c r="J828" s="16"/>
      <c r="K828" s="13"/>
      <c r="L828" s="13"/>
      <c r="M828" s="13"/>
      <c r="N828" s="13"/>
      <c r="O828" s="13"/>
      <c r="P828" s="13"/>
      <c r="Q828" s="13"/>
      <c r="R828" s="13"/>
      <c r="S828" s="13"/>
      <c r="T828" s="13"/>
      <c r="U828" s="13"/>
      <c r="V828" s="13"/>
      <c r="W828" s="13"/>
      <c r="X828" s="13"/>
      <c r="Y828" s="13"/>
      <c r="Z828" s="13"/>
      <c r="AA828" s="13"/>
      <c r="AB828" s="13"/>
    </row>
    <row r="829" spans="1:28" ht="13.2">
      <c r="A829" s="53"/>
      <c r="B829" s="13"/>
      <c r="C829" s="16"/>
      <c r="D829" s="16">
        <f t="shared" si="14"/>
        <v>0</v>
      </c>
      <c r="E829" s="16">
        <f t="shared" si="15"/>
        <v>0</v>
      </c>
      <c r="F829" s="16"/>
      <c r="G829" s="16"/>
      <c r="H829" s="16"/>
      <c r="I829" s="16"/>
      <c r="J829" s="16"/>
      <c r="K829" s="13"/>
      <c r="L829" s="13"/>
      <c r="M829" s="13"/>
      <c r="N829" s="13"/>
      <c r="O829" s="13"/>
      <c r="P829" s="13"/>
      <c r="Q829" s="13"/>
      <c r="R829" s="13"/>
      <c r="S829" s="13"/>
      <c r="T829" s="13"/>
      <c r="U829" s="13"/>
      <c r="V829" s="13"/>
      <c r="W829" s="13"/>
      <c r="X829" s="13"/>
      <c r="Y829" s="13"/>
      <c r="Z829" s="13"/>
      <c r="AA829" s="13"/>
      <c r="AB829" s="13"/>
    </row>
    <row r="830" spans="1:28" ht="13.2">
      <c r="A830" s="53"/>
      <c r="B830" s="13"/>
      <c r="C830" s="16"/>
      <c r="D830" s="16">
        <f t="shared" si="14"/>
        <v>0</v>
      </c>
      <c r="E830" s="16">
        <f t="shared" si="15"/>
        <v>0</v>
      </c>
      <c r="F830" s="16"/>
      <c r="G830" s="16"/>
      <c r="H830" s="16"/>
      <c r="I830" s="16"/>
      <c r="J830" s="16"/>
      <c r="K830" s="13"/>
      <c r="L830" s="13"/>
      <c r="M830" s="13"/>
      <c r="N830" s="13"/>
      <c r="O830" s="13"/>
      <c r="P830" s="13"/>
      <c r="Q830" s="13"/>
      <c r="R830" s="13"/>
      <c r="S830" s="13"/>
      <c r="T830" s="13"/>
      <c r="U830" s="13"/>
      <c r="V830" s="13"/>
      <c r="W830" s="13"/>
      <c r="X830" s="13"/>
      <c r="Y830" s="13"/>
      <c r="Z830" s="13"/>
      <c r="AA830" s="13"/>
      <c r="AB830" s="13"/>
    </row>
    <row r="831" spans="1:28" ht="13.2">
      <c r="A831" s="53"/>
      <c r="B831" s="13"/>
      <c r="C831" s="16"/>
      <c r="D831" s="16">
        <f t="shared" si="14"/>
        <v>0</v>
      </c>
      <c r="E831" s="16">
        <f t="shared" si="15"/>
        <v>0</v>
      </c>
      <c r="F831" s="16"/>
      <c r="G831" s="16"/>
      <c r="H831" s="16"/>
      <c r="I831" s="16"/>
      <c r="J831" s="16"/>
      <c r="K831" s="13"/>
      <c r="L831" s="13"/>
      <c r="M831" s="13"/>
      <c r="N831" s="13"/>
      <c r="O831" s="13"/>
      <c r="P831" s="13"/>
      <c r="Q831" s="13"/>
      <c r="R831" s="13"/>
      <c r="S831" s="13"/>
      <c r="T831" s="13"/>
      <c r="U831" s="13"/>
      <c r="V831" s="13"/>
      <c r="W831" s="13"/>
      <c r="X831" s="13"/>
      <c r="Y831" s="13"/>
      <c r="Z831" s="13"/>
      <c r="AA831" s="13"/>
      <c r="AB831" s="13"/>
    </row>
    <row r="832" spans="1:28" ht="13.2">
      <c r="A832" s="53"/>
      <c r="B832" s="13"/>
      <c r="C832" s="16"/>
      <c r="D832" s="16">
        <f t="shared" si="14"/>
        <v>0</v>
      </c>
      <c r="E832" s="16">
        <f t="shared" si="15"/>
        <v>0</v>
      </c>
      <c r="F832" s="16"/>
      <c r="G832" s="16"/>
      <c r="H832" s="16"/>
      <c r="I832" s="16"/>
      <c r="J832" s="16"/>
      <c r="K832" s="13"/>
      <c r="L832" s="13"/>
      <c r="M832" s="13"/>
      <c r="N832" s="13"/>
      <c r="O832" s="13"/>
      <c r="P832" s="13"/>
      <c r="Q832" s="13"/>
      <c r="R832" s="13"/>
      <c r="S832" s="13"/>
      <c r="T832" s="13"/>
      <c r="U832" s="13"/>
      <c r="V832" s="13"/>
      <c r="W832" s="13"/>
      <c r="X832" s="13"/>
      <c r="Y832" s="13"/>
      <c r="Z832" s="13"/>
      <c r="AA832" s="13"/>
      <c r="AB832" s="13"/>
    </row>
    <row r="833" spans="1:28" ht="13.2">
      <c r="A833" s="53"/>
      <c r="B833" s="13"/>
      <c r="C833" s="16"/>
      <c r="D833" s="16">
        <f t="shared" si="14"/>
        <v>0</v>
      </c>
      <c r="E833" s="16">
        <f t="shared" si="15"/>
        <v>0</v>
      </c>
      <c r="F833" s="16"/>
      <c r="G833" s="16"/>
      <c r="H833" s="16"/>
      <c r="I833" s="16"/>
      <c r="J833" s="16"/>
      <c r="K833" s="13"/>
      <c r="L833" s="13"/>
      <c r="M833" s="13"/>
      <c r="N833" s="13"/>
      <c r="O833" s="13"/>
      <c r="P833" s="13"/>
      <c r="Q833" s="13"/>
      <c r="R833" s="13"/>
      <c r="S833" s="13"/>
      <c r="T833" s="13"/>
      <c r="U833" s="13"/>
      <c r="V833" s="13"/>
      <c r="W833" s="13"/>
      <c r="X833" s="13"/>
      <c r="Y833" s="13"/>
      <c r="Z833" s="13"/>
      <c r="AA833" s="13"/>
      <c r="AB833" s="13"/>
    </row>
    <row r="834" spans="1:28" ht="13.2">
      <c r="A834" s="53"/>
      <c r="B834" s="13"/>
      <c r="C834" s="16"/>
      <c r="D834" s="16">
        <f t="shared" si="14"/>
        <v>0</v>
      </c>
      <c r="E834" s="16">
        <f t="shared" si="15"/>
        <v>0</v>
      </c>
      <c r="F834" s="16"/>
      <c r="G834" s="16"/>
      <c r="H834" s="16"/>
      <c r="I834" s="16"/>
      <c r="J834" s="16"/>
      <c r="K834" s="13"/>
      <c r="L834" s="13"/>
      <c r="M834" s="13"/>
      <c r="N834" s="13"/>
      <c r="O834" s="13"/>
      <c r="P834" s="13"/>
      <c r="Q834" s="13"/>
      <c r="R834" s="13"/>
      <c r="S834" s="13"/>
      <c r="T834" s="13"/>
      <c r="U834" s="13"/>
      <c r="V834" s="13"/>
      <c r="W834" s="13"/>
      <c r="X834" s="13"/>
      <c r="Y834" s="13"/>
      <c r="Z834" s="13"/>
      <c r="AA834" s="13"/>
      <c r="AB834" s="13"/>
    </row>
    <row r="835" spans="1:28" ht="13.2">
      <c r="A835" s="53"/>
      <c r="B835" s="13"/>
      <c r="C835" s="16"/>
      <c r="D835" s="16">
        <f t="shared" si="14"/>
        <v>0</v>
      </c>
      <c r="E835" s="16">
        <f t="shared" si="15"/>
        <v>0</v>
      </c>
      <c r="F835" s="16"/>
      <c r="G835" s="16"/>
      <c r="H835" s="16"/>
      <c r="I835" s="16"/>
      <c r="J835" s="16"/>
      <c r="K835" s="13"/>
      <c r="L835" s="13"/>
      <c r="M835" s="13"/>
      <c r="N835" s="13"/>
      <c r="O835" s="13"/>
      <c r="P835" s="13"/>
      <c r="Q835" s="13"/>
      <c r="R835" s="13"/>
      <c r="S835" s="13"/>
      <c r="T835" s="13"/>
      <c r="U835" s="13"/>
      <c r="V835" s="13"/>
      <c r="W835" s="13"/>
      <c r="X835" s="13"/>
      <c r="Y835" s="13"/>
      <c r="Z835" s="13"/>
      <c r="AA835" s="13"/>
      <c r="AB835" s="13"/>
    </row>
    <row r="836" spans="1:28" ht="13.2">
      <c r="A836" s="53"/>
      <c r="B836" s="13"/>
      <c r="C836" s="16"/>
      <c r="D836" s="16">
        <f t="shared" si="14"/>
        <v>0</v>
      </c>
      <c r="E836" s="16">
        <f t="shared" si="15"/>
        <v>0</v>
      </c>
      <c r="F836" s="16"/>
      <c r="G836" s="16"/>
      <c r="H836" s="16"/>
      <c r="I836" s="16"/>
      <c r="J836" s="16"/>
      <c r="K836" s="13"/>
      <c r="L836" s="13"/>
      <c r="M836" s="13"/>
      <c r="N836" s="13"/>
      <c r="O836" s="13"/>
      <c r="P836" s="13"/>
      <c r="Q836" s="13"/>
      <c r="R836" s="13"/>
      <c r="S836" s="13"/>
      <c r="T836" s="13"/>
      <c r="U836" s="13"/>
      <c r="V836" s="13"/>
      <c r="W836" s="13"/>
      <c r="X836" s="13"/>
      <c r="Y836" s="13"/>
      <c r="Z836" s="13"/>
      <c r="AA836" s="13"/>
      <c r="AB836" s="13"/>
    </row>
    <row r="837" spans="1:28" ht="13.2">
      <c r="A837" s="53"/>
      <c r="B837" s="13"/>
      <c r="C837" s="16"/>
      <c r="D837" s="16">
        <f t="shared" si="14"/>
        <v>0</v>
      </c>
      <c r="E837" s="16">
        <f t="shared" si="15"/>
        <v>0</v>
      </c>
      <c r="F837" s="16"/>
      <c r="G837" s="16"/>
      <c r="H837" s="16"/>
      <c r="I837" s="16"/>
      <c r="J837" s="16"/>
      <c r="K837" s="13"/>
      <c r="L837" s="13"/>
      <c r="M837" s="13"/>
      <c r="N837" s="13"/>
      <c r="O837" s="13"/>
      <c r="P837" s="13"/>
      <c r="Q837" s="13"/>
      <c r="R837" s="13"/>
      <c r="S837" s="13"/>
      <c r="T837" s="13"/>
      <c r="U837" s="13"/>
      <c r="V837" s="13"/>
      <c r="W837" s="13"/>
      <c r="X837" s="13"/>
      <c r="Y837" s="13"/>
      <c r="Z837" s="13"/>
      <c r="AA837" s="13"/>
      <c r="AB837" s="13"/>
    </row>
    <row r="838" spans="1:28" ht="13.2">
      <c r="A838" s="53"/>
      <c r="B838" s="13"/>
      <c r="C838" s="16"/>
      <c r="D838" s="16">
        <f t="shared" si="14"/>
        <v>0</v>
      </c>
      <c r="E838" s="16">
        <f t="shared" si="15"/>
        <v>0</v>
      </c>
      <c r="F838" s="16"/>
      <c r="G838" s="16"/>
      <c r="H838" s="16"/>
      <c r="I838" s="16"/>
      <c r="J838" s="16"/>
      <c r="K838" s="13"/>
      <c r="L838" s="13"/>
      <c r="M838" s="13"/>
      <c r="N838" s="13"/>
      <c r="O838" s="13"/>
      <c r="P838" s="13"/>
      <c r="Q838" s="13"/>
      <c r="R838" s="13"/>
      <c r="S838" s="13"/>
      <c r="T838" s="13"/>
      <c r="U838" s="13"/>
      <c r="V838" s="13"/>
      <c r="W838" s="13"/>
      <c r="X838" s="13"/>
      <c r="Y838" s="13"/>
      <c r="Z838" s="13"/>
      <c r="AA838" s="13"/>
      <c r="AB838" s="13"/>
    </row>
    <row r="839" spans="1:28" ht="13.2">
      <c r="A839" s="53"/>
      <c r="B839" s="13"/>
      <c r="C839" s="16"/>
      <c r="D839" s="16">
        <f t="shared" si="14"/>
        <v>0</v>
      </c>
      <c r="E839" s="16">
        <f t="shared" si="15"/>
        <v>0</v>
      </c>
      <c r="F839" s="16"/>
      <c r="G839" s="16"/>
      <c r="H839" s="16"/>
      <c r="I839" s="16"/>
      <c r="J839" s="16"/>
      <c r="K839" s="13"/>
      <c r="L839" s="13"/>
      <c r="M839" s="13"/>
      <c r="N839" s="13"/>
      <c r="O839" s="13"/>
      <c r="P839" s="13"/>
      <c r="Q839" s="13"/>
      <c r="R839" s="13"/>
      <c r="S839" s="13"/>
      <c r="T839" s="13"/>
      <c r="U839" s="13"/>
      <c r="V839" s="13"/>
      <c r="W839" s="13"/>
      <c r="X839" s="13"/>
      <c r="Y839" s="13"/>
      <c r="Z839" s="13"/>
      <c r="AA839" s="13"/>
      <c r="AB839" s="13"/>
    </row>
    <row r="840" spans="1:28" ht="13.2">
      <c r="A840" s="53"/>
      <c r="B840" s="13"/>
      <c r="C840" s="16"/>
      <c r="D840" s="16">
        <f t="shared" si="14"/>
        <v>0</v>
      </c>
      <c r="E840" s="16">
        <f t="shared" si="15"/>
        <v>0</v>
      </c>
      <c r="F840" s="16"/>
      <c r="G840" s="16"/>
      <c r="H840" s="16"/>
      <c r="I840" s="16"/>
      <c r="J840" s="16"/>
      <c r="K840" s="13"/>
      <c r="L840" s="13"/>
      <c r="M840" s="13"/>
      <c r="N840" s="13"/>
      <c r="O840" s="13"/>
      <c r="P840" s="13"/>
      <c r="Q840" s="13"/>
      <c r="R840" s="13"/>
      <c r="S840" s="13"/>
      <c r="T840" s="13"/>
      <c r="U840" s="13"/>
      <c r="V840" s="13"/>
      <c r="W840" s="13"/>
      <c r="X840" s="13"/>
      <c r="Y840" s="13"/>
      <c r="Z840" s="13"/>
      <c r="AA840" s="13"/>
      <c r="AB840" s="13"/>
    </row>
    <row r="841" spans="1:28" ht="13.2">
      <c r="A841" s="53"/>
      <c r="B841" s="13"/>
      <c r="C841" s="16"/>
      <c r="D841" s="16">
        <f t="shared" si="14"/>
        <v>0</v>
      </c>
      <c r="E841" s="16">
        <f t="shared" si="15"/>
        <v>0</v>
      </c>
      <c r="F841" s="16"/>
      <c r="G841" s="16"/>
      <c r="H841" s="16"/>
      <c r="I841" s="16"/>
      <c r="J841" s="16"/>
      <c r="K841" s="13"/>
      <c r="L841" s="13"/>
      <c r="M841" s="13"/>
      <c r="N841" s="13"/>
      <c r="O841" s="13"/>
      <c r="P841" s="13"/>
      <c r="Q841" s="13"/>
      <c r="R841" s="13"/>
      <c r="S841" s="13"/>
      <c r="T841" s="13"/>
      <c r="U841" s="13"/>
      <c r="V841" s="13"/>
      <c r="W841" s="13"/>
      <c r="X841" s="13"/>
      <c r="Y841" s="13"/>
      <c r="Z841" s="13"/>
      <c r="AA841" s="13"/>
      <c r="AB841" s="13"/>
    </row>
    <row r="842" spans="1:28" ht="13.2">
      <c r="A842" s="53"/>
      <c r="B842" s="13"/>
      <c r="C842" s="16"/>
      <c r="D842" s="16">
        <f t="shared" si="14"/>
        <v>0</v>
      </c>
      <c r="E842" s="16">
        <f t="shared" si="15"/>
        <v>0</v>
      </c>
      <c r="F842" s="16"/>
      <c r="G842" s="16"/>
      <c r="H842" s="16"/>
      <c r="I842" s="16"/>
      <c r="J842" s="16"/>
      <c r="K842" s="13"/>
      <c r="L842" s="13"/>
      <c r="M842" s="13"/>
      <c r="N842" s="13"/>
      <c r="O842" s="13"/>
      <c r="P842" s="13"/>
      <c r="Q842" s="13"/>
      <c r="R842" s="13"/>
      <c r="S842" s="13"/>
      <c r="T842" s="13"/>
      <c r="U842" s="13"/>
      <c r="V842" s="13"/>
      <c r="W842" s="13"/>
      <c r="X842" s="13"/>
      <c r="Y842" s="13"/>
      <c r="Z842" s="13"/>
      <c r="AA842" s="13"/>
      <c r="AB842" s="13"/>
    </row>
    <row r="843" spans="1:28" ht="13.2">
      <c r="A843" s="53"/>
      <c r="B843" s="13"/>
      <c r="C843" s="16"/>
      <c r="D843" s="16">
        <f t="shared" si="14"/>
        <v>0</v>
      </c>
      <c r="E843" s="16">
        <f t="shared" si="15"/>
        <v>0</v>
      </c>
      <c r="F843" s="16"/>
      <c r="G843" s="16"/>
      <c r="H843" s="16"/>
      <c r="I843" s="16"/>
      <c r="J843" s="16"/>
      <c r="K843" s="13"/>
      <c r="L843" s="13"/>
      <c r="M843" s="13"/>
      <c r="N843" s="13"/>
      <c r="O843" s="13"/>
      <c r="P843" s="13"/>
      <c r="Q843" s="13"/>
      <c r="R843" s="13"/>
      <c r="S843" s="13"/>
      <c r="T843" s="13"/>
      <c r="U843" s="13"/>
      <c r="V843" s="13"/>
      <c r="W843" s="13"/>
      <c r="X843" s="13"/>
      <c r="Y843" s="13"/>
      <c r="Z843" s="13"/>
      <c r="AA843" s="13"/>
      <c r="AB843" s="13"/>
    </row>
    <row r="844" spans="1:28" ht="13.2">
      <c r="A844" s="53"/>
      <c r="B844" s="13"/>
      <c r="C844" s="16"/>
      <c r="D844" s="16">
        <f t="shared" si="14"/>
        <v>0</v>
      </c>
      <c r="E844" s="16">
        <f t="shared" si="15"/>
        <v>0</v>
      </c>
      <c r="F844" s="16"/>
      <c r="G844" s="16"/>
      <c r="H844" s="16"/>
      <c r="I844" s="16"/>
      <c r="J844" s="16"/>
      <c r="K844" s="13"/>
      <c r="L844" s="13"/>
      <c r="M844" s="13"/>
      <c r="N844" s="13"/>
      <c r="O844" s="13"/>
      <c r="P844" s="13"/>
      <c r="Q844" s="13"/>
      <c r="R844" s="13"/>
      <c r="S844" s="13"/>
      <c r="T844" s="13"/>
      <c r="U844" s="13"/>
      <c r="V844" s="13"/>
      <c r="W844" s="13"/>
      <c r="X844" s="13"/>
      <c r="Y844" s="13"/>
      <c r="Z844" s="13"/>
      <c r="AA844" s="13"/>
      <c r="AB844" s="13"/>
    </row>
    <row r="845" spans="1:28" ht="13.2">
      <c r="A845" s="53"/>
      <c r="B845" s="13"/>
      <c r="C845" s="16"/>
      <c r="D845" s="16">
        <f t="shared" si="14"/>
        <v>0</v>
      </c>
      <c r="E845" s="16">
        <f t="shared" si="15"/>
        <v>0</v>
      </c>
      <c r="F845" s="16"/>
      <c r="G845" s="16"/>
      <c r="H845" s="16"/>
      <c r="I845" s="16"/>
      <c r="J845" s="16"/>
      <c r="K845" s="13"/>
      <c r="L845" s="13"/>
      <c r="M845" s="13"/>
      <c r="N845" s="13"/>
      <c r="O845" s="13"/>
      <c r="P845" s="13"/>
      <c r="Q845" s="13"/>
      <c r="R845" s="13"/>
      <c r="S845" s="13"/>
      <c r="T845" s="13"/>
      <c r="U845" s="13"/>
      <c r="V845" s="13"/>
      <c r="W845" s="13"/>
      <c r="X845" s="13"/>
      <c r="Y845" s="13"/>
      <c r="Z845" s="13"/>
      <c r="AA845" s="13"/>
      <c r="AB845" s="13"/>
    </row>
    <row r="846" spans="1:28" ht="13.2">
      <c r="A846" s="53"/>
      <c r="B846" s="13"/>
      <c r="C846" s="16"/>
      <c r="D846" s="16">
        <f t="shared" si="14"/>
        <v>0</v>
      </c>
      <c r="E846" s="16">
        <f t="shared" si="15"/>
        <v>0</v>
      </c>
      <c r="F846" s="16"/>
      <c r="G846" s="16"/>
      <c r="H846" s="16"/>
      <c r="I846" s="16"/>
      <c r="J846" s="16"/>
      <c r="K846" s="13"/>
      <c r="L846" s="13"/>
      <c r="M846" s="13"/>
      <c r="N846" s="13"/>
      <c r="O846" s="13"/>
      <c r="P846" s="13"/>
      <c r="Q846" s="13"/>
      <c r="R846" s="13"/>
      <c r="S846" s="13"/>
      <c r="T846" s="13"/>
      <c r="U846" s="13"/>
      <c r="V846" s="13"/>
      <c r="W846" s="13"/>
      <c r="X846" s="13"/>
      <c r="Y846" s="13"/>
      <c r="Z846" s="13"/>
      <c r="AA846" s="13"/>
      <c r="AB846" s="13"/>
    </row>
    <row r="847" spans="1:28" ht="13.2">
      <c r="A847" s="53"/>
      <c r="B847" s="13"/>
      <c r="C847" s="16"/>
      <c r="D847" s="16">
        <f t="shared" si="14"/>
        <v>0</v>
      </c>
      <c r="E847" s="16">
        <f t="shared" si="15"/>
        <v>0</v>
      </c>
      <c r="F847" s="16"/>
      <c r="G847" s="16"/>
      <c r="H847" s="16"/>
      <c r="I847" s="16"/>
      <c r="J847" s="16"/>
      <c r="K847" s="13"/>
      <c r="L847" s="13"/>
      <c r="M847" s="13"/>
      <c r="N847" s="13"/>
      <c r="O847" s="13"/>
      <c r="P847" s="13"/>
      <c r="Q847" s="13"/>
      <c r="R847" s="13"/>
      <c r="S847" s="13"/>
      <c r="T847" s="13"/>
      <c r="U847" s="13"/>
      <c r="V847" s="13"/>
      <c r="W847" s="13"/>
      <c r="X847" s="13"/>
      <c r="Y847" s="13"/>
      <c r="Z847" s="13"/>
      <c r="AA847" s="13"/>
      <c r="AB847" s="13"/>
    </row>
    <row r="848" spans="1:28" ht="13.2">
      <c r="A848" s="53"/>
      <c r="B848" s="13"/>
      <c r="C848" s="16"/>
      <c r="D848" s="16">
        <f t="shared" si="14"/>
        <v>0</v>
      </c>
      <c r="E848" s="16">
        <f t="shared" si="15"/>
        <v>0</v>
      </c>
      <c r="F848" s="16"/>
      <c r="G848" s="16"/>
      <c r="H848" s="16"/>
      <c r="I848" s="16"/>
      <c r="J848" s="16"/>
      <c r="K848" s="13"/>
      <c r="L848" s="13"/>
      <c r="M848" s="13"/>
      <c r="N848" s="13"/>
      <c r="O848" s="13"/>
      <c r="P848" s="13"/>
      <c r="Q848" s="13"/>
      <c r="R848" s="13"/>
      <c r="S848" s="13"/>
      <c r="T848" s="13"/>
      <c r="U848" s="13"/>
      <c r="V848" s="13"/>
      <c r="W848" s="13"/>
      <c r="X848" s="13"/>
      <c r="Y848" s="13"/>
      <c r="Z848" s="13"/>
      <c r="AA848" s="13"/>
      <c r="AB848" s="13"/>
    </row>
    <row r="849" spans="1:28" ht="13.2">
      <c r="A849" s="53"/>
      <c r="B849" s="13"/>
      <c r="C849" s="16"/>
      <c r="D849" s="16">
        <f t="shared" si="14"/>
        <v>0</v>
      </c>
      <c r="E849" s="16">
        <f t="shared" si="15"/>
        <v>0</v>
      </c>
      <c r="F849" s="16"/>
      <c r="G849" s="16"/>
      <c r="H849" s="16"/>
      <c r="I849" s="16"/>
      <c r="J849" s="16"/>
      <c r="K849" s="13"/>
      <c r="L849" s="13"/>
      <c r="M849" s="13"/>
      <c r="N849" s="13"/>
      <c r="O849" s="13"/>
      <c r="P849" s="13"/>
      <c r="Q849" s="13"/>
      <c r="R849" s="13"/>
      <c r="S849" s="13"/>
      <c r="T849" s="13"/>
      <c r="U849" s="13"/>
      <c r="V849" s="13"/>
      <c r="W849" s="13"/>
      <c r="X849" s="13"/>
      <c r="Y849" s="13"/>
      <c r="Z849" s="13"/>
      <c r="AA849" s="13"/>
      <c r="AB849" s="13"/>
    </row>
    <row r="850" spans="1:28" ht="13.2">
      <c r="A850" s="53"/>
      <c r="B850" s="13"/>
      <c r="C850" s="16"/>
      <c r="D850" s="16">
        <f t="shared" si="14"/>
        <v>0</v>
      </c>
      <c r="E850" s="16">
        <f t="shared" si="15"/>
        <v>0</v>
      </c>
      <c r="F850" s="16"/>
      <c r="G850" s="16"/>
      <c r="H850" s="16"/>
      <c r="I850" s="16"/>
      <c r="J850" s="16"/>
      <c r="K850" s="13"/>
      <c r="L850" s="13"/>
      <c r="M850" s="13"/>
      <c r="N850" s="13"/>
      <c r="O850" s="13"/>
      <c r="P850" s="13"/>
      <c r="Q850" s="13"/>
      <c r="R850" s="13"/>
      <c r="S850" s="13"/>
      <c r="T850" s="13"/>
      <c r="U850" s="13"/>
      <c r="V850" s="13"/>
      <c r="W850" s="13"/>
      <c r="X850" s="13"/>
      <c r="Y850" s="13"/>
      <c r="Z850" s="13"/>
      <c r="AA850" s="13"/>
      <c r="AB850" s="13"/>
    </row>
    <row r="851" spans="1:28" ht="13.2">
      <c r="A851" s="53"/>
      <c r="B851" s="13"/>
      <c r="C851" s="16"/>
      <c r="D851" s="16">
        <f t="shared" si="14"/>
        <v>0</v>
      </c>
      <c r="E851" s="16">
        <f t="shared" si="15"/>
        <v>0</v>
      </c>
      <c r="F851" s="16"/>
      <c r="G851" s="16"/>
      <c r="H851" s="16"/>
      <c r="I851" s="16"/>
      <c r="J851" s="16"/>
      <c r="K851" s="13"/>
      <c r="L851" s="13"/>
      <c r="M851" s="13"/>
      <c r="N851" s="13"/>
      <c r="O851" s="13"/>
      <c r="P851" s="13"/>
      <c r="Q851" s="13"/>
      <c r="R851" s="13"/>
      <c r="S851" s="13"/>
      <c r="T851" s="13"/>
      <c r="U851" s="13"/>
      <c r="V851" s="13"/>
      <c r="W851" s="13"/>
      <c r="X851" s="13"/>
      <c r="Y851" s="13"/>
      <c r="Z851" s="13"/>
      <c r="AA851" s="13"/>
      <c r="AB851" s="13"/>
    </row>
    <row r="852" spans="1:28" ht="13.2">
      <c r="A852" s="53"/>
      <c r="B852" s="13"/>
      <c r="C852" s="16"/>
      <c r="D852" s="16">
        <f t="shared" si="14"/>
        <v>0</v>
      </c>
      <c r="E852" s="16">
        <f t="shared" si="15"/>
        <v>0</v>
      </c>
      <c r="F852" s="16"/>
      <c r="G852" s="16"/>
      <c r="H852" s="16"/>
      <c r="I852" s="16"/>
      <c r="J852" s="16"/>
      <c r="K852" s="13"/>
      <c r="L852" s="13"/>
      <c r="M852" s="13"/>
      <c r="N852" s="13"/>
      <c r="O852" s="13"/>
      <c r="P852" s="13"/>
      <c r="Q852" s="13"/>
      <c r="R852" s="13"/>
      <c r="S852" s="13"/>
      <c r="T852" s="13"/>
      <c r="U852" s="13"/>
      <c r="V852" s="13"/>
      <c r="W852" s="13"/>
      <c r="X852" s="13"/>
      <c r="Y852" s="13"/>
      <c r="Z852" s="13"/>
      <c r="AA852" s="13"/>
      <c r="AB852" s="13"/>
    </row>
    <row r="853" spans="1:28" ht="13.2">
      <c r="A853" s="53"/>
      <c r="B853" s="13"/>
      <c r="C853" s="16"/>
      <c r="D853" s="16">
        <f t="shared" si="14"/>
        <v>0</v>
      </c>
      <c r="E853" s="16">
        <f t="shared" si="15"/>
        <v>0</v>
      </c>
      <c r="F853" s="16"/>
      <c r="G853" s="16"/>
      <c r="H853" s="16"/>
      <c r="I853" s="16"/>
      <c r="J853" s="16"/>
      <c r="K853" s="13"/>
      <c r="L853" s="13"/>
      <c r="M853" s="13"/>
      <c r="N853" s="13"/>
      <c r="O853" s="13"/>
      <c r="P853" s="13"/>
      <c r="Q853" s="13"/>
      <c r="R853" s="13"/>
      <c r="S853" s="13"/>
      <c r="T853" s="13"/>
      <c r="U853" s="13"/>
      <c r="V853" s="13"/>
      <c r="W853" s="13"/>
      <c r="X853" s="13"/>
      <c r="Y853" s="13"/>
      <c r="Z853" s="13"/>
      <c r="AA853" s="13"/>
      <c r="AB853" s="13"/>
    </row>
    <row r="854" spans="1:28" ht="13.2">
      <c r="A854" s="53"/>
      <c r="B854" s="13"/>
      <c r="C854" s="16"/>
      <c r="D854" s="16">
        <f t="shared" si="14"/>
        <v>0</v>
      </c>
      <c r="E854" s="16">
        <f t="shared" si="15"/>
        <v>0</v>
      </c>
      <c r="F854" s="16"/>
      <c r="G854" s="16"/>
      <c r="H854" s="16"/>
      <c r="I854" s="16"/>
      <c r="J854" s="16"/>
      <c r="K854" s="13"/>
      <c r="L854" s="13"/>
      <c r="M854" s="13"/>
      <c r="N854" s="13"/>
      <c r="O854" s="13"/>
      <c r="P854" s="13"/>
      <c r="Q854" s="13"/>
      <c r="R854" s="13"/>
      <c r="S854" s="13"/>
      <c r="T854" s="13"/>
      <c r="U854" s="13"/>
      <c r="V854" s="13"/>
      <c r="W854" s="13"/>
      <c r="X854" s="13"/>
      <c r="Y854" s="13"/>
      <c r="Z854" s="13"/>
      <c r="AA854" s="13"/>
      <c r="AB854" s="13"/>
    </row>
    <row r="855" spans="1:28" ht="13.2">
      <c r="A855" s="53"/>
      <c r="B855" s="13"/>
      <c r="C855" s="16"/>
      <c r="D855" s="16">
        <f t="shared" si="14"/>
        <v>0</v>
      </c>
      <c r="E855" s="16">
        <f t="shared" si="15"/>
        <v>0</v>
      </c>
      <c r="F855" s="16"/>
      <c r="G855" s="16"/>
      <c r="H855" s="16"/>
      <c r="I855" s="16"/>
      <c r="J855" s="16"/>
      <c r="K855" s="13"/>
      <c r="L855" s="13"/>
      <c r="M855" s="13"/>
      <c r="N855" s="13"/>
      <c r="O855" s="13"/>
      <c r="P855" s="13"/>
      <c r="Q855" s="13"/>
      <c r="R855" s="13"/>
      <c r="S855" s="13"/>
      <c r="T855" s="13"/>
      <c r="U855" s="13"/>
      <c r="V855" s="13"/>
      <c r="W855" s="13"/>
      <c r="X855" s="13"/>
      <c r="Y855" s="13"/>
      <c r="Z855" s="13"/>
      <c r="AA855" s="13"/>
      <c r="AB855" s="13"/>
    </row>
    <row r="856" spans="1:28" ht="13.2">
      <c r="A856" s="53"/>
      <c r="B856" s="13"/>
      <c r="C856" s="16"/>
      <c r="D856" s="16">
        <f t="shared" si="14"/>
        <v>0</v>
      </c>
      <c r="E856" s="16">
        <f t="shared" si="15"/>
        <v>0</v>
      </c>
      <c r="F856" s="16"/>
      <c r="G856" s="16"/>
      <c r="H856" s="16"/>
      <c r="I856" s="16"/>
      <c r="J856" s="16"/>
      <c r="K856" s="13"/>
      <c r="L856" s="13"/>
      <c r="M856" s="13"/>
      <c r="N856" s="13"/>
      <c r="O856" s="13"/>
      <c r="P856" s="13"/>
      <c r="Q856" s="13"/>
      <c r="R856" s="13"/>
      <c r="S856" s="13"/>
      <c r="T856" s="13"/>
      <c r="U856" s="13"/>
      <c r="V856" s="13"/>
      <c r="W856" s="13"/>
      <c r="X856" s="13"/>
      <c r="Y856" s="13"/>
      <c r="Z856" s="13"/>
      <c r="AA856" s="13"/>
      <c r="AB856" s="13"/>
    </row>
    <row r="857" spans="1:28" ht="13.2">
      <c r="A857" s="53"/>
      <c r="B857" s="13"/>
      <c r="C857" s="16"/>
      <c r="D857" s="16">
        <f t="shared" si="14"/>
        <v>0</v>
      </c>
      <c r="E857" s="16">
        <f t="shared" si="15"/>
        <v>0</v>
      </c>
      <c r="F857" s="16"/>
      <c r="G857" s="16"/>
      <c r="H857" s="16"/>
      <c r="I857" s="16"/>
      <c r="J857" s="16"/>
      <c r="K857" s="13"/>
      <c r="L857" s="13"/>
      <c r="M857" s="13"/>
      <c r="N857" s="13"/>
      <c r="O857" s="13"/>
      <c r="P857" s="13"/>
      <c r="Q857" s="13"/>
      <c r="R857" s="13"/>
      <c r="S857" s="13"/>
      <c r="T857" s="13"/>
      <c r="U857" s="13"/>
      <c r="V857" s="13"/>
      <c r="W857" s="13"/>
      <c r="X857" s="13"/>
      <c r="Y857" s="13"/>
      <c r="Z857" s="13"/>
      <c r="AA857" s="13"/>
      <c r="AB857" s="13"/>
    </row>
    <row r="858" spans="1:28" ht="13.2">
      <c r="A858" s="53"/>
      <c r="B858" s="13"/>
      <c r="C858" s="16"/>
      <c r="D858" s="16">
        <f t="shared" si="14"/>
        <v>0</v>
      </c>
      <c r="E858" s="16">
        <f t="shared" si="15"/>
        <v>0</v>
      </c>
      <c r="F858" s="16"/>
      <c r="G858" s="16"/>
      <c r="H858" s="16"/>
      <c r="I858" s="16"/>
      <c r="J858" s="16"/>
      <c r="K858" s="13"/>
      <c r="L858" s="13"/>
      <c r="M858" s="13"/>
      <c r="N858" s="13"/>
      <c r="O858" s="13"/>
      <c r="P858" s="13"/>
      <c r="Q858" s="13"/>
      <c r="R858" s="13"/>
      <c r="S858" s="13"/>
      <c r="T858" s="13"/>
      <c r="U858" s="13"/>
      <c r="V858" s="13"/>
      <c r="W858" s="13"/>
      <c r="X858" s="13"/>
      <c r="Y858" s="13"/>
      <c r="Z858" s="13"/>
      <c r="AA858" s="13"/>
      <c r="AB858" s="13"/>
    </row>
    <row r="859" spans="1:28" ht="13.2">
      <c r="A859" s="53"/>
      <c r="B859" s="13"/>
      <c r="C859" s="16"/>
      <c r="D859" s="16">
        <f t="shared" si="14"/>
        <v>0</v>
      </c>
      <c r="E859" s="16">
        <f t="shared" si="15"/>
        <v>0</v>
      </c>
      <c r="F859" s="16"/>
      <c r="G859" s="16"/>
      <c r="H859" s="16"/>
      <c r="I859" s="16"/>
      <c r="J859" s="16"/>
      <c r="K859" s="13"/>
      <c r="L859" s="13"/>
      <c r="M859" s="13"/>
      <c r="N859" s="13"/>
      <c r="O859" s="13"/>
      <c r="P859" s="13"/>
      <c r="Q859" s="13"/>
      <c r="R859" s="13"/>
      <c r="S859" s="13"/>
      <c r="T859" s="13"/>
      <c r="U859" s="13"/>
      <c r="V859" s="13"/>
      <c r="W859" s="13"/>
      <c r="X859" s="13"/>
      <c r="Y859" s="13"/>
      <c r="Z859" s="13"/>
      <c r="AA859" s="13"/>
      <c r="AB859" s="13"/>
    </row>
    <row r="860" spans="1:28" ht="13.2">
      <c r="A860" s="53"/>
      <c r="B860" s="13"/>
      <c r="C860" s="16"/>
      <c r="D860" s="16">
        <f t="shared" si="14"/>
        <v>0</v>
      </c>
      <c r="E860" s="16">
        <f t="shared" si="15"/>
        <v>0</v>
      </c>
      <c r="F860" s="16"/>
      <c r="G860" s="16"/>
      <c r="H860" s="16"/>
      <c r="I860" s="16"/>
      <c r="J860" s="16"/>
      <c r="K860" s="13"/>
      <c r="L860" s="13"/>
      <c r="M860" s="13"/>
      <c r="N860" s="13"/>
      <c r="O860" s="13"/>
      <c r="P860" s="13"/>
      <c r="Q860" s="13"/>
      <c r="R860" s="13"/>
      <c r="S860" s="13"/>
      <c r="T860" s="13"/>
      <c r="U860" s="13"/>
      <c r="V860" s="13"/>
      <c r="W860" s="13"/>
      <c r="X860" s="13"/>
      <c r="Y860" s="13"/>
      <c r="Z860" s="13"/>
      <c r="AA860" s="13"/>
      <c r="AB860" s="13"/>
    </row>
    <row r="861" spans="1:28" ht="13.2">
      <c r="A861" s="53"/>
      <c r="B861" s="13"/>
      <c r="C861" s="16"/>
      <c r="D861" s="16">
        <f t="shared" si="14"/>
        <v>0</v>
      </c>
      <c r="E861" s="16">
        <f t="shared" si="15"/>
        <v>0</v>
      </c>
      <c r="F861" s="16"/>
      <c r="G861" s="16"/>
      <c r="H861" s="16"/>
      <c r="I861" s="16"/>
      <c r="J861" s="16"/>
      <c r="K861" s="13"/>
      <c r="L861" s="13"/>
      <c r="M861" s="13"/>
      <c r="N861" s="13"/>
      <c r="O861" s="13"/>
      <c r="P861" s="13"/>
      <c r="Q861" s="13"/>
      <c r="R861" s="13"/>
      <c r="S861" s="13"/>
      <c r="T861" s="13"/>
      <c r="U861" s="13"/>
      <c r="V861" s="13"/>
      <c r="W861" s="13"/>
      <c r="X861" s="13"/>
      <c r="Y861" s="13"/>
      <c r="Z861" s="13"/>
      <c r="AA861" s="13"/>
      <c r="AB861" s="13"/>
    </row>
    <row r="862" spans="1:28" ht="13.2">
      <c r="A862" s="53"/>
      <c r="B862" s="13"/>
      <c r="C862" s="16"/>
      <c r="D862" s="16">
        <f t="shared" si="14"/>
        <v>0</v>
      </c>
      <c r="E862" s="16">
        <f t="shared" si="15"/>
        <v>0</v>
      </c>
      <c r="F862" s="16"/>
      <c r="G862" s="16"/>
      <c r="H862" s="16"/>
      <c r="I862" s="16"/>
      <c r="J862" s="16"/>
      <c r="K862" s="13"/>
      <c r="L862" s="13"/>
      <c r="M862" s="13"/>
      <c r="N862" s="13"/>
      <c r="O862" s="13"/>
      <c r="P862" s="13"/>
      <c r="Q862" s="13"/>
      <c r="R862" s="13"/>
      <c r="S862" s="13"/>
      <c r="T862" s="13"/>
      <c r="U862" s="13"/>
      <c r="V862" s="13"/>
      <c r="W862" s="13"/>
      <c r="X862" s="13"/>
      <c r="Y862" s="13"/>
      <c r="Z862" s="13"/>
      <c r="AA862" s="13"/>
      <c r="AB862" s="13"/>
    </row>
    <row r="863" spans="1:28" ht="13.2">
      <c r="A863" s="53"/>
      <c r="B863" s="13"/>
      <c r="C863" s="16"/>
      <c r="D863" s="16">
        <f t="shared" si="14"/>
        <v>0</v>
      </c>
      <c r="E863" s="16">
        <f t="shared" si="15"/>
        <v>0</v>
      </c>
      <c r="F863" s="16"/>
      <c r="G863" s="16"/>
      <c r="H863" s="16"/>
      <c r="I863" s="16"/>
      <c r="J863" s="16"/>
      <c r="K863" s="13"/>
      <c r="L863" s="13"/>
      <c r="M863" s="13"/>
      <c r="N863" s="13"/>
      <c r="O863" s="13"/>
      <c r="P863" s="13"/>
      <c r="Q863" s="13"/>
      <c r="R863" s="13"/>
      <c r="S863" s="13"/>
      <c r="T863" s="13"/>
      <c r="U863" s="13"/>
      <c r="V863" s="13"/>
      <c r="W863" s="13"/>
      <c r="X863" s="13"/>
      <c r="Y863" s="13"/>
      <c r="Z863" s="13"/>
      <c r="AA863" s="13"/>
      <c r="AB863" s="13"/>
    </row>
    <row r="864" spans="1:28" ht="13.2">
      <c r="A864" s="53"/>
      <c r="B864" s="13"/>
      <c r="C864" s="16"/>
      <c r="D864" s="16">
        <f t="shared" si="14"/>
        <v>0</v>
      </c>
      <c r="E864" s="16">
        <f t="shared" si="15"/>
        <v>0</v>
      </c>
      <c r="F864" s="16"/>
      <c r="G864" s="16"/>
      <c r="H864" s="16"/>
      <c r="I864" s="16"/>
      <c r="J864" s="16"/>
      <c r="K864" s="13"/>
      <c r="L864" s="13"/>
      <c r="M864" s="13"/>
      <c r="N864" s="13"/>
      <c r="O864" s="13"/>
      <c r="P864" s="13"/>
      <c r="Q864" s="13"/>
      <c r="R864" s="13"/>
      <c r="S864" s="13"/>
      <c r="T864" s="13"/>
      <c r="U864" s="13"/>
      <c r="V864" s="13"/>
      <c r="W864" s="13"/>
      <c r="X864" s="13"/>
      <c r="Y864" s="13"/>
      <c r="Z864" s="13"/>
      <c r="AA864" s="13"/>
      <c r="AB864" s="13"/>
    </row>
    <row r="865" spans="1:28" ht="13.2">
      <c r="A865" s="53"/>
      <c r="B865" s="13"/>
      <c r="C865" s="16"/>
      <c r="D865" s="16">
        <f t="shared" si="14"/>
        <v>0</v>
      </c>
      <c r="E865" s="16">
        <f t="shared" si="15"/>
        <v>0</v>
      </c>
      <c r="F865" s="16"/>
      <c r="G865" s="16"/>
      <c r="H865" s="16"/>
      <c r="I865" s="16"/>
      <c r="J865" s="16"/>
      <c r="K865" s="13"/>
      <c r="L865" s="13"/>
      <c r="M865" s="13"/>
      <c r="N865" s="13"/>
      <c r="O865" s="13"/>
      <c r="P865" s="13"/>
      <c r="Q865" s="13"/>
      <c r="R865" s="13"/>
      <c r="S865" s="13"/>
      <c r="T865" s="13"/>
      <c r="U865" s="13"/>
      <c r="V865" s="13"/>
      <c r="W865" s="13"/>
      <c r="X865" s="13"/>
      <c r="Y865" s="13"/>
      <c r="Z865" s="13"/>
      <c r="AA865" s="13"/>
      <c r="AB865" s="13"/>
    </row>
    <row r="866" spans="1:28" ht="13.2">
      <c r="A866" s="53"/>
      <c r="B866" s="13"/>
      <c r="C866" s="16"/>
      <c r="D866" s="16">
        <f t="shared" si="14"/>
        <v>0</v>
      </c>
      <c r="E866" s="16">
        <f t="shared" si="15"/>
        <v>0</v>
      </c>
      <c r="F866" s="16"/>
      <c r="G866" s="16"/>
      <c r="H866" s="16"/>
      <c r="I866" s="16"/>
      <c r="J866" s="16"/>
      <c r="K866" s="13"/>
      <c r="L866" s="13"/>
      <c r="M866" s="13"/>
      <c r="N866" s="13"/>
      <c r="O866" s="13"/>
      <c r="P866" s="13"/>
      <c r="Q866" s="13"/>
      <c r="R866" s="13"/>
      <c r="S866" s="13"/>
      <c r="T866" s="13"/>
      <c r="U866" s="13"/>
      <c r="V866" s="13"/>
      <c r="W866" s="13"/>
      <c r="X866" s="13"/>
      <c r="Y866" s="13"/>
      <c r="Z866" s="13"/>
      <c r="AA866" s="13"/>
      <c r="AB866" s="13"/>
    </row>
    <row r="867" spans="1:28" ht="13.2">
      <c r="A867" s="53"/>
      <c r="B867" s="13"/>
      <c r="C867" s="16"/>
      <c r="D867" s="16">
        <f t="shared" si="14"/>
        <v>0</v>
      </c>
      <c r="E867" s="16">
        <f t="shared" si="15"/>
        <v>0</v>
      </c>
      <c r="F867" s="16"/>
      <c r="G867" s="16"/>
      <c r="H867" s="16"/>
      <c r="I867" s="16"/>
      <c r="J867" s="16"/>
      <c r="K867" s="13"/>
      <c r="L867" s="13"/>
      <c r="M867" s="13"/>
      <c r="N867" s="13"/>
      <c r="O867" s="13"/>
      <c r="P867" s="13"/>
      <c r="Q867" s="13"/>
      <c r="R867" s="13"/>
      <c r="S867" s="13"/>
      <c r="T867" s="13"/>
      <c r="U867" s="13"/>
      <c r="V867" s="13"/>
      <c r="W867" s="13"/>
      <c r="X867" s="13"/>
      <c r="Y867" s="13"/>
      <c r="Z867" s="13"/>
      <c r="AA867" s="13"/>
      <c r="AB867" s="13"/>
    </row>
    <row r="868" spans="1:28" ht="13.2">
      <c r="A868" s="53"/>
      <c r="B868" s="13"/>
      <c r="C868" s="16"/>
      <c r="D868" s="16">
        <f t="shared" si="14"/>
        <v>0</v>
      </c>
      <c r="E868" s="16">
        <f t="shared" si="15"/>
        <v>0</v>
      </c>
      <c r="F868" s="16"/>
      <c r="G868" s="16"/>
      <c r="H868" s="16"/>
      <c r="I868" s="16"/>
      <c r="J868" s="16"/>
      <c r="K868" s="13"/>
      <c r="L868" s="13"/>
      <c r="M868" s="13"/>
      <c r="N868" s="13"/>
      <c r="O868" s="13"/>
      <c r="P868" s="13"/>
      <c r="Q868" s="13"/>
      <c r="R868" s="13"/>
      <c r="S868" s="13"/>
      <c r="T868" s="13"/>
      <c r="U868" s="13"/>
      <c r="V868" s="13"/>
      <c r="W868" s="13"/>
      <c r="X868" s="13"/>
      <c r="Y868" s="13"/>
      <c r="Z868" s="13"/>
      <c r="AA868" s="13"/>
      <c r="AB868" s="13"/>
    </row>
    <row r="869" spans="1:28" ht="13.2">
      <c r="A869" s="53"/>
      <c r="B869" s="13"/>
      <c r="C869" s="16"/>
      <c r="D869" s="16">
        <f t="shared" si="14"/>
        <v>0</v>
      </c>
      <c r="E869" s="16">
        <f t="shared" si="15"/>
        <v>0</v>
      </c>
      <c r="F869" s="16"/>
      <c r="G869" s="16"/>
      <c r="H869" s="16"/>
      <c r="I869" s="16"/>
      <c r="J869" s="16"/>
      <c r="K869" s="13"/>
      <c r="L869" s="13"/>
      <c r="M869" s="13"/>
      <c r="N869" s="13"/>
      <c r="O869" s="13"/>
      <c r="P869" s="13"/>
      <c r="Q869" s="13"/>
      <c r="R869" s="13"/>
      <c r="S869" s="13"/>
      <c r="T869" s="13"/>
      <c r="U869" s="13"/>
      <c r="V869" s="13"/>
      <c r="W869" s="13"/>
      <c r="X869" s="13"/>
      <c r="Y869" s="13"/>
      <c r="Z869" s="13"/>
      <c r="AA869" s="13"/>
      <c r="AB869" s="13"/>
    </row>
    <row r="870" spans="1:28" ht="13.2">
      <c r="A870" s="53"/>
      <c r="B870" s="13"/>
      <c r="C870" s="16"/>
      <c r="D870" s="16">
        <f t="shared" si="14"/>
        <v>0</v>
      </c>
      <c r="E870" s="16">
        <f t="shared" si="15"/>
        <v>0</v>
      </c>
      <c r="F870" s="16"/>
      <c r="G870" s="16"/>
      <c r="H870" s="16"/>
      <c r="I870" s="16"/>
      <c r="J870" s="16"/>
      <c r="K870" s="13"/>
      <c r="L870" s="13"/>
      <c r="M870" s="13"/>
      <c r="N870" s="13"/>
      <c r="O870" s="13"/>
      <c r="P870" s="13"/>
      <c r="Q870" s="13"/>
      <c r="R870" s="13"/>
      <c r="S870" s="13"/>
      <c r="T870" s="13"/>
      <c r="U870" s="13"/>
      <c r="V870" s="13"/>
      <c r="W870" s="13"/>
      <c r="X870" s="13"/>
      <c r="Y870" s="13"/>
      <c r="Z870" s="13"/>
      <c r="AA870" s="13"/>
      <c r="AB870" s="13"/>
    </row>
    <row r="871" spans="1:28" ht="13.2">
      <c r="A871" s="53"/>
      <c r="B871" s="13"/>
      <c r="C871" s="16"/>
      <c r="D871" s="16">
        <f t="shared" si="14"/>
        <v>0</v>
      </c>
      <c r="E871" s="16">
        <f t="shared" si="15"/>
        <v>0</v>
      </c>
      <c r="F871" s="16"/>
      <c r="G871" s="16"/>
      <c r="H871" s="16"/>
      <c r="I871" s="16"/>
      <c r="J871" s="16"/>
      <c r="K871" s="13"/>
      <c r="L871" s="13"/>
      <c r="M871" s="13"/>
      <c r="N871" s="13"/>
      <c r="O871" s="13"/>
      <c r="P871" s="13"/>
      <c r="Q871" s="13"/>
      <c r="R871" s="13"/>
      <c r="S871" s="13"/>
      <c r="T871" s="13"/>
      <c r="U871" s="13"/>
      <c r="V871" s="13"/>
      <c r="W871" s="13"/>
      <c r="X871" s="13"/>
      <c r="Y871" s="13"/>
      <c r="Z871" s="13"/>
      <c r="AA871" s="13"/>
      <c r="AB871" s="13"/>
    </row>
    <row r="872" spans="1:28" ht="13.2">
      <c r="A872" s="53"/>
      <c r="B872" s="13"/>
      <c r="C872" s="16"/>
      <c r="D872" s="16">
        <f t="shared" si="14"/>
        <v>0</v>
      </c>
      <c r="E872" s="16">
        <f t="shared" si="15"/>
        <v>0</v>
      </c>
      <c r="F872" s="16"/>
      <c r="G872" s="16"/>
      <c r="H872" s="16"/>
      <c r="I872" s="16"/>
      <c r="J872" s="16"/>
      <c r="K872" s="13"/>
      <c r="L872" s="13"/>
      <c r="M872" s="13"/>
      <c r="N872" s="13"/>
      <c r="O872" s="13"/>
      <c r="P872" s="13"/>
      <c r="Q872" s="13"/>
      <c r="R872" s="13"/>
      <c r="S872" s="13"/>
      <c r="T872" s="13"/>
      <c r="U872" s="13"/>
      <c r="V872" s="13"/>
      <c r="W872" s="13"/>
      <c r="X872" s="13"/>
      <c r="Y872" s="13"/>
      <c r="Z872" s="13"/>
      <c r="AA872" s="13"/>
      <c r="AB872" s="13"/>
    </row>
    <row r="873" spans="1:28" ht="13.2">
      <c r="A873" s="53"/>
      <c r="B873" s="13"/>
      <c r="C873" s="16"/>
      <c r="D873" s="16">
        <f t="shared" si="14"/>
        <v>0</v>
      </c>
      <c r="E873" s="16">
        <f t="shared" si="15"/>
        <v>0</v>
      </c>
      <c r="F873" s="16"/>
      <c r="G873" s="16"/>
      <c r="H873" s="16"/>
      <c r="I873" s="16"/>
      <c r="J873" s="16"/>
      <c r="K873" s="13"/>
      <c r="L873" s="13"/>
      <c r="M873" s="13"/>
      <c r="N873" s="13"/>
      <c r="O873" s="13"/>
      <c r="P873" s="13"/>
      <c r="Q873" s="13"/>
      <c r="R873" s="13"/>
      <c r="S873" s="13"/>
      <c r="T873" s="13"/>
      <c r="U873" s="13"/>
      <c r="V873" s="13"/>
      <c r="W873" s="13"/>
      <c r="X873" s="13"/>
      <c r="Y873" s="13"/>
      <c r="Z873" s="13"/>
      <c r="AA873" s="13"/>
      <c r="AB873" s="13"/>
    </row>
    <row r="874" spans="1:28" ht="13.2">
      <c r="A874" s="53"/>
      <c r="B874" s="13"/>
      <c r="C874" s="16"/>
      <c r="D874" s="16">
        <f t="shared" si="14"/>
        <v>0</v>
      </c>
      <c r="E874" s="16">
        <f t="shared" si="15"/>
        <v>0</v>
      </c>
      <c r="F874" s="16"/>
      <c r="G874" s="16"/>
      <c r="H874" s="16"/>
      <c r="I874" s="16"/>
      <c r="J874" s="16"/>
      <c r="K874" s="13"/>
      <c r="L874" s="13"/>
      <c r="M874" s="13"/>
      <c r="N874" s="13"/>
      <c r="O874" s="13"/>
      <c r="P874" s="13"/>
      <c r="Q874" s="13"/>
      <c r="R874" s="13"/>
      <c r="S874" s="13"/>
      <c r="T874" s="13"/>
      <c r="U874" s="13"/>
      <c r="V874" s="13"/>
      <c r="W874" s="13"/>
      <c r="X874" s="13"/>
      <c r="Y874" s="13"/>
      <c r="Z874" s="13"/>
      <c r="AA874" s="13"/>
      <c r="AB874" s="13"/>
    </row>
    <row r="875" spans="1:28" ht="13.2">
      <c r="A875" s="53"/>
      <c r="B875" s="13"/>
      <c r="C875" s="16"/>
      <c r="D875" s="16">
        <f t="shared" si="14"/>
        <v>0</v>
      </c>
      <c r="E875" s="16">
        <f t="shared" si="15"/>
        <v>0</v>
      </c>
      <c r="F875" s="16"/>
      <c r="G875" s="16"/>
      <c r="H875" s="16"/>
      <c r="I875" s="16"/>
      <c r="J875" s="16"/>
      <c r="K875" s="13"/>
      <c r="L875" s="13"/>
      <c r="M875" s="13"/>
      <c r="N875" s="13"/>
      <c r="O875" s="13"/>
      <c r="P875" s="13"/>
      <c r="Q875" s="13"/>
      <c r="R875" s="13"/>
      <c r="S875" s="13"/>
      <c r="T875" s="13"/>
      <c r="U875" s="13"/>
      <c r="V875" s="13"/>
      <c r="W875" s="13"/>
      <c r="X875" s="13"/>
      <c r="Y875" s="13"/>
      <c r="Z875" s="13"/>
      <c r="AA875" s="13"/>
      <c r="AB875" s="13"/>
    </row>
    <row r="876" spans="1:28" ht="13.2">
      <c r="A876" s="53"/>
      <c r="B876" s="13"/>
      <c r="C876" s="16"/>
      <c r="D876" s="16">
        <f t="shared" si="14"/>
        <v>0</v>
      </c>
      <c r="E876" s="16">
        <f t="shared" si="15"/>
        <v>0</v>
      </c>
      <c r="F876" s="16"/>
      <c r="G876" s="16"/>
      <c r="H876" s="16"/>
      <c r="I876" s="16"/>
      <c r="J876" s="16"/>
      <c r="K876" s="13"/>
      <c r="L876" s="13"/>
      <c r="M876" s="13"/>
      <c r="N876" s="13"/>
      <c r="O876" s="13"/>
      <c r="P876" s="13"/>
      <c r="Q876" s="13"/>
      <c r="R876" s="13"/>
      <c r="S876" s="13"/>
      <c r="T876" s="13"/>
      <c r="U876" s="13"/>
      <c r="V876" s="13"/>
      <c r="W876" s="13"/>
      <c r="X876" s="13"/>
      <c r="Y876" s="13"/>
      <c r="Z876" s="13"/>
      <c r="AA876" s="13"/>
      <c r="AB876" s="13"/>
    </row>
    <row r="877" spans="1:28" ht="13.2">
      <c r="A877" s="53"/>
      <c r="B877" s="13"/>
      <c r="C877" s="16"/>
      <c r="D877" s="16">
        <f t="shared" si="14"/>
        <v>0</v>
      </c>
      <c r="E877" s="16">
        <f t="shared" si="15"/>
        <v>0</v>
      </c>
      <c r="F877" s="16"/>
      <c r="G877" s="16"/>
      <c r="H877" s="16"/>
      <c r="I877" s="16"/>
      <c r="J877" s="16"/>
      <c r="K877" s="13"/>
      <c r="L877" s="13"/>
      <c r="M877" s="13"/>
      <c r="N877" s="13"/>
      <c r="O877" s="13"/>
      <c r="P877" s="13"/>
      <c r="Q877" s="13"/>
      <c r="R877" s="13"/>
      <c r="S877" s="13"/>
      <c r="T877" s="13"/>
      <c r="U877" s="13"/>
      <c r="V877" s="13"/>
      <c r="W877" s="13"/>
      <c r="X877" s="13"/>
      <c r="Y877" s="13"/>
      <c r="Z877" s="13"/>
      <c r="AA877" s="13"/>
      <c r="AB877" s="13"/>
    </row>
    <row r="878" spans="1:28" ht="13.2">
      <c r="A878" s="53"/>
      <c r="B878" s="13"/>
      <c r="C878" s="16"/>
      <c r="D878" s="16">
        <f t="shared" si="14"/>
        <v>0</v>
      </c>
      <c r="E878" s="16">
        <f t="shared" si="15"/>
        <v>0</v>
      </c>
      <c r="F878" s="16"/>
      <c r="G878" s="16"/>
      <c r="H878" s="16"/>
      <c r="I878" s="16"/>
      <c r="J878" s="16"/>
      <c r="K878" s="13"/>
      <c r="L878" s="13"/>
      <c r="M878" s="13"/>
      <c r="N878" s="13"/>
      <c r="O878" s="13"/>
      <c r="P878" s="13"/>
      <c r="Q878" s="13"/>
      <c r="R878" s="13"/>
      <c r="S878" s="13"/>
      <c r="T878" s="13"/>
      <c r="U878" s="13"/>
      <c r="V878" s="13"/>
      <c r="W878" s="13"/>
      <c r="X878" s="13"/>
      <c r="Y878" s="13"/>
      <c r="Z878" s="13"/>
      <c r="AA878" s="13"/>
      <c r="AB878" s="13"/>
    </row>
    <row r="879" spans="1:28" ht="13.2">
      <c r="A879" s="53"/>
      <c r="B879" s="13"/>
      <c r="C879" s="16"/>
      <c r="D879" s="16">
        <f t="shared" si="14"/>
        <v>0</v>
      </c>
      <c r="E879" s="16">
        <f t="shared" si="15"/>
        <v>0</v>
      </c>
      <c r="F879" s="16"/>
      <c r="G879" s="16"/>
      <c r="H879" s="16"/>
      <c r="I879" s="16"/>
      <c r="J879" s="16"/>
      <c r="K879" s="13"/>
      <c r="L879" s="13"/>
      <c r="M879" s="13"/>
      <c r="N879" s="13"/>
      <c r="O879" s="13"/>
      <c r="P879" s="13"/>
      <c r="Q879" s="13"/>
      <c r="R879" s="13"/>
      <c r="S879" s="13"/>
      <c r="T879" s="13"/>
      <c r="U879" s="13"/>
      <c r="V879" s="13"/>
      <c r="W879" s="13"/>
      <c r="X879" s="13"/>
      <c r="Y879" s="13"/>
      <c r="Z879" s="13"/>
      <c r="AA879" s="13"/>
      <c r="AB879" s="13"/>
    </row>
    <row r="880" spans="1:28" ht="13.2">
      <c r="A880" s="53"/>
      <c r="B880" s="13"/>
      <c r="C880" s="16"/>
      <c r="D880" s="16">
        <f t="shared" si="14"/>
        <v>0</v>
      </c>
      <c r="E880" s="16">
        <f t="shared" si="15"/>
        <v>0</v>
      </c>
      <c r="F880" s="16"/>
      <c r="G880" s="16"/>
      <c r="H880" s="16"/>
      <c r="I880" s="16"/>
      <c r="J880" s="16"/>
      <c r="K880" s="13"/>
      <c r="L880" s="13"/>
      <c r="M880" s="13"/>
      <c r="N880" s="13"/>
      <c r="O880" s="13"/>
      <c r="P880" s="13"/>
      <c r="Q880" s="13"/>
      <c r="R880" s="13"/>
      <c r="S880" s="13"/>
      <c r="T880" s="13"/>
      <c r="U880" s="13"/>
      <c r="V880" s="13"/>
      <c r="W880" s="13"/>
      <c r="X880" s="13"/>
      <c r="Y880" s="13"/>
      <c r="Z880" s="13"/>
      <c r="AA880" s="13"/>
      <c r="AB880" s="13"/>
    </row>
    <row r="881" spans="1:28" ht="13.2">
      <c r="A881" s="53"/>
      <c r="B881" s="13"/>
      <c r="C881" s="16"/>
      <c r="D881" s="16">
        <f t="shared" si="14"/>
        <v>0</v>
      </c>
      <c r="E881" s="16">
        <f t="shared" si="15"/>
        <v>0</v>
      </c>
      <c r="F881" s="16"/>
      <c r="G881" s="16"/>
      <c r="H881" s="16"/>
      <c r="I881" s="16"/>
      <c r="J881" s="16"/>
      <c r="K881" s="13"/>
      <c r="L881" s="13"/>
      <c r="M881" s="13"/>
      <c r="N881" s="13"/>
      <c r="O881" s="13"/>
      <c r="P881" s="13"/>
      <c r="Q881" s="13"/>
      <c r="R881" s="13"/>
      <c r="S881" s="13"/>
      <c r="T881" s="13"/>
      <c r="U881" s="13"/>
      <c r="V881" s="13"/>
      <c r="W881" s="13"/>
      <c r="X881" s="13"/>
      <c r="Y881" s="13"/>
      <c r="Z881" s="13"/>
      <c r="AA881" s="13"/>
      <c r="AB881" s="13"/>
    </row>
    <row r="882" spans="1:28" ht="13.2">
      <c r="A882" s="53"/>
      <c r="B882" s="13"/>
      <c r="C882" s="16"/>
      <c r="D882" s="16">
        <f t="shared" si="14"/>
        <v>0</v>
      </c>
      <c r="E882" s="16">
        <f t="shared" si="15"/>
        <v>0</v>
      </c>
      <c r="F882" s="16"/>
      <c r="G882" s="16"/>
      <c r="H882" s="16"/>
      <c r="I882" s="16"/>
      <c r="J882" s="16"/>
      <c r="K882" s="13"/>
      <c r="L882" s="13"/>
      <c r="M882" s="13"/>
      <c r="N882" s="13"/>
      <c r="O882" s="13"/>
      <c r="P882" s="13"/>
      <c r="Q882" s="13"/>
      <c r="R882" s="13"/>
      <c r="S882" s="13"/>
      <c r="T882" s="13"/>
      <c r="U882" s="13"/>
      <c r="V882" s="13"/>
      <c r="W882" s="13"/>
      <c r="X882" s="13"/>
      <c r="Y882" s="13"/>
      <c r="Z882" s="13"/>
      <c r="AA882" s="13"/>
      <c r="AB882" s="13"/>
    </row>
    <row r="883" spans="1:28" ht="13.2">
      <c r="A883" s="53"/>
      <c r="B883" s="13"/>
      <c r="C883" s="16"/>
      <c r="D883" s="16">
        <f t="shared" si="14"/>
        <v>0</v>
      </c>
      <c r="E883" s="16">
        <f t="shared" si="15"/>
        <v>0</v>
      </c>
      <c r="F883" s="16"/>
      <c r="G883" s="16"/>
      <c r="H883" s="16"/>
      <c r="I883" s="16"/>
      <c r="J883" s="16"/>
      <c r="K883" s="13"/>
      <c r="L883" s="13"/>
      <c r="M883" s="13"/>
      <c r="N883" s="13"/>
      <c r="O883" s="13"/>
      <c r="P883" s="13"/>
      <c r="Q883" s="13"/>
      <c r="R883" s="13"/>
      <c r="S883" s="13"/>
      <c r="T883" s="13"/>
      <c r="U883" s="13"/>
      <c r="V883" s="13"/>
      <c r="W883" s="13"/>
      <c r="X883" s="13"/>
      <c r="Y883" s="13"/>
      <c r="Z883" s="13"/>
      <c r="AA883" s="13"/>
      <c r="AB883" s="13"/>
    </row>
    <row r="884" spans="1:28" ht="13.2">
      <c r="A884" s="53"/>
      <c r="B884" s="13"/>
      <c r="C884" s="16"/>
      <c r="D884" s="16">
        <f t="shared" si="14"/>
        <v>0</v>
      </c>
      <c r="E884" s="16">
        <f t="shared" si="15"/>
        <v>0</v>
      </c>
      <c r="F884" s="16"/>
      <c r="G884" s="16"/>
      <c r="H884" s="16"/>
      <c r="I884" s="16"/>
      <c r="J884" s="16"/>
      <c r="K884" s="13"/>
      <c r="L884" s="13"/>
      <c r="M884" s="13"/>
      <c r="N884" s="13"/>
      <c r="O884" s="13"/>
      <c r="P884" s="13"/>
      <c r="Q884" s="13"/>
      <c r="R884" s="13"/>
      <c r="S884" s="13"/>
      <c r="T884" s="13"/>
      <c r="U884" s="13"/>
      <c r="V884" s="13"/>
      <c r="W884" s="13"/>
      <c r="X884" s="13"/>
      <c r="Y884" s="13"/>
      <c r="Z884" s="13"/>
      <c r="AA884" s="13"/>
      <c r="AB884" s="13"/>
    </row>
    <row r="885" spans="1:28" ht="13.2">
      <c r="A885" s="53"/>
      <c r="B885" s="13"/>
      <c r="C885" s="16"/>
      <c r="D885" s="16">
        <f t="shared" si="14"/>
        <v>0</v>
      </c>
      <c r="E885" s="16">
        <f t="shared" si="15"/>
        <v>0</v>
      </c>
      <c r="F885" s="16"/>
      <c r="G885" s="16"/>
      <c r="H885" s="16"/>
      <c r="I885" s="16"/>
      <c r="J885" s="16"/>
      <c r="K885" s="13"/>
      <c r="L885" s="13"/>
      <c r="M885" s="13"/>
      <c r="N885" s="13"/>
      <c r="O885" s="13"/>
      <c r="P885" s="13"/>
      <c r="Q885" s="13"/>
      <c r="R885" s="13"/>
      <c r="S885" s="13"/>
      <c r="T885" s="13"/>
      <c r="U885" s="13"/>
      <c r="V885" s="13"/>
      <c r="W885" s="13"/>
      <c r="X885" s="13"/>
      <c r="Y885" s="13"/>
      <c r="Z885" s="13"/>
      <c r="AA885" s="13"/>
      <c r="AB885" s="13"/>
    </row>
    <row r="886" spans="1:28" ht="13.2">
      <c r="A886" s="53"/>
      <c r="B886" s="13"/>
      <c r="C886" s="16"/>
      <c r="D886" s="16">
        <f t="shared" si="14"/>
        <v>0</v>
      </c>
      <c r="E886" s="16">
        <f t="shared" si="15"/>
        <v>0</v>
      </c>
      <c r="F886" s="16"/>
      <c r="G886" s="16"/>
      <c r="H886" s="16"/>
      <c r="I886" s="16"/>
      <c r="J886" s="16"/>
      <c r="K886" s="13"/>
      <c r="L886" s="13"/>
      <c r="M886" s="13"/>
      <c r="N886" s="13"/>
      <c r="O886" s="13"/>
      <c r="P886" s="13"/>
      <c r="Q886" s="13"/>
      <c r="R886" s="13"/>
      <c r="S886" s="13"/>
      <c r="T886" s="13"/>
      <c r="U886" s="13"/>
      <c r="V886" s="13"/>
      <c r="W886" s="13"/>
      <c r="X886" s="13"/>
      <c r="Y886" s="13"/>
      <c r="Z886" s="13"/>
      <c r="AA886" s="13"/>
      <c r="AB886" s="13"/>
    </row>
    <row r="887" spans="1:28" ht="13.2">
      <c r="A887" s="53"/>
      <c r="B887" s="13"/>
      <c r="C887" s="16"/>
      <c r="D887" s="16">
        <f t="shared" si="14"/>
        <v>0</v>
      </c>
      <c r="E887" s="16">
        <f t="shared" si="15"/>
        <v>0</v>
      </c>
      <c r="F887" s="16"/>
      <c r="G887" s="16"/>
      <c r="H887" s="16"/>
      <c r="I887" s="16"/>
      <c r="J887" s="16"/>
      <c r="K887" s="13"/>
      <c r="L887" s="13"/>
      <c r="M887" s="13"/>
      <c r="N887" s="13"/>
      <c r="O887" s="13"/>
      <c r="P887" s="13"/>
      <c r="Q887" s="13"/>
      <c r="R887" s="13"/>
      <c r="S887" s="13"/>
      <c r="T887" s="13"/>
      <c r="U887" s="13"/>
      <c r="V887" s="13"/>
      <c r="W887" s="13"/>
      <c r="X887" s="13"/>
      <c r="Y887" s="13"/>
      <c r="Z887" s="13"/>
      <c r="AA887" s="13"/>
      <c r="AB887" s="13"/>
    </row>
    <row r="888" spans="1:28" ht="13.2">
      <c r="A888" s="53"/>
      <c r="B888" s="13"/>
      <c r="C888" s="16"/>
      <c r="D888" s="16">
        <f t="shared" si="14"/>
        <v>0</v>
      </c>
      <c r="E888" s="16">
        <f t="shared" si="15"/>
        <v>0</v>
      </c>
      <c r="F888" s="16"/>
      <c r="G888" s="16"/>
      <c r="H888" s="16"/>
      <c r="I888" s="16"/>
      <c r="J888" s="16"/>
      <c r="K888" s="13"/>
      <c r="L888" s="13"/>
      <c r="M888" s="13"/>
      <c r="N888" s="13"/>
      <c r="O888" s="13"/>
      <c r="P888" s="13"/>
      <c r="Q888" s="13"/>
      <c r="R888" s="13"/>
      <c r="S888" s="13"/>
      <c r="T888" s="13"/>
      <c r="U888" s="13"/>
      <c r="V888" s="13"/>
      <c r="W888" s="13"/>
      <c r="X888" s="13"/>
      <c r="Y888" s="13"/>
      <c r="Z888" s="13"/>
      <c r="AA888" s="13"/>
      <c r="AB888" s="13"/>
    </row>
    <row r="889" spans="1:28" ht="13.2">
      <c r="A889" s="53"/>
      <c r="B889" s="13"/>
      <c r="C889" s="16"/>
      <c r="D889" s="16">
        <f t="shared" si="14"/>
        <v>0</v>
      </c>
      <c r="E889" s="16">
        <f t="shared" si="15"/>
        <v>0</v>
      </c>
      <c r="F889" s="16"/>
      <c r="G889" s="16"/>
      <c r="H889" s="16"/>
      <c r="I889" s="16"/>
      <c r="J889" s="16"/>
      <c r="K889" s="13"/>
      <c r="L889" s="13"/>
      <c r="M889" s="13"/>
      <c r="N889" s="13"/>
      <c r="O889" s="13"/>
      <c r="P889" s="13"/>
      <c r="Q889" s="13"/>
      <c r="R889" s="13"/>
      <c r="S889" s="13"/>
      <c r="T889" s="13"/>
      <c r="U889" s="13"/>
      <c r="V889" s="13"/>
      <c r="W889" s="13"/>
      <c r="X889" s="13"/>
      <c r="Y889" s="13"/>
      <c r="Z889" s="13"/>
      <c r="AA889" s="13"/>
      <c r="AB889" s="13"/>
    </row>
    <row r="890" spans="1:28" ht="13.2">
      <c r="A890" s="53"/>
      <c r="B890" s="13"/>
      <c r="C890" s="16"/>
      <c r="D890" s="16">
        <f t="shared" si="14"/>
        <v>0</v>
      </c>
      <c r="E890" s="16">
        <f t="shared" si="15"/>
        <v>0</v>
      </c>
      <c r="F890" s="16"/>
      <c r="G890" s="16"/>
      <c r="H890" s="16"/>
      <c r="I890" s="16"/>
      <c r="J890" s="16"/>
      <c r="K890" s="13"/>
      <c r="L890" s="13"/>
      <c r="M890" s="13"/>
      <c r="N890" s="13"/>
      <c r="O890" s="13"/>
      <c r="P890" s="13"/>
      <c r="Q890" s="13"/>
      <c r="R890" s="13"/>
      <c r="S890" s="13"/>
      <c r="T890" s="13"/>
      <c r="U890" s="13"/>
      <c r="V890" s="13"/>
      <c r="W890" s="13"/>
      <c r="X890" s="13"/>
      <c r="Y890" s="13"/>
      <c r="Z890" s="13"/>
      <c r="AA890" s="13"/>
      <c r="AB890" s="13"/>
    </row>
    <row r="891" spans="1:28" ht="13.2">
      <c r="A891" s="53"/>
      <c r="B891" s="13"/>
      <c r="C891" s="16"/>
      <c r="D891" s="16">
        <f t="shared" si="14"/>
        <v>0</v>
      </c>
      <c r="E891" s="16">
        <f t="shared" si="15"/>
        <v>0</v>
      </c>
      <c r="F891" s="16"/>
      <c r="G891" s="16"/>
      <c r="H891" s="16"/>
      <c r="I891" s="16"/>
      <c r="J891" s="16"/>
      <c r="K891" s="13"/>
      <c r="L891" s="13"/>
      <c r="M891" s="13"/>
      <c r="N891" s="13"/>
      <c r="O891" s="13"/>
      <c r="P891" s="13"/>
      <c r="Q891" s="13"/>
      <c r="R891" s="13"/>
      <c r="S891" s="13"/>
      <c r="T891" s="13"/>
      <c r="U891" s="13"/>
      <c r="V891" s="13"/>
      <c r="W891" s="13"/>
      <c r="X891" s="13"/>
      <c r="Y891" s="13"/>
      <c r="Z891" s="13"/>
      <c r="AA891" s="13"/>
      <c r="AB891" s="13"/>
    </row>
    <row r="892" spans="1:28" ht="13.2">
      <c r="A892" s="53"/>
      <c r="B892" s="13"/>
      <c r="C892" s="16"/>
      <c r="D892" s="16">
        <f t="shared" si="14"/>
        <v>0</v>
      </c>
      <c r="E892" s="16">
        <f t="shared" si="15"/>
        <v>0</v>
      </c>
      <c r="F892" s="16"/>
      <c r="G892" s="16"/>
      <c r="H892" s="16"/>
      <c r="I892" s="16"/>
      <c r="J892" s="16"/>
      <c r="K892" s="13"/>
      <c r="L892" s="13"/>
      <c r="M892" s="13"/>
      <c r="N892" s="13"/>
      <c r="O892" s="13"/>
      <c r="P892" s="13"/>
      <c r="Q892" s="13"/>
      <c r="R892" s="13"/>
      <c r="S892" s="13"/>
      <c r="T892" s="13"/>
      <c r="U892" s="13"/>
      <c r="V892" s="13"/>
      <c r="W892" s="13"/>
      <c r="X892" s="13"/>
      <c r="Y892" s="13"/>
      <c r="Z892" s="13"/>
      <c r="AA892" s="13"/>
      <c r="AB892" s="13"/>
    </row>
    <row r="893" spans="1:28" ht="13.2">
      <c r="A893" s="53"/>
      <c r="B893" s="13"/>
      <c r="C893" s="16"/>
      <c r="D893" s="16">
        <f t="shared" si="14"/>
        <v>0</v>
      </c>
      <c r="E893" s="16">
        <f t="shared" si="15"/>
        <v>0</v>
      </c>
      <c r="F893" s="16"/>
      <c r="G893" s="16"/>
      <c r="H893" s="16"/>
      <c r="I893" s="16"/>
      <c r="J893" s="16"/>
      <c r="K893" s="13"/>
      <c r="L893" s="13"/>
      <c r="M893" s="13"/>
      <c r="N893" s="13"/>
      <c r="O893" s="13"/>
      <c r="P893" s="13"/>
      <c r="Q893" s="13"/>
      <c r="R893" s="13"/>
      <c r="S893" s="13"/>
      <c r="T893" s="13"/>
      <c r="U893" s="13"/>
      <c r="V893" s="13"/>
      <c r="W893" s="13"/>
      <c r="X893" s="13"/>
      <c r="Y893" s="13"/>
      <c r="Z893" s="13"/>
      <c r="AA893" s="13"/>
      <c r="AB893" s="13"/>
    </row>
    <row r="894" spans="1:28" ht="13.2">
      <c r="A894" s="53"/>
      <c r="B894" s="13"/>
      <c r="C894" s="16"/>
      <c r="D894" s="16">
        <f t="shared" si="14"/>
        <v>0</v>
      </c>
      <c r="E894" s="16">
        <f t="shared" si="15"/>
        <v>0</v>
      </c>
      <c r="F894" s="16"/>
      <c r="G894" s="16"/>
      <c r="H894" s="16"/>
      <c r="I894" s="16"/>
      <c r="J894" s="16"/>
      <c r="K894" s="13"/>
      <c r="L894" s="13"/>
      <c r="M894" s="13"/>
      <c r="N894" s="13"/>
      <c r="O894" s="13"/>
      <c r="P894" s="13"/>
      <c r="Q894" s="13"/>
      <c r="R894" s="13"/>
      <c r="S894" s="13"/>
      <c r="T894" s="13"/>
      <c r="U894" s="13"/>
      <c r="V894" s="13"/>
      <c r="W894" s="13"/>
      <c r="X894" s="13"/>
      <c r="Y894" s="13"/>
      <c r="Z894" s="13"/>
      <c r="AA894" s="13"/>
      <c r="AB894" s="13"/>
    </row>
    <row r="895" spans="1:28" ht="13.2">
      <c r="A895" s="53"/>
      <c r="B895" s="13"/>
      <c r="C895" s="16"/>
      <c r="D895" s="16">
        <f t="shared" si="14"/>
        <v>0</v>
      </c>
      <c r="E895" s="16">
        <f t="shared" si="15"/>
        <v>0</v>
      </c>
      <c r="F895" s="16"/>
      <c r="G895" s="16"/>
      <c r="H895" s="16"/>
      <c r="I895" s="16"/>
      <c r="J895" s="16"/>
      <c r="K895" s="13"/>
      <c r="L895" s="13"/>
      <c r="M895" s="13"/>
      <c r="N895" s="13"/>
      <c r="O895" s="13"/>
      <c r="P895" s="13"/>
      <c r="Q895" s="13"/>
      <c r="R895" s="13"/>
      <c r="S895" s="13"/>
      <c r="T895" s="13"/>
      <c r="U895" s="13"/>
      <c r="V895" s="13"/>
      <c r="W895" s="13"/>
      <c r="X895" s="13"/>
      <c r="Y895" s="13"/>
      <c r="Z895" s="13"/>
      <c r="AA895" s="13"/>
      <c r="AB895" s="13"/>
    </row>
    <row r="896" spans="1:28" ht="13.2">
      <c r="A896" s="53"/>
      <c r="B896" s="13"/>
      <c r="C896" s="16"/>
      <c r="D896" s="16">
        <f t="shared" si="14"/>
        <v>0</v>
      </c>
      <c r="E896" s="16">
        <f t="shared" si="15"/>
        <v>0</v>
      </c>
      <c r="F896" s="16"/>
      <c r="G896" s="16"/>
      <c r="H896" s="16"/>
      <c r="I896" s="16"/>
      <c r="J896" s="16"/>
      <c r="K896" s="13"/>
      <c r="L896" s="13"/>
      <c r="M896" s="13"/>
      <c r="N896" s="13"/>
      <c r="O896" s="13"/>
      <c r="P896" s="13"/>
      <c r="Q896" s="13"/>
      <c r="R896" s="13"/>
      <c r="S896" s="13"/>
      <c r="T896" s="13"/>
      <c r="U896" s="13"/>
      <c r="V896" s="13"/>
      <c r="W896" s="13"/>
      <c r="X896" s="13"/>
      <c r="Y896" s="13"/>
      <c r="Z896" s="13"/>
      <c r="AA896" s="13"/>
      <c r="AB896" s="13"/>
    </row>
    <row r="897" spans="1:28" ht="13.2">
      <c r="A897" s="53"/>
      <c r="B897" s="13"/>
      <c r="C897" s="16"/>
      <c r="D897" s="16">
        <f t="shared" si="14"/>
        <v>0</v>
      </c>
      <c r="E897" s="16">
        <f t="shared" si="15"/>
        <v>0</v>
      </c>
      <c r="F897" s="16"/>
      <c r="G897" s="16"/>
      <c r="H897" s="16"/>
      <c r="I897" s="16"/>
      <c r="J897" s="16"/>
      <c r="K897" s="13"/>
      <c r="L897" s="13"/>
      <c r="M897" s="13"/>
      <c r="N897" s="13"/>
      <c r="O897" s="13"/>
      <c r="P897" s="13"/>
      <c r="Q897" s="13"/>
      <c r="R897" s="13"/>
      <c r="S897" s="13"/>
      <c r="T897" s="13"/>
      <c r="U897" s="13"/>
      <c r="V897" s="13"/>
      <c r="W897" s="13"/>
      <c r="X897" s="13"/>
      <c r="Y897" s="13"/>
      <c r="Z897" s="13"/>
      <c r="AA897" s="13"/>
      <c r="AB897" s="13"/>
    </row>
    <row r="898" spans="1:28" ht="13.2">
      <c r="A898" s="53"/>
      <c r="B898" s="13"/>
      <c r="C898" s="16"/>
      <c r="D898" s="16">
        <f t="shared" si="14"/>
        <v>0</v>
      </c>
      <c r="E898" s="16">
        <f t="shared" si="15"/>
        <v>0</v>
      </c>
      <c r="F898" s="16"/>
      <c r="G898" s="16"/>
      <c r="H898" s="16"/>
      <c r="I898" s="16"/>
      <c r="J898" s="16"/>
      <c r="K898" s="13"/>
      <c r="L898" s="13"/>
      <c r="M898" s="13"/>
      <c r="N898" s="13"/>
      <c r="O898" s="13"/>
      <c r="P898" s="13"/>
      <c r="Q898" s="13"/>
      <c r="R898" s="13"/>
      <c r="S898" s="13"/>
      <c r="T898" s="13"/>
      <c r="U898" s="13"/>
      <c r="V898" s="13"/>
      <c r="W898" s="13"/>
      <c r="X898" s="13"/>
      <c r="Y898" s="13"/>
      <c r="Z898" s="13"/>
      <c r="AA898" s="13"/>
      <c r="AB898" s="13"/>
    </row>
    <row r="899" spans="1:28" ht="13.2">
      <c r="A899" s="53"/>
      <c r="B899" s="13"/>
      <c r="C899" s="16"/>
      <c r="D899" s="16">
        <f t="shared" si="14"/>
        <v>0</v>
      </c>
      <c r="E899" s="16">
        <f t="shared" si="15"/>
        <v>0</v>
      </c>
      <c r="F899" s="16"/>
      <c r="G899" s="16"/>
      <c r="H899" s="16"/>
      <c r="I899" s="16"/>
      <c r="J899" s="16"/>
      <c r="K899" s="13"/>
      <c r="L899" s="13"/>
      <c r="M899" s="13"/>
      <c r="N899" s="13"/>
      <c r="O899" s="13"/>
      <c r="P899" s="13"/>
      <c r="Q899" s="13"/>
      <c r="R899" s="13"/>
      <c r="S899" s="13"/>
      <c r="T899" s="13"/>
      <c r="U899" s="13"/>
      <c r="V899" s="13"/>
      <c r="W899" s="13"/>
      <c r="X899" s="13"/>
      <c r="Y899" s="13"/>
      <c r="Z899" s="13"/>
      <c r="AA899" s="13"/>
      <c r="AB899" s="13"/>
    </row>
    <row r="900" spans="1:28" ht="13.2">
      <c r="A900" s="53"/>
      <c r="B900" s="13"/>
      <c r="C900" s="16"/>
      <c r="D900" s="16">
        <f t="shared" si="14"/>
        <v>0</v>
      </c>
      <c r="E900" s="16">
        <f t="shared" si="15"/>
        <v>0</v>
      </c>
      <c r="F900" s="16"/>
      <c r="G900" s="16"/>
      <c r="H900" s="16"/>
      <c r="I900" s="16"/>
      <c r="J900" s="16"/>
      <c r="K900" s="13"/>
      <c r="L900" s="13"/>
      <c r="M900" s="13"/>
      <c r="N900" s="13"/>
      <c r="O900" s="13"/>
      <c r="P900" s="13"/>
      <c r="Q900" s="13"/>
      <c r="R900" s="13"/>
      <c r="S900" s="13"/>
      <c r="T900" s="13"/>
      <c r="U900" s="13"/>
      <c r="V900" s="13"/>
      <c r="W900" s="13"/>
      <c r="X900" s="13"/>
      <c r="Y900" s="13"/>
      <c r="Z900" s="13"/>
      <c r="AA900" s="13"/>
      <c r="AB900" s="13"/>
    </row>
    <row r="901" spans="1:28" ht="13.2">
      <c r="A901" s="53"/>
      <c r="B901" s="13"/>
      <c r="C901" s="16"/>
      <c r="D901" s="16">
        <f t="shared" si="14"/>
        <v>0</v>
      </c>
      <c r="E901" s="16">
        <f t="shared" si="15"/>
        <v>0</v>
      </c>
      <c r="F901" s="16"/>
      <c r="G901" s="16"/>
      <c r="H901" s="16"/>
      <c r="I901" s="16"/>
      <c r="J901" s="16"/>
      <c r="K901" s="13"/>
      <c r="L901" s="13"/>
      <c r="M901" s="13"/>
      <c r="N901" s="13"/>
      <c r="O901" s="13"/>
      <c r="P901" s="13"/>
      <c r="Q901" s="13"/>
      <c r="R901" s="13"/>
      <c r="S901" s="13"/>
      <c r="T901" s="13"/>
      <c r="U901" s="13"/>
      <c r="V901" s="13"/>
      <c r="W901" s="13"/>
      <c r="X901" s="13"/>
      <c r="Y901" s="13"/>
      <c r="Z901" s="13"/>
      <c r="AA901" s="13"/>
      <c r="AB901" s="13"/>
    </row>
    <row r="902" spans="1:28" ht="13.2">
      <c r="A902" s="53"/>
      <c r="B902" s="13"/>
      <c r="C902" s="16"/>
      <c r="D902" s="16">
        <f t="shared" si="14"/>
        <v>0</v>
      </c>
      <c r="E902" s="16">
        <f t="shared" si="15"/>
        <v>0</v>
      </c>
      <c r="F902" s="16"/>
      <c r="G902" s="16"/>
      <c r="H902" s="16"/>
      <c r="I902" s="16"/>
      <c r="J902" s="16"/>
      <c r="K902" s="13"/>
      <c r="L902" s="13"/>
      <c r="M902" s="13"/>
      <c r="N902" s="13"/>
      <c r="O902" s="13"/>
      <c r="P902" s="13"/>
      <c r="Q902" s="13"/>
      <c r="R902" s="13"/>
      <c r="S902" s="13"/>
      <c r="T902" s="13"/>
      <c r="U902" s="13"/>
      <c r="V902" s="13"/>
      <c r="W902" s="13"/>
      <c r="X902" s="13"/>
      <c r="Y902" s="13"/>
      <c r="Z902" s="13"/>
      <c r="AA902" s="13"/>
      <c r="AB902" s="13"/>
    </row>
    <row r="903" spans="1:28" ht="13.2">
      <c r="A903" s="53"/>
      <c r="B903" s="13"/>
      <c r="C903" s="16"/>
      <c r="D903" s="16">
        <f t="shared" si="14"/>
        <v>0</v>
      </c>
      <c r="E903" s="16">
        <f t="shared" si="15"/>
        <v>0</v>
      </c>
      <c r="F903" s="16"/>
      <c r="G903" s="16"/>
      <c r="H903" s="16"/>
      <c r="I903" s="16"/>
      <c r="J903" s="16"/>
      <c r="K903" s="13"/>
      <c r="L903" s="13"/>
      <c r="M903" s="13"/>
      <c r="N903" s="13"/>
      <c r="O903" s="13"/>
      <c r="P903" s="13"/>
      <c r="Q903" s="13"/>
      <c r="R903" s="13"/>
      <c r="S903" s="13"/>
      <c r="T903" s="13"/>
      <c r="U903" s="13"/>
      <c r="V903" s="13"/>
      <c r="W903" s="13"/>
      <c r="X903" s="13"/>
      <c r="Y903" s="13"/>
      <c r="Z903" s="13"/>
      <c r="AA903" s="13"/>
      <c r="AB903" s="13"/>
    </row>
    <row r="904" spans="1:28" ht="13.2">
      <c r="A904" s="53"/>
      <c r="B904" s="13"/>
      <c r="C904" s="16"/>
      <c r="D904" s="16">
        <f t="shared" si="14"/>
        <v>0</v>
      </c>
      <c r="E904" s="16">
        <f t="shared" si="15"/>
        <v>0</v>
      </c>
      <c r="F904" s="16"/>
      <c r="G904" s="16"/>
      <c r="H904" s="16"/>
      <c r="I904" s="16"/>
      <c r="J904" s="16"/>
      <c r="K904" s="13"/>
      <c r="L904" s="13"/>
      <c r="M904" s="13"/>
      <c r="N904" s="13"/>
      <c r="O904" s="13"/>
      <c r="P904" s="13"/>
      <c r="Q904" s="13"/>
      <c r="R904" s="13"/>
      <c r="S904" s="13"/>
      <c r="T904" s="13"/>
      <c r="U904" s="13"/>
      <c r="V904" s="13"/>
      <c r="W904" s="13"/>
      <c r="X904" s="13"/>
      <c r="Y904" s="13"/>
      <c r="Z904" s="13"/>
      <c r="AA904" s="13"/>
      <c r="AB904" s="13"/>
    </row>
    <row r="905" spans="1:28" ht="13.2">
      <c r="A905" s="53"/>
      <c r="B905" s="13"/>
      <c r="C905" s="16"/>
      <c r="D905" s="16">
        <f t="shared" si="14"/>
        <v>0</v>
      </c>
      <c r="E905" s="16">
        <f t="shared" si="15"/>
        <v>0</v>
      </c>
      <c r="F905" s="16"/>
      <c r="G905" s="16"/>
      <c r="H905" s="16"/>
      <c r="I905" s="16"/>
      <c r="J905" s="16"/>
      <c r="K905" s="13"/>
      <c r="L905" s="13"/>
      <c r="M905" s="13"/>
      <c r="N905" s="13"/>
      <c r="O905" s="13"/>
      <c r="P905" s="13"/>
      <c r="Q905" s="13"/>
      <c r="R905" s="13"/>
      <c r="S905" s="13"/>
      <c r="T905" s="13"/>
      <c r="U905" s="13"/>
      <c r="V905" s="13"/>
      <c r="W905" s="13"/>
      <c r="X905" s="13"/>
      <c r="Y905" s="13"/>
      <c r="Z905" s="13"/>
      <c r="AA905" s="13"/>
      <c r="AB905" s="13"/>
    </row>
    <row r="906" spans="1:28" ht="13.2">
      <c r="A906" s="53"/>
      <c r="B906" s="13"/>
      <c r="C906" s="16"/>
      <c r="D906" s="16">
        <f t="shared" si="14"/>
        <v>0</v>
      </c>
      <c r="E906" s="16">
        <f t="shared" si="15"/>
        <v>0</v>
      </c>
      <c r="F906" s="16"/>
      <c r="G906" s="16"/>
      <c r="H906" s="16"/>
      <c r="I906" s="16"/>
      <c r="J906" s="16"/>
      <c r="K906" s="13"/>
      <c r="L906" s="13"/>
      <c r="M906" s="13"/>
      <c r="N906" s="13"/>
      <c r="O906" s="13"/>
      <c r="P906" s="13"/>
      <c r="Q906" s="13"/>
      <c r="R906" s="13"/>
      <c r="S906" s="13"/>
      <c r="T906" s="13"/>
      <c r="U906" s="13"/>
      <c r="V906" s="13"/>
      <c r="W906" s="13"/>
      <c r="X906" s="13"/>
      <c r="Y906" s="13"/>
      <c r="Z906" s="13"/>
      <c r="AA906" s="13"/>
      <c r="AB906" s="13"/>
    </row>
    <row r="907" spans="1:28" ht="13.2">
      <c r="A907" s="53"/>
      <c r="B907" s="13"/>
      <c r="C907" s="16"/>
      <c r="D907" s="16">
        <f t="shared" si="14"/>
        <v>0</v>
      </c>
      <c r="E907" s="16">
        <f t="shared" si="15"/>
        <v>0</v>
      </c>
      <c r="F907" s="16"/>
      <c r="G907" s="16"/>
      <c r="H907" s="16"/>
      <c r="I907" s="16"/>
      <c r="J907" s="16"/>
      <c r="K907" s="13"/>
      <c r="L907" s="13"/>
      <c r="M907" s="13"/>
      <c r="N907" s="13"/>
      <c r="O907" s="13"/>
      <c r="P907" s="13"/>
      <c r="Q907" s="13"/>
      <c r="R907" s="13"/>
      <c r="S907" s="13"/>
      <c r="T907" s="13"/>
      <c r="U907" s="13"/>
      <c r="V907" s="13"/>
      <c r="W907" s="13"/>
      <c r="X907" s="13"/>
      <c r="Y907" s="13"/>
      <c r="Z907" s="13"/>
      <c r="AA907" s="13"/>
      <c r="AB907" s="13"/>
    </row>
    <row r="908" spans="1:28" ht="13.2">
      <c r="A908" s="53"/>
      <c r="B908" s="13"/>
      <c r="C908" s="16"/>
      <c r="D908" s="16">
        <f t="shared" si="14"/>
        <v>0</v>
      </c>
      <c r="E908" s="16">
        <f t="shared" si="15"/>
        <v>0</v>
      </c>
      <c r="F908" s="16"/>
      <c r="G908" s="16"/>
      <c r="H908" s="16"/>
      <c r="I908" s="16"/>
      <c r="J908" s="16"/>
      <c r="K908" s="13"/>
      <c r="L908" s="13"/>
      <c r="M908" s="13"/>
      <c r="N908" s="13"/>
      <c r="O908" s="13"/>
      <c r="P908" s="13"/>
      <c r="Q908" s="13"/>
      <c r="R908" s="13"/>
      <c r="S908" s="13"/>
      <c r="T908" s="13"/>
      <c r="U908" s="13"/>
      <c r="V908" s="13"/>
      <c r="W908" s="13"/>
      <c r="X908" s="13"/>
      <c r="Y908" s="13"/>
      <c r="Z908" s="13"/>
      <c r="AA908" s="13"/>
      <c r="AB908" s="13"/>
    </row>
    <row r="909" spans="1:28" ht="13.2">
      <c r="A909" s="53"/>
      <c r="B909" s="13"/>
      <c r="C909" s="16"/>
      <c r="D909" s="16">
        <f t="shared" si="14"/>
        <v>0</v>
      </c>
      <c r="E909" s="16">
        <f t="shared" si="15"/>
        <v>0</v>
      </c>
      <c r="F909" s="16"/>
      <c r="G909" s="16"/>
      <c r="H909" s="16"/>
      <c r="I909" s="16"/>
      <c r="J909" s="16"/>
      <c r="K909" s="13"/>
      <c r="L909" s="13"/>
      <c r="M909" s="13"/>
      <c r="N909" s="13"/>
      <c r="O909" s="13"/>
      <c r="P909" s="13"/>
      <c r="Q909" s="13"/>
      <c r="R909" s="13"/>
      <c r="S909" s="13"/>
      <c r="T909" s="13"/>
      <c r="U909" s="13"/>
      <c r="V909" s="13"/>
      <c r="W909" s="13"/>
      <c r="X909" s="13"/>
      <c r="Y909" s="13"/>
      <c r="Z909" s="13"/>
      <c r="AA909" s="13"/>
      <c r="AB909" s="13"/>
    </row>
    <row r="910" spans="1:28" ht="13.2">
      <c r="A910" s="53"/>
      <c r="B910" s="13"/>
      <c r="C910" s="16"/>
      <c r="D910" s="16">
        <f t="shared" si="14"/>
        <v>0</v>
      </c>
      <c r="E910" s="16">
        <f t="shared" si="15"/>
        <v>0</v>
      </c>
      <c r="F910" s="16"/>
      <c r="G910" s="16"/>
      <c r="H910" s="16"/>
      <c r="I910" s="16"/>
      <c r="J910" s="16"/>
      <c r="K910" s="13"/>
      <c r="L910" s="13"/>
      <c r="M910" s="13"/>
      <c r="N910" s="13"/>
      <c r="O910" s="13"/>
      <c r="P910" s="13"/>
      <c r="Q910" s="13"/>
      <c r="R910" s="13"/>
      <c r="S910" s="13"/>
      <c r="T910" s="13"/>
      <c r="U910" s="13"/>
      <c r="V910" s="13"/>
      <c r="W910" s="13"/>
      <c r="X910" s="13"/>
      <c r="Y910" s="13"/>
      <c r="Z910" s="13"/>
      <c r="AA910" s="13"/>
      <c r="AB910" s="13"/>
    </row>
    <row r="911" spans="1:28" ht="13.2">
      <c r="A911" s="53"/>
      <c r="B911" s="13"/>
      <c r="C911" s="16"/>
      <c r="D911" s="16">
        <f t="shared" si="14"/>
        <v>0</v>
      </c>
      <c r="E911" s="16">
        <f t="shared" si="15"/>
        <v>0</v>
      </c>
      <c r="F911" s="16"/>
      <c r="G911" s="16"/>
      <c r="H911" s="16"/>
      <c r="I911" s="16"/>
      <c r="J911" s="16"/>
      <c r="K911" s="13"/>
      <c r="L911" s="13"/>
      <c r="M911" s="13"/>
      <c r="N911" s="13"/>
      <c r="O911" s="13"/>
      <c r="P911" s="13"/>
      <c r="Q911" s="13"/>
      <c r="R911" s="13"/>
      <c r="S911" s="13"/>
      <c r="T911" s="13"/>
      <c r="U911" s="13"/>
      <c r="V911" s="13"/>
      <c r="W911" s="13"/>
      <c r="X911" s="13"/>
      <c r="Y911" s="13"/>
      <c r="Z911" s="13"/>
      <c r="AA911" s="13"/>
      <c r="AB911" s="13"/>
    </row>
    <row r="912" spans="1:28" ht="13.2">
      <c r="A912" s="53"/>
      <c r="B912" s="13"/>
      <c r="C912" s="16"/>
      <c r="D912" s="16">
        <f t="shared" si="14"/>
        <v>0</v>
      </c>
      <c r="E912" s="16">
        <f t="shared" si="15"/>
        <v>0</v>
      </c>
      <c r="F912" s="16"/>
      <c r="G912" s="16"/>
      <c r="H912" s="16"/>
      <c r="I912" s="16"/>
      <c r="J912" s="16"/>
      <c r="K912" s="13"/>
      <c r="L912" s="13"/>
      <c r="M912" s="13"/>
      <c r="N912" s="13"/>
      <c r="O912" s="13"/>
      <c r="P912" s="13"/>
      <c r="Q912" s="13"/>
      <c r="R912" s="13"/>
      <c r="S912" s="13"/>
      <c r="T912" s="13"/>
      <c r="U912" s="13"/>
      <c r="V912" s="13"/>
      <c r="W912" s="13"/>
      <c r="X912" s="13"/>
      <c r="Y912" s="13"/>
      <c r="Z912" s="13"/>
      <c r="AA912" s="13"/>
      <c r="AB912" s="13"/>
    </row>
    <row r="913" spans="1:28" ht="13.2">
      <c r="A913" s="53"/>
      <c r="B913" s="13"/>
      <c r="C913" s="16"/>
      <c r="D913" s="16">
        <f t="shared" si="14"/>
        <v>0</v>
      </c>
      <c r="E913" s="16">
        <f t="shared" si="15"/>
        <v>0</v>
      </c>
      <c r="F913" s="16"/>
      <c r="G913" s="16"/>
      <c r="H913" s="16"/>
      <c r="I913" s="16"/>
      <c r="J913" s="16"/>
      <c r="K913" s="13"/>
      <c r="L913" s="13"/>
      <c r="M913" s="13"/>
      <c r="N913" s="13"/>
      <c r="O913" s="13"/>
      <c r="P913" s="13"/>
      <c r="Q913" s="13"/>
      <c r="R913" s="13"/>
      <c r="S913" s="13"/>
      <c r="T913" s="13"/>
      <c r="U913" s="13"/>
      <c r="V913" s="13"/>
      <c r="W913" s="13"/>
      <c r="X913" s="13"/>
      <c r="Y913" s="13"/>
      <c r="Z913" s="13"/>
      <c r="AA913" s="13"/>
      <c r="AB913" s="13"/>
    </row>
    <row r="914" spans="1:28" ht="13.2">
      <c r="A914" s="53"/>
      <c r="B914" s="13"/>
      <c r="C914" s="16"/>
      <c r="D914" s="16">
        <f t="shared" si="14"/>
        <v>0</v>
      </c>
      <c r="E914" s="16">
        <f t="shared" si="15"/>
        <v>0</v>
      </c>
      <c r="F914" s="16"/>
      <c r="G914" s="16"/>
      <c r="H914" s="16"/>
      <c r="I914" s="16"/>
      <c r="J914" s="16"/>
      <c r="K914" s="13"/>
      <c r="L914" s="13"/>
      <c r="M914" s="13"/>
      <c r="N914" s="13"/>
      <c r="O914" s="13"/>
      <c r="P914" s="13"/>
      <c r="Q914" s="13"/>
      <c r="R914" s="13"/>
      <c r="S914" s="13"/>
      <c r="T914" s="13"/>
      <c r="U914" s="13"/>
      <c r="V914" s="13"/>
      <c r="W914" s="13"/>
      <c r="X914" s="13"/>
      <c r="Y914" s="13"/>
      <c r="Z914" s="13"/>
      <c r="AA914" s="13"/>
      <c r="AB914" s="13"/>
    </row>
    <row r="915" spans="1:28" ht="13.2">
      <c r="A915" s="53"/>
      <c r="B915" s="13"/>
      <c r="C915" s="16"/>
      <c r="D915" s="16">
        <f t="shared" si="14"/>
        <v>0</v>
      </c>
      <c r="E915" s="16">
        <f t="shared" si="15"/>
        <v>0</v>
      </c>
      <c r="F915" s="16"/>
      <c r="G915" s="16"/>
      <c r="H915" s="16"/>
      <c r="I915" s="16"/>
      <c r="J915" s="16"/>
      <c r="K915" s="13"/>
      <c r="L915" s="13"/>
      <c r="M915" s="13"/>
      <c r="N915" s="13"/>
      <c r="O915" s="13"/>
      <c r="P915" s="13"/>
      <c r="Q915" s="13"/>
      <c r="R915" s="13"/>
      <c r="S915" s="13"/>
      <c r="T915" s="13"/>
      <c r="U915" s="13"/>
      <c r="V915" s="13"/>
      <c r="W915" s="13"/>
      <c r="X915" s="13"/>
      <c r="Y915" s="13"/>
      <c r="Z915" s="13"/>
      <c r="AA915" s="13"/>
      <c r="AB915" s="13"/>
    </row>
    <row r="916" spans="1:28" ht="13.2">
      <c r="A916" s="53"/>
      <c r="B916" s="13"/>
      <c r="C916" s="16"/>
      <c r="D916" s="16">
        <f t="shared" si="14"/>
        <v>0</v>
      </c>
      <c r="E916" s="16">
        <f t="shared" si="15"/>
        <v>0</v>
      </c>
      <c r="F916" s="16"/>
      <c r="G916" s="16"/>
      <c r="H916" s="16"/>
      <c r="I916" s="16"/>
      <c r="J916" s="16"/>
      <c r="K916" s="13"/>
      <c r="L916" s="13"/>
      <c r="M916" s="13"/>
      <c r="N916" s="13"/>
      <c r="O916" s="13"/>
      <c r="P916" s="13"/>
      <c r="Q916" s="13"/>
      <c r="R916" s="13"/>
      <c r="S916" s="13"/>
      <c r="T916" s="13"/>
      <c r="U916" s="13"/>
      <c r="V916" s="13"/>
      <c r="W916" s="13"/>
      <c r="X916" s="13"/>
      <c r="Y916" s="13"/>
      <c r="Z916" s="13"/>
      <c r="AA916" s="13"/>
      <c r="AB916" s="13"/>
    </row>
    <row r="917" spans="1:28" ht="13.2">
      <c r="A917" s="53"/>
      <c r="B917" s="13"/>
      <c r="C917" s="16"/>
      <c r="D917" s="16">
        <f t="shared" si="14"/>
        <v>0</v>
      </c>
      <c r="E917" s="16">
        <f t="shared" si="15"/>
        <v>0</v>
      </c>
      <c r="F917" s="16"/>
      <c r="G917" s="16"/>
      <c r="H917" s="16"/>
      <c r="I917" s="16"/>
      <c r="J917" s="16"/>
      <c r="K917" s="13"/>
      <c r="L917" s="13"/>
      <c r="M917" s="13"/>
      <c r="N917" s="13"/>
      <c r="O917" s="13"/>
      <c r="P917" s="13"/>
      <c r="Q917" s="13"/>
      <c r="R917" s="13"/>
      <c r="S917" s="13"/>
      <c r="T917" s="13"/>
      <c r="U917" s="13"/>
      <c r="V917" s="13"/>
      <c r="W917" s="13"/>
      <c r="X917" s="13"/>
      <c r="Y917" s="13"/>
      <c r="Z917" s="13"/>
      <c r="AA917" s="13"/>
      <c r="AB917" s="13"/>
    </row>
    <row r="918" spans="1:28" ht="13.2">
      <c r="A918" s="53"/>
      <c r="B918" s="13"/>
      <c r="C918" s="16"/>
      <c r="D918" s="16">
        <f t="shared" si="14"/>
        <v>0</v>
      </c>
      <c r="E918" s="16">
        <f t="shared" si="15"/>
        <v>0</v>
      </c>
      <c r="F918" s="16"/>
      <c r="G918" s="16"/>
      <c r="H918" s="16"/>
      <c r="I918" s="16"/>
      <c r="J918" s="16"/>
      <c r="K918" s="13"/>
      <c r="L918" s="13"/>
      <c r="M918" s="13"/>
      <c r="N918" s="13"/>
      <c r="O918" s="13"/>
      <c r="P918" s="13"/>
      <c r="Q918" s="13"/>
      <c r="R918" s="13"/>
      <c r="S918" s="13"/>
      <c r="T918" s="13"/>
      <c r="U918" s="13"/>
      <c r="V918" s="13"/>
      <c r="W918" s="13"/>
      <c r="X918" s="13"/>
      <c r="Y918" s="13"/>
      <c r="Z918" s="13"/>
      <c r="AA918" s="13"/>
      <c r="AB918" s="13"/>
    </row>
    <row r="919" spans="1:28" ht="13.2">
      <c r="A919" s="53"/>
      <c r="B919" s="13"/>
      <c r="C919" s="16"/>
      <c r="D919" s="16">
        <f t="shared" si="14"/>
        <v>0</v>
      </c>
      <c r="E919" s="16">
        <f t="shared" si="15"/>
        <v>0</v>
      </c>
      <c r="F919" s="16"/>
      <c r="G919" s="16"/>
      <c r="H919" s="16"/>
      <c r="I919" s="16"/>
      <c r="J919" s="16"/>
      <c r="K919" s="13"/>
      <c r="L919" s="13"/>
      <c r="M919" s="13"/>
      <c r="N919" s="13"/>
      <c r="O919" s="13"/>
      <c r="P919" s="13"/>
      <c r="Q919" s="13"/>
      <c r="R919" s="13"/>
      <c r="S919" s="13"/>
      <c r="T919" s="13"/>
      <c r="U919" s="13"/>
      <c r="V919" s="13"/>
      <c r="W919" s="13"/>
      <c r="X919" s="13"/>
      <c r="Y919" s="13"/>
      <c r="Z919" s="13"/>
      <c r="AA919" s="13"/>
      <c r="AB919" s="13"/>
    </row>
    <row r="920" spans="1:28" ht="13.2">
      <c r="A920" s="53"/>
      <c r="B920" s="13"/>
      <c r="C920" s="16"/>
      <c r="D920" s="16">
        <f t="shared" si="14"/>
        <v>0</v>
      </c>
      <c r="E920" s="16">
        <f t="shared" si="15"/>
        <v>0</v>
      </c>
      <c r="F920" s="16"/>
      <c r="G920" s="16"/>
      <c r="H920" s="16"/>
      <c r="I920" s="16"/>
      <c r="J920" s="16"/>
      <c r="K920" s="13"/>
      <c r="L920" s="13"/>
      <c r="M920" s="13"/>
      <c r="N920" s="13"/>
      <c r="O920" s="13"/>
      <c r="P920" s="13"/>
      <c r="Q920" s="13"/>
      <c r="R920" s="13"/>
      <c r="S920" s="13"/>
      <c r="T920" s="13"/>
      <c r="U920" s="13"/>
      <c r="V920" s="13"/>
      <c r="W920" s="13"/>
      <c r="X920" s="13"/>
      <c r="Y920" s="13"/>
      <c r="Z920" s="13"/>
      <c r="AA920" s="13"/>
      <c r="AB920" s="13"/>
    </row>
    <row r="921" spans="1:28" ht="13.2">
      <c r="A921" s="53"/>
      <c r="B921" s="13"/>
      <c r="C921" s="16"/>
      <c r="D921" s="16">
        <f t="shared" si="14"/>
        <v>0</v>
      </c>
      <c r="E921" s="16">
        <f t="shared" si="15"/>
        <v>0</v>
      </c>
      <c r="F921" s="16"/>
      <c r="G921" s="16"/>
      <c r="H921" s="16"/>
      <c r="I921" s="16"/>
      <c r="J921" s="16"/>
      <c r="K921" s="13"/>
      <c r="L921" s="13"/>
      <c r="M921" s="13"/>
      <c r="N921" s="13"/>
      <c r="O921" s="13"/>
      <c r="P921" s="13"/>
      <c r="Q921" s="13"/>
      <c r="R921" s="13"/>
      <c r="S921" s="13"/>
      <c r="T921" s="13"/>
      <c r="U921" s="13"/>
      <c r="V921" s="13"/>
      <c r="W921" s="13"/>
      <c r="X921" s="13"/>
      <c r="Y921" s="13"/>
      <c r="Z921" s="13"/>
      <c r="AA921" s="13"/>
      <c r="AB921" s="13"/>
    </row>
    <row r="922" spans="1:28" ht="13.2">
      <c r="A922" s="53"/>
      <c r="B922" s="13"/>
      <c r="C922" s="16"/>
      <c r="D922" s="16">
        <f t="shared" si="14"/>
        <v>0</v>
      </c>
      <c r="E922" s="16">
        <f t="shared" si="15"/>
        <v>0</v>
      </c>
      <c r="F922" s="16"/>
      <c r="G922" s="16"/>
      <c r="H922" s="16"/>
      <c r="I922" s="16"/>
      <c r="J922" s="16"/>
      <c r="K922" s="13"/>
      <c r="L922" s="13"/>
      <c r="M922" s="13"/>
      <c r="N922" s="13"/>
      <c r="O922" s="13"/>
      <c r="P922" s="13"/>
      <c r="Q922" s="13"/>
      <c r="R922" s="13"/>
      <c r="S922" s="13"/>
      <c r="T922" s="13"/>
      <c r="U922" s="13"/>
      <c r="V922" s="13"/>
      <c r="W922" s="13"/>
      <c r="X922" s="13"/>
      <c r="Y922" s="13"/>
      <c r="Z922" s="13"/>
      <c r="AA922" s="13"/>
      <c r="AB922" s="13"/>
    </row>
    <row r="923" spans="1:28" ht="13.2">
      <c r="A923" s="53"/>
      <c r="B923" s="13"/>
      <c r="C923" s="16"/>
      <c r="D923" s="16">
        <f t="shared" si="14"/>
        <v>0</v>
      </c>
      <c r="E923" s="16">
        <f t="shared" si="15"/>
        <v>0</v>
      </c>
      <c r="F923" s="16"/>
      <c r="G923" s="16"/>
      <c r="H923" s="16"/>
      <c r="I923" s="16"/>
      <c r="J923" s="16"/>
      <c r="K923" s="13"/>
      <c r="L923" s="13"/>
      <c r="M923" s="13"/>
      <c r="N923" s="13"/>
      <c r="O923" s="13"/>
      <c r="P923" s="13"/>
      <c r="Q923" s="13"/>
      <c r="R923" s="13"/>
      <c r="S923" s="13"/>
      <c r="T923" s="13"/>
      <c r="U923" s="13"/>
      <c r="V923" s="13"/>
      <c r="W923" s="13"/>
      <c r="X923" s="13"/>
      <c r="Y923" s="13"/>
      <c r="Z923" s="13"/>
      <c r="AA923" s="13"/>
      <c r="AB923" s="13"/>
    </row>
    <row r="924" spans="1:28" ht="13.2">
      <c r="A924" s="53"/>
      <c r="B924" s="13"/>
      <c r="C924" s="16"/>
      <c r="D924" s="16">
        <f t="shared" si="14"/>
        <v>0</v>
      </c>
      <c r="E924" s="16">
        <f t="shared" si="15"/>
        <v>0</v>
      </c>
      <c r="F924" s="16"/>
      <c r="G924" s="16"/>
      <c r="H924" s="16"/>
      <c r="I924" s="16"/>
      <c r="J924" s="16"/>
      <c r="K924" s="13"/>
      <c r="L924" s="13"/>
      <c r="M924" s="13"/>
      <c r="N924" s="13"/>
      <c r="O924" s="13"/>
      <c r="P924" s="13"/>
      <c r="Q924" s="13"/>
      <c r="R924" s="13"/>
      <c r="S924" s="13"/>
      <c r="T924" s="13"/>
      <c r="U924" s="13"/>
      <c r="V924" s="13"/>
      <c r="W924" s="13"/>
      <c r="X924" s="13"/>
      <c r="Y924" s="13"/>
      <c r="Z924" s="13"/>
      <c r="AA924" s="13"/>
      <c r="AB924" s="13"/>
    </row>
    <row r="925" spans="1:28" ht="13.2">
      <c r="A925" s="53"/>
      <c r="B925" s="13"/>
      <c r="C925" s="16"/>
      <c r="D925" s="16">
        <f t="shared" si="14"/>
        <v>0</v>
      </c>
      <c r="E925" s="16">
        <f t="shared" si="15"/>
        <v>0</v>
      </c>
      <c r="F925" s="16"/>
      <c r="G925" s="16"/>
      <c r="H925" s="16"/>
      <c r="I925" s="16"/>
      <c r="J925" s="16"/>
      <c r="K925" s="13"/>
      <c r="L925" s="13"/>
      <c r="M925" s="13"/>
      <c r="N925" s="13"/>
      <c r="O925" s="13"/>
      <c r="P925" s="13"/>
      <c r="Q925" s="13"/>
      <c r="R925" s="13"/>
      <c r="S925" s="13"/>
      <c r="T925" s="13"/>
      <c r="U925" s="13"/>
      <c r="V925" s="13"/>
      <c r="W925" s="13"/>
      <c r="X925" s="13"/>
      <c r="Y925" s="13"/>
      <c r="Z925" s="13"/>
      <c r="AA925" s="13"/>
      <c r="AB925" s="13"/>
    </row>
    <row r="926" spans="1:28" ht="13.2">
      <c r="A926" s="53"/>
      <c r="B926" s="13"/>
      <c r="C926" s="16"/>
      <c r="D926" s="16">
        <f t="shared" si="14"/>
        <v>0</v>
      </c>
      <c r="E926" s="16">
        <f t="shared" si="15"/>
        <v>0</v>
      </c>
      <c r="F926" s="16"/>
      <c r="G926" s="16"/>
      <c r="H926" s="16"/>
      <c r="I926" s="16"/>
      <c r="J926" s="16"/>
      <c r="K926" s="13"/>
      <c r="L926" s="13"/>
      <c r="M926" s="13"/>
      <c r="N926" s="13"/>
      <c r="O926" s="13"/>
      <c r="P926" s="13"/>
      <c r="Q926" s="13"/>
      <c r="R926" s="13"/>
      <c r="S926" s="13"/>
      <c r="T926" s="13"/>
      <c r="U926" s="13"/>
      <c r="V926" s="13"/>
      <c r="W926" s="13"/>
      <c r="X926" s="13"/>
      <c r="Y926" s="13"/>
      <c r="Z926" s="13"/>
      <c r="AA926" s="13"/>
      <c r="AB926" s="13"/>
    </row>
    <row r="927" spans="1:28" ht="13.2">
      <c r="A927" s="53"/>
      <c r="B927" s="13"/>
      <c r="C927" s="16"/>
      <c r="D927" s="16">
        <f t="shared" si="14"/>
        <v>0</v>
      </c>
      <c r="E927" s="16">
        <f t="shared" si="15"/>
        <v>0</v>
      </c>
      <c r="F927" s="16"/>
      <c r="G927" s="16"/>
      <c r="H927" s="16"/>
      <c r="I927" s="16"/>
      <c r="J927" s="16"/>
      <c r="K927" s="13"/>
      <c r="L927" s="13"/>
      <c r="M927" s="13"/>
      <c r="N927" s="13"/>
      <c r="O927" s="13"/>
      <c r="P927" s="13"/>
      <c r="Q927" s="13"/>
      <c r="R927" s="13"/>
      <c r="S927" s="13"/>
      <c r="T927" s="13"/>
      <c r="U927" s="13"/>
      <c r="V927" s="13"/>
      <c r="W927" s="13"/>
      <c r="X927" s="13"/>
      <c r="Y927" s="13"/>
      <c r="Z927" s="13"/>
      <c r="AA927" s="13"/>
      <c r="AB927" s="13"/>
    </row>
    <row r="928" spans="1:28" ht="13.2">
      <c r="A928" s="53"/>
      <c r="B928" s="13"/>
      <c r="C928" s="16"/>
      <c r="D928" s="16">
        <f t="shared" si="14"/>
        <v>0</v>
      </c>
      <c r="E928" s="16">
        <f t="shared" si="15"/>
        <v>0</v>
      </c>
      <c r="F928" s="16"/>
      <c r="G928" s="16"/>
      <c r="H928" s="16"/>
      <c r="I928" s="16"/>
      <c r="J928" s="16"/>
      <c r="K928" s="13"/>
      <c r="L928" s="13"/>
      <c r="M928" s="13"/>
      <c r="N928" s="13"/>
      <c r="O928" s="13"/>
      <c r="P928" s="13"/>
      <c r="Q928" s="13"/>
      <c r="R928" s="13"/>
      <c r="S928" s="13"/>
      <c r="T928" s="13"/>
      <c r="U928" s="13"/>
      <c r="V928" s="13"/>
      <c r="W928" s="13"/>
      <c r="X928" s="13"/>
      <c r="Y928" s="13"/>
      <c r="Z928" s="13"/>
      <c r="AA928" s="13"/>
      <c r="AB928" s="13"/>
    </row>
    <row r="929" spans="1:28" ht="13.2">
      <c r="A929" s="53"/>
      <c r="B929" s="13"/>
      <c r="C929" s="16"/>
      <c r="D929" s="16">
        <f t="shared" si="14"/>
        <v>0</v>
      </c>
      <c r="E929" s="16">
        <f t="shared" si="15"/>
        <v>0</v>
      </c>
      <c r="F929" s="16"/>
      <c r="G929" s="16"/>
      <c r="H929" s="16"/>
      <c r="I929" s="16"/>
      <c r="J929" s="16"/>
      <c r="K929" s="13"/>
      <c r="L929" s="13"/>
      <c r="M929" s="13"/>
      <c r="N929" s="13"/>
      <c r="O929" s="13"/>
      <c r="P929" s="13"/>
      <c r="Q929" s="13"/>
      <c r="R929" s="13"/>
      <c r="S929" s="13"/>
      <c r="T929" s="13"/>
      <c r="U929" s="13"/>
      <c r="V929" s="13"/>
      <c r="W929" s="13"/>
      <c r="X929" s="13"/>
      <c r="Y929" s="13"/>
      <c r="Z929" s="13"/>
      <c r="AA929" s="13"/>
      <c r="AB929" s="13"/>
    </row>
    <row r="930" spans="1:28" ht="13.2">
      <c r="A930" s="53"/>
      <c r="B930" s="13"/>
      <c r="C930" s="16"/>
      <c r="D930" s="16">
        <f t="shared" si="14"/>
        <v>0</v>
      </c>
      <c r="E930" s="16">
        <f t="shared" si="15"/>
        <v>0</v>
      </c>
      <c r="F930" s="16"/>
      <c r="G930" s="16"/>
      <c r="H930" s="16"/>
      <c r="I930" s="16"/>
      <c r="J930" s="16"/>
      <c r="K930" s="13"/>
      <c r="L930" s="13"/>
      <c r="M930" s="13"/>
      <c r="N930" s="13"/>
      <c r="O930" s="13"/>
      <c r="P930" s="13"/>
      <c r="Q930" s="13"/>
      <c r="R930" s="13"/>
      <c r="S930" s="13"/>
      <c r="T930" s="13"/>
      <c r="U930" s="13"/>
      <c r="V930" s="13"/>
      <c r="W930" s="13"/>
      <c r="X930" s="13"/>
      <c r="Y930" s="13"/>
      <c r="Z930" s="13"/>
      <c r="AA930" s="13"/>
      <c r="AB930" s="13"/>
    </row>
    <row r="931" spans="1:28" ht="13.2">
      <c r="A931" s="53"/>
      <c r="B931" s="13"/>
      <c r="C931" s="16"/>
      <c r="D931" s="16">
        <f t="shared" si="14"/>
        <v>0</v>
      </c>
      <c r="E931" s="16">
        <f t="shared" si="15"/>
        <v>0</v>
      </c>
      <c r="F931" s="16"/>
      <c r="G931" s="16"/>
      <c r="H931" s="16"/>
      <c r="I931" s="16"/>
      <c r="J931" s="16"/>
      <c r="K931" s="13"/>
      <c r="L931" s="13"/>
      <c r="M931" s="13"/>
      <c r="N931" s="13"/>
      <c r="O931" s="13"/>
      <c r="P931" s="13"/>
      <c r="Q931" s="13"/>
      <c r="R931" s="13"/>
      <c r="S931" s="13"/>
      <c r="T931" s="13"/>
      <c r="U931" s="13"/>
      <c r="V931" s="13"/>
      <c r="W931" s="13"/>
      <c r="X931" s="13"/>
      <c r="Y931" s="13"/>
      <c r="Z931" s="13"/>
      <c r="AA931" s="13"/>
      <c r="AB931" s="13"/>
    </row>
    <row r="932" spans="1:28" ht="13.2">
      <c r="A932" s="53"/>
      <c r="B932" s="13"/>
      <c r="C932" s="16"/>
      <c r="D932" s="16">
        <f t="shared" si="14"/>
        <v>0</v>
      </c>
      <c r="E932" s="16">
        <f t="shared" si="15"/>
        <v>0</v>
      </c>
      <c r="F932" s="16"/>
      <c r="G932" s="16"/>
      <c r="H932" s="16"/>
      <c r="I932" s="16"/>
      <c r="J932" s="16"/>
      <c r="K932" s="13"/>
      <c r="L932" s="13"/>
      <c r="M932" s="13"/>
      <c r="N932" s="13"/>
      <c r="O932" s="13"/>
      <c r="P932" s="13"/>
      <c r="Q932" s="13"/>
      <c r="R932" s="13"/>
      <c r="S932" s="13"/>
      <c r="T932" s="13"/>
      <c r="U932" s="13"/>
      <c r="V932" s="13"/>
      <c r="W932" s="13"/>
      <c r="X932" s="13"/>
      <c r="Y932" s="13"/>
      <c r="Z932" s="13"/>
      <c r="AA932" s="13"/>
      <c r="AB932" s="13"/>
    </row>
    <row r="933" spans="1:28" ht="13.2">
      <c r="A933" s="53"/>
      <c r="B933" s="13"/>
      <c r="C933" s="16"/>
      <c r="D933" s="16">
        <f t="shared" si="14"/>
        <v>0</v>
      </c>
      <c r="E933" s="16">
        <f t="shared" si="15"/>
        <v>0</v>
      </c>
      <c r="F933" s="16"/>
      <c r="G933" s="16"/>
      <c r="H933" s="16"/>
      <c r="I933" s="16"/>
      <c r="J933" s="16"/>
      <c r="K933" s="13"/>
      <c r="L933" s="13"/>
      <c r="M933" s="13"/>
      <c r="N933" s="13"/>
      <c r="O933" s="13"/>
      <c r="P933" s="13"/>
      <c r="Q933" s="13"/>
      <c r="R933" s="13"/>
      <c r="S933" s="13"/>
      <c r="T933" s="13"/>
      <c r="U933" s="13"/>
      <c r="V933" s="13"/>
      <c r="W933" s="13"/>
      <c r="X933" s="13"/>
      <c r="Y933" s="13"/>
      <c r="Z933" s="13"/>
      <c r="AA933" s="13"/>
      <c r="AB933" s="13"/>
    </row>
    <row r="934" spans="1:28" ht="13.2">
      <c r="A934" s="53"/>
      <c r="B934" s="13"/>
      <c r="C934" s="16"/>
      <c r="D934" s="16">
        <f t="shared" si="14"/>
        <v>0</v>
      </c>
      <c r="E934" s="16">
        <f t="shared" si="15"/>
        <v>0</v>
      </c>
      <c r="F934" s="16"/>
      <c r="G934" s="16"/>
      <c r="H934" s="16"/>
      <c r="I934" s="16"/>
      <c r="J934" s="16"/>
      <c r="K934" s="13"/>
      <c r="L934" s="13"/>
      <c r="M934" s="13"/>
      <c r="N934" s="13"/>
      <c r="O934" s="13"/>
      <c r="P934" s="13"/>
      <c r="Q934" s="13"/>
      <c r="R934" s="13"/>
      <c r="S934" s="13"/>
      <c r="T934" s="13"/>
      <c r="U934" s="13"/>
      <c r="V934" s="13"/>
      <c r="W934" s="13"/>
      <c r="X934" s="13"/>
      <c r="Y934" s="13"/>
      <c r="Z934" s="13"/>
      <c r="AA934" s="13"/>
      <c r="AB934" s="13"/>
    </row>
    <row r="935" spans="1:28" ht="13.2">
      <c r="A935" s="53"/>
      <c r="B935" s="13"/>
      <c r="C935" s="16"/>
      <c r="D935" s="16">
        <f t="shared" si="14"/>
        <v>0</v>
      </c>
      <c r="E935" s="16">
        <f t="shared" si="15"/>
        <v>0</v>
      </c>
      <c r="F935" s="16"/>
      <c r="G935" s="16"/>
      <c r="H935" s="16"/>
      <c r="I935" s="16"/>
      <c r="J935" s="16"/>
      <c r="K935" s="13"/>
      <c r="L935" s="13"/>
      <c r="M935" s="13"/>
      <c r="N935" s="13"/>
      <c r="O935" s="13"/>
      <c r="P935" s="13"/>
      <c r="Q935" s="13"/>
      <c r="R935" s="13"/>
      <c r="S935" s="13"/>
      <c r="T935" s="13"/>
      <c r="U935" s="13"/>
      <c r="V935" s="13"/>
      <c r="W935" s="13"/>
      <c r="X935" s="13"/>
      <c r="Y935" s="13"/>
      <c r="Z935" s="13"/>
      <c r="AA935" s="13"/>
      <c r="AB935" s="13"/>
    </row>
    <row r="936" spans="1:28" ht="13.2">
      <c r="A936" s="53"/>
      <c r="B936" s="13"/>
      <c r="C936" s="16"/>
      <c r="D936" s="16">
        <f t="shared" si="14"/>
        <v>0</v>
      </c>
      <c r="E936" s="16">
        <f t="shared" si="15"/>
        <v>0</v>
      </c>
      <c r="F936" s="16"/>
      <c r="G936" s="16"/>
      <c r="H936" s="16"/>
      <c r="I936" s="16"/>
      <c r="J936" s="16"/>
      <c r="K936" s="13"/>
      <c r="L936" s="13"/>
      <c r="M936" s="13"/>
      <c r="N936" s="13"/>
      <c r="O936" s="13"/>
      <c r="P936" s="13"/>
      <c r="Q936" s="13"/>
      <c r="R936" s="13"/>
      <c r="S936" s="13"/>
      <c r="T936" s="13"/>
      <c r="U936" s="13"/>
      <c r="V936" s="13"/>
      <c r="W936" s="13"/>
      <c r="X936" s="13"/>
      <c r="Y936" s="13"/>
      <c r="Z936" s="13"/>
      <c r="AA936" s="13"/>
      <c r="AB936" s="13"/>
    </row>
    <row r="937" spans="1:28" ht="13.2">
      <c r="A937" s="53"/>
      <c r="B937" s="13"/>
      <c r="C937" s="16"/>
      <c r="D937" s="16">
        <f t="shared" si="14"/>
        <v>0</v>
      </c>
      <c r="E937" s="16">
        <f t="shared" si="15"/>
        <v>0</v>
      </c>
      <c r="F937" s="16"/>
      <c r="G937" s="16"/>
      <c r="H937" s="16"/>
      <c r="I937" s="16"/>
      <c r="J937" s="16"/>
      <c r="K937" s="13"/>
      <c r="L937" s="13"/>
      <c r="M937" s="13"/>
      <c r="N937" s="13"/>
      <c r="O937" s="13"/>
      <c r="P937" s="13"/>
      <c r="Q937" s="13"/>
      <c r="R937" s="13"/>
      <c r="S937" s="13"/>
      <c r="T937" s="13"/>
      <c r="U937" s="13"/>
      <c r="V937" s="13"/>
      <c r="W937" s="13"/>
      <c r="X937" s="13"/>
      <c r="Y937" s="13"/>
      <c r="Z937" s="13"/>
      <c r="AA937" s="13"/>
      <c r="AB937" s="13"/>
    </row>
    <row r="938" spans="1:28" ht="13.2">
      <c r="A938" s="53"/>
      <c r="B938" s="13"/>
      <c r="C938" s="16"/>
      <c r="D938" s="16">
        <f t="shared" si="14"/>
        <v>0</v>
      </c>
      <c r="E938" s="16">
        <f t="shared" si="15"/>
        <v>0</v>
      </c>
      <c r="F938" s="16"/>
      <c r="G938" s="16"/>
      <c r="H938" s="16"/>
      <c r="I938" s="16"/>
      <c r="J938" s="16"/>
      <c r="K938" s="13"/>
      <c r="L938" s="13"/>
      <c r="M938" s="13"/>
      <c r="N938" s="13"/>
      <c r="O938" s="13"/>
      <c r="P938" s="13"/>
      <c r="Q938" s="13"/>
      <c r="R938" s="13"/>
      <c r="S938" s="13"/>
      <c r="T938" s="13"/>
      <c r="U938" s="13"/>
      <c r="V938" s="13"/>
      <c r="W938" s="13"/>
      <c r="X938" s="13"/>
      <c r="Y938" s="13"/>
      <c r="Z938" s="13"/>
      <c r="AA938" s="13"/>
      <c r="AB938" s="13"/>
    </row>
    <row r="939" spans="1:28" ht="13.2">
      <c r="A939" s="53"/>
      <c r="B939" s="13"/>
      <c r="C939" s="16"/>
      <c r="D939" s="16">
        <f t="shared" si="14"/>
        <v>0</v>
      </c>
      <c r="E939" s="16">
        <f t="shared" si="15"/>
        <v>0</v>
      </c>
      <c r="F939" s="16"/>
      <c r="G939" s="16"/>
      <c r="H939" s="16"/>
      <c r="I939" s="16"/>
      <c r="J939" s="16"/>
      <c r="K939" s="13"/>
      <c r="L939" s="13"/>
      <c r="M939" s="13"/>
      <c r="N939" s="13"/>
      <c r="O939" s="13"/>
      <c r="P939" s="13"/>
      <c r="Q939" s="13"/>
      <c r="R939" s="13"/>
      <c r="S939" s="13"/>
      <c r="T939" s="13"/>
      <c r="U939" s="13"/>
      <c r="V939" s="13"/>
      <c r="W939" s="13"/>
      <c r="X939" s="13"/>
      <c r="Y939" s="13"/>
      <c r="Z939" s="13"/>
      <c r="AA939" s="13"/>
      <c r="AB939" s="13"/>
    </row>
    <row r="940" spans="1:28" ht="13.2">
      <c r="A940" s="53"/>
      <c r="B940" s="13"/>
      <c r="C940" s="16"/>
      <c r="D940" s="16">
        <f t="shared" si="14"/>
        <v>0</v>
      </c>
      <c r="E940" s="16">
        <f t="shared" si="15"/>
        <v>0</v>
      </c>
      <c r="F940" s="16"/>
      <c r="G940" s="16"/>
      <c r="H940" s="16"/>
      <c r="I940" s="16"/>
      <c r="J940" s="16"/>
      <c r="K940" s="13"/>
      <c r="L940" s="13"/>
      <c r="M940" s="13"/>
      <c r="N940" s="13"/>
      <c r="O940" s="13"/>
      <c r="P940" s="13"/>
      <c r="Q940" s="13"/>
      <c r="R940" s="13"/>
      <c r="S940" s="13"/>
      <c r="T940" s="13"/>
      <c r="U940" s="13"/>
      <c r="V940" s="13"/>
      <c r="W940" s="13"/>
      <c r="X940" s="13"/>
      <c r="Y940" s="13"/>
      <c r="Z940" s="13"/>
      <c r="AA940" s="13"/>
      <c r="AB940" s="13"/>
    </row>
    <row r="941" spans="1:28" ht="13.2">
      <c r="A941" s="53"/>
      <c r="B941" s="13"/>
      <c r="C941" s="16"/>
      <c r="D941" s="16">
        <f t="shared" si="14"/>
        <v>0</v>
      </c>
      <c r="E941" s="16">
        <f t="shared" si="15"/>
        <v>0</v>
      </c>
      <c r="F941" s="16"/>
      <c r="G941" s="16"/>
      <c r="H941" s="16"/>
      <c r="I941" s="16"/>
      <c r="J941" s="16"/>
      <c r="K941" s="13"/>
      <c r="L941" s="13"/>
      <c r="M941" s="13"/>
      <c r="N941" s="13"/>
      <c r="O941" s="13"/>
      <c r="P941" s="13"/>
      <c r="Q941" s="13"/>
      <c r="R941" s="13"/>
      <c r="S941" s="13"/>
      <c r="T941" s="13"/>
      <c r="U941" s="13"/>
      <c r="V941" s="13"/>
      <c r="W941" s="13"/>
      <c r="X941" s="13"/>
      <c r="Y941" s="13"/>
      <c r="Z941" s="13"/>
      <c r="AA941" s="13"/>
      <c r="AB941" s="13"/>
    </row>
    <row r="942" spans="1:28" ht="13.2">
      <c r="A942" s="53"/>
      <c r="B942" s="13"/>
      <c r="C942" s="16"/>
      <c r="D942" s="16">
        <f t="shared" si="14"/>
        <v>0</v>
      </c>
      <c r="E942" s="16">
        <f t="shared" si="15"/>
        <v>0</v>
      </c>
      <c r="F942" s="16"/>
      <c r="G942" s="16"/>
      <c r="H942" s="16"/>
      <c r="I942" s="16"/>
      <c r="J942" s="16"/>
      <c r="K942" s="13"/>
      <c r="L942" s="13"/>
      <c r="M942" s="13"/>
      <c r="N942" s="13"/>
      <c r="O942" s="13"/>
      <c r="P942" s="13"/>
      <c r="Q942" s="13"/>
      <c r="R942" s="13"/>
      <c r="S942" s="13"/>
      <c r="T942" s="13"/>
      <c r="U942" s="13"/>
      <c r="V942" s="13"/>
      <c r="W942" s="13"/>
      <c r="X942" s="13"/>
      <c r="Y942" s="13"/>
      <c r="Z942" s="13"/>
      <c r="AA942" s="13"/>
      <c r="AB942" s="13"/>
    </row>
    <row r="943" spans="1:28" ht="13.2">
      <c r="A943" s="53"/>
      <c r="B943" s="13"/>
      <c r="C943" s="16"/>
      <c r="D943" s="16">
        <f t="shared" si="14"/>
        <v>0</v>
      </c>
      <c r="E943" s="16">
        <f t="shared" si="15"/>
        <v>0</v>
      </c>
      <c r="F943" s="16"/>
      <c r="G943" s="16"/>
      <c r="H943" s="16"/>
      <c r="I943" s="16"/>
      <c r="J943" s="16"/>
      <c r="K943" s="13"/>
      <c r="L943" s="13"/>
      <c r="M943" s="13"/>
      <c r="N943" s="13"/>
      <c r="O943" s="13"/>
      <c r="P943" s="13"/>
      <c r="Q943" s="13"/>
      <c r="R943" s="13"/>
      <c r="S943" s="13"/>
      <c r="T943" s="13"/>
      <c r="U943" s="13"/>
      <c r="V943" s="13"/>
      <c r="W943" s="13"/>
      <c r="X943" s="13"/>
      <c r="Y943" s="13"/>
      <c r="Z943" s="13"/>
      <c r="AA943" s="13"/>
      <c r="AB943" s="13"/>
    </row>
    <row r="944" spans="1:28" ht="13.2">
      <c r="A944" s="53"/>
      <c r="B944" s="13"/>
      <c r="C944" s="16"/>
      <c r="D944" s="16">
        <f t="shared" si="14"/>
        <v>0</v>
      </c>
      <c r="E944" s="16">
        <f t="shared" si="15"/>
        <v>0</v>
      </c>
      <c r="F944" s="16"/>
      <c r="G944" s="16"/>
      <c r="H944" s="16"/>
      <c r="I944" s="16"/>
      <c r="J944" s="16"/>
      <c r="K944" s="13"/>
      <c r="L944" s="13"/>
      <c r="M944" s="13"/>
      <c r="N944" s="13"/>
      <c r="O944" s="13"/>
      <c r="P944" s="13"/>
      <c r="Q944" s="13"/>
      <c r="R944" s="13"/>
      <c r="S944" s="13"/>
      <c r="T944" s="13"/>
      <c r="U944" s="13"/>
      <c r="V944" s="13"/>
      <c r="W944" s="13"/>
      <c r="X944" s="13"/>
      <c r="Y944" s="13"/>
      <c r="Z944" s="13"/>
      <c r="AA944" s="13"/>
      <c r="AB944" s="13"/>
    </row>
    <row r="945" spans="1:28" ht="13.2">
      <c r="A945" s="53"/>
      <c r="B945" s="13"/>
      <c r="C945" s="16"/>
      <c r="D945" s="16">
        <f t="shared" si="14"/>
        <v>0</v>
      </c>
      <c r="E945" s="16">
        <f t="shared" si="15"/>
        <v>0</v>
      </c>
      <c r="F945" s="16"/>
      <c r="G945" s="16"/>
      <c r="H945" s="16"/>
      <c r="I945" s="16"/>
      <c r="J945" s="16"/>
      <c r="K945" s="13"/>
      <c r="L945" s="13"/>
      <c r="M945" s="13"/>
      <c r="N945" s="13"/>
      <c r="O945" s="13"/>
      <c r="P945" s="13"/>
      <c r="Q945" s="13"/>
      <c r="R945" s="13"/>
      <c r="S945" s="13"/>
      <c r="T945" s="13"/>
      <c r="U945" s="13"/>
      <c r="V945" s="13"/>
      <c r="W945" s="13"/>
      <c r="X945" s="13"/>
      <c r="Y945" s="13"/>
      <c r="Z945" s="13"/>
      <c r="AA945" s="13"/>
      <c r="AB945" s="13"/>
    </row>
    <row r="946" spans="1:28" ht="13.2">
      <c r="A946" s="53"/>
      <c r="B946" s="13"/>
      <c r="C946" s="16"/>
      <c r="D946" s="16">
        <f t="shared" si="14"/>
        <v>0</v>
      </c>
      <c r="E946" s="16">
        <f t="shared" si="15"/>
        <v>0</v>
      </c>
      <c r="F946" s="16"/>
      <c r="G946" s="16"/>
      <c r="H946" s="16"/>
      <c r="I946" s="16"/>
      <c r="J946" s="16"/>
      <c r="K946" s="13"/>
      <c r="L946" s="13"/>
      <c r="M946" s="13"/>
      <c r="N946" s="13"/>
      <c r="O946" s="13"/>
      <c r="P946" s="13"/>
      <c r="Q946" s="13"/>
      <c r="R946" s="13"/>
      <c r="S946" s="13"/>
      <c r="T946" s="13"/>
      <c r="U946" s="13"/>
      <c r="V946" s="13"/>
      <c r="W946" s="13"/>
      <c r="X946" s="13"/>
      <c r="Y946" s="13"/>
      <c r="Z946" s="13"/>
      <c r="AA946" s="13"/>
      <c r="AB946" s="13"/>
    </row>
    <row r="947" spans="1:28" ht="13.2">
      <c r="A947" s="53"/>
      <c r="B947" s="13"/>
      <c r="C947" s="16"/>
      <c r="D947" s="16">
        <f t="shared" si="14"/>
        <v>0</v>
      </c>
      <c r="E947" s="16">
        <f t="shared" si="15"/>
        <v>0</v>
      </c>
      <c r="F947" s="16"/>
      <c r="G947" s="16"/>
      <c r="H947" s="16"/>
      <c r="I947" s="16"/>
      <c r="J947" s="16"/>
      <c r="K947" s="13"/>
      <c r="L947" s="13"/>
      <c r="M947" s="13"/>
      <c r="N947" s="13"/>
      <c r="O947" s="13"/>
      <c r="P947" s="13"/>
      <c r="Q947" s="13"/>
      <c r="R947" s="13"/>
      <c r="S947" s="13"/>
      <c r="T947" s="13"/>
      <c r="U947" s="13"/>
      <c r="V947" s="13"/>
      <c r="W947" s="13"/>
      <c r="X947" s="13"/>
      <c r="Y947" s="13"/>
      <c r="Z947" s="13"/>
      <c r="AA947" s="13"/>
      <c r="AB947" s="13"/>
    </row>
    <row r="948" spans="1:28" ht="13.2">
      <c r="A948" s="53"/>
      <c r="B948" s="13"/>
      <c r="C948" s="16"/>
      <c r="D948" s="16">
        <f t="shared" si="14"/>
        <v>0</v>
      </c>
      <c r="E948" s="16">
        <f t="shared" si="15"/>
        <v>0</v>
      </c>
      <c r="F948" s="16"/>
      <c r="G948" s="16"/>
      <c r="H948" s="16"/>
      <c r="I948" s="16"/>
      <c r="J948" s="16"/>
      <c r="K948" s="13"/>
      <c r="L948" s="13"/>
      <c r="M948" s="13"/>
      <c r="N948" s="13"/>
      <c r="O948" s="13"/>
      <c r="P948" s="13"/>
      <c r="Q948" s="13"/>
      <c r="R948" s="13"/>
      <c r="S948" s="13"/>
      <c r="T948" s="13"/>
      <c r="U948" s="13"/>
      <c r="V948" s="13"/>
      <c r="W948" s="13"/>
      <c r="X948" s="13"/>
      <c r="Y948" s="13"/>
      <c r="Z948" s="13"/>
      <c r="AA948" s="13"/>
      <c r="AB948" s="13"/>
    </row>
    <row r="949" spans="1:28" ht="13.2">
      <c r="A949" s="53"/>
      <c r="B949" s="13"/>
      <c r="C949" s="16"/>
      <c r="D949" s="16">
        <f t="shared" si="14"/>
        <v>0</v>
      </c>
      <c r="E949" s="16">
        <f t="shared" si="15"/>
        <v>0</v>
      </c>
      <c r="F949" s="16"/>
      <c r="G949" s="16"/>
      <c r="H949" s="16"/>
      <c r="I949" s="16"/>
      <c r="J949" s="16"/>
      <c r="K949" s="13"/>
      <c r="L949" s="13"/>
      <c r="M949" s="13"/>
      <c r="N949" s="13"/>
      <c r="O949" s="13"/>
      <c r="P949" s="13"/>
      <c r="Q949" s="13"/>
      <c r="R949" s="13"/>
      <c r="S949" s="13"/>
      <c r="T949" s="13"/>
      <c r="U949" s="13"/>
      <c r="V949" s="13"/>
      <c r="W949" s="13"/>
      <c r="X949" s="13"/>
      <c r="Y949" s="13"/>
      <c r="Z949" s="13"/>
      <c r="AA949" s="13"/>
      <c r="AB949" s="13"/>
    </row>
    <row r="950" spans="1:28" ht="13.2">
      <c r="A950" s="53"/>
      <c r="B950" s="13"/>
      <c r="C950" s="16"/>
      <c r="D950" s="16">
        <f t="shared" si="14"/>
        <v>0</v>
      </c>
      <c r="E950" s="16">
        <f t="shared" si="15"/>
        <v>0</v>
      </c>
      <c r="F950" s="16"/>
      <c r="G950" s="16"/>
      <c r="H950" s="16"/>
      <c r="I950" s="16"/>
      <c r="J950" s="16"/>
      <c r="K950" s="13"/>
      <c r="L950" s="13"/>
      <c r="M950" s="13"/>
      <c r="N950" s="13"/>
      <c r="O950" s="13"/>
      <c r="P950" s="13"/>
      <c r="Q950" s="13"/>
      <c r="R950" s="13"/>
      <c r="S950" s="13"/>
      <c r="T950" s="13"/>
      <c r="U950" s="13"/>
      <c r="V950" s="13"/>
      <c r="W950" s="13"/>
      <c r="X950" s="13"/>
      <c r="Y950" s="13"/>
      <c r="Z950" s="13"/>
      <c r="AA950" s="13"/>
      <c r="AB950" s="13"/>
    </row>
    <row r="951" spans="1:28" ht="13.2">
      <c r="A951" s="53"/>
      <c r="B951" s="13"/>
      <c r="C951" s="16"/>
      <c r="D951" s="16">
        <f t="shared" si="14"/>
        <v>0</v>
      </c>
      <c r="E951" s="16">
        <f t="shared" si="15"/>
        <v>0</v>
      </c>
      <c r="F951" s="16"/>
      <c r="G951" s="16"/>
      <c r="H951" s="16"/>
      <c r="I951" s="16"/>
      <c r="J951" s="16"/>
      <c r="K951" s="13"/>
      <c r="L951" s="13"/>
      <c r="M951" s="13"/>
      <c r="N951" s="13"/>
      <c r="O951" s="13"/>
      <c r="P951" s="13"/>
      <c r="Q951" s="13"/>
      <c r="R951" s="13"/>
      <c r="S951" s="13"/>
      <c r="T951" s="13"/>
      <c r="U951" s="13"/>
      <c r="V951" s="13"/>
      <c r="W951" s="13"/>
      <c r="X951" s="13"/>
      <c r="Y951" s="13"/>
      <c r="Z951" s="13"/>
      <c r="AA951" s="13"/>
      <c r="AB951" s="13"/>
    </row>
    <row r="952" spans="1:28" ht="13.2">
      <c r="A952" s="53"/>
      <c r="B952" s="13"/>
      <c r="C952" s="16"/>
      <c r="D952" s="16">
        <f t="shared" si="14"/>
        <v>0</v>
      </c>
      <c r="E952" s="16">
        <f t="shared" si="15"/>
        <v>0</v>
      </c>
      <c r="F952" s="16"/>
      <c r="G952" s="16"/>
      <c r="H952" s="16"/>
      <c r="I952" s="16"/>
      <c r="J952" s="16"/>
      <c r="K952" s="13"/>
      <c r="L952" s="13"/>
      <c r="M952" s="13"/>
      <c r="N952" s="13"/>
      <c r="O952" s="13"/>
      <c r="P952" s="13"/>
      <c r="Q952" s="13"/>
      <c r="R952" s="13"/>
      <c r="S952" s="13"/>
      <c r="T952" s="13"/>
      <c r="U952" s="13"/>
      <c r="V952" s="13"/>
      <c r="W952" s="13"/>
      <c r="X952" s="13"/>
      <c r="Y952" s="13"/>
      <c r="Z952" s="13"/>
      <c r="AA952" s="13"/>
      <c r="AB952" s="13"/>
    </row>
    <row r="953" spans="1:28" ht="13.2">
      <c r="A953" s="53"/>
      <c r="B953" s="13"/>
      <c r="C953" s="16"/>
      <c r="D953" s="16">
        <f t="shared" si="14"/>
        <v>0</v>
      </c>
      <c r="E953" s="16">
        <f t="shared" si="15"/>
        <v>0</v>
      </c>
      <c r="F953" s="16"/>
      <c r="G953" s="16"/>
      <c r="H953" s="16"/>
      <c r="I953" s="16"/>
      <c r="J953" s="16"/>
      <c r="K953" s="13"/>
      <c r="L953" s="13"/>
      <c r="M953" s="13"/>
      <c r="N953" s="13"/>
      <c r="O953" s="13"/>
      <c r="P953" s="13"/>
      <c r="Q953" s="13"/>
      <c r="R953" s="13"/>
      <c r="S953" s="13"/>
      <c r="T953" s="13"/>
      <c r="U953" s="13"/>
      <c r="V953" s="13"/>
      <c r="W953" s="13"/>
      <c r="X953" s="13"/>
      <c r="Y953" s="13"/>
      <c r="Z953" s="13"/>
      <c r="AA953" s="13"/>
      <c r="AB953" s="13"/>
    </row>
    <row r="954" spans="1:28" ht="13.2">
      <c r="A954" s="53"/>
      <c r="B954" s="13"/>
      <c r="C954" s="16"/>
      <c r="D954" s="16">
        <f t="shared" si="14"/>
        <v>0</v>
      </c>
      <c r="E954" s="16">
        <f t="shared" si="15"/>
        <v>0</v>
      </c>
      <c r="F954" s="16"/>
      <c r="G954" s="16"/>
      <c r="H954" s="16"/>
      <c r="I954" s="16"/>
      <c r="J954" s="16"/>
      <c r="K954" s="13"/>
      <c r="L954" s="13"/>
      <c r="M954" s="13"/>
      <c r="N954" s="13"/>
      <c r="O954" s="13"/>
      <c r="P954" s="13"/>
      <c r="Q954" s="13"/>
      <c r="R954" s="13"/>
      <c r="S954" s="13"/>
      <c r="T954" s="13"/>
      <c r="U954" s="13"/>
      <c r="V954" s="13"/>
      <c r="W954" s="13"/>
      <c r="X954" s="13"/>
      <c r="Y954" s="13"/>
      <c r="Z954" s="13"/>
      <c r="AA954" s="13"/>
      <c r="AB954" s="13"/>
    </row>
    <row r="955" spans="1:28" ht="13.2">
      <c r="A955" s="53"/>
      <c r="B955" s="13"/>
      <c r="C955" s="16"/>
      <c r="D955" s="16">
        <f t="shared" si="14"/>
        <v>0</v>
      </c>
      <c r="E955" s="16">
        <f t="shared" si="15"/>
        <v>0</v>
      </c>
      <c r="F955" s="16"/>
      <c r="G955" s="16"/>
      <c r="H955" s="16"/>
      <c r="I955" s="16"/>
      <c r="J955" s="16"/>
      <c r="K955" s="13"/>
      <c r="L955" s="13"/>
      <c r="M955" s="13"/>
      <c r="N955" s="13"/>
      <c r="O955" s="13"/>
      <c r="P955" s="13"/>
      <c r="Q955" s="13"/>
      <c r="R955" s="13"/>
      <c r="S955" s="13"/>
      <c r="T955" s="13"/>
      <c r="U955" s="13"/>
      <c r="V955" s="13"/>
      <c r="W955" s="13"/>
      <c r="X955" s="13"/>
      <c r="Y955" s="13"/>
      <c r="Z955" s="13"/>
      <c r="AA955" s="13"/>
      <c r="AB955" s="13"/>
    </row>
    <row r="956" spans="1:28" ht="13.2">
      <c r="A956" s="53"/>
      <c r="B956" s="13"/>
      <c r="C956" s="16"/>
      <c r="D956" s="16">
        <f t="shared" si="14"/>
        <v>0</v>
      </c>
      <c r="E956" s="16">
        <f t="shared" si="15"/>
        <v>0</v>
      </c>
      <c r="F956" s="16"/>
      <c r="G956" s="16"/>
      <c r="H956" s="16"/>
      <c r="I956" s="16"/>
      <c r="J956" s="16"/>
      <c r="K956" s="13"/>
      <c r="L956" s="13"/>
      <c r="M956" s="13"/>
      <c r="N956" s="13"/>
      <c r="O956" s="13"/>
      <c r="P956" s="13"/>
      <c r="Q956" s="13"/>
      <c r="R956" s="13"/>
      <c r="S956" s="13"/>
      <c r="T956" s="13"/>
      <c r="U956" s="13"/>
      <c r="V956" s="13"/>
      <c r="W956" s="13"/>
      <c r="X956" s="13"/>
      <c r="Y956" s="13"/>
      <c r="Z956" s="13"/>
      <c r="AA956" s="13"/>
      <c r="AB956" s="13"/>
    </row>
    <row r="957" spans="1:28" ht="13.2">
      <c r="A957" s="53"/>
      <c r="B957" s="13"/>
      <c r="C957" s="16"/>
      <c r="D957" s="16">
        <f t="shared" si="14"/>
        <v>0</v>
      </c>
      <c r="E957" s="16">
        <f t="shared" si="15"/>
        <v>0</v>
      </c>
      <c r="F957" s="16"/>
      <c r="G957" s="16"/>
      <c r="H957" s="16"/>
      <c r="I957" s="16"/>
      <c r="J957" s="16"/>
      <c r="K957" s="13"/>
      <c r="L957" s="13"/>
      <c r="M957" s="13"/>
      <c r="N957" s="13"/>
      <c r="O957" s="13"/>
      <c r="P957" s="13"/>
      <c r="Q957" s="13"/>
      <c r="R957" s="13"/>
      <c r="S957" s="13"/>
      <c r="T957" s="13"/>
      <c r="U957" s="13"/>
      <c r="V957" s="13"/>
      <c r="W957" s="13"/>
      <c r="X957" s="13"/>
      <c r="Y957" s="13"/>
      <c r="Z957" s="13"/>
      <c r="AA957" s="13"/>
      <c r="AB957" s="13"/>
    </row>
    <row r="958" spans="1:28" ht="13.2">
      <c r="A958" s="53"/>
      <c r="B958" s="13"/>
      <c r="C958" s="16"/>
      <c r="D958" s="16">
        <f t="shared" si="14"/>
        <v>0</v>
      </c>
      <c r="E958" s="16">
        <f t="shared" si="15"/>
        <v>0</v>
      </c>
      <c r="F958" s="16"/>
      <c r="G958" s="16"/>
      <c r="H958" s="16"/>
      <c r="I958" s="16"/>
      <c r="J958" s="16"/>
      <c r="K958" s="13"/>
      <c r="L958" s="13"/>
      <c r="M958" s="13"/>
      <c r="N958" s="13"/>
      <c r="O958" s="13"/>
      <c r="P958" s="13"/>
      <c r="Q958" s="13"/>
      <c r="R958" s="13"/>
      <c r="S958" s="13"/>
      <c r="T958" s="13"/>
      <c r="U958" s="13"/>
      <c r="V958" s="13"/>
      <c r="W958" s="13"/>
      <c r="X958" s="13"/>
      <c r="Y958" s="13"/>
      <c r="Z958" s="13"/>
      <c r="AA958" s="13"/>
      <c r="AB958" s="13"/>
    </row>
    <row r="959" spans="1:28" ht="13.2">
      <c r="A959" s="53"/>
      <c r="B959" s="13"/>
      <c r="C959" s="16"/>
      <c r="D959" s="16">
        <f t="shared" si="14"/>
        <v>0</v>
      </c>
      <c r="E959" s="16">
        <f t="shared" si="15"/>
        <v>0</v>
      </c>
      <c r="F959" s="16"/>
      <c r="G959" s="16"/>
      <c r="H959" s="16"/>
      <c r="I959" s="16"/>
      <c r="J959" s="16"/>
      <c r="K959" s="13"/>
      <c r="L959" s="13"/>
      <c r="M959" s="13"/>
      <c r="N959" s="13"/>
      <c r="O959" s="13"/>
      <c r="P959" s="13"/>
      <c r="Q959" s="13"/>
      <c r="R959" s="13"/>
      <c r="S959" s="13"/>
      <c r="T959" s="13"/>
      <c r="U959" s="13"/>
      <c r="V959" s="13"/>
      <c r="W959" s="13"/>
      <c r="X959" s="13"/>
      <c r="Y959" s="13"/>
      <c r="Z959" s="13"/>
      <c r="AA959" s="13"/>
      <c r="AB959" s="13"/>
    </row>
    <row r="960" spans="1:28" ht="13.2">
      <c r="A960" s="53"/>
      <c r="B960" s="13"/>
      <c r="C960" s="16"/>
      <c r="D960" s="16">
        <f t="shared" si="14"/>
        <v>0</v>
      </c>
      <c r="E960" s="16">
        <f t="shared" si="15"/>
        <v>0</v>
      </c>
      <c r="F960" s="16"/>
      <c r="G960" s="16"/>
      <c r="H960" s="16"/>
      <c r="I960" s="16"/>
      <c r="J960" s="16"/>
      <c r="K960" s="13"/>
      <c r="L960" s="13"/>
      <c r="M960" s="13"/>
      <c r="N960" s="13"/>
      <c r="O960" s="13"/>
      <c r="P960" s="13"/>
      <c r="Q960" s="13"/>
      <c r="R960" s="13"/>
      <c r="S960" s="13"/>
      <c r="T960" s="13"/>
      <c r="U960" s="13"/>
      <c r="V960" s="13"/>
      <c r="W960" s="13"/>
      <c r="X960" s="13"/>
      <c r="Y960" s="13"/>
      <c r="Z960" s="13"/>
      <c r="AA960" s="13"/>
      <c r="AB960" s="13"/>
    </row>
    <row r="961" spans="1:28" ht="13.2">
      <c r="A961" s="53"/>
      <c r="B961" s="13"/>
      <c r="C961" s="16"/>
      <c r="D961" s="16">
        <f t="shared" si="14"/>
        <v>0</v>
      </c>
      <c r="E961" s="16">
        <f t="shared" si="15"/>
        <v>0</v>
      </c>
      <c r="F961" s="16"/>
      <c r="G961" s="16"/>
      <c r="H961" s="16"/>
      <c r="I961" s="16"/>
      <c r="J961" s="16"/>
      <c r="K961" s="13"/>
      <c r="L961" s="13"/>
      <c r="M961" s="13"/>
      <c r="N961" s="13"/>
      <c r="O961" s="13"/>
      <c r="P961" s="13"/>
      <c r="Q961" s="13"/>
      <c r="R961" s="13"/>
      <c r="S961" s="13"/>
      <c r="T961" s="13"/>
      <c r="U961" s="13"/>
      <c r="V961" s="13"/>
      <c r="W961" s="13"/>
      <c r="X961" s="13"/>
      <c r="Y961" s="13"/>
      <c r="Z961" s="13"/>
      <c r="AA961" s="13"/>
      <c r="AB961" s="13"/>
    </row>
    <row r="962" spans="1:28" ht="13.2">
      <c r="A962" s="53"/>
      <c r="B962" s="13"/>
      <c r="C962" s="16"/>
      <c r="D962" s="16">
        <f t="shared" si="14"/>
        <v>0</v>
      </c>
      <c r="E962" s="16">
        <f t="shared" si="15"/>
        <v>0</v>
      </c>
      <c r="F962" s="16"/>
      <c r="G962" s="16"/>
      <c r="H962" s="16"/>
      <c r="I962" s="16"/>
      <c r="J962" s="16"/>
      <c r="K962" s="13"/>
      <c r="L962" s="13"/>
      <c r="M962" s="13"/>
      <c r="N962" s="13"/>
      <c r="O962" s="13"/>
      <c r="P962" s="13"/>
      <c r="Q962" s="13"/>
      <c r="R962" s="13"/>
      <c r="S962" s="13"/>
      <c r="T962" s="13"/>
      <c r="U962" s="13"/>
      <c r="V962" s="13"/>
      <c r="W962" s="13"/>
      <c r="X962" s="13"/>
      <c r="Y962" s="13"/>
      <c r="Z962" s="13"/>
      <c r="AA962" s="13"/>
      <c r="AB962" s="13"/>
    </row>
    <row r="963" spans="1:28" ht="13.2">
      <c r="A963" s="53"/>
      <c r="B963" s="13"/>
      <c r="C963" s="16"/>
      <c r="D963" s="16">
        <f t="shared" si="14"/>
        <v>0</v>
      </c>
      <c r="E963" s="16">
        <f t="shared" si="15"/>
        <v>0</v>
      </c>
      <c r="F963" s="16"/>
      <c r="G963" s="16"/>
      <c r="H963" s="16"/>
      <c r="I963" s="16"/>
      <c r="J963" s="16"/>
      <c r="K963" s="13"/>
      <c r="L963" s="13"/>
      <c r="M963" s="13"/>
      <c r="N963" s="13"/>
      <c r="O963" s="13"/>
      <c r="P963" s="13"/>
      <c r="Q963" s="13"/>
      <c r="R963" s="13"/>
      <c r="S963" s="13"/>
      <c r="T963" s="13"/>
      <c r="U963" s="13"/>
      <c r="V963" s="13"/>
      <c r="W963" s="13"/>
      <c r="X963" s="13"/>
      <c r="Y963" s="13"/>
      <c r="Z963" s="13"/>
      <c r="AA963" s="13"/>
      <c r="AB963" s="13"/>
    </row>
    <row r="964" spans="1:28" ht="13.2">
      <c r="A964" s="53"/>
      <c r="B964" s="13"/>
      <c r="C964" s="16"/>
      <c r="D964" s="16">
        <f t="shared" si="14"/>
        <v>0</v>
      </c>
      <c r="E964" s="16">
        <f t="shared" si="15"/>
        <v>0</v>
      </c>
      <c r="F964" s="16"/>
      <c r="G964" s="16"/>
      <c r="H964" s="16"/>
      <c r="I964" s="16"/>
      <c r="J964" s="16"/>
      <c r="K964" s="13"/>
      <c r="L964" s="13"/>
      <c r="M964" s="13"/>
      <c r="N964" s="13"/>
      <c r="O964" s="13"/>
      <c r="P964" s="13"/>
      <c r="Q964" s="13"/>
      <c r="R964" s="13"/>
      <c r="S964" s="13"/>
      <c r="T964" s="13"/>
      <c r="U964" s="13"/>
      <c r="V964" s="13"/>
      <c r="W964" s="13"/>
      <c r="X964" s="13"/>
      <c r="Y964" s="13"/>
      <c r="Z964" s="13"/>
      <c r="AA964" s="13"/>
      <c r="AB964" s="13"/>
    </row>
    <row r="965" spans="1:28" ht="13.2">
      <c r="A965" s="53"/>
      <c r="B965" s="13"/>
      <c r="C965" s="16"/>
      <c r="D965" s="16">
        <f t="shared" si="14"/>
        <v>0</v>
      </c>
      <c r="E965" s="16">
        <f t="shared" si="15"/>
        <v>0</v>
      </c>
      <c r="F965" s="16"/>
      <c r="G965" s="16"/>
      <c r="H965" s="16"/>
      <c r="I965" s="16"/>
      <c r="J965" s="16"/>
      <c r="K965" s="13"/>
      <c r="L965" s="13"/>
      <c r="M965" s="13"/>
      <c r="N965" s="13"/>
      <c r="O965" s="13"/>
      <c r="P965" s="13"/>
      <c r="Q965" s="13"/>
      <c r="R965" s="13"/>
      <c r="S965" s="13"/>
      <c r="T965" s="13"/>
      <c r="U965" s="13"/>
      <c r="V965" s="13"/>
      <c r="W965" s="13"/>
      <c r="X965" s="13"/>
      <c r="Y965" s="13"/>
      <c r="Z965" s="13"/>
      <c r="AA965" s="13"/>
      <c r="AB965" s="13"/>
    </row>
    <row r="966" spans="1:28" ht="13.2">
      <c r="A966" s="53"/>
      <c r="B966" s="13"/>
      <c r="C966" s="16"/>
      <c r="D966" s="16">
        <f t="shared" si="14"/>
        <v>0</v>
      </c>
      <c r="E966" s="16">
        <f t="shared" si="15"/>
        <v>0</v>
      </c>
      <c r="F966" s="16"/>
      <c r="G966" s="16"/>
      <c r="H966" s="16"/>
      <c r="I966" s="16"/>
      <c r="J966" s="16"/>
      <c r="K966" s="13"/>
      <c r="L966" s="13"/>
      <c r="M966" s="13"/>
      <c r="N966" s="13"/>
      <c r="O966" s="13"/>
      <c r="P966" s="13"/>
      <c r="Q966" s="13"/>
      <c r="R966" s="13"/>
      <c r="S966" s="13"/>
      <c r="T966" s="13"/>
      <c r="U966" s="13"/>
      <c r="V966" s="13"/>
      <c r="W966" s="13"/>
      <c r="X966" s="13"/>
      <c r="Y966" s="13"/>
      <c r="Z966" s="13"/>
      <c r="AA966" s="13"/>
      <c r="AB966" s="13"/>
    </row>
    <row r="967" spans="1:28" ht="13.2">
      <c r="A967" s="53"/>
      <c r="B967" s="13"/>
      <c r="C967" s="16"/>
      <c r="D967" s="16">
        <f t="shared" si="14"/>
        <v>0</v>
      </c>
      <c r="E967" s="16">
        <f t="shared" si="15"/>
        <v>0</v>
      </c>
      <c r="F967" s="16"/>
      <c r="G967" s="16"/>
      <c r="H967" s="16"/>
      <c r="I967" s="16"/>
      <c r="J967" s="16"/>
      <c r="K967" s="13"/>
      <c r="L967" s="13"/>
      <c r="M967" s="13"/>
      <c r="N967" s="13"/>
      <c r="O967" s="13"/>
      <c r="P967" s="13"/>
      <c r="Q967" s="13"/>
      <c r="R967" s="13"/>
      <c r="S967" s="13"/>
      <c r="T967" s="13"/>
      <c r="U967" s="13"/>
      <c r="V967" s="13"/>
      <c r="W967" s="13"/>
      <c r="X967" s="13"/>
      <c r="Y967" s="13"/>
      <c r="Z967" s="13"/>
      <c r="AA967" s="13"/>
      <c r="AB967" s="13"/>
    </row>
    <row r="968" spans="1:28" ht="13.2">
      <c r="A968" s="53"/>
      <c r="B968" s="13"/>
      <c r="C968" s="16"/>
      <c r="D968" s="16">
        <f t="shared" si="14"/>
        <v>0</v>
      </c>
      <c r="E968" s="16">
        <f t="shared" si="15"/>
        <v>0</v>
      </c>
      <c r="F968" s="16"/>
      <c r="G968" s="16"/>
      <c r="H968" s="16"/>
      <c r="I968" s="16"/>
      <c r="J968" s="16"/>
      <c r="K968" s="13"/>
      <c r="L968" s="13"/>
      <c r="M968" s="13"/>
      <c r="N968" s="13"/>
      <c r="O968" s="13"/>
      <c r="P968" s="13"/>
      <c r="Q968" s="13"/>
      <c r="R968" s="13"/>
      <c r="S968" s="13"/>
      <c r="T968" s="13"/>
      <c r="U968" s="13"/>
      <c r="V968" s="13"/>
      <c r="W968" s="13"/>
      <c r="X968" s="13"/>
      <c r="Y968" s="13"/>
      <c r="Z968" s="13"/>
      <c r="AA968" s="13"/>
      <c r="AB968" s="13"/>
    </row>
    <row r="969" spans="1:28" ht="13.2">
      <c r="A969" s="53"/>
      <c r="B969" s="13"/>
      <c r="C969" s="16"/>
      <c r="D969" s="16">
        <f t="shared" si="14"/>
        <v>0</v>
      </c>
      <c r="E969" s="16">
        <f t="shared" si="15"/>
        <v>0</v>
      </c>
      <c r="F969" s="16"/>
      <c r="G969" s="16"/>
      <c r="H969" s="16"/>
      <c r="I969" s="16"/>
      <c r="J969" s="16"/>
      <c r="K969" s="13"/>
      <c r="L969" s="13"/>
      <c r="M969" s="13"/>
      <c r="N969" s="13"/>
      <c r="O969" s="13"/>
      <c r="P969" s="13"/>
      <c r="Q969" s="13"/>
      <c r="R969" s="13"/>
      <c r="S969" s="13"/>
      <c r="T969" s="13"/>
      <c r="U969" s="13"/>
      <c r="V969" s="13"/>
      <c r="W969" s="13"/>
      <c r="X969" s="13"/>
      <c r="Y969" s="13"/>
      <c r="Z969" s="13"/>
      <c r="AA969" s="13"/>
      <c r="AB969" s="13"/>
    </row>
    <row r="970" spans="1:28" ht="13.2">
      <c r="A970" s="53"/>
      <c r="B970" s="13"/>
      <c r="C970" s="16"/>
      <c r="D970" s="16">
        <f t="shared" si="14"/>
        <v>0</v>
      </c>
      <c r="E970" s="16">
        <f t="shared" si="15"/>
        <v>0</v>
      </c>
      <c r="F970" s="16"/>
      <c r="G970" s="16"/>
      <c r="H970" s="16"/>
      <c r="I970" s="16"/>
      <c r="J970" s="16"/>
      <c r="K970" s="13"/>
      <c r="L970" s="13"/>
      <c r="M970" s="13"/>
      <c r="N970" s="13"/>
      <c r="O970" s="13"/>
      <c r="P970" s="13"/>
      <c r="Q970" s="13"/>
      <c r="R970" s="13"/>
      <c r="S970" s="13"/>
      <c r="T970" s="13"/>
      <c r="U970" s="13"/>
      <c r="V970" s="13"/>
      <c r="W970" s="13"/>
      <c r="X970" s="13"/>
      <c r="Y970" s="13"/>
      <c r="Z970" s="13"/>
      <c r="AA970" s="13"/>
      <c r="AB970" s="13"/>
    </row>
    <row r="971" spans="1:28" ht="13.2">
      <c r="A971" s="53"/>
      <c r="B971" s="13"/>
      <c r="C971" s="16"/>
      <c r="D971" s="16">
        <f t="shared" si="14"/>
        <v>0</v>
      </c>
      <c r="E971" s="16">
        <f t="shared" si="15"/>
        <v>0</v>
      </c>
      <c r="F971" s="16"/>
      <c r="G971" s="16"/>
      <c r="H971" s="16"/>
      <c r="I971" s="16"/>
      <c r="J971" s="16"/>
      <c r="K971" s="13"/>
      <c r="L971" s="13"/>
      <c r="M971" s="13"/>
      <c r="N971" s="13"/>
      <c r="O971" s="13"/>
      <c r="P971" s="13"/>
      <c r="Q971" s="13"/>
      <c r="R971" s="13"/>
      <c r="S971" s="13"/>
      <c r="T971" s="13"/>
      <c r="U971" s="13"/>
      <c r="V971" s="13"/>
      <c r="W971" s="13"/>
      <c r="X971" s="13"/>
      <c r="Y971" s="13"/>
      <c r="Z971" s="13"/>
      <c r="AA971" s="13"/>
      <c r="AB971" s="13"/>
    </row>
    <row r="972" spans="1:28" ht="13.2">
      <c r="A972" s="53"/>
      <c r="B972" s="13"/>
      <c r="C972" s="16"/>
      <c r="D972" s="16">
        <f t="shared" si="14"/>
        <v>0</v>
      </c>
      <c r="E972" s="16">
        <f t="shared" si="15"/>
        <v>0</v>
      </c>
      <c r="F972" s="16"/>
      <c r="G972" s="16"/>
      <c r="H972" s="16"/>
      <c r="I972" s="16"/>
      <c r="J972" s="16"/>
      <c r="K972" s="13"/>
      <c r="L972" s="13"/>
      <c r="M972" s="13"/>
      <c r="N972" s="13"/>
      <c r="O972" s="13"/>
      <c r="P972" s="13"/>
      <c r="Q972" s="13"/>
      <c r="R972" s="13"/>
      <c r="S972" s="13"/>
      <c r="T972" s="13"/>
      <c r="U972" s="13"/>
      <c r="V972" s="13"/>
      <c r="W972" s="13"/>
      <c r="X972" s="13"/>
      <c r="Y972" s="13"/>
      <c r="Z972" s="13"/>
      <c r="AA972" s="13"/>
      <c r="AB972" s="13"/>
    </row>
    <row r="973" spans="1:28" ht="13.2">
      <c r="A973" s="53"/>
      <c r="B973" s="13"/>
      <c r="C973" s="16"/>
      <c r="D973" s="16">
        <f t="shared" si="14"/>
        <v>0</v>
      </c>
      <c r="E973" s="16">
        <f t="shared" si="15"/>
        <v>0</v>
      </c>
      <c r="F973" s="16"/>
      <c r="G973" s="16"/>
      <c r="H973" s="16"/>
      <c r="I973" s="16"/>
      <c r="J973" s="16"/>
      <c r="K973" s="13"/>
      <c r="L973" s="13"/>
      <c r="M973" s="13"/>
      <c r="N973" s="13"/>
      <c r="O973" s="13"/>
      <c r="P973" s="13"/>
      <c r="Q973" s="13"/>
      <c r="R973" s="13"/>
      <c r="S973" s="13"/>
      <c r="T973" s="13"/>
      <c r="U973" s="13"/>
      <c r="V973" s="13"/>
      <c r="W973" s="13"/>
      <c r="X973" s="13"/>
      <c r="Y973" s="13"/>
      <c r="Z973" s="13"/>
      <c r="AA973" s="13"/>
      <c r="AB973" s="13"/>
    </row>
    <row r="974" spans="1:28" ht="13.2">
      <c r="A974" s="53"/>
      <c r="B974" s="13"/>
      <c r="C974" s="16"/>
      <c r="D974" s="16">
        <f t="shared" si="14"/>
        <v>0</v>
      </c>
      <c r="E974" s="16">
        <f t="shared" si="15"/>
        <v>0</v>
      </c>
      <c r="F974" s="16"/>
      <c r="G974" s="16"/>
      <c r="H974" s="16"/>
      <c r="I974" s="16"/>
      <c r="J974" s="16"/>
      <c r="K974" s="13"/>
      <c r="L974" s="13"/>
      <c r="M974" s="13"/>
      <c r="N974" s="13"/>
      <c r="O974" s="13"/>
      <c r="P974" s="13"/>
      <c r="Q974" s="13"/>
      <c r="R974" s="13"/>
      <c r="S974" s="13"/>
      <c r="T974" s="13"/>
      <c r="U974" s="13"/>
      <c r="V974" s="13"/>
      <c r="W974" s="13"/>
      <c r="X974" s="13"/>
      <c r="Y974" s="13"/>
      <c r="Z974" s="13"/>
      <c r="AA974" s="13"/>
      <c r="AB974" s="13"/>
    </row>
    <row r="975" spans="1:28" ht="13.2">
      <c r="A975" s="53"/>
      <c r="B975" s="13"/>
      <c r="C975" s="16"/>
      <c r="D975" s="16">
        <f t="shared" si="14"/>
        <v>0</v>
      </c>
      <c r="E975" s="16">
        <f t="shared" si="15"/>
        <v>0</v>
      </c>
      <c r="F975" s="16"/>
      <c r="G975" s="16"/>
      <c r="H975" s="16"/>
      <c r="I975" s="16"/>
      <c r="J975" s="16"/>
      <c r="K975" s="13"/>
      <c r="L975" s="13"/>
      <c r="M975" s="13"/>
      <c r="N975" s="13"/>
      <c r="O975" s="13"/>
      <c r="P975" s="13"/>
      <c r="Q975" s="13"/>
      <c r="R975" s="13"/>
      <c r="S975" s="13"/>
      <c r="T975" s="13"/>
      <c r="U975" s="13"/>
      <c r="V975" s="13"/>
      <c r="W975" s="13"/>
      <c r="X975" s="13"/>
      <c r="Y975" s="13"/>
      <c r="Z975" s="13"/>
      <c r="AA975" s="13"/>
      <c r="AB975" s="13"/>
    </row>
    <row r="976" spans="1:28" ht="13.2">
      <c r="A976" s="53"/>
      <c r="B976" s="13"/>
      <c r="C976" s="16"/>
      <c r="D976" s="16">
        <f t="shared" si="14"/>
        <v>0</v>
      </c>
      <c r="E976" s="16">
        <f t="shared" si="15"/>
        <v>0</v>
      </c>
      <c r="F976" s="16"/>
      <c r="G976" s="16"/>
      <c r="H976" s="16"/>
      <c r="I976" s="16"/>
      <c r="J976" s="16"/>
      <c r="K976" s="13"/>
      <c r="L976" s="13"/>
      <c r="M976" s="13"/>
      <c r="N976" s="13"/>
      <c r="O976" s="13"/>
      <c r="P976" s="13"/>
      <c r="Q976" s="13"/>
      <c r="R976" s="13"/>
      <c r="S976" s="13"/>
      <c r="T976" s="13"/>
      <c r="U976" s="13"/>
      <c r="V976" s="13"/>
      <c r="W976" s="13"/>
      <c r="X976" s="13"/>
      <c r="Y976" s="13"/>
      <c r="Z976" s="13"/>
      <c r="AA976" s="13"/>
      <c r="AB976" s="13"/>
    </row>
    <row r="977" spans="1:28" ht="13.2">
      <c r="A977" s="53"/>
      <c r="B977" s="13"/>
      <c r="C977" s="16"/>
      <c r="D977" s="16">
        <f t="shared" si="14"/>
        <v>0</v>
      </c>
      <c r="E977" s="16">
        <f t="shared" si="15"/>
        <v>0</v>
      </c>
      <c r="F977" s="16"/>
      <c r="G977" s="16"/>
      <c r="H977" s="16"/>
      <c r="I977" s="16"/>
      <c r="J977" s="16"/>
      <c r="K977" s="13"/>
      <c r="L977" s="13"/>
      <c r="M977" s="13"/>
      <c r="N977" s="13"/>
      <c r="O977" s="13"/>
      <c r="P977" s="13"/>
      <c r="Q977" s="13"/>
      <c r="R977" s="13"/>
      <c r="S977" s="13"/>
      <c r="T977" s="13"/>
      <c r="U977" s="13"/>
      <c r="V977" s="13"/>
      <c r="W977" s="13"/>
      <c r="X977" s="13"/>
      <c r="Y977" s="13"/>
      <c r="Z977" s="13"/>
      <c r="AA977" s="13"/>
      <c r="AB977" s="13"/>
    </row>
    <row r="978" spans="1:28" ht="13.2">
      <c r="A978" s="53"/>
      <c r="B978" s="13"/>
      <c r="C978" s="16"/>
      <c r="D978" s="16">
        <f t="shared" si="14"/>
        <v>0</v>
      </c>
      <c r="E978" s="16">
        <f t="shared" si="15"/>
        <v>0</v>
      </c>
      <c r="F978" s="16"/>
      <c r="G978" s="16"/>
      <c r="H978" s="16"/>
      <c r="I978" s="16"/>
      <c r="J978" s="16"/>
      <c r="K978" s="13"/>
      <c r="L978" s="13"/>
      <c r="M978" s="13"/>
      <c r="N978" s="13"/>
      <c r="O978" s="13"/>
      <c r="P978" s="13"/>
      <c r="Q978" s="13"/>
      <c r="R978" s="13"/>
      <c r="S978" s="13"/>
      <c r="T978" s="13"/>
      <c r="U978" s="13"/>
      <c r="V978" s="13"/>
      <c r="W978" s="13"/>
      <c r="X978" s="13"/>
      <c r="Y978" s="13"/>
      <c r="Z978" s="13"/>
      <c r="AA978" s="13"/>
      <c r="AB978" s="13"/>
    </row>
    <row r="979" spans="1:28" ht="13.2">
      <c r="A979" s="53"/>
      <c r="B979" s="13"/>
      <c r="C979" s="16"/>
      <c r="D979" s="16">
        <f t="shared" si="14"/>
        <v>0</v>
      </c>
      <c r="E979" s="16">
        <f t="shared" si="15"/>
        <v>0</v>
      </c>
      <c r="F979" s="16"/>
      <c r="G979" s="16"/>
      <c r="H979" s="16"/>
      <c r="I979" s="16"/>
      <c r="J979" s="16"/>
      <c r="K979" s="13"/>
      <c r="L979" s="13"/>
      <c r="M979" s="13"/>
      <c r="N979" s="13"/>
      <c r="O979" s="13"/>
      <c r="P979" s="13"/>
      <c r="Q979" s="13"/>
      <c r="R979" s="13"/>
      <c r="S979" s="13"/>
      <c r="T979" s="13"/>
      <c r="U979" s="13"/>
      <c r="V979" s="13"/>
      <c r="W979" s="13"/>
      <c r="X979" s="13"/>
      <c r="Y979" s="13"/>
      <c r="Z979" s="13"/>
      <c r="AA979" s="13"/>
      <c r="AB979" s="13"/>
    </row>
    <row r="980" spans="1:28" ht="13.2">
      <c r="A980" s="53"/>
      <c r="B980" s="13"/>
      <c r="C980" s="16"/>
      <c r="D980" s="16">
        <f t="shared" si="14"/>
        <v>0</v>
      </c>
      <c r="E980" s="16">
        <f t="shared" si="15"/>
        <v>0</v>
      </c>
      <c r="F980" s="16"/>
      <c r="G980" s="16"/>
      <c r="H980" s="16"/>
      <c r="I980" s="16"/>
      <c r="J980" s="16"/>
      <c r="K980" s="13"/>
      <c r="L980" s="13"/>
      <c r="M980" s="13"/>
      <c r="N980" s="13"/>
      <c r="O980" s="13"/>
      <c r="P980" s="13"/>
      <c r="Q980" s="13"/>
      <c r="R980" s="13"/>
      <c r="S980" s="13"/>
      <c r="T980" s="13"/>
      <c r="U980" s="13"/>
      <c r="V980" s="13"/>
      <c r="W980" s="13"/>
      <c r="X980" s="13"/>
      <c r="Y980" s="13"/>
      <c r="Z980" s="13"/>
      <c r="AA980" s="13"/>
      <c r="AB980" s="13"/>
    </row>
    <row r="981" spans="1:28" ht="13.2">
      <c r="A981" s="53"/>
      <c r="B981" s="13"/>
      <c r="C981" s="16"/>
      <c r="D981" s="16">
        <f t="shared" si="14"/>
        <v>0</v>
      </c>
      <c r="E981" s="16">
        <f t="shared" si="15"/>
        <v>0</v>
      </c>
      <c r="F981" s="16"/>
      <c r="G981" s="16"/>
      <c r="H981" s="16"/>
      <c r="I981" s="16"/>
      <c r="J981" s="16"/>
      <c r="K981" s="13"/>
      <c r="L981" s="13"/>
      <c r="M981" s="13"/>
      <c r="N981" s="13"/>
      <c r="O981" s="13"/>
      <c r="P981" s="13"/>
      <c r="Q981" s="13"/>
      <c r="R981" s="13"/>
      <c r="S981" s="13"/>
      <c r="T981" s="13"/>
      <c r="U981" s="13"/>
      <c r="V981" s="13"/>
      <c r="W981" s="13"/>
      <c r="X981" s="13"/>
      <c r="Y981" s="13"/>
      <c r="Z981" s="13"/>
      <c r="AA981" s="13"/>
      <c r="AB981" s="13"/>
    </row>
    <row r="982" spans="1:28" ht="13.2">
      <c r="A982" s="53"/>
      <c r="B982" s="13"/>
      <c r="C982" s="16"/>
      <c r="D982" s="16">
        <f t="shared" si="14"/>
        <v>0</v>
      </c>
      <c r="E982" s="16">
        <f t="shared" si="15"/>
        <v>0</v>
      </c>
      <c r="F982" s="16"/>
      <c r="G982" s="16"/>
      <c r="H982" s="16"/>
      <c r="I982" s="16"/>
      <c r="J982" s="16"/>
      <c r="K982" s="13"/>
      <c r="L982" s="13"/>
      <c r="M982" s="13"/>
      <c r="N982" s="13"/>
      <c r="O982" s="13"/>
      <c r="P982" s="13"/>
      <c r="Q982" s="13"/>
      <c r="R982" s="13"/>
      <c r="S982" s="13"/>
      <c r="T982" s="13"/>
      <c r="U982" s="13"/>
      <c r="V982" s="13"/>
      <c r="W982" s="13"/>
      <c r="X982" s="13"/>
      <c r="Y982" s="13"/>
      <c r="Z982" s="13"/>
      <c r="AA982" s="13"/>
      <c r="AB982" s="13"/>
    </row>
    <row r="983" spans="1:28" ht="13.2">
      <c r="A983" s="53"/>
      <c r="B983" s="13"/>
      <c r="C983" s="16"/>
      <c r="D983" s="16">
        <f t="shared" si="14"/>
        <v>0</v>
      </c>
      <c r="E983" s="16">
        <f t="shared" si="15"/>
        <v>0</v>
      </c>
      <c r="F983" s="16"/>
      <c r="G983" s="16"/>
      <c r="H983" s="16"/>
      <c r="I983" s="16"/>
      <c r="J983" s="16"/>
      <c r="K983" s="13"/>
      <c r="L983" s="13"/>
      <c r="M983" s="13"/>
      <c r="N983" s="13"/>
      <c r="O983" s="13"/>
      <c r="P983" s="13"/>
      <c r="Q983" s="13"/>
      <c r="R983" s="13"/>
      <c r="S983" s="13"/>
      <c r="T983" s="13"/>
      <c r="U983" s="13"/>
      <c r="V983" s="13"/>
      <c r="W983" s="13"/>
      <c r="X983" s="13"/>
      <c r="Y983" s="13"/>
      <c r="Z983" s="13"/>
      <c r="AA983" s="13"/>
      <c r="AB983" s="13"/>
    </row>
    <row r="984" spans="1:28" ht="13.2">
      <c r="A984" s="53"/>
      <c r="B984" s="13"/>
      <c r="C984" s="16"/>
      <c r="D984" s="16">
        <f t="shared" si="14"/>
        <v>0</v>
      </c>
      <c r="E984" s="16">
        <f t="shared" si="15"/>
        <v>0</v>
      </c>
      <c r="F984" s="16"/>
      <c r="G984" s="16"/>
      <c r="H984" s="16"/>
      <c r="I984" s="16"/>
      <c r="J984" s="16"/>
      <c r="K984" s="13"/>
      <c r="L984" s="13"/>
      <c r="M984" s="13"/>
      <c r="N984" s="13"/>
      <c r="O984" s="13"/>
      <c r="P984" s="13"/>
      <c r="Q984" s="13"/>
      <c r="R984" s="13"/>
      <c r="S984" s="13"/>
      <c r="T984" s="13"/>
      <c r="U984" s="13"/>
      <c r="V984" s="13"/>
      <c r="W984" s="13"/>
      <c r="X984" s="13"/>
      <c r="Y984" s="13"/>
      <c r="Z984" s="13"/>
      <c r="AA984" s="13"/>
      <c r="AB984" s="13"/>
    </row>
    <row r="985" spans="1:28" ht="13.2">
      <c r="A985" s="53"/>
      <c r="B985" s="13"/>
      <c r="C985" s="16"/>
      <c r="D985" s="16">
        <f t="shared" si="14"/>
        <v>0</v>
      </c>
      <c r="E985" s="16">
        <f t="shared" si="15"/>
        <v>0</v>
      </c>
      <c r="F985" s="16"/>
      <c r="G985" s="16"/>
      <c r="H985" s="16"/>
      <c r="I985" s="16"/>
      <c r="J985" s="16"/>
      <c r="K985" s="13"/>
      <c r="L985" s="13"/>
      <c r="M985" s="13"/>
      <c r="N985" s="13"/>
      <c r="O985" s="13"/>
      <c r="P985" s="13"/>
      <c r="Q985" s="13"/>
      <c r="R985" s="13"/>
      <c r="S985" s="13"/>
      <c r="T985" s="13"/>
      <c r="U985" s="13"/>
      <c r="V985" s="13"/>
      <c r="W985" s="13"/>
      <c r="X985" s="13"/>
      <c r="Y985" s="13"/>
      <c r="Z985" s="13"/>
      <c r="AA985" s="13"/>
      <c r="AB985" s="13"/>
    </row>
    <row r="986" spans="1:28" ht="13.2">
      <c r="A986" s="53"/>
      <c r="B986" s="13"/>
      <c r="C986" s="16"/>
      <c r="D986" s="16">
        <f t="shared" si="14"/>
        <v>0</v>
      </c>
      <c r="E986" s="16">
        <f t="shared" si="15"/>
        <v>0</v>
      </c>
      <c r="F986" s="16"/>
      <c r="G986" s="16"/>
      <c r="H986" s="16"/>
      <c r="I986" s="16"/>
      <c r="J986" s="16"/>
      <c r="K986" s="13"/>
      <c r="L986" s="13"/>
      <c r="M986" s="13"/>
      <c r="N986" s="13"/>
      <c r="O986" s="13"/>
      <c r="P986" s="13"/>
      <c r="Q986" s="13"/>
      <c r="R986" s="13"/>
      <c r="S986" s="13"/>
      <c r="T986" s="13"/>
      <c r="U986" s="13"/>
      <c r="V986" s="13"/>
      <c r="W986" s="13"/>
      <c r="X986" s="13"/>
      <c r="Y986" s="13"/>
      <c r="Z986" s="13"/>
      <c r="AA986" s="13"/>
      <c r="AB986" s="13"/>
    </row>
    <row r="987" spans="1:28" ht="13.2">
      <c r="A987" s="53"/>
      <c r="B987" s="13"/>
      <c r="C987" s="16"/>
      <c r="D987" s="16">
        <f t="shared" si="14"/>
        <v>0</v>
      </c>
      <c r="E987" s="16">
        <f t="shared" si="15"/>
        <v>0</v>
      </c>
      <c r="F987" s="16"/>
      <c r="G987" s="16"/>
      <c r="H987" s="16"/>
      <c r="I987" s="16"/>
      <c r="J987" s="16"/>
      <c r="K987" s="13"/>
      <c r="L987" s="13"/>
      <c r="M987" s="13"/>
      <c r="N987" s="13"/>
      <c r="O987" s="13"/>
      <c r="P987" s="13"/>
      <c r="Q987" s="13"/>
      <c r="R987" s="13"/>
      <c r="S987" s="13"/>
      <c r="T987" s="13"/>
      <c r="U987" s="13"/>
      <c r="V987" s="13"/>
      <c r="W987" s="13"/>
      <c r="X987" s="13"/>
      <c r="Y987" s="13"/>
      <c r="Z987" s="13"/>
      <c r="AA987" s="13"/>
      <c r="AB987" s="13"/>
    </row>
    <row r="988" spans="1:28" ht="13.2">
      <c r="A988" s="53"/>
      <c r="B988" s="13"/>
      <c r="C988" s="16"/>
      <c r="D988" s="16">
        <f t="shared" si="14"/>
        <v>0</v>
      </c>
      <c r="E988" s="16">
        <f t="shared" si="15"/>
        <v>0</v>
      </c>
      <c r="F988" s="16"/>
      <c r="G988" s="16"/>
      <c r="H988" s="16"/>
      <c r="I988" s="16"/>
      <c r="J988" s="16"/>
      <c r="K988" s="13"/>
      <c r="L988" s="13"/>
      <c r="M988" s="13"/>
      <c r="N988" s="13"/>
      <c r="O988" s="13"/>
      <c r="P988" s="13"/>
      <c r="Q988" s="13"/>
      <c r="R988" s="13"/>
      <c r="S988" s="13"/>
      <c r="T988" s="13"/>
      <c r="U988" s="13"/>
      <c r="V988" s="13"/>
      <c r="W988" s="13"/>
      <c r="X988" s="13"/>
      <c r="Y988" s="13"/>
      <c r="Z988" s="13"/>
      <c r="AA988" s="13"/>
      <c r="AB988" s="13"/>
    </row>
    <row r="989" spans="1:28" ht="13.2">
      <c r="A989" s="53"/>
      <c r="B989" s="13"/>
      <c r="C989" s="16"/>
      <c r="D989" s="16">
        <f t="shared" si="14"/>
        <v>0</v>
      </c>
      <c r="E989" s="16">
        <f t="shared" si="15"/>
        <v>0</v>
      </c>
      <c r="F989" s="16"/>
      <c r="G989" s="16"/>
      <c r="H989" s="16"/>
      <c r="I989" s="16"/>
      <c r="J989" s="16"/>
      <c r="K989" s="13"/>
      <c r="L989" s="13"/>
      <c r="M989" s="13"/>
      <c r="N989" s="13"/>
      <c r="O989" s="13"/>
      <c r="P989" s="13"/>
      <c r="Q989" s="13"/>
      <c r="R989" s="13"/>
      <c r="S989" s="13"/>
      <c r="T989" s="13"/>
      <c r="U989" s="13"/>
      <c r="V989" s="13"/>
      <c r="W989" s="13"/>
      <c r="X989" s="13"/>
      <c r="Y989" s="13"/>
      <c r="Z989" s="13"/>
      <c r="AA989" s="13"/>
      <c r="AB989" s="13"/>
    </row>
    <row r="990" spans="1:28" ht="13.2">
      <c r="A990" s="53"/>
      <c r="B990" s="13"/>
      <c r="C990" s="16"/>
      <c r="D990" s="16">
        <f t="shared" si="14"/>
        <v>0</v>
      </c>
      <c r="E990" s="16">
        <f t="shared" si="15"/>
        <v>0</v>
      </c>
      <c r="F990" s="16"/>
      <c r="G990" s="16"/>
      <c r="H990" s="16"/>
      <c r="I990" s="16"/>
      <c r="J990" s="16"/>
      <c r="K990" s="13"/>
      <c r="L990" s="13"/>
      <c r="M990" s="13"/>
      <c r="N990" s="13"/>
      <c r="O990" s="13"/>
      <c r="P990" s="13"/>
      <c r="Q990" s="13"/>
      <c r="R990" s="13"/>
      <c r="S990" s="13"/>
      <c r="T990" s="13"/>
      <c r="U990" s="13"/>
      <c r="V990" s="13"/>
      <c r="W990" s="13"/>
      <c r="X990" s="13"/>
      <c r="Y990" s="13"/>
      <c r="Z990" s="13"/>
      <c r="AA990" s="13"/>
      <c r="AB990" s="13"/>
    </row>
    <row r="991" spans="1:28" ht="13.2">
      <c r="A991" s="53"/>
      <c r="B991" s="13"/>
      <c r="C991" s="16"/>
      <c r="D991" s="16">
        <f t="shared" si="14"/>
        <v>0</v>
      </c>
      <c r="E991" s="16">
        <f t="shared" si="15"/>
        <v>0</v>
      </c>
      <c r="F991" s="16"/>
      <c r="G991" s="16"/>
      <c r="H991" s="16"/>
      <c r="I991" s="16"/>
      <c r="J991" s="16"/>
      <c r="K991" s="13"/>
      <c r="L991" s="13"/>
      <c r="M991" s="13"/>
      <c r="N991" s="13"/>
      <c r="O991" s="13"/>
      <c r="P991" s="13"/>
      <c r="Q991" s="13"/>
      <c r="R991" s="13"/>
      <c r="S991" s="13"/>
      <c r="T991" s="13"/>
      <c r="U991" s="13"/>
      <c r="V991" s="13"/>
      <c r="W991" s="13"/>
      <c r="X991" s="13"/>
      <c r="Y991" s="13"/>
      <c r="Z991" s="13"/>
      <c r="AA991" s="13"/>
      <c r="AB991" s="13"/>
    </row>
    <row r="992" spans="1:28" ht="13.2">
      <c r="A992" s="53"/>
      <c r="B992" s="13"/>
      <c r="C992" s="16"/>
      <c r="D992" s="16">
        <f t="shared" si="14"/>
        <v>0</v>
      </c>
      <c r="E992" s="16">
        <f t="shared" si="15"/>
        <v>0</v>
      </c>
      <c r="F992" s="16"/>
      <c r="G992" s="16"/>
      <c r="H992" s="16"/>
      <c r="I992" s="16"/>
      <c r="J992" s="16"/>
      <c r="K992" s="13"/>
      <c r="L992" s="13"/>
      <c r="M992" s="13"/>
      <c r="N992" s="13"/>
      <c r="O992" s="13"/>
      <c r="P992" s="13"/>
      <c r="Q992" s="13"/>
      <c r="R992" s="13"/>
      <c r="S992" s="13"/>
      <c r="T992" s="13"/>
      <c r="U992" s="13"/>
      <c r="V992" s="13"/>
      <c r="W992" s="13"/>
      <c r="X992" s="13"/>
      <c r="Y992" s="13"/>
      <c r="Z992" s="13"/>
      <c r="AA992" s="13"/>
      <c r="AB992" s="13"/>
    </row>
    <row r="993" spans="1:28" ht="13.2">
      <c r="A993" s="53"/>
      <c r="B993" s="13"/>
      <c r="C993" s="16"/>
      <c r="D993" s="16">
        <f t="shared" si="14"/>
        <v>0</v>
      </c>
      <c r="E993" s="16">
        <f t="shared" si="15"/>
        <v>0</v>
      </c>
      <c r="F993" s="16"/>
      <c r="G993" s="16"/>
      <c r="H993" s="16"/>
      <c r="I993" s="16"/>
      <c r="J993" s="16"/>
      <c r="K993" s="13"/>
      <c r="L993" s="13"/>
      <c r="M993" s="13"/>
      <c r="N993" s="13"/>
      <c r="O993" s="13"/>
      <c r="P993" s="13"/>
      <c r="Q993" s="13"/>
      <c r="R993" s="13"/>
      <c r="S993" s="13"/>
      <c r="T993" s="13"/>
      <c r="U993" s="13"/>
      <c r="V993" s="13"/>
      <c r="W993" s="13"/>
      <c r="X993" s="13"/>
      <c r="Y993" s="13"/>
      <c r="Z993" s="13"/>
      <c r="AA993" s="13"/>
      <c r="AB993" s="13"/>
    </row>
    <row r="994" spans="1:28" ht="13.2">
      <c r="A994" s="53"/>
      <c r="B994" s="13"/>
      <c r="C994" s="16"/>
      <c r="D994" s="16">
        <f t="shared" si="14"/>
        <v>0</v>
      </c>
      <c r="E994" s="16">
        <f t="shared" si="15"/>
        <v>0</v>
      </c>
      <c r="F994" s="16"/>
      <c r="G994" s="16"/>
      <c r="H994" s="16"/>
      <c r="I994" s="16"/>
      <c r="J994" s="16"/>
      <c r="K994" s="13"/>
      <c r="L994" s="13"/>
      <c r="M994" s="13"/>
      <c r="N994" s="13"/>
      <c r="O994" s="13"/>
      <c r="P994" s="13"/>
      <c r="Q994" s="13"/>
      <c r="R994" s="13"/>
      <c r="S994" s="13"/>
      <c r="T994" s="13"/>
      <c r="U994" s="13"/>
      <c r="V994" s="13"/>
      <c r="W994" s="13"/>
      <c r="X994" s="13"/>
      <c r="Y994" s="13"/>
      <c r="Z994" s="13"/>
      <c r="AA994" s="13"/>
      <c r="AB994" s="13"/>
    </row>
    <row r="995" spans="1:28" ht="13.2">
      <c r="A995" s="53"/>
      <c r="B995" s="13"/>
      <c r="C995" s="16"/>
      <c r="D995" s="16">
        <f t="shared" si="14"/>
        <v>0</v>
      </c>
      <c r="E995" s="16">
        <f t="shared" si="15"/>
        <v>0</v>
      </c>
      <c r="F995" s="16"/>
      <c r="G995" s="16"/>
      <c r="H995" s="16"/>
      <c r="I995" s="16"/>
      <c r="J995" s="16"/>
      <c r="K995" s="13"/>
      <c r="L995" s="13"/>
      <c r="M995" s="13"/>
      <c r="N995" s="13"/>
      <c r="O995" s="13"/>
      <c r="P995" s="13"/>
      <c r="Q995" s="13"/>
      <c r="R995" s="13"/>
      <c r="S995" s="13"/>
      <c r="T995" s="13"/>
      <c r="U995" s="13"/>
      <c r="V995" s="13"/>
      <c r="W995" s="13"/>
      <c r="X995" s="13"/>
      <c r="Y995" s="13"/>
      <c r="Z995" s="13"/>
      <c r="AA995" s="13"/>
      <c r="AB995" s="13"/>
    </row>
    <row r="996" spans="1:28" ht="13.2">
      <c r="A996" s="53"/>
      <c r="B996" s="13"/>
      <c r="C996" s="16"/>
      <c r="D996" s="16">
        <f t="shared" si="14"/>
        <v>0</v>
      </c>
      <c r="E996" s="16">
        <f t="shared" si="15"/>
        <v>0</v>
      </c>
      <c r="F996" s="16"/>
      <c r="G996" s="16"/>
      <c r="H996" s="16"/>
      <c r="I996" s="16"/>
      <c r="J996" s="16"/>
      <c r="K996" s="13"/>
      <c r="L996" s="13"/>
      <c r="M996" s="13"/>
      <c r="N996" s="13"/>
      <c r="O996" s="13"/>
      <c r="P996" s="13"/>
      <c r="Q996" s="13"/>
      <c r="R996" s="13"/>
      <c r="S996" s="13"/>
      <c r="T996" s="13"/>
      <c r="U996" s="13"/>
      <c r="V996" s="13"/>
      <c r="W996" s="13"/>
      <c r="X996" s="13"/>
      <c r="Y996" s="13"/>
      <c r="Z996" s="13"/>
      <c r="AA996" s="13"/>
      <c r="AB996" s="13"/>
    </row>
    <row r="997" spans="1:28" ht="13.2">
      <c r="A997" s="53"/>
      <c r="B997" s="13"/>
      <c r="C997" s="16"/>
      <c r="D997" s="16">
        <f t="shared" si="14"/>
        <v>0</v>
      </c>
      <c r="E997" s="16">
        <f t="shared" si="15"/>
        <v>0</v>
      </c>
      <c r="F997" s="16"/>
      <c r="G997" s="16"/>
      <c r="H997" s="16"/>
      <c r="I997" s="16"/>
      <c r="J997" s="16"/>
      <c r="K997" s="13"/>
      <c r="L997" s="13"/>
      <c r="M997" s="13"/>
      <c r="N997" s="13"/>
      <c r="O997" s="13"/>
      <c r="P997" s="13"/>
      <c r="Q997" s="13"/>
      <c r="R997" s="13"/>
      <c r="S997" s="13"/>
      <c r="T997" s="13"/>
      <c r="U997" s="13"/>
      <c r="V997" s="13"/>
      <c r="W997" s="13"/>
      <c r="X997" s="13"/>
      <c r="Y997" s="13"/>
      <c r="Z997" s="13"/>
      <c r="AA997" s="13"/>
      <c r="AB997" s="13"/>
    </row>
    <row r="998" spans="1:28" ht="13.2">
      <c r="A998" s="53"/>
      <c r="B998" s="13"/>
      <c r="C998" s="16"/>
      <c r="D998" s="16">
        <f t="shared" si="14"/>
        <v>0</v>
      </c>
      <c r="E998" s="16">
        <f t="shared" si="15"/>
        <v>0</v>
      </c>
      <c r="F998" s="16"/>
      <c r="G998" s="16"/>
      <c r="H998" s="16"/>
      <c r="I998" s="16"/>
      <c r="J998" s="16"/>
      <c r="K998" s="13"/>
      <c r="L998" s="13"/>
      <c r="M998" s="13"/>
      <c r="N998" s="13"/>
      <c r="O998" s="13"/>
      <c r="P998" s="13"/>
      <c r="Q998" s="13"/>
      <c r="R998" s="13"/>
      <c r="S998" s="13"/>
      <c r="T998" s="13"/>
      <c r="U998" s="13"/>
      <c r="V998" s="13"/>
      <c r="W998" s="13"/>
      <c r="X998" s="13"/>
      <c r="Y998" s="13"/>
      <c r="Z998" s="13"/>
      <c r="AA998" s="13"/>
      <c r="AB998" s="13"/>
    </row>
    <row r="999" spans="1:28" ht="13.2">
      <c r="A999" s="53"/>
      <c r="B999" s="13"/>
      <c r="C999" s="16"/>
      <c r="D999" s="16">
        <f t="shared" si="14"/>
        <v>0</v>
      </c>
      <c r="E999" s="16">
        <f t="shared" si="15"/>
        <v>0</v>
      </c>
      <c r="F999" s="16"/>
      <c r="G999" s="16"/>
      <c r="H999" s="16"/>
      <c r="I999" s="16"/>
      <c r="J999" s="16"/>
      <c r="K999" s="13"/>
      <c r="L999" s="13"/>
      <c r="M999" s="13"/>
      <c r="N999" s="13"/>
      <c r="O999" s="13"/>
      <c r="P999" s="13"/>
      <c r="Q999" s="13"/>
      <c r="R999" s="13"/>
      <c r="S999" s="13"/>
      <c r="T999" s="13"/>
      <c r="U999" s="13"/>
      <c r="V999" s="13"/>
      <c r="W999" s="13"/>
      <c r="X999" s="13"/>
      <c r="Y999" s="13"/>
      <c r="Z999" s="13"/>
      <c r="AA999" s="13"/>
      <c r="AB999" s="13"/>
    </row>
    <row r="1000" spans="1:28" ht="13.2">
      <c r="B1000" s="13"/>
      <c r="C1000" s="16"/>
      <c r="D1000" s="16">
        <f t="shared" si="14"/>
        <v>0</v>
      </c>
      <c r="E1000" s="16">
        <f t="shared" si="15"/>
        <v>0</v>
      </c>
      <c r="F1000" s="16"/>
      <c r="G1000" s="16"/>
      <c r="H1000" s="16"/>
      <c r="I1000" s="16"/>
      <c r="J1000" s="16"/>
      <c r="K1000" s="13"/>
      <c r="L1000" s="13"/>
      <c r="M1000" s="13"/>
      <c r="N1000" s="13"/>
      <c r="O1000" s="13"/>
      <c r="P1000" s="13"/>
      <c r="Q1000" s="13"/>
      <c r="R1000" s="13"/>
      <c r="S1000" s="13"/>
      <c r="T1000" s="13"/>
      <c r="U1000" s="13"/>
      <c r="V1000" s="13"/>
      <c r="W1000" s="13"/>
      <c r="X1000" s="13"/>
      <c r="Y1000" s="13"/>
      <c r="Z1000" s="13"/>
      <c r="AA1000" s="13"/>
      <c r="AB1000" s="1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C988"/>
  <sheetViews>
    <sheetView showGridLines="0" topLeftCell="L1" workbookViewId="0">
      <selection activeCell="AB8" sqref="AB8:AI9"/>
    </sheetView>
  </sheetViews>
  <sheetFormatPr defaultColWidth="12.6640625" defaultRowHeight="15.75" customHeight="1"/>
  <cols>
    <col min="1" max="1" width="0.77734375" customWidth="1"/>
    <col min="2" max="2" width="6.33203125" customWidth="1"/>
    <col min="3" max="3" width="5.21875" customWidth="1"/>
    <col min="4" max="4" width="3.21875" customWidth="1"/>
    <col min="5" max="5" width="5.77734375" customWidth="1"/>
    <col min="6" max="6" width="4.44140625" customWidth="1"/>
    <col min="7" max="7" width="5.6640625" customWidth="1"/>
    <col min="8" max="8" width="3.21875" customWidth="1"/>
    <col min="9" max="9" width="6.88671875" customWidth="1"/>
    <col min="10" max="10" width="5.109375" customWidth="1"/>
    <col min="11" max="11" width="3.77734375" customWidth="1"/>
    <col min="12" max="14" width="3.21875" customWidth="1"/>
    <col min="15" max="15" width="5.109375" customWidth="1"/>
    <col min="16" max="16" width="3.21875" customWidth="1"/>
    <col min="17" max="17" width="2.6640625" customWidth="1"/>
    <col min="18" max="19" width="3.88671875" customWidth="1"/>
    <col min="20" max="20" width="3.21875" customWidth="1"/>
    <col min="21" max="24" width="6.21875" customWidth="1"/>
    <col min="25" max="26" width="6.33203125" customWidth="1"/>
    <col min="27" max="55" width="12.33203125" customWidth="1"/>
  </cols>
  <sheetData>
    <row r="1" spans="1:55" ht="15.75" customHeight="1">
      <c r="A1" s="1"/>
      <c r="B1" s="199">
        <v>3</v>
      </c>
      <c r="C1" s="180"/>
      <c r="D1" s="180"/>
      <c r="E1" s="180"/>
      <c r="F1" s="180"/>
      <c r="G1" s="180"/>
      <c r="H1" s="180"/>
      <c r="I1" s="180"/>
      <c r="J1" s="180"/>
      <c r="K1" s="180"/>
      <c r="L1" s="180"/>
      <c r="M1" s="180"/>
      <c r="N1" s="180"/>
      <c r="O1" s="180"/>
      <c r="P1" s="180"/>
      <c r="Q1" s="180"/>
      <c r="R1" s="180"/>
      <c r="S1" s="180"/>
      <c r="T1" s="180"/>
      <c r="U1" s="180"/>
      <c r="V1" s="180"/>
      <c r="W1" s="180"/>
      <c r="X1" s="182"/>
      <c r="Y1" s="200" t="s">
        <v>0</v>
      </c>
      <c r="Z1" s="173"/>
      <c r="AA1" s="173"/>
      <c r="AB1" s="173"/>
      <c r="AC1" s="173"/>
      <c r="AD1" s="173"/>
      <c r="AE1" s="173"/>
      <c r="AF1" s="2"/>
      <c r="AG1" s="2"/>
      <c r="AH1" s="2"/>
      <c r="AI1" s="2"/>
      <c r="AJ1" s="2"/>
      <c r="AK1" s="2"/>
      <c r="AL1" s="2"/>
      <c r="AM1" s="2"/>
      <c r="AN1" s="2"/>
      <c r="AO1" s="2"/>
      <c r="AP1" s="2"/>
      <c r="AQ1" s="2"/>
      <c r="AR1" s="2"/>
      <c r="AS1" s="2"/>
      <c r="AT1" s="2"/>
      <c r="AU1" s="2"/>
      <c r="AV1" s="2"/>
      <c r="AW1" s="2"/>
      <c r="AX1" s="2"/>
      <c r="AY1" s="2"/>
      <c r="AZ1" s="2"/>
      <c r="BA1" s="2"/>
      <c r="BB1" s="2"/>
      <c r="BC1" s="2"/>
    </row>
    <row r="2" spans="1:55" ht="15.75" customHeight="1">
      <c r="A2" s="3">
        <f ca="1">IFERROR(__xludf.DUMMYFUNCTION("query('NPC List'!A2:AI1000,""SELECT * Where A = ""&amp;B1)"),3)</f>
        <v>3</v>
      </c>
      <c r="B2" s="4">
        <f ca="1">IFERROR(__xludf.DUMMYFUNCTION("""COMPUTED_VALUE"""),0.97649)</f>
        <v>0.97648999999999997</v>
      </c>
      <c r="C2" s="3" t="str">
        <f ca="1">IFERROR(__xludf.DUMMYFUNCTION("""COMPUTED_VALUE"""),"Lacspor")</f>
        <v>Lacspor</v>
      </c>
      <c r="D2" s="3" t="str">
        <f ca="1">IFERROR(__xludf.DUMMYFUNCTION("""COMPUTED_VALUE"""),"Staghammer")</f>
        <v>Staghammer</v>
      </c>
      <c r="E2" s="3" t="str">
        <f ca="1">IFERROR(__xludf.DUMMYFUNCTION("""COMPUTED_VALUE"""),"None")</f>
        <v>None</v>
      </c>
      <c r="F2" s="5">
        <f ca="1">IFERROR(__xludf.DUMMYFUNCTION("""COMPUTED_VALUE"""),5)</f>
        <v>5</v>
      </c>
      <c r="G2" s="3">
        <f ca="1">IFERROR(__xludf.DUMMYFUNCTION("""COMPUTED_VALUE"""),8)</f>
        <v>8</v>
      </c>
      <c r="H2" s="3">
        <f ca="1">IFERROR(__xludf.DUMMYFUNCTION("""COMPUTED_VALUE"""),-1)</f>
        <v>-1</v>
      </c>
      <c r="I2" s="3">
        <f ca="1">IFERROR(__xludf.DUMMYFUNCTION("""COMPUTED_VALUE"""),12)</f>
        <v>12</v>
      </c>
      <c r="J2" s="3" t="str">
        <f ca="1">IFERROR(__xludf.DUMMYFUNCTION("""COMPUTED_VALUE"""),"+1")</f>
        <v>+1</v>
      </c>
      <c r="K2" s="3">
        <f ca="1">IFERROR(__xludf.DUMMYFUNCTION("""COMPUTED_VALUE"""),12)</f>
        <v>12</v>
      </c>
      <c r="L2" s="3" t="str">
        <f ca="1">IFERROR(__xludf.DUMMYFUNCTION("""COMPUTED_VALUE"""),"+1")</f>
        <v>+1</v>
      </c>
      <c r="M2" s="3">
        <f ca="1">IFERROR(__xludf.DUMMYFUNCTION("""COMPUTED_VALUE"""),11)</f>
        <v>11</v>
      </c>
      <c r="N2" s="3" t="str">
        <f ca="1">IFERROR(__xludf.DUMMYFUNCTION("""COMPUTED_VALUE"""),"+0")</f>
        <v>+0</v>
      </c>
      <c r="O2" s="3">
        <f ca="1">IFERROR(__xludf.DUMMYFUNCTION("""COMPUTED_VALUE"""),14)</f>
        <v>14</v>
      </c>
      <c r="P2" s="3" t="str">
        <f ca="1">IFERROR(__xludf.DUMMYFUNCTION("""COMPUTED_VALUE"""),"+2")</f>
        <v>+2</v>
      </c>
      <c r="Q2" s="3">
        <f ca="1">IFERROR(__xludf.DUMMYFUNCTION("""COMPUTED_VALUE"""),12)</f>
        <v>12</v>
      </c>
      <c r="R2" s="3" t="str">
        <f ca="1">IFERROR(__xludf.DUMMYFUNCTION("""COMPUTED_VALUE"""),"+1")</f>
        <v>+1</v>
      </c>
      <c r="S2" s="5">
        <f ca="1">IFERROR(__xludf.DUMMYFUNCTION("""COMPUTED_VALUE"""),120)</f>
        <v>120</v>
      </c>
      <c r="T2" s="5">
        <f ca="1">IFERROR(__xludf.DUMMYFUNCTION("""COMPUTED_VALUE"""),93)</f>
        <v>93</v>
      </c>
      <c r="U2" s="3" t="str">
        <f ca="1">IFERROR(__xludf.DUMMYFUNCTION("""COMPUTED_VALUE"""),"Bloody")</f>
        <v>Bloody</v>
      </c>
      <c r="V2" s="6">
        <f ca="1">IFERROR(__xludf.DUMMYFUNCTION("""COMPUTED_VALUE"""),26.25)</f>
        <v>26.25</v>
      </c>
      <c r="W2" s="3" t="str">
        <f ca="1">IFERROR(__xludf.DUMMYFUNCTION("""COMPUTED_VALUE"""),"Old")</f>
        <v>Old</v>
      </c>
      <c r="X2" s="7">
        <f ca="1">IFERROR(__xludf.DUMMYFUNCTION("""COMPUTED_VALUE"""),1)</f>
        <v>1</v>
      </c>
      <c r="Y2" s="8" t="str">
        <f ca="1">IFERROR(__xludf.DUMMYFUNCTION("""COMPUTED_VALUE"""),"Adventure")</f>
        <v>Adventure</v>
      </c>
      <c r="Z2" s="9">
        <f ca="1">IFERROR(__xludf.DUMMYFUNCTION("""COMPUTED_VALUE"""),0.5)</f>
        <v>0.5</v>
      </c>
      <c r="AA2" s="8" t="str">
        <f ca="1">IFERROR(__xludf.DUMMYFUNCTION("""COMPUTED_VALUE"""),"Female")</f>
        <v>Female</v>
      </c>
      <c r="AB2" s="8" t="str">
        <f ca="1">IFERROR(__xludf.DUMMYFUNCTION("""COMPUTED_VALUE"""),"Half-Orc")</f>
        <v>Half-Orc</v>
      </c>
      <c r="AC2" s="8" t="str">
        <f ca="1">IFERROR(__xludf.DUMMYFUNCTION("""COMPUTED_VALUE"""),"NN")</f>
        <v>NN</v>
      </c>
      <c r="AD2" s="8" t="str">
        <f ca="1">IFERROR(__xludf.DUMMYFUNCTION("""COMPUTED_VALUE"""),"Farmers Guild")</f>
        <v>Farmers Guild</v>
      </c>
      <c r="AE2" s="9">
        <f ca="1">IFERROR(__xludf.DUMMYFUNCTION("""COMPUTED_VALUE"""),0.6)</f>
        <v>0.6</v>
      </c>
      <c r="AF2" s="10">
        <f ca="1">IFERROR(__xludf.DUMMYFUNCTION("""COMPUTED_VALUE"""),1.24188079833984)</f>
        <v>1.2418807983398401</v>
      </c>
      <c r="AG2" s="8"/>
      <c r="AH2" s="8"/>
      <c r="AI2" s="8"/>
      <c r="AJ2" s="8"/>
      <c r="AK2" s="8"/>
      <c r="AL2" s="8"/>
      <c r="AM2" s="8"/>
      <c r="AN2" s="8"/>
      <c r="AO2" s="8"/>
      <c r="AP2" s="8"/>
      <c r="AQ2" s="8"/>
      <c r="AR2" s="8"/>
      <c r="AS2" s="8"/>
      <c r="AT2" s="8"/>
      <c r="AU2" s="8"/>
      <c r="AV2" s="8"/>
      <c r="AW2" s="8"/>
      <c r="AX2" s="8"/>
      <c r="AY2" s="8"/>
      <c r="AZ2" s="8"/>
      <c r="BA2" s="8"/>
      <c r="BB2" s="8"/>
      <c r="BC2" s="8"/>
    </row>
    <row r="3" spans="1:55" ht="15.75" customHeight="1">
      <c r="A3" s="11"/>
      <c r="B3" s="201" t="str">
        <f ca="1">CONCATENATE(C2," ",D2)</f>
        <v>Lacspor Staghammer</v>
      </c>
      <c r="C3" s="173"/>
      <c r="D3" s="173"/>
      <c r="E3" s="173"/>
      <c r="F3" s="173"/>
      <c r="G3" s="173"/>
      <c r="I3" s="202" t="str">
        <f ca="1">E2</f>
        <v>None</v>
      </c>
      <c r="J3" s="166"/>
      <c r="K3" s="166"/>
      <c r="L3" s="166"/>
      <c r="M3" s="13"/>
      <c r="N3" s="202" t="str">
        <f ca="1">Y2</f>
        <v>Adventure</v>
      </c>
      <c r="O3" s="166"/>
      <c r="P3" s="166"/>
      <c r="Q3" s="166"/>
      <c r="R3" s="166"/>
      <c r="S3" s="166"/>
      <c r="U3" s="198">
        <f ca="1">F2</f>
        <v>5</v>
      </c>
      <c r="V3" s="166"/>
      <c r="W3" s="166"/>
      <c r="X3" s="167"/>
      <c r="Y3" s="15"/>
      <c r="Z3" s="15"/>
    </row>
    <row r="4" spans="1:55" ht="15.75" customHeight="1">
      <c r="A4" s="11"/>
      <c r="B4" s="173"/>
      <c r="C4" s="173"/>
      <c r="D4" s="173"/>
      <c r="E4" s="173"/>
      <c r="F4" s="173"/>
      <c r="G4" s="173"/>
      <c r="I4" s="193" t="s">
        <v>1</v>
      </c>
      <c r="J4" s="173"/>
      <c r="K4" s="173"/>
      <c r="L4" s="173"/>
      <c r="M4" s="13"/>
      <c r="N4" s="193" t="s">
        <v>2</v>
      </c>
      <c r="O4" s="173"/>
      <c r="P4" s="173"/>
      <c r="Q4" s="173"/>
      <c r="R4" s="173"/>
      <c r="S4" s="173"/>
      <c r="U4" s="193" t="s">
        <v>3</v>
      </c>
      <c r="V4" s="173"/>
      <c r="W4" s="173"/>
      <c r="X4" s="176"/>
      <c r="Y4" s="15"/>
      <c r="Z4" s="15"/>
      <c r="AB4" s="18" t="s">
        <v>4</v>
      </c>
      <c r="AC4" s="203" t="s">
        <v>5</v>
      </c>
      <c r="AD4" s="180"/>
      <c r="AE4" s="180"/>
      <c r="AF4" s="180"/>
      <c r="AG4" s="180"/>
      <c r="AH4" s="180"/>
      <c r="AI4" s="182"/>
    </row>
    <row r="5" spans="1:55" ht="15.75" customHeight="1">
      <c r="A5" s="11"/>
      <c r="B5" s="166"/>
      <c r="C5" s="166"/>
      <c r="D5" s="166"/>
      <c r="E5" s="166"/>
      <c r="F5" s="166"/>
      <c r="G5" s="166"/>
      <c r="I5" s="205" t="str">
        <f ca="1">AB2</f>
        <v>Half-Orc</v>
      </c>
      <c r="J5" s="166"/>
      <c r="K5" s="166"/>
      <c r="L5" s="166"/>
      <c r="N5" s="205" t="str">
        <f ca="1">AC2</f>
        <v>NN</v>
      </c>
      <c r="O5" s="166"/>
      <c r="P5" s="166"/>
      <c r="Q5" s="166"/>
      <c r="R5" s="166"/>
      <c r="S5" s="166"/>
      <c r="U5" s="205" t="str">
        <f t="array" aca="1" ref="U5" ca="1">INDEX(NPCSize,TRUNC(1+(COUNTA(NPCSize))*(TRUNC(MOD((B2*1103515245 +12345)/ 65536, 32768),0)/32768),0),1)</f>
        <v xml:space="preserve">Medium </v>
      </c>
      <c r="V5" s="166"/>
      <c r="W5" s="166"/>
      <c r="X5" s="167"/>
      <c r="Y5" s="19"/>
      <c r="Z5" s="15"/>
      <c r="AB5" s="204" t="s">
        <v>6</v>
      </c>
      <c r="AC5" s="180"/>
      <c r="AD5" s="180"/>
      <c r="AE5" s="180"/>
      <c r="AF5" s="180"/>
      <c r="AG5" s="180"/>
      <c r="AH5" s="180"/>
      <c r="AI5" s="182"/>
    </row>
    <row r="6" spans="1:55" ht="15.75" customHeight="1">
      <c r="A6" s="19"/>
      <c r="B6" s="206" t="s">
        <v>7</v>
      </c>
      <c r="C6" s="173"/>
      <c r="D6" s="173"/>
      <c r="E6" s="173"/>
      <c r="F6" s="173"/>
      <c r="G6" s="173"/>
      <c r="H6" s="20"/>
      <c r="I6" s="206" t="s">
        <v>8</v>
      </c>
      <c r="J6" s="173"/>
      <c r="K6" s="173"/>
      <c r="L6" s="173"/>
      <c r="M6" s="20"/>
      <c r="N6" s="206" t="s">
        <v>9</v>
      </c>
      <c r="O6" s="173"/>
      <c r="P6" s="173"/>
      <c r="Q6" s="173"/>
      <c r="R6" s="173"/>
      <c r="S6" s="173"/>
      <c r="T6" s="20"/>
      <c r="U6" s="206" t="s">
        <v>10</v>
      </c>
      <c r="V6" s="173"/>
      <c r="W6" s="173"/>
      <c r="X6" s="176"/>
      <c r="Y6" s="15"/>
      <c r="Z6" s="15"/>
      <c r="AB6" s="168" t="s">
        <v>11</v>
      </c>
      <c r="AC6" s="169"/>
      <c r="AD6" s="169"/>
      <c r="AE6" s="169"/>
      <c r="AF6" s="169"/>
      <c r="AG6" s="169"/>
      <c r="AH6" s="169"/>
      <c r="AI6" s="170"/>
    </row>
    <row r="7" spans="1:55" ht="15.75" customHeight="1">
      <c r="A7" s="23"/>
      <c r="B7" s="16"/>
      <c r="U7" s="173"/>
      <c r="V7" s="173"/>
      <c r="W7" s="178"/>
      <c r="X7" s="176"/>
      <c r="Y7" s="15"/>
      <c r="Z7" s="15"/>
      <c r="AA7" s="15"/>
      <c r="AB7" s="184"/>
      <c r="AC7" s="173"/>
      <c r="AD7" s="173"/>
      <c r="AE7" s="173"/>
      <c r="AF7" s="173"/>
      <c r="AG7" s="173"/>
      <c r="AH7" s="173"/>
      <c r="AI7" s="176"/>
    </row>
    <row r="8" spans="1:55" ht="15.75" customHeight="1">
      <c r="A8" s="25"/>
      <c r="B8" s="165" t="s">
        <v>12</v>
      </c>
      <c r="C8" s="166"/>
      <c r="D8" s="25"/>
      <c r="E8" s="207" t="s">
        <v>13</v>
      </c>
      <c r="F8" s="166"/>
      <c r="G8" s="166"/>
      <c r="H8" s="166"/>
      <c r="I8" s="26"/>
      <c r="J8" s="165" t="s">
        <v>14</v>
      </c>
      <c r="K8" s="166"/>
      <c r="L8" s="166"/>
      <c r="N8" s="165" t="s">
        <v>15</v>
      </c>
      <c r="O8" s="166"/>
      <c r="Q8" s="165" t="s">
        <v>16</v>
      </c>
      <c r="R8" s="166"/>
      <c r="S8" s="166"/>
      <c r="T8" s="166"/>
      <c r="U8" s="25"/>
      <c r="V8" s="165" t="s">
        <v>17</v>
      </c>
      <c r="W8" s="166"/>
      <c r="X8" s="167"/>
      <c r="Y8" s="15"/>
      <c r="AB8" s="168" t="s">
        <v>18</v>
      </c>
      <c r="AC8" s="169"/>
      <c r="AD8" s="169"/>
      <c r="AE8" s="169"/>
      <c r="AF8" s="169"/>
      <c r="AG8" s="169"/>
      <c r="AH8" s="169"/>
      <c r="AI8" s="170"/>
    </row>
    <row r="9" spans="1:55" ht="15.75" customHeight="1">
      <c r="A9" s="27"/>
      <c r="B9" s="208">
        <f>2</f>
        <v>2</v>
      </c>
      <c r="C9" s="173"/>
      <c r="D9" s="27"/>
      <c r="E9" s="28" t="s">
        <v>19</v>
      </c>
      <c r="F9" s="29">
        <f ca="1">IF($C$13 + IF(E9="■", $B$9, 0) &lt; 0, $C$13 + IF(E9="■", $B$9, 0), _xludf.concat("+", $C$13 + IF(E9="■", $B$9, 0)))</f>
        <v>-1</v>
      </c>
      <c r="G9" s="177" t="s">
        <v>20</v>
      </c>
      <c r="H9" s="173"/>
      <c r="I9" s="173"/>
      <c r="J9" s="172">
        <v>10</v>
      </c>
      <c r="K9" s="173"/>
      <c r="L9" s="173"/>
      <c r="N9" s="174" t="e">
        <f ca="1">$C$17</f>
        <v>#NAME?</v>
      </c>
      <c r="O9" s="173"/>
      <c r="Q9" s="172" t="s">
        <v>21</v>
      </c>
      <c r="R9" s="173"/>
      <c r="S9" s="173"/>
      <c r="T9" s="173"/>
      <c r="U9" s="31"/>
      <c r="V9" s="175" t="str">
        <f ca="1">AD2</f>
        <v>Farmers Guild</v>
      </c>
      <c r="W9" s="173"/>
      <c r="X9" s="176"/>
      <c r="Y9" s="15"/>
      <c r="AB9" s="171"/>
      <c r="AC9" s="166"/>
      <c r="AD9" s="166"/>
      <c r="AE9" s="166"/>
      <c r="AF9" s="166"/>
      <c r="AG9" s="166"/>
      <c r="AH9" s="166"/>
      <c r="AI9" s="167"/>
    </row>
    <row r="10" spans="1:55" ht="15.75" customHeight="1">
      <c r="A10" s="27"/>
      <c r="B10" s="173"/>
      <c r="C10" s="173"/>
      <c r="D10" s="27"/>
      <c r="E10" s="28" t="s">
        <v>19</v>
      </c>
      <c r="F10" s="29" t="e">
        <f ca="1">IF($C$17 + IF(E10="■", $B$9, 0) &lt; 0, $C$17 + IF(E10="■", $B$9, 0), _xludf.concat("+", $C$17 + IF(E10="■", $B$9, 0)))</f>
        <v>#NAME?</v>
      </c>
      <c r="G10" s="177" t="s">
        <v>22</v>
      </c>
      <c r="H10" s="173"/>
      <c r="I10" s="173"/>
      <c r="J10" s="173"/>
      <c r="K10" s="173"/>
      <c r="L10" s="173"/>
      <c r="N10" s="173"/>
      <c r="O10" s="173"/>
      <c r="Q10" s="173"/>
      <c r="R10" s="173"/>
      <c r="S10" s="173"/>
      <c r="T10" s="173"/>
      <c r="U10" s="31"/>
      <c r="V10" s="173"/>
      <c r="W10" s="173"/>
      <c r="X10" s="176"/>
      <c r="Y10" s="15"/>
    </row>
    <row r="11" spans="1:55" ht="15.75" customHeight="1">
      <c r="A11" s="15"/>
      <c r="E11" s="28" t="s">
        <v>19</v>
      </c>
      <c r="F11" s="29" t="e">
        <f ca="1">IF($C$21 + IF(E11="■", $B$9, 0) &lt; 0, $C$21 + IF(E11="■", $B$9, 0), _xludf.concat("+", $C$21 + IF(E11="■", $B$9, 0)))</f>
        <v>#NAME?</v>
      </c>
      <c r="G11" s="177" t="s">
        <v>23</v>
      </c>
      <c r="H11" s="173"/>
      <c r="I11" s="173"/>
      <c r="U11" s="173"/>
      <c r="V11" s="173"/>
      <c r="W11" s="178"/>
      <c r="X11" s="176"/>
      <c r="Y11" s="15"/>
      <c r="AB11" s="179" t="s">
        <v>24</v>
      </c>
      <c r="AC11" s="180"/>
      <c r="AD11" s="181" t="s">
        <v>25</v>
      </c>
      <c r="AE11" s="180"/>
      <c r="AF11" s="180"/>
      <c r="AG11" s="180"/>
      <c r="AH11" s="180"/>
      <c r="AI11" s="182"/>
    </row>
    <row r="12" spans="1:55" ht="15.75" customHeight="1">
      <c r="A12" s="25"/>
      <c r="B12" s="165" t="s">
        <v>20</v>
      </c>
      <c r="C12" s="166"/>
      <c r="E12" s="28" t="s">
        <v>19</v>
      </c>
      <c r="F12" s="29" t="e">
        <f ca="1">IF($C$25 + IF(E12="■", $B$9, 0) &lt; 0, $C$25 + IF(E12="■", $B$9, 0), _xludf.concat("+", $C$25 + IF(E12="■", $B$9, 0)))</f>
        <v>#NAME?</v>
      </c>
      <c r="G12" s="177" t="s">
        <v>26</v>
      </c>
      <c r="H12" s="173"/>
      <c r="I12" s="173"/>
      <c r="J12" s="165" t="s">
        <v>27</v>
      </c>
      <c r="K12" s="166"/>
      <c r="L12" s="166"/>
      <c r="M12" s="185" t="str">
        <f ca="1">U2</f>
        <v>Bloody</v>
      </c>
      <c r="N12" s="180"/>
      <c r="O12" s="180"/>
      <c r="P12" s="180"/>
      <c r="Q12" s="180"/>
      <c r="R12" s="180"/>
      <c r="S12" s="180"/>
      <c r="T12" s="180"/>
      <c r="U12" s="180"/>
      <c r="V12" s="182"/>
      <c r="W12" s="165" t="s">
        <v>28</v>
      </c>
      <c r="X12" s="167"/>
      <c r="Y12" s="15"/>
    </row>
    <row r="13" spans="1:55" ht="15.75" customHeight="1">
      <c r="A13" s="31"/>
      <c r="B13" s="172">
        <f ca="1">G2</f>
        <v>8</v>
      </c>
      <c r="C13" s="189">
        <f ca="1">IF(B13&lt;10, FLOOR(B13/2,1) - 5, _xludf.concat("+", FLOOR(B13/2,1) - 5))</f>
        <v>-1</v>
      </c>
      <c r="E13" s="28" t="s">
        <v>19</v>
      </c>
      <c r="F13" s="29" t="e">
        <f ca="1">IF($C$29 + IF(E13="■", $B$9, 0) &lt; 0, $C$29 + IF(E13="■", $B$9, 0), _xludf.concat("+", $C$29 + IF(E13="■", $B$9, 0)))</f>
        <v>#NAME?</v>
      </c>
      <c r="G13" s="177" t="s">
        <v>29</v>
      </c>
      <c r="H13" s="173"/>
      <c r="I13" s="173"/>
      <c r="J13" s="186">
        <f ca="1">S2-T2</f>
        <v>27</v>
      </c>
      <c r="K13" s="173"/>
      <c r="L13" s="173"/>
      <c r="M13" s="173"/>
      <c r="N13" s="173"/>
      <c r="O13" s="173"/>
      <c r="P13" s="173"/>
      <c r="Q13" s="173"/>
      <c r="R13" s="173"/>
      <c r="S13" s="173"/>
      <c r="T13" s="173"/>
      <c r="U13" s="173"/>
      <c r="V13" s="176"/>
      <c r="W13" s="187">
        <f ca="1">S2</f>
        <v>120</v>
      </c>
      <c r="X13" s="176"/>
      <c r="Y13" s="15"/>
      <c r="AB13" s="183" t="s">
        <v>30</v>
      </c>
      <c r="AC13" s="169"/>
      <c r="AD13" s="169"/>
      <c r="AE13" s="169"/>
      <c r="AF13" s="169"/>
      <c r="AG13" s="169"/>
      <c r="AH13" s="169"/>
      <c r="AI13" s="170"/>
    </row>
    <row r="14" spans="1:55" ht="15.75" customHeight="1">
      <c r="A14" s="31"/>
      <c r="B14" s="173"/>
      <c r="C14" s="184"/>
      <c r="E14" s="28" t="s">
        <v>19</v>
      </c>
      <c r="F14" s="29" t="e">
        <f ca="1">IF($C$33 + IF(E14="■", $B$9, 0) &lt; 0, $C$33 + IF(E14="■", $B$9, 0), _xludf.concat("+", $C$33 + IF(E14="■", $B$9, 0)))</f>
        <v>#NAME?</v>
      </c>
      <c r="G14" s="177" t="s">
        <v>31</v>
      </c>
      <c r="H14" s="173"/>
      <c r="I14" s="173"/>
      <c r="J14" s="171"/>
      <c r="K14" s="166"/>
      <c r="L14" s="166"/>
      <c r="M14" s="166"/>
      <c r="N14" s="166"/>
      <c r="O14" s="166"/>
      <c r="P14" s="166"/>
      <c r="Q14" s="166"/>
      <c r="R14" s="166"/>
      <c r="S14" s="166"/>
      <c r="T14" s="166"/>
      <c r="U14" s="166"/>
      <c r="V14" s="167"/>
      <c r="W14" s="173"/>
      <c r="X14" s="176"/>
      <c r="Y14" s="15"/>
      <c r="AB14" s="184"/>
      <c r="AC14" s="173"/>
      <c r="AD14" s="173"/>
      <c r="AE14" s="173"/>
      <c r="AF14" s="173"/>
      <c r="AG14" s="173"/>
      <c r="AH14" s="173"/>
      <c r="AI14" s="176"/>
    </row>
    <row r="15" spans="1:55" ht="15.75" customHeight="1">
      <c r="A15" s="25"/>
      <c r="B15" s="33"/>
      <c r="C15" s="33"/>
      <c r="H15" s="34"/>
      <c r="I15" s="15"/>
      <c r="U15" s="173"/>
      <c r="V15" s="173"/>
      <c r="W15" s="178"/>
      <c r="X15" s="176"/>
      <c r="Y15" s="15"/>
      <c r="AA15" s="35"/>
      <c r="AB15" s="184"/>
      <c r="AC15" s="173"/>
      <c r="AD15" s="173"/>
      <c r="AE15" s="173"/>
      <c r="AF15" s="173"/>
      <c r="AG15" s="173"/>
      <c r="AH15" s="173"/>
      <c r="AI15" s="176"/>
    </row>
    <row r="16" spans="1:55" ht="15.75" customHeight="1">
      <c r="A16" s="25"/>
      <c r="B16" s="165" t="s">
        <v>22</v>
      </c>
      <c r="C16" s="166"/>
      <c r="E16" s="188" t="s">
        <v>32</v>
      </c>
      <c r="F16" s="180"/>
      <c r="G16" s="180"/>
      <c r="H16" s="180"/>
      <c r="I16" s="182"/>
      <c r="K16" s="185" t="s">
        <v>33</v>
      </c>
      <c r="L16" s="180"/>
      <c r="M16" s="180"/>
      <c r="N16" s="180"/>
      <c r="O16" s="180"/>
      <c r="P16" s="180"/>
      <c r="Q16" s="180"/>
      <c r="R16" s="180"/>
      <c r="S16" s="180"/>
      <c r="T16" s="180"/>
      <c r="U16" s="180"/>
      <c r="V16" s="180"/>
      <c r="W16" s="180"/>
      <c r="X16" s="182"/>
      <c r="Y16" s="15"/>
      <c r="AB16" s="171"/>
      <c r="AC16" s="166"/>
      <c r="AD16" s="166"/>
      <c r="AE16" s="166"/>
      <c r="AF16" s="166"/>
      <c r="AG16" s="166"/>
      <c r="AH16" s="166"/>
      <c r="AI16" s="167"/>
    </row>
    <row r="17" spans="1:35" ht="15.75" customHeight="1">
      <c r="A17" s="31"/>
      <c r="B17" s="172">
        <f ca="1">I2</f>
        <v>12</v>
      </c>
      <c r="C17" s="189" t="e">
        <f ca="1">IF(B17&lt;10, FLOOR(B17/2,1) - 5, _xludf.concat("+", FLOOR(B17/2,1) - 5))</f>
        <v>#NAME?</v>
      </c>
      <c r="E17" s="36" t="s">
        <v>19</v>
      </c>
      <c r="F17" s="29" t="e">
        <f ca="1">IF($C$17 + FLOOR(IF(E17="‼", $B$9*2, IF(E17="■", $B$9, IF(E17="½", $B$9/2, 0))),1) &lt; 0, $C$17 + FLOOR(IF(E17="‼", $B$9*2, IF(E17="■", $B$9, IF(E17="½", $B$9/2, 0))),1), _xludf.concat("+", $C$17 + FLOOR(IF(E17="‼", $B$9*2, IF(E17="■", $B$9, IF(E17="½", $B$9/2, 0))),1)))</f>
        <v>#NAME?</v>
      </c>
      <c r="G17" s="177" t="s">
        <v>34</v>
      </c>
      <c r="H17" s="173"/>
      <c r="I17" s="176"/>
      <c r="J17" s="30"/>
      <c r="K17" s="209">
        <f>AJ2</f>
        <v>0</v>
      </c>
      <c r="L17" s="169"/>
      <c r="M17" s="169"/>
      <c r="N17" s="169"/>
      <c r="O17" s="169"/>
      <c r="P17" s="169"/>
      <c r="Q17" s="169"/>
      <c r="R17" s="169"/>
      <c r="S17" s="169"/>
      <c r="T17" s="169"/>
      <c r="U17" s="169"/>
      <c r="V17" s="169"/>
      <c r="W17" s="169"/>
      <c r="X17" s="170"/>
      <c r="Y17" s="15"/>
      <c r="AB17" s="210" t="s">
        <v>35</v>
      </c>
      <c r="AC17" s="169"/>
      <c r="AD17" s="169"/>
      <c r="AE17" s="169"/>
      <c r="AF17" s="169"/>
      <c r="AG17" s="169"/>
      <c r="AH17" s="169"/>
      <c r="AI17" s="170"/>
    </row>
    <row r="18" spans="1:35" ht="15.75" customHeight="1">
      <c r="A18" s="31"/>
      <c r="B18" s="173"/>
      <c r="C18" s="184"/>
      <c r="E18" s="36" t="s">
        <v>19</v>
      </c>
      <c r="F18" s="29" t="e">
        <f ca="1">IF($C$29 + FLOOR(IF(E18="‼", $B$9*2, IF(E18="■", $B$9, IF(E18="½", $B$9/2, 0))),1) &lt; 0, $C$29 + FLOOR(IF(E18="‼", $B$9*2, IF(E18="■", $B$9, IF(E18="½", $B$9/2, 0))),1), _xludf.concat("+", $C$29 + FLOOR(IF(E18="‼", $B$9*2, IF(E18="■", $B$9, IF(E18="½", $B$9/2, 0))),1)))</f>
        <v>#NAME?</v>
      </c>
      <c r="G18" s="177" t="s">
        <v>36</v>
      </c>
      <c r="H18" s="173"/>
      <c r="I18" s="176"/>
      <c r="J18" s="30"/>
      <c r="K18" s="184"/>
      <c r="L18" s="173"/>
      <c r="M18" s="173"/>
      <c r="N18" s="173"/>
      <c r="O18" s="173"/>
      <c r="P18" s="173"/>
      <c r="Q18" s="173"/>
      <c r="R18" s="173"/>
      <c r="S18" s="173"/>
      <c r="T18" s="173"/>
      <c r="U18" s="173"/>
      <c r="V18" s="173"/>
      <c r="W18" s="173"/>
      <c r="X18" s="176"/>
      <c r="Y18" s="15"/>
      <c r="AB18" s="184"/>
      <c r="AC18" s="173"/>
      <c r="AD18" s="173"/>
      <c r="AE18" s="173"/>
      <c r="AF18" s="173"/>
      <c r="AG18" s="173"/>
      <c r="AH18" s="173"/>
      <c r="AI18" s="176"/>
    </row>
    <row r="19" spans="1:35" ht="15.75" customHeight="1">
      <c r="A19" s="15"/>
      <c r="E19" s="36" t="s">
        <v>19</v>
      </c>
      <c r="F19" s="29" t="e">
        <f ca="1">IF($C$25 + FLOOR(IF(E19="‼", $B$9*2, IF(E19="■", $B$9, IF(E19="½", $B$9/2, 0))),1) &lt; 0, $C$25 + FLOOR(IF(E19="‼", $B$9*2, IF(E19="■", $B$9, IF(E19="½", $B$9/2, 0))),1), _xludf.concat("+", $C$25 + FLOOR(IF(E19="‼", $B$9*2, IF(E19="■", $B$9, IF(E19="½", $B$9/2, 0))),1)))</f>
        <v>#NAME?</v>
      </c>
      <c r="G19" s="177" t="s">
        <v>37</v>
      </c>
      <c r="H19" s="173"/>
      <c r="I19" s="176"/>
      <c r="J19" s="30"/>
      <c r="K19" s="171"/>
      <c r="L19" s="166"/>
      <c r="M19" s="166"/>
      <c r="N19" s="166"/>
      <c r="O19" s="166"/>
      <c r="P19" s="166"/>
      <c r="Q19" s="166"/>
      <c r="R19" s="166"/>
      <c r="S19" s="166"/>
      <c r="T19" s="166"/>
      <c r="U19" s="166"/>
      <c r="V19" s="166"/>
      <c r="W19" s="166"/>
      <c r="X19" s="167"/>
      <c r="Y19" s="15"/>
      <c r="AB19" s="37"/>
      <c r="AC19" s="38"/>
      <c r="AD19" s="38"/>
      <c r="AE19" s="38"/>
      <c r="AF19" s="38"/>
      <c r="AG19" s="38"/>
      <c r="AH19" s="38"/>
      <c r="AI19" s="39"/>
    </row>
    <row r="20" spans="1:35" ht="15.75" customHeight="1">
      <c r="A20" s="25"/>
      <c r="B20" s="165" t="s">
        <v>23</v>
      </c>
      <c r="C20" s="166"/>
      <c r="E20" s="36" t="s">
        <v>19</v>
      </c>
      <c r="F20" s="29">
        <f ca="1">IF($C$13 + FLOOR(IF(E20="‼", $B$9*2, IF(E20="■", $B$9, IF(E20="½", $B$9/2, 0))),1) &lt; 0, $C$13 + FLOOR(IF(E20="‼", $B$9*2, IF(E20="■", $B$9, IF(E20="½", $B$9/2, 0))),1), _xludf.concat("+", $C$13 + FLOOR(IF(E20="‼", $B$9*2, IF(E20="■", $B$9, IF(E20="½", $B$9/2, 0))),1)))</f>
        <v>-1</v>
      </c>
      <c r="G20" s="177" t="s">
        <v>38</v>
      </c>
      <c r="H20" s="173"/>
      <c r="I20" s="176"/>
      <c r="J20" s="30"/>
      <c r="K20" s="211" t="s">
        <v>39</v>
      </c>
      <c r="L20" s="180"/>
      <c r="M20" s="180"/>
      <c r="N20" s="180"/>
      <c r="O20" s="180"/>
      <c r="P20" s="182"/>
      <c r="R20" s="16"/>
      <c r="S20" s="193"/>
      <c r="T20" s="173"/>
      <c r="U20" s="173"/>
      <c r="V20" s="173"/>
      <c r="W20" s="173"/>
      <c r="X20" s="176"/>
      <c r="Y20" s="15"/>
      <c r="AB20" s="37"/>
      <c r="AC20" s="38"/>
      <c r="AD20" s="38"/>
      <c r="AE20" s="38"/>
      <c r="AF20" s="38"/>
      <c r="AG20" s="38"/>
      <c r="AH20" s="38"/>
      <c r="AI20" s="39"/>
    </row>
    <row r="21" spans="1:35" ht="15.75" customHeight="1">
      <c r="A21" s="31"/>
      <c r="B21" s="172">
        <f ca="1">K2</f>
        <v>12</v>
      </c>
      <c r="C21" s="189" t="e">
        <f ca="1">IF(B21&lt;10, FLOOR(B21/2,1) - 5, _xludf.concat("+", FLOOR(B21/2,1) - 5))</f>
        <v>#NAME?</v>
      </c>
      <c r="E21" s="36" t="s">
        <v>19</v>
      </c>
      <c r="F21" s="29" t="e">
        <f ca="1">IF($C$33 + FLOOR(IF(E21="‼", $B$9*2, IF(E21="■", $B$9, IF(E21="½", $B$9/2, 0))),1) &lt; 0, $C$33 + FLOOR(IF(E21="‼", $B$9*2, IF(E21="■", $B$9, IF(E21="½", $B$9/2, 0))),1), _xludf.concat("+", $C$33 + FLOOR(IF(E21="‼", $B$9*2, IF(E21="■", $B$9, IF(E21="½", $B$9/2, 0))),1)))</f>
        <v>#NAME?</v>
      </c>
      <c r="G21" s="177" t="s">
        <v>40</v>
      </c>
      <c r="H21" s="173"/>
      <c r="I21" s="176"/>
      <c r="J21" s="30"/>
      <c r="K21" s="212" t="e">
        <f ca="1">(C33+TRUNC(1+100)*(TRUNC(MOD((B2*1103515245 +12345)/ 65536, 32768),0)/32768)*(U3/2))*(MAX(MIN(V2,2),30))+(VLOOKUP($Y$2,'RF Mod'!Q:R,2,FALSE)*U3)</f>
        <v>#NAME?</v>
      </c>
      <c r="L21" s="169"/>
      <c r="M21" s="169"/>
      <c r="N21" s="169"/>
      <c r="O21" s="169"/>
      <c r="P21" s="170"/>
      <c r="R21" s="16"/>
      <c r="S21" s="213" t="s">
        <v>41</v>
      </c>
      <c r="T21" s="173"/>
      <c r="U21" s="173"/>
      <c r="V21" s="176"/>
      <c r="X21" s="17"/>
      <c r="Y21" s="15"/>
      <c r="AB21" s="37"/>
      <c r="AC21" s="38"/>
      <c r="AD21" s="38"/>
      <c r="AE21" s="38"/>
      <c r="AF21" s="38"/>
      <c r="AG21" s="38"/>
      <c r="AH21" s="38"/>
      <c r="AI21" s="39"/>
    </row>
    <row r="22" spans="1:35" ht="15.75" customHeight="1">
      <c r="A22" s="31"/>
      <c r="B22" s="173"/>
      <c r="C22" s="184"/>
      <c r="E22" s="36" t="s">
        <v>19</v>
      </c>
      <c r="F22" s="29" t="e">
        <f ca="1">IF($C$25 + FLOOR(IF(E22="‼", $B$9*2, IF(E22="■", $B$9, IF(E22="½", $B$9/2, 0))),1) &lt; 0, $C$25 + FLOOR(IF(E22="‼", $B$9*2, IF(E22="■", $B$9, IF(E22="½", $B$9/2, 0))),1), _xludf.concat("+", $C$25 + FLOOR(IF(E22="‼", $B$9*2, IF(E22="■", $B$9, IF(E22="½", $B$9/2, 0))),1)))</f>
        <v>#NAME?</v>
      </c>
      <c r="G22" s="177" t="s">
        <v>42</v>
      </c>
      <c r="H22" s="173"/>
      <c r="I22" s="176"/>
      <c r="J22" s="30"/>
      <c r="K22" s="171"/>
      <c r="L22" s="166"/>
      <c r="M22" s="166"/>
      <c r="N22" s="166"/>
      <c r="O22" s="166"/>
      <c r="P22" s="167"/>
      <c r="R22" s="16"/>
      <c r="S22" s="218" t="str">
        <f ca="1">AA2</f>
        <v>Female</v>
      </c>
      <c r="T22" s="180"/>
      <c r="U22" s="180"/>
      <c r="V22" s="182"/>
      <c r="X22" s="17"/>
      <c r="Y22" s="15"/>
      <c r="AB22" s="40"/>
      <c r="AC22" s="41"/>
      <c r="AD22" s="41"/>
      <c r="AE22" s="41"/>
      <c r="AF22" s="41"/>
      <c r="AG22" s="41"/>
      <c r="AH22" s="41"/>
      <c r="AI22" s="42"/>
    </row>
    <row r="23" spans="1:35" ht="15.75" customHeight="1">
      <c r="A23" s="15"/>
      <c r="E23" s="36" t="s">
        <v>19</v>
      </c>
      <c r="F23" s="29" t="e">
        <f ca="1">IF($C$29 + FLOOR(IF(E23="‼", $B$9*2, IF(E23="■", $B$9, IF(E23="½", $B$9/2, 0))),1) &lt; 0, $C$29 + FLOOR(IF(E23="‼", $B$9*2, IF(E23="■", $B$9, IF(E23="½", $B$9/2, 0))),1), _xludf.concat("+", $C$29 + FLOOR(IF(E23="‼", $B$9*2, IF(E23="■", $B$9, IF(E23="½", $B$9/2, 0))),1)))</f>
        <v>#NAME?</v>
      </c>
      <c r="G23" s="177" t="s">
        <v>43</v>
      </c>
      <c r="H23" s="173"/>
      <c r="I23" s="176"/>
      <c r="J23" s="30"/>
      <c r="X23" s="17"/>
      <c r="Y23" s="15"/>
      <c r="AE23" s="43"/>
      <c r="AF23" s="21"/>
      <c r="AG23" s="21"/>
      <c r="AH23" s="21"/>
      <c r="AI23" s="22"/>
    </row>
    <row r="24" spans="1:35" ht="15.75" customHeight="1">
      <c r="A24" s="25"/>
      <c r="B24" s="165" t="s">
        <v>26</v>
      </c>
      <c r="C24" s="166"/>
      <c r="E24" s="36" t="s">
        <v>19</v>
      </c>
      <c r="F24" s="29" t="e">
        <f ca="1">IF($C$33 + FLOOR(IF(E24="‼", $B$9*2, IF(E24="■", $B$9, IF(E24="½", $B$9/2, 0))),1) &lt; 0, $C$33 + FLOOR(IF(E24="‼", $B$9*2, IF(E24="■", $B$9, IF(E24="½", $B$9/2, 0))),1), _xludf.concat("+", $C$33 + FLOOR(IF(E24="‼", $B$9*2, IF(E24="■", $B$9, IF(E24="½", $B$9/2, 0))),1)))</f>
        <v>#NAME?</v>
      </c>
      <c r="G24" s="177" t="s">
        <v>44</v>
      </c>
      <c r="H24" s="173"/>
      <c r="I24" s="176"/>
      <c r="J24" s="30"/>
      <c r="K24" s="219" t="s">
        <v>45</v>
      </c>
      <c r="L24" s="173"/>
      <c r="M24" s="173"/>
      <c r="N24" s="173"/>
      <c r="O24" s="173"/>
      <c r="P24" s="173"/>
      <c r="Q24" s="173"/>
      <c r="R24" s="173"/>
      <c r="S24" s="173"/>
      <c r="T24" s="173"/>
      <c r="U24" s="173"/>
      <c r="V24" s="173"/>
      <c r="W24" s="173"/>
      <c r="X24" s="176"/>
      <c r="Y24" s="15"/>
      <c r="AE24" s="24"/>
      <c r="AI24" s="17"/>
    </row>
    <row r="25" spans="1:35" ht="15.75" customHeight="1">
      <c r="A25" s="31"/>
      <c r="B25" s="172">
        <f ca="1">M2</f>
        <v>11</v>
      </c>
      <c r="C25" s="189" t="e">
        <f ca="1">IF(B25&lt;10, FLOOR(B25/2,1) - 5, _xludf.concat("+", FLOOR(B25/2,1) - 5))</f>
        <v>#NAME?</v>
      </c>
      <c r="E25" s="36" t="s">
        <v>19</v>
      </c>
      <c r="F25" s="29" t="e">
        <f ca="1">IF($C$25 + FLOOR(IF(E25="‼", $B$9*2, IF(E25="■", $B$9, IF(E25="½", $B$9/2, 0))),1) &lt; 0, $C$25 + FLOOR(IF(E25="‼", $B$9*2, IF(E25="■", $B$9, IF(E25="½", $B$9/2, 0))),1), _xludf.concat("+", $C$25 + FLOOR(IF(E25="‼", $B$9*2, IF(E25="■", $B$9, IF(E25="½", $B$9/2, 0))),1)))</f>
        <v>#NAME?</v>
      </c>
      <c r="G25" s="177" t="s">
        <v>46</v>
      </c>
      <c r="H25" s="173"/>
      <c r="I25" s="176"/>
      <c r="J25" s="30"/>
      <c r="K25" s="44">
        <f ca="1">TRUNC(5+(10-5)*(TRUNC(MOD((B2*1103515245 +12345)/ 65536, 32768),0)/32768),0)</f>
        <v>7</v>
      </c>
      <c r="L25" s="220" t="s">
        <v>47</v>
      </c>
      <c r="M25" s="180"/>
      <c r="N25" s="180"/>
      <c r="O25" s="221" t="s">
        <v>48</v>
      </c>
      <c r="P25" s="169"/>
      <c r="Q25" s="169"/>
      <c r="R25" s="169"/>
      <c r="S25" s="169"/>
      <c r="T25" s="169"/>
      <c r="U25" s="221" t="s">
        <v>49</v>
      </c>
      <c r="V25" s="169"/>
      <c r="W25" s="169"/>
      <c r="X25" s="170"/>
      <c r="Y25" s="15"/>
      <c r="AB25" s="43"/>
      <c r="AC25" s="21"/>
      <c r="AD25" s="22"/>
      <c r="AE25" s="24"/>
      <c r="AI25" s="17"/>
    </row>
    <row r="26" spans="1:35" ht="15.75" customHeight="1">
      <c r="A26" s="31"/>
      <c r="B26" s="173"/>
      <c r="C26" s="184"/>
      <c r="E26" s="36" t="s">
        <v>19</v>
      </c>
      <c r="F26" s="29" t="e">
        <f ca="1">IF($C$29 + FLOOR(IF(E26="‼", $B$9*2, IF(E26="■", $B$9, IF(E26="½", $B$9/2, 0))),1) &lt; 0, $C$29 + FLOOR(IF(E26="‼", $B$9*2, IF(E26="■", $B$9, IF(E26="½", $B$9/2, 0))),1), _xludf.concat("+", $C$29 + FLOOR(IF(E26="‼", $B$9*2, IF(E26="■", $B$9, IF(E26="½", $B$9/2, 0))),1)))</f>
        <v>#NAME?</v>
      </c>
      <c r="G26" s="177" t="s">
        <v>50</v>
      </c>
      <c r="H26" s="173"/>
      <c r="I26" s="176"/>
      <c r="J26" s="30"/>
      <c r="K26" s="45"/>
      <c r="L26" s="222" t="s">
        <v>51</v>
      </c>
      <c r="M26" s="180"/>
      <c r="N26" s="182"/>
      <c r="O26" s="214" t="str">
        <f ca="1">IFERROR(__xludf.DUMMYFUNCTION("QUERY(Vars!$D:$G , ""Select E where G &lt; ""&amp; $U26 &amp;"" AND F = '""&amp; $L26  &amp;""' order by G desc limit 1"",0)"),"Half-plate")</f>
        <v>Half-plate</v>
      </c>
      <c r="P26" s="180"/>
      <c r="Q26" s="180"/>
      <c r="R26" s="180"/>
      <c r="S26" s="180"/>
      <c r="T26" s="180"/>
      <c r="U26" s="215" t="e">
        <f ca="1">K21/3</f>
        <v>#NAME?</v>
      </c>
      <c r="V26" s="180"/>
      <c r="W26" s="180"/>
      <c r="X26" s="182"/>
      <c r="Y26" s="15"/>
      <c r="AB26" s="24"/>
      <c r="AD26" s="17"/>
      <c r="AE26" s="24"/>
      <c r="AI26" s="17"/>
    </row>
    <row r="27" spans="1:35" ht="15.75" customHeight="1">
      <c r="A27" s="15"/>
      <c r="E27" s="36" t="s">
        <v>19</v>
      </c>
      <c r="F27" s="29" t="e">
        <f ca="1">IF($C$25 + FLOOR(IF(E27="‼", $B$9*2, IF(E27="■", $B$9, IF(E27="½", $B$9/2, 0))),1) &lt; 0, $C$25 + FLOOR(IF(E27="‼", $B$9*2, IF(E27="■", $B$9, IF(E27="½", $B$9/2, 0))),1), _xludf.concat("+", $C$25 + FLOOR(IF(E27="‼", $B$9*2, IF(E27="■", $B$9, IF(E27="½", $B$9/2, 0))),1)))</f>
        <v>#NAME?</v>
      </c>
      <c r="G27" s="177" t="s">
        <v>52</v>
      </c>
      <c r="H27" s="173"/>
      <c r="I27" s="176"/>
      <c r="J27" s="30"/>
      <c r="K27" s="45"/>
      <c r="L27" s="222" t="s">
        <v>53</v>
      </c>
      <c r="M27" s="180"/>
      <c r="N27" s="182"/>
      <c r="O27" s="214" t="str">
        <f ca="1">IFERROR(__xludf.DUMMYFUNCTION("QUERY(Vars!$D:$G , ""Select E where G &lt; ""&amp; $U27 &amp;"" AND F = '""&amp; $L27  &amp;""' order by G desc limit 1"",0)"),"Crossbow, repeating light")</f>
        <v>Crossbow, repeating light</v>
      </c>
      <c r="P27" s="180"/>
      <c r="Q27" s="180"/>
      <c r="R27" s="180"/>
      <c r="S27" s="180"/>
      <c r="T27" s="180"/>
      <c r="U27" s="215" t="e">
        <f ca="1">MAX(MIN(($K$21-$U$26)/TRUNC(1+(4-1)*(TRUNC(MOD((K21*1103515245 +12345)/ 65536, 32768),0)/32768),0),100),400)</f>
        <v>#NAME?</v>
      </c>
      <c r="V27" s="180"/>
      <c r="W27" s="180"/>
      <c r="X27" s="182"/>
      <c r="Y27" s="15"/>
      <c r="AB27" s="24"/>
      <c r="AD27" s="17"/>
      <c r="AE27" s="24"/>
      <c r="AI27" s="17"/>
    </row>
    <row r="28" spans="1:35" ht="13.8">
      <c r="A28" s="25"/>
      <c r="B28" s="165" t="s">
        <v>29</v>
      </c>
      <c r="C28" s="166"/>
      <c r="E28" s="36" t="s">
        <v>19</v>
      </c>
      <c r="F28" s="29" t="e">
        <f ca="1">IF($C$29 + FLOOR(IF(E28="‼", $B$9*2, IF(E28="■", $B$9, IF(E28="½", $B$9/2, 0))),1) &lt; 0, $C$29 + FLOOR(IF(E28="‼", $B$9*2, IF(E28="■", $B$9, IF(E28="½", $B$9/2, 0))),1), _xludf.concat("+", $C$29 + FLOOR(IF(E28="‼", $B$9*2, IF(E28="■", $B$9, IF(E28="½", $B$9/2, 0))),1)))</f>
        <v>#NAME?</v>
      </c>
      <c r="G28" s="177" t="s">
        <v>54</v>
      </c>
      <c r="H28" s="173"/>
      <c r="I28" s="176"/>
      <c r="J28" s="30"/>
      <c r="K28" s="45" t="e">
        <f ca="1">IF(L28="Adventure",1,0)</f>
        <v>#NAME?</v>
      </c>
      <c r="L28" s="185" t="e">
        <f t="shared" ref="L28:L64" ca="1" si="0">IF($K$21-SUM($U$26:U27)&gt;1000,IF(TRUNC(1+(3-1)*(TRUNC(MOD((U27*1103515245 +12345)/ 65536, 32768),0)/32768),0)=1,"Weapon",IF(TRUNC(1+(3-1)*(TRUNC(MOD(($B$2*1103515245 +12345)/ 65536, 32768),0)/32768),0)=1,"Magic","Armor")),IF($K$25&gt;0,"Adventure","Magic"))</f>
        <v>#NAME?</v>
      </c>
      <c r="M28" s="180"/>
      <c r="N28" s="182"/>
      <c r="O28" s="214" t="str">
        <f ca="1">IFERROR(__xludf.DUMMYFUNCTION("QUERY(Vars!$D:$G , ""Select E where G &lt; ""&amp; $U28 &amp;"" AND F = '""&amp; $L28  &amp;""' order by G desc limit 1"",0)"),"Chain shirt")</f>
        <v>Chain shirt</v>
      </c>
      <c r="P28" s="180"/>
      <c r="Q28" s="180"/>
      <c r="R28" s="180"/>
      <c r="S28" s="180"/>
      <c r="T28" s="180"/>
      <c r="U28" s="215" t="e">
        <f t="shared" ref="U28:U64" ca="1" si="1">($K$21-SUM($U$26:$U27))/TRUNC(10+(30-10)*(TRUNC(MOD((U27*1103515245 +12345)/ 65536, 32768),0)/32768),0)</f>
        <v>#NAME?</v>
      </c>
      <c r="V28" s="180"/>
      <c r="W28" s="180"/>
      <c r="X28" s="182"/>
      <c r="Y28" s="15"/>
      <c r="AB28" s="24"/>
      <c r="AD28" s="17"/>
      <c r="AE28" s="24"/>
      <c r="AI28" s="17"/>
    </row>
    <row r="29" spans="1:35" ht="22.8">
      <c r="A29" s="31"/>
      <c r="B29" s="172">
        <f ca="1">O2</f>
        <v>14</v>
      </c>
      <c r="C29" s="189" t="e">
        <f ca="1">IF(B29&lt;10, FLOOR(B29/2,1) - 5, _xludf.concat("+", FLOOR(B29/2,1) - 5))</f>
        <v>#NAME?</v>
      </c>
      <c r="E29" s="36" t="s">
        <v>19</v>
      </c>
      <c r="F29" s="29" t="e">
        <f t="shared" ref="F29:F30" ca="1" si="2">IF($C$33 + FLOOR(IF(E29="‼", $B$9*2, IF(E29="■", $B$9, IF(E29="½", $B$9/2, 0))),1) &lt; 0, $C$33 + FLOOR(IF(E29="‼", $B$9*2, IF(E29="■", $B$9, IF(E29="½", $B$9/2, 0))),1), _xludf.concat("+", $C$33 + FLOOR(IF(E29="‼", $B$9*2, IF(E29="■", $B$9, IF(E29="½", $B$9/2, 0))),1)))</f>
        <v>#NAME?</v>
      </c>
      <c r="G29" s="177" t="s">
        <v>55</v>
      </c>
      <c r="H29" s="173"/>
      <c r="I29" s="176"/>
      <c r="J29" s="30"/>
      <c r="K29" s="45" t="e">
        <f t="shared" ref="K29:K65" ca="1" si="3">IF(L29="Adventure",K28+ 1,0)</f>
        <v>#NAME?</v>
      </c>
      <c r="L29" s="185" t="e">
        <f t="shared" ca="1" si="0"/>
        <v>#NAME?</v>
      </c>
      <c r="M29" s="180"/>
      <c r="N29" s="182"/>
      <c r="O29" s="214" t="str">
        <f ca="1">IFERROR(__xludf.DUMMYFUNCTION("QUERY(Vars!$D:$G , ""Select E where G &lt; ""&amp; $U29 &amp;"" AND F = '""&amp; $L29  &amp;""' order by G desc limit 1"",0)"),"Scale mail")</f>
        <v>Scale mail</v>
      </c>
      <c r="P29" s="180"/>
      <c r="Q29" s="180"/>
      <c r="R29" s="180"/>
      <c r="S29" s="180"/>
      <c r="T29" s="180"/>
      <c r="U29" s="215" t="e">
        <f t="shared" ca="1" si="1"/>
        <v>#NAME?</v>
      </c>
      <c r="V29" s="180"/>
      <c r="W29" s="180"/>
      <c r="X29" s="182"/>
      <c r="Y29" s="15"/>
      <c r="AB29" s="223" t="str">
        <f>HYPERLINK("https://docs.google.com/spreadsheets/d/1uyre7jYpD1fQG4U9rqJdwUkga6sjCUmJovFzo6gxLUQ/edit#gid=643770305","Located in ""World Information""")</f>
        <v>Located in "World Information"</v>
      </c>
      <c r="AC29" s="180"/>
      <c r="AD29" s="180"/>
      <c r="AE29" s="24"/>
      <c r="AI29" s="17"/>
    </row>
    <row r="30" spans="1:35" ht="22.8">
      <c r="A30" s="31"/>
      <c r="B30" s="173"/>
      <c r="C30" s="184"/>
      <c r="E30" s="36" t="s">
        <v>19</v>
      </c>
      <c r="F30" s="29" t="e">
        <f t="shared" ca="1" si="2"/>
        <v>#NAME?</v>
      </c>
      <c r="G30" s="177" t="s">
        <v>56</v>
      </c>
      <c r="H30" s="173"/>
      <c r="I30" s="176"/>
      <c r="J30" s="30"/>
      <c r="K30" s="45" t="e">
        <f t="shared" ca="1" si="3"/>
        <v>#NAME?</v>
      </c>
      <c r="L30" s="185" t="e">
        <f t="shared" ca="1" si="0"/>
        <v>#NAME?</v>
      </c>
      <c r="M30" s="180"/>
      <c r="N30" s="182"/>
      <c r="O30" s="214" t="str">
        <f ca="1">IFERROR(__xludf.DUMMYFUNCTION("QUERY(Vars!$D:$G , ""Select E where G &lt; ""&amp; $U30 &amp;"" AND F = '""&amp; $L30  &amp;""' order by G desc limit 1"",0)"),"Longbow, composite")</f>
        <v>Longbow, composite</v>
      </c>
      <c r="P30" s="180"/>
      <c r="Q30" s="180"/>
      <c r="R30" s="180"/>
      <c r="S30" s="180"/>
      <c r="T30" s="180"/>
      <c r="U30" s="215" t="e">
        <f t="shared" ca="1" si="1"/>
        <v>#NAME?</v>
      </c>
      <c r="V30" s="180"/>
      <c r="W30" s="180"/>
      <c r="X30" s="182"/>
      <c r="Y30" s="15"/>
      <c r="AB30" s="224" t="s">
        <v>57</v>
      </c>
      <c r="AC30" s="169"/>
      <c r="AD30" s="170"/>
      <c r="AE30" s="24"/>
      <c r="AI30" s="17"/>
    </row>
    <row r="31" spans="1:35" ht="13.8">
      <c r="A31" s="15"/>
      <c r="E31" s="36" t="s">
        <v>19</v>
      </c>
      <c r="F31" s="29" t="e">
        <f ca="1">IF($C$25 + FLOOR(IF(E31="‼", $B$9*2, IF(E31="■", $B$9, IF(E31="½", $B$9/2, 0))),1) &lt; 0, $C$25 + FLOOR(IF(E31="‼", $B$9*2, IF(E31="■", $B$9, IF(E31="½", $B$9/2, 0))),1), _xludf.concat("+", $C$25 + FLOOR(IF(E31="‼", $B$9*2, IF(E31="■", $B$9, IF(E31="½", $B$9/2, 0))),1)))</f>
        <v>#NAME?</v>
      </c>
      <c r="G31" s="177" t="s">
        <v>58</v>
      </c>
      <c r="H31" s="173"/>
      <c r="I31" s="176"/>
      <c r="J31" s="30"/>
      <c r="K31" s="45" t="e">
        <f t="shared" ca="1" si="3"/>
        <v>#NAME?</v>
      </c>
      <c r="L31" s="185" t="e">
        <f t="shared" ca="1" si="0"/>
        <v>#NAME?</v>
      </c>
      <c r="M31" s="180"/>
      <c r="N31" s="182"/>
      <c r="O31" s="214" t="str">
        <f ca="1">IFERROR(__xludf.DUMMYFUNCTION("QUERY(Vars!$D:$G , ""Select E where G &lt; ""&amp; $U31 &amp;"" AND F = '""&amp; $L31  &amp;""' order by G desc limit 1"",0)"),"Scale mail")</f>
        <v>Scale mail</v>
      </c>
      <c r="P31" s="180"/>
      <c r="Q31" s="180"/>
      <c r="R31" s="180"/>
      <c r="S31" s="180"/>
      <c r="T31" s="180"/>
      <c r="U31" s="215" t="e">
        <f t="shared" ca="1" si="1"/>
        <v>#NAME?</v>
      </c>
      <c r="V31" s="180"/>
      <c r="W31" s="180"/>
      <c r="X31" s="182"/>
      <c r="Y31" s="15"/>
      <c r="AB31" s="171"/>
      <c r="AC31" s="166"/>
      <c r="AD31" s="167"/>
      <c r="AE31" s="24"/>
      <c r="AI31" s="17"/>
    </row>
    <row r="32" spans="1:35" ht="13.8">
      <c r="A32" s="25"/>
      <c r="B32" s="165" t="s">
        <v>31</v>
      </c>
      <c r="C32" s="166"/>
      <c r="E32" s="36" t="s">
        <v>19</v>
      </c>
      <c r="F32" s="29" t="e">
        <f t="shared" ref="F32:F33" ca="1" si="4">IF($C$17 + FLOOR(IF(E32="‼", $B$9*2, IF(E32="■", $B$9, IF(E32="½", $B$9/2, 0))),1) &lt; 0, $C$17 + FLOOR(IF(E32="‼", $B$9*2, IF(E32="■", $B$9, IF(E32="½", $B$9/2, 0))),1), _xludf.concat("+", $C$17 + FLOOR(IF(E32="‼", $B$9*2, IF(E32="■", $B$9, IF(E32="½", $B$9/2, 0))),1)))</f>
        <v>#NAME?</v>
      </c>
      <c r="G32" s="177" t="s">
        <v>59</v>
      </c>
      <c r="H32" s="173"/>
      <c r="I32" s="176"/>
      <c r="J32" s="30"/>
      <c r="K32" s="45" t="e">
        <f t="shared" ca="1" si="3"/>
        <v>#NAME?</v>
      </c>
      <c r="L32" s="185" t="e">
        <f t="shared" ca="1" si="0"/>
        <v>#NAME?</v>
      </c>
      <c r="M32" s="180"/>
      <c r="N32" s="182"/>
      <c r="O32" s="214" t="str">
        <f ca="1">IFERROR(__xludf.DUMMYFUNCTION("QUERY(Vars!$D:$G , ""Select E where G &lt; ""&amp; $U32 &amp;"" AND F = '""&amp; $L32  &amp;""' order by G desc limit 1"",0)"),"Longbow, composite")</f>
        <v>Longbow, composite</v>
      </c>
      <c r="P32" s="180"/>
      <c r="Q32" s="180"/>
      <c r="R32" s="180"/>
      <c r="S32" s="180"/>
      <c r="T32" s="180"/>
      <c r="U32" s="215" t="e">
        <f t="shared" ca="1" si="1"/>
        <v>#NAME?</v>
      </c>
      <c r="V32" s="180"/>
      <c r="W32" s="180"/>
      <c r="X32" s="182"/>
      <c r="Y32" s="15"/>
      <c r="AE32" s="24"/>
      <c r="AI32" s="17"/>
    </row>
    <row r="33" spans="1:35" ht="22.8">
      <c r="A33" s="31"/>
      <c r="B33" s="172">
        <f ca="1">Q2</f>
        <v>12</v>
      </c>
      <c r="C33" s="189" t="e">
        <f ca="1">IF(B33&lt;10, FLOOR(B33/2,1) - 5, _xludf.concat("+", FLOOR(B33/2,1) - 5))</f>
        <v>#NAME?</v>
      </c>
      <c r="E33" s="36" t="s">
        <v>19</v>
      </c>
      <c r="F33" s="29" t="e">
        <f t="shared" ca="1" si="4"/>
        <v>#NAME?</v>
      </c>
      <c r="G33" s="177" t="s">
        <v>60</v>
      </c>
      <c r="H33" s="173"/>
      <c r="I33" s="176"/>
      <c r="J33" s="30"/>
      <c r="K33" s="45" t="e">
        <f t="shared" ca="1" si="3"/>
        <v>#NAME?</v>
      </c>
      <c r="L33" s="185" t="e">
        <f t="shared" ca="1" si="0"/>
        <v>#NAME?</v>
      </c>
      <c r="M33" s="180"/>
      <c r="N33" s="182"/>
      <c r="O33" s="214" t="str">
        <f ca="1">IFERROR(__xludf.DUMMYFUNCTION("QUERY(Vars!$D:$G , ""Select E where G &lt; ""&amp; $U33 &amp;"" AND F = '""&amp; $L33  &amp;""' order by G desc limit 1"",0)"),"Longbow, composite")</f>
        <v>Longbow, composite</v>
      </c>
      <c r="P33" s="180"/>
      <c r="Q33" s="180"/>
      <c r="R33" s="180"/>
      <c r="S33" s="180"/>
      <c r="T33" s="180"/>
      <c r="U33" s="215" t="e">
        <f t="shared" ca="1" si="1"/>
        <v>#NAME?</v>
      </c>
      <c r="V33" s="180"/>
      <c r="W33" s="180"/>
      <c r="X33" s="182"/>
      <c r="Y33" s="15"/>
      <c r="AE33" s="24"/>
      <c r="AI33" s="17"/>
    </row>
    <row r="34" spans="1:35" ht="22.8">
      <c r="A34" s="31"/>
      <c r="B34" s="173"/>
      <c r="C34" s="184"/>
      <c r="E34" s="46" t="s">
        <v>19</v>
      </c>
      <c r="F34" s="47" t="e">
        <f ca="1">IF($C$29 + FLOOR(IF(E34="‼", $B$9*2, IF(E34="■", $B$9, IF(E34="½", $B$9/2, 0))),1) &lt; 0, $C$29 + FLOOR(IF(E34="‼", $B$9*2, IF(E34="■", $B$9, IF(E34="½", $B$9/2, 0))),1), _xludf.concat("+", $C$29 + FLOOR(IF(E34="‼", $B$9*2, IF(E34="■", $B$9, IF(E34="½", $B$9/2, 0))),1)))</f>
        <v>#NAME?</v>
      </c>
      <c r="G34" s="190" t="s">
        <v>61</v>
      </c>
      <c r="H34" s="166"/>
      <c r="I34" s="167"/>
      <c r="J34" s="30"/>
      <c r="K34" s="45" t="e">
        <f t="shared" ca="1" si="3"/>
        <v>#NAME?</v>
      </c>
      <c r="L34" s="185" t="e">
        <f t="shared" ca="1" si="0"/>
        <v>#NAME?</v>
      </c>
      <c r="M34" s="180"/>
      <c r="N34" s="182"/>
      <c r="O34" s="214" t="str">
        <f ca="1">IFERROR(__xludf.DUMMYFUNCTION("QUERY(Vars!$D:$G , ""Select E where G &lt; ""&amp; $U34 &amp;"" AND F = '""&amp; $L34  &amp;""' order by G desc limit 1"",0)"),"Longbow, composite")</f>
        <v>Longbow, composite</v>
      </c>
      <c r="P34" s="180"/>
      <c r="Q34" s="180"/>
      <c r="R34" s="180"/>
      <c r="S34" s="180"/>
      <c r="T34" s="180"/>
      <c r="U34" s="215" t="e">
        <f t="shared" ca="1" si="1"/>
        <v>#NAME?</v>
      </c>
      <c r="V34" s="180"/>
      <c r="W34" s="180"/>
      <c r="X34" s="182"/>
      <c r="Y34" s="15"/>
      <c r="AE34" s="24"/>
      <c r="AI34" s="17"/>
    </row>
    <row r="35" spans="1:35" ht="13.2">
      <c r="A35" s="15"/>
      <c r="K35" s="48" t="e">
        <f t="shared" ca="1" si="3"/>
        <v>#NAME?</v>
      </c>
      <c r="L35" s="185" t="e">
        <f t="shared" ca="1" si="0"/>
        <v>#NAME?</v>
      </c>
      <c r="M35" s="180"/>
      <c r="N35" s="182"/>
      <c r="O35" s="214" t="str">
        <f ca="1">IFERROR(__xludf.DUMMYFUNCTION("QUERY(Vars!$D:$G , ""Select E where G &lt; ""&amp; $U35 &amp;"" AND F = '""&amp; $L35  &amp;""' order by G desc limit 1"",0)"),"Scale mail")</f>
        <v>Scale mail</v>
      </c>
      <c r="P35" s="180"/>
      <c r="Q35" s="180"/>
      <c r="R35" s="180"/>
      <c r="S35" s="180"/>
      <c r="T35" s="180"/>
      <c r="U35" s="215" t="e">
        <f t="shared" ca="1" si="1"/>
        <v>#NAME?</v>
      </c>
      <c r="V35" s="180"/>
      <c r="W35" s="180"/>
      <c r="X35" s="182"/>
      <c r="Y35" s="15"/>
      <c r="AE35" s="24"/>
      <c r="AI35" s="17"/>
    </row>
    <row r="36" spans="1:35" ht="13.2">
      <c r="A36" s="23"/>
      <c r="B36" s="193" t="s">
        <v>62</v>
      </c>
      <c r="C36" s="173"/>
      <c r="D36" s="173"/>
      <c r="E36" s="173"/>
      <c r="F36" s="173"/>
      <c r="G36" s="173"/>
      <c r="H36" s="173"/>
      <c r="I36" s="173"/>
      <c r="K36" s="48" t="e">
        <f t="shared" ca="1" si="3"/>
        <v>#NAME?</v>
      </c>
      <c r="L36" s="185" t="e">
        <f t="shared" ca="1" si="0"/>
        <v>#NAME?</v>
      </c>
      <c r="M36" s="180"/>
      <c r="N36" s="182"/>
      <c r="O36" s="214" t="str">
        <f ca="1">IFERROR(__xludf.DUMMYFUNCTION("QUERY(Vars!$D:$G , ""Select E where G &lt; ""&amp; $U36 &amp;"" AND F = '""&amp; $L36  &amp;""' order by G desc limit 1"",0)"),"Falchion")</f>
        <v>Falchion</v>
      </c>
      <c r="P36" s="180"/>
      <c r="Q36" s="180"/>
      <c r="R36" s="180"/>
      <c r="S36" s="180"/>
      <c r="T36" s="180"/>
      <c r="U36" s="215" t="e">
        <f t="shared" ca="1" si="1"/>
        <v>#NAME?</v>
      </c>
      <c r="V36" s="180"/>
      <c r="W36" s="180"/>
      <c r="X36" s="182"/>
      <c r="Y36" s="15"/>
      <c r="AE36" s="24"/>
      <c r="AI36" s="17"/>
    </row>
    <row r="37" spans="1:35" ht="13.2">
      <c r="A37" s="49"/>
      <c r="B37" s="194" t="s">
        <v>63</v>
      </c>
      <c r="C37" s="195"/>
      <c r="D37" s="195"/>
      <c r="E37" s="195"/>
      <c r="F37" s="195"/>
      <c r="G37" s="195"/>
      <c r="H37" s="195"/>
      <c r="I37" s="196"/>
      <c r="K37" s="48" t="e">
        <f t="shared" ca="1" si="3"/>
        <v>#NAME?</v>
      </c>
      <c r="L37" s="185" t="e">
        <f t="shared" ca="1" si="0"/>
        <v>#NAME?</v>
      </c>
      <c r="M37" s="180"/>
      <c r="N37" s="182"/>
      <c r="O37" s="214" t="str">
        <f ca="1">IFERROR(__xludf.DUMMYFUNCTION("QUERY(Vars!$D:$G , ""Select E where G &lt; ""&amp; $U37 &amp;"" AND F = '""&amp; $L37  &amp;""' order by G desc limit 1"",0)"),"Spiked shield, heavy")</f>
        <v>Spiked shield, heavy</v>
      </c>
      <c r="P37" s="180"/>
      <c r="Q37" s="180"/>
      <c r="R37" s="180"/>
      <c r="S37" s="180"/>
      <c r="T37" s="180"/>
      <c r="U37" s="215" t="e">
        <f t="shared" ca="1" si="1"/>
        <v>#NAME?</v>
      </c>
      <c r="V37" s="180"/>
      <c r="W37" s="180"/>
      <c r="X37" s="182"/>
      <c r="Y37" s="15"/>
      <c r="AE37" s="24"/>
      <c r="AI37" s="17"/>
    </row>
    <row r="38" spans="1:35" ht="13.2">
      <c r="A38" s="49"/>
      <c r="B38" s="197"/>
      <c r="C38" s="173"/>
      <c r="D38" s="173"/>
      <c r="E38" s="173"/>
      <c r="F38" s="173"/>
      <c r="G38" s="173"/>
      <c r="H38" s="173"/>
      <c r="I38" s="176"/>
      <c r="K38" s="48" t="e">
        <f t="shared" ca="1" si="3"/>
        <v>#NAME?</v>
      </c>
      <c r="L38" s="185" t="e">
        <f t="shared" ca="1" si="0"/>
        <v>#NAME?</v>
      </c>
      <c r="M38" s="180"/>
      <c r="N38" s="182"/>
      <c r="O38" s="214" t="str">
        <f ca="1">IFERROR(__xludf.DUMMYFUNCTION("QUERY(Vars!$D:$G , ""Select E where G &lt; ""&amp; $U38 &amp;"" AND F = '""&amp; $L38  &amp;""' order by G desc limit 1"",0)"),"Longbow, composite")</f>
        <v>Longbow, composite</v>
      </c>
      <c r="P38" s="180"/>
      <c r="Q38" s="180"/>
      <c r="R38" s="180"/>
      <c r="S38" s="180"/>
      <c r="T38" s="180"/>
      <c r="U38" s="215" t="e">
        <f t="shared" ca="1" si="1"/>
        <v>#NAME?</v>
      </c>
      <c r="V38" s="180"/>
      <c r="W38" s="180"/>
      <c r="X38" s="182"/>
      <c r="Y38" s="15"/>
      <c r="AE38" s="188" t="s">
        <v>64</v>
      </c>
      <c r="AF38" s="180"/>
      <c r="AG38" s="180"/>
      <c r="AH38" s="180"/>
      <c r="AI38" s="182"/>
    </row>
    <row r="39" spans="1:35" ht="13.2">
      <c r="A39" s="49"/>
      <c r="B39" s="197"/>
      <c r="C39" s="173"/>
      <c r="D39" s="173"/>
      <c r="E39" s="173"/>
      <c r="F39" s="173"/>
      <c r="G39" s="173"/>
      <c r="H39" s="173"/>
      <c r="I39" s="176"/>
      <c r="K39" s="48" t="e">
        <f t="shared" ca="1" si="3"/>
        <v>#NAME?</v>
      </c>
      <c r="L39" s="185" t="e">
        <f t="shared" ca="1" si="0"/>
        <v>#NAME?</v>
      </c>
      <c r="M39" s="180"/>
      <c r="N39" s="182"/>
      <c r="O39" s="214" t="str">
        <f ca="1">IFERROR(__xludf.DUMMYFUNCTION("QUERY(Vars!$D:$G , ""Select E where G &lt; ""&amp; $U39 &amp;"" AND F = '""&amp; $L39  &amp;""' order by G desc limit 1"",0)"),"Shield, tower")</f>
        <v>Shield, tower</v>
      </c>
      <c r="P39" s="180"/>
      <c r="Q39" s="180"/>
      <c r="R39" s="180"/>
      <c r="S39" s="180"/>
      <c r="T39" s="180"/>
      <c r="U39" s="215" t="e">
        <f t="shared" ca="1" si="1"/>
        <v>#NAME?</v>
      </c>
      <c r="V39" s="180"/>
      <c r="W39" s="180"/>
      <c r="X39" s="182"/>
      <c r="Y39" s="15"/>
      <c r="AE39" s="225" t="s">
        <v>65</v>
      </c>
      <c r="AF39" s="173"/>
      <c r="AG39" s="173"/>
      <c r="AH39" s="173"/>
      <c r="AI39" s="173"/>
    </row>
    <row r="40" spans="1:35" ht="13.2">
      <c r="A40" s="49"/>
      <c r="B40" s="197"/>
      <c r="C40" s="173"/>
      <c r="D40" s="173"/>
      <c r="E40" s="173"/>
      <c r="F40" s="173"/>
      <c r="G40" s="173"/>
      <c r="H40" s="173"/>
      <c r="I40" s="176"/>
      <c r="K40" s="48" t="e">
        <f t="shared" ca="1" si="3"/>
        <v>#NAME?</v>
      </c>
      <c r="L40" s="185" t="e">
        <f t="shared" ca="1" si="0"/>
        <v>#NAME?</v>
      </c>
      <c r="M40" s="180"/>
      <c r="N40" s="182"/>
      <c r="O40" s="214" t="str">
        <f ca="1">IFERROR(__xludf.DUMMYFUNCTION("QUERY(Vars!$D:$G , ""Select E where G &lt; ""&amp; $U40 &amp;"" AND F = '""&amp; $L40  &amp;""' order by G desc limit 1"",0)"),"Falchion")</f>
        <v>Falchion</v>
      </c>
      <c r="P40" s="180"/>
      <c r="Q40" s="180"/>
      <c r="R40" s="180"/>
      <c r="S40" s="180"/>
      <c r="T40" s="180"/>
      <c r="U40" s="215" t="e">
        <f t="shared" ca="1" si="1"/>
        <v>#NAME?</v>
      </c>
      <c r="V40" s="180"/>
      <c r="W40" s="180"/>
      <c r="X40" s="182"/>
      <c r="Y40" s="15"/>
      <c r="AE40" s="173"/>
      <c r="AF40" s="173"/>
      <c r="AG40" s="173"/>
      <c r="AH40" s="173"/>
      <c r="AI40" s="173"/>
    </row>
    <row r="41" spans="1:35" ht="13.2">
      <c r="A41" s="49"/>
      <c r="B41" s="191"/>
      <c r="C41" s="166"/>
      <c r="D41" s="166"/>
      <c r="E41" s="166"/>
      <c r="F41" s="166"/>
      <c r="G41" s="166"/>
      <c r="H41" s="166"/>
      <c r="I41" s="167"/>
      <c r="K41" s="48" t="e">
        <f t="shared" ca="1" si="3"/>
        <v>#NAME?</v>
      </c>
      <c r="L41" s="185" t="e">
        <f t="shared" ca="1" si="0"/>
        <v>#NAME?</v>
      </c>
      <c r="M41" s="180"/>
      <c r="N41" s="182"/>
      <c r="O41" s="214" t="str">
        <f ca="1">IFERROR(__xludf.DUMMYFUNCTION("QUERY(Vars!$D:$G , ""Select E where G &lt; ""&amp; $U41 &amp;"" AND F = '""&amp; $L41  &amp;""' order by G desc limit 1"",0)"),"Lock - Average")</f>
        <v>Lock - Average</v>
      </c>
      <c r="P41" s="180"/>
      <c r="Q41" s="180"/>
      <c r="R41" s="180"/>
      <c r="S41" s="180"/>
      <c r="T41" s="180"/>
      <c r="U41" s="215" t="e">
        <f t="shared" ca="1" si="1"/>
        <v>#NAME?</v>
      </c>
      <c r="V41" s="180"/>
      <c r="W41" s="180"/>
      <c r="X41" s="182"/>
      <c r="Y41" s="15"/>
      <c r="AE41" s="173"/>
      <c r="AF41" s="173"/>
      <c r="AG41" s="173"/>
      <c r="AH41" s="173"/>
      <c r="AI41" s="173"/>
    </row>
    <row r="42" spans="1:35" ht="13.2">
      <c r="A42" s="23"/>
      <c r="B42" s="16"/>
      <c r="K42" s="48" t="e">
        <f t="shared" ca="1" si="3"/>
        <v>#NAME?</v>
      </c>
      <c r="L42" s="185" t="e">
        <f t="shared" ca="1" si="0"/>
        <v>#NAME?</v>
      </c>
      <c r="M42" s="180"/>
      <c r="N42" s="182"/>
      <c r="O42" s="214" t="str">
        <f ca="1">IFERROR(__xludf.DUMMYFUNCTION("QUERY(Vars!$D:$G , ""Select E where G &lt; ""&amp; $U42 &amp;"" AND F = '""&amp; $L42  &amp;""' order by G desc limit 1"",0)"),"Manacles, masterwork")</f>
        <v>Manacles, masterwork</v>
      </c>
      <c r="P42" s="180"/>
      <c r="Q42" s="180"/>
      <c r="R42" s="180"/>
      <c r="S42" s="180"/>
      <c r="T42" s="180"/>
      <c r="U42" s="215" t="e">
        <f t="shared" ca="1" si="1"/>
        <v>#NAME?</v>
      </c>
      <c r="V42" s="180"/>
      <c r="W42" s="180"/>
      <c r="X42" s="182"/>
      <c r="Y42" s="15"/>
      <c r="AE42" s="173"/>
      <c r="AF42" s="173"/>
      <c r="AG42" s="173"/>
      <c r="AH42" s="173"/>
      <c r="AI42" s="173"/>
    </row>
    <row r="43" spans="1:35" ht="13.2">
      <c r="A43" s="23"/>
      <c r="B43" s="16"/>
      <c r="K43" s="48" t="e">
        <f t="shared" ca="1" si="3"/>
        <v>#NAME?</v>
      </c>
      <c r="L43" s="185" t="e">
        <f t="shared" ca="1" si="0"/>
        <v>#NAME?</v>
      </c>
      <c r="M43" s="180"/>
      <c r="N43" s="182"/>
      <c r="O43" s="214" t="str">
        <f ca="1">IFERROR(__xludf.DUMMYFUNCTION("QUERY(Vars!$D:$G , ""Select E where G &lt; ""&amp; $U43 &amp;"" AND F = '""&amp; $L43  &amp;""' order by G desc limit 1"",0)"),"Lock - Average")</f>
        <v>Lock - Average</v>
      </c>
      <c r="P43" s="180"/>
      <c r="Q43" s="180"/>
      <c r="R43" s="180"/>
      <c r="S43" s="180"/>
      <c r="T43" s="180"/>
      <c r="U43" s="215" t="e">
        <f t="shared" ca="1" si="1"/>
        <v>#NAME?</v>
      </c>
      <c r="V43" s="180"/>
      <c r="W43" s="180"/>
      <c r="X43" s="182"/>
      <c r="Y43" s="15"/>
    </row>
    <row r="44" spans="1:35" ht="21">
      <c r="A44" s="23"/>
      <c r="B44" s="192" t="s">
        <v>66</v>
      </c>
      <c r="C44" s="166"/>
      <c r="D44" s="166"/>
      <c r="E44" s="50" t="e">
        <f ca="1">$C$33+$B$9</f>
        <v>#NAME?</v>
      </c>
      <c r="F44" s="51"/>
      <c r="G44" s="192" t="s">
        <v>67</v>
      </c>
      <c r="H44" s="166"/>
      <c r="I44" s="166"/>
      <c r="J44" s="52" t="e">
        <f ca="1">8+E44</f>
        <v>#NAME?</v>
      </c>
      <c r="K44" s="48" t="e">
        <f t="shared" ca="1" si="3"/>
        <v>#NAME?</v>
      </c>
      <c r="L44" s="185" t="e">
        <f t="shared" ca="1" si="0"/>
        <v>#NAME?</v>
      </c>
      <c r="M44" s="180"/>
      <c r="N44" s="182"/>
      <c r="O44" s="214" t="str">
        <f ca="1">IFERROR(__xludf.DUMMYFUNCTION("QUERY(Vars!$D:$G , ""Select E where G &lt; ""&amp; $U44 &amp;"" AND F = '""&amp; $L44  &amp;""' order by G desc limit 1"",0)"),"Chain (10 ft.)")</f>
        <v>Chain (10 ft.)</v>
      </c>
      <c r="P44" s="180"/>
      <c r="Q44" s="180"/>
      <c r="R44" s="180"/>
      <c r="S44" s="180"/>
      <c r="T44" s="180"/>
      <c r="U44" s="215" t="e">
        <f t="shared" ca="1" si="1"/>
        <v>#NAME?</v>
      </c>
      <c r="V44" s="180"/>
      <c r="W44" s="180"/>
      <c r="X44" s="182"/>
      <c r="Y44" s="15"/>
    </row>
    <row r="45" spans="1:35" ht="13.2">
      <c r="A45" s="23"/>
      <c r="B45" s="16"/>
      <c r="K45" s="48" t="e">
        <f t="shared" ca="1" si="3"/>
        <v>#NAME?</v>
      </c>
      <c r="L45" s="185" t="e">
        <f t="shared" ca="1" si="0"/>
        <v>#NAME?</v>
      </c>
      <c r="M45" s="180"/>
      <c r="N45" s="182"/>
      <c r="O45" s="214" t="str">
        <f ca="1">IFERROR(__xludf.DUMMYFUNCTION("QUERY(Vars!$D:$G , ""Select E where G &lt; ""&amp; $U45 &amp;"" AND F = '""&amp; $L45  &amp;""' order by G desc limit 1"",0)"),"Manacles, masterwork")</f>
        <v>Manacles, masterwork</v>
      </c>
      <c r="P45" s="180"/>
      <c r="Q45" s="180"/>
      <c r="R45" s="180"/>
      <c r="S45" s="180"/>
      <c r="T45" s="180"/>
      <c r="U45" s="215" t="e">
        <f t="shared" ca="1" si="1"/>
        <v>#NAME?</v>
      </c>
      <c r="V45" s="180"/>
      <c r="W45" s="180"/>
      <c r="X45" s="182"/>
      <c r="Y45" s="15"/>
    </row>
    <row r="46" spans="1:35" ht="13.2">
      <c r="A46" s="23"/>
      <c r="B46" s="16"/>
      <c r="K46" s="48" t="e">
        <f t="shared" ca="1" si="3"/>
        <v>#NAME?</v>
      </c>
      <c r="L46" s="185" t="e">
        <f t="shared" ca="1" si="0"/>
        <v>#NAME?</v>
      </c>
      <c r="M46" s="180"/>
      <c r="N46" s="182"/>
      <c r="O46" s="214" t="str">
        <f ca="1">IFERROR(__xludf.DUMMYFUNCTION("QUERY(Vars!$D:$G , ""Select E where G &lt; ""&amp; $U46 &amp;"" AND F = '""&amp; $L46  &amp;""' order by G desc limit 1"",0)"),"Lock - Very simple")</f>
        <v>Lock - Very simple</v>
      </c>
      <c r="P46" s="180"/>
      <c r="Q46" s="180"/>
      <c r="R46" s="180"/>
      <c r="S46" s="180"/>
      <c r="T46" s="180"/>
      <c r="U46" s="215" t="e">
        <f t="shared" ca="1" si="1"/>
        <v>#NAME?</v>
      </c>
      <c r="V46" s="180"/>
      <c r="W46" s="180"/>
      <c r="X46" s="182"/>
      <c r="Y46" s="15"/>
    </row>
    <row r="47" spans="1:35" ht="13.2">
      <c r="A47" s="23"/>
      <c r="B47" s="16"/>
      <c r="K47" s="48" t="e">
        <f t="shared" ca="1" si="3"/>
        <v>#NAME?</v>
      </c>
      <c r="L47" s="185" t="e">
        <f t="shared" ca="1" si="0"/>
        <v>#NAME?</v>
      </c>
      <c r="M47" s="180"/>
      <c r="N47" s="182"/>
      <c r="O47" s="214" t="str">
        <f ca="1">IFERROR(__xludf.DUMMYFUNCTION("QUERY(Vars!$D:$G , ""Select E where G &lt; ""&amp; $U47 &amp;"" AND F = '""&amp; $L47  &amp;""' order by G desc limit 1"",0)"),"Chain (10 ft.)")</f>
        <v>Chain (10 ft.)</v>
      </c>
      <c r="P47" s="180"/>
      <c r="Q47" s="180"/>
      <c r="R47" s="180"/>
      <c r="S47" s="180"/>
      <c r="T47" s="180"/>
      <c r="U47" s="215" t="e">
        <f t="shared" ca="1" si="1"/>
        <v>#NAME?</v>
      </c>
      <c r="V47" s="180"/>
      <c r="W47" s="180"/>
      <c r="X47" s="182"/>
      <c r="Y47" s="15"/>
    </row>
    <row r="48" spans="1:35" ht="13.2">
      <c r="A48" s="23"/>
      <c r="B48" s="16"/>
      <c r="K48" s="48" t="e">
        <f t="shared" ca="1" si="3"/>
        <v>#NAME?</v>
      </c>
      <c r="L48" s="185" t="e">
        <f t="shared" ca="1" si="0"/>
        <v>#NAME?</v>
      </c>
      <c r="M48" s="180"/>
      <c r="N48" s="182"/>
      <c r="O48" s="214" t="str">
        <f ca="1">IFERROR(__xludf.DUMMYFUNCTION("QUERY(Vars!$D:$G , ""Select E where G &lt; ""&amp; $U48 &amp;"" AND F = '""&amp; $L48  &amp;""' order by G desc limit 1"",0)"),"Manacles, masterwork")</f>
        <v>Manacles, masterwork</v>
      </c>
      <c r="P48" s="180"/>
      <c r="Q48" s="180"/>
      <c r="R48" s="180"/>
      <c r="S48" s="180"/>
      <c r="T48" s="180"/>
      <c r="U48" s="215" t="e">
        <f t="shared" ca="1" si="1"/>
        <v>#NAME?</v>
      </c>
      <c r="V48" s="180"/>
      <c r="W48" s="180"/>
      <c r="X48" s="182"/>
      <c r="Y48" s="15"/>
    </row>
    <row r="49" spans="1:25" ht="13.2">
      <c r="A49" s="23"/>
      <c r="B49" s="16"/>
      <c r="K49" s="48" t="e">
        <f t="shared" ca="1" si="3"/>
        <v>#NAME?</v>
      </c>
      <c r="L49" s="185" t="e">
        <f t="shared" ca="1" si="0"/>
        <v>#NAME?</v>
      </c>
      <c r="M49" s="180"/>
      <c r="N49" s="182"/>
      <c r="O49" s="214" t="str">
        <f ca="1">IFERROR(__xludf.DUMMYFUNCTION("QUERY(Vars!$D:$G , ""Select E where G &lt; ""&amp; $U49 &amp;"" AND F = '""&amp; $L49  &amp;""' order by G desc limit 1"",0)"),"Lock - Very simple")</f>
        <v>Lock - Very simple</v>
      </c>
      <c r="P49" s="180"/>
      <c r="Q49" s="180"/>
      <c r="R49" s="180"/>
      <c r="S49" s="180"/>
      <c r="T49" s="180"/>
      <c r="U49" s="215" t="e">
        <f t="shared" ca="1" si="1"/>
        <v>#NAME?</v>
      </c>
      <c r="V49" s="180"/>
      <c r="W49" s="180"/>
      <c r="X49" s="182"/>
      <c r="Y49" s="15"/>
    </row>
    <row r="50" spans="1:25" ht="13.2">
      <c r="A50" s="23"/>
      <c r="B50" s="16"/>
      <c r="K50" s="48" t="e">
        <f t="shared" ca="1" si="3"/>
        <v>#NAME?</v>
      </c>
      <c r="L50" s="185" t="e">
        <f t="shared" ca="1" si="0"/>
        <v>#NAME?</v>
      </c>
      <c r="M50" s="180"/>
      <c r="N50" s="182"/>
      <c r="O50" s="214" t="str">
        <f ca="1">IFERROR(__xludf.DUMMYFUNCTION("QUERY(Vars!$D:$G , ""Select E where G &lt; ""&amp; $U50 &amp;"" AND F = '""&amp; $L50  &amp;""' order by G desc limit 1"",0)"),"Lock - Average")</f>
        <v>Lock - Average</v>
      </c>
      <c r="P50" s="180"/>
      <c r="Q50" s="180"/>
      <c r="R50" s="180"/>
      <c r="S50" s="180"/>
      <c r="T50" s="180"/>
      <c r="U50" s="215" t="e">
        <f t="shared" ca="1" si="1"/>
        <v>#NAME?</v>
      </c>
      <c r="V50" s="180"/>
      <c r="W50" s="180"/>
      <c r="X50" s="182"/>
      <c r="Y50" s="15"/>
    </row>
    <row r="51" spans="1:25" ht="13.2">
      <c r="A51" s="23"/>
      <c r="B51" s="16"/>
      <c r="K51" s="48" t="e">
        <f t="shared" ca="1" si="3"/>
        <v>#NAME?</v>
      </c>
      <c r="L51" s="185" t="e">
        <f t="shared" ca="1" si="0"/>
        <v>#NAME?</v>
      </c>
      <c r="M51" s="180"/>
      <c r="N51" s="182"/>
      <c r="O51" s="214" t="str">
        <f ca="1">IFERROR(__xludf.DUMMYFUNCTION("QUERY(Vars!$D:$G , ""Select E where G &lt; ""&amp; $U51 &amp;"" AND F = '""&amp; $L51  &amp;""' order by G desc limit 1"",0)"),"Chain (10 ft.)")</f>
        <v>Chain (10 ft.)</v>
      </c>
      <c r="P51" s="180"/>
      <c r="Q51" s="180"/>
      <c r="R51" s="180"/>
      <c r="S51" s="180"/>
      <c r="T51" s="180"/>
      <c r="U51" s="215" t="e">
        <f t="shared" ca="1" si="1"/>
        <v>#NAME?</v>
      </c>
      <c r="V51" s="180"/>
      <c r="W51" s="180"/>
      <c r="X51" s="182"/>
      <c r="Y51" s="15"/>
    </row>
    <row r="52" spans="1:25" ht="13.2">
      <c r="A52" s="23"/>
      <c r="B52" s="16"/>
      <c r="K52" s="48" t="e">
        <f t="shared" ca="1" si="3"/>
        <v>#NAME?</v>
      </c>
      <c r="L52" s="185" t="e">
        <f t="shared" ca="1" si="0"/>
        <v>#NAME?</v>
      </c>
      <c r="M52" s="180"/>
      <c r="N52" s="182"/>
      <c r="O52" s="214" t="str">
        <f ca="1">IFERROR(__xludf.DUMMYFUNCTION("QUERY(Vars!$D:$G , ""Select E where G &lt; ""&amp; $U52 &amp;"" AND F = '""&amp; $L52  &amp;""' order by G desc limit 1"",0)"),"Lock - Very simple")</f>
        <v>Lock - Very simple</v>
      </c>
      <c r="P52" s="180"/>
      <c r="Q52" s="180"/>
      <c r="R52" s="180"/>
      <c r="S52" s="180"/>
      <c r="T52" s="180"/>
      <c r="U52" s="215" t="e">
        <f t="shared" ca="1" si="1"/>
        <v>#NAME?</v>
      </c>
      <c r="V52" s="180"/>
      <c r="W52" s="180"/>
      <c r="X52" s="182"/>
      <c r="Y52" s="15"/>
    </row>
    <row r="53" spans="1:25" ht="13.2">
      <c r="A53" s="23"/>
      <c r="B53" s="16"/>
      <c r="K53" s="48" t="e">
        <f t="shared" ca="1" si="3"/>
        <v>#NAME?</v>
      </c>
      <c r="L53" s="185" t="e">
        <f t="shared" ca="1" si="0"/>
        <v>#NAME?</v>
      </c>
      <c r="M53" s="180"/>
      <c r="N53" s="182"/>
      <c r="O53" s="214" t="str">
        <f ca="1">IFERROR(__xludf.DUMMYFUNCTION("QUERY(Vars!$D:$G , ""Select E where G &lt; ""&amp; $U53 &amp;"" AND F = '""&amp; $L53  &amp;""' order by G desc limit 1"",0)"),"Manacles")</f>
        <v>Manacles</v>
      </c>
      <c r="P53" s="180"/>
      <c r="Q53" s="180"/>
      <c r="R53" s="180"/>
      <c r="S53" s="180"/>
      <c r="T53" s="180"/>
      <c r="U53" s="215" t="e">
        <f t="shared" ca="1" si="1"/>
        <v>#NAME?</v>
      </c>
      <c r="V53" s="180"/>
      <c r="W53" s="180"/>
      <c r="X53" s="182"/>
      <c r="Y53" s="15"/>
    </row>
    <row r="54" spans="1:25" ht="13.2">
      <c r="A54" s="23"/>
      <c r="B54" s="16"/>
      <c r="K54" s="48" t="e">
        <f t="shared" ca="1" si="3"/>
        <v>#NAME?</v>
      </c>
      <c r="L54" s="185" t="e">
        <f t="shared" ca="1" si="0"/>
        <v>#NAME?</v>
      </c>
      <c r="M54" s="180"/>
      <c r="N54" s="182"/>
      <c r="O54" s="214" t="str">
        <f ca="1">IFERROR(__xludf.DUMMYFUNCTION("QUERY(Vars!$D:$G , ""Select E where G &lt; ""&amp; $U54 &amp;"" AND F = '""&amp; $L54  &amp;""' order by G desc limit 1"",0)"),"Chain (10 ft.)")</f>
        <v>Chain (10 ft.)</v>
      </c>
      <c r="P54" s="180"/>
      <c r="Q54" s="180"/>
      <c r="R54" s="180"/>
      <c r="S54" s="180"/>
      <c r="T54" s="180"/>
      <c r="U54" s="215" t="e">
        <f t="shared" ca="1" si="1"/>
        <v>#NAME?</v>
      </c>
      <c r="V54" s="180"/>
      <c r="W54" s="180"/>
      <c r="X54" s="182"/>
      <c r="Y54" s="15"/>
    </row>
    <row r="55" spans="1:25" ht="13.2">
      <c r="A55" s="23"/>
      <c r="B55" s="16"/>
      <c r="K55" s="48" t="e">
        <f t="shared" ca="1" si="3"/>
        <v>#NAME?</v>
      </c>
      <c r="L55" s="185" t="e">
        <f t="shared" ca="1" si="0"/>
        <v>#NAME?</v>
      </c>
      <c r="M55" s="180"/>
      <c r="N55" s="182"/>
      <c r="O55" s="214" t="str">
        <f ca="1">IFERROR(__xludf.DUMMYFUNCTION("QUERY(Vars!$D:$G , ""Select E where G &lt; ""&amp; $U55 &amp;"" AND F = '""&amp; $L55  &amp;""' order by G desc limit 1"",0)"),"Lock - Average")</f>
        <v>Lock - Average</v>
      </c>
      <c r="P55" s="180"/>
      <c r="Q55" s="180"/>
      <c r="R55" s="180"/>
      <c r="S55" s="180"/>
      <c r="T55" s="180"/>
      <c r="U55" s="215" t="e">
        <f t="shared" ca="1" si="1"/>
        <v>#NAME?</v>
      </c>
      <c r="V55" s="180"/>
      <c r="W55" s="180"/>
      <c r="X55" s="182"/>
      <c r="Y55" s="15"/>
    </row>
    <row r="56" spans="1:25" ht="13.2">
      <c r="A56" s="23"/>
      <c r="B56" s="16"/>
      <c r="K56" s="48" t="e">
        <f t="shared" ca="1" si="3"/>
        <v>#NAME?</v>
      </c>
      <c r="L56" s="185" t="e">
        <f t="shared" ca="1" si="0"/>
        <v>#NAME?</v>
      </c>
      <c r="M56" s="180"/>
      <c r="N56" s="182"/>
      <c r="O56" s="214" t="str">
        <f ca="1">IFERROR(__xludf.DUMMYFUNCTION("QUERY(Vars!$D:$G , ""Select E where G &lt; ""&amp; $U56 &amp;"" AND F = '""&amp; $L56  &amp;""' order by G desc limit 1"",0)"),"Lock - Very simple")</f>
        <v>Lock - Very simple</v>
      </c>
      <c r="P56" s="180"/>
      <c r="Q56" s="180"/>
      <c r="R56" s="180"/>
      <c r="S56" s="180"/>
      <c r="T56" s="180"/>
      <c r="U56" s="215" t="e">
        <f t="shared" ca="1" si="1"/>
        <v>#NAME?</v>
      </c>
      <c r="V56" s="180"/>
      <c r="W56" s="180"/>
      <c r="X56" s="182"/>
      <c r="Y56" s="15"/>
    </row>
    <row r="57" spans="1:25" ht="13.2">
      <c r="A57" s="23"/>
      <c r="B57" s="16"/>
      <c r="K57" s="48" t="e">
        <f t="shared" ca="1" si="3"/>
        <v>#NAME?</v>
      </c>
      <c r="L57" s="185" t="e">
        <f t="shared" ca="1" si="0"/>
        <v>#NAME?</v>
      </c>
      <c r="M57" s="180"/>
      <c r="N57" s="182"/>
      <c r="O57" s="214" t="str">
        <f ca="1">IFERROR(__xludf.DUMMYFUNCTION("QUERY(Vars!$D:$G , ""Select E where G &lt; ""&amp; $U57 &amp;"" AND F = '""&amp; $L57  &amp;""' order by G desc limit 1"",0)"),"Manacles")</f>
        <v>Manacles</v>
      </c>
      <c r="P57" s="180"/>
      <c r="Q57" s="180"/>
      <c r="R57" s="180"/>
      <c r="S57" s="180"/>
      <c r="T57" s="180"/>
      <c r="U57" s="215" t="e">
        <f t="shared" ca="1" si="1"/>
        <v>#NAME?</v>
      </c>
      <c r="V57" s="180"/>
      <c r="W57" s="180"/>
      <c r="X57" s="182"/>
      <c r="Y57" s="15"/>
    </row>
    <row r="58" spans="1:25" ht="13.2">
      <c r="A58" s="23"/>
      <c r="B58" s="16"/>
      <c r="K58" s="48" t="e">
        <f t="shared" ca="1" si="3"/>
        <v>#NAME?</v>
      </c>
      <c r="L58" s="185" t="e">
        <f t="shared" ca="1" si="0"/>
        <v>#NAME?</v>
      </c>
      <c r="M58" s="180"/>
      <c r="N58" s="182"/>
      <c r="O58" s="214" t="str">
        <f ca="1">IFERROR(__xludf.DUMMYFUNCTION("QUERY(Vars!$D:$G , ""Select E where G &lt; ""&amp; $U58 &amp;"" AND F = '""&amp; $L58  &amp;""' order by G desc limit 1"",0)"),"Lantern, bullseye")</f>
        <v>Lantern, bullseye</v>
      </c>
      <c r="P58" s="180"/>
      <c r="Q58" s="180"/>
      <c r="R58" s="180"/>
      <c r="S58" s="180"/>
      <c r="T58" s="180"/>
      <c r="U58" s="215" t="e">
        <f t="shared" ca="1" si="1"/>
        <v>#NAME?</v>
      </c>
      <c r="V58" s="180"/>
      <c r="W58" s="180"/>
      <c r="X58" s="182"/>
      <c r="Y58" s="15"/>
    </row>
    <row r="59" spans="1:25" ht="13.2">
      <c r="A59" s="23"/>
      <c r="B59" s="16"/>
      <c r="K59" s="48" t="e">
        <f t="shared" ca="1" si="3"/>
        <v>#NAME?</v>
      </c>
      <c r="L59" s="185" t="e">
        <f t="shared" ca="1" si="0"/>
        <v>#NAME?</v>
      </c>
      <c r="M59" s="180"/>
      <c r="N59" s="182"/>
      <c r="O59" s="214" t="str">
        <f ca="1">IFERROR(__xludf.DUMMYFUNCTION("QUERY(Vars!$D:$G , ""Select E where G &lt; ""&amp; $U59 &amp;"" AND F = '""&amp; $L59  &amp;""' order by G desc limit 1"",0)"),"Manacles")</f>
        <v>Manacles</v>
      </c>
      <c r="P59" s="180"/>
      <c r="Q59" s="180"/>
      <c r="R59" s="180"/>
      <c r="S59" s="180"/>
      <c r="T59" s="180"/>
      <c r="U59" s="215" t="e">
        <f t="shared" ca="1" si="1"/>
        <v>#NAME?</v>
      </c>
      <c r="V59" s="180"/>
      <c r="W59" s="180"/>
      <c r="X59" s="182"/>
      <c r="Y59" s="15"/>
    </row>
    <row r="60" spans="1:25" ht="13.2">
      <c r="A60" s="23"/>
      <c r="B60" s="16"/>
      <c r="K60" s="48" t="e">
        <f t="shared" ca="1" si="3"/>
        <v>#NAME?</v>
      </c>
      <c r="L60" s="185" t="e">
        <f t="shared" ca="1" si="0"/>
        <v>#NAME?</v>
      </c>
      <c r="M60" s="180"/>
      <c r="N60" s="182"/>
      <c r="O60" s="214" t="str">
        <f ca="1">IFERROR(__xludf.DUMMYFUNCTION("QUERY(Vars!$D:$G , ""Select E where G &lt; ""&amp; $U60 &amp;"" AND F = '""&amp; $L60  &amp;""' order by G desc limit 1"",0)"),"Mirror, small steel")</f>
        <v>Mirror, small steel</v>
      </c>
      <c r="P60" s="180"/>
      <c r="Q60" s="180"/>
      <c r="R60" s="180"/>
      <c r="S60" s="180"/>
      <c r="T60" s="180"/>
      <c r="U60" s="215" t="e">
        <f t="shared" ca="1" si="1"/>
        <v>#NAME?</v>
      </c>
      <c r="V60" s="180"/>
      <c r="W60" s="180"/>
      <c r="X60" s="182"/>
      <c r="Y60" s="15"/>
    </row>
    <row r="61" spans="1:25" ht="13.2">
      <c r="A61" s="23"/>
      <c r="B61" s="16"/>
      <c r="K61" s="48" t="e">
        <f t="shared" ca="1" si="3"/>
        <v>#NAME?</v>
      </c>
      <c r="L61" s="185" t="e">
        <f t="shared" ca="1" si="0"/>
        <v>#NAME?</v>
      </c>
      <c r="M61" s="180"/>
      <c r="N61" s="182"/>
      <c r="O61" s="214" t="str">
        <f ca="1">IFERROR(__xludf.DUMMYFUNCTION("QUERY(Vars!$D:$G , ""Select E where G &lt; ""&amp; $U61 &amp;"" AND F = '""&amp; $L61  &amp;""' order by G desc limit 1"",0)"),"Lantern, bullseye")</f>
        <v>Lantern, bullseye</v>
      </c>
      <c r="P61" s="180"/>
      <c r="Q61" s="180"/>
      <c r="R61" s="180"/>
      <c r="S61" s="180"/>
      <c r="T61" s="180"/>
      <c r="U61" s="215" t="e">
        <f t="shared" ca="1" si="1"/>
        <v>#NAME?</v>
      </c>
      <c r="V61" s="180"/>
      <c r="W61" s="180"/>
      <c r="X61" s="182"/>
      <c r="Y61" s="15"/>
    </row>
    <row r="62" spans="1:25" ht="13.2">
      <c r="A62" s="23"/>
      <c r="B62" s="16"/>
      <c r="K62" s="48" t="e">
        <f t="shared" ca="1" si="3"/>
        <v>#NAME?</v>
      </c>
      <c r="L62" s="185" t="e">
        <f t="shared" ca="1" si="0"/>
        <v>#NAME?</v>
      </c>
      <c r="M62" s="180"/>
      <c r="N62" s="182"/>
      <c r="O62" s="214" t="str">
        <f ca="1">IFERROR(__xludf.DUMMYFUNCTION("QUERY(Vars!$D:$G , ""Select E where G &lt; ""&amp; $U62 &amp;"" AND F = '""&amp; $L62  &amp;""' order by G desc limit 1"",0)"),"Manacles")</f>
        <v>Manacles</v>
      </c>
      <c r="P62" s="180"/>
      <c r="Q62" s="180"/>
      <c r="R62" s="180"/>
      <c r="S62" s="180"/>
      <c r="T62" s="180"/>
      <c r="U62" s="215" t="e">
        <f t="shared" ca="1" si="1"/>
        <v>#NAME?</v>
      </c>
      <c r="V62" s="180"/>
      <c r="W62" s="180"/>
      <c r="X62" s="182"/>
      <c r="Y62" s="15"/>
    </row>
    <row r="63" spans="1:25" ht="13.2">
      <c r="A63" s="23"/>
      <c r="B63" s="16"/>
      <c r="K63" s="48" t="e">
        <f t="shared" ca="1" si="3"/>
        <v>#NAME?</v>
      </c>
      <c r="L63" s="185" t="e">
        <f t="shared" ca="1" si="0"/>
        <v>#NAME?</v>
      </c>
      <c r="M63" s="180"/>
      <c r="N63" s="182"/>
      <c r="O63" s="214" t="str">
        <f ca="1">IFERROR(__xludf.DUMMYFUNCTION("QUERY(Vars!$D:$G , ""Select E where G &lt; ""&amp; $U63 &amp;"" AND F = '""&amp; $L63  &amp;""' order by G desc limit 1"",0)"),"Lock - Very simple")</f>
        <v>Lock - Very simple</v>
      </c>
      <c r="P63" s="180"/>
      <c r="Q63" s="180"/>
      <c r="R63" s="180"/>
      <c r="S63" s="180"/>
      <c r="T63" s="180"/>
      <c r="U63" s="215" t="e">
        <f t="shared" ca="1" si="1"/>
        <v>#NAME?</v>
      </c>
      <c r="V63" s="180"/>
      <c r="W63" s="180"/>
      <c r="X63" s="182"/>
      <c r="Y63" s="15"/>
    </row>
    <row r="64" spans="1:25" ht="13.2">
      <c r="A64" s="23"/>
      <c r="B64" s="16"/>
      <c r="K64" s="48" t="e">
        <f t="shared" ca="1" si="3"/>
        <v>#NAME?</v>
      </c>
      <c r="L64" s="185" t="e">
        <f t="shared" ca="1" si="0"/>
        <v>#NAME?</v>
      </c>
      <c r="M64" s="180"/>
      <c r="N64" s="182"/>
      <c r="O64" s="214" t="str">
        <f ca="1">IFERROR(__xludf.DUMMYFUNCTION("QUERY(Vars!$D:$G , ""Select E where G &lt; ""&amp; $U64 &amp;"" AND F = '""&amp; $L64  &amp;""' order by G desc limit 1"",0)"),"Manacles")</f>
        <v>Manacles</v>
      </c>
      <c r="P64" s="180"/>
      <c r="Q64" s="180"/>
      <c r="R64" s="180"/>
      <c r="S64" s="180"/>
      <c r="T64" s="180"/>
      <c r="U64" s="215" t="e">
        <f t="shared" ca="1" si="1"/>
        <v>#NAME?</v>
      </c>
      <c r="V64" s="180"/>
      <c r="W64" s="180"/>
      <c r="X64" s="182"/>
      <c r="Y64" s="15"/>
    </row>
    <row r="65" spans="1:25" ht="13.2">
      <c r="A65" s="23"/>
      <c r="B65" s="16"/>
      <c r="K65" s="48">
        <f t="shared" si="3"/>
        <v>0</v>
      </c>
      <c r="L65" s="185" t="s">
        <v>68</v>
      </c>
      <c r="M65" s="180"/>
      <c r="N65" s="182"/>
      <c r="O65" s="214" t="str">
        <f ca="1">IFERROR(__xludf.DUMMYFUNCTION("QUERY(Vars!$D:$G , ""Select E where G &lt; ""&amp; $U65 &amp;"" AND F = '""&amp; $L65  &amp;""' order by G desc limit 1"",0)"),"Potion of healing")</f>
        <v>Potion of healing</v>
      </c>
      <c r="P65" s="180"/>
      <c r="Q65" s="180"/>
      <c r="R65" s="180"/>
      <c r="S65" s="180"/>
      <c r="T65" s="180"/>
      <c r="U65" s="215" t="e">
        <f ca="1">($K$21-SUM($U$26:$U64))</f>
        <v>#NAME?</v>
      </c>
      <c r="V65" s="180"/>
      <c r="W65" s="180"/>
      <c r="X65" s="182"/>
      <c r="Y65" s="15"/>
    </row>
    <row r="66" spans="1:25" ht="13.2">
      <c r="A66" s="23"/>
      <c r="B66" s="16"/>
      <c r="K66" s="216" t="s">
        <v>69</v>
      </c>
      <c r="L66" s="180"/>
      <c r="M66" s="180"/>
      <c r="N66" s="180"/>
      <c r="O66" s="180"/>
      <c r="P66" s="180"/>
      <c r="Q66" s="180"/>
      <c r="R66" s="180"/>
      <c r="S66" s="180"/>
      <c r="T66" s="217" t="e">
        <f ca="1">K21-SUM(U26:U38)</f>
        <v>#NAME?</v>
      </c>
      <c r="U66" s="180"/>
      <c r="V66" s="180"/>
      <c r="W66" s="180"/>
      <c r="X66" s="180"/>
      <c r="Y66" s="15"/>
    </row>
    <row r="67" spans="1:25" ht="13.2">
      <c r="A67" s="23"/>
      <c r="B67" s="16"/>
      <c r="X67" s="17"/>
      <c r="Y67" s="15"/>
    </row>
    <row r="68" spans="1:25" ht="13.2">
      <c r="A68" s="23"/>
      <c r="B68" s="16"/>
      <c r="X68" s="17"/>
      <c r="Y68" s="15"/>
    </row>
    <row r="69" spans="1:25" ht="13.2">
      <c r="A69" s="23"/>
      <c r="B69" s="16"/>
      <c r="X69" s="17"/>
      <c r="Y69" s="15"/>
    </row>
    <row r="70" spans="1:25" ht="13.2">
      <c r="A70" s="23"/>
      <c r="B70" s="16"/>
      <c r="X70" s="17"/>
      <c r="Y70" s="15"/>
    </row>
    <row r="71" spans="1:25" ht="13.2">
      <c r="A71" s="23"/>
      <c r="B71" s="16"/>
      <c r="X71" s="17"/>
      <c r="Y71" s="15"/>
    </row>
    <row r="72" spans="1:25" ht="13.2">
      <c r="A72" s="23"/>
      <c r="B72" s="16"/>
      <c r="X72" s="17"/>
      <c r="Y72" s="15"/>
    </row>
    <row r="73" spans="1:25" ht="13.2">
      <c r="A73" s="23"/>
      <c r="B73" s="16"/>
      <c r="X73" s="17"/>
      <c r="Y73" s="15"/>
    </row>
    <row r="74" spans="1:25" ht="13.2">
      <c r="A74" s="23"/>
      <c r="B74" s="16"/>
      <c r="X74" s="17"/>
      <c r="Y74" s="15"/>
    </row>
    <row r="75" spans="1:25" ht="13.2">
      <c r="A75" s="23"/>
      <c r="B75" s="16"/>
      <c r="X75" s="17"/>
      <c r="Y75" s="15"/>
    </row>
    <row r="76" spans="1:25" ht="13.2">
      <c r="A76" s="23"/>
      <c r="B76" s="16"/>
      <c r="X76" s="17"/>
      <c r="Y76" s="15"/>
    </row>
    <row r="77" spans="1:25" ht="13.2">
      <c r="A77" s="23"/>
      <c r="B77" s="16"/>
      <c r="X77" s="17"/>
      <c r="Y77" s="15"/>
    </row>
    <row r="78" spans="1:25" ht="13.2">
      <c r="A78" s="23"/>
      <c r="B78" s="16"/>
      <c r="X78" s="17"/>
      <c r="Y78" s="15"/>
    </row>
    <row r="79" spans="1:25" ht="13.2">
      <c r="A79" s="23"/>
      <c r="B79" s="16"/>
      <c r="X79" s="17"/>
      <c r="Y79" s="15"/>
    </row>
    <row r="80" spans="1:25" ht="13.2">
      <c r="A80" s="23"/>
      <c r="B80" s="16"/>
      <c r="X80" s="17"/>
      <c r="Y80" s="15"/>
    </row>
    <row r="81" spans="1:25" ht="13.2">
      <c r="A81" s="23"/>
      <c r="B81" s="16"/>
      <c r="X81" s="17"/>
      <c r="Y81" s="15"/>
    </row>
    <row r="82" spans="1:25" ht="13.2">
      <c r="A82" s="23"/>
      <c r="B82" s="16"/>
      <c r="X82" s="17"/>
      <c r="Y82" s="15"/>
    </row>
    <row r="83" spans="1:25" ht="13.2">
      <c r="A83" s="23"/>
      <c r="B83" s="16"/>
      <c r="X83" s="17"/>
      <c r="Y83" s="15"/>
    </row>
    <row r="84" spans="1:25" ht="13.2">
      <c r="A84" s="23"/>
      <c r="B84" s="16"/>
      <c r="X84" s="17"/>
      <c r="Y84" s="15"/>
    </row>
    <row r="85" spans="1:25" ht="13.2">
      <c r="A85" s="23"/>
      <c r="B85" s="16"/>
      <c r="X85" s="17"/>
      <c r="Y85" s="15"/>
    </row>
    <row r="86" spans="1:25" ht="13.2">
      <c r="A86" s="23"/>
      <c r="B86" s="16"/>
      <c r="X86" s="17"/>
      <c r="Y86" s="15"/>
    </row>
    <row r="87" spans="1:25" ht="13.2">
      <c r="A87" s="23"/>
      <c r="B87" s="16"/>
      <c r="X87" s="17"/>
      <c r="Y87" s="15"/>
    </row>
    <row r="88" spans="1:25" ht="13.2">
      <c r="A88" s="23"/>
      <c r="B88" s="16"/>
      <c r="X88" s="17"/>
      <c r="Y88" s="15"/>
    </row>
    <row r="89" spans="1:25" ht="13.2">
      <c r="A89" s="23"/>
      <c r="B89" s="16"/>
      <c r="X89" s="17"/>
      <c r="Y89" s="15"/>
    </row>
    <row r="90" spans="1:25" ht="13.2">
      <c r="A90" s="23"/>
      <c r="B90" s="16"/>
      <c r="X90" s="17"/>
      <c r="Y90" s="15"/>
    </row>
    <row r="91" spans="1:25" ht="13.2">
      <c r="A91" s="23"/>
      <c r="B91" s="16"/>
      <c r="X91" s="17"/>
      <c r="Y91" s="15"/>
    </row>
    <row r="92" spans="1:25" ht="13.2">
      <c r="A92" s="23"/>
      <c r="B92" s="16"/>
      <c r="X92" s="17"/>
      <c r="Y92" s="15"/>
    </row>
    <row r="93" spans="1:25" ht="13.2">
      <c r="A93" s="23"/>
      <c r="B93" s="16"/>
      <c r="X93" s="17"/>
      <c r="Y93" s="15"/>
    </row>
    <row r="94" spans="1:25" ht="13.2">
      <c r="A94" s="23"/>
      <c r="B94" s="16"/>
      <c r="X94" s="17"/>
      <c r="Y94" s="15"/>
    </row>
    <row r="95" spans="1:25" ht="13.2">
      <c r="A95" s="23"/>
      <c r="B95" s="16"/>
      <c r="X95" s="17"/>
      <c r="Y95" s="15"/>
    </row>
    <row r="96" spans="1:25" ht="13.2">
      <c r="A96" s="23"/>
      <c r="B96" s="16"/>
      <c r="X96" s="17"/>
      <c r="Y96" s="15"/>
    </row>
    <row r="97" spans="1:25" ht="13.2">
      <c r="A97" s="23"/>
      <c r="B97" s="16"/>
      <c r="X97" s="17"/>
      <c r="Y97" s="15"/>
    </row>
    <row r="98" spans="1:25" ht="13.2">
      <c r="A98" s="23"/>
      <c r="B98" s="16"/>
      <c r="X98" s="17"/>
      <c r="Y98" s="15"/>
    </row>
    <row r="99" spans="1:25" ht="13.2">
      <c r="A99" s="23"/>
      <c r="B99" s="16"/>
      <c r="X99" s="17"/>
      <c r="Y99" s="15"/>
    </row>
    <row r="100" spans="1:25" ht="13.2">
      <c r="A100" s="23"/>
      <c r="B100" s="16"/>
      <c r="X100" s="17"/>
      <c r="Y100" s="15"/>
    </row>
    <row r="101" spans="1:25" ht="13.2">
      <c r="A101" s="23"/>
      <c r="B101" s="16"/>
      <c r="X101" s="17"/>
      <c r="Y101" s="15"/>
    </row>
    <row r="102" spans="1:25" ht="13.2">
      <c r="A102" s="23"/>
      <c r="B102" s="16"/>
      <c r="X102" s="17"/>
      <c r="Y102" s="15"/>
    </row>
    <row r="103" spans="1:25" ht="13.2">
      <c r="A103" s="23"/>
      <c r="B103" s="16"/>
      <c r="X103" s="17"/>
      <c r="Y103" s="15"/>
    </row>
    <row r="104" spans="1:25" ht="13.2">
      <c r="A104" s="23"/>
      <c r="B104" s="16"/>
      <c r="X104" s="17"/>
      <c r="Y104" s="15"/>
    </row>
    <row r="105" spans="1:25" ht="13.2">
      <c r="A105" s="23"/>
      <c r="B105" s="16"/>
      <c r="X105" s="17"/>
      <c r="Y105" s="15"/>
    </row>
    <row r="106" spans="1:25" ht="13.2">
      <c r="A106" s="23"/>
      <c r="B106" s="16"/>
      <c r="X106" s="17"/>
      <c r="Y106" s="15"/>
    </row>
    <row r="107" spans="1:25" ht="13.2">
      <c r="A107" s="23"/>
      <c r="B107" s="16"/>
      <c r="X107" s="17"/>
      <c r="Y107" s="15"/>
    </row>
    <row r="108" spans="1:25" ht="13.2">
      <c r="A108" s="23"/>
      <c r="B108" s="16"/>
      <c r="X108" s="17"/>
      <c r="Y108" s="15"/>
    </row>
    <row r="109" spans="1:25" ht="13.2">
      <c r="A109" s="23"/>
      <c r="B109" s="16"/>
      <c r="X109" s="17"/>
      <c r="Y109" s="15"/>
    </row>
    <row r="110" spans="1:25" ht="13.2">
      <c r="A110" s="23"/>
      <c r="B110" s="16"/>
      <c r="X110" s="17"/>
      <c r="Y110" s="15"/>
    </row>
    <row r="111" spans="1:25" ht="13.2">
      <c r="A111" s="23"/>
      <c r="B111" s="16"/>
      <c r="X111" s="17"/>
      <c r="Y111" s="15"/>
    </row>
    <row r="112" spans="1:25" ht="13.2">
      <c r="A112" s="23"/>
      <c r="B112" s="16"/>
      <c r="X112" s="17"/>
      <c r="Y112" s="15"/>
    </row>
    <row r="113" spans="1:25" ht="13.2">
      <c r="A113" s="23"/>
      <c r="B113" s="16"/>
      <c r="X113" s="17"/>
      <c r="Y113" s="15"/>
    </row>
    <row r="114" spans="1:25" ht="13.2">
      <c r="A114" s="23"/>
      <c r="B114" s="16"/>
      <c r="X114" s="17"/>
      <c r="Y114" s="15"/>
    </row>
    <row r="115" spans="1:25" ht="13.2">
      <c r="A115" s="23"/>
      <c r="B115" s="16"/>
      <c r="X115" s="17"/>
      <c r="Y115" s="15"/>
    </row>
    <row r="116" spans="1:25" ht="13.2">
      <c r="A116" s="23"/>
      <c r="B116" s="16"/>
      <c r="X116" s="17"/>
      <c r="Y116" s="15"/>
    </row>
    <row r="117" spans="1:25" ht="13.2">
      <c r="A117" s="23"/>
      <c r="B117" s="16"/>
      <c r="X117" s="17"/>
      <c r="Y117" s="15"/>
    </row>
    <row r="118" spans="1:25" ht="13.2">
      <c r="A118" s="23"/>
      <c r="B118" s="16"/>
      <c r="X118" s="17"/>
      <c r="Y118" s="15"/>
    </row>
    <row r="119" spans="1:25" ht="13.2">
      <c r="A119" s="23"/>
      <c r="B119" s="16"/>
      <c r="X119" s="17"/>
      <c r="Y119" s="15"/>
    </row>
    <row r="120" spans="1:25" ht="13.2">
      <c r="A120" s="23"/>
      <c r="B120" s="16"/>
      <c r="X120" s="17"/>
      <c r="Y120" s="15"/>
    </row>
    <row r="121" spans="1:25" ht="13.2">
      <c r="A121" s="23"/>
      <c r="B121" s="16"/>
      <c r="X121" s="17"/>
      <c r="Y121" s="15"/>
    </row>
    <row r="122" spans="1:25" ht="13.2">
      <c r="A122" s="23"/>
      <c r="B122" s="16"/>
      <c r="X122" s="17"/>
      <c r="Y122" s="15"/>
    </row>
    <row r="123" spans="1:25" ht="13.2">
      <c r="A123" s="23"/>
      <c r="B123" s="16"/>
      <c r="X123" s="17"/>
      <c r="Y123" s="15"/>
    </row>
    <row r="124" spans="1:25" ht="13.2">
      <c r="A124" s="23"/>
      <c r="B124" s="16"/>
      <c r="X124" s="17"/>
      <c r="Y124" s="15"/>
    </row>
    <row r="125" spans="1:25" ht="13.2">
      <c r="A125" s="23"/>
      <c r="B125" s="16"/>
      <c r="X125" s="17"/>
      <c r="Y125" s="15"/>
    </row>
    <row r="126" spans="1:25" ht="13.2">
      <c r="A126" s="23"/>
      <c r="B126" s="16"/>
      <c r="X126" s="17"/>
      <c r="Y126" s="15"/>
    </row>
    <row r="127" spans="1:25" ht="13.2">
      <c r="A127" s="23"/>
      <c r="B127" s="16"/>
      <c r="X127" s="17"/>
      <c r="Y127" s="15"/>
    </row>
    <row r="128" spans="1:25" ht="13.2">
      <c r="A128" s="23"/>
      <c r="B128" s="16"/>
      <c r="X128" s="17"/>
      <c r="Y128" s="15"/>
    </row>
    <row r="129" spans="1:25" ht="13.2">
      <c r="A129" s="23"/>
      <c r="B129" s="16"/>
      <c r="X129" s="17"/>
      <c r="Y129" s="15"/>
    </row>
    <row r="130" spans="1:25" ht="13.2">
      <c r="A130" s="23"/>
      <c r="B130" s="16"/>
      <c r="X130" s="17"/>
      <c r="Y130" s="15"/>
    </row>
    <row r="131" spans="1:25" ht="13.2">
      <c r="A131" s="23"/>
      <c r="B131" s="16"/>
      <c r="X131" s="17"/>
      <c r="Y131" s="15"/>
    </row>
    <row r="132" spans="1:25" ht="13.2">
      <c r="A132" s="23"/>
      <c r="B132" s="16"/>
      <c r="X132" s="17"/>
      <c r="Y132" s="15"/>
    </row>
    <row r="133" spans="1:25" ht="13.2">
      <c r="A133" s="23"/>
      <c r="B133" s="16"/>
      <c r="X133" s="17"/>
      <c r="Y133" s="15"/>
    </row>
    <row r="134" spans="1:25" ht="13.2">
      <c r="A134" s="23"/>
      <c r="B134" s="16"/>
      <c r="X134" s="17"/>
      <c r="Y134" s="15"/>
    </row>
    <row r="135" spans="1:25" ht="13.2">
      <c r="A135" s="23"/>
      <c r="B135" s="16"/>
      <c r="X135" s="17"/>
      <c r="Y135" s="15"/>
    </row>
    <row r="136" spans="1:25" ht="13.2">
      <c r="A136" s="23"/>
      <c r="B136" s="16"/>
      <c r="X136" s="17"/>
      <c r="Y136" s="15"/>
    </row>
    <row r="137" spans="1:25" ht="13.2">
      <c r="A137" s="23"/>
      <c r="B137" s="16"/>
      <c r="X137" s="17"/>
      <c r="Y137" s="15"/>
    </row>
    <row r="138" spans="1:25" ht="13.2">
      <c r="A138" s="23"/>
      <c r="B138" s="16"/>
      <c r="X138" s="17"/>
      <c r="Y138" s="15"/>
    </row>
    <row r="139" spans="1:25" ht="13.2">
      <c r="A139" s="23"/>
      <c r="B139" s="16"/>
      <c r="X139" s="17"/>
      <c r="Y139" s="15"/>
    </row>
    <row r="140" spans="1:25" ht="13.2">
      <c r="A140" s="23"/>
      <c r="B140" s="16"/>
      <c r="X140" s="17"/>
      <c r="Y140" s="15"/>
    </row>
    <row r="141" spans="1:25" ht="13.2">
      <c r="A141" s="23"/>
      <c r="B141" s="16"/>
      <c r="X141" s="17"/>
      <c r="Y141" s="15"/>
    </row>
    <row r="142" spans="1:25" ht="13.2">
      <c r="A142" s="23"/>
      <c r="B142" s="16"/>
      <c r="X142" s="17"/>
      <c r="Y142" s="15"/>
    </row>
    <row r="143" spans="1:25" ht="13.2">
      <c r="A143" s="23"/>
      <c r="B143" s="16"/>
      <c r="X143" s="17"/>
      <c r="Y143" s="15"/>
    </row>
    <row r="144" spans="1:25" ht="13.2">
      <c r="A144" s="23"/>
      <c r="B144" s="16"/>
      <c r="X144" s="17"/>
      <c r="Y144" s="15"/>
    </row>
    <row r="145" spans="1:25" ht="13.2">
      <c r="A145" s="23"/>
      <c r="B145" s="16"/>
      <c r="X145" s="17"/>
      <c r="Y145" s="15"/>
    </row>
    <row r="146" spans="1:25" ht="13.2">
      <c r="A146" s="23"/>
      <c r="B146" s="16"/>
      <c r="X146" s="17"/>
      <c r="Y146" s="15"/>
    </row>
    <row r="147" spans="1:25" ht="13.2">
      <c r="A147" s="23"/>
      <c r="B147" s="16"/>
      <c r="X147" s="17"/>
      <c r="Y147" s="15"/>
    </row>
    <row r="148" spans="1:25" ht="13.2">
      <c r="A148" s="23"/>
      <c r="B148" s="16"/>
      <c r="X148" s="17"/>
      <c r="Y148" s="15"/>
    </row>
    <row r="149" spans="1:25" ht="13.2">
      <c r="A149" s="23"/>
      <c r="B149" s="16"/>
      <c r="X149" s="17"/>
      <c r="Y149" s="15"/>
    </row>
    <row r="150" spans="1:25" ht="13.2">
      <c r="A150" s="23"/>
      <c r="B150" s="16"/>
      <c r="X150" s="17"/>
      <c r="Y150" s="15"/>
    </row>
    <row r="151" spans="1:25" ht="13.2">
      <c r="A151" s="23"/>
      <c r="B151" s="16"/>
      <c r="X151" s="17"/>
      <c r="Y151" s="15"/>
    </row>
    <row r="152" spans="1:25" ht="13.2">
      <c r="A152" s="23"/>
      <c r="B152" s="16"/>
      <c r="X152" s="17"/>
      <c r="Y152" s="15"/>
    </row>
    <row r="153" spans="1:25" ht="13.2">
      <c r="A153" s="23"/>
      <c r="B153" s="16"/>
      <c r="X153" s="17"/>
      <c r="Y153" s="15"/>
    </row>
    <row r="154" spans="1:25" ht="13.2">
      <c r="A154" s="23"/>
      <c r="B154" s="16"/>
      <c r="X154" s="17"/>
      <c r="Y154" s="15"/>
    </row>
    <row r="155" spans="1:25" ht="13.2">
      <c r="A155" s="23"/>
      <c r="B155" s="16"/>
      <c r="X155" s="17"/>
      <c r="Y155" s="15"/>
    </row>
    <row r="156" spans="1:25" ht="13.2">
      <c r="A156" s="23"/>
      <c r="B156" s="16"/>
      <c r="X156" s="17"/>
      <c r="Y156" s="15"/>
    </row>
    <row r="157" spans="1:25" ht="13.2">
      <c r="A157" s="23"/>
      <c r="B157" s="16"/>
      <c r="X157" s="17"/>
      <c r="Y157" s="15"/>
    </row>
    <row r="158" spans="1:25" ht="13.2">
      <c r="A158" s="23"/>
      <c r="B158" s="16"/>
      <c r="X158" s="17"/>
      <c r="Y158" s="15"/>
    </row>
    <row r="159" spans="1:25" ht="13.2">
      <c r="A159" s="23"/>
      <c r="B159" s="16"/>
      <c r="X159" s="17"/>
      <c r="Y159" s="15"/>
    </row>
    <row r="160" spans="1:25" ht="13.2">
      <c r="A160" s="23"/>
      <c r="B160" s="16"/>
      <c r="X160" s="17"/>
      <c r="Y160" s="15"/>
    </row>
    <row r="161" spans="1:25" ht="13.2">
      <c r="A161" s="23"/>
      <c r="B161" s="16"/>
      <c r="X161" s="17"/>
      <c r="Y161" s="15"/>
    </row>
    <row r="162" spans="1:25" ht="13.2">
      <c r="A162" s="23"/>
      <c r="B162" s="16"/>
      <c r="X162" s="17"/>
      <c r="Y162" s="15"/>
    </row>
    <row r="163" spans="1:25" ht="13.2">
      <c r="A163" s="23"/>
      <c r="B163" s="16"/>
      <c r="X163" s="17"/>
      <c r="Y163" s="15"/>
    </row>
    <row r="164" spans="1:25" ht="13.2">
      <c r="A164" s="23"/>
      <c r="B164" s="16"/>
      <c r="X164" s="17"/>
      <c r="Y164" s="15"/>
    </row>
    <row r="165" spans="1:25" ht="13.2">
      <c r="A165" s="23"/>
      <c r="B165" s="16"/>
      <c r="X165" s="17"/>
      <c r="Y165" s="15"/>
    </row>
    <row r="166" spans="1:25" ht="13.2">
      <c r="A166" s="23"/>
      <c r="B166" s="16"/>
      <c r="X166" s="17"/>
      <c r="Y166" s="15"/>
    </row>
    <row r="167" spans="1:25" ht="13.2">
      <c r="A167" s="23"/>
      <c r="B167" s="16"/>
      <c r="X167" s="17"/>
      <c r="Y167" s="15"/>
    </row>
    <row r="168" spans="1:25" ht="13.2">
      <c r="A168" s="23"/>
      <c r="B168" s="16"/>
      <c r="X168" s="17"/>
      <c r="Y168" s="15"/>
    </row>
    <row r="169" spans="1:25" ht="13.2">
      <c r="A169" s="23"/>
      <c r="B169" s="16"/>
      <c r="X169" s="17"/>
      <c r="Y169" s="15"/>
    </row>
    <row r="170" spans="1:25" ht="13.2">
      <c r="A170" s="23"/>
      <c r="B170" s="16"/>
      <c r="X170" s="17"/>
      <c r="Y170" s="15"/>
    </row>
    <row r="171" spans="1:25" ht="13.2">
      <c r="A171" s="23"/>
      <c r="B171" s="16"/>
      <c r="X171" s="17"/>
      <c r="Y171" s="15"/>
    </row>
    <row r="172" spans="1:25" ht="13.2">
      <c r="A172" s="23"/>
      <c r="B172" s="16"/>
      <c r="X172" s="17"/>
      <c r="Y172" s="15"/>
    </row>
    <row r="173" spans="1:25" ht="13.2">
      <c r="A173" s="23"/>
      <c r="B173" s="16"/>
      <c r="X173" s="17"/>
      <c r="Y173" s="15"/>
    </row>
    <row r="174" spans="1:25" ht="13.2">
      <c r="A174" s="23"/>
      <c r="B174" s="16"/>
      <c r="X174" s="17"/>
      <c r="Y174" s="15"/>
    </row>
    <row r="175" spans="1:25" ht="13.2">
      <c r="A175" s="23"/>
      <c r="B175" s="16"/>
      <c r="X175" s="17"/>
      <c r="Y175" s="15"/>
    </row>
    <row r="176" spans="1:25" ht="13.2">
      <c r="A176" s="23"/>
      <c r="B176" s="16"/>
      <c r="X176" s="17"/>
      <c r="Y176" s="15"/>
    </row>
    <row r="177" spans="1:25" ht="13.2">
      <c r="A177" s="23"/>
      <c r="B177" s="16"/>
      <c r="X177" s="17"/>
      <c r="Y177" s="15"/>
    </row>
    <row r="178" spans="1:25" ht="13.2">
      <c r="A178" s="23"/>
      <c r="B178" s="16"/>
      <c r="X178" s="17"/>
      <c r="Y178" s="15"/>
    </row>
    <row r="179" spans="1:25" ht="13.2">
      <c r="A179" s="23"/>
      <c r="B179" s="16"/>
      <c r="X179" s="17"/>
      <c r="Y179" s="15"/>
    </row>
    <row r="180" spans="1:25" ht="13.2">
      <c r="A180" s="23"/>
      <c r="B180" s="16"/>
      <c r="X180" s="17"/>
      <c r="Y180" s="15"/>
    </row>
    <row r="181" spans="1:25" ht="13.2">
      <c r="A181" s="23"/>
      <c r="B181" s="16"/>
      <c r="X181" s="17"/>
      <c r="Y181" s="15"/>
    </row>
    <row r="182" spans="1:25" ht="13.2">
      <c r="A182" s="23"/>
      <c r="B182" s="16"/>
      <c r="X182" s="17"/>
      <c r="Y182" s="15"/>
    </row>
    <row r="183" spans="1:25" ht="13.2">
      <c r="A183" s="23"/>
      <c r="B183" s="16"/>
      <c r="X183" s="17"/>
      <c r="Y183" s="15"/>
    </row>
    <row r="184" spans="1:25" ht="13.2">
      <c r="A184" s="23"/>
      <c r="B184" s="16"/>
      <c r="X184" s="17"/>
      <c r="Y184" s="15"/>
    </row>
    <row r="185" spans="1:25" ht="13.2">
      <c r="A185" s="23"/>
      <c r="B185" s="16"/>
      <c r="X185" s="17"/>
      <c r="Y185" s="15"/>
    </row>
    <row r="186" spans="1:25" ht="13.2">
      <c r="A186" s="23"/>
      <c r="B186" s="16"/>
      <c r="X186" s="17"/>
      <c r="Y186" s="15"/>
    </row>
    <row r="187" spans="1:25" ht="13.2">
      <c r="A187" s="23"/>
      <c r="B187" s="16"/>
      <c r="X187" s="17"/>
      <c r="Y187" s="15"/>
    </row>
    <row r="188" spans="1:25" ht="13.2">
      <c r="A188" s="23"/>
      <c r="B188" s="16"/>
      <c r="X188" s="17"/>
      <c r="Y188" s="15"/>
    </row>
    <row r="189" spans="1:25" ht="13.2">
      <c r="A189" s="23"/>
      <c r="B189" s="16"/>
      <c r="X189" s="17"/>
      <c r="Y189" s="15"/>
    </row>
    <row r="190" spans="1:25" ht="13.2">
      <c r="A190" s="23"/>
      <c r="B190" s="16"/>
      <c r="X190" s="17"/>
      <c r="Y190" s="15"/>
    </row>
    <row r="191" spans="1:25" ht="13.2">
      <c r="A191" s="23"/>
      <c r="B191" s="16"/>
      <c r="X191" s="17"/>
      <c r="Y191" s="15"/>
    </row>
    <row r="192" spans="1:25" ht="13.2">
      <c r="A192" s="23"/>
      <c r="B192" s="16"/>
      <c r="X192" s="17"/>
      <c r="Y192" s="15"/>
    </row>
    <row r="193" spans="1:25" ht="13.2">
      <c r="A193" s="23"/>
      <c r="B193" s="16"/>
      <c r="X193" s="17"/>
      <c r="Y193" s="15"/>
    </row>
    <row r="194" spans="1:25" ht="13.2">
      <c r="A194" s="23"/>
      <c r="B194" s="16"/>
      <c r="X194" s="17"/>
      <c r="Y194" s="15"/>
    </row>
    <row r="195" spans="1:25" ht="13.2">
      <c r="A195" s="23"/>
      <c r="B195" s="16"/>
      <c r="X195" s="17"/>
      <c r="Y195" s="15"/>
    </row>
    <row r="196" spans="1:25" ht="13.2">
      <c r="A196" s="23"/>
      <c r="B196" s="16"/>
      <c r="X196" s="17"/>
      <c r="Y196" s="15"/>
    </row>
    <row r="197" spans="1:25" ht="13.2">
      <c r="A197" s="23"/>
      <c r="B197" s="16"/>
      <c r="X197" s="17"/>
      <c r="Y197" s="15"/>
    </row>
    <row r="198" spans="1:25" ht="13.2">
      <c r="A198" s="23"/>
      <c r="B198" s="16"/>
      <c r="X198" s="17"/>
      <c r="Y198" s="15"/>
    </row>
    <row r="199" spans="1:25" ht="13.2">
      <c r="A199" s="23"/>
      <c r="B199" s="16"/>
      <c r="X199" s="17"/>
      <c r="Y199" s="15"/>
    </row>
    <row r="200" spans="1:25" ht="13.2">
      <c r="A200" s="23"/>
      <c r="B200" s="16"/>
      <c r="X200" s="17"/>
      <c r="Y200" s="15"/>
    </row>
    <row r="201" spans="1:25" ht="13.2">
      <c r="A201" s="23"/>
      <c r="B201" s="16"/>
      <c r="X201" s="17"/>
      <c r="Y201" s="15"/>
    </row>
    <row r="202" spans="1:25" ht="13.2">
      <c r="A202" s="23"/>
      <c r="B202" s="16"/>
      <c r="X202" s="17"/>
      <c r="Y202" s="15"/>
    </row>
    <row r="203" spans="1:25" ht="13.2">
      <c r="A203" s="23"/>
      <c r="B203" s="16"/>
      <c r="X203" s="17"/>
      <c r="Y203" s="15"/>
    </row>
    <row r="204" spans="1:25" ht="13.2">
      <c r="A204" s="23"/>
      <c r="B204" s="16"/>
      <c r="X204" s="17"/>
      <c r="Y204" s="15"/>
    </row>
    <row r="205" spans="1:25" ht="13.2">
      <c r="A205" s="23"/>
      <c r="B205" s="16"/>
      <c r="X205" s="17"/>
      <c r="Y205" s="15"/>
    </row>
    <row r="206" spans="1:25" ht="13.2">
      <c r="A206" s="23"/>
      <c r="B206" s="16"/>
      <c r="X206" s="17"/>
      <c r="Y206" s="15"/>
    </row>
    <row r="207" spans="1:25" ht="13.2">
      <c r="A207" s="23"/>
      <c r="B207" s="16"/>
      <c r="X207" s="17"/>
      <c r="Y207" s="15"/>
    </row>
    <row r="208" spans="1:25" ht="13.2">
      <c r="A208" s="23"/>
      <c r="B208" s="16"/>
      <c r="X208" s="17"/>
      <c r="Y208" s="15"/>
    </row>
    <row r="209" spans="1:25" ht="13.2">
      <c r="A209" s="23"/>
      <c r="B209" s="16"/>
      <c r="X209" s="17"/>
      <c r="Y209" s="15"/>
    </row>
    <row r="210" spans="1:25" ht="13.2">
      <c r="A210" s="23"/>
      <c r="B210" s="16"/>
      <c r="X210" s="17"/>
      <c r="Y210" s="15"/>
    </row>
    <row r="211" spans="1:25" ht="13.2">
      <c r="A211" s="23"/>
      <c r="B211" s="16"/>
      <c r="X211" s="17"/>
      <c r="Y211" s="15"/>
    </row>
    <row r="212" spans="1:25" ht="13.2">
      <c r="A212" s="23"/>
      <c r="B212" s="16"/>
      <c r="X212" s="17"/>
      <c r="Y212" s="15"/>
    </row>
    <row r="213" spans="1:25" ht="13.2">
      <c r="A213" s="23"/>
      <c r="B213" s="16"/>
      <c r="X213" s="17"/>
      <c r="Y213" s="15"/>
    </row>
    <row r="214" spans="1:25" ht="13.2">
      <c r="A214" s="23"/>
      <c r="B214" s="16"/>
      <c r="X214" s="17"/>
      <c r="Y214" s="15"/>
    </row>
    <row r="215" spans="1:25" ht="13.2">
      <c r="A215" s="23"/>
      <c r="B215" s="16"/>
      <c r="X215" s="17"/>
      <c r="Y215" s="15"/>
    </row>
    <row r="216" spans="1:25" ht="13.2">
      <c r="A216" s="23"/>
      <c r="B216" s="16"/>
      <c r="X216" s="17"/>
      <c r="Y216" s="15"/>
    </row>
    <row r="217" spans="1:25" ht="13.2">
      <c r="A217" s="23"/>
      <c r="B217" s="16"/>
      <c r="X217" s="17"/>
      <c r="Y217" s="15"/>
    </row>
    <row r="218" spans="1:25" ht="13.2">
      <c r="A218" s="23"/>
      <c r="B218" s="16"/>
      <c r="X218" s="17"/>
      <c r="Y218" s="15"/>
    </row>
    <row r="219" spans="1:25" ht="13.2">
      <c r="A219" s="23"/>
      <c r="B219" s="16"/>
      <c r="X219" s="17"/>
      <c r="Y219" s="15"/>
    </row>
    <row r="220" spans="1:25" ht="13.2">
      <c r="A220" s="23"/>
      <c r="B220" s="16"/>
      <c r="X220" s="17"/>
      <c r="Y220" s="15"/>
    </row>
    <row r="221" spans="1:25" ht="13.2">
      <c r="A221" s="23"/>
      <c r="B221" s="16"/>
      <c r="X221" s="17"/>
      <c r="Y221" s="15"/>
    </row>
    <row r="222" spans="1:25" ht="13.2">
      <c r="A222" s="23"/>
      <c r="B222" s="16"/>
      <c r="X222" s="17"/>
      <c r="Y222" s="15"/>
    </row>
    <row r="223" spans="1:25" ht="13.2">
      <c r="A223" s="23"/>
      <c r="B223" s="16"/>
      <c r="X223" s="17"/>
      <c r="Y223" s="15"/>
    </row>
    <row r="224" spans="1:25" ht="13.2">
      <c r="A224" s="23"/>
      <c r="B224" s="16"/>
      <c r="X224" s="17"/>
      <c r="Y224" s="15"/>
    </row>
    <row r="225" spans="1:25" ht="13.2">
      <c r="A225" s="23"/>
      <c r="B225" s="16"/>
      <c r="X225" s="17"/>
      <c r="Y225" s="15"/>
    </row>
    <row r="226" spans="1:25" ht="13.2">
      <c r="A226" s="23"/>
      <c r="B226" s="16"/>
      <c r="X226" s="17"/>
      <c r="Y226" s="15"/>
    </row>
    <row r="227" spans="1:25" ht="13.2">
      <c r="A227" s="23"/>
      <c r="B227" s="16"/>
      <c r="X227" s="17"/>
      <c r="Y227" s="15"/>
    </row>
    <row r="228" spans="1:25" ht="13.2">
      <c r="A228" s="23"/>
      <c r="B228" s="16"/>
      <c r="X228" s="17"/>
      <c r="Y228" s="15"/>
    </row>
    <row r="229" spans="1:25" ht="13.2">
      <c r="A229" s="23"/>
      <c r="B229" s="16"/>
      <c r="X229" s="17"/>
      <c r="Y229" s="15"/>
    </row>
    <row r="230" spans="1:25" ht="13.2">
      <c r="A230" s="23"/>
      <c r="B230" s="16"/>
      <c r="X230" s="17"/>
      <c r="Y230" s="15"/>
    </row>
    <row r="231" spans="1:25" ht="13.2">
      <c r="A231" s="23"/>
      <c r="B231" s="16"/>
      <c r="X231" s="17"/>
      <c r="Y231" s="15"/>
    </row>
    <row r="232" spans="1:25" ht="13.2">
      <c r="A232" s="23"/>
      <c r="B232" s="16"/>
      <c r="X232" s="17"/>
      <c r="Y232" s="15"/>
    </row>
    <row r="233" spans="1:25" ht="13.2">
      <c r="A233" s="23"/>
      <c r="B233" s="16"/>
      <c r="X233" s="17"/>
      <c r="Y233" s="15"/>
    </row>
    <row r="234" spans="1:25" ht="13.2">
      <c r="A234" s="23"/>
      <c r="B234" s="16"/>
      <c r="X234" s="17"/>
      <c r="Y234" s="15"/>
    </row>
    <row r="235" spans="1:25" ht="13.2">
      <c r="A235" s="23"/>
      <c r="B235" s="16"/>
      <c r="X235" s="17"/>
      <c r="Y235" s="15"/>
    </row>
    <row r="236" spans="1:25" ht="13.2">
      <c r="A236" s="23"/>
      <c r="B236" s="16"/>
      <c r="X236" s="17"/>
      <c r="Y236" s="15"/>
    </row>
    <row r="237" spans="1:25" ht="13.2">
      <c r="A237" s="23"/>
      <c r="B237" s="16"/>
      <c r="X237" s="17"/>
      <c r="Y237" s="15"/>
    </row>
    <row r="238" spans="1:25" ht="13.2">
      <c r="A238" s="23"/>
      <c r="B238" s="16"/>
      <c r="X238" s="17"/>
      <c r="Y238" s="15"/>
    </row>
    <row r="239" spans="1:25" ht="13.2">
      <c r="A239" s="23"/>
      <c r="B239" s="16"/>
      <c r="X239" s="17"/>
      <c r="Y239" s="15"/>
    </row>
    <row r="240" spans="1:25" ht="13.2">
      <c r="A240" s="23"/>
      <c r="B240" s="16"/>
      <c r="X240" s="17"/>
      <c r="Y240" s="15"/>
    </row>
    <row r="241" spans="1:25" ht="13.2">
      <c r="A241" s="23"/>
      <c r="B241" s="16"/>
      <c r="X241" s="17"/>
      <c r="Y241" s="15"/>
    </row>
    <row r="242" spans="1:25" ht="13.2">
      <c r="A242" s="23"/>
      <c r="B242" s="16"/>
      <c r="X242" s="17"/>
      <c r="Y242" s="15"/>
    </row>
    <row r="243" spans="1:25" ht="13.2">
      <c r="A243" s="23"/>
      <c r="B243" s="16"/>
      <c r="X243" s="17"/>
      <c r="Y243" s="15"/>
    </row>
    <row r="244" spans="1:25" ht="13.2">
      <c r="A244" s="23"/>
      <c r="B244" s="16"/>
      <c r="X244" s="17"/>
      <c r="Y244" s="15"/>
    </row>
    <row r="245" spans="1:25" ht="13.2">
      <c r="A245" s="23"/>
      <c r="B245" s="16"/>
      <c r="X245" s="17"/>
      <c r="Y245" s="15"/>
    </row>
    <row r="246" spans="1:25" ht="13.2">
      <c r="A246" s="23"/>
      <c r="B246" s="16"/>
      <c r="X246" s="17"/>
      <c r="Y246" s="15"/>
    </row>
    <row r="247" spans="1:25" ht="13.2">
      <c r="A247" s="23"/>
      <c r="B247" s="16"/>
      <c r="X247" s="17"/>
      <c r="Y247" s="15"/>
    </row>
    <row r="248" spans="1:25" ht="13.2">
      <c r="A248" s="23"/>
      <c r="B248" s="16"/>
      <c r="X248" s="17"/>
      <c r="Y248" s="15"/>
    </row>
    <row r="249" spans="1:25" ht="13.2">
      <c r="A249" s="23"/>
      <c r="B249" s="16"/>
      <c r="X249" s="17"/>
      <c r="Y249" s="15"/>
    </row>
    <row r="250" spans="1:25" ht="13.2">
      <c r="A250" s="23"/>
      <c r="B250" s="16"/>
      <c r="X250" s="17"/>
      <c r="Y250" s="15"/>
    </row>
    <row r="251" spans="1:25" ht="13.2">
      <c r="A251" s="23"/>
      <c r="B251" s="16"/>
      <c r="X251" s="17"/>
      <c r="Y251" s="15"/>
    </row>
    <row r="252" spans="1:25" ht="13.2">
      <c r="A252" s="23"/>
      <c r="B252" s="16"/>
      <c r="X252" s="17"/>
      <c r="Y252" s="15"/>
    </row>
    <row r="253" spans="1:25" ht="13.2">
      <c r="A253" s="23"/>
      <c r="B253" s="16"/>
      <c r="X253" s="17"/>
      <c r="Y253" s="15"/>
    </row>
    <row r="254" spans="1:25" ht="13.2">
      <c r="A254" s="23"/>
      <c r="B254" s="16"/>
      <c r="X254" s="17"/>
      <c r="Y254" s="15"/>
    </row>
    <row r="255" spans="1:25" ht="13.2">
      <c r="A255" s="23"/>
      <c r="B255" s="16"/>
      <c r="X255" s="17"/>
      <c r="Y255" s="15"/>
    </row>
    <row r="256" spans="1:25" ht="13.2">
      <c r="A256" s="23"/>
      <c r="B256" s="16"/>
      <c r="X256" s="17"/>
      <c r="Y256" s="15"/>
    </row>
    <row r="257" spans="1:25" ht="13.2">
      <c r="A257" s="23"/>
      <c r="B257" s="16"/>
      <c r="X257" s="17"/>
      <c r="Y257" s="15"/>
    </row>
    <row r="258" spans="1:25" ht="13.2">
      <c r="A258" s="23"/>
      <c r="B258" s="16"/>
      <c r="X258" s="17"/>
      <c r="Y258" s="15"/>
    </row>
    <row r="259" spans="1:25" ht="13.2">
      <c r="A259" s="23"/>
      <c r="B259" s="16"/>
      <c r="X259" s="17"/>
      <c r="Y259" s="15"/>
    </row>
    <row r="260" spans="1:25" ht="13.2">
      <c r="A260" s="23"/>
      <c r="B260" s="16"/>
      <c r="X260" s="17"/>
      <c r="Y260" s="15"/>
    </row>
    <row r="261" spans="1:25" ht="13.2">
      <c r="A261" s="23"/>
      <c r="B261" s="16"/>
      <c r="X261" s="17"/>
      <c r="Y261" s="15"/>
    </row>
    <row r="262" spans="1:25" ht="13.2">
      <c r="A262" s="23"/>
      <c r="B262" s="16"/>
      <c r="X262" s="17"/>
      <c r="Y262" s="15"/>
    </row>
    <row r="263" spans="1:25" ht="13.2">
      <c r="A263" s="23"/>
      <c r="B263" s="16"/>
      <c r="X263" s="17"/>
      <c r="Y263" s="15"/>
    </row>
    <row r="264" spans="1:25" ht="13.2">
      <c r="A264" s="23"/>
      <c r="B264" s="16"/>
      <c r="X264" s="17"/>
      <c r="Y264" s="15"/>
    </row>
    <row r="265" spans="1:25" ht="13.2">
      <c r="A265" s="23"/>
      <c r="B265" s="16"/>
      <c r="X265" s="17"/>
      <c r="Y265" s="15"/>
    </row>
    <row r="266" spans="1:25" ht="13.2">
      <c r="A266" s="23"/>
      <c r="B266" s="16"/>
      <c r="X266" s="17"/>
      <c r="Y266" s="15"/>
    </row>
    <row r="267" spans="1:25" ht="13.2">
      <c r="A267" s="23"/>
      <c r="B267" s="16"/>
      <c r="X267" s="17"/>
      <c r="Y267" s="15"/>
    </row>
    <row r="268" spans="1:25" ht="13.2">
      <c r="A268" s="23"/>
      <c r="B268" s="16"/>
      <c r="X268" s="17"/>
      <c r="Y268" s="15"/>
    </row>
    <row r="269" spans="1:25" ht="13.2">
      <c r="A269" s="23"/>
      <c r="B269" s="16"/>
      <c r="X269" s="17"/>
      <c r="Y269" s="15"/>
    </row>
    <row r="270" spans="1:25" ht="13.2">
      <c r="A270" s="23"/>
      <c r="B270" s="16"/>
      <c r="X270" s="17"/>
      <c r="Y270" s="15"/>
    </row>
    <row r="271" spans="1:25" ht="13.2">
      <c r="A271" s="23"/>
      <c r="B271" s="16"/>
      <c r="X271" s="17"/>
      <c r="Y271" s="15"/>
    </row>
    <row r="272" spans="1:25" ht="13.2">
      <c r="A272" s="23"/>
      <c r="B272" s="16"/>
      <c r="X272" s="17"/>
      <c r="Y272" s="15"/>
    </row>
    <row r="273" spans="1:25" ht="13.2">
      <c r="A273" s="23"/>
      <c r="B273" s="16"/>
      <c r="X273" s="17"/>
      <c r="Y273" s="15"/>
    </row>
    <row r="274" spans="1:25" ht="13.2">
      <c r="A274" s="23"/>
      <c r="B274" s="16"/>
      <c r="X274" s="17"/>
      <c r="Y274" s="15"/>
    </row>
    <row r="275" spans="1:25" ht="13.2">
      <c r="A275" s="23"/>
      <c r="B275" s="16"/>
      <c r="X275" s="17"/>
      <c r="Y275" s="15"/>
    </row>
    <row r="276" spans="1:25" ht="13.2">
      <c r="A276" s="23"/>
      <c r="B276" s="16"/>
      <c r="X276" s="17"/>
      <c r="Y276" s="15"/>
    </row>
    <row r="277" spans="1:25" ht="13.2">
      <c r="A277" s="23"/>
      <c r="B277" s="16"/>
      <c r="X277" s="17"/>
      <c r="Y277" s="15"/>
    </row>
    <row r="278" spans="1:25" ht="13.2">
      <c r="A278" s="23"/>
      <c r="B278" s="16"/>
      <c r="X278" s="17"/>
      <c r="Y278" s="15"/>
    </row>
    <row r="279" spans="1:25" ht="13.2">
      <c r="A279" s="23"/>
      <c r="B279" s="16"/>
      <c r="X279" s="17"/>
      <c r="Y279" s="15"/>
    </row>
    <row r="280" spans="1:25" ht="13.2">
      <c r="A280" s="23"/>
      <c r="B280" s="16"/>
      <c r="X280" s="17"/>
      <c r="Y280" s="15"/>
    </row>
    <row r="281" spans="1:25" ht="13.2">
      <c r="A281" s="23"/>
      <c r="B281" s="16"/>
      <c r="X281" s="17"/>
      <c r="Y281" s="15"/>
    </row>
    <row r="282" spans="1:25" ht="13.2">
      <c r="A282" s="23"/>
      <c r="B282" s="16"/>
      <c r="X282" s="17"/>
      <c r="Y282" s="15"/>
    </row>
    <row r="283" spans="1:25" ht="13.2">
      <c r="A283" s="23"/>
      <c r="B283" s="16"/>
      <c r="X283" s="17"/>
      <c r="Y283" s="15"/>
    </row>
    <row r="284" spans="1:25" ht="13.2">
      <c r="A284" s="23"/>
      <c r="B284" s="16"/>
      <c r="X284" s="17"/>
      <c r="Y284" s="15"/>
    </row>
    <row r="285" spans="1:25" ht="13.2">
      <c r="A285" s="23"/>
      <c r="B285" s="16"/>
      <c r="X285" s="17"/>
      <c r="Y285" s="15"/>
    </row>
    <row r="286" spans="1:25" ht="13.2">
      <c r="A286" s="23"/>
      <c r="B286" s="16"/>
      <c r="X286" s="17"/>
      <c r="Y286" s="15"/>
    </row>
    <row r="287" spans="1:25" ht="13.2">
      <c r="A287" s="23"/>
      <c r="B287" s="16"/>
      <c r="X287" s="17"/>
      <c r="Y287" s="15"/>
    </row>
    <row r="288" spans="1:25" ht="13.2">
      <c r="A288" s="23"/>
      <c r="B288" s="16"/>
      <c r="X288" s="17"/>
      <c r="Y288" s="15"/>
    </row>
    <row r="289" spans="1:25" ht="13.2">
      <c r="A289" s="23"/>
      <c r="B289" s="16"/>
      <c r="X289" s="17"/>
      <c r="Y289" s="15"/>
    </row>
    <row r="290" spans="1:25" ht="13.2">
      <c r="A290" s="23"/>
      <c r="B290" s="16"/>
      <c r="X290" s="17"/>
      <c r="Y290" s="15"/>
    </row>
    <row r="291" spans="1:25" ht="13.2">
      <c r="A291" s="23"/>
      <c r="B291" s="16"/>
      <c r="X291" s="17"/>
      <c r="Y291" s="15"/>
    </row>
    <row r="292" spans="1:25" ht="13.2">
      <c r="A292" s="23"/>
      <c r="B292" s="16"/>
      <c r="X292" s="17"/>
      <c r="Y292" s="15"/>
    </row>
    <row r="293" spans="1:25" ht="13.2">
      <c r="A293" s="23"/>
      <c r="B293" s="16"/>
      <c r="X293" s="17"/>
      <c r="Y293" s="15"/>
    </row>
    <row r="294" spans="1:25" ht="13.2">
      <c r="A294" s="23"/>
      <c r="B294" s="16"/>
      <c r="X294" s="17"/>
      <c r="Y294" s="15"/>
    </row>
    <row r="295" spans="1:25" ht="13.2">
      <c r="A295" s="23"/>
      <c r="B295" s="16"/>
      <c r="X295" s="17"/>
      <c r="Y295" s="15"/>
    </row>
    <row r="296" spans="1:25" ht="13.2">
      <c r="A296" s="23"/>
      <c r="B296" s="16"/>
      <c r="X296" s="17"/>
      <c r="Y296" s="15"/>
    </row>
    <row r="297" spans="1:25" ht="13.2">
      <c r="A297" s="23"/>
      <c r="B297" s="16"/>
      <c r="X297" s="17"/>
      <c r="Y297" s="15"/>
    </row>
    <row r="298" spans="1:25" ht="13.2">
      <c r="A298" s="23"/>
      <c r="B298" s="16"/>
      <c r="X298" s="17"/>
      <c r="Y298" s="15"/>
    </row>
    <row r="299" spans="1:25" ht="13.2">
      <c r="A299" s="23"/>
      <c r="B299" s="16"/>
      <c r="X299" s="17"/>
      <c r="Y299" s="15"/>
    </row>
    <row r="300" spans="1:25" ht="13.2">
      <c r="A300" s="23"/>
      <c r="B300" s="16"/>
      <c r="X300" s="17"/>
      <c r="Y300" s="15"/>
    </row>
    <row r="301" spans="1:25" ht="13.2">
      <c r="A301" s="23"/>
      <c r="B301" s="16"/>
      <c r="X301" s="17"/>
      <c r="Y301" s="15"/>
    </row>
    <row r="302" spans="1:25" ht="13.2">
      <c r="A302" s="23"/>
      <c r="B302" s="16"/>
      <c r="X302" s="17"/>
      <c r="Y302" s="15"/>
    </row>
    <row r="303" spans="1:25" ht="13.2">
      <c r="A303" s="23"/>
      <c r="B303" s="16"/>
      <c r="X303" s="17"/>
      <c r="Y303" s="15"/>
    </row>
    <row r="304" spans="1:25" ht="13.2">
      <c r="A304" s="23"/>
      <c r="B304" s="16"/>
      <c r="X304" s="17"/>
      <c r="Y304" s="15"/>
    </row>
    <row r="305" spans="1:25" ht="13.2">
      <c r="A305" s="23"/>
      <c r="B305" s="16"/>
      <c r="X305" s="17"/>
      <c r="Y305" s="15"/>
    </row>
    <row r="306" spans="1:25" ht="13.2">
      <c r="A306" s="23"/>
      <c r="B306" s="16"/>
      <c r="X306" s="17"/>
      <c r="Y306" s="15"/>
    </row>
    <row r="307" spans="1:25" ht="13.2">
      <c r="A307" s="23"/>
      <c r="B307" s="16"/>
      <c r="X307" s="17"/>
      <c r="Y307" s="15"/>
    </row>
    <row r="308" spans="1:25" ht="13.2">
      <c r="A308" s="23"/>
      <c r="B308" s="16"/>
      <c r="X308" s="17"/>
      <c r="Y308" s="15"/>
    </row>
    <row r="309" spans="1:25" ht="13.2">
      <c r="A309" s="23"/>
      <c r="B309" s="16"/>
      <c r="X309" s="17"/>
      <c r="Y309" s="15"/>
    </row>
    <row r="310" spans="1:25" ht="13.2">
      <c r="A310" s="23"/>
      <c r="B310" s="16"/>
      <c r="X310" s="17"/>
      <c r="Y310" s="15"/>
    </row>
    <row r="311" spans="1:25" ht="13.2">
      <c r="A311" s="23"/>
      <c r="B311" s="16"/>
      <c r="X311" s="17"/>
      <c r="Y311" s="15"/>
    </row>
    <row r="312" spans="1:25" ht="13.2">
      <c r="A312" s="23"/>
      <c r="B312" s="16"/>
      <c r="X312" s="17"/>
      <c r="Y312" s="15"/>
    </row>
    <row r="313" spans="1:25" ht="13.2">
      <c r="A313" s="23"/>
      <c r="B313" s="16"/>
      <c r="X313" s="17"/>
      <c r="Y313" s="15"/>
    </row>
    <row r="314" spans="1:25" ht="13.2">
      <c r="A314" s="23"/>
      <c r="B314" s="16"/>
      <c r="X314" s="17"/>
      <c r="Y314" s="15"/>
    </row>
    <row r="315" spans="1:25" ht="13.2">
      <c r="A315" s="23"/>
      <c r="B315" s="16"/>
      <c r="X315" s="17"/>
      <c r="Y315" s="15"/>
    </row>
    <row r="316" spans="1:25" ht="13.2">
      <c r="A316" s="23"/>
      <c r="B316" s="16"/>
      <c r="X316" s="17"/>
      <c r="Y316" s="15"/>
    </row>
    <row r="317" spans="1:25" ht="13.2">
      <c r="A317" s="23"/>
      <c r="B317" s="16"/>
      <c r="X317" s="17"/>
      <c r="Y317" s="15"/>
    </row>
    <row r="318" spans="1:25" ht="13.2">
      <c r="A318" s="23"/>
      <c r="B318" s="16"/>
      <c r="X318" s="17"/>
      <c r="Y318" s="15"/>
    </row>
    <row r="319" spans="1:25" ht="13.2">
      <c r="A319" s="23"/>
      <c r="B319" s="16"/>
      <c r="X319" s="17"/>
      <c r="Y319" s="15"/>
    </row>
    <row r="320" spans="1:25" ht="13.2">
      <c r="A320" s="23"/>
      <c r="B320" s="16"/>
      <c r="X320" s="17"/>
      <c r="Y320" s="15"/>
    </row>
    <row r="321" spans="1:25" ht="13.2">
      <c r="A321" s="23"/>
      <c r="B321" s="16"/>
      <c r="X321" s="17"/>
      <c r="Y321" s="15"/>
    </row>
    <row r="322" spans="1:25" ht="13.2">
      <c r="A322" s="23"/>
      <c r="B322" s="16"/>
      <c r="X322" s="17"/>
      <c r="Y322" s="15"/>
    </row>
    <row r="323" spans="1:25" ht="13.2">
      <c r="A323" s="23"/>
      <c r="B323" s="16"/>
      <c r="X323" s="17"/>
      <c r="Y323" s="15"/>
    </row>
    <row r="324" spans="1:25" ht="13.2">
      <c r="A324" s="23"/>
      <c r="B324" s="16"/>
      <c r="X324" s="17"/>
      <c r="Y324" s="15"/>
    </row>
    <row r="325" spans="1:25" ht="13.2">
      <c r="A325" s="23"/>
      <c r="B325" s="16"/>
      <c r="X325" s="17"/>
      <c r="Y325" s="15"/>
    </row>
    <row r="326" spans="1:25" ht="13.2">
      <c r="A326" s="23"/>
      <c r="B326" s="16"/>
      <c r="X326" s="17"/>
      <c r="Y326" s="15"/>
    </row>
    <row r="327" spans="1:25" ht="13.2">
      <c r="A327" s="23"/>
      <c r="B327" s="16"/>
      <c r="X327" s="17"/>
      <c r="Y327" s="15"/>
    </row>
    <row r="328" spans="1:25" ht="13.2">
      <c r="A328" s="23"/>
      <c r="B328" s="16"/>
      <c r="X328" s="17"/>
      <c r="Y328" s="15"/>
    </row>
    <row r="329" spans="1:25" ht="13.2">
      <c r="A329" s="23"/>
      <c r="B329" s="16"/>
      <c r="X329" s="17"/>
      <c r="Y329" s="15"/>
    </row>
    <row r="330" spans="1:25" ht="13.2">
      <c r="A330" s="23"/>
      <c r="B330" s="16"/>
      <c r="X330" s="17"/>
      <c r="Y330" s="15"/>
    </row>
    <row r="331" spans="1:25" ht="13.2">
      <c r="A331" s="23"/>
      <c r="B331" s="16"/>
      <c r="X331" s="17"/>
      <c r="Y331" s="15"/>
    </row>
    <row r="332" spans="1:25" ht="13.2">
      <c r="A332" s="23"/>
      <c r="B332" s="16"/>
      <c r="X332" s="17"/>
      <c r="Y332" s="15"/>
    </row>
    <row r="333" spans="1:25" ht="13.2">
      <c r="A333" s="23"/>
      <c r="B333" s="16"/>
      <c r="X333" s="17"/>
      <c r="Y333" s="15"/>
    </row>
    <row r="334" spans="1:25" ht="13.2">
      <c r="A334" s="23"/>
      <c r="B334" s="16"/>
      <c r="X334" s="17"/>
      <c r="Y334" s="15"/>
    </row>
    <row r="335" spans="1:25" ht="13.2">
      <c r="A335" s="23"/>
      <c r="B335" s="16"/>
      <c r="X335" s="17"/>
      <c r="Y335" s="15"/>
    </row>
    <row r="336" spans="1:25" ht="13.2">
      <c r="A336" s="23"/>
      <c r="B336" s="16"/>
      <c r="X336" s="17"/>
      <c r="Y336" s="15"/>
    </row>
    <row r="337" spans="1:25" ht="13.2">
      <c r="A337" s="23"/>
      <c r="B337" s="16"/>
      <c r="X337" s="17"/>
      <c r="Y337" s="15"/>
    </row>
    <row r="338" spans="1:25" ht="13.2">
      <c r="A338" s="23"/>
      <c r="B338" s="16"/>
      <c r="X338" s="17"/>
      <c r="Y338" s="15"/>
    </row>
    <row r="339" spans="1:25" ht="13.2">
      <c r="A339" s="23"/>
      <c r="B339" s="16"/>
      <c r="X339" s="17"/>
      <c r="Y339" s="15"/>
    </row>
    <row r="340" spans="1:25" ht="13.2">
      <c r="A340" s="23"/>
      <c r="B340" s="16"/>
      <c r="X340" s="17"/>
      <c r="Y340" s="15"/>
    </row>
    <row r="341" spans="1:25" ht="13.2">
      <c r="A341" s="23"/>
      <c r="B341" s="16"/>
      <c r="X341" s="17"/>
      <c r="Y341" s="15"/>
    </row>
    <row r="342" spans="1:25" ht="13.2">
      <c r="A342" s="23"/>
      <c r="B342" s="16"/>
      <c r="X342" s="17"/>
      <c r="Y342" s="15"/>
    </row>
    <row r="343" spans="1:25" ht="13.2">
      <c r="A343" s="23"/>
      <c r="B343" s="16"/>
      <c r="X343" s="17"/>
      <c r="Y343" s="15"/>
    </row>
    <row r="344" spans="1:25" ht="13.2">
      <c r="A344" s="23"/>
      <c r="B344" s="16"/>
      <c r="X344" s="17"/>
      <c r="Y344" s="15"/>
    </row>
    <row r="345" spans="1:25" ht="13.2">
      <c r="A345" s="23"/>
      <c r="B345" s="16"/>
      <c r="X345" s="17"/>
      <c r="Y345" s="15"/>
    </row>
    <row r="346" spans="1:25" ht="13.2">
      <c r="A346" s="23"/>
      <c r="B346" s="16"/>
      <c r="X346" s="17"/>
      <c r="Y346" s="15"/>
    </row>
    <row r="347" spans="1:25" ht="13.2">
      <c r="A347" s="23"/>
      <c r="B347" s="16"/>
      <c r="X347" s="17"/>
      <c r="Y347" s="15"/>
    </row>
    <row r="348" spans="1:25" ht="13.2">
      <c r="A348" s="23"/>
      <c r="B348" s="16"/>
      <c r="X348" s="17"/>
      <c r="Y348" s="15"/>
    </row>
    <row r="349" spans="1:25" ht="13.2">
      <c r="A349" s="23"/>
      <c r="B349" s="16"/>
      <c r="X349" s="17"/>
      <c r="Y349" s="15"/>
    </row>
    <row r="350" spans="1:25" ht="13.2">
      <c r="A350" s="23"/>
      <c r="B350" s="16"/>
      <c r="X350" s="17"/>
      <c r="Y350" s="15"/>
    </row>
    <row r="351" spans="1:25" ht="13.2">
      <c r="A351" s="23"/>
      <c r="B351" s="16"/>
      <c r="X351" s="17"/>
      <c r="Y351" s="15"/>
    </row>
    <row r="352" spans="1:25" ht="13.2">
      <c r="A352" s="23"/>
      <c r="B352" s="16"/>
      <c r="X352" s="17"/>
      <c r="Y352" s="15"/>
    </row>
    <row r="353" spans="1:25" ht="13.2">
      <c r="A353" s="23"/>
      <c r="B353" s="16"/>
      <c r="X353" s="17"/>
      <c r="Y353" s="15"/>
    </row>
    <row r="354" spans="1:25" ht="13.2">
      <c r="A354" s="23"/>
      <c r="B354" s="16"/>
      <c r="X354" s="17"/>
      <c r="Y354" s="15"/>
    </row>
    <row r="355" spans="1:25" ht="13.2">
      <c r="A355" s="23"/>
      <c r="B355" s="16"/>
      <c r="X355" s="17"/>
      <c r="Y355" s="15"/>
    </row>
    <row r="356" spans="1:25" ht="13.2">
      <c r="A356" s="23"/>
      <c r="B356" s="16"/>
      <c r="X356" s="17"/>
      <c r="Y356" s="15"/>
    </row>
    <row r="357" spans="1:25" ht="13.2">
      <c r="A357" s="23"/>
      <c r="B357" s="16"/>
      <c r="X357" s="17"/>
      <c r="Y357" s="15"/>
    </row>
    <row r="358" spans="1:25" ht="13.2">
      <c r="A358" s="23"/>
      <c r="B358" s="16"/>
      <c r="X358" s="17"/>
      <c r="Y358" s="15"/>
    </row>
    <row r="359" spans="1:25" ht="13.2">
      <c r="A359" s="23"/>
      <c r="B359" s="16"/>
      <c r="X359" s="17"/>
      <c r="Y359" s="15"/>
    </row>
    <row r="360" spans="1:25" ht="13.2">
      <c r="A360" s="23"/>
      <c r="B360" s="16"/>
      <c r="X360" s="17"/>
      <c r="Y360" s="15"/>
    </row>
    <row r="361" spans="1:25" ht="13.2">
      <c r="A361" s="23"/>
      <c r="B361" s="16"/>
      <c r="X361" s="17"/>
      <c r="Y361" s="15"/>
    </row>
    <row r="362" spans="1:25" ht="13.2">
      <c r="A362" s="23"/>
      <c r="B362" s="16"/>
      <c r="X362" s="17"/>
      <c r="Y362" s="15"/>
    </row>
    <row r="363" spans="1:25" ht="13.2">
      <c r="A363" s="23"/>
      <c r="B363" s="16"/>
      <c r="X363" s="17"/>
      <c r="Y363" s="15"/>
    </row>
    <row r="364" spans="1:25" ht="13.2">
      <c r="A364" s="23"/>
      <c r="B364" s="16"/>
      <c r="X364" s="17"/>
      <c r="Y364" s="15"/>
    </row>
    <row r="365" spans="1:25" ht="13.2">
      <c r="A365" s="23"/>
      <c r="B365" s="16"/>
      <c r="X365" s="17"/>
      <c r="Y365" s="15"/>
    </row>
    <row r="366" spans="1:25" ht="13.2">
      <c r="A366" s="23"/>
      <c r="B366" s="16"/>
      <c r="X366" s="17"/>
      <c r="Y366" s="15"/>
    </row>
    <row r="367" spans="1:25" ht="13.2">
      <c r="A367" s="23"/>
      <c r="B367" s="16"/>
      <c r="X367" s="17"/>
      <c r="Y367" s="15"/>
    </row>
    <row r="368" spans="1:25" ht="13.2">
      <c r="A368" s="23"/>
      <c r="B368" s="16"/>
      <c r="X368" s="17"/>
      <c r="Y368" s="15"/>
    </row>
    <row r="369" spans="1:25" ht="13.2">
      <c r="A369" s="23"/>
      <c r="B369" s="16"/>
      <c r="X369" s="17"/>
      <c r="Y369" s="15"/>
    </row>
    <row r="370" spans="1:25" ht="13.2">
      <c r="A370" s="23"/>
      <c r="B370" s="16"/>
      <c r="X370" s="17"/>
      <c r="Y370" s="15"/>
    </row>
    <row r="371" spans="1:25" ht="13.2">
      <c r="A371" s="23"/>
      <c r="B371" s="16"/>
      <c r="X371" s="17"/>
      <c r="Y371" s="15"/>
    </row>
    <row r="372" spans="1:25" ht="13.2">
      <c r="A372" s="23"/>
      <c r="B372" s="16"/>
      <c r="X372" s="17"/>
      <c r="Y372" s="15"/>
    </row>
    <row r="373" spans="1:25" ht="13.2">
      <c r="A373" s="23"/>
      <c r="B373" s="16"/>
      <c r="X373" s="17"/>
      <c r="Y373" s="15"/>
    </row>
    <row r="374" spans="1:25" ht="13.2">
      <c r="A374" s="23"/>
      <c r="B374" s="16"/>
      <c r="X374" s="17"/>
      <c r="Y374" s="15"/>
    </row>
    <row r="375" spans="1:25" ht="13.2">
      <c r="A375" s="23"/>
      <c r="B375" s="16"/>
      <c r="X375" s="17"/>
      <c r="Y375" s="15"/>
    </row>
    <row r="376" spans="1:25" ht="13.2">
      <c r="A376" s="23"/>
      <c r="B376" s="16"/>
      <c r="X376" s="17"/>
      <c r="Y376" s="15"/>
    </row>
    <row r="377" spans="1:25" ht="13.2">
      <c r="A377" s="23"/>
      <c r="B377" s="16"/>
      <c r="X377" s="17"/>
      <c r="Y377" s="15"/>
    </row>
    <row r="378" spans="1:25" ht="13.2">
      <c r="A378" s="23"/>
      <c r="B378" s="16"/>
      <c r="X378" s="17"/>
      <c r="Y378" s="15"/>
    </row>
    <row r="379" spans="1:25" ht="13.2">
      <c r="A379" s="23"/>
      <c r="B379" s="16"/>
      <c r="X379" s="17"/>
      <c r="Y379" s="15"/>
    </row>
    <row r="380" spans="1:25" ht="13.2">
      <c r="A380" s="23"/>
      <c r="B380" s="16"/>
      <c r="X380" s="17"/>
      <c r="Y380" s="15"/>
    </row>
    <row r="381" spans="1:25" ht="13.2">
      <c r="A381" s="23"/>
      <c r="B381" s="16"/>
      <c r="X381" s="17"/>
      <c r="Y381" s="15"/>
    </row>
    <row r="382" spans="1:25" ht="13.2">
      <c r="A382" s="23"/>
      <c r="B382" s="16"/>
      <c r="X382" s="17"/>
      <c r="Y382" s="15"/>
    </row>
    <row r="383" spans="1:25" ht="13.2">
      <c r="A383" s="23"/>
      <c r="B383" s="16"/>
      <c r="X383" s="17"/>
      <c r="Y383" s="15"/>
    </row>
    <row r="384" spans="1:25" ht="13.2">
      <c r="A384" s="23"/>
      <c r="B384" s="16"/>
      <c r="X384" s="17"/>
      <c r="Y384" s="15"/>
    </row>
    <row r="385" spans="1:25" ht="13.2">
      <c r="A385" s="23"/>
      <c r="B385" s="16"/>
      <c r="X385" s="17"/>
      <c r="Y385" s="15"/>
    </row>
    <row r="386" spans="1:25" ht="13.2">
      <c r="A386" s="23"/>
      <c r="B386" s="16"/>
      <c r="X386" s="17"/>
      <c r="Y386" s="15"/>
    </row>
    <row r="387" spans="1:25" ht="13.2">
      <c r="A387" s="23"/>
      <c r="B387" s="16"/>
      <c r="X387" s="17"/>
      <c r="Y387" s="15"/>
    </row>
    <row r="388" spans="1:25" ht="13.2">
      <c r="A388" s="23"/>
      <c r="B388" s="16"/>
      <c r="X388" s="17"/>
      <c r="Y388" s="15"/>
    </row>
    <row r="389" spans="1:25" ht="13.2">
      <c r="A389" s="23"/>
      <c r="B389" s="16"/>
      <c r="X389" s="17"/>
      <c r="Y389" s="15"/>
    </row>
    <row r="390" spans="1:25" ht="13.2">
      <c r="A390" s="23"/>
      <c r="B390" s="16"/>
      <c r="X390" s="17"/>
      <c r="Y390" s="15"/>
    </row>
    <row r="391" spans="1:25" ht="13.2">
      <c r="A391" s="23"/>
      <c r="B391" s="16"/>
      <c r="X391" s="17"/>
      <c r="Y391" s="15"/>
    </row>
    <row r="392" spans="1:25" ht="13.2">
      <c r="A392" s="23"/>
      <c r="B392" s="16"/>
      <c r="X392" s="17"/>
      <c r="Y392" s="15"/>
    </row>
    <row r="393" spans="1:25" ht="13.2">
      <c r="A393" s="23"/>
      <c r="B393" s="16"/>
      <c r="X393" s="17"/>
      <c r="Y393" s="15"/>
    </row>
    <row r="394" spans="1:25" ht="13.2">
      <c r="A394" s="23"/>
      <c r="B394" s="16"/>
      <c r="X394" s="17"/>
      <c r="Y394" s="15"/>
    </row>
    <row r="395" spans="1:25" ht="13.2">
      <c r="A395" s="23"/>
      <c r="B395" s="16"/>
      <c r="X395" s="17"/>
      <c r="Y395" s="15"/>
    </row>
    <row r="396" spans="1:25" ht="13.2">
      <c r="A396" s="23"/>
      <c r="B396" s="16"/>
      <c r="X396" s="17"/>
      <c r="Y396" s="15"/>
    </row>
    <row r="397" spans="1:25" ht="13.2">
      <c r="A397" s="23"/>
      <c r="B397" s="16"/>
      <c r="X397" s="17"/>
      <c r="Y397" s="15"/>
    </row>
    <row r="398" spans="1:25" ht="13.2">
      <c r="A398" s="23"/>
      <c r="B398" s="16"/>
      <c r="X398" s="17"/>
      <c r="Y398" s="15"/>
    </row>
    <row r="399" spans="1:25" ht="13.2">
      <c r="A399" s="23"/>
      <c r="B399" s="16"/>
      <c r="X399" s="17"/>
      <c r="Y399" s="15"/>
    </row>
    <row r="400" spans="1:25" ht="13.2">
      <c r="A400" s="23"/>
      <c r="B400" s="16"/>
      <c r="X400" s="17"/>
      <c r="Y400" s="15"/>
    </row>
    <row r="401" spans="1:25" ht="13.2">
      <c r="A401" s="23"/>
      <c r="B401" s="16"/>
      <c r="X401" s="17"/>
      <c r="Y401" s="15"/>
    </row>
    <row r="402" spans="1:25" ht="13.2">
      <c r="A402" s="23"/>
      <c r="B402" s="16"/>
      <c r="X402" s="17"/>
      <c r="Y402" s="15"/>
    </row>
    <row r="403" spans="1:25" ht="13.2">
      <c r="A403" s="23"/>
      <c r="B403" s="16"/>
      <c r="X403" s="17"/>
      <c r="Y403" s="15"/>
    </row>
    <row r="404" spans="1:25" ht="13.2">
      <c r="A404" s="23"/>
      <c r="B404" s="16"/>
      <c r="X404" s="17"/>
      <c r="Y404" s="15"/>
    </row>
    <row r="405" spans="1:25" ht="13.2">
      <c r="A405" s="23"/>
      <c r="B405" s="16"/>
      <c r="X405" s="17"/>
      <c r="Y405" s="15"/>
    </row>
    <row r="406" spans="1:25" ht="13.2">
      <c r="A406" s="23"/>
      <c r="B406" s="16"/>
      <c r="X406" s="17"/>
      <c r="Y406" s="15"/>
    </row>
    <row r="407" spans="1:25" ht="13.2">
      <c r="A407" s="23"/>
      <c r="B407" s="16"/>
      <c r="X407" s="17"/>
      <c r="Y407" s="15"/>
    </row>
    <row r="408" spans="1:25" ht="13.2">
      <c r="A408" s="23"/>
      <c r="B408" s="16"/>
      <c r="X408" s="17"/>
      <c r="Y408" s="15"/>
    </row>
    <row r="409" spans="1:25" ht="13.2">
      <c r="A409" s="23"/>
      <c r="B409" s="16"/>
      <c r="X409" s="17"/>
      <c r="Y409" s="15"/>
    </row>
    <row r="410" spans="1:25" ht="13.2">
      <c r="A410" s="23"/>
      <c r="B410" s="16"/>
      <c r="X410" s="17"/>
      <c r="Y410" s="15"/>
    </row>
    <row r="411" spans="1:25" ht="13.2">
      <c r="A411" s="23"/>
      <c r="B411" s="16"/>
      <c r="X411" s="17"/>
      <c r="Y411" s="15"/>
    </row>
    <row r="412" spans="1:25" ht="13.2">
      <c r="A412" s="23"/>
      <c r="B412" s="16"/>
      <c r="X412" s="17"/>
      <c r="Y412" s="15"/>
    </row>
    <row r="413" spans="1:25" ht="13.2">
      <c r="A413" s="23"/>
      <c r="B413" s="16"/>
      <c r="X413" s="17"/>
      <c r="Y413" s="15"/>
    </row>
    <row r="414" spans="1:25" ht="13.2">
      <c r="A414" s="23"/>
      <c r="B414" s="16"/>
      <c r="X414" s="17"/>
      <c r="Y414" s="15"/>
    </row>
    <row r="415" spans="1:25" ht="13.2">
      <c r="A415" s="23"/>
      <c r="B415" s="16"/>
      <c r="X415" s="17"/>
      <c r="Y415" s="15"/>
    </row>
    <row r="416" spans="1:25" ht="13.2">
      <c r="A416" s="23"/>
      <c r="B416" s="16"/>
      <c r="X416" s="17"/>
      <c r="Y416" s="15"/>
    </row>
    <row r="417" spans="1:25" ht="13.2">
      <c r="A417" s="23"/>
      <c r="B417" s="16"/>
      <c r="X417" s="17"/>
      <c r="Y417" s="15"/>
    </row>
    <row r="418" spans="1:25" ht="13.2">
      <c r="A418" s="23"/>
      <c r="B418" s="16"/>
      <c r="X418" s="17"/>
      <c r="Y418" s="15"/>
    </row>
    <row r="419" spans="1:25" ht="13.2">
      <c r="A419" s="23"/>
      <c r="B419" s="16"/>
      <c r="X419" s="17"/>
      <c r="Y419" s="15"/>
    </row>
    <row r="420" spans="1:25" ht="13.2">
      <c r="A420" s="23"/>
      <c r="B420" s="16"/>
      <c r="X420" s="17"/>
      <c r="Y420" s="15"/>
    </row>
    <row r="421" spans="1:25" ht="13.2">
      <c r="A421" s="23"/>
      <c r="B421" s="16"/>
      <c r="X421" s="17"/>
      <c r="Y421" s="15"/>
    </row>
    <row r="422" spans="1:25" ht="13.2">
      <c r="A422" s="23"/>
      <c r="B422" s="16"/>
      <c r="X422" s="17"/>
      <c r="Y422" s="15"/>
    </row>
    <row r="423" spans="1:25" ht="13.2">
      <c r="A423" s="23"/>
      <c r="B423" s="16"/>
      <c r="X423" s="17"/>
      <c r="Y423" s="15"/>
    </row>
    <row r="424" spans="1:25" ht="13.2">
      <c r="A424" s="23"/>
      <c r="B424" s="16"/>
      <c r="X424" s="17"/>
      <c r="Y424" s="15"/>
    </row>
    <row r="425" spans="1:25" ht="13.2">
      <c r="A425" s="23"/>
      <c r="B425" s="16"/>
      <c r="X425" s="17"/>
      <c r="Y425" s="15"/>
    </row>
    <row r="426" spans="1:25" ht="13.2">
      <c r="A426" s="23"/>
      <c r="B426" s="16"/>
      <c r="X426" s="17"/>
      <c r="Y426" s="15"/>
    </row>
    <row r="427" spans="1:25" ht="13.2">
      <c r="A427" s="23"/>
      <c r="B427" s="16"/>
      <c r="X427" s="17"/>
      <c r="Y427" s="15"/>
    </row>
    <row r="428" spans="1:25" ht="13.2">
      <c r="A428" s="23"/>
      <c r="B428" s="16"/>
      <c r="X428" s="17"/>
      <c r="Y428" s="15"/>
    </row>
    <row r="429" spans="1:25" ht="13.2">
      <c r="A429" s="23"/>
      <c r="B429" s="16"/>
      <c r="X429" s="17"/>
      <c r="Y429" s="15"/>
    </row>
    <row r="430" spans="1:25" ht="13.2">
      <c r="A430" s="23"/>
      <c r="B430" s="16"/>
      <c r="X430" s="17"/>
      <c r="Y430" s="15"/>
    </row>
    <row r="431" spans="1:25" ht="13.2">
      <c r="A431" s="23"/>
      <c r="B431" s="16"/>
      <c r="X431" s="17"/>
      <c r="Y431" s="15"/>
    </row>
    <row r="432" spans="1:25" ht="13.2">
      <c r="A432" s="23"/>
      <c r="B432" s="16"/>
      <c r="X432" s="17"/>
      <c r="Y432" s="15"/>
    </row>
    <row r="433" spans="1:25" ht="13.2">
      <c r="A433" s="23"/>
      <c r="B433" s="16"/>
      <c r="X433" s="17"/>
      <c r="Y433" s="15"/>
    </row>
    <row r="434" spans="1:25" ht="13.2">
      <c r="A434" s="23"/>
      <c r="B434" s="16"/>
      <c r="X434" s="17"/>
      <c r="Y434" s="15"/>
    </row>
    <row r="435" spans="1:25" ht="13.2">
      <c r="A435" s="23"/>
      <c r="B435" s="16"/>
      <c r="X435" s="17"/>
      <c r="Y435" s="15"/>
    </row>
    <row r="436" spans="1:25" ht="13.2">
      <c r="A436" s="23"/>
      <c r="B436" s="16"/>
      <c r="X436" s="17"/>
      <c r="Y436" s="15"/>
    </row>
    <row r="437" spans="1:25" ht="13.2">
      <c r="A437" s="23"/>
      <c r="B437" s="16"/>
      <c r="X437" s="17"/>
      <c r="Y437" s="15"/>
    </row>
    <row r="438" spans="1:25" ht="13.2">
      <c r="A438" s="23"/>
      <c r="B438" s="16"/>
      <c r="X438" s="17"/>
      <c r="Y438" s="15"/>
    </row>
    <row r="439" spans="1:25" ht="13.2">
      <c r="A439" s="23"/>
      <c r="B439" s="16"/>
      <c r="X439" s="17"/>
      <c r="Y439" s="15"/>
    </row>
    <row r="440" spans="1:25" ht="13.2">
      <c r="A440" s="23"/>
      <c r="B440" s="16"/>
      <c r="X440" s="17"/>
      <c r="Y440" s="15"/>
    </row>
    <row r="441" spans="1:25" ht="13.2">
      <c r="A441" s="23"/>
      <c r="B441" s="16"/>
      <c r="X441" s="17"/>
      <c r="Y441" s="15"/>
    </row>
    <row r="442" spans="1:25" ht="13.2">
      <c r="A442" s="23"/>
      <c r="B442" s="16"/>
      <c r="X442" s="17"/>
      <c r="Y442" s="15"/>
    </row>
    <row r="443" spans="1:25" ht="13.2">
      <c r="A443" s="23"/>
      <c r="B443" s="16"/>
      <c r="X443" s="17"/>
      <c r="Y443" s="15"/>
    </row>
    <row r="444" spans="1:25" ht="13.2">
      <c r="A444" s="23"/>
      <c r="B444" s="16"/>
      <c r="X444" s="17"/>
      <c r="Y444" s="15"/>
    </row>
    <row r="445" spans="1:25" ht="13.2">
      <c r="A445" s="23"/>
      <c r="B445" s="16"/>
      <c r="X445" s="17"/>
      <c r="Y445" s="15"/>
    </row>
    <row r="446" spans="1:25" ht="13.2">
      <c r="A446" s="23"/>
      <c r="B446" s="16"/>
      <c r="X446" s="17"/>
      <c r="Y446" s="15"/>
    </row>
    <row r="447" spans="1:25" ht="13.2">
      <c r="A447" s="23"/>
      <c r="B447" s="16"/>
      <c r="X447" s="17"/>
      <c r="Y447" s="15"/>
    </row>
    <row r="448" spans="1:25" ht="13.2">
      <c r="A448" s="23"/>
      <c r="B448" s="16"/>
      <c r="X448" s="17"/>
      <c r="Y448" s="15"/>
    </row>
    <row r="449" spans="1:25" ht="13.2">
      <c r="A449" s="23"/>
      <c r="B449" s="16"/>
      <c r="X449" s="17"/>
      <c r="Y449" s="15"/>
    </row>
    <row r="450" spans="1:25" ht="13.2">
      <c r="A450" s="23"/>
      <c r="B450" s="16"/>
      <c r="X450" s="17"/>
      <c r="Y450" s="15"/>
    </row>
    <row r="451" spans="1:25" ht="13.2">
      <c r="A451" s="23"/>
      <c r="B451" s="16"/>
      <c r="X451" s="17"/>
      <c r="Y451" s="15"/>
    </row>
    <row r="452" spans="1:25" ht="13.2">
      <c r="A452" s="23"/>
      <c r="B452" s="16"/>
      <c r="X452" s="17"/>
      <c r="Y452" s="15"/>
    </row>
    <row r="453" spans="1:25" ht="13.2">
      <c r="A453" s="23"/>
      <c r="B453" s="16"/>
      <c r="X453" s="17"/>
      <c r="Y453" s="15"/>
    </row>
    <row r="454" spans="1:25" ht="13.2">
      <c r="A454" s="23"/>
      <c r="B454" s="16"/>
      <c r="X454" s="17"/>
      <c r="Y454" s="15"/>
    </row>
    <row r="455" spans="1:25" ht="13.2">
      <c r="A455" s="23"/>
      <c r="B455" s="16"/>
      <c r="X455" s="17"/>
      <c r="Y455" s="15"/>
    </row>
    <row r="456" spans="1:25" ht="13.2">
      <c r="A456" s="23"/>
      <c r="B456" s="16"/>
      <c r="X456" s="17"/>
      <c r="Y456" s="15"/>
    </row>
    <row r="457" spans="1:25" ht="13.2">
      <c r="A457" s="23"/>
      <c r="B457" s="16"/>
      <c r="X457" s="17"/>
      <c r="Y457" s="15"/>
    </row>
    <row r="458" spans="1:25" ht="13.2">
      <c r="A458" s="23"/>
      <c r="B458" s="16"/>
      <c r="X458" s="17"/>
      <c r="Y458" s="15"/>
    </row>
    <row r="459" spans="1:25" ht="13.2">
      <c r="A459" s="23"/>
      <c r="B459" s="16"/>
      <c r="X459" s="17"/>
      <c r="Y459" s="15"/>
    </row>
    <row r="460" spans="1:25" ht="13.2">
      <c r="A460" s="23"/>
      <c r="B460" s="16"/>
      <c r="X460" s="17"/>
      <c r="Y460" s="15"/>
    </row>
    <row r="461" spans="1:25" ht="13.2">
      <c r="A461" s="23"/>
      <c r="B461" s="16"/>
      <c r="X461" s="17"/>
      <c r="Y461" s="15"/>
    </row>
    <row r="462" spans="1:25" ht="13.2">
      <c r="A462" s="23"/>
      <c r="B462" s="16"/>
      <c r="X462" s="17"/>
      <c r="Y462" s="15"/>
    </row>
    <row r="463" spans="1:25" ht="13.2">
      <c r="A463" s="23"/>
      <c r="B463" s="16"/>
      <c r="X463" s="17"/>
      <c r="Y463" s="15"/>
    </row>
    <row r="464" spans="1:25" ht="13.2">
      <c r="A464" s="23"/>
      <c r="B464" s="16"/>
      <c r="X464" s="17"/>
      <c r="Y464" s="15"/>
    </row>
    <row r="465" spans="1:25" ht="13.2">
      <c r="A465" s="23"/>
      <c r="B465" s="16"/>
      <c r="X465" s="17"/>
      <c r="Y465" s="15"/>
    </row>
    <row r="466" spans="1:25" ht="13.2">
      <c r="A466" s="23"/>
      <c r="B466" s="16"/>
      <c r="X466" s="17"/>
      <c r="Y466" s="15"/>
    </row>
    <row r="467" spans="1:25" ht="13.2">
      <c r="A467" s="23"/>
      <c r="B467" s="16"/>
      <c r="X467" s="17"/>
      <c r="Y467" s="15"/>
    </row>
    <row r="468" spans="1:25" ht="13.2">
      <c r="A468" s="23"/>
      <c r="B468" s="16"/>
      <c r="X468" s="17"/>
      <c r="Y468" s="15"/>
    </row>
    <row r="469" spans="1:25" ht="13.2">
      <c r="A469" s="23"/>
      <c r="B469" s="16"/>
      <c r="X469" s="17"/>
      <c r="Y469" s="15"/>
    </row>
    <row r="470" spans="1:25" ht="13.2">
      <c r="A470" s="23"/>
      <c r="B470" s="16"/>
      <c r="X470" s="17"/>
      <c r="Y470" s="15"/>
    </row>
    <row r="471" spans="1:25" ht="13.2">
      <c r="A471" s="23"/>
      <c r="B471" s="16"/>
      <c r="X471" s="17"/>
      <c r="Y471" s="15"/>
    </row>
    <row r="472" spans="1:25" ht="13.2">
      <c r="A472" s="23"/>
      <c r="B472" s="16"/>
      <c r="X472" s="17"/>
      <c r="Y472" s="15"/>
    </row>
    <row r="473" spans="1:25" ht="13.2">
      <c r="A473" s="23"/>
      <c r="B473" s="16"/>
      <c r="X473" s="17"/>
      <c r="Y473" s="15"/>
    </row>
    <row r="474" spans="1:25" ht="13.2">
      <c r="A474" s="23"/>
      <c r="B474" s="16"/>
      <c r="X474" s="17"/>
      <c r="Y474" s="15"/>
    </row>
    <row r="475" spans="1:25" ht="13.2">
      <c r="A475" s="23"/>
      <c r="B475" s="16"/>
      <c r="X475" s="17"/>
      <c r="Y475" s="15"/>
    </row>
    <row r="476" spans="1:25" ht="13.2">
      <c r="A476" s="23"/>
      <c r="B476" s="16"/>
      <c r="X476" s="17"/>
      <c r="Y476" s="15"/>
    </row>
    <row r="477" spans="1:25" ht="13.2">
      <c r="A477" s="23"/>
      <c r="B477" s="16"/>
      <c r="X477" s="17"/>
      <c r="Y477" s="15"/>
    </row>
    <row r="478" spans="1:25" ht="13.2">
      <c r="A478" s="23"/>
      <c r="B478" s="16"/>
      <c r="X478" s="17"/>
      <c r="Y478" s="15"/>
    </row>
    <row r="479" spans="1:25" ht="13.2">
      <c r="A479" s="23"/>
      <c r="B479" s="16"/>
      <c r="X479" s="17"/>
      <c r="Y479" s="15"/>
    </row>
    <row r="480" spans="1:25" ht="13.2">
      <c r="A480" s="23"/>
      <c r="B480" s="16"/>
      <c r="X480" s="17"/>
      <c r="Y480" s="15"/>
    </row>
    <row r="481" spans="1:25" ht="13.2">
      <c r="A481" s="23"/>
      <c r="B481" s="16"/>
      <c r="X481" s="17"/>
      <c r="Y481" s="15"/>
    </row>
    <row r="482" spans="1:25" ht="13.2">
      <c r="A482" s="23"/>
      <c r="B482" s="16"/>
      <c r="X482" s="17"/>
      <c r="Y482" s="15"/>
    </row>
    <row r="483" spans="1:25" ht="13.2">
      <c r="A483" s="23"/>
      <c r="B483" s="16"/>
      <c r="X483" s="17"/>
      <c r="Y483" s="15"/>
    </row>
    <row r="484" spans="1:25" ht="13.2">
      <c r="A484" s="23"/>
      <c r="B484" s="16"/>
      <c r="X484" s="17"/>
      <c r="Y484" s="15"/>
    </row>
    <row r="485" spans="1:25" ht="13.2">
      <c r="A485" s="23"/>
      <c r="B485" s="16"/>
      <c r="X485" s="17"/>
      <c r="Y485" s="15"/>
    </row>
    <row r="486" spans="1:25" ht="13.2">
      <c r="A486" s="23"/>
      <c r="B486" s="16"/>
      <c r="X486" s="17"/>
      <c r="Y486" s="15"/>
    </row>
    <row r="487" spans="1:25" ht="13.2">
      <c r="A487" s="23"/>
      <c r="B487" s="16"/>
      <c r="X487" s="17"/>
      <c r="Y487" s="15"/>
    </row>
    <row r="488" spans="1:25" ht="13.2">
      <c r="A488" s="23"/>
      <c r="B488" s="16"/>
      <c r="X488" s="17"/>
      <c r="Y488" s="15"/>
    </row>
    <row r="489" spans="1:25" ht="13.2">
      <c r="A489" s="23"/>
      <c r="B489" s="16"/>
      <c r="X489" s="17"/>
      <c r="Y489" s="15"/>
    </row>
    <row r="490" spans="1:25" ht="13.2">
      <c r="A490" s="23"/>
      <c r="B490" s="16"/>
      <c r="X490" s="17"/>
      <c r="Y490" s="15"/>
    </row>
    <row r="491" spans="1:25" ht="13.2">
      <c r="A491" s="23"/>
      <c r="B491" s="16"/>
      <c r="X491" s="17"/>
      <c r="Y491" s="15"/>
    </row>
    <row r="492" spans="1:25" ht="13.2">
      <c r="A492" s="23"/>
      <c r="B492" s="16"/>
      <c r="X492" s="17"/>
      <c r="Y492" s="15"/>
    </row>
    <row r="493" spans="1:25" ht="13.2">
      <c r="A493" s="23"/>
      <c r="B493" s="16"/>
      <c r="X493" s="17"/>
      <c r="Y493" s="15"/>
    </row>
    <row r="494" spans="1:25" ht="13.2">
      <c r="A494" s="23"/>
      <c r="B494" s="16"/>
      <c r="X494" s="17"/>
      <c r="Y494" s="15"/>
    </row>
    <row r="495" spans="1:25" ht="13.2">
      <c r="A495" s="23"/>
      <c r="B495" s="16"/>
      <c r="X495" s="17"/>
      <c r="Y495" s="15"/>
    </row>
    <row r="496" spans="1:25" ht="13.2">
      <c r="A496" s="23"/>
      <c r="B496" s="16"/>
      <c r="X496" s="17"/>
      <c r="Y496" s="15"/>
    </row>
    <row r="497" spans="1:25" ht="13.2">
      <c r="A497" s="23"/>
      <c r="B497" s="16"/>
      <c r="X497" s="17"/>
      <c r="Y497" s="15"/>
    </row>
    <row r="498" spans="1:25" ht="13.2">
      <c r="A498" s="23"/>
      <c r="B498" s="16"/>
      <c r="X498" s="17"/>
      <c r="Y498" s="15"/>
    </row>
    <row r="499" spans="1:25" ht="13.2">
      <c r="A499" s="23"/>
      <c r="B499" s="16"/>
      <c r="X499" s="17"/>
      <c r="Y499" s="15"/>
    </row>
    <row r="500" spans="1:25" ht="13.2">
      <c r="A500" s="23"/>
      <c r="B500" s="16"/>
      <c r="X500" s="17"/>
      <c r="Y500" s="15"/>
    </row>
    <row r="501" spans="1:25" ht="13.2">
      <c r="A501" s="23"/>
      <c r="B501" s="16"/>
      <c r="X501" s="17"/>
      <c r="Y501" s="15"/>
    </row>
    <row r="502" spans="1:25" ht="13.2">
      <c r="A502" s="23"/>
      <c r="B502" s="16"/>
      <c r="X502" s="17"/>
      <c r="Y502" s="15"/>
    </row>
    <row r="503" spans="1:25" ht="13.2">
      <c r="A503" s="23"/>
      <c r="B503" s="16"/>
      <c r="X503" s="17"/>
      <c r="Y503" s="15"/>
    </row>
    <row r="504" spans="1:25" ht="13.2">
      <c r="A504" s="23"/>
      <c r="B504" s="16"/>
      <c r="X504" s="17"/>
      <c r="Y504" s="15"/>
    </row>
    <row r="505" spans="1:25" ht="13.2">
      <c r="A505" s="23"/>
      <c r="B505" s="16"/>
      <c r="X505" s="17"/>
      <c r="Y505" s="15"/>
    </row>
    <row r="506" spans="1:25" ht="13.2">
      <c r="A506" s="23"/>
      <c r="B506" s="16"/>
      <c r="X506" s="17"/>
      <c r="Y506" s="15"/>
    </row>
    <row r="507" spans="1:25" ht="13.2">
      <c r="A507" s="23"/>
      <c r="B507" s="16"/>
      <c r="X507" s="17"/>
      <c r="Y507" s="15"/>
    </row>
    <row r="508" spans="1:25" ht="13.2">
      <c r="A508" s="23"/>
      <c r="B508" s="16"/>
      <c r="X508" s="17"/>
      <c r="Y508" s="15"/>
    </row>
    <row r="509" spans="1:25" ht="13.2">
      <c r="A509" s="23"/>
      <c r="B509" s="16"/>
      <c r="X509" s="17"/>
      <c r="Y509" s="15"/>
    </row>
    <row r="510" spans="1:25" ht="13.2">
      <c r="A510" s="23"/>
      <c r="B510" s="16"/>
      <c r="X510" s="17"/>
      <c r="Y510" s="15"/>
    </row>
    <row r="511" spans="1:25" ht="13.2">
      <c r="A511" s="23"/>
      <c r="B511" s="16"/>
      <c r="X511" s="17"/>
      <c r="Y511" s="15"/>
    </row>
    <row r="512" spans="1:25" ht="13.2">
      <c r="A512" s="23"/>
      <c r="B512" s="16"/>
      <c r="X512" s="17"/>
      <c r="Y512" s="15"/>
    </row>
    <row r="513" spans="1:25" ht="13.2">
      <c r="A513" s="23"/>
      <c r="B513" s="16"/>
      <c r="X513" s="17"/>
      <c r="Y513" s="15"/>
    </row>
    <row r="514" spans="1:25" ht="13.2">
      <c r="A514" s="23"/>
      <c r="B514" s="16"/>
      <c r="X514" s="17"/>
      <c r="Y514" s="15"/>
    </row>
    <row r="515" spans="1:25" ht="13.2">
      <c r="A515" s="23"/>
      <c r="B515" s="16"/>
      <c r="X515" s="17"/>
      <c r="Y515" s="15"/>
    </row>
    <row r="516" spans="1:25" ht="13.2">
      <c r="A516" s="23"/>
      <c r="B516" s="16"/>
      <c r="X516" s="17"/>
      <c r="Y516" s="15"/>
    </row>
    <row r="517" spans="1:25" ht="13.2">
      <c r="A517" s="23"/>
      <c r="B517" s="16"/>
      <c r="X517" s="17"/>
      <c r="Y517" s="15"/>
    </row>
    <row r="518" spans="1:25" ht="13.2">
      <c r="A518" s="23"/>
      <c r="B518" s="16"/>
      <c r="X518" s="17"/>
      <c r="Y518" s="15"/>
    </row>
    <row r="519" spans="1:25" ht="13.2">
      <c r="A519" s="23"/>
      <c r="B519" s="16"/>
      <c r="X519" s="17"/>
      <c r="Y519" s="15"/>
    </row>
    <row r="520" spans="1:25" ht="13.2">
      <c r="A520" s="23"/>
      <c r="B520" s="16"/>
      <c r="X520" s="17"/>
      <c r="Y520" s="15"/>
    </row>
    <row r="521" spans="1:25" ht="13.2">
      <c r="A521" s="23"/>
      <c r="B521" s="16"/>
      <c r="X521" s="17"/>
      <c r="Y521" s="15"/>
    </row>
    <row r="522" spans="1:25" ht="13.2">
      <c r="A522" s="23"/>
      <c r="B522" s="16"/>
      <c r="X522" s="17"/>
      <c r="Y522" s="15"/>
    </row>
    <row r="523" spans="1:25" ht="13.2">
      <c r="A523" s="23"/>
      <c r="B523" s="16"/>
      <c r="X523" s="17"/>
      <c r="Y523" s="15"/>
    </row>
    <row r="524" spans="1:25" ht="13.2">
      <c r="A524" s="23"/>
      <c r="B524" s="16"/>
      <c r="X524" s="17"/>
      <c r="Y524" s="15"/>
    </row>
    <row r="525" spans="1:25" ht="13.2">
      <c r="A525" s="23"/>
      <c r="B525" s="16"/>
      <c r="X525" s="17"/>
      <c r="Y525" s="15"/>
    </row>
    <row r="526" spans="1:25" ht="13.2">
      <c r="A526" s="23"/>
      <c r="B526" s="16"/>
      <c r="X526" s="17"/>
      <c r="Y526" s="15"/>
    </row>
    <row r="527" spans="1:25" ht="13.2">
      <c r="A527" s="23"/>
      <c r="B527" s="16"/>
      <c r="X527" s="17"/>
      <c r="Y527" s="15"/>
    </row>
    <row r="528" spans="1:25" ht="13.2">
      <c r="A528" s="23"/>
      <c r="B528" s="16"/>
      <c r="X528" s="17"/>
      <c r="Y528" s="15"/>
    </row>
    <row r="529" spans="1:25" ht="13.2">
      <c r="A529" s="23"/>
      <c r="B529" s="16"/>
      <c r="X529" s="17"/>
      <c r="Y529" s="15"/>
    </row>
    <row r="530" spans="1:25" ht="13.2">
      <c r="A530" s="23"/>
      <c r="B530" s="16"/>
      <c r="X530" s="17"/>
      <c r="Y530" s="15"/>
    </row>
    <row r="531" spans="1:25" ht="13.2">
      <c r="A531" s="23"/>
      <c r="B531" s="16"/>
      <c r="X531" s="17"/>
      <c r="Y531" s="15"/>
    </row>
    <row r="532" spans="1:25" ht="13.2">
      <c r="A532" s="23"/>
      <c r="B532" s="16"/>
      <c r="X532" s="17"/>
      <c r="Y532" s="15"/>
    </row>
    <row r="533" spans="1:25" ht="13.2">
      <c r="A533" s="23"/>
      <c r="B533" s="16"/>
      <c r="X533" s="17"/>
      <c r="Y533" s="15"/>
    </row>
    <row r="534" spans="1:25" ht="13.2">
      <c r="A534" s="23"/>
      <c r="B534" s="16"/>
      <c r="X534" s="17"/>
      <c r="Y534" s="15"/>
    </row>
    <row r="535" spans="1:25" ht="13.2">
      <c r="A535" s="23"/>
      <c r="B535" s="16"/>
      <c r="X535" s="17"/>
      <c r="Y535" s="15"/>
    </row>
    <row r="536" spans="1:25" ht="13.2">
      <c r="A536" s="23"/>
      <c r="B536" s="16"/>
      <c r="X536" s="17"/>
      <c r="Y536" s="15"/>
    </row>
    <row r="537" spans="1:25" ht="13.2">
      <c r="A537" s="23"/>
      <c r="B537" s="16"/>
      <c r="X537" s="17"/>
      <c r="Y537" s="15"/>
    </row>
    <row r="538" spans="1:25" ht="13.2">
      <c r="A538" s="23"/>
      <c r="B538" s="16"/>
      <c r="X538" s="17"/>
      <c r="Y538" s="15"/>
    </row>
    <row r="539" spans="1:25" ht="13.2">
      <c r="A539" s="23"/>
      <c r="B539" s="16"/>
      <c r="X539" s="17"/>
      <c r="Y539" s="15"/>
    </row>
    <row r="540" spans="1:25" ht="13.2">
      <c r="A540" s="23"/>
      <c r="B540" s="16"/>
      <c r="X540" s="17"/>
      <c r="Y540" s="15"/>
    </row>
    <row r="541" spans="1:25" ht="13.2">
      <c r="A541" s="23"/>
      <c r="B541" s="16"/>
      <c r="X541" s="17"/>
      <c r="Y541" s="15"/>
    </row>
    <row r="542" spans="1:25" ht="13.2">
      <c r="A542" s="23"/>
      <c r="B542" s="16"/>
      <c r="X542" s="17"/>
      <c r="Y542" s="15"/>
    </row>
    <row r="543" spans="1:25" ht="13.2">
      <c r="A543" s="23"/>
      <c r="B543" s="16"/>
      <c r="X543" s="17"/>
      <c r="Y543" s="15"/>
    </row>
    <row r="544" spans="1:25" ht="13.2">
      <c r="A544" s="23"/>
      <c r="B544" s="16"/>
      <c r="X544" s="17"/>
      <c r="Y544" s="15"/>
    </row>
    <row r="545" spans="1:25" ht="13.2">
      <c r="A545" s="23"/>
      <c r="B545" s="16"/>
      <c r="X545" s="17"/>
      <c r="Y545" s="15"/>
    </row>
    <row r="546" spans="1:25" ht="13.2">
      <c r="A546" s="23"/>
      <c r="B546" s="16"/>
      <c r="X546" s="17"/>
      <c r="Y546" s="15"/>
    </row>
    <row r="547" spans="1:25" ht="13.2">
      <c r="A547" s="23"/>
      <c r="B547" s="16"/>
      <c r="X547" s="17"/>
      <c r="Y547" s="15"/>
    </row>
    <row r="548" spans="1:25" ht="13.2">
      <c r="A548" s="23"/>
      <c r="B548" s="16"/>
      <c r="X548" s="17"/>
      <c r="Y548" s="15"/>
    </row>
    <row r="549" spans="1:25" ht="13.2">
      <c r="A549" s="23"/>
      <c r="B549" s="16"/>
      <c r="X549" s="17"/>
      <c r="Y549" s="15"/>
    </row>
    <row r="550" spans="1:25" ht="13.2">
      <c r="A550" s="23"/>
      <c r="B550" s="16"/>
      <c r="X550" s="17"/>
      <c r="Y550" s="15"/>
    </row>
    <row r="551" spans="1:25" ht="13.2">
      <c r="A551" s="23"/>
      <c r="B551" s="16"/>
      <c r="X551" s="17"/>
      <c r="Y551" s="15"/>
    </row>
    <row r="552" spans="1:25" ht="13.2">
      <c r="A552" s="23"/>
      <c r="B552" s="16"/>
      <c r="X552" s="17"/>
      <c r="Y552" s="15"/>
    </row>
    <row r="553" spans="1:25" ht="13.2">
      <c r="A553" s="23"/>
      <c r="B553" s="16"/>
      <c r="X553" s="17"/>
      <c r="Y553" s="15"/>
    </row>
    <row r="554" spans="1:25" ht="13.2">
      <c r="A554" s="23"/>
      <c r="B554" s="16"/>
      <c r="X554" s="17"/>
      <c r="Y554" s="15"/>
    </row>
    <row r="555" spans="1:25" ht="13.2">
      <c r="A555" s="23"/>
      <c r="B555" s="16"/>
      <c r="X555" s="17"/>
      <c r="Y555" s="15"/>
    </row>
    <row r="556" spans="1:25" ht="13.2">
      <c r="A556" s="23"/>
      <c r="B556" s="16"/>
      <c r="X556" s="17"/>
      <c r="Y556" s="15"/>
    </row>
    <row r="557" spans="1:25" ht="13.2">
      <c r="A557" s="23"/>
      <c r="B557" s="16"/>
      <c r="X557" s="17"/>
      <c r="Y557" s="15"/>
    </row>
    <row r="558" spans="1:25" ht="13.2">
      <c r="A558" s="23"/>
      <c r="B558" s="16"/>
      <c r="X558" s="17"/>
      <c r="Y558" s="15"/>
    </row>
    <row r="559" spans="1:25" ht="13.2">
      <c r="A559" s="23"/>
      <c r="B559" s="16"/>
      <c r="X559" s="17"/>
      <c r="Y559" s="15"/>
    </row>
    <row r="560" spans="1:25" ht="13.2">
      <c r="A560" s="23"/>
      <c r="B560" s="16"/>
      <c r="X560" s="17"/>
      <c r="Y560" s="15"/>
    </row>
    <row r="561" spans="1:25" ht="13.2">
      <c r="A561" s="23"/>
      <c r="B561" s="16"/>
      <c r="X561" s="17"/>
      <c r="Y561" s="15"/>
    </row>
    <row r="562" spans="1:25" ht="13.2">
      <c r="A562" s="23"/>
      <c r="B562" s="16"/>
      <c r="X562" s="17"/>
      <c r="Y562" s="15"/>
    </row>
    <row r="563" spans="1:25" ht="13.2">
      <c r="A563" s="23"/>
      <c r="B563" s="16"/>
      <c r="X563" s="17"/>
      <c r="Y563" s="15"/>
    </row>
    <row r="564" spans="1:25" ht="13.2">
      <c r="A564" s="23"/>
      <c r="B564" s="16"/>
      <c r="X564" s="17"/>
      <c r="Y564" s="15"/>
    </row>
    <row r="565" spans="1:25" ht="13.2">
      <c r="A565" s="23"/>
      <c r="B565" s="16"/>
      <c r="X565" s="17"/>
      <c r="Y565" s="15"/>
    </row>
    <row r="566" spans="1:25" ht="13.2">
      <c r="A566" s="23"/>
      <c r="B566" s="16"/>
      <c r="X566" s="17"/>
      <c r="Y566" s="15"/>
    </row>
    <row r="567" spans="1:25" ht="13.2">
      <c r="A567" s="23"/>
      <c r="B567" s="16"/>
      <c r="X567" s="17"/>
      <c r="Y567" s="15"/>
    </row>
    <row r="568" spans="1:25" ht="13.2">
      <c r="A568" s="23"/>
      <c r="B568" s="16"/>
      <c r="X568" s="17"/>
      <c r="Y568" s="15"/>
    </row>
    <row r="569" spans="1:25" ht="13.2">
      <c r="A569" s="23"/>
      <c r="B569" s="16"/>
      <c r="X569" s="17"/>
      <c r="Y569" s="15"/>
    </row>
    <row r="570" spans="1:25" ht="13.2">
      <c r="A570" s="23"/>
      <c r="B570" s="16"/>
      <c r="X570" s="17"/>
      <c r="Y570" s="15"/>
    </row>
    <row r="571" spans="1:25" ht="13.2">
      <c r="A571" s="23"/>
      <c r="B571" s="16"/>
      <c r="X571" s="17"/>
      <c r="Y571" s="15"/>
    </row>
    <row r="572" spans="1:25" ht="13.2">
      <c r="A572" s="23"/>
      <c r="B572" s="16"/>
      <c r="X572" s="17"/>
      <c r="Y572" s="15"/>
    </row>
    <row r="573" spans="1:25" ht="13.2">
      <c r="A573" s="23"/>
      <c r="B573" s="16"/>
      <c r="X573" s="17"/>
      <c r="Y573" s="15"/>
    </row>
    <row r="574" spans="1:25" ht="13.2">
      <c r="A574" s="23"/>
      <c r="B574" s="16"/>
      <c r="X574" s="17"/>
      <c r="Y574" s="15"/>
    </row>
    <row r="575" spans="1:25" ht="13.2">
      <c r="A575" s="23"/>
      <c r="B575" s="16"/>
      <c r="X575" s="17"/>
      <c r="Y575" s="15"/>
    </row>
    <row r="576" spans="1:25" ht="13.2">
      <c r="A576" s="23"/>
      <c r="B576" s="16"/>
      <c r="X576" s="17"/>
      <c r="Y576" s="15"/>
    </row>
    <row r="577" spans="1:25" ht="13.2">
      <c r="A577" s="23"/>
      <c r="B577" s="16"/>
      <c r="X577" s="17"/>
      <c r="Y577" s="15"/>
    </row>
    <row r="578" spans="1:25" ht="13.2">
      <c r="A578" s="23"/>
      <c r="B578" s="16"/>
      <c r="X578" s="17"/>
      <c r="Y578" s="15"/>
    </row>
    <row r="579" spans="1:25" ht="13.2">
      <c r="A579" s="23"/>
      <c r="B579" s="16"/>
      <c r="X579" s="17"/>
      <c r="Y579" s="15"/>
    </row>
    <row r="580" spans="1:25" ht="13.2">
      <c r="A580" s="23"/>
      <c r="B580" s="16"/>
      <c r="X580" s="17"/>
      <c r="Y580" s="15"/>
    </row>
    <row r="581" spans="1:25" ht="13.2">
      <c r="A581" s="23"/>
      <c r="B581" s="16"/>
      <c r="X581" s="17"/>
      <c r="Y581" s="15"/>
    </row>
    <row r="582" spans="1:25" ht="13.2">
      <c r="A582" s="23"/>
      <c r="B582" s="16"/>
      <c r="X582" s="17"/>
      <c r="Y582" s="15"/>
    </row>
    <row r="583" spans="1:25" ht="13.2">
      <c r="A583" s="23"/>
      <c r="B583" s="16"/>
      <c r="X583" s="17"/>
      <c r="Y583" s="15"/>
    </row>
    <row r="584" spans="1:25" ht="13.2">
      <c r="A584" s="23"/>
      <c r="B584" s="16"/>
      <c r="X584" s="17"/>
      <c r="Y584" s="15"/>
    </row>
    <row r="585" spans="1:25" ht="13.2">
      <c r="A585" s="23"/>
      <c r="B585" s="16"/>
      <c r="X585" s="17"/>
      <c r="Y585" s="15"/>
    </row>
    <row r="586" spans="1:25" ht="13.2">
      <c r="A586" s="23"/>
      <c r="B586" s="16"/>
      <c r="X586" s="17"/>
      <c r="Y586" s="15"/>
    </row>
    <row r="587" spans="1:25" ht="13.2">
      <c r="A587" s="23"/>
      <c r="B587" s="16"/>
      <c r="X587" s="17"/>
      <c r="Y587" s="15"/>
    </row>
    <row r="588" spans="1:25" ht="13.2">
      <c r="A588" s="23"/>
      <c r="B588" s="16"/>
      <c r="X588" s="17"/>
      <c r="Y588" s="15"/>
    </row>
    <row r="589" spans="1:25" ht="13.2">
      <c r="A589" s="23"/>
      <c r="B589" s="16"/>
      <c r="X589" s="17"/>
      <c r="Y589" s="15"/>
    </row>
    <row r="590" spans="1:25" ht="13.2">
      <c r="A590" s="23"/>
      <c r="B590" s="16"/>
      <c r="X590" s="17"/>
      <c r="Y590" s="15"/>
    </row>
    <row r="591" spans="1:25" ht="13.2">
      <c r="A591" s="23"/>
      <c r="B591" s="16"/>
      <c r="X591" s="17"/>
      <c r="Y591" s="15"/>
    </row>
    <row r="592" spans="1:25" ht="13.2">
      <c r="A592" s="23"/>
      <c r="B592" s="16"/>
      <c r="X592" s="17"/>
      <c r="Y592" s="15"/>
    </row>
    <row r="593" spans="1:25" ht="13.2">
      <c r="A593" s="23"/>
      <c r="B593" s="16"/>
      <c r="X593" s="17"/>
      <c r="Y593" s="15"/>
    </row>
    <row r="594" spans="1:25" ht="13.2">
      <c r="A594" s="23"/>
      <c r="B594" s="16"/>
      <c r="X594" s="17"/>
      <c r="Y594" s="15"/>
    </row>
    <row r="595" spans="1:25" ht="13.2">
      <c r="A595" s="23"/>
      <c r="B595" s="16"/>
      <c r="X595" s="17"/>
      <c r="Y595" s="15"/>
    </row>
    <row r="596" spans="1:25" ht="13.2">
      <c r="A596" s="23"/>
      <c r="B596" s="16"/>
      <c r="X596" s="17"/>
      <c r="Y596" s="15"/>
    </row>
    <row r="597" spans="1:25" ht="13.2">
      <c r="A597" s="23"/>
      <c r="B597" s="16"/>
      <c r="X597" s="17"/>
      <c r="Y597" s="15"/>
    </row>
    <row r="598" spans="1:25" ht="13.2">
      <c r="A598" s="23"/>
      <c r="B598" s="16"/>
      <c r="X598" s="17"/>
      <c r="Y598" s="15"/>
    </row>
    <row r="599" spans="1:25" ht="13.2">
      <c r="A599" s="23"/>
      <c r="B599" s="16"/>
      <c r="X599" s="17"/>
      <c r="Y599" s="15"/>
    </row>
    <row r="600" spans="1:25" ht="13.2">
      <c r="A600" s="23"/>
      <c r="B600" s="16"/>
      <c r="X600" s="17"/>
      <c r="Y600" s="15"/>
    </row>
    <row r="601" spans="1:25" ht="13.2">
      <c r="A601" s="23"/>
      <c r="B601" s="16"/>
      <c r="X601" s="17"/>
      <c r="Y601" s="15"/>
    </row>
    <row r="602" spans="1:25" ht="13.2">
      <c r="A602" s="23"/>
      <c r="B602" s="16"/>
      <c r="X602" s="17"/>
      <c r="Y602" s="15"/>
    </row>
    <row r="603" spans="1:25" ht="13.2">
      <c r="A603" s="23"/>
      <c r="B603" s="16"/>
      <c r="X603" s="17"/>
      <c r="Y603" s="15"/>
    </row>
    <row r="604" spans="1:25" ht="13.2">
      <c r="A604" s="23"/>
      <c r="B604" s="16"/>
      <c r="X604" s="17"/>
      <c r="Y604" s="15"/>
    </row>
    <row r="605" spans="1:25" ht="13.2">
      <c r="A605" s="23"/>
      <c r="B605" s="16"/>
      <c r="X605" s="17"/>
      <c r="Y605" s="15"/>
    </row>
    <row r="606" spans="1:25" ht="13.2">
      <c r="A606" s="23"/>
      <c r="B606" s="16"/>
      <c r="X606" s="17"/>
      <c r="Y606" s="15"/>
    </row>
    <row r="607" spans="1:25" ht="13.2">
      <c r="A607" s="23"/>
      <c r="B607" s="16"/>
      <c r="X607" s="17"/>
      <c r="Y607" s="15"/>
    </row>
    <row r="608" spans="1:25" ht="13.2">
      <c r="A608" s="23"/>
      <c r="B608" s="16"/>
      <c r="X608" s="17"/>
      <c r="Y608" s="15"/>
    </row>
    <row r="609" spans="1:25" ht="13.2">
      <c r="A609" s="23"/>
      <c r="B609" s="16"/>
      <c r="X609" s="17"/>
      <c r="Y609" s="15"/>
    </row>
    <row r="610" spans="1:25" ht="13.2">
      <c r="A610" s="23"/>
      <c r="B610" s="16"/>
      <c r="X610" s="17"/>
      <c r="Y610" s="15"/>
    </row>
    <row r="611" spans="1:25" ht="13.2">
      <c r="A611" s="23"/>
      <c r="B611" s="16"/>
      <c r="X611" s="17"/>
      <c r="Y611" s="15"/>
    </row>
    <row r="612" spans="1:25" ht="13.2">
      <c r="A612" s="23"/>
      <c r="B612" s="16"/>
      <c r="X612" s="17"/>
      <c r="Y612" s="15"/>
    </row>
    <row r="613" spans="1:25" ht="13.2">
      <c r="A613" s="23"/>
      <c r="B613" s="16"/>
      <c r="X613" s="17"/>
      <c r="Y613" s="15"/>
    </row>
    <row r="614" spans="1:25" ht="13.2">
      <c r="A614" s="23"/>
      <c r="B614" s="16"/>
      <c r="X614" s="17"/>
      <c r="Y614" s="15"/>
    </row>
    <row r="615" spans="1:25" ht="13.2">
      <c r="A615" s="23"/>
      <c r="B615" s="16"/>
      <c r="X615" s="17"/>
      <c r="Y615" s="15"/>
    </row>
    <row r="616" spans="1:25" ht="13.2">
      <c r="A616" s="23"/>
      <c r="B616" s="16"/>
      <c r="X616" s="17"/>
      <c r="Y616" s="15"/>
    </row>
    <row r="617" spans="1:25" ht="13.2">
      <c r="A617" s="23"/>
      <c r="B617" s="16"/>
      <c r="X617" s="17"/>
      <c r="Y617" s="15"/>
    </row>
    <row r="618" spans="1:25" ht="13.2">
      <c r="A618" s="23"/>
      <c r="B618" s="16"/>
      <c r="X618" s="17"/>
      <c r="Y618" s="15"/>
    </row>
    <row r="619" spans="1:25" ht="13.2">
      <c r="A619" s="23"/>
      <c r="B619" s="16"/>
      <c r="X619" s="17"/>
      <c r="Y619" s="15"/>
    </row>
    <row r="620" spans="1:25" ht="13.2">
      <c r="A620" s="23"/>
      <c r="B620" s="16"/>
      <c r="X620" s="17"/>
      <c r="Y620" s="15"/>
    </row>
    <row r="621" spans="1:25" ht="13.2">
      <c r="A621" s="23"/>
      <c r="B621" s="16"/>
      <c r="X621" s="17"/>
      <c r="Y621" s="15"/>
    </row>
    <row r="622" spans="1:25" ht="13.2">
      <c r="A622" s="23"/>
      <c r="B622" s="16"/>
      <c r="X622" s="17"/>
      <c r="Y622" s="15"/>
    </row>
    <row r="623" spans="1:25" ht="13.2">
      <c r="A623" s="23"/>
      <c r="B623" s="16"/>
      <c r="X623" s="17"/>
      <c r="Y623" s="15"/>
    </row>
    <row r="624" spans="1:25" ht="13.2">
      <c r="A624" s="23"/>
      <c r="B624" s="16"/>
      <c r="X624" s="17"/>
      <c r="Y624" s="15"/>
    </row>
    <row r="625" spans="1:25" ht="13.2">
      <c r="A625" s="23"/>
      <c r="B625" s="16"/>
      <c r="X625" s="17"/>
      <c r="Y625" s="15"/>
    </row>
    <row r="626" spans="1:25" ht="13.2">
      <c r="A626" s="23"/>
      <c r="B626" s="16"/>
      <c r="X626" s="17"/>
      <c r="Y626" s="15"/>
    </row>
    <row r="627" spans="1:25" ht="13.2">
      <c r="A627" s="23"/>
      <c r="B627" s="16"/>
      <c r="X627" s="17"/>
      <c r="Y627" s="15"/>
    </row>
    <row r="628" spans="1:25" ht="13.2">
      <c r="A628" s="23"/>
      <c r="B628" s="16"/>
      <c r="X628" s="17"/>
      <c r="Y628" s="15"/>
    </row>
    <row r="629" spans="1:25" ht="13.2">
      <c r="A629" s="23"/>
      <c r="B629" s="16"/>
      <c r="X629" s="17"/>
      <c r="Y629" s="15"/>
    </row>
    <row r="630" spans="1:25" ht="13.2">
      <c r="A630" s="23"/>
      <c r="B630" s="16"/>
      <c r="X630" s="17"/>
      <c r="Y630" s="15"/>
    </row>
    <row r="631" spans="1:25" ht="13.2">
      <c r="A631" s="23"/>
      <c r="B631" s="16"/>
      <c r="X631" s="17"/>
      <c r="Y631" s="15"/>
    </row>
    <row r="632" spans="1:25" ht="13.2">
      <c r="A632" s="23"/>
      <c r="B632" s="16"/>
      <c r="X632" s="17"/>
      <c r="Y632" s="15"/>
    </row>
    <row r="633" spans="1:25" ht="13.2">
      <c r="A633" s="23"/>
      <c r="B633" s="16"/>
      <c r="X633" s="17"/>
      <c r="Y633" s="15"/>
    </row>
    <row r="634" spans="1:25" ht="13.2">
      <c r="A634" s="23"/>
      <c r="B634" s="16"/>
      <c r="X634" s="17"/>
      <c r="Y634" s="15"/>
    </row>
    <row r="635" spans="1:25" ht="13.2">
      <c r="A635" s="23"/>
      <c r="B635" s="16"/>
      <c r="X635" s="17"/>
      <c r="Y635" s="15"/>
    </row>
    <row r="636" spans="1:25" ht="13.2">
      <c r="A636" s="23"/>
      <c r="B636" s="16"/>
      <c r="X636" s="17"/>
      <c r="Y636" s="15"/>
    </row>
    <row r="637" spans="1:25" ht="13.2">
      <c r="A637" s="23"/>
      <c r="B637" s="16"/>
      <c r="X637" s="17"/>
      <c r="Y637" s="15"/>
    </row>
    <row r="638" spans="1:25" ht="13.2">
      <c r="A638" s="23"/>
      <c r="B638" s="16"/>
      <c r="X638" s="17"/>
      <c r="Y638" s="15"/>
    </row>
    <row r="639" spans="1:25" ht="13.2">
      <c r="A639" s="23"/>
      <c r="B639" s="16"/>
      <c r="X639" s="17"/>
      <c r="Y639" s="15"/>
    </row>
    <row r="640" spans="1:25" ht="13.2">
      <c r="A640" s="23"/>
      <c r="B640" s="16"/>
      <c r="X640" s="17"/>
      <c r="Y640" s="15"/>
    </row>
    <row r="641" spans="1:25" ht="13.2">
      <c r="A641" s="23"/>
      <c r="B641" s="16"/>
      <c r="X641" s="17"/>
      <c r="Y641" s="15"/>
    </row>
    <row r="642" spans="1:25" ht="13.2">
      <c r="A642" s="23"/>
      <c r="B642" s="16"/>
      <c r="X642" s="17"/>
      <c r="Y642" s="15"/>
    </row>
    <row r="643" spans="1:25" ht="13.2">
      <c r="A643" s="23"/>
      <c r="B643" s="16"/>
      <c r="X643" s="17"/>
      <c r="Y643" s="15"/>
    </row>
    <row r="644" spans="1:25" ht="13.2">
      <c r="A644" s="23"/>
      <c r="B644" s="16"/>
      <c r="X644" s="17"/>
      <c r="Y644" s="15"/>
    </row>
    <row r="645" spans="1:25" ht="13.2">
      <c r="A645" s="23"/>
      <c r="B645" s="16"/>
      <c r="X645" s="17"/>
      <c r="Y645" s="15"/>
    </row>
    <row r="646" spans="1:25" ht="13.2">
      <c r="A646" s="23"/>
      <c r="B646" s="16"/>
      <c r="X646" s="17"/>
      <c r="Y646" s="15"/>
    </row>
    <row r="647" spans="1:25" ht="13.2">
      <c r="A647" s="23"/>
      <c r="B647" s="16"/>
      <c r="X647" s="17"/>
      <c r="Y647" s="15"/>
    </row>
    <row r="648" spans="1:25" ht="13.2">
      <c r="A648" s="23"/>
      <c r="B648" s="16"/>
      <c r="X648" s="17"/>
      <c r="Y648" s="15"/>
    </row>
    <row r="649" spans="1:25" ht="13.2">
      <c r="A649" s="23"/>
      <c r="B649" s="16"/>
      <c r="X649" s="17"/>
      <c r="Y649" s="15"/>
    </row>
    <row r="650" spans="1:25" ht="13.2">
      <c r="A650" s="23"/>
      <c r="B650" s="16"/>
      <c r="X650" s="17"/>
      <c r="Y650" s="15"/>
    </row>
    <row r="651" spans="1:25" ht="13.2">
      <c r="A651" s="23"/>
      <c r="B651" s="16"/>
      <c r="X651" s="17"/>
      <c r="Y651" s="15"/>
    </row>
    <row r="652" spans="1:25" ht="13.2">
      <c r="A652" s="23"/>
      <c r="B652" s="16"/>
      <c r="X652" s="17"/>
      <c r="Y652" s="15"/>
    </row>
    <row r="653" spans="1:25" ht="13.2">
      <c r="A653" s="23"/>
      <c r="B653" s="16"/>
      <c r="X653" s="17"/>
      <c r="Y653" s="15"/>
    </row>
    <row r="654" spans="1:25" ht="13.2">
      <c r="A654" s="23"/>
      <c r="B654" s="16"/>
      <c r="X654" s="17"/>
      <c r="Y654" s="15"/>
    </row>
    <row r="655" spans="1:25" ht="13.2">
      <c r="A655" s="23"/>
      <c r="B655" s="16"/>
      <c r="X655" s="17"/>
      <c r="Y655" s="15"/>
    </row>
    <row r="656" spans="1:25" ht="13.2">
      <c r="A656" s="23"/>
      <c r="B656" s="16"/>
      <c r="X656" s="17"/>
      <c r="Y656" s="15"/>
    </row>
    <row r="657" spans="1:25" ht="13.2">
      <c r="A657" s="23"/>
      <c r="B657" s="16"/>
      <c r="X657" s="17"/>
      <c r="Y657" s="15"/>
    </row>
    <row r="658" spans="1:25" ht="13.2">
      <c r="A658" s="23"/>
      <c r="B658" s="16"/>
      <c r="X658" s="17"/>
      <c r="Y658" s="15"/>
    </row>
    <row r="659" spans="1:25" ht="13.2">
      <c r="A659" s="23"/>
      <c r="B659" s="16"/>
      <c r="X659" s="17"/>
      <c r="Y659" s="15"/>
    </row>
    <row r="660" spans="1:25" ht="13.2">
      <c r="A660" s="23"/>
      <c r="B660" s="16"/>
      <c r="X660" s="17"/>
      <c r="Y660" s="15"/>
    </row>
    <row r="661" spans="1:25" ht="13.2">
      <c r="A661" s="23"/>
      <c r="B661" s="16"/>
      <c r="X661" s="17"/>
      <c r="Y661" s="15"/>
    </row>
    <row r="662" spans="1:25" ht="13.2">
      <c r="A662" s="23"/>
      <c r="B662" s="16"/>
      <c r="X662" s="17"/>
      <c r="Y662" s="15"/>
    </row>
    <row r="663" spans="1:25" ht="13.2">
      <c r="A663" s="23"/>
      <c r="B663" s="16"/>
      <c r="X663" s="17"/>
      <c r="Y663" s="15"/>
    </row>
    <row r="664" spans="1:25" ht="13.2">
      <c r="A664" s="23"/>
      <c r="B664" s="16"/>
      <c r="X664" s="17"/>
      <c r="Y664" s="15"/>
    </row>
    <row r="665" spans="1:25" ht="13.2">
      <c r="A665" s="23"/>
      <c r="B665" s="16"/>
      <c r="X665" s="17"/>
      <c r="Y665" s="15"/>
    </row>
    <row r="666" spans="1:25" ht="13.2">
      <c r="A666" s="23"/>
      <c r="B666" s="16"/>
      <c r="X666" s="17"/>
      <c r="Y666" s="15"/>
    </row>
    <row r="667" spans="1:25" ht="13.2">
      <c r="A667" s="23"/>
      <c r="B667" s="16"/>
      <c r="X667" s="17"/>
      <c r="Y667" s="15"/>
    </row>
    <row r="668" spans="1:25" ht="13.2">
      <c r="A668" s="23"/>
      <c r="B668" s="16"/>
      <c r="X668" s="17"/>
      <c r="Y668" s="15"/>
    </row>
    <row r="669" spans="1:25" ht="13.2">
      <c r="A669" s="23"/>
      <c r="B669" s="16"/>
      <c r="X669" s="17"/>
      <c r="Y669" s="15"/>
    </row>
    <row r="670" spans="1:25" ht="13.2">
      <c r="A670" s="23"/>
      <c r="B670" s="16"/>
      <c r="X670" s="17"/>
      <c r="Y670" s="15"/>
    </row>
    <row r="671" spans="1:25" ht="13.2">
      <c r="A671" s="23"/>
      <c r="B671" s="16"/>
      <c r="X671" s="17"/>
      <c r="Y671" s="15"/>
    </row>
    <row r="672" spans="1:25" ht="13.2">
      <c r="A672" s="23"/>
      <c r="B672" s="16"/>
      <c r="X672" s="17"/>
      <c r="Y672" s="15"/>
    </row>
    <row r="673" spans="1:25" ht="13.2">
      <c r="A673" s="23"/>
      <c r="B673" s="16"/>
      <c r="X673" s="17"/>
      <c r="Y673" s="15"/>
    </row>
    <row r="674" spans="1:25" ht="13.2">
      <c r="A674" s="23"/>
      <c r="B674" s="16"/>
      <c r="X674" s="17"/>
      <c r="Y674" s="15"/>
    </row>
    <row r="675" spans="1:25" ht="13.2">
      <c r="A675" s="23"/>
      <c r="B675" s="16"/>
      <c r="X675" s="17"/>
      <c r="Y675" s="15"/>
    </row>
    <row r="676" spans="1:25" ht="13.2">
      <c r="A676" s="23"/>
      <c r="B676" s="16"/>
      <c r="X676" s="17"/>
      <c r="Y676" s="15"/>
    </row>
    <row r="677" spans="1:25" ht="13.2">
      <c r="A677" s="23"/>
      <c r="B677" s="16"/>
      <c r="X677" s="17"/>
      <c r="Y677" s="15"/>
    </row>
    <row r="678" spans="1:25" ht="13.2">
      <c r="A678" s="23"/>
      <c r="B678" s="16"/>
      <c r="X678" s="17"/>
      <c r="Y678" s="15"/>
    </row>
    <row r="679" spans="1:25" ht="13.2">
      <c r="A679" s="23"/>
      <c r="B679" s="16"/>
      <c r="X679" s="17"/>
      <c r="Y679" s="15"/>
    </row>
    <row r="680" spans="1:25" ht="13.2">
      <c r="A680" s="23"/>
      <c r="B680" s="16"/>
      <c r="X680" s="17"/>
      <c r="Y680" s="15"/>
    </row>
    <row r="681" spans="1:25" ht="13.2">
      <c r="A681" s="23"/>
      <c r="B681" s="16"/>
      <c r="X681" s="17"/>
      <c r="Y681" s="15"/>
    </row>
    <row r="682" spans="1:25" ht="13.2">
      <c r="A682" s="23"/>
      <c r="B682" s="16"/>
      <c r="X682" s="17"/>
      <c r="Y682" s="15"/>
    </row>
    <row r="683" spans="1:25" ht="13.2">
      <c r="A683" s="23"/>
      <c r="B683" s="16"/>
      <c r="X683" s="17"/>
      <c r="Y683" s="15"/>
    </row>
    <row r="684" spans="1:25" ht="13.2">
      <c r="A684" s="23"/>
      <c r="B684" s="16"/>
      <c r="X684" s="17"/>
      <c r="Y684" s="15"/>
    </row>
    <row r="685" spans="1:25" ht="13.2">
      <c r="A685" s="23"/>
      <c r="B685" s="16"/>
      <c r="X685" s="17"/>
      <c r="Y685" s="15"/>
    </row>
    <row r="686" spans="1:25" ht="13.2">
      <c r="A686" s="23"/>
      <c r="B686" s="16"/>
      <c r="X686" s="17"/>
      <c r="Y686" s="15"/>
    </row>
    <row r="687" spans="1:25" ht="13.2">
      <c r="A687" s="23"/>
      <c r="B687" s="16"/>
      <c r="X687" s="17"/>
      <c r="Y687" s="15"/>
    </row>
    <row r="688" spans="1:25" ht="13.2">
      <c r="A688" s="23"/>
      <c r="B688" s="16"/>
      <c r="X688" s="17"/>
      <c r="Y688" s="15"/>
    </row>
    <row r="689" spans="1:25" ht="13.2">
      <c r="A689" s="23"/>
      <c r="B689" s="16"/>
      <c r="X689" s="17"/>
      <c r="Y689" s="15"/>
    </row>
    <row r="690" spans="1:25" ht="13.2">
      <c r="A690" s="23"/>
      <c r="B690" s="16"/>
      <c r="X690" s="17"/>
      <c r="Y690" s="15"/>
    </row>
    <row r="691" spans="1:25" ht="13.2">
      <c r="A691" s="23"/>
      <c r="B691" s="16"/>
      <c r="X691" s="17"/>
      <c r="Y691" s="15"/>
    </row>
    <row r="692" spans="1:25" ht="13.2">
      <c r="A692" s="23"/>
      <c r="B692" s="16"/>
      <c r="X692" s="17"/>
      <c r="Y692" s="15"/>
    </row>
    <row r="693" spans="1:25" ht="13.2">
      <c r="A693" s="23"/>
      <c r="B693" s="16"/>
      <c r="X693" s="17"/>
      <c r="Y693" s="15"/>
    </row>
    <row r="694" spans="1:25" ht="13.2">
      <c r="A694" s="23"/>
      <c r="B694" s="16"/>
      <c r="X694" s="17"/>
      <c r="Y694" s="15"/>
    </row>
    <row r="695" spans="1:25" ht="13.2">
      <c r="A695" s="23"/>
      <c r="B695" s="16"/>
      <c r="X695" s="17"/>
      <c r="Y695" s="15"/>
    </row>
    <row r="696" spans="1:25" ht="13.2">
      <c r="A696" s="23"/>
      <c r="B696" s="16"/>
      <c r="X696" s="17"/>
      <c r="Y696" s="15"/>
    </row>
    <row r="697" spans="1:25" ht="13.2">
      <c r="A697" s="23"/>
      <c r="B697" s="16"/>
      <c r="X697" s="17"/>
      <c r="Y697" s="15"/>
    </row>
    <row r="698" spans="1:25" ht="13.2">
      <c r="A698" s="23"/>
      <c r="B698" s="16"/>
      <c r="X698" s="17"/>
      <c r="Y698" s="15"/>
    </row>
    <row r="699" spans="1:25" ht="13.2">
      <c r="A699" s="23"/>
      <c r="B699" s="16"/>
      <c r="X699" s="17"/>
      <c r="Y699" s="15"/>
    </row>
    <row r="700" spans="1:25" ht="13.2">
      <c r="A700" s="23"/>
      <c r="B700" s="16"/>
      <c r="X700" s="17"/>
      <c r="Y700" s="15"/>
    </row>
    <row r="701" spans="1:25" ht="13.2">
      <c r="A701" s="23"/>
      <c r="B701" s="16"/>
      <c r="X701" s="17"/>
      <c r="Y701" s="15"/>
    </row>
    <row r="702" spans="1:25" ht="13.2">
      <c r="A702" s="23"/>
      <c r="B702" s="16"/>
      <c r="X702" s="17"/>
      <c r="Y702" s="15"/>
    </row>
    <row r="703" spans="1:25" ht="13.2">
      <c r="A703" s="23"/>
      <c r="B703" s="16"/>
      <c r="X703" s="17"/>
      <c r="Y703" s="15"/>
    </row>
    <row r="704" spans="1:25" ht="13.2">
      <c r="A704" s="23"/>
      <c r="B704" s="16"/>
      <c r="X704" s="17"/>
      <c r="Y704" s="15"/>
    </row>
    <row r="705" spans="1:25" ht="13.2">
      <c r="A705" s="23"/>
      <c r="B705" s="16"/>
      <c r="X705" s="17"/>
      <c r="Y705" s="15"/>
    </row>
    <row r="706" spans="1:25" ht="13.2">
      <c r="A706" s="23"/>
      <c r="B706" s="16"/>
      <c r="X706" s="17"/>
      <c r="Y706" s="15"/>
    </row>
    <row r="707" spans="1:25" ht="13.2">
      <c r="A707" s="23"/>
      <c r="B707" s="16"/>
      <c r="X707" s="17"/>
      <c r="Y707" s="15"/>
    </row>
    <row r="708" spans="1:25" ht="13.2">
      <c r="A708" s="23"/>
      <c r="B708" s="16"/>
      <c r="X708" s="17"/>
      <c r="Y708" s="15"/>
    </row>
    <row r="709" spans="1:25" ht="13.2">
      <c r="A709" s="23"/>
      <c r="B709" s="16"/>
      <c r="X709" s="17"/>
      <c r="Y709" s="15"/>
    </row>
    <row r="710" spans="1:25" ht="13.2">
      <c r="A710" s="23"/>
      <c r="B710" s="16"/>
      <c r="X710" s="17"/>
      <c r="Y710" s="15"/>
    </row>
    <row r="711" spans="1:25" ht="13.2">
      <c r="A711" s="23"/>
      <c r="B711" s="16"/>
      <c r="X711" s="17"/>
      <c r="Y711" s="15"/>
    </row>
    <row r="712" spans="1:25" ht="13.2">
      <c r="A712" s="23"/>
      <c r="B712" s="16"/>
      <c r="X712" s="17"/>
      <c r="Y712" s="15"/>
    </row>
    <row r="713" spans="1:25" ht="13.2">
      <c r="A713" s="23"/>
      <c r="B713" s="16"/>
      <c r="X713" s="17"/>
      <c r="Y713" s="15"/>
    </row>
    <row r="714" spans="1:25" ht="13.2">
      <c r="A714" s="23"/>
      <c r="B714" s="16"/>
      <c r="X714" s="17"/>
      <c r="Y714" s="15"/>
    </row>
    <row r="715" spans="1:25" ht="13.2">
      <c r="A715" s="23"/>
      <c r="B715" s="16"/>
      <c r="X715" s="17"/>
      <c r="Y715" s="15"/>
    </row>
    <row r="716" spans="1:25" ht="13.2">
      <c r="A716" s="23"/>
      <c r="B716" s="16"/>
      <c r="X716" s="17"/>
      <c r="Y716" s="15"/>
    </row>
    <row r="717" spans="1:25" ht="13.2">
      <c r="A717" s="23"/>
      <c r="B717" s="16"/>
      <c r="X717" s="17"/>
      <c r="Y717" s="15"/>
    </row>
    <row r="718" spans="1:25" ht="13.2">
      <c r="A718" s="23"/>
      <c r="B718" s="16"/>
      <c r="X718" s="17"/>
      <c r="Y718" s="15"/>
    </row>
    <row r="719" spans="1:25" ht="13.2">
      <c r="A719" s="23"/>
      <c r="B719" s="16"/>
      <c r="X719" s="17"/>
      <c r="Y719" s="15"/>
    </row>
    <row r="720" spans="1:25" ht="13.2">
      <c r="A720" s="23"/>
      <c r="B720" s="16"/>
      <c r="X720" s="17"/>
      <c r="Y720" s="15"/>
    </row>
    <row r="721" spans="1:25" ht="13.2">
      <c r="A721" s="23"/>
      <c r="B721" s="16"/>
      <c r="X721" s="17"/>
      <c r="Y721" s="15"/>
    </row>
    <row r="722" spans="1:25" ht="13.2">
      <c r="A722" s="23"/>
      <c r="B722" s="16"/>
      <c r="X722" s="17"/>
      <c r="Y722" s="15"/>
    </row>
    <row r="723" spans="1:25" ht="13.2">
      <c r="A723" s="23"/>
      <c r="B723" s="16"/>
      <c r="X723" s="17"/>
      <c r="Y723" s="15"/>
    </row>
    <row r="724" spans="1:25" ht="13.2">
      <c r="A724" s="23"/>
      <c r="B724" s="16"/>
      <c r="X724" s="17"/>
      <c r="Y724" s="15"/>
    </row>
    <row r="725" spans="1:25" ht="13.2">
      <c r="A725" s="23"/>
      <c r="B725" s="16"/>
      <c r="X725" s="17"/>
      <c r="Y725" s="15"/>
    </row>
    <row r="726" spans="1:25" ht="13.2">
      <c r="A726" s="23"/>
      <c r="B726" s="16"/>
      <c r="X726" s="17"/>
      <c r="Y726" s="15"/>
    </row>
    <row r="727" spans="1:25" ht="13.2">
      <c r="A727" s="23"/>
      <c r="B727" s="16"/>
      <c r="X727" s="17"/>
      <c r="Y727" s="15"/>
    </row>
    <row r="728" spans="1:25" ht="13.2">
      <c r="A728" s="23"/>
      <c r="B728" s="16"/>
      <c r="X728" s="17"/>
      <c r="Y728" s="15"/>
    </row>
    <row r="729" spans="1:25" ht="13.2">
      <c r="A729" s="23"/>
      <c r="B729" s="16"/>
      <c r="X729" s="17"/>
      <c r="Y729" s="15"/>
    </row>
    <row r="730" spans="1:25" ht="13.2">
      <c r="A730" s="23"/>
      <c r="B730" s="16"/>
      <c r="X730" s="17"/>
      <c r="Y730" s="15"/>
    </row>
    <row r="731" spans="1:25" ht="13.2">
      <c r="A731" s="23"/>
      <c r="B731" s="16"/>
      <c r="X731" s="17"/>
      <c r="Y731" s="15"/>
    </row>
    <row r="732" spans="1:25" ht="13.2">
      <c r="A732" s="23"/>
      <c r="B732" s="16"/>
      <c r="X732" s="17"/>
      <c r="Y732" s="15"/>
    </row>
    <row r="733" spans="1:25" ht="13.2">
      <c r="A733" s="23"/>
      <c r="B733" s="16"/>
      <c r="X733" s="17"/>
      <c r="Y733" s="15"/>
    </row>
    <row r="734" spans="1:25" ht="13.2">
      <c r="A734" s="23"/>
      <c r="B734" s="16"/>
      <c r="X734" s="17"/>
      <c r="Y734" s="15"/>
    </row>
    <row r="735" spans="1:25" ht="13.2">
      <c r="A735" s="23"/>
      <c r="B735" s="16"/>
      <c r="X735" s="17"/>
      <c r="Y735" s="15"/>
    </row>
    <row r="736" spans="1:25" ht="13.2">
      <c r="A736" s="23"/>
      <c r="B736" s="16"/>
      <c r="X736" s="17"/>
      <c r="Y736" s="15"/>
    </row>
    <row r="737" spans="1:25" ht="13.2">
      <c r="A737" s="23"/>
      <c r="B737" s="16"/>
      <c r="X737" s="17"/>
      <c r="Y737" s="15"/>
    </row>
    <row r="738" spans="1:25" ht="13.2">
      <c r="A738" s="23"/>
      <c r="B738" s="16"/>
      <c r="X738" s="17"/>
      <c r="Y738" s="15"/>
    </row>
    <row r="739" spans="1:25" ht="13.2">
      <c r="A739" s="23"/>
      <c r="B739" s="16"/>
      <c r="X739" s="17"/>
      <c r="Y739" s="15"/>
    </row>
    <row r="740" spans="1:25" ht="13.2">
      <c r="A740" s="23"/>
      <c r="B740" s="16"/>
      <c r="X740" s="17"/>
      <c r="Y740" s="15"/>
    </row>
    <row r="741" spans="1:25" ht="13.2">
      <c r="A741" s="23"/>
      <c r="B741" s="16"/>
      <c r="X741" s="17"/>
      <c r="Y741" s="15"/>
    </row>
    <row r="742" spans="1:25" ht="13.2">
      <c r="A742" s="23"/>
      <c r="B742" s="16"/>
      <c r="X742" s="17"/>
      <c r="Y742" s="15"/>
    </row>
    <row r="743" spans="1:25" ht="13.2">
      <c r="A743" s="23"/>
      <c r="B743" s="16"/>
      <c r="X743" s="17"/>
      <c r="Y743" s="15"/>
    </row>
    <row r="744" spans="1:25" ht="13.2">
      <c r="A744" s="23"/>
      <c r="B744" s="16"/>
      <c r="X744" s="17"/>
      <c r="Y744" s="15"/>
    </row>
    <row r="745" spans="1:25" ht="13.2">
      <c r="A745" s="23"/>
      <c r="B745" s="16"/>
      <c r="X745" s="17"/>
      <c r="Y745" s="15"/>
    </row>
    <row r="746" spans="1:25" ht="13.2">
      <c r="A746" s="23"/>
      <c r="B746" s="16"/>
      <c r="X746" s="17"/>
      <c r="Y746" s="15"/>
    </row>
    <row r="747" spans="1:25" ht="13.2">
      <c r="A747" s="23"/>
      <c r="B747" s="16"/>
      <c r="X747" s="17"/>
      <c r="Y747" s="15"/>
    </row>
    <row r="748" spans="1:25" ht="13.2">
      <c r="A748" s="23"/>
      <c r="B748" s="16"/>
      <c r="X748" s="17"/>
      <c r="Y748" s="15"/>
    </row>
    <row r="749" spans="1:25" ht="13.2">
      <c r="A749" s="23"/>
      <c r="B749" s="16"/>
      <c r="X749" s="17"/>
      <c r="Y749" s="15"/>
    </row>
    <row r="750" spans="1:25" ht="13.2">
      <c r="A750" s="23"/>
      <c r="B750" s="16"/>
      <c r="X750" s="17"/>
      <c r="Y750" s="15"/>
    </row>
    <row r="751" spans="1:25" ht="13.2">
      <c r="A751" s="23"/>
      <c r="B751" s="16"/>
      <c r="X751" s="17"/>
      <c r="Y751" s="15"/>
    </row>
    <row r="752" spans="1:25" ht="13.2">
      <c r="A752" s="23"/>
      <c r="B752" s="16"/>
      <c r="X752" s="17"/>
      <c r="Y752" s="15"/>
    </row>
    <row r="753" spans="1:25" ht="13.2">
      <c r="A753" s="23"/>
      <c r="B753" s="16"/>
      <c r="X753" s="17"/>
      <c r="Y753" s="15"/>
    </row>
    <row r="754" spans="1:25" ht="13.2">
      <c r="A754" s="23"/>
      <c r="B754" s="16"/>
      <c r="X754" s="17"/>
      <c r="Y754" s="15"/>
    </row>
    <row r="755" spans="1:25" ht="13.2">
      <c r="A755" s="23"/>
      <c r="B755" s="16"/>
      <c r="X755" s="17"/>
      <c r="Y755" s="15"/>
    </row>
    <row r="756" spans="1:25" ht="13.2">
      <c r="A756" s="23"/>
      <c r="B756" s="16"/>
      <c r="X756" s="17"/>
      <c r="Y756" s="15"/>
    </row>
    <row r="757" spans="1:25" ht="13.2">
      <c r="A757" s="23"/>
      <c r="B757" s="16"/>
      <c r="X757" s="17"/>
      <c r="Y757" s="15"/>
    </row>
    <row r="758" spans="1:25" ht="13.2">
      <c r="A758" s="23"/>
      <c r="B758" s="16"/>
      <c r="X758" s="17"/>
      <c r="Y758" s="15"/>
    </row>
    <row r="759" spans="1:25" ht="13.2">
      <c r="A759" s="23"/>
      <c r="B759" s="16"/>
      <c r="X759" s="17"/>
      <c r="Y759" s="15"/>
    </row>
    <row r="760" spans="1:25" ht="13.2">
      <c r="A760" s="23"/>
      <c r="B760" s="16"/>
      <c r="X760" s="17"/>
      <c r="Y760" s="15"/>
    </row>
    <row r="761" spans="1:25" ht="13.2">
      <c r="A761" s="23"/>
      <c r="B761" s="16"/>
      <c r="X761" s="17"/>
      <c r="Y761" s="15"/>
    </row>
    <row r="762" spans="1:25" ht="13.2">
      <c r="A762" s="23"/>
      <c r="B762" s="16"/>
      <c r="X762" s="17"/>
      <c r="Y762" s="15"/>
    </row>
    <row r="763" spans="1:25" ht="13.2">
      <c r="A763" s="23"/>
      <c r="B763" s="16"/>
      <c r="X763" s="17"/>
      <c r="Y763" s="15"/>
    </row>
    <row r="764" spans="1:25" ht="13.2">
      <c r="A764" s="23"/>
      <c r="B764" s="16"/>
      <c r="X764" s="17"/>
      <c r="Y764" s="15"/>
    </row>
    <row r="765" spans="1:25" ht="13.2">
      <c r="A765" s="23"/>
      <c r="B765" s="16"/>
      <c r="X765" s="17"/>
      <c r="Y765" s="15"/>
    </row>
    <row r="766" spans="1:25" ht="13.2">
      <c r="A766" s="23"/>
      <c r="B766" s="16"/>
      <c r="X766" s="17"/>
      <c r="Y766" s="15"/>
    </row>
    <row r="767" spans="1:25" ht="13.2">
      <c r="A767" s="23"/>
      <c r="B767" s="16"/>
      <c r="X767" s="17"/>
      <c r="Y767" s="15"/>
    </row>
    <row r="768" spans="1:25" ht="13.2">
      <c r="A768" s="23"/>
      <c r="B768" s="16"/>
      <c r="X768" s="17"/>
      <c r="Y768" s="15"/>
    </row>
    <row r="769" spans="1:25" ht="13.2">
      <c r="A769" s="23"/>
      <c r="B769" s="16"/>
      <c r="X769" s="17"/>
      <c r="Y769" s="15"/>
    </row>
    <row r="770" spans="1:25" ht="13.2">
      <c r="A770" s="23"/>
      <c r="B770" s="16"/>
      <c r="X770" s="17"/>
      <c r="Y770" s="15"/>
    </row>
    <row r="771" spans="1:25" ht="13.2">
      <c r="A771" s="23"/>
      <c r="B771" s="16"/>
      <c r="X771" s="17"/>
      <c r="Y771" s="15"/>
    </row>
    <row r="772" spans="1:25" ht="13.2">
      <c r="A772" s="23"/>
      <c r="B772" s="16"/>
      <c r="X772" s="17"/>
      <c r="Y772" s="15"/>
    </row>
    <row r="773" spans="1:25" ht="13.2">
      <c r="A773" s="23"/>
      <c r="B773" s="16"/>
      <c r="X773" s="17"/>
      <c r="Y773" s="15"/>
    </row>
    <row r="774" spans="1:25" ht="13.2">
      <c r="A774" s="23"/>
      <c r="B774" s="16"/>
      <c r="X774" s="17"/>
      <c r="Y774" s="15"/>
    </row>
    <row r="775" spans="1:25" ht="13.2">
      <c r="A775" s="23"/>
      <c r="B775" s="16"/>
      <c r="X775" s="17"/>
      <c r="Y775" s="15"/>
    </row>
    <row r="776" spans="1:25" ht="13.2">
      <c r="A776" s="23"/>
      <c r="B776" s="16"/>
      <c r="X776" s="17"/>
      <c r="Y776" s="15"/>
    </row>
    <row r="777" spans="1:25" ht="13.2">
      <c r="A777" s="23"/>
      <c r="B777" s="16"/>
      <c r="X777" s="17"/>
      <c r="Y777" s="15"/>
    </row>
    <row r="778" spans="1:25" ht="13.2">
      <c r="A778" s="23"/>
      <c r="B778" s="16"/>
      <c r="X778" s="17"/>
      <c r="Y778" s="15"/>
    </row>
    <row r="779" spans="1:25" ht="13.2">
      <c r="A779" s="23"/>
      <c r="B779" s="16"/>
      <c r="X779" s="17"/>
      <c r="Y779" s="15"/>
    </row>
    <row r="780" spans="1:25" ht="13.2">
      <c r="A780" s="23"/>
      <c r="B780" s="16"/>
      <c r="X780" s="17"/>
      <c r="Y780" s="15"/>
    </row>
    <row r="781" spans="1:25" ht="13.2">
      <c r="A781" s="23"/>
      <c r="B781" s="16"/>
      <c r="X781" s="17"/>
      <c r="Y781" s="15"/>
    </row>
    <row r="782" spans="1:25" ht="13.2">
      <c r="A782" s="23"/>
      <c r="B782" s="16"/>
      <c r="X782" s="17"/>
      <c r="Y782" s="15"/>
    </row>
    <row r="783" spans="1:25" ht="13.2">
      <c r="A783" s="23"/>
      <c r="B783" s="16"/>
      <c r="X783" s="17"/>
      <c r="Y783" s="15"/>
    </row>
    <row r="784" spans="1:25" ht="13.2">
      <c r="A784" s="23"/>
      <c r="B784" s="16"/>
      <c r="X784" s="17"/>
      <c r="Y784" s="15"/>
    </row>
    <row r="785" spans="1:25" ht="13.2">
      <c r="A785" s="23"/>
      <c r="B785" s="16"/>
      <c r="X785" s="17"/>
      <c r="Y785" s="15"/>
    </row>
    <row r="786" spans="1:25" ht="13.2">
      <c r="A786" s="23"/>
      <c r="B786" s="16"/>
      <c r="X786" s="17"/>
      <c r="Y786" s="15"/>
    </row>
    <row r="787" spans="1:25" ht="13.2">
      <c r="A787" s="23"/>
      <c r="B787" s="16"/>
      <c r="X787" s="17"/>
      <c r="Y787" s="15"/>
    </row>
    <row r="788" spans="1:25" ht="13.2">
      <c r="A788" s="23"/>
      <c r="B788" s="16"/>
      <c r="X788" s="17"/>
      <c r="Y788" s="15"/>
    </row>
    <row r="789" spans="1:25" ht="13.2">
      <c r="A789" s="23"/>
      <c r="B789" s="16"/>
      <c r="X789" s="17"/>
      <c r="Y789" s="15"/>
    </row>
    <row r="790" spans="1:25" ht="13.2">
      <c r="A790" s="23"/>
      <c r="B790" s="16"/>
      <c r="X790" s="17"/>
      <c r="Y790" s="15"/>
    </row>
    <row r="791" spans="1:25" ht="13.2">
      <c r="A791" s="23"/>
      <c r="B791" s="16"/>
      <c r="X791" s="17"/>
      <c r="Y791" s="15"/>
    </row>
    <row r="792" spans="1:25" ht="13.2">
      <c r="A792" s="23"/>
      <c r="B792" s="16"/>
      <c r="X792" s="17"/>
      <c r="Y792" s="15"/>
    </row>
    <row r="793" spans="1:25" ht="13.2">
      <c r="A793" s="23"/>
      <c r="B793" s="16"/>
      <c r="X793" s="17"/>
      <c r="Y793" s="15"/>
    </row>
    <row r="794" spans="1:25" ht="13.2">
      <c r="A794" s="23"/>
      <c r="B794" s="16"/>
      <c r="X794" s="17"/>
      <c r="Y794" s="15"/>
    </row>
    <row r="795" spans="1:25" ht="13.2">
      <c r="A795" s="23"/>
      <c r="B795" s="16"/>
      <c r="X795" s="17"/>
      <c r="Y795" s="15"/>
    </row>
    <row r="796" spans="1:25" ht="13.2">
      <c r="A796" s="23"/>
      <c r="B796" s="16"/>
      <c r="X796" s="17"/>
      <c r="Y796" s="15"/>
    </row>
    <row r="797" spans="1:25" ht="13.2">
      <c r="A797" s="23"/>
      <c r="B797" s="16"/>
      <c r="X797" s="17"/>
      <c r="Y797" s="15"/>
    </row>
    <row r="798" spans="1:25" ht="13.2">
      <c r="A798" s="23"/>
      <c r="B798" s="16"/>
      <c r="X798" s="17"/>
      <c r="Y798" s="15"/>
    </row>
    <row r="799" spans="1:25" ht="13.2">
      <c r="A799" s="23"/>
      <c r="B799" s="16"/>
      <c r="X799" s="17"/>
      <c r="Y799" s="15"/>
    </row>
    <row r="800" spans="1:25" ht="13.2">
      <c r="A800" s="23"/>
      <c r="B800" s="16"/>
      <c r="X800" s="17"/>
      <c r="Y800" s="15"/>
    </row>
    <row r="801" spans="1:25" ht="13.2">
      <c r="A801" s="23"/>
      <c r="B801" s="16"/>
      <c r="X801" s="17"/>
      <c r="Y801" s="15"/>
    </row>
    <row r="802" spans="1:25" ht="13.2">
      <c r="A802" s="23"/>
      <c r="B802" s="16"/>
      <c r="X802" s="17"/>
      <c r="Y802" s="15"/>
    </row>
    <row r="803" spans="1:25" ht="13.2">
      <c r="A803" s="23"/>
      <c r="B803" s="16"/>
      <c r="X803" s="17"/>
      <c r="Y803" s="15"/>
    </row>
    <row r="804" spans="1:25" ht="13.2">
      <c r="A804" s="23"/>
      <c r="B804" s="16"/>
      <c r="X804" s="17"/>
      <c r="Y804" s="15"/>
    </row>
    <row r="805" spans="1:25" ht="13.2">
      <c r="A805" s="23"/>
      <c r="B805" s="16"/>
      <c r="X805" s="17"/>
      <c r="Y805" s="15"/>
    </row>
    <row r="806" spans="1:25" ht="13.2">
      <c r="A806" s="23"/>
      <c r="B806" s="16"/>
      <c r="X806" s="17"/>
      <c r="Y806" s="15"/>
    </row>
    <row r="807" spans="1:25" ht="13.2">
      <c r="A807" s="23"/>
      <c r="B807" s="16"/>
      <c r="X807" s="17"/>
      <c r="Y807" s="15"/>
    </row>
    <row r="808" spans="1:25" ht="13.2">
      <c r="A808" s="23"/>
      <c r="B808" s="16"/>
      <c r="X808" s="17"/>
      <c r="Y808" s="15"/>
    </row>
    <row r="809" spans="1:25" ht="13.2">
      <c r="A809" s="23"/>
      <c r="B809" s="16"/>
      <c r="X809" s="17"/>
      <c r="Y809" s="15"/>
    </row>
    <row r="810" spans="1:25" ht="13.2">
      <c r="A810" s="23"/>
      <c r="B810" s="16"/>
      <c r="X810" s="17"/>
      <c r="Y810" s="15"/>
    </row>
    <row r="811" spans="1:25" ht="13.2">
      <c r="A811" s="23"/>
      <c r="B811" s="16"/>
      <c r="X811" s="17"/>
      <c r="Y811" s="15"/>
    </row>
    <row r="812" spans="1:25" ht="13.2">
      <c r="A812" s="23"/>
      <c r="B812" s="16"/>
      <c r="X812" s="17"/>
      <c r="Y812" s="15"/>
    </row>
    <row r="813" spans="1:25" ht="13.2">
      <c r="A813" s="23"/>
      <c r="B813" s="16"/>
      <c r="X813" s="17"/>
      <c r="Y813" s="15"/>
    </row>
    <row r="814" spans="1:25" ht="13.2">
      <c r="A814" s="23"/>
      <c r="B814" s="16"/>
      <c r="X814" s="17"/>
      <c r="Y814" s="15"/>
    </row>
    <row r="815" spans="1:25" ht="13.2">
      <c r="A815" s="23"/>
      <c r="B815" s="16"/>
      <c r="X815" s="17"/>
      <c r="Y815" s="15"/>
    </row>
    <row r="816" spans="1:25" ht="13.2">
      <c r="A816" s="23"/>
      <c r="B816" s="16"/>
      <c r="X816" s="17"/>
      <c r="Y816" s="15"/>
    </row>
    <row r="817" spans="1:25" ht="13.2">
      <c r="A817" s="23"/>
      <c r="B817" s="16"/>
      <c r="X817" s="17"/>
      <c r="Y817" s="15"/>
    </row>
    <row r="818" spans="1:25" ht="13.2">
      <c r="A818" s="23"/>
      <c r="B818" s="16"/>
      <c r="X818" s="17"/>
      <c r="Y818" s="15"/>
    </row>
    <row r="819" spans="1:25" ht="13.2">
      <c r="A819" s="23"/>
      <c r="B819" s="16"/>
      <c r="X819" s="17"/>
      <c r="Y819" s="15"/>
    </row>
    <row r="820" spans="1:25" ht="13.2">
      <c r="A820" s="23"/>
      <c r="B820" s="16"/>
      <c r="X820" s="17"/>
      <c r="Y820" s="15"/>
    </row>
    <row r="821" spans="1:25" ht="13.2">
      <c r="A821" s="23"/>
      <c r="B821" s="16"/>
      <c r="X821" s="17"/>
      <c r="Y821" s="15"/>
    </row>
    <row r="822" spans="1:25" ht="13.2">
      <c r="A822" s="23"/>
      <c r="B822" s="16"/>
      <c r="X822" s="17"/>
      <c r="Y822" s="15"/>
    </row>
    <row r="823" spans="1:25" ht="13.2">
      <c r="A823" s="23"/>
      <c r="B823" s="16"/>
      <c r="X823" s="17"/>
      <c r="Y823" s="15"/>
    </row>
    <row r="824" spans="1:25" ht="13.2">
      <c r="A824" s="23"/>
      <c r="B824" s="16"/>
      <c r="X824" s="17"/>
      <c r="Y824" s="15"/>
    </row>
    <row r="825" spans="1:25" ht="13.2">
      <c r="A825" s="23"/>
      <c r="B825" s="16"/>
      <c r="X825" s="17"/>
      <c r="Y825" s="15"/>
    </row>
    <row r="826" spans="1:25" ht="13.2">
      <c r="A826" s="23"/>
      <c r="B826" s="16"/>
      <c r="X826" s="17"/>
      <c r="Y826" s="15"/>
    </row>
    <row r="827" spans="1:25" ht="13.2">
      <c r="A827" s="23"/>
      <c r="B827" s="16"/>
      <c r="X827" s="17"/>
      <c r="Y827" s="15"/>
    </row>
    <row r="828" spans="1:25" ht="13.2">
      <c r="A828" s="23"/>
      <c r="B828" s="16"/>
      <c r="X828" s="17"/>
      <c r="Y828" s="15"/>
    </row>
    <row r="829" spans="1:25" ht="13.2">
      <c r="A829" s="23"/>
      <c r="B829" s="16"/>
      <c r="X829" s="17"/>
      <c r="Y829" s="15"/>
    </row>
    <row r="830" spans="1:25" ht="13.2">
      <c r="A830" s="23"/>
      <c r="B830" s="16"/>
      <c r="X830" s="17"/>
      <c r="Y830" s="15"/>
    </row>
    <row r="831" spans="1:25" ht="13.2">
      <c r="A831" s="23"/>
      <c r="B831" s="16"/>
      <c r="X831" s="17"/>
      <c r="Y831" s="15"/>
    </row>
    <row r="832" spans="1:25" ht="13.2">
      <c r="A832" s="23"/>
      <c r="B832" s="16"/>
      <c r="X832" s="17"/>
      <c r="Y832" s="15"/>
    </row>
    <row r="833" spans="1:25" ht="13.2">
      <c r="A833" s="23"/>
      <c r="B833" s="16"/>
      <c r="X833" s="17"/>
      <c r="Y833" s="15"/>
    </row>
    <row r="834" spans="1:25" ht="13.2">
      <c r="A834" s="23"/>
      <c r="B834" s="16"/>
      <c r="X834" s="17"/>
      <c r="Y834" s="15"/>
    </row>
    <row r="835" spans="1:25" ht="13.2">
      <c r="A835" s="23"/>
      <c r="B835" s="16"/>
      <c r="X835" s="17"/>
      <c r="Y835" s="15"/>
    </row>
    <row r="836" spans="1:25" ht="13.2">
      <c r="A836" s="23"/>
      <c r="B836" s="16"/>
      <c r="X836" s="17"/>
      <c r="Y836" s="15"/>
    </row>
    <row r="837" spans="1:25" ht="13.2">
      <c r="A837" s="23"/>
      <c r="B837" s="16"/>
      <c r="X837" s="17"/>
      <c r="Y837" s="15"/>
    </row>
    <row r="838" spans="1:25" ht="13.2">
      <c r="A838" s="23"/>
      <c r="B838" s="16"/>
      <c r="X838" s="17"/>
      <c r="Y838" s="15"/>
    </row>
    <row r="839" spans="1:25" ht="13.2">
      <c r="A839" s="23"/>
      <c r="B839" s="16"/>
      <c r="X839" s="17"/>
      <c r="Y839" s="15"/>
    </row>
    <row r="840" spans="1:25" ht="13.2">
      <c r="A840" s="23"/>
      <c r="B840" s="16"/>
      <c r="X840" s="17"/>
      <c r="Y840" s="15"/>
    </row>
    <row r="841" spans="1:25" ht="13.2">
      <c r="A841" s="23"/>
      <c r="B841" s="16"/>
      <c r="X841" s="17"/>
      <c r="Y841" s="15"/>
    </row>
    <row r="842" spans="1:25" ht="13.2">
      <c r="A842" s="23"/>
      <c r="B842" s="16"/>
      <c r="X842" s="17"/>
      <c r="Y842" s="15"/>
    </row>
    <row r="843" spans="1:25" ht="13.2">
      <c r="A843" s="23"/>
      <c r="B843" s="16"/>
      <c r="X843" s="17"/>
      <c r="Y843" s="15"/>
    </row>
    <row r="844" spans="1:25" ht="13.2">
      <c r="A844" s="23"/>
      <c r="B844" s="16"/>
      <c r="X844" s="17"/>
      <c r="Y844" s="15"/>
    </row>
    <row r="845" spans="1:25" ht="13.2">
      <c r="A845" s="23"/>
      <c r="B845" s="16"/>
      <c r="X845" s="17"/>
      <c r="Y845" s="15"/>
    </row>
    <row r="846" spans="1:25" ht="13.2">
      <c r="A846" s="23"/>
      <c r="B846" s="16"/>
      <c r="X846" s="17"/>
      <c r="Y846" s="15"/>
    </row>
    <row r="847" spans="1:25" ht="13.2">
      <c r="A847" s="23"/>
      <c r="B847" s="16"/>
      <c r="X847" s="17"/>
      <c r="Y847" s="15"/>
    </row>
    <row r="848" spans="1:25" ht="13.2">
      <c r="A848" s="23"/>
      <c r="B848" s="16"/>
      <c r="X848" s="17"/>
      <c r="Y848" s="15"/>
    </row>
    <row r="849" spans="1:25" ht="13.2">
      <c r="A849" s="23"/>
      <c r="B849" s="16"/>
      <c r="X849" s="17"/>
      <c r="Y849" s="15"/>
    </row>
    <row r="850" spans="1:25" ht="13.2">
      <c r="A850" s="23"/>
      <c r="B850" s="16"/>
      <c r="X850" s="17"/>
      <c r="Y850" s="15"/>
    </row>
    <row r="851" spans="1:25" ht="13.2">
      <c r="A851" s="23"/>
      <c r="B851" s="16"/>
      <c r="X851" s="17"/>
      <c r="Y851" s="15"/>
    </row>
    <row r="852" spans="1:25" ht="13.2">
      <c r="A852" s="23"/>
      <c r="B852" s="16"/>
      <c r="X852" s="17"/>
      <c r="Y852" s="15"/>
    </row>
    <row r="853" spans="1:25" ht="13.2">
      <c r="A853" s="23"/>
      <c r="B853" s="16"/>
      <c r="X853" s="17"/>
      <c r="Y853" s="15"/>
    </row>
    <row r="854" spans="1:25" ht="13.2">
      <c r="A854" s="23"/>
      <c r="B854" s="16"/>
      <c r="X854" s="17"/>
      <c r="Y854" s="15"/>
    </row>
    <row r="855" spans="1:25" ht="13.2">
      <c r="A855" s="23"/>
      <c r="B855" s="16"/>
      <c r="X855" s="17"/>
      <c r="Y855" s="15"/>
    </row>
    <row r="856" spans="1:25" ht="13.2">
      <c r="A856" s="23"/>
      <c r="B856" s="16"/>
      <c r="X856" s="17"/>
      <c r="Y856" s="15"/>
    </row>
    <row r="857" spans="1:25" ht="13.2">
      <c r="A857" s="23"/>
      <c r="B857" s="16"/>
      <c r="X857" s="17"/>
      <c r="Y857" s="15"/>
    </row>
    <row r="858" spans="1:25" ht="13.2">
      <c r="A858" s="23"/>
      <c r="B858" s="16"/>
      <c r="X858" s="17"/>
      <c r="Y858" s="15"/>
    </row>
    <row r="859" spans="1:25" ht="13.2">
      <c r="A859" s="23"/>
      <c r="B859" s="16"/>
      <c r="X859" s="17"/>
      <c r="Y859" s="15"/>
    </row>
    <row r="860" spans="1:25" ht="13.2">
      <c r="A860" s="23"/>
      <c r="B860" s="16"/>
      <c r="X860" s="17"/>
      <c r="Y860" s="15"/>
    </row>
    <row r="861" spans="1:25" ht="13.2">
      <c r="A861" s="23"/>
      <c r="B861" s="16"/>
      <c r="X861" s="17"/>
      <c r="Y861" s="15"/>
    </row>
    <row r="862" spans="1:25" ht="13.2">
      <c r="A862" s="23"/>
      <c r="B862" s="16"/>
      <c r="X862" s="17"/>
      <c r="Y862" s="15"/>
    </row>
    <row r="863" spans="1:25" ht="13.2">
      <c r="A863" s="23"/>
      <c r="B863" s="16"/>
      <c r="X863" s="17"/>
      <c r="Y863" s="15"/>
    </row>
    <row r="864" spans="1:25" ht="13.2">
      <c r="A864" s="23"/>
      <c r="B864" s="16"/>
      <c r="X864" s="17"/>
      <c r="Y864" s="15"/>
    </row>
    <row r="865" spans="1:25" ht="13.2">
      <c r="A865" s="23"/>
      <c r="B865" s="16"/>
      <c r="X865" s="17"/>
      <c r="Y865" s="15"/>
    </row>
    <row r="866" spans="1:25" ht="13.2">
      <c r="A866" s="23"/>
      <c r="B866" s="16"/>
      <c r="X866" s="17"/>
      <c r="Y866" s="15"/>
    </row>
    <row r="867" spans="1:25" ht="13.2">
      <c r="A867" s="23"/>
      <c r="B867" s="16"/>
      <c r="X867" s="17"/>
      <c r="Y867" s="15"/>
    </row>
    <row r="868" spans="1:25" ht="13.2">
      <c r="A868" s="23"/>
      <c r="B868" s="16"/>
      <c r="X868" s="17"/>
      <c r="Y868" s="15"/>
    </row>
    <row r="869" spans="1:25" ht="13.2">
      <c r="A869" s="23"/>
      <c r="B869" s="16"/>
      <c r="X869" s="17"/>
      <c r="Y869" s="15"/>
    </row>
    <row r="870" spans="1:25" ht="13.2">
      <c r="A870" s="23"/>
      <c r="B870" s="16"/>
      <c r="X870" s="17"/>
      <c r="Y870" s="15"/>
    </row>
    <row r="871" spans="1:25" ht="13.2">
      <c r="A871" s="23"/>
      <c r="B871" s="16"/>
      <c r="X871" s="17"/>
      <c r="Y871" s="15"/>
    </row>
    <row r="872" spans="1:25" ht="13.2">
      <c r="A872" s="23"/>
      <c r="B872" s="16"/>
      <c r="X872" s="17"/>
      <c r="Y872" s="15"/>
    </row>
    <row r="873" spans="1:25" ht="13.2">
      <c r="A873" s="23"/>
      <c r="B873" s="16"/>
      <c r="X873" s="17"/>
      <c r="Y873" s="15"/>
    </row>
    <row r="874" spans="1:25" ht="13.2">
      <c r="A874" s="23"/>
      <c r="B874" s="16"/>
      <c r="X874" s="17"/>
      <c r="Y874" s="15"/>
    </row>
    <row r="875" spans="1:25" ht="13.2">
      <c r="A875" s="23"/>
      <c r="B875" s="16"/>
      <c r="X875" s="17"/>
      <c r="Y875" s="15"/>
    </row>
    <row r="876" spans="1:25" ht="13.2">
      <c r="A876" s="23"/>
      <c r="B876" s="16"/>
      <c r="X876" s="17"/>
      <c r="Y876" s="15"/>
    </row>
    <row r="877" spans="1:25" ht="13.2">
      <c r="A877" s="23"/>
      <c r="B877" s="16"/>
      <c r="X877" s="17"/>
      <c r="Y877" s="15"/>
    </row>
    <row r="878" spans="1:25" ht="13.2">
      <c r="A878" s="23"/>
      <c r="B878" s="16"/>
      <c r="X878" s="17"/>
      <c r="Y878" s="15"/>
    </row>
    <row r="879" spans="1:25" ht="13.2">
      <c r="A879" s="23"/>
      <c r="B879" s="16"/>
      <c r="X879" s="17"/>
      <c r="Y879" s="15"/>
    </row>
    <row r="880" spans="1:25" ht="13.2">
      <c r="A880" s="23"/>
      <c r="B880" s="16"/>
      <c r="X880" s="17"/>
      <c r="Y880" s="15"/>
    </row>
    <row r="881" spans="1:25" ht="13.2">
      <c r="A881" s="23"/>
      <c r="B881" s="16"/>
      <c r="X881" s="17"/>
      <c r="Y881" s="15"/>
    </row>
    <row r="882" spans="1:25" ht="13.2">
      <c r="A882" s="23"/>
      <c r="B882" s="16"/>
      <c r="X882" s="17"/>
      <c r="Y882" s="15"/>
    </row>
    <row r="883" spans="1:25" ht="13.2">
      <c r="A883" s="23"/>
      <c r="B883" s="16"/>
      <c r="X883" s="17"/>
      <c r="Y883" s="15"/>
    </row>
    <row r="884" spans="1:25" ht="13.2">
      <c r="A884" s="23"/>
      <c r="B884" s="16"/>
      <c r="X884" s="17"/>
      <c r="Y884" s="15"/>
    </row>
    <row r="885" spans="1:25" ht="13.2">
      <c r="A885" s="23"/>
      <c r="B885" s="16"/>
      <c r="X885" s="17"/>
      <c r="Y885" s="15"/>
    </row>
    <row r="886" spans="1:25" ht="13.2">
      <c r="A886" s="23"/>
      <c r="B886" s="16"/>
      <c r="X886" s="17"/>
      <c r="Y886" s="15"/>
    </row>
    <row r="887" spans="1:25" ht="13.2">
      <c r="A887" s="23"/>
      <c r="B887" s="16"/>
      <c r="X887" s="17"/>
      <c r="Y887" s="15"/>
    </row>
    <row r="888" spans="1:25" ht="13.2">
      <c r="A888" s="23"/>
      <c r="B888" s="16"/>
      <c r="X888" s="17"/>
      <c r="Y888" s="15"/>
    </row>
    <row r="889" spans="1:25" ht="13.2">
      <c r="A889" s="23"/>
      <c r="B889" s="16"/>
      <c r="X889" s="17"/>
      <c r="Y889" s="15"/>
    </row>
    <row r="890" spans="1:25" ht="13.2">
      <c r="A890" s="23"/>
      <c r="B890" s="16"/>
      <c r="X890" s="17"/>
      <c r="Y890" s="15"/>
    </row>
    <row r="891" spans="1:25" ht="13.2">
      <c r="A891" s="23"/>
      <c r="B891" s="16"/>
      <c r="X891" s="17"/>
      <c r="Y891" s="15"/>
    </row>
    <row r="892" spans="1:25" ht="13.2">
      <c r="A892" s="23"/>
      <c r="B892" s="16"/>
      <c r="X892" s="17"/>
      <c r="Y892" s="15"/>
    </row>
    <row r="893" spans="1:25" ht="13.2">
      <c r="A893" s="23"/>
      <c r="B893" s="16"/>
      <c r="X893" s="17"/>
      <c r="Y893" s="15"/>
    </row>
    <row r="894" spans="1:25" ht="13.2">
      <c r="A894" s="23"/>
      <c r="B894" s="16"/>
      <c r="X894" s="17"/>
      <c r="Y894" s="15"/>
    </row>
    <row r="895" spans="1:25" ht="13.2">
      <c r="A895" s="23"/>
      <c r="B895" s="16"/>
      <c r="X895" s="17"/>
      <c r="Y895" s="15"/>
    </row>
    <row r="896" spans="1:25" ht="13.2">
      <c r="A896" s="23"/>
      <c r="B896" s="16"/>
      <c r="X896" s="17"/>
      <c r="Y896" s="15"/>
    </row>
    <row r="897" spans="1:25" ht="13.2">
      <c r="A897" s="23"/>
      <c r="B897" s="16"/>
      <c r="X897" s="17"/>
      <c r="Y897" s="15"/>
    </row>
    <row r="898" spans="1:25" ht="13.2">
      <c r="A898" s="23"/>
      <c r="B898" s="16"/>
      <c r="X898" s="17"/>
      <c r="Y898" s="15"/>
    </row>
    <row r="899" spans="1:25" ht="13.2">
      <c r="A899" s="23"/>
      <c r="B899" s="16"/>
      <c r="X899" s="17"/>
      <c r="Y899" s="15"/>
    </row>
    <row r="900" spans="1:25" ht="13.2">
      <c r="A900" s="23"/>
      <c r="B900" s="16"/>
      <c r="X900" s="17"/>
      <c r="Y900" s="15"/>
    </row>
    <row r="901" spans="1:25" ht="13.2">
      <c r="A901" s="23"/>
      <c r="B901" s="16"/>
      <c r="X901" s="17"/>
      <c r="Y901" s="15"/>
    </row>
    <row r="902" spans="1:25" ht="13.2">
      <c r="A902" s="23"/>
      <c r="B902" s="16"/>
      <c r="X902" s="17"/>
      <c r="Y902" s="15"/>
    </row>
    <row r="903" spans="1:25" ht="13.2">
      <c r="A903" s="23"/>
      <c r="B903" s="16"/>
      <c r="X903" s="17"/>
      <c r="Y903" s="15"/>
    </row>
    <row r="904" spans="1:25" ht="13.2">
      <c r="A904" s="23"/>
      <c r="B904" s="16"/>
      <c r="X904" s="17"/>
      <c r="Y904" s="15"/>
    </row>
    <row r="905" spans="1:25" ht="13.2">
      <c r="A905" s="23"/>
      <c r="B905" s="16"/>
      <c r="X905" s="17"/>
      <c r="Y905" s="15"/>
    </row>
    <row r="906" spans="1:25" ht="13.2">
      <c r="A906" s="23"/>
      <c r="B906" s="16"/>
      <c r="X906" s="17"/>
      <c r="Y906" s="15"/>
    </row>
    <row r="907" spans="1:25" ht="13.2">
      <c r="A907" s="23"/>
      <c r="B907" s="16"/>
      <c r="X907" s="17"/>
      <c r="Y907" s="15"/>
    </row>
    <row r="908" spans="1:25" ht="13.2">
      <c r="A908" s="23"/>
      <c r="B908" s="16"/>
      <c r="X908" s="17"/>
      <c r="Y908" s="15"/>
    </row>
    <row r="909" spans="1:25" ht="13.2">
      <c r="A909" s="23"/>
      <c r="B909" s="16"/>
      <c r="X909" s="17"/>
      <c r="Y909" s="15"/>
    </row>
    <row r="910" spans="1:25" ht="13.2">
      <c r="A910" s="23"/>
      <c r="B910" s="16"/>
      <c r="X910" s="17"/>
      <c r="Y910" s="15"/>
    </row>
    <row r="911" spans="1:25" ht="13.2">
      <c r="A911" s="23"/>
      <c r="B911" s="16"/>
      <c r="X911" s="17"/>
      <c r="Y911" s="15"/>
    </row>
    <row r="912" spans="1:25" ht="13.2">
      <c r="A912" s="23"/>
      <c r="B912" s="16"/>
      <c r="X912" s="17"/>
      <c r="Y912" s="15"/>
    </row>
    <row r="913" spans="1:25" ht="13.2">
      <c r="A913" s="23"/>
      <c r="B913" s="16"/>
      <c r="X913" s="17"/>
      <c r="Y913" s="15"/>
    </row>
    <row r="914" spans="1:25" ht="13.2">
      <c r="A914" s="23"/>
      <c r="B914" s="16"/>
      <c r="X914" s="17"/>
      <c r="Y914" s="15"/>
    </row>
    <row r="915" spans="1:25" ht="13.2">
      <c r="A915" s="23"/>
      <c r="B915" s="16"/>
      <c r="X915" s="17"/>
      <c r="Y915" s="15"/>
    </row>
    <row r="916" spans="1:25" ht="13.2">
      <c r="A916" s="23"/>
      <c r="B916" s="16"/>
      <c r="X916" s="17"/>
      <c r="Y916" s="15"/>
    </row>
    <row r="917" spans="1:25" ht="13.2">
      <c r="A917" s="23"/>
      <c r="B917" s="16"/>
      <c r="X917" s="17"/>
      <c r="Y917" s="15"/>
    </row>
    <row r="918" spans="1:25" ht="13.2">
      <c r="A918" s="23"/>
      <c r="B918" s="16"/>
      <c r="X918" s="17"/>
      <c r="Y918" s="15"/>
    </row>
    <row r="919" spans="1:25" ht="13.2">
      <c r="A919" s="23"/>
      <c r="B919" s="16"/>
      <c r="X919" s="17"/>
      <c r="Y919" s="15"/>
    </row>
    <row r="920" spans="1:25" ht="13.2">
      <c r="A920" s="23"/>
      <c r="B920" s="16"/>
      <c r="X920" s="17"/>
      <c r="Y920" s="15"/>
    </row>
    <row r="921" spans="1:25" ht="13.2">
      <c r="A921" s="23"/>
      <c r="B921" s="16"/>
      <c r="X921" s="17"/>
      <c r="Y921" s="15"/>
    </row>
    <row r="922" spans="1:25" ht="13.2">
      <c r="A922" s="23"/>
      <c r="B922" s="16"/>
      <c r="X922" s="17"/>
      <c r="Y922" s="15"/>
    </row>
    <row r="923" spans="1:25" ht="13.2">
      <c r="A923" s="23"/>
      <c r="B923" s="16"/>
      <c r="X923" s="17"/>
      <c r="Y923" s="15"/>
    </row>
    <row r="924" spans="1:25" ht="13.2">
      <c r="A924" s="23"/>
      <c r="B924" s="16"/>
      <c r="X924" s="17"/>
      <c r="Y924" s="15"/>
    </row>
    <row r="925" spans="1:25" ht="13.2">
      <c r="A925" s="23"/>
      <c r="B925" s="16"/>
      <c r="X925" s="17"/>
      <c r="Y925" s="15"/>
    </row>
    <row r="926" spans="1:25" ht="13.2">
      <c r="A926" s="23"/>
      <c r="B926" s="16"/>
      <c r="X926" s="17"/>
      <c r="Y926" s="15"/>
    </row>
    <row r="927" spans="1:25" ht="13.2">
      <c r="A927" s="23"/>
      <c r="B927" s="16"/>
      <c r="X927" s="17"/>
      <c r="Y927" s="15"/>
    </row>
    <row r="928" spans="1:25" ht="13.2">
      <c r="A928" s="23"/>
      <c r="B928" s="16"/>
      <c r="X928" s="17"/>
      <c r="Y928" s="15"/>
    </row>
    <row r="929" spans="1:25" ht="13.2">
      <c r="A929" s="23"/>
      <c r="B929" s="16"/>
      <c r="X929" s="17"/>
      <c r="Y929" s="15"/>
    </row>
    <row r="930" spans="1:25" ht="13.2">
      <c r="A930" s="23"/>
      <c r="B930" s="16"/>
      <c r="X930" s="17"/>
      <c r="Y930" s="15"/>
    </row>
    <row r="931" spans="1:25" ht="13.2">
      <c r="A931" s="23"/>
      <c r="B931" s="16"/>
      <c r="X931" s="17"/>
      <c r="Y931" s="15"/>
    </row>
    <row r="932" spans="1:25" ht="13.2">
      <c r="A932" s="23"/>
      <c r="B932" s="16"/>
      <c r="X932" s="17"/>
      <c r="Y932" s="15"/>
    </row>
    <row r="933" spans="1:25" ht="13.2">
      <c r="A933" s="23"/>
      <c r="B933" s="16"/>
      <c r="X933" s="17"/>
      <c r="Y933" s="15"/>
    </row>
    <row r="934" spans="1:25" ht="13.2">
      <c r="A934" s="23"/>
      <c r="B934" s="16"/>
      <c r="X934" s="17"/>
      <c r="Y934" s="15"/>
    </row>
    <row r="935" spans="1:25" ht="13.2">
      <c r="A935" s="23"/>
      <c r="B935" s="16"/>
      <c r="X935" s="17"/>
      <c r="Y935" s="15"/>
    </row>
    <row r="936" spans="1:25" ht="13.2">
      <c r="A936" s="23"/>
      <c r="B936" s="16"/>
      <c r="X936" s="17"/>
      <c r="Y936" s="15"/>
    </row>
    <row r="937" spans="1:25" ht="13.2">
      <c r="A937" s="23"/>
      <c r="B937" s="16"/>
      <c r="X937" s="17"/>
      <c r="Y937" s="15"/>
    </row>
    <row r="938" spans="1:25" ht="13.2">
      <c r="A938" s="23"/>
      <c r="B938" s="16"/>
      <c r="X938" s="17"/>
      <c r="Y938" s="15"/>
    </row>
    <row r="939" spans="1:25" ht="13.2">
      <c r="A939" s="23"/>
      <c r="B939" s="16"/>
      <c r="X939" s="17"/>
      <c r="Y939" s="15"/>
    </row>
    <row r="940" spans="1:25" ht="13.2">
      <c r="A940" s="23"/>
      <c r="B940" s="16"/>
      <c r="X940" s="17"/>
      <c r="Y940" s="15"/>
    </row>
    <row r="941" spans="1:25" ht="13.2">
      <c r="A941" s="23"/>
      <c r="B941" s="16"/>
      <c r="X941" s="17"/>
      <c r="Y941" s="15"/>
    </row>
    <row r="942" spans="1:25" ht="13.2">
      <c r="A942" s="23"/>
      <c r="B942" s="16"/>
      <c r="X942" s="17"/>
      <c r="Y942" s="15"/>
    </row>
    <row r="943" spans="1:25" ht="13.2">
      <c r="A943" s="23"/>
      <c r="B943" s="16"/>
      <c r="X943" s="17"/>
      <c r="Y943" s="15"/>
    </row>
    <row r="944" spans="1:25" ht="13.2">
      <c r="A944" s="23"/>
      <c r="B944" s="16"/>
      <c r="X944" s="17"/>
      <c r="Y944" s="15"/>
    </row>
    <row r="945" spans="1:25" ht="13.2">
      <c r="A945" s="23"/>
      <c r="B945" s="16"/>
      <c r="X945" s="17"/>
      <c r="Y945" s="15"/>
    </row>
    <row r="946" spans="1:25" ht="13.2">
      <c r="A946" s="23"/>
      <c r="B946" s="16"/>
      <c r="X946" s="17"/>
      <c r="Y946" s="15"/>
    </row>
    <row r="947" spans="1:25" ht="13.2">
      <c r="A947" s="23"/>
      <c r="B947" s="16"/>
      <c r="X947" s="17"/>
      <c r="Y947" s="15"/>
    </row>
    <row r="948" spans="1:25" ht="13.2">
      <c r="A948" s="23"/>
      <c r="B948" s="16"/>
      <c r="X948" s="17"/>
      <c r="Y948" s="15"/>
    </row>
    <row r="949" spans="1:25" ht="13.2">
      <c r="A949" s="23"/>
      <c r="B949" s="16"/>
      <c r="X949" s="17"/>
      <c r="Y949" s="15"/>
    </row>
    <row r="950" spans="1:25" ht="13.2">
      <c r="A950" s="23"/>
      <c r="B950" s="16"/>
      <c r="X950" s="17"/>
      <c r="Y950" s="15"/>
    </row>
    <row r="951" spans="1:25" ht="13.2">
      <c r="A951" s="23"/>
      <c r="B951" s="16"/>
      <c r="X951" s="17"/>
      <c r="Y951" s="15"/>
    </row>
    <row r="952" spans="1:25" ht="13.2">
      <c r="A952" s="23"/>
      <c r="B952" s="16"/>
      <c r="X952" s="17"/>
      <c r="Y952" s="15"/>
    </row>
    <row r="953" spans="1:25" ht="13.2">
      <c r="A953" s="23"/>
      <c r="B953" s="16"/>
      <c r="X953" s="17"/>
      <c r="Y953" s="15"/>
    </row>
    <row r="954" spans="1:25" ht="13.2">
      <c r="A954" s="23"/>
      <c r="B954" s="16"/>
      <c r="X954" s="17"/>
      <c r="Y954" s="15"/>
    </row>
    <row r="955" spans="1:25" ht="13.2">
      <c r="A955" s="23"/>
      <c r="B955" s="16"/>
      <c r="X955" s="17"/>
      <c r="Y955" s="15"/>
    </row>
    <row r="956" spans="1:25" ht="13.2">
      <c r="A956" s="23"/>
      <c r="B956" s="16"/>
      <c r="X956" s="17"/>
      <c r="Y956" s="15"/>
    </row>
    <row r="957" spans="1:25" ht="13.2">
      <c r="A957" s="23"/>
      <c r="B957" s="16"/>
      <c r="X957" s="17"/>
      <c r="Y957" s="15"/>
    </row>
    <row r="958" spans="1:25" ht="13.2">
      <c r="A958" s="23"/>
      <c r="B958" s="16"/>
      <c r="X958" s="17"/>
      <c r="Y958" s="15"/>
    </row>
    <row r="959" spans="1:25" ht="13.2">
      <c r="A959" s="23"/>
      <c r="B959" s="16"/>
      <c r="X959" s="17"/>
      <c r="Y959" s="15"/>
    </row>
    <row r="960" spans="1:25" ht="13.2">
      <c r="A960" s="23"/>
      <c r="B960" s="16"/>
      <c r="X960" s="17"/>
      <c r="Y960" s="15"/>
    </row>
    <row r="961" spans="1:25" ht="13.2">
      <c r="A961" s="23"/>
      <c r="B961" s="16"/>
      <c r="X961" s="17"/>
      <c r="Y961" s="15"/>
    </row>
    <row r="962" spans="1:25" ht="13.2">
      <c r="A962" s="23"/>
      <c r="B962" s="16"/>
      <c r="X962" s="17"/>
      <c r="Y962" s="15"/>
    </row>
    <row r="963" spans="1:25" ht="13.2">
      <c r="A963" s="23"/>
      <c r="B963" s="16"/>
      <c r="X963" s="17"/>
      <c r="Y963" s="15"/>
    </row>
    <row r="964" spans="1:25" ht="13.2">
      <c r="A964" s="23"/>
      <c r="B964" s="16"/>
      <c r="X964" s="17"/>
      <c r="Y964" s="15"/>
    </row>
    <row r="965" spans="1:25" ht="13.2">
      <c r="A965" s="23"/>
      <c r="B965" s="16"/>
      <c r="X965" s="17"/>
      <c r="Y965" s="15"/>
    </row>
    <row r="966" spans="1:25" ht="13.2">
      <c r="A966" s="23"/>
      <c r="B966" s="16"/>
      <c r="X966" s="17"/>
      <c r="Y966" s="15"/>
    </row>
    <row r="967" spans="1:25" ht="13.2">
      <c r="A967" s="23"/>
      <c r="B967" s="16"/>
      <c r="X967" s="17"/>
      <c r="Y967" s="15"/>
    </row>
    <row r="968" spans="1:25" ht="13.2">
      <c r="A968" s="23"/>
      <c r="B968" s="16"/>
      <c r="X968" s="17"/>
      <c r="Y968" s="15"/>
    </row>
    <row r="969" spans="1:25" ht="13.2">
      <c r="A969" s="23"/>
      <c r="B969" s="16"/>
      <c r="X969" s="17"/>
      <c r="Y969" s="15"/>
    </row>
    <row r="970" spans="1:25" ht="13.2">
      <c r="A970" s="23"/>
      <c r="B970" s="16"/>
      <c r="X970" s="17"/>
      <c r="Y970" s="15"/>
    </row>
    <row r="971" spans="1:25" ht="13.2">
      <c r="A971" s="23"/>
      <c r="B971" s="16"/>
      <c r="X971" s="17"/>
      <c r="Y971" s="15"/>
    </row>
    <row r="972" spans="1:25" ht="13.2">
      <c r="A972" s="23"/>
      <c r="B972" s="16"/>
      <c r="X972" s="17"/>
      <c r="Y972" s="15"/>
    </row>
    <row r="973" spans="1:25" ht="13.2">
      <c r="A973" s="23"/>
      <c r="B973" s="16"/>
      <c r="X973" s="17"/>
      <c r="Y973" s="15"/>
    </row>
    <row r="974" spans="1:25" ht="13.2">
      <c r="A974" s="23"/>
      <c r="B974" s="16"/>
      <c r="X974" s="17"/>
      <c r="Y974" s="15"/>
    </row>
    <row r="975" spans="1:25" ht="13.2">
      <c r="A975" s="23"/>
      <c r="B975" s="16"/>
      <c r="X975" s="17"/>
      <c r="Y975" s="15"/>
    </row>
    <row r="976" spans="1:25" ht="13.2">
      <c r="A976" s="23"/>
      <c r="B976" s="16"/>
      <c r="X976" s="17"/>
      <c r="Y976" s="15"/>
    </row>
    <row r="977" spans="1:25" ht="13.2">
      <c r="A977" s="23"/>
      <c r="B977" s="16"/>
      <c r="X977" s="17"/>
      <c r="Y977" s="15"/>
    </row>
    <row r="978" spans="1:25" ht="13.2">
      <c r="A978" s="23"/>
      <c r="B978" s="16"/>
      <c r="X978" s="17"/>
      <c r="Y978" s="15"/>
    </row>
    <row r="979" spans="1:25" ht="13.2">
      <c r="A979" s="23"/>
      <c r="B979" s="16"/>
      <c r="X979" s="17"/>
      <c r="Y979" s="15"/>
    </row>
    <row r="980" spans="1:25" ht="13.2">
      <c r="A980" s="23"/>
      <c r="B980" s="16"/>
      <c r="X980" s="17"/>
      <c r="Y980" s="15"/>
    </row>
    <row r="981" spans="1:25" ht="13.2">
      <c r="A981" s="23"/>
      <c r="B981" s="16"/>
      <c r="X981" s="17"/>
      <c r="Y981" s="15"/>
    </row>
    <row r="982" spans="1:25" ht="13.2">
      <c r="A982" s="23"/>
      <c r="B982" s="16"/>
      <c r="X982" s="17"/>
      <c r="Y982" s="15"/>
    </row>
    <row r="983" spans="1:25" ht="13.2">
      <c r="A983" s="23"/>
      <c r="B983" s="16"/>
      <c r="X983" s="17"/>
      <c r="Y983" s="15"/>
    </row>
    <row r="984" spans="1:25" ht="13.2">
      <c r="A984" s="23"/>
      <c r="B984" s="16"/>
      <c r="X984" s="17"/>
      <c r="Y984" s="15"/>
    </row>
    <row r="985" spans="1:25" ht="13.2">
      <c r="A985" s="23"/>
      <c r="B985" s="16"/>
      <c r="X985" s="17"/>
      <c r="Y985" s="15"/>
    </row>
    <row r="986" spans="1:25" ht="13.2">
      <c r="A986" s="23"/>
      <c r="B986" s="16"/>
      <c r="X986" s="17"/>
      <c r="Y986" s="15"/>
    </row>
    <row r="987" spans="1:25" ht="13.2">
      <c r="A987" s="23"/>
      <c r="B987" s="16"/>
      <c r="X987" s="17"/>
      <c r="Y987" s="15"/>
    </row>
    <row r="988" spans="1:25" ht="13.2">
      <c r="A988" s="23"/>
      <c r="B988" s="16"/>
      <c r="X988" s="17"/>
      <c r="Y988" s="15"/>
    </row>
  </sheetData>
  <mergeCells count="234">
    <mergeCell ref="AE38:AI38"/>
    <mergeCell ref="AE39:AI42"/>
    <mergeCell ref="O40:T40"/>
    <mergeCell ref="U40:X40"/>
    <mergeCell ref="U41:X41"/>
    <mergeCell ref="U42:X42"/>
    <mergeCell ref="O33:T33"/>
    <mergeCell ref="U33:X33"/>
    <mergeCell ref="U34:X34"/>
    <mergeCell ref="L37:N37"/>
    <mergeCell ref="L38:N38"/>
    <mergeCell ref="L39:N39"/>
    <mergeCell ref="O39:T39"/>
    <mergeCell ref="U39:X39"/>
    <mergeCell ref="O34:T34"/>
    <mergeCell ref="O35:T35"/>
    <mergeCell ref="U35:X35"/>
    <mergeCell ref="O36:T36"/>
    <mergeCell ref="U36:X36"/>
    <mergeCell ref="O37:T37"/>
    <mergeCell ref="U37:X37"/>
    <mergeCell ref="O38:T38"/>
    <mergeCell ref="U38:X38"/>
    <mergeCell ref="O29:T29"/>
    <mergeCell ref="U29:X29"/>
    <mergeCell ref="AB29:AD29"/>
    <mergeCell ref="O30:T30"/>
    <mergeCell ref="U30:X30"/>
    <mergeCell ref="AB30:AD31"/>
    <mergeCell ref="O31:T31"/>
    <mergeCell ref="U31:X31"/>
    <mergeCell ref="O32:T32"/>
    <mergeCell ref="U32:X32"/>
    <mergeCell ref="O61:T61"/>
    <mergeCell ref="U61:X61"/>
    <mergeCell ref="U62:X62"/>
    <mergeCell ref="K66:S66"/>
    <mergeCell ref="T66:X66"/>
    <mergeCell ref="O62:T62"/>
    <mergeCell ref="O63:T63"/>
    <mergeCell ref="U63:X63"/>
    <mergeCell ref="O64:T64"/>
    <mergeCell ref="U64:X64"/>
    <mergeCell ref="O65:T65"/>
    <mergeCell ref="U65:X65"/>
    <mergeCell ref="O56:T56"/>
    <mergeCell ref="U56:X56"/>
    <mergeCell ref="O57:T57"/>
    <mergeCell ref="U57:X57"/>
    <mergeCell ref="O58:T58"/>
    <mergeCell ref="U58:X58"/>
    <mergeCell ref="O59:T59"/>
    <mergeCell ref="U59:X59"/>
    <mergeCell ref="O60:T60"/>
    <mergeCell ref="U60:X60"/>
    <mergeCell ref="O51:T51"/>
    <mergeCell ref="U51:X51"/>
    <mergeCell ref="O52:T52"/>
    <mergeCell ref="U52:X52"/>
    <mergeCell ref="O53:T53"/>
    <mergeCell ref="U53:X53"/>
    <mergeCell ref="O54:T54"/>
    <mergeCell ref="U54:X54"/>
    <mergeCell ref="U55:X55"/>
    <mergeCell ref="O55:T55"/>
    <mergeCell ref="O46:T46"/>
    <mergeCell ref="U46:X46"/>
    <mergeCell ref="O47:T47"/>
    <mergeCell ref="U47:X47"/>
    <mergeCell ref="U48:X48"/>
    <mergeCell ref="O48:T48"/>
    <mergeCell ref="O49:T49"/>
    <mergeCell ref="U49:X49"/>
    <mergeCell ref="O50:T50"/>
    <mergeCell ref="U50:X50"/>
    <mergeCell ref="O41:T41"/>
    <mergeCell ref="L42:N42"/>
    <mergeCell ref="O42:T42"/>
    <mergeCell ref="O43:T43"/>
    <mergeCell ref="U43:X43"/>
    <mergeCell ref="O44:T44"/>
    <mergeCell ref="U44:X44"/>
    <mergeCell ref="O45:T45"/>
    <mergeCell ref="U45:X45"/>
    <mergeCell ref="L62:N62"/>
    <mergeCell ref="L63:N63"/>
    <mergeCell ref="L64:N64"/>
    <mergeCell ref="L65:N65"/>
    <mergeCell ref="L55:N55"/>
    <mergeCell ref="L56:N56"/>
    <mergeCell ref="L57:N57"/>
    <mergeCell ref="L58:N58"/>
    <mergeCell ref="L59:N59"/>
    <mergeCell ref="L60:N60"/>
    <mergeCell ref="L61:N61"/>
    <mergeCell ref="L46:N46"/>
    <mergeCell ref="L47:N47"/>
    <mergeCell ref="L48:N48"/>
    <mergeCell ref="L49:N49"/>
    <mergeCell ref="L50:N50"/>
    <mergeCell ref="L51:N51"/>
    <mergeCell ref="L52:N52"/>
    <mergeCell ref="L53:N53"/>
    <mergeCell ref="L54:N54"/>
    <mergeCell ref="L33:N33"/>
    <mergeCell ref="L34:N34"/>
    <mergeCell ref="L35:N35"/>
    <mergeCell ref="L36:N36"/>
    <mergeCell ref="L40:N40"/>
    <mergeCell ref="L41:N41"/>
    <mergeCell ref="L43:N43"/>
    <mergeCell ref="L44:N44"/>
    <mergeCell ref="L45:N45"/>
    <mergeCell ref="K17:X19"/>
    <mergeCell ref="AB17:AI18"/>
    <mergeCell ref="K20:P20"/>
    <mergeCell ref="S20:X20"/>
    <mergeCell ref="K21:P22"/>
    <mergeCell ref="S21:V21"/>
    <mergeCell ref="L30:N30"/>
    <mergeCell ref="L31:N31"/>
    <mergeCell ref="L32:N32"/>
    <mergeCell ref="S22:V22"/>
    <mergeCell ref="K24:X24"/>
    <mergeCell ref="L25:N25"/>
    <mergeCell ref="O25:T25"/>
    <mergeCell ref="U25:X25"/>
    <mergeCell ref="O26:T26"/>
    <mergeCell ref="U26:X26"/>
    <mergeCell ref="L26:N26"/>
    <mergeCell ref="L27:N27"/>
    <mergeCell ref="O27:T27"/>
    <mergeCell ref="U27:X27"/>
    <mergeCell ref="L28:N28"/>
    <mergeCell ref="O28:T28"/>
    <mergeCell ref="U28:X28"/>
    <mergeCell ref="L29:N29"/>
    <mergeCell ref="C17:C18"/>
    <mergeCell ref="B20:C20"/>
    <mergeCell ref="B21:B22"/>
    <mergeCell ref="C21:C22"/>
    <mergeCell ref="B8:C8"/>
    <mergeCell ref="B9:C10"/>
    <mergeCell ref="B12:C12"/>
    <mergeCell ref="B13:B14"/>
    <mergeCell ref="C13:C14"/>
    <mergeCell ref="B16:C16"/>
    <mergeCell ref="B17:B18"/>
    <mergeCell ref="N6:S6"/>
    <mergeCell ref="U6:X6"/>
    <mergeCell ref="AB6:AI7"/>
    <mergeCell ref="U7:V7"/>
    <mergeCell ref="W7:X7"/>
    <mergeCell ref="I4:L4"/>
    <mergeCell ref="I5:L5"/>
    <mergeCell ref="B6:G6"/>
    <mergeCell ref="I6:L6"/>
    <mergeCell ref="U3:X3"/>
    <mergeCell ref="U4:X4"/>
    <mergeCell ref="B1:X1"/>
    <mergeCell ref="Y1:AE1"/>
    <mergeCell ref="B3:G5"/>
    <mergeCell ref="I3:L3"/>
    <mergeCell ref="N3:S3"/>
    <mergeCell ref="N4:S4"/>
    <mergeCell ref="AC4:AI4"/>
    <mergeCell ref="AB5:AI5"/>
    <mergeCell ref="N5:S5"/>
    <mergeCell ref="U5:X5"/>
    <mergeCell ref="B41:I41"/>
    <mergeCell ref="B44:D44"/>
    <mergeCell ref="G44:I44"/>
    <mergeCell ref="B33:B34"/>
    <mergeCell ref="C33:C34"/>
    <mergeCell ref="B36:I36"/>
    <mergeCell ref="B37:I37"/>
    <mergeCell ref="B38:I38"/>
    <mergeCell ref="B39:I39"/>
    <mergeCell ref="B40:I40"/>
    <mergeCell ref="B24:C24"/>
    <mergeCell ref="G24:I24"/>
    <mergeCell ref="B25:B26"/>
    <mergeCell ref="C25:C26"/>
    <mergeCell ref="G25:I25"/>
    <mergeCell ref="G31:I31"/>
    <mergeCell ref="G32:I32"/>
    <mergeCell ref="G33:I33"/>
    <mergeCell ref="G34:I34"/>
    <mergeCell ref="B28:C28"/>
    <mergeCell ref="G28:I28"/>
    <mergeCell ref="B29:B30"/>
    <mergeCell ref="C29:C30"/>
    <mergeCell ref="G29:I29"/>
    <mergeCell ref="G30:I30"/>
    <mergeCell ref="B32:C32"/>
    <mergeCell ref="G17:I17"/>
    <mergeCell ref="G18:I18"/>
    <mergeCell ref="G19:I19"/>
    <mergeCell ref="G20:I20"/>
    <mergeCell ref="G21:I21"/>
    <mergeCell ref="G26:I26"/>
    <mergeCell ref="G27:I27"/>
    <mergeCell ref="G22:I22"/>
    <mergeCell ref="G23:I23"/>
    <mergeCell ref="G11:I11"/>
    <mergeCell ref="U11:V11"/>
    <mergeCell ref="W11:X11"/>
    <mergeCell ref="AB11:AC11"/>
    <mergeCell ref="AD11:AI11"/>
    <mergeCell ref="AB13:AI16"/>
    <mergeCell ref="U15:V15"/>
    <mergeCell ref="W15:X15"/>
    <mergeCell ref="G12:I12"/>
    <mergeCell ref="J12:L12"/>
    <mergeCell ref="M12:V12"/>
    <mergeCell ref="W12:X12"/>
    <mergeCell ref="G13:I13"/>
    <mergeCell ref="J13:V14"/>
    <mergeCell ref="W13:X14"/>
    <mergeCell ref="G14:I14"/>
    <mergeCell ref="E16:I16"/>
    <mergeCell ref="K16:X16"/>
    <mergeCell ref="Q8:T8"/>
    <mergeCell ref="V8:X8"/>
    <mergeCell ref="AB8:AI9"/>
    <mergeCell ref="J8:L8"/>
    <mergeCell ref="J9:L10"/>
    <mergeCell ref="N9:O10"/>
    <mergeCell ref="Q9:T10"/>
    <mergeCell ref="V9:X10"/>
    <mergeCell ref="G10:I10"/>
    <mergeCell ref="E8:H8"/>
    <mergeCell ref="N8:O8"/>
    <mergeCell ref="G9:I9"/>
  </mergeCells>
  <conditionalFormatting sqref="M12">
    <cfRule type="cellIs" dxfId="8" priority="1" operator="equal">
      <formula>"Fine"</formula>
    </cfRule>
  </conditionalFormatting>
  <conditionalFormatting sqref="M12">
    <cfRule type="beginsWith" dxfId="7" priority="2" operator="beginsWith" text="U">
      <formula>LEFT((M12),LEN("U"))=("U")</formula>
    </cfRule>
  </conditionalFormatting>
  <conditionalFormatting sqref="M12">
    <cfRule type="beginsWith" dxfId="6" priority="3" operator="beginsWith" text="D">
      <formula>LEFT((M12),LEN("D"))=("D")</formula>
    </cfRule>
  </conditionalFormatting>
  <conditionalFormatting sqref="M12">
    <cfRule type="beginsWith" dxfId="5" priority="4" operator="beginsWith" text="B">
      <formula>LEFT((M12),LEN("B"))=("B")</formula>
    </cfRule>
  </conditionalFormatting>
  <dataValidations count="2">
    <dataValidation type="list" allowBlank="1" showInputMessage="1" prompt="The symbols indicate: ‼ - Expertise (Bard/Rogue x2 skill), ■ - Proficiency, ½ - Familiarity (Bard 1/2 skill), □ - No proficiency" sqref="E17:E34" xr:uid="{00000000-0002-0000-0000-000000000000}">
      <formula1>"‼,■,½,□"</formula1>
    </dataValidation>
    <dataValidation type="list" allowBlank="1" showInputMessage="1" prompt="A black square indicates proficiency, while white indicates a lack thereof." sqref="E9:E14" xr:uid="{00000000-0002-0000-0000-000002000000}">
      <formula1>"■,□"</formula1>
    </dataValidation>
  </dataValidations>
  <hyperlinks>
    <hyperlink ref="AC4" r:id="rId1" xr:uid="{00000000-0004-0000-0000-000000000000}"/>
    <hyperlink ref="AD11" r:id="rId2" xr:uid="{00000000-0004-0000-00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1">
        <x14:dataValidation type="list" allowBlank="1" showErrorMessage="1" xr:uid="{00000000-0002-0000-0000-000001000000}">
          <x14:formula1>
            <xm:f>'NPC List'!$A$2:$A$1000</xm:f>
          </x14:formula1>
          <xm:sqref>B1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0"/>
  <sheetViews>
    <sheetView topLeftCell="A16" workbookViewId="0">
      <selection activeCell="B2" sqref="B2"/>
    </sheetView>
  </sheetViews>
  <sheetFormatPr defaultColWidth="12.6640625" defaultRowHeight="15.75" customHeight="1"/>
  <cols>
    <col min="1" max="1" width="20.6640625" customWidth="1"/>
    <col min="5" max="5" width="22.33203125" customWidth="1"/>
    <col min="7" max="7" width="29.77734375" customWidth="1"/>
  </cols>
  <sheetData>
    <row r="1" spans="1:26" ht="15.75" customHeight="1">
      <c r="A1" s="53" t="s">
        <v>70</v>
      </c>
      <c r="B1" s="54" t="s">
        <v>71</v>
      </c>
      <c r="C1" s="53"/>
      <c r="D1" s="55" t="s">
        <v>72</v>
      </c>
      <c r="E1" s="55" t="s">
        <v>48</v>
      </c>
      <c r="F1" s="55" t="s">
        <v>47</v>
      </c>
      <c r="G1" s="56" t="s">
        <v>49</v>
      </c>
      <c r="H1" s="53"/>
      <c r="I1" s="53"/>
      <c r="J1" s="53"/>
      <c r="K1" s="53"/>
      <c r="L1" s="53"/>
      <c r="M1" s="53"/>
      <c r="N1" s="53"/>
      <c r="O1" s="53"/>
      <c r="P1" s="53"/>
      <c r="Q1" s="53"/>
      <c r="R1" s="53"/>
      <c r="S1" s="53"/>
      <c r="T1" s="53"/>
      <c r="U1" s="53"/>
      <c r="V1" s="53"/>
      <c r="W1" s="53"/>
      <c r="X1" s="53"/>
      <c r="Y1" s="53"/>
      <c r="Z1" s="53"/>
    </row>
    <row r="2" spans="1:26" ht="15.75" customHeight="1">
      <c r="A2" s="16" t="s">
        <v>73</v>
      </c>
      <c r="B2" s="57" t="s">
        <v>74</v>
      </c>
      <c r="D2" s="16">
        <f ca="1">IFERROR(__xludf.DUMMYFUNCTION("IMPORTRANGE(B2, ""Export items!A2:D999"")"),1)</f>
        <v>1</v>
      </c>
      <c r="E2" s="16" t="str">
        <f ca="1">IFERROR(__xludf.DUMMYFUNCTION("""COMPUTED_VALUE"""),"Gauntlet")</f>
        <v>Gauntlet</v>
      </c>
      <c r="F2" s="16" t="str">
        <f ca="1">IFERROR(__xludf.DUMMYFUNCTION("""COMPUTED_VALUE"""),"Weapon")</f>
        <v>Weapon</v>
      </c>
      <c r="G2" s="58">
        <f ca="1">IFERROR(__xludf.DUMMYFUNCTION("""COMPUTED_VALUE"""),2)</f>
        <v>2</v>
      </c>
    </row>
    <row r="3" spans="1:26" ht="15.75" customHeight="1">
      <c r="A3" s="16" t="s">
        <v>75</v>
      </c>
      <c r="B3" s="17"/>
      <c r="D3" s="16">
        <f ca="1">IFERROR(__xludf.DUMMYFUNCTION("""COMPUTED_VALUE"""),2)</f>
        <v>2</v>
      </c>
      <c r="E3" s="16" t="str">
        <f ca="1">IFERROR(__xludf.DUMMYFUNCTION("""COMPUTED_VALUE"""),"Unarmed strike")</f>
        <v>Unarmed strike</v>
      </c>
      <c r="F3" s="16" t="str">
        <f ca="1">IFERROR(__xludf.DUMMYFUNCTION("""COMPUTED_VALUE"""),"Weapon")</f>
        <v>Weapon</v>
      </c>
      <c r="G3" s="58">
        <f ca="1">IFERROR(__xludf.DUMMYFUNCTION("""COMPUTED_VALUE"""),0)</f>
        <v>0</v>
      </c>
    </row>
    <row r="4" spans="1:26" ht="15.75" customHeight="1">
      <c r="A4" s="16"/>
      <c r="B4" s="17"/>
      <c r="D4" s="16">
        <f ca="1">IFERROR(__xludf.DUMMYFUNCTION("""COMPUTED_VALUE"""),3)</f>
        <v>3</v>
      </c>
      <c r="E4" s="16" t="str">
        <f ca="1">IFERROR(__xludf.DUMMYFUNCTION("""COMPUTED_VALUE"""),"Dagger")</f>
        <v>Dagger</v>
      </c>
      <c r="F4" s="16" t="str">
        <f ca="1">IFERROR(__xludf.DUMMYFUNCTION("""COMPUTED_VALUE"""),"Weapon")</f>
        <v>Weapon</v>
      </c>
      <c r="G4" s="58">
        <f ca="1">IFERROR(__xludf.DUMMYFUNCTION("""COMPUTED_VALUE"""),2)</f>
        <v>2</v>
      </c>
    </row>
    <row r="5" spans="1:26" ht="15.75" customHeight="1">
      <c r="A5" s="16"/>
      <c r="B5" s="17"/>
      <c r="D5" s="16">
        <f ca="1">IFERROR(__xludf.DUMMYFUNCTION("""COMPUTED_VALUE"""),4)</f>
        <v>4</v>
      </c>
      <c r="E5" s="16" t="str">
        <f ca="1">IFERROR(__xludf.DUMMYFUNCTION("""COMPUTED_VALUE"""),"Dagger, punching")</f>
        <v>Dagger, punching</v>
      </c>
      <c r="F5" s="16" t="str">
        <f ca="1">IFERROR(__xludf.DUMMYFUNCTION("""COMPUTED_VALUE"""),"Weapon")</f>
        <v>Weapon</v>
      </c>
      <c r="G5" s="58">
        <f ca="1">IFERROR(__xludf.DUMMYFUNCTION("""COMPUTED_VALUE"""),2)</f>
        <v>2</v>
      </c>
    </row>
    <row r="6" spans="1:26" ht="15.75" customHeight="1">
      <c r="A6" s="16"/>
      <c r="B6" s="17"/>
      <c r="D6" s="16">
        <f ca="1">IFERROR(__xludf.DUMMYFUNCTION("""COMPUTED_VALUE"""),5)</f>
        <v>5</v>
      </c>
      <c r="E6" s="16" t="str">
        <f ca="1">IFERROR(__xludf.DUMMYFUNCTION("""COMPUTED_VALUE"""),"Gauntlet, spiked")</f>
        <v>Gauntlet, spiked</v>
      </c>
      <c r="F6" s="16" t="str">
        <f ca="1">IFERROR(__xludf.DUMMYFUNCTION("""COMPUTED_VALUE"""),"Weapon")</f>
        <v>Weapon</v>
      </c>
      <c r="G6" s="58">
        <f ca="1">IFERROR(__xludf.DUMMYFUNCTION("""COMPUTED_VALUE"""),5)</f>
        <v>5</v>
      </c>
    </row>
    <row r="7" spans="1:26" ht="15.75" customHeight="1">
      <c r="A7" s="16"/>
      <c r="B7" s="17"/>
      <c r="D7" s="16">
        <f ca="1">IFERROR(__xludf.DUMMYFUNCTION("""COMPUTED_VALUE"""),6)</f>
        <v>6</v>
      </c>
      <c r="E7" s="16" t="str">
        <f ca="1">IFERROR(__xludf.DUMMYFUNCTION("""COMPUTED_VALUE"""),"Mace, light")</f>
        <v>Mace, light</v>
      </c>
      <c r="F7" s="16" t="str">
        <f ca="1">IFERROR(__xludf.DUMMYFUNCTION("""COMPUTED_VALUE"""),"Weapon")</f>
        <v>Weapon</v>
      </c>
      <c r="G7" s="58">
        <f ca="1">IFERROR(__xludf.DUMMYFUNCTION("""COMPUTED_VALUE"""),5)</f>
        <v>5</v>
      </c>
    </row>
    <row r="8" spans="1:26" ht="15.75" customHeight="1">
      <c r="A8" s="16"/>
      <c r="B8" s="17"/>
      <c r="D8" s="16">
        <f ca="1">IFERROR(__xludf.DUMMYFUNCTION("""COMPUTED_VALUE"""),7)</f>
        <v>7</v>
      </c>
      <c r="E8" s="16" t="str">
        <f ca="1">IFERROR(__xludf.DUMMYFUNCTION("""COMPUTED_VALUE"""),"Sickle")</f>
        <v>Sickle</v>
      </c>
      <c r="F8" s="16" t="str">
        <f ca="1">IFERROR(__xludf.DUMMYFUNCTION("""COMPUTED_VALUE"""),"Weapon")</f>
        <v>Weapon</v>
      </c>
      <c r="G8" s="58">
        <f ca="1">IFERROR(__xludf.DUMMYFUNCTION("""COMPUTED_VALUE"""),6)</f>
        <v>6</v>
      </c>
    </row>
    <row r="9" spans="1:26" ht="15.75" customHeight="1">
      <c r="A9" s="16"/>
      <c r="B9" s="17"/>
      <c r="D9" s="16">
        <f ca="1">IFERROR(__xludf.DUMMYFUNCTION("""COMPUTED_VALUE"""),8)</f>
        <v>8</v>
      </c>
      <c r="E9" s="16" t="str">
        <f ca="1">IFERROR(__xludf.DUMMYFUNCTION("""COMPUTED_VALUE"""),"Club")</f>
        <v>Club</v>
      </c>
      <c r="F9" s="16" t="str">
        <f ca="1">IFERROR(__xludf.DUMMYFUNCTION("""COMPUTED_VALUE"""),"Weapon")</f>
        <v>Weapon</v>
      </c>
      <c r="G9" s="58">
        <f ca="1">IFERROR(__xludf.DUMMYFUNCTION("""COMPUTED_VALUE"""),0)</f>
        <v>0</v>
      </c>
    </row>
    <row r="10" spans="1:26" ht="15.75" customHeight="1">
      <c r="A10" s="16"/>
      <c r="B10" s="17"/>
      <c r="D10" s="16">
        <f ca="1">IFERROR(__xludf.DUMMYFUNCTION("""COMPUTED_VALUE"""),9)</f>
        <v>9</v>
      </c>
      <c r="E10" s="16" t="str">
        <f ca="1">IFERROR(__xludf.DUMMYFUNCTION("""COMPUTED_VALUE"""),"Mace, heavy")</f>
        <v>Mace, heavy</v>
      </c>
      <c r="F10" s="16" t="str">
        <f ca="1">IFERROR(__xludf.DUMMYFUNCTION("""COMPUTED_VALUE"""),"Weapon")</f>
        <v>Weapon</v>
      </c>
      <c r="G10" s="58">
        <f ca="1">IFERROR(__xludf.DUMMYFUNCTION("""COMPUTED_VALUE"""),12)</f>
        <v>12</v>
      </c>
    </row>
    <row r="11" spans="1:26" ht="15.75" customHeight="1">
      <c r="A11" s="16"/>
      <c r="B11" s="17"/>
      <c r="D11" s="16">
        <f ca="1">IFERROR(__xludf.DUMMYFUNCTION("""COMPUTED_VALUE"""),10)</f>
        <v>10</v>
      </c>
      <c r="E11" s="16" t="str">
        <f ca="1">IFERROR(__xludf.DUMMYFUNCTION("""COMPUTED_VALUE"""),"Morningstar")</f>
        <v>Morningstar</v>
      </c>
      <c r="F11" s="16" t="str">
        <f ca="1">IFERROR(__xludf.DUMMYFUNCTION("""COMPUTED_VALUE"""),"Weapon")</f>
        <v>Weapon</v>
      </c>
      <c r="G11" s="58">
        <f ca="1">IFERROR(__xludf.DUMMYFUNCTION("""COMPUTED_VALUE"""),8)</f>
        <v>8</v>
      </c>
    </row>
    <row r="12" spans="1:26" ht="15.75" customHeight="1">
      <c r="A12" s="16"/>
      <c r="B12" s="17"/>
      <c r="D12" s="16">
        <f ca="1">IFERROR(__xludf.DUMMYFUNCTION("""COMPUTED_VALUE"""),11)</f>
        <v>11</v>
      </c>
      <c r="E12" s="16" t="str">
        <f ca="1">IFERROR(__xludf.DUMMYFUNCTION("""COMPUTED_VALUE"""),"Shortspear")</f>
        <v>Shortspear</v>
      </c>
      <c r="F12" s="16" t="str">
        <f ca="1">IFERROR(__xludf.DUMMYFUNCTION("""COMPUTED_VALUE"""),"Weapon")</f>
        <v>Weapon</v>
      </c>
      <c r="G12" s="58">
        <f ca="1">IFERROR(__xludf.DUMMYFUNCTION("""COMPUTED_VALUE"""),1)</f>
        <v>1</v>
      </c>
    </row>
    <row r="13" spans="1:26" ht="15.75" customHeight="1">
      <c r="A13" s="16"/>
      <c r="B13" s="17"/>
      <c r="D13" s="16">
        <f ca="1">IFERROR(__xludf.DUMMYFUNCTION("""COMPUTED_VALUE"""),12)</f>
        <v>12</v>
      </c>
      <c r="E13" s="16" t="str">
        <f ca="1">IFERROR(__xludf.DUMMYFUNCTION("""COMPUTED_VALUE"""),"Longspear4")</f>
        <v>Longspear4</v>
      </c>
      <c r="F13" s="16" t="str">
        <f ca="1">IFERROR(__xludf.DUMMYFUNCTION("""COMPUTED_VALUE"""),"Weapon")</f>
        <v>Weapon</v>
      </c>
      <c r="G13" s="58">
        <f ca="1">IFERROR(__xludf.DUMMYFUNCTION("""COMPUTED_VALUE"""),5)</f>
        <v>5</v>
      </c>
    </row>
    <row r="14" spans="1:26" ht="15.75" customHeight="1">
      <c r="A14" s="16"/>
      <c r="B14" s="17"/>
      <c r="D14" s="16">
        <f ca="1">IFERROR(__xludf.DUMMYFUNCTION("""COMPUTED_VALUE"""),13)</f>
        <v>13</v>
      </c>
      <c r="E14" s="16" t="str">
        <f ca="1">IFERROR(__xludf.DUMMYFUNCTION("""COMPUTED_VALUE"""),"Quarterstaff5")</f>
        <v>Quarterstaff5</v>
      </c>
      <c r="F14" s="16" t="str">
        <f ca="1">IFERROR(__xludf.DUMMYFUNCTION("""COMPUTED_VALUE"""),"Weapon")</f>
        <v>Weapon</v>
      </c>
      <c r="G14" s="58">
        <f ca="1">IFERROR(__xludf.DUMMYFUNCTION("""COMPUTED_VALUE"""),0.1)</f>
        <v>0.1</v>
      </c>
    </row>
    <row r="15" spans="1:26" ht="15.75" customHeight="1">
      <c r="A15" s="16"/>
      <c r="B15" s="17"/>
      <c r="D15" s="16">
        <f ca="1">IFERROR(__xludf.DUMMYFUNCTION("""COMPUTED_VALUE"""),14)</f>
        <v>14</v>
      </c>
      <c r="E15" s="16" t="str">
        <f ca="1">IFERROR(__xludf.DUMMYFUNCTION("""COMPUTED_VALUE"""),"Spear")</f>
        <v>Spear</v>
      </c>
      <c r="F15" s="16" t="str">
        <f ca="1">IFERROR(__xludf.DUMMYFUNCTION("""COMPUTED_VALUE"""),"Weapon")</f>
        <v>Weapon</v>
      </c>
      <c r="G15" s="58">
        <f ca="1">IFERROR(__xludf.DUMMYFUNCTION("""COMPUTED_VALUE"""),2)</f>
        <v>2</v>
      </c>
    </row>
    <row r="16" spans="1:26" ht="15.75" customHeight="1">
      <c r="A16" s="16"/>
      <c r="B16" s="17"/>
      <c r="D16" s="16">
        <f ca="1">IFERROR(__xludf.DUMMYFUNCTION("""COMPUTED_VALUE"""),15)</f>
        <v>15</v>
      </c>
      <c r="E16" s="16" t="str">
        <f ca="1">IFERROR(__xludf.DUMMYFUNCTION("""COMPUTED_VALUE"""),"Crossbow, heavy")</f>
        <v>Crossbow, heavy</v>
      </c>
      <c r="F16" s="16" t="str">
        <f ca="1">IFERROR(__xludf.DUMMYFUNCTION("""COMPUTED_VALUE"""),"Weapon")</f>
        <v>Weapon</v>
      </c>
      <c r="G16" s="58">
        <f ca="1">IFERROR(__xludf.DUMMYFUNCTION("""COMPUTED_VALUE"""),50)</f>
        <v>50</v>
      </c>
    </row>
    <row r="17" spans="1:7" ht="15.75" customHeight="1">
      <c r="A17" s="16"/>
      <c r="B17" s="17"/>
      <c r="D17" s="16">
        <f ca="1">IFERROR(__xludf.DUMMYFUNCTION("""COMPUTED_VALUE"""),16)</f>
        <v>16</v>
      </c>
      <c r="E17" s="16" t="str">
        <f ca="1">IFERROR(__xludf.DUMMYFUNCTION("""COMPUTED_VALUE"""),"Bolts, crossbow (10)")</f>
        <v>Bolts, crossbow (10)</v>
      </c>
      <c r="F17" s="16" t="str">
        <f ca="1">IFERROR(__xludf.DUMMYFUNCTION("""COMPUTED_VALUE"""),"Weapon")</f>
        <v>Weapon</v>
      </c>
      <c r="G17" s="58">
        <f ca="1">IFERROR(__xludf.DUMMYFUNCTION("""COMPUTED_VALUE"""),1)</f>
        <v>1</v>
      </c>
    </row>
    <row r="18" spans="1:7" ht="15.75" customHeight="1">
      <c r="A18" s="16"/>
      <c r="B18" s="17"/>
      <c r="D18" s="16">
        <f ca="1">IFERROR(__xludf.DUMMYFUNCTION("""COMPUTED_VALUE"""),17)</f>
        <v>17</v>
      </c>
      <c r="E18" s="16" t="str">
        <f ca="1">IFERROR(__xludf.DUMMYFUNCTION("""COMPUTED_VALUE"""),"Crossbow, light")</f>
        <v>Crossbow, light</v>
      </c>
      <c r="F18" s="16" t="str">
        <f ca="1">IFERROR(__xludf.DUMMYFUNCTION("""COMPUTED_VALUE"""),"Weapon")</f>
        <v>Weapon</v>
      </c>
      <c r="G18" s="58">
        <f ca="1">IFERROR(__xludf.DUMMYFUNCTION("""COMPUTED_VALUE"""),35)</f>
        <v>35</v>
      </c>
    </row>
    <row r="19" spans="1:7" ht="15.75" customHeight="1">
      <c r="A19" s="16"/>
      <c r="B19" s="17"/>
      <c r="D19" s="16">
        <f ca="1">IFERROR(__xludf.DUMMYFUNCTION("""COMPUTED_VALUE"""),18)</f>
        <v>18</v>
      </c>
      <c r="E19" s="16" t="str">
        <f ca="1">IFERROR(__xludf.DUMMYFUNCTION("""COMPUTED_VALUE"""),"Dart")</f>
        <v>Dart</v>
      </c>
      <c r="F19" s="16" t="str">
        <f ca="1">IFERROR(__xludf.DUMMYFUNCTION("""COMPUTED_VALUE"""),"Weapon")</f>
        <v>Weapon</v>
      </c>
      <c r="G19" s="58">
        <f ca="1">IFERROR(__xludf.DUMMYFUNCTION("""COMPUTED_VALUE"""),0.05)</f>
        <v>0.05</v>
      </c>
    </row>
    <row r="20" spans="1:7" ht="15.75" customHeight="1">
      <c r="A20" s="16"/>
      <c r="B20" s="17"/>
      <c r="D20" s="16">
        <f ca="1">IFERROR(__xludf.DUMMYFUNCTION("""COMPUTED_VALUE"""),19)</f>
        <v>19</v>
      </c>
      <c r="E20" s="16" t="str">
        <f ca="1">IFERROR(__xludf.DUMMYFUNCTION("""COMPUTED_VALUE"""),"Javelin")</f>
        <v>Javelin</v>
      </c>
      <c r="F20" s="16" t="str">
        <f ca="1">IFERROR(__xludf.DUMMYFUNCTION("""COMPUTED_VALUE"""),"Weapon")</f>
        <v>Weapon</v>
      </c>
      <c r="G20" s="58">
        <f ca="1">IFERROR(__xludf.DUMMYFUNCTION("""COMPUTED_VALUE"""),1)</f>
        <v>1</v>
      </c>
    </row>
    <row r="21" spans="1:7" ht="15.75" customHeight="1">
      <c r="A21" s="16"/>
      <c r="B21" s="17"/>
      <c r="D21" s="16">
        <f ca="1">IFERROR(__xludf.DUMMYFUNCTION("""COMPUTED_VALUE"""),20)</f>
        <v>20</v>
      </c>
      <c r="E21" s="16" t="str">
        <f ca="1">IFERROR(__xludf.DUMMYFUNCTION("""COMPUTED_VALUE"""),"Sling")</f>
        <v>Sling</v>
      </c>
      <c r="F21" s="16" t="str">
        <f ca="1">IFERROR(__xludf.DUMMYFUNCTION("""COMPUTED_VALUE"""),"Weapon")</f>
        <v>Weapon</v>
      </c>
      <c r="G21" s="58">
        <f ca="1">IFERROR(__xludf.DUMMYFUNCTION("""COMPUTED_VALUE"""),0.01)</f>
        <v>0.01</v>
      </c>
    </row>
    <row r="22" spans="1:7" ht="15.75" customHeight="1">
      <c r="A22" s="16"/>
      <c r="B22" s="17"/>
      <c r="D22" s="16">
        <f ca="1">IFERROR(__xludf.DUMMYFUNCTION("""COMPUTED_VALUE"""),21)</f>
        <v>21</v>
      </c>
      <c r="E22" s="16" t="str">
        <f ca="1">IFERROR(__xludf.DUMMYFUNCTION("""COMPUTED_VALUE"""),"Bullets, sling (10)")</f>
        <v>Bullets, sling (10)</v>
      </c>
      <c r="F22" s="16" t="str">
        <f ca="1">IFERROR(__xludf.DUMMYFUNCTION("""COMPUTED_VALUE"""),"Weapon")</f>
        <v>Weapon</v>
      </c>
      <c r="G22" s="58">
        <f ca="1">IFERROR(__xludf.DUMMYFUNCTION("""COMPUTED_VALUE"""),0.01)</f>
        <v>0.01</v>
      </c>
    </row>
    <row r="23" spans="1:7" ht="15.75" customHeight="1">
      <c r="A23" s="16"/>
      <c r="B23" s="17"/>
      <c r="D23" s="16">
        <f ca="1">IFERROR(__xludf.DUMMYFUNCTION("""COMPUTED_VALUE"""),22)</f>
        <v>22</v>
      </c>
      <c r="E23" s="16" t="str">
        <f ca="1">IFERROR(__xludf.DUMMYFUNCTION("""COMPUTED_VALUE"""),"Axe, throwing")</f>
        <v>Axe, throwing</v>
      </c>
      <c r="F23" s="16" t="str">
        <f ca="1">IFERROR(__xludf.DUMMYFUNCTION("""COMPUTED_VALUE"""),"Weapon")</f>
        <v>Weapon</v>
      </c>
      <c r="G23" s="58">
        <f ca="1">IFERROR(__xludf.DUMMYFUNCTION("""COMPUTED_VALUE"""),8)</f>
        <v>8</v>
      </c>
    </row>
    <row r="24" spans="1:7" ht="15.75" customHeight="1">
      <c r="A24" s="16"/>
      <c r="B24" s="17"/>
      <c r="D24" s="16">
        <f ca="1">IFERROR(__xludf.DUMMYFUNCTION("""COMPUTED_VALUE"""),23)</f>
        <v>23</v>
      </c>
      <c r="E24" s="16" t="str">
        <f ca="1">IFERROR(__xludf.DUMMYFUNCTION("""COMPUTED_VALUE"""),"Hammer, light")</f>
        <v>Hammer, light</v>
      </c>
      <c r="F24" s="16" t="str">
        <f ca="1">IFERROR(__xludf.DUMMYFUNCTION("""COMPUTED_VALUE"""),"Weapon")</f>
        <v>Weapon</v>
      </c>
      <c r="G24" s="58">
        <f ca="1">IFERROR(__xludf.DUMMYFUNCTION("""COMPUTED_VALUE"""),1)</f>
        <v>1</v>
      </c>
    </row>
    <row r="25" spans="1:7" ht="15.75" customHeight="1">
      <c r="A25" s="16"/>
      <c r="B25" s="17"/>
      <c r="D25" s="16">
        <f ca="1">IFERROR(__xludf.DUMMYFUNCTION("""COMPUTED_VALUE"""),24)</f>
        <v>24</v>
      </c>
      <c r="E25" s="16" t="str">
        <f ca="1">IFERROR(__xludf.DUMMYFUNCTION("""COMPUTED_VALUE"""),"Handaxe")</f>
        <v>Handaxe</v>
      </c>
      <c r="F25" s="16" t="str">
        <f ca="1">IFERROR(__xludf.DUMMYFUNCTION("""COMPUTED_VALUE"""),"Weapon")</f>
        <v>Weapon</v>
      </c>
      <c r="G25" s="58">
        <f ca="1">IFERROR(__xludf.DUMMYFUNCTION("""COMPUTED_VALUE"""),6)</f>
        <v>6</v>
      </c>
    </row>
    <row r="26" spans="1:7" ht="15.75" customHeight="1">
      <c r="A26" s="16"/>
      <c r="B26" s="17"/>
      <c r="D26" s="16">
        <f ca="1">IFERROR(__xludf.DUMMYFUNCTION("""COMPUTED_VALUE"""),25)</f>
        <v>25</v>
      </c>
      <c r="E26" s="16" t="str">
        <f ca="1">IFERROR(__xludf.DUMMYFUNCTION("""COMPUTED_VALUE"""),"Kukri")</f>
        <v>Kukri</v>
      </c>
      <c r="F26" s="16" t="str">
        <f ca="1">IFERROR(__xludf.DUMMYFUNCTION("""COMPUTED_VALUE"""),"Weapon")</f>
        <v>Weapon</v>
      </c>
      <c r="G26" s="58">
        <f ca="1">IFERROR(__xludf.DUMMYFUNCTION("""COMPUTED_VALUE"""),8)</f>
        <v>8</v>
      </c>
    </row>
    <row r="27" spans="1:7" ht="15.75" customHeight="1">
      <c r="A27" s="16"/>
      <c r="B27" s="17"/>
      <c r="D27" s="16">
        <f ca="1">IFERROR(__xludf.DUMMYFUNCTION("""COMPUTED_VALUE"""),26)</f>
        <v>26</v>
      </c>
      <c r="E27" s="16" t="str">
        <f ca="1">IFERROR(__xludf.DUMMYFUNCTION("""COMPUTED_VALUE"""),"Pick, light")</f>
        <v>Pick, light</v>
      </c>
      <c r="F27" s="16" t="str">
        <f ca="1">IFERROR(__xludf.DUMMYFUNCTION("""COMPUTED_VALUE"""),"Weapon")</f>
        <v>Weapon</v>
      </c>
      <c r="G27" s="58">
        <f ca="1">IFERROR(__xludf.DUMMYFUNCTION("""COMPUTED_VALUE"""),4)</f>
        <v>4</v>
      </c>
    </row>
    <row r="28" spans="1:7" ht="13.2">
      <c r="A28" s="16"/>
      <c r="B28" s="17"/>
      <c r="D28" s="16">
        <f ca="1">IFERROR(__xludf.DUMMYFUNCTION("""COMPUTED_VALUE"""),27)</f>
        <v>27</v>
      </c>
      <c r="E28" s="16" t="str">
        <f ca="1">IFERROR(__xludf.DUMMYFUNCTION("""COMPUTED_VALUE"""),"Sap")</f>
        <v>Sap</v>
      </c>
      <c r="F28" s="16" t="str">
        <f ca="1">IFERROR(__xludf.DUMMYFUNCTION("""COMPUTED_VALUE"""),"Weapon")</f>
        <v>Weapon</v>
      </c>
      <c r="G28" s="58">
        <f ca="1">IFERROR(__xludf.DUMMYFUNCTION("""COMPUTED_VALUE"""),1)</f>
        <v>1</v>
      </c>
    </row>
    <row r="29" spans="1:7" ht="13.2">
      <c r="A29" s="16"/>
      <c r="B29" s="17"/>
      <c r="D29" s="16">
        <f ca="1">IFERROR(__xludf.DUMMYFUNCTION("""COMPUTED_VALUE"""),28)</f>
        <v>28</v>
      </c>
      <c r="E29" s="16" t="str">
        <f ca="1">IFERROR(__xludf.DUMMYFUNCTION("""COMPUTED_VALUE"""),"Shield, light")</f>
        <v>Shield, light</v>
      </c>
      <c r="F29" s="16" t="str">
        <f ca="1">IFERROR(__xludf.DUMMYFUNCTION("""COMPUTED_VALUE"""),"Weapon")</f>
        <v>Weapon</v>
      </c>
      <c r="G29" s="58">
        <f ca="1">IFERROR(__xludf.DUMMYFUNCTION("""COMPUTED_VALUE"""),10)</f>
        <v>10</v>
      </c>
    </row>
    <row r="30" spans="1:7" ht="13.2">
      <c r="A30" s="16"/>
      <c r="B30" s="17"/>
      <c r="D30" s="16">
        <f ca="1">IFERROR(__xludf.DUMMYFUNCTION("""COMPUTED_VALUE"""),29)</f>
        <v>29</v>
      </c>
      <c r="E30" s="16" t="str">
        <f ca="1">IFERROR(__xludf.DUMMYFUNCTION("""COMPUTED_VALUE"""),"Spiked armor")</f>
        <v>Spiked armor</v>
      </c>
      <c r="F30" s="16" t="str">
        <f ca="1">IFERROR(__xludf.DUMMYFUNCTION("""COMPUTED_VALUE"""),"Weapon")</f>
        <v>Weapon</v>
      </c>
      <c r="G30" s="58">
        <f ca="1">IFERROR(__xludf.DUMMYFUNCTION("""COMPUTED_VALUE"""),20)</f>
        <v>20</v>
      </c>
    </row>
    <row r="31" spans="1:7" ht="13.2">
      <c r="A31" s="16"/>
      <c r="B31" s="17"/>
      <c r="D31" s="16">
        <f ca="1">IFERROR(__xludf.DUMMYFUNCTION("""COMPUTED_VALUE"""),30)</f>
        <v>30</v>
      </c>
      <c r="E31" s="16" t="str">
        <f ca="1">IFERROR(__xludf.DUMMYFUNCTION("""COMPUTED_VALUE"""),"Spiked shield, light")</f>
        <v>Spiked shield, light</v>
      </c>
      <c r="F31" s="16" t="str">
        <f ca="1">IFERROR(__xludf.DUMMYFUNCTION("""COMPUTED_VALUE"""),"Weapon")</f>
        <v>Weapon</v>
      </c>
      <c r="G31" s="58">
        <f ca="1">IFERROR(__xludf.DUMMYFUNCTION("""COMPUTED_VALUE"""),30)</f>
        <v>30</v>
      </c>
    </row>
    <row r="32" spans="1:7" ht="13.2">
      <c r="A32" s="16"/>
      <c r="B32" s="17"/>
      <c r="D32" s="16">
        <f ca="1">IFERROR(__xludf.DUMMYFUNCTION("""COMPUTED_VALUE"""),31)</f>
        <v>31</v>
      </c>
      <c r="E32" s="16" t="str">
        <f ca="1">IFERROR(__xludf.DUMMYFUNCTION("""COMPUTED_VALUE"""),"Sword, short")</f>
        <v>Sword, short</v>
      </c>
      <c r="F32" s="16" t="str">
        <f ca="1">IFERROR(__xludf.DUMMYFUNCTION("""COMPUTED_VALUE"""),"Weapon")</f>
        <v>Weapon</v>
      </c>
      <c r="G32" s="58">
        <f ca="1">IFERROR(__xludf.DUMMYFUNCTION("""COMPUTED_VALUE"""),10)</f>
        <v>10</v>
      </c>
    </row>
    <row r="33" spans="1:7" ht="13.2">
      <c r="A33" s="16"/>
      <c r="B33" s="17"/>
      <c r="D33" s="16">
        <f ca="1">IFERROR(__xludf.DUMMYFUNCTION("""COMPUTED_VALUE"""),32)</f>
        <v>32</v>
      </c>
      <c r="E33" s="16" t="str">
        <f ca="1">IFERROR(__xludf.DUMMYFUNCTION("""COMPUTED_VALUE"""),"Battleaxe")</f>
        <v>Battleaxe</v>
      </c>
      <c r="F33" s="16" t="str">
        <f ca="1">IFERROR(__xludf.DUMMYFUNCTION("""COMPUTED_VALUE"""),"Weapon")</f>
        <v>Weapon</v>
      </c>
      <c r="G33" s="58">
        <f ca="1">IFERROR(__xludf.DUMMYFUNCTION("""COMPUTED_VALUE"""),10)</f>
        <v>10</v>
      </c>
    </row>
    <row r="34" spans="1:7" ht="13.2">
      <c r="A34" s="16"/>
      <c r="B34" s="17"/>
      <c r="D34" s="16">
        <f ca="1">IFERROR(__xludf.DUMMYFUNCTION("""COMPUTED_VALUE"""),33)</f>
        <v>33</v>
      </c>
      <c r="E34" s="16" t="str">
        <f ca="1">IFERROR(__xludf.DUMMYFUNCTION("""COMPUTED_VALUE"""),"Flail")</f>
        <v>Flail</v>
      </c>
      <c r="F34" s="16" t="str">
        <f ca="1">IFERROR(__xludf.DUMMYFUNCTION("""COMPUTED_VALUE"""),"Weapon")</f>
        <v>Weapon</v>
      </c>
      <c r="G34" s="58">
        <f ca="1">IFERROR(__xludf.DUMMYFUNCTION("""COMPUTED_VALUE"""),8)</f>
        <v>8</v>
      </c>
    </row>
    <row r="35" spans="1:7" ht="13.2">
      <c r="A35" s="16"/>
      <c r="B35" s="17"/>
      <c r="D35" s="16">
        <f ca="1">IFERROR(__xludf.DUMMYFUNCTION("""COMPUTED_VALUE"""),34)</f>
        <v>34</v>
      </c>
      <c r="E35" s="16" t="str">
        <f ca="1">IFERROR(__xludf.DUMMYFUNCTION("""COMPUTED_VALUE"""),"Longsword")</f>
        <v>Longsword</v>
      </c>
      <c r="F35" s="16" t="str">
        <f ca="1">IFERROR(__xludf.DUMMYFUNCTION("""COMPUTED_VALUE"""),"Weapon")</f>
        <v>Weapon</v>
      </c>
      <c r="G35" s="58">
        <f ca="1">IFERROR(__xludf.DUMMYFUNCTION("""COMPUTED_VALUE"""),15)</f>
        <v>15</v>
      </c>
    </row>
    <row r="36" spans="1:7" ht="13.2">
      <c r="A36" s="16"/>
      <c r="B36" s="17"/>
      <c r="D36" s="16">
        <f ca="1">IFERROR(__xludf.DUMMYFUNCTION("""COMPUTED_VALUE"""),35)</f>
        <v>35</v>
      </c>
      <c r="E36" s="16" t="str">
        <f ca="1">IFERROR(__xludf.DUMMYFUNCTION("""COMPUTED_VALUE"""),"Pick, heavy")</f>
        <v>Pick, heavy</v>
      </c>
      <c r="F36" s="16" t="str">
        <f ca="1">IFERROR(__xludf.DUMMYFUNCTION("""COMPUTED_VALUE"""),"Weapon")</f>
        <v>Weapon</v>
      </c>
      <c r="G36" s="58">
        <f ca="1">IFERROR(__xludf.DUMMYFUNCTION("""COMPUTED_VALUE"""),8)</f>
        <v>8</v>
      </c>
    </row>
    <row r="37" spans="1:7" ht="13.2">
      <c r="A37" s="16"/>
      <c r="B37" s="17"/>
      <c r="D37" s="16">
        <f ca="1">IFERROR(__xludf.DUMMYFUNCTION("""COMPUTED_VALUE"""),36)</f>
        <v>36</v>
      </c>
      <c r="E37" s="16" t="str">
        <f ca="1">IFERROR(__xludf.DUMMYFUNCTION("""COMPUTED_VALUE"""),"Rapier")</f>
        <v>Rapier</v>
      </c>
      <c r="F37" s="16" t="str">
        <f ca="1">IFERROR(__xludf.DUMMYFUNCTION("""COMPUTED_VALUE"""),"Weapon")</f>
        <v>Weapon</v>
      </c>
      <c r="G37" s="58">
        <f ca="1">IFERROR(__xludf.DUMMYFUNCTION("""COMPUTED_VALUE"""),20)</f>
        <v>20</v>
      </c>
    </row>
    <row r="38" spans="1:7" ht="13.2">
      <c r="A38" s="16"/>
      <c r="B38" s="17"/>
      <c r="D38" s="16">
        <f ca="1">IFERROR(__xludf.DUMMYFUNCTION("""COMPUTED_VALUE"""),37)</f>
        <v>37</v>
      </c>
      <c r="E38" s="16" t="str">
        <f ca="1">IFERROR(__xludf.DUMMYFUNCTION("""COMPUTED_VALUE"""),"Scimitar")</f>
        <v>Scimitar</v>
      </c>
      <c r="F38" s="16" t="str">
        <f ca="1">IFERROR(__xludf.DUMMYFUNCTION("""COMPUTED_VALUE"""),"Weapon")</f>
        <v>Weapon</v>
      </c>
      <c r="G38" s="58">
        <f ca="1">IFERROR(__xludf.DUMMYFUNCTION("""COMPUTED_VALUE"""),15)</f>
        <v>15</v>
      </c>
    </row>
    <row r="39" spans="1:7" ht="13.2">
      <c r="A39" s="16"/>
      <c r="B39" s="17"/>
      <c r="D39" s="16">
        <f ca="1">IFERROR(__xludf.DUMMYFUNCTION("""COMPUTED_VALUE"""),38)</f>
        <v>38</v>
      </c>
      <c r="E39" s="16" t="str">
        <f ca="1">IFERROR(__xludf.DUMMYFUNCTION("""COMPUTED_VALUE"""),"Shield, heavy")</f>
        <v>Shield, heavy</v>
      </c>
      <c r="F39" s="16" t="str">
        <f ca="1">IFERROR(__xludf.DUMMYFUNCTION("""COMPUTED_VALUE"""),"Weapon")</f>
        <v>Weapon</v>
      </c>
      <c r="G39" s="58">
        <f ca="1">IFERROR(__xludf.DUMMYFUNCTION("""COMPUTED_VALUE"""),50)</f>
        <v>50</v>
      </c>
    </row>
    <row r="40" spans="1:7" ht="13.2">
      <c r="A40" s="16"/>
      <c r="B40" s="17"/>
      <c r="D40" s="16">
        <f ca="1">IFERROR(__xludf.DUMMYFUNCTION("""COMPUTED_VALUE"""),39)</f>
        <v>39</v>
      </c>
      <c r="E40" s="16" t="str">
        <f ca="1">IFERROR(__xludf.DUMMYFUNCTION("""COMPUTED_VALUE"""),"Spiked shield, heavy")</f>
        <v>Spiked shield, heavy</v>
      </c>
      <c r="F40" s="16" t="str">
        <f ca="1">IFERROR(__xludf.DUMMYFUNCTION("""COMPUTED_VALUE"""),"Weapon")</f>
        <v>Weapon</v>
      </c>
      <c r="G40" s="58">
        <f ca="1">IFERROR(__xludf.DUMMYFUNCTION("""COMPUTED_VALUE"""),60)</f>
        <v>60</v>
      </c>
    </row>
    <row r="41" spans="1:7" ht="13.2">
      <c r="A41" s="16"/>
      <c r="B41" s="17"/>
      <c r="D41" s="16">
        <f ca="1">IFERROR(__xludf.DUMMYFUNCTION("""COMPUTED_VALUE"""),40)</f>
        <v>40</v>
      </c>
      <c r="E41" s="16" t="str">
        <f ca="1">IFERROR(__xludf.DUMMYFUNCTION("""COMPUTED_VALUE"""),"Trident")</f>
        <v>Trident</v>
      </c>
      <c r="F41" s="16" t="str">
        <f ca="1">IFERROR(__xludf.DUMMYFUNCTION("""COMPUTED_VALUE"""),"Weapon")</f>
        <v>Weapon</v>
      </c>
      <c r="G41" s="58">
        <f ca="1">IFERROR(__xludf.DUMMYFUNCTION("""COMPUTED_VALUE"""),15)</f>
        <v>15</v>
      </c>
    </row>
    <row r="42" spans="1:7" ht="13.2">
      <c r="A42" s="16"/>
      <c r="B42" s="17"/>
      <c r="D42" s="16">
        <f ca="1">IFERROR(__xludf.DUMMYFUNCTION("""COMPUTED_VALUE"""),41)</f>
        <v>41</v>
      </c>
      <c r="E42" s="16" t="str">
        <f ca="1">IFERROR(__xludf.DUMMYFUNCTION("""COMPUTED_VALUE"""),"Warhammer")</f>
        <v>Warhammer</v>
      </c>
      <c r="F42" s="16" t="str">
        <f ca="1">IFERROR(__xludf.DUMMYFUNCTION("""COMPUTED_VALUE"""),"Weapon")</f>
        <v>Weapon</v>
      </c>
      <c r="G42" s="58">
        <f ca="1">IFERROR(__xludf.DUMMYFUNCTION("""COMPUTED_VALUE"""),12)</f>
        <v>12</v>
      </c>
    </row>
    <row r="43" spans="1:7" ht="13.2">
      <c r="A43" s="16"/>
      <c r="B43" s="17"/>
      <c r="D43" s="16">
        <f ca="1">IFERROR(__xludf.DUMMYFUNCTION("""COMPUTED_VALUE"""),42)</f>
        <v>42</v>
      </c>
      <c r="E43" s="16" t="str">
        <f ca="1">IFERROR(__xludf.DUMMYFUNCTION("""COMPUTED_VALUE"""),"Falchion")</f>
        <v>Falchion</v>
      </c>
      <c r="F43" s="16" t="str">
        <f ca="1">IFERROR(__xludf.DUMMYFUNCTION("""COMPUTED_VALUE"""),"Weapon")</f>
        <v>Weapon</v>
      </c>
      <c r="G43" s="58">
        <f ca="1">IFERROR(__xludf.DUMMYFUNCTION("""COMPUTED_VALUE"""),75)</f>
        <v>75</v>
      </c>
    </row>
    <row r="44" spans="1:7" ht="13.2">
      <c r="A44" s="16"/>
      <c r="B44" s="17"/>
      <c r="D44" s="16">
        <f ca="1">IFERROR(__xludf.DUMMYFUNCTION("""COMPUTED_VALUE"""),43)</f>
        <v>43</v>
      </c>
      <c r="E44" s="16" t="str">
        <f ca="1">IFERROR(__xludf.DUMMYFUNCTION("""COMPUTED_VALUE"""),"Glaive")</f>
        <v>Glaive</v>
      </c>
      <c r="F44" s="16" t="str">
        <f ca="1">IFERROR(__xludf.DUMMYFUNCTION("""COMPUTED_VALUE"""),"Weapon")</f>
        <v>Weapon</v>
      </c>
      <c r="G44" s="58">
        <f ca="1">IFERROR(__xludf.DUMMYFUNCTION("""COMPUTED_VALUE"""),8)</f>
        <v>8</v>
      </c>
    </row>
    <row r="45" spans="1:7" ht="13.2">
      <c r="A45" s="16"/>
      <c r="B45" s="17"/>
      <c r="D45" s="16">
        <f ca="1">IFERROR(__xludf.DUMMYFUNCTION("""COMPUTED_VALUE"""),44)</f>
        <v>44</v>
      </c>
      <c r="E45" s="16" t="str">
        <f ca="1">IFERROR(__xludf.DUMMYFUNCTION("""COMPUTED_VALUE"""),"Greataxe")</f>
        <v>Greataxe</v>
      </c>
      <c r="F45" s="16" t="str">
        <f ca="1">IFERROR(__xludf.DUMMYFUNCTION("""COMPUTED_VALUE"""),"Weapon")</f>
        <v>Weapon</v>
      </c>
      <c r="G45" s="58">
        <f ca="1">IFERROR(__xludf.DUMMYFUNCTION("""COMPUTED_VALUE"""),20)</f>
        <v>20</v>
      </c>
    </row>
    <row r="46" spans="1:7" ht="13.2">
      <c r="A46" s="16"/>
      <c r="B46" s="17"/>
      <c r="D46" s="16">
        <f ca="1">IFERROR(__xludf.DUMMYFUNCTION("""COMPUTED_VALUE"""),45)</f>
        <v>45</v>
      </c>
      <c r="E46" s="16" t="str">
        <f ca="1">IFERROR(__xludf.DUMMYFUNCTION("""COMPUTED_VALUE"""),"Greatclub")</f>
        <v>Greatclub</v>
      </c>
      <c r="F46" s="16" t="str">
        <f ca="1">IFERROR(__xludf.DUMMYFUNCTION("""COMPUTED_VALUE"""),"Weapon")</f>
        <v>Weapon</v>
      </c>
      <c r="G46" s="58">
        <f ca="1">IFERROR(__xludf.DUMMYFUNCTION("""COMPUTED_VALUE"""),5)</f>
        <v>5</v>
      </c>
    </row>
    <row r="47" spans="1:7" ht="13.2">
      <c r="A47" s="16"/>
      <c r="B47" s="17"/>
      <c r="D47" s="16">
        <f ca="1">IFERROR(__xludf.DUMMYFUNCTION("""COMPUTED_VALUE"""),46)</f>
        <v>46</v>
      </c>
      <c r="E47" s="16" t="str">
        <f ca="1">IFERROR(__xludf.DUMMYFUNCTION("""COMPUTED_VALUE"""),"Flail, heavy")</f>
        <v>Flail, heavy</v>
      </c>
      <c r="F47" s="16" t="str">
        <f ca="1">IFERROR(__xludf.DUMMYFUNCTION("""COMPUTED_VALUE"""),"Weapon")</f>
        <v>Weapon</v>
      </c>
      <c r="G47" s="58">
        <f ca="1">IFERROR(__xludf.DUMMYFUNCTION("""COMPUTED_VALUE"""),15)</f>
        <v>15</v>
      </c>
    </row>
    <row r="48" spans="1:7" ht="13.2">
      <c r="A48" s="16"/>
      <c r="B48" s="17"/>
      <c r="D48" s="16">
        <f ca="1">IFERROR(__xludf.DUMMYFUNCTION("""COMPUTED_VALUE"""),47)</f>
        <v>47</v>
      </c>
      <c r="E48" s="16" t="str">
        <f ca="1">IFERROR(__xludf.DUMMYFUNCTION("""COMPUTED_VALUE"""),"Greatsword")</f>
        <v>Greatsword</v>
      </c>
      <c r="F48" s="16" t="str">
        <f ca="1">IFERROR(__xludf.DUMMYFUNCTION("""COMPUTED_VALUE"""),"Weapon")</f>
        <v>Weapon</v>
      </c>
      <c r="G48" s="58">
        <f ca="1">IFERROR(__xludf.DUMMYFUNCTION("""COMPUTED_VALUE"""),50)</f>
        <v>50</v>
      </c>
    </row>
    <row r="49" spans="1:7" ht="13.2">
      <c r="A49" s="16"/>
      <c r="B49" s="17"/>
      <c r="D49" s="16">
        <f ca="1">IFERROR(__xludf.DUMMYFUNCTION("""COMPUTED_VALUE"""),48)</f>
        <v>48</v>
      </c>
      <c r="E49" s="16" t="str">
        <f ca="1">IFERROR(__xludf.DUMMYFUNCTION("""COMPUTED_VALUE"""),"Guisarme4")</f>
        <v>Guisarme4</v>
      </c>
      <c r="F49" s="16" t="str">
        <f ca="1">IFERROR(__xludf.DUMMYFUNCTION("""COMPUTED_VALUE"""),"Weapon")</f>
        <v>Weapon</v>
      </c>
      <c r="G49" s="58">
        <f ca="1">IFERROR(__xludf.DUMMYFUNCTION("""COMPUTED_VALUE"""),9)</f>
        <v>9</v>
      </c>
    </row>
    <row r="50" spans="1:7" ht="13.2">
      <c r="A50" s="16"/>
      <c r="B50" s="17"/>
      <c r="D50" s="16">
        <f ca="1">IFERROR(__xludf.DUMMYFUNCTION("""COMPUTED_VALUE"""),49)</f>
        <v>49</v>
      </c>
      <c r="E50" s="16" t="str">
        <f ca="1">IFERROR(__xludf.DUMMYFUNCTION("""COMPUTED_VALUE"""),"Halberd")</f>
        <v>Halberd</v>
      </c>
      <c r="F50" s="16" t="str">
        <f ca="1">IFERROR(__xludf.DUMMYFUNCTION("""COMPUTED_VALUE"""),"Weapon")</f>
        <v>Weapon</v>
      </c>
      <c r="G50" s="58">
        <f ca="1">IFERROR(__xludf.DUMMYFUNCTION("""COMPUTED_VALUE"""),10)</f>
        <v>10</v>
      </c>
    </row>
    <row r="51" spans="1:7" ht="13.2">
      <c r="A51" s="16"/>
      <c r="B51" s="17"/>
      <c r="D51" s="16">
        <f ca="1">IFERROR(__xludf.DUMMYFUNCTION("""COMPUTED_VALUE"""),50)</f>
        <v>50</v>
      </c>
      <c r="E51" s="16" t="str">
        <f ca="1">IFERROR(__xludf.DUMMYFUNCTION("""COMPUTED_VALUE"""),"Lance")</f>
        <v>Lance</v>
      </c>
      <c r="F51" s="16" t="str">
        <f ca="1">IFERROR(__xludf.DUMMYFUNCTION("""COMPUTED_VALUE"""),"Weapon")</f>
        <v>Weapon</v>
      </c>
      <c r="G51" s="58">
        <f ca="1">IFERROR(__xludf.DUMMYFUNCTION("""COMPUTED_VALUE"""),10)</f>
        <v>10</v>
      </c>
    </row>
    <row r="52" spans="1:7" ht="13.2">
      <c r="A52" s="16"/>
      <c r="B52" s="17"/>
      <c r="D52" s="16">
        <f ca="1">IFERROR(__xludf.DUMMYFUNCTION("""COMPUTED_VALUE"""),51)</f>
        <v>51</v>
      </c>
      <c r="E52" s="16" t="str">
        <f ca="1">IFERROR(__xludf.DUMMYFUNCTION("""COMPUTED_VALUE"""),"Ranseur")</f>
        <v>Ranseur</v>
      </c>
      <c r="F52" s="16" t="str">
        <f ca="1">IFERROR(__xludf.DUMMYFUNCTION("""COMPUTED_VALUE"""),"Weapon")</f>
        <v>Weapon</v>
      </c>
      <c r="G52" s="58">
        <f ca="1">IFERROR(__xludf.DUMMYFUNCTION("""COMPUTED_VALUE"""),10)</f>
        <v>10</v>
      </c>
    </row>
    <row r="53" spans="1:7" ht="13.2">
      <c r="A53" s="16"/>
      <c r="B53" s="17"/>
      <c r="D53" s="16">
        <f ca="1">IFERROR(__xludf.DUMMYFUNCTION("""COMPUTED_VALUE"""),52)</f>
        <v>52</v>
      </c>
      <c r="E53" s="16" t="str">
        <f ca="1">IFERROR(__xludf.DUMMYFUNCTION("""COMPUTED_VALUE"""),"Scythe")</f>
        <v>Scythe</v>
      </c>
      <c r="F53" s="16" t="str">
        <f ca="1">IFERROR(__xludf.DUMMYFUNCTION("""COMPUTED_VALUE"""),"Weapon")</f>
        <v>Weapon</v>
      </c>
      <c r="G53" s="58">
        <f ca="1">IFERROR(__xludf.DUMMYFUNCTION("""COMPUTED_VALUE"""),18)</f>
        <v>18</v>
      </c>
    </row>
    <row r="54" spans="1:7" ht="13.2">
      <c r="A54" s="16"/>
      <c r="B54" s="17"/>
      <c r="D54" s="16">
        <f ca="1">IFERROR(__xludf.DUMMYFUNCTION("""COMPUTED_VALUE"""),53)</f>
        <v>53</v>
      </c>
      <c r="E54" s="16" t="str">
        <f ca="1">IFERROR(__xludf.DUMMYFUNCTION("""COMPUTED_VALUE"""),"Longbow")</f>
        <v>Longbow</v>
      </c>
      <c r="F54" s="16" t="str">
        <f ca="1">IFERROR(__xludf.DUMMYFUNCTION("""COMPUTED_VALUE"""),"Weapon")</f>
        <v>Weapon</v>
      </c>
      <c r="G54" s="58">
        <f ca="1">IFERROR(__xludf.DUMMYFUNCTION("""COMPUTED_VALUE"""),75)</f>
        <v>75</v>
      </c>
    </row>
    <row r="55" spans="1:7" ht="13.2">
      <c r="A55" s="16"/>
      <c r="B55" s="17"/>
      <c r="D55" s="16">
        <f ca="1">IFERROR(__xludf.DUMMYFUNCTION("""COMPUTED_VALUE"""),54)</f>
        <v>54</v>
      </c>
      <c r="E55" s="16" t="str">
        <f ca="1">IFERROR(__xludf.DUMMYFUNCTION("""COMPUTED_VALUE"""),"Longbow, composite")</f>
        <v>Longbow, composite</v>
      </c>
      <c r="F55" s="16" t="str">
        <f ca="1">IFERROR(__xludf.DUMMYFUNCTION("""COMPUTED_VALUE"""),"Weapon")</f>
        <v>Weapon</v>
      </c>
      <c r="G55" s="58">
        <f ca="1">IFERROR(__xludf.DUMMYFUNCTION("""COMPUTED_VALUE"""),100)</f>
        <v>100</v>
      </c>
    </row>
    <row r="56" spans="1:7" ht="13.2">
      <c r="A56" s="16"/>
      <c r="B56" s="17"/>
      <c r="D56" s="16">
        <f ca="1">IFERROR(__xludf.DUMMYFUNCTION("""COMPUTED_VALUE"""),55)</f>
        <v>55</v>
      </c>
      <c r="E56" s="16" t="str">
        <f ca="1">IFERROR(__xludf.DUMMYFUNCTION("""COMPUTED_VALUE"""),"Shortbow")</f>
        <v>Shortbow</v>
      </c>
      <c r="F56" s="16" t="str">
        <f ca="1">IFERROR(__xludf.DUMMYFUNCTION("""COMPUTED_VALUE"""),"Weapon")</f>
        <v>Weapon</v>
      </c>
      <c r="G56" s="58">
        <f ca="1">IFERROR(__xludf.DUMMYFUNCTION("""COMPUTED_VALUE"""),30)</f>
        <v>30</v>
      </c>
    </row>
    <row r="57" spans="1:7" ht="13.2">
      <c r="A57" s="16"/>
      <c r="B57" s="17"/>
      <c r="D57" s="16">
        <f ca="1">IFERROR(__xludf.DUMMYFUNCTION("""COMPUTED_VALUE"""),56)</f>
        <v>56</v>
      </c>
      <c r="E57" s="16" t="str">
        <f ca="1">IFERROR(__xludf.DUMMYFUNCTION("""COMPUTED_VALUE"""),"Shortbow, composite")</f>
        <v>Shortbow, composite</v>
      </c>
      <c r="F57" s="16" t="str">
        <f ca="1">IFERROR(__xludf.DUMMYFUNCTION("""COMPUTED_VALUE"""),"Weapon")</f>
        <v>Weapon</v>
      </c>
      <c r="G57" s="58">
        <f ca="1">IFERROR(__xludf.DUMMYFUNCTION("""COMPUTED_VALUE"""),75)</f>
        <v>75</v>
      </c>
    </row>
    <row r="58" spans="1:7" ht="13.2">
      <c r="A58" s="16"/>
      <c r="B58" s="17"/>
      <c r="D58" s="16">
        <f ca="1">IFERROR(__xludf.DUMMYFUNCTION("""COMPUTED_VALUE"""),57)</f>
        <v>57</v>
      </c>
      <c r="E58" s="16" t="str">
        <f ca="1">IFERROR(__xludf.DUMMYFUNCTION("""COMPUTED_VALUE"""),"Arrows (20)")</f>
        <v>Arrows (20)</v>
      </c>
      <c r="F58" s="16" t="str">
        <f ca="1">IFERROR(__xludf.DUMMYFUNCTION("""COMPUTED_VALUE"""),"Weapon")</f>
        <v>Weapon</v>
      </c>
      <c r="G58" s="58">
        <f ca="1">IFERROR(__xludf.DUMMYFUNCTION("""COMPUTED_VALUE"""),1)</f>
        <v>1</v>
      </c>
    </row>
    <row r="59" spans="1:7" ht="13.2">
      <c r="A59" s="16"/>
      <c r="B59" s="17"/>
      <c r="D59" s="16">
        <f ca="1">IFERROR(__xludf.DUMMYFUNCTION("""COMPUTED_VALUE"""),58)</f>
        <v>58</v>
      </c>
      <c r="E59" s="16" t="str">
        <f ca="1">IFERROR(__xludf.DUMMYFUNCTION("""COMPUTED_VALUE"""),"Kama")</f>
        <v>Kama</v>
      </c>
      <c r="F59" s="16" t="str">
        <f ca="1">IFERROR(__xludf.DUMMYFUNCTION("""COMPUTED_VALUE"""),"Weapon")</f>
        <v>Weapon</v>
      </c>
      <c r="G59" s="58">
        <f ca="1">IFERROR(__xludf.DUMMYFUNCTION("""COMPUTED_VALUE"""),2)</f>
        <v>2</v>
      </c>
    </row>
    <row r="60" spans="1:7" ht="13.2">
      <c r="A60" s="16"/>
      <c r="B60" s="17"/>
      <c r="D60" s="16">
        <f ca="1">IFERROR(__xludf.DUMMYFUNCTION("""COMPUTED_VALUE"""),59)</f>
        <v>59</v>
      </c>
      <c r="E60" s="16" t="str">
        <f ca="1">IFERROR(__xludf.DUMMYFUNCTION("""COMPUTED_VALUE"""),"Nunchaku")</f>
        <v>Nunchaku</v>
      </c>
      <c r="F60" s="16" t="str">
        <f ca="1">IFERROR(__xludf.DUMMYFUNCTION("""COMPUTED_VALUE"""),"Weapon")</f>
        <v>Weapon</v>
      </c>
      <c r="G60" s="58">
        <f ca="1">IFERROR(__xludf.DUMMYFUNCTION("""COMPUTED_VALUE"""),2)</f>
        <v>2</v>
      </c>
    </row>
    <row r="61" spans="1:7" ht="13.2">
      <c r="A61" s="16"/>
      <c r="B61" s="17"/>
      <c r="D61" s="16">
        <f ca="1">IFERROR(__xludf.DUMMYFUNCTION("""COMPUTED_VALUE"""),60)</f>
        <v>60</v>
      </c>
      <c r="E61" s="16" t="str">
        <f ca="1">IFERROR(__xludf.DUMMYFUNCTION("""COMPUTED_VALUE"""),"Sai")</f>
        <v>Sai</v>
      </c>
      <c r="F61" s="16" t="str">
        <f ca="1">IFERROR(__xludf.DUMMYFUNCTION("""COMPUTED_VALUE"""),"Weapon")</f>
        <v>Weapon</v>
      </c>
      <c r="G61" s="58">
        <f ca="1">IFERROR(__xludf.DUMMYFUNCTION("""COMPUTED_VALUE"""),1)</f>
        <v>1</v>
      </c>
    </row>
    <row r="62" spans="1:7" ht="13.2">
      <c r="A62" s="16"/>
      <c r="B62" s="17"/>
      <c r="D62" s="16">
        <f ca="1">IFERROR(__xludf.DUMMYFUNCTION("""COMPUTED_VALUE"""),61)</f>
        <v>61</v>
      </c>
      <c r="E62" s="16" t="str">
        <f ca="1">IFERROR(__xludf.DUMMYFUNCTION("""COMPUTED_VALUE"""),"Siangham")</f>
        <v>Siangham</v>
      </c>
      <c r="F62" s="16" t="str">
        <f ca="1">IFERROR(__xludf.DUMMYFUNCTION("""COMPUTED_VALUE"""),"Weapon")</f>
        <v>Weapon</v>
      </c>
      <c r="G62" s="58">
        <f ca="1">IFERROR(__xludf.DUMMYFUNCTION("""COMPUTED_VALUE"""),3)</f>
        <v>3</v>
      </c>
    </row>
    <row r="63" spans="1:7" ht="13.2">
      <c r="A63" s="16"/>
      <c r="B63" s="17"/>
      <c r="D63" s="16">
        <f ca="1">IFERROR(__xludf.DUMMYFUNCTION("""COMPUTED_VALUE"""),62)</f>
        <v>62</v>
      </c>
      <c r="E63" s="16" t="str">
        <f ca="1">IFERROR(__xludf.DUMMYFUNCTION("""COMPUTED_VALUE"""),"Sword, bastard")</f>
        <v>Sword, bastard</v>
      </c>
      <c r="F63" s="16" t="str">
        <f ca="1">IFERROR(__xludf.DUMMYFUNCTION("""COMPUTED_VALUE"""),"Weapon")</f>
        <v>Weapon</v>
      </c>
      <c r="G63" s="58">
        <f ca="1">IFERROR(__xludf.DUMMYFUNCTION("""COMPUTED_VALUE"""),35)</f>
        <v>35</v>
      </c>
    </row>
    <row r="64" spans="1:7" ht="13.2">
      <c r="A64" s="16"/>
      <c r="B64" s="17"/>
      <c r="D64" s="16">
        <f ca="1">IFERROR(__xludf.DUMMYFUNCTION("""COMPUTED_VALUE"""),63)</f>
        <v>63</v>
      </c>
      <c r="E64" s="16" t="str">
        <f ca="1">IFERROR(__xludf.DUMMYFUNCTION("""COMPUTED_VALUE"""),"Waraxe, dwarven")</f>
        <v>Waraxe, dwarven</v>
      </c>
      <c r="F64" s="16" t="str">
        <f ca="1">IFERROR(__xludf.DUMMYFUNCTION("""COMPUTED_VALUE"""),"Weapon")</f>
        <v>Weapon</v>
      </c>
      <c r="G64" s="58">
        <f ca="1">IFERROR(__xludf.DUMMYFUNCTION("""COMPUTED_VALUE"""),30)</f>
        <v>30</v>
      </c>
    </row>
    <row r="65" spans="1:7" ht="13.2">
      <c r="A65" s="16"/>
      <c r="B65" s="17"/>
      <c r="D65" s="16">
        <f ca="1">IFERROR(__xludf.DUMMYFUNCTION("""COMPUTED_VALUE"""),64)</f>
        <v>64</v>
      </c>
      <c r="E65" s="16" t="str">
        <f ca="1">IFERROR(__xludf.DUMMYFUNCTION("""COMPUTED_VALUE"""),"Whip4")</f>
        <v>Whip4</v>
      </c>
      <c r="F65" s="16" t="str">
        <f ca="1">IFERROR(__xludf.DUMMYFUNCTION("""COMPUTED_VALUE"""),"Weapon")</f>
        <v>Weapon</v>
      </c>
      <c r="G65" s="58">
        <f ca="1">IFERROR(__xludf.DUMMYFUNCTION("""COMPUTED_VALUE"""),1)</f>
        <v>1</v>
      </c>
    </row>
    <row r="66" spans="1:7" ht="13.2">
      <c r="A66" s="16"/>
      <c r="B66" s="17"/>
      <c r="D66" s="16">
        <f ca="1">IFERROR(__xludf.DUMMYFUNCTION("""COMPUTED_VALUE"""),65)</f>
        <v>65</v>
      </c>
      <c r="E66" s="16" t="str">
        <f ca="1">IFERROR(__xludf.DUMMYFUNCTION("""COMPUTED_VALUE"""),"Axe, orc double5")</f>
        <v>Axe, orc double5</v>
      </c>
      <c r="F66" s="16" t="str">
        <f ca="1">IFERROR(__xludf.DUMMYFUNCTION("""COMPUTED_VALUE"""),"Weapon")</f>
        <v>Weapon</v>
      </c>
      <c r="G66" s="58">
        <f ca="1">IFERROR(__xludf.DUMMYFUNCTION("""COMPUTED_VALUE"""),60)</f>
        <v>60</v>
      </c>
    </row>
    <row r="67" spans="1:7" ht="13.2">
      <c r="A67" s="16"/>
      <c r="B67" s="17"/>
      <c r="D67" s="16">
        <f ca="1">IFERROR(__xludf.DUMMYFUNCTION("""COMPUTED_VALUE"""),66)</f>
        <v>66</v>
      </c>
      <c r="E67" s="16" t="str">
        <f ca="1">IFERROR(__xludf.DUMMYFUNCTION("""COMPUTED_VALUE"""),"Chain, spiked4")</f>
        <v>Chain, spiked4</v>
      </c>
      <c r="F67" s="16" t="str">
        <f ca="1">IFERROR(__xludf.DUMMYFUNCTION("""COMPUTED_VALUE"""),"Weapon")</f>
        <v>Weapon</v>
      </c>
      <c r="G67" s="58">
        <f ca="1">IFERROR(__xludf.DUMMYFUNCTION("""COMPUTED_VALUE"""),25)</f>
        <v>25</v>
      </c>
    </row>
    <row r="68" spans="1:7" ht="13.2">
      <c r="A68" s="16"/>
      <c r="B68" s="17"/>
      <c r="D68" s="16">
        <f ca="1">IFERROR(__xludf.DUMMYFUNCTION("""COMPUTED_VALUE"""),67)</f>
        <v>67</v>
      </c>
      <c r="E68" s="16" t="str">
        <f ca="1">IFERROR(__xludf.DUMMYFUNCTION("""COMPUTED_VALUE"""),"Flail, dire5")</f>
        <v>Flail, dire5</v>
      </c>
      <c r="F68" s="16" t="str">
        <f ca="1">IFERROR(__xludf.DUMMYFUNCTION("""COMPUTED_VALUE"""),"Weapon")</f>
        <v>Weapon</v>
      </c>
      <c r="G68" s="58">
        <f ca="1">IFERROR(__xludf.DUMMYFUNCTION("""COMPUTED_VALUE"""),90)</f>
        <v>90</v>
      </c>
    </row>
    <row r="69" spans="1:7" ht="13.2">
      <c r="A69" s="16"/>
      <c r="B69" s="17"/>
      <c r="D69" s="16">
        <f ca="1">IFERROR(__xludf.DUMMYFUNCTION("""COMPUTED_VALUE"""),68)</f>
        <v>68</v>
      </c>
      <c r="E69" s="16" t="str">
        <f ca="1">IFERROR(__xludf.DUMMYFUNCTION("""COMPUTED_VALUE"""),"Hammer, gnome hooked5")</f>
        <v>Hammer, gnome hooked5</v>
      </c>
      <c r="F69" s="16" t="str">
        <f ca="1">IFERROR(__xludf.DUMMYFUNCTION("""COMPUTED_VALUE"""),"Weapon")</f>
        <v>Weapon</v>
      </c>
      <c r="G69" s="58">
        <f ca="1">IFERROR(__xludf.DUMMYFUNCTION("""COMPUTED_VALUE"""),20)</f>
        <v>20</v>
      </c>
    </row>
    <row r="70" spans="1:7" ht="13.2">
      <c r="A70" s="16"/>
      <c r="B70" s="17"/>
      <c r="D70" s="16">
        <f ca="1">IFERROR(__xludf.DUMMYFUNCTION("""COMPUTED_VALUE"""),69)</f>
        <v>69</v>
      </c>
      <c r="E70" s="16" t="str">
        <f ca="1">IFERROR(__xludf.DUMMYFUNCTION("""COMPUTED_VALUE"""),"Sword, two-bladed5")</f>
        <v>Sword, two-bladed5</v>
      </c>
      <c r="F70" s="16" t="str">
        <f ca="1">IFERROR(__xludf.DUMMYFUNCTION("""COMPUTED_VALUE"""),"Weapon")</f>
        <v>Weapon</v>
      </c>
      <c r="G70" s="58">
        <f ca="1">IFERROR(__xludf.DUMMYFUNCTION("""COMPUTED_VALUE"""),100)</f>
        <v>100</v>
      </c>
    </row>
    <row r="71" spans="1:7" ht="13.2">
      <c r="A71" s="16"/>
      <c r="B71" s="17"/>
      <c r="D71" s="16">
        <f ca="1">IFERROR(__xludf.DUMMYFUNCTION("""COMPUTED_VALUE"""),70)</f>
        <v>70</v>
      </c>
      <c r="E71" s="16" t="str">
        <f ca="1">IFERROR(__xludf.DUMMYFUNCTION("""COMPUTED_VALUE"""),"Urgrosh, dwarven5")</f>
        <v>Urgrosh, dwarven5</v>
      </c>
      <c r="F71" s="16" t="str">
        <f ca="1">IFERROR(__xludf.DUMMYFUNCTION("""COMPUTED_VALUE"""),"Weapon")</f>
        <v>Weapon</v>
      </c>
      <c r="G71" s="58">
        <f ca="1">IFERROR(__xludf.DUMMYFUNCTION("""COMPUTED_VALUE"""),50)</f>
        <v>50</v>
      </c>
    </row>
    <row r="72" spans="1:7" ht="13.2">
      <c r="A72" s="16"/>
      <c r="B72" s="17"/>
      <c r="D72" s="16">
        <f ca="1">IFERROR(__xludf.DUMMYFUNCTION("""COMPUTED_VALUE"""),71)</f>
        <v>71</v>
      </c>
      <c r="E72" s="16" t="str">
        <f ca="1">IFERROR(__xludf.DUMMYFUNCTION("""COMPUTED_VALUE"""),"Bolas")</f>
        <v>Bolas</v>
      </c>
      <c r="F72" s="16" t="str">
        <f ca="1">IFERROR(__xludf.DUMMYFUNCTION("""COMPUTED_VALUE"""),"Weapon")</f>
        <v>Weapon</v>
      </c>
      <c r="G72" s="58">
        <f ca="1">IFERROR(__xludf.DUMMYFUNCTION("""COMPUTED_VALUE"""),5)</f>
        <v>5</v>
      </c>
    </row>
    <row r="73" spans="1:7" ht="13.2">
      <c r="A73" s="16"/>
      <c r="B73" s="17"/>
      <c r="D73" s="16">
        <f ca="1">IFERROR(__xludf.DUMMYFUNCTION("""COMPUTED_VALUE"""),72)</f>
        <v>72</v>
      </c>
      <c r="E73" s="16" t="str">
        <f ca="1">IFERROR(__xludf.DUMMYFUNCTION("""COMPUTED_VALUE"""),"Crossbow, hand")</f>
        <v>Crossbow, hand</v>
      </c>
      <c r="F73" s="16" t="str">
        <f ca="1">IFERROR(__xludf.DUMMYFUNCTION("""COMPUTED_VALUE"""),"Weapon")</f>
        <v>Weapon</v>
      </c>
      <c r="G73" s="58">
        <f ca="1">IFERROR(__xludf.DUMMYFUNCTION("""COMPUTED_VALUE"""),100)</f>
        <v>100</v>
      </c>
    </row>
    <row r="74" spans="1:7" ht="13.2">
      <c r="A74" s="16"/>
      <c r="B74" s="17"/>
      <c r="D74" s="16">
        <f ca="1">IFERROR(__xludf.DUMMYFUNCTION("""COMPUTED_VALUE"""),73)</f>
        <v>73</v>
      </c>
      <c r="E74" s="16" t="str">
        <f ca="1">IFERROR(__xludf.DUMMYFUNCTION("""COMPUTED_VALUE"""),"Bolts (10)")</f>
        <v>Bolts (10)</v>
      </c>
      <c r="F74" s="16" t="str">
        <f ca="1">IFERROR(__xludf.DUMMYFUNCTION("""COMPUTED_VALUE"""),"Weapon")</f>
        <v>Weapon</v>
      </c>
      <c r="G74" s="58">
        <f ca="1">IFERROR(__xludf.DUMMYFUNCTION("""COMPUTED_VALUE"""),2)</f>
        <v>2</v>
      </c>
    </row>
    <row r="75" spans="1:7" ht="13.2">
      <c r="A75" s="16"/>
      <c r="B75" s="17"/>
      <c r="D75" s="16">
        <f ca="1">IFERROR(__xludf.DUMMYFUNCTION("""COMPUTED_VALUE"""),74)</f>
        <v>74</v>
      </c>
      <c r="E75" s="16" t="str">
        <f ca="1">IFERROR(__xludf.DUMMYFUNCTION("""COMPUTED_VALUE"""),"Crossbow, repeating heavy")</f>
        <v>Crossbow, repeating heavy</v>
      </c>
      <c r="F75" s="16" t="str">
        <f ca="1">IFERROR(__xludf.DUMMYFUNCTION("""COMPUTED_VALUE"""),"Weapon")</f>
        <v>Weapon</v>
      </c>
      <c r="G75" s="58">
        <f ca="1">IFERROR(__xludf.DUMMYFUNCTION("""COMPUTED_VALUE"""),400)</f>
        <v>400</v>
      </c>
    </row>
    <row r="76" spans="1:7" ht="13.2">
      <c r="A76" s="16"/>
      <c r="B76" s="17"/>
      <c r="D76" s="16">
        <f ca="1">IFERROR(__xludf.DUMMYFUNCTION("""COMPUTED_VALUE"""),75)</f>
        <v>75</v>
      </c>
      <c r="E76" s="16" t="str">
        <f ca="1">IFERROR(__xludf.DUMMYFUNCTION("""COMPUTED_VALUE"""),"Bolts (5)")</f>
        <v>Bolts (5)</v>
      </c>
      <c r="F76" s="16" t="str">
        <f ca="1">IFERROR(__xludf.DUMMYFUNCTION("""COMPUTED_VALUE"""),"Weapon")</f>
        <v>Weapon</v>
      </c>
      <c r="G76" s="58">
        <f ca="1">IFERROR(__xludf.DUMMYFUNCTION("""COMPUTED_VALUE"""),1)</f>
        <v>1</v>
      </c>
    </row>
    <row r="77" spans="1:7" ht="13.2">
      <c r="A77" s="16"/>
      <c r="B77" s="17"/>
      <c r="D77" s="16">
        <f ca="1">IFERROR(__xludf.DUMMYFUNCTION("""COMPUTED_VALUE"""),76)</f>
        <v>76</v>
      </c>
      <c r="E77" s="16" t="str">
        <f ca="1">IFERROR(__xludf.DUMMYFUNCTION("""COMPUTED_VALUE"""),"Crossbow, repeating light")</f>
        <v>Crossbow, repeating light</v>
      </c>
      <c r="F77" s="16" t="str">
        <f ca="1">IFERROR(__xludf.DUMMYFUNCTION("""COMPUTED_VALUE"""),"Weapon")</f>
        <v>Weapon</v>
      </c>
      <c r="G77" s="58">
        <f ca="1">IFERROR(__xludf.DUMMYFUNCTION("""COMPUTED_VALUE"""),250)</f>
        <v>250</v>
      </c>
    </row>
    <row r="78" spans="1:7" ht="13.2">
      <c r="A78" s="16"/>
      <c r="B78" s="17"/>
      <c r="D78" s="16">
        <f ca="1">IFERROR(__xludf.DUMMYFUNCTION("""COMPUTED_VALUE"""),77)</f>
        <v>77</v>
      </c>
      <c r="E78" s="16" t="str">
        <f ca="1">IFERROR(__xludf.DUMMYFUNCTION("""COMPUTED_VALUE"""),"Net")</f>
        <v>Net</v>
      </c>
      <c r="F78" s="16" t="str">
        <f ca="1">IFERROR(__xludf.DUMMYFUNCTION("""COMPUTED_VALUE"""),"Weapon")</f>
        <v>Weapon</v>
      </c>
      <c r="G78" s="58">
        <f ca="1">IFERROR(__xludf.DUMMYFUNCTION("""COMPUTED_VALUE"""),20)</f>
        <v>20</v>
      </c>
    </row>
    <row r="79" spans="1:7" ht="13.2">
      <c r="A79" s="16"/>
      <c r="B79" s="17"/>
      <c r="D79" s="16">
        <f ca="1">IFERROR(__xludf.DUMMYFUNCTION("""COMPUTED_VALUE"""),78)</f>
        <v>78</v>
      </c>
      <c r="E79" s="16" t="str">
        <f ca="1">IFERROR(__xludf.DUMMYFUNCTION("""COMPUTED_VALUE"""),"Shuriken (5)")</f>
        <v>Shuriken (5)</v>
      </c>
      <c r="F79" s="16" t="str">
        <f ca="1">IFERROR(__xludf.DUMMYFUNCTION("""COMPUTED_VALUE"""),"Weapon")</f>
        <v>Weapon</v>
      </c>
      <c r="G79" s="58">
        <f ca="1">IFERROR(__xludf.DUMMYFUNCTION("""COMPUTED_VALUE"""),1)</f>
        <v>1</v>
      </c>
    </row>
    <row r="80" spans="1:7" ht="13.2">
      <c r="A80" s="16"/>
      <c r="B80" s="17"/>
      <c r="D80" s="16">
        <f ca="1">IFERROR(__xludf.DUMMYFUNCTION("""COMPUTED_VALUE"""),79)</f>
        <v>79</v>
      </c>
      <c r="E80" s="16" t="str">
        <f ca="1">IFERROR(__xludf.DUMMYFUNCTION("""COMPUTED_VALUE"""),"Poop")</f>
        <v>Poop</v>
      </c>
      <c r="F80" s="16" t="str">
        <f ca="1">IFERROR(__xludf.DUMMYFUNCTION("""COMPUTED_VALUE"""),"Weapon")</f>
        <v>Weapon</v>
      </c>
      <c r="G80" s="58">
        <f ca="1">IFERROR(__xludf.DUMMYFUNCTION("""COMPUTED_VALUE"""),0.001)</f>
        <v>1E-3</v>
      </c>
    </row>
    <row r="81" spans="1:7" ht="13.2">
      <c r="A81" s="16"/>
      <c r="B81" s="17"/>
      <c r="D81" s="16">
        <f ca="1">IFERROR(__xludf.DUMMYFUNCTION("""COMPUTED_VALUE"""),1)</f>
        <v>1</v>
      </c>
      <c r="E81" s="16" t="str">
        <f ca="1">IFERROR(__xludf.DUMMYFUNCTION("""COMPUTED_VALUE"""),"Padded")</f>
        <v>Padded</v>
      </c>
      <c r="F81" s="16" t="str">
        <f ca="1">IFERROR(__xludf.DUMMYFUNCTION("""COMPUTED_VALUE"""),"Armor")</f>
        <v>Armor</v>
      </c>
      <c r="G81" s="58">
        <f ca="1">IFERROR(__xludf.DUMMYFUNCTION("""COMPUTED_VALUE"""),5)</f>
        <v>5</v>
      </c>
    </row>
    <row r="82" spans="1:7" ht="13.2">
      <c r="A82" s="16"/>
      <c r="B82" s="17"/>
      <c r="D82" s="16">
        <f ca="1">IFERROR(__xludf.DUMMYFUNCTION("""COMPUTED_VALUE"""),2)</f>
        <v>2</v>
      </c>
      <c r="E82" s="16" t="str">
        <f ca="1">IFERROR(__xludf.DUMMYFUNCTION("""COMPUTED_VALUE"""),"Leather")</f>
        <v>Leather</v>
      </c>
      <c r="F82" s="16" t="str">
        <f ca="1">IFERROR(__xludf.DUMMYFUNCTION("""COMPUTED_VALUE"""),"Armor")</f>
        <v>Armor</v>
      </c>
      <c r="G82" s="58">
        <f ca="1">IFERROR(__xludf.DUMMYFUNCTION("""COMPUTED_VALUE"""),10)</f>
        <v>10</v>
      </c>
    </row>
    <row r="83" spans="1:7" ht="13.2">
      <c r="A83" s="16"/>
      <c r="B83" s="17"/>
      <c r="D83" s="16">
        <f ca="1">IFERROR(__xludf.DUMMYFUNCTION("""COMPUTED_VALUE"""),3)</f>
        <v>3</v>
      </c>
      <c r="E83" s="16" t="str">
        <f ca="1">IFERROR(__xludf.DUMMYFUNCTION("""COMPUTED_VALUE"""),"Studded leather")</f>
        <v>Studded leather</v>
      </c>
      <c r="F83" s="16" t="str">
        <f ca="1">IFERROR(__xludf.DUMMYFUNCTION("""COMPUTED_VALUE"""),"Armor")</f>
        <v>Armor</v>
      </c>
      <c r="G83" s="58">
        <f ca="1">IFERROR(__xludf.DUMMYFUNCTION("""COMPUTED_VALUE"""),25)</f>
        <v>25</v>
      </c>
    </row>
    <row r="84" spans="1:7" ht="13.2">
      <c r="A84" s="16"/>
      <c r="B84" s="17"/>
      <c r="D84" s="16">
        <f ca="1">IFERROR(__xludf.DUMMYFUNCTION("""COMPUTED_VALUE"""),4)</f>
        <v>4</v>
      </c>
      <c r="E84" s="16" t="str">
        <f ca="1">IFERROR(__xludf.DUMMYFUNCTION("""COMPUTED_VALUE"""),"Chain shirt")</f>
        <v>Chain shirt</v>
      </c>
      <c r="F84" s="16" t="str">
        <f ca="1">IFERROR(__xludf.DUMMYFUNCTION("""COMPUTED_VALUE"""),"Armor")</f>
        <v>Armor</v>
      </c>
      <c r="G84" s="58">
        <f ca="1">IFERROR(__xludf.DUMMYFUNCTION("""COMPUTED_VALUE"""),100)</f>
        <v>100</v>
      </c>
    </row>
    <row r="85" spans="1:7" ht="13.2">
      <c r="A85" s="16"/>
      <c r="B85" s="17"/>
      <c r="D85" s="16">
        <f ca="1">IFERROR(__xludf.DUMMYFUNCTION("""COMPUTED_VALUE"""),5)</f>
        <v>5</v>
      </c>
      <c r="E85" s="16" t="str">
        <f ca="1">IFERROR(__xludf.DUMMYFUNCTION("""COMPUTED_VALUE"""),"Hide")</f>
        <v>Hide</v>
      </c>
      <c r="F85" s="16" t="str">
        <f ca="1">IFERROR(__xludf.DUMMYFUNCTION("""COMPUTED_VALUE"""),"Armor")</f>
        <v>Armor</v>
      </c>
      <c r="G85" s="58">
        <f ca="1">IFERROR(__xludf.DUMMYFUNCTION("""COMPUTED_VALUE"""),15)</f>
        <v>15</v>
      </c>
    </row>
    <row r="86" spans="1:7" ht="13.2">
      <c r="A86" s="16"/>
      <c r="B86" s="17"/>
      <c r="D86" s="16">
        <f ca="1">IFERROR(__xludf.DUMMYFUNCTION("""COMPUTED_VALUE"""),6)</f>
        <v>6</v>
      </c>
      <c r="E86" s="16" t="str">
        <f ca="1">IFERROR(__xludf.DUMMYFUNCTION("""COMPUTED_VALUE"""),"Scale mail")</f>
        <v>Scale mail</v>
      </c>
      <c r="F86" s="16" t="str">
        <f ca="1">IFERROR(__xludf.DUMMYFUNCTION("""COMPUTED_VALUE"""),"Armor")</f>
        <v>Armor</v>
      </c>
      <c r="G86" s="58">
        <f ca="1">IFERROR(__xludf.DUMMYFUNCTION("""COMPUTED_VALUE"""),50)</f>
        <v>50</v>
      </c>
    </row>
    <row r="87" spans="1:7" ht="13.2">
      <c r="A87" s="16"/>
      <c r="B87" s="17"/>
      <c r="D87" s="16">
        <f ca="1">IFERROR(__xludf.DUMMYFUNCTION("""COMPUTED_VALUE"""),7)</f>
        <v>7</v>
      </c>
      <c r="E87" s="16" t="str">
        <f ca="1">IFERROR(__xludf.DUMMYFUNCTION("""COMPUTED_VALUE"""),"Chainmail")</f>
        <v>Chainmail</v>
      </c>
      <c r="F87" s="16" t="str">
        <f ca="1">IFERROR(__xludf.DUMMYFUNCTION("""COMPUTED_VALUE"""),"Armor")</f>
        <v>Armor</v>
      </c>
      <c r="G87" s="58">
        <f ca="1">IFERROR(__xludf.DUMMYFUNCTION("""COMPUTED_VALUE"""),150)</f>
        <v>150</v>
      </c>
    </row>
    <row r="88" spans="1:7" ht="13.2">
      <c r="A88" s="16"/>
      <c r="B88" s="17"/>
      <c r="D88" s="16">
        <f ca="1">IFERROR(__xludf.DUMMYFUNCTION("""COMPUTED_VALUE"""),8)</f>
        <v>8</v>
      </c>
      <c r="E88" s="16" t="str">
        <f ca="1">IFERROR(__xludf.DUMMYFUNCTION("""COMPUTED_VALUE"""),"Breastplate")</f>
        <v>Breastplate</v>
      </c>
      <c r="F88" s="16" t="str">
        <f ca="1">IFERROR(__xludf.DUMMYFUNCTION("""COMPUTED_VALUE"""),"Armor")</f>
        <v>Armor</v>
      </c>
      <c r="G88" s="58">
        <f ca="1">IFERROR(__xludf.DUMMYFUNCTION("""COMPUTED_VALUE"""),200)</f>
        <v>200</v>
      </c>
    </row>
    <row r="89" spans="1:7" ht="13.2">
      <c r="A89" s="16"/>
      <c r="B89" s="17"/>
      <c r="D89" s="16">
        <f ca="1">IFERROR(__xludf.DUMMYFUNCTION("""COMPUTED_VALUE"""),9)</f>
        <v>9</v>
      </c>
      <c r="E89" s="16" t="str">
        <f ca="1">IFERROR(__xludf.DUMMYFUNCTION("""COMPUTED_VALUE"""),"Splint mail")</f>
        <v>Splint mail</v>
      </c>
      <c r="F89" s="16" t="str">
        <f ca="1">IFERROR(__xludf.DUMMYFUNCTION("""COMPUTED_VALUE"""),"Armor")</f>
        <v>Armor</v>
      </c>
      <c r="G89" s="58">
        <f ca="1">IFERROR(__xludf.DUMMYFUNCTION("""COMPUTED_VALUE"""),200)</f>
        <v>200</v>
      </c>
    </row>
    <row r="90" spans="1:7" ht="13.2">
      <c r="A90" s="16"/>
      <c r="B90" s="17"/>
      <c r="D90" s="16">
        <f ca="1">IFERROR(__xludf.DUMMYFUNCTION("""COMPUTED_VALUE"""),10)</f>
        <v>10</v>
      </c>
      <c r="E90" s="16" t="str">
        <f ca="1">IFERROR(__xludf.DUMMYFUNCTION("""COMPUTED_VALUE"""),"Banded mail")</f>
        <v>Banded mail</v>
      </c>
      <c r="F90" s="16" t="str">
        <f ca="1">IFERROR(__xludf.DUMMYFUNCTION("""COMPUTED_VALUE"""),"Armor")</f>
        <v>Armor</v>
      </c>
      <c r="G90" s="58">
        <f ca="1">IFERROR(__xludf.DUMMYFUNCTION("""COMPUTED_VALUE"""),250)</f>
        <v>250</v>
      </c>
    </row>
    <row r="91" spans="1:7" ht="13.2">
      <c r="A91" s="16"/>
      <c r="B91" s="17"/>
      <c r="D91" s="16">
        <f ca="1">IFERROR(__xludf.DUMMYFUNCTION("""COMPUTED_VALUE"""),11)</f>
        <v>11</v>
      </c>
      <c r="E91" s="16" t="str">
        <f ca="1">IFERROR(__xludf.DUMMYFUNCTION("""COMPUTED_VALUE"""),"Half-plate")</f>
        <v>Half-plate</v>
      </c>
      <c r="F91" s="16" t="str">
        <f ca="1">IFERROR(__xludf.DUMMYFUNCTION("""COMPUTED_VALUE"""),"Armor")</f>
        <v>Armor</v>
      </c>
      <c r="G91" s="58">
        <f ca="1">IFERROR(__xludf.DUMMYFUNCTION("""COMPUTED_VALUE"""),600)</f>
        <v>600</v>
      </c>
    </row>
    <row r="92" spans="1:7" ht="13.2">
      <c r="A92" s="16"/>
      <c r="B92" s="17"/>
      <c r="D92" s="16">
        <f ca="1">IFERROR(__xludf.DUMMYFUNCTION("""COMPUTED_VALUE"""),12)</f>
        <v>12</v>
      </c>
      <c r="E92" s="16" t="str">
        <f ca="1">IFERROR(__xludf.DUMMYFUNCTION("""COMPUTED_VALUE"""),"Full plate")</f>
        <v>Full plate</v>
      </c>
      <c r="F92" s="16" t="str">
        <f ca="1">IFERROR(__xludf.DUMMYFUNCTION("""COMPUTED_VALUE"""),"Armor")</f>
        <v>Armor</v>
      </c>
      <c r="G92" s="58">
        <f ca="1">IFERROR(__xludf.DUMMYFUNCTION("""COMPUTED_VALUE"""),1500)</f>
        <v>1500</v>
      </c>
    </row>
    <row r="93" spans="1:7" ht="13.2">
      <c r="A93" s="16"/>
      <c r="B93" s="17"/>
      <c r="D93" s="16">
        <f ca="1">IFERROR(__xludf.DUMMYFUNCTION("""COMPUTED_VALUE"""),13)</f>
        <v>13</v>
      </c>
      <c r="E93" s="16" t="str">
        <f ca="1">IFERROR(__xludf.DUMMYFUNCTION("""COMPUTED_VALUE"""),"Buckler")</f>
        <v>Buckler</v>
      </c>
      <c r="F93" s="16" t="str">
        <f ca="1">IFERROR(__xludf.DUMMYFUNCTION("""COMPUTED_VALUE"""),"Armor")</f>
        <v>Armor</v>
      </c>
      <c r="G93" s="58">
        <f ca="1">IFERROR(__xludf.DUMMYFUNCTION("""COMPUTED_VALUE"""),15)</f>
        <v>15</v>
      </c>
    </row>
    <row r="94" spans="1:7" ht="13.2">
      <c r="A94" s="16"/>
      <c r="B94" s="17"/>
      <c r="D94" s="16">
        <f ca="1">IFERROR(__xludf.DUMMYFUNCTION("""COMPUTED_VALUE"""),14)</f>
        <v>14</v>
      </c>
      <c r="E94" s="16" t="str">
        <f ca="1">IFERROR(__xludf.DUMMYFUNCTION("""COMPUTED_VALUE"""),"Shield, light wooden")</f>
        <v>Shield, light wooden</v>
      </c>
      <c r="F94" s="16" t="str">
        <f ca="1">IFERROR(__xludf.DUMMYFUNCTION("""COMPUTED_VALUE"""),"Armor")</f>
        <v>Armor</v>
      </c>
      <c r="G94" s="58">
        <f ca="1">IFERROR(__xludf.DUMMYFUNCTION("""COMPUTED_VALUE"""),3)</f>
        <v>3</v>
      </c>
    </row>
    <row r="95" spans="1:7" ht="13.2">
      <c r="A95" s="16"/>
      <c r="B95" s="17"/>
      <c r="D95" s="16">
        <f ca="1">IFERROR(__xludf.DUMMYFUNCTION("""COMPUTED_VALUE"""),15)</f>
        <v>15</v>
      </c>
      <c r="E95" s="16" t="str">
        <f ca="1">IFERROR(__xludf.DUMMYFUNCTION("""COMPUTED_VALUE"""),"Shield, light steel")</f>
        <v>Shield, light steel</v>
      </c>
      <c r="F95" s="16" t="str">
        <f ca="1">IFERROR(__xludf.DUMMYFUNCTION("""COMPUTED_VALUE"""),"Armor")</f>
        <v>Armor</v>
      </c>
      <c r="G95" s="58">
        <f ca="1">IFERROR(__xludf.DUMMYFUNCTION("""COMPUTED_VALUE"""),9)</f>
        <v>9</v>
      </c>
    </row>
    <row r="96" spans="1:7" ht="13.2">
      <c r="A96" s="16"/>
      <c r="B96" s="17"/>
      <c r="D96" s="16">
        <f ca="1">IFERROR(__xludf.DUMMYFUNCTION("""COMPUTED_VALUE"""),16)</f>
        <v>16</v>
      </c>
      <c r="E96" s="16" t="str">
        <f ca="1">IFERROR(__xludf.DUMMYFUNCTION("""COMPUTED_VALUE"""),"Shield, heavy wooden")</f>
        <v>Shield, heavy wooden</v>
      </c>
      <c r="F96" s="16" t="str">
        <f ca="1">IFERROR(__xludf.DUMMYFUNCTION("""COMPUTED_VALUE"""),"Armor")</f>
        <v>Armor</v>
      </c>
      <c r="G96" s="58">
        <f ca="1">IFERROR(__xludf.DUMMYFUNCTION("""COMPUTED_VALUE"""),7)</f>
        <v>7</v>
      </c>
    </row>
    <row r="97" spans="1:7" ht="13.2">
      <c r="A97" s="16"/>
      <c r="B97" s="17"/>
      <c r="D97" s="16">
        <f ca="1">IFERROR(__xludf.DUMMYFUNCTION("""COMPUTED_VALUE"""),17)</f>
        <v>17</v>
      </c>
      <c r="E97" s="16" t="str">
        <f ca="1">IFERROR(__xludf.DUMMYFUNCTION("""COMPUTED_VALUE"""),"Shield, heavy steel")</f>
        <v>Shield, heavy steel</v>
      </c>
      <c r="F97" s="16" t="str">
        <f ca="1">IFERROR(__xludf.DUMMYFUNCTION("""COMPUTED_VALUE"""),"Armor")</f>
        <v>Armor</v>
      </c>
      <c r="G97" s="58">
        <f ca="1">IFERROR(__xludf.DUMMYFUNCTION("""COMPUTED_VALUE"""),20)</f>
        <v>20</v>
      </c>
    </row>
    <row r="98" spans="1:7" ht="13.2">
      <c r="A98" s="16"/>
      <c r="B98" s="17"/>
      <c r="D98" s="16">
        <f ca="1">IFERROR(__xludf.DUMMYFUNCTION("""COMPUTED_VALUE"""),18)</f>
        <v>18</v>
      </c>
      <c r="E98" s="16" t="str">
        <f ca="1">IFERROR(__xludf.DUMMYFUNCTION("""COMPUTED_VALUE"""),"Shield, tower")</f>
        <v>Shield, tower</v>
      </c>
      <c r="F98" s="16" t="str">
        <f ca="1">IFERROR(__xludf.DUMMYFUNCTION("""COMPUTED_VALUE"""),"Armor")</f>
        <v>Armor</v>
      </c>
      <c r="G98" s="58">
        <f ca="1">IFERROR(__xludf.DUMMYFUNCTION("""COMPUTED_VALUE"""),30)</f>
        <v>30</v>
      </c>
    </row>
    <row r="99" spans="1:7" ht="13.2">
      <c r="A99" s="16"/>
      <c r="B99" s="17"/>
      <c r="D99" s="16">
        <f ca="1">IFERROR(__xludf.DUMMYFUNCTION("""COMPUTED_VALUE"""),19)</f>
        <v>19</v>
      </c>
      <c r="E99" s="16" t="str">
        <f ca="1">IFERROR(__xludf.DUMMYFUNCTION("""COMPUTED_VALUE"""),"Armor spikes")</f>
        <v>Armor spikes</v>
      </c>
      <c r="F99" s="16" t="str">
        <f ca="1">IFERROR(__xludf.DUMMYFUNCTION("""COMPUTED_VALUE"""),"Armor")</f>
        <v>Armor</v>
      </c>
      <c r="G99" s="58">
        <f ca="1">IFERROR(__xludf.DUMMYFUNCTION("""COMPUTED_VALUE"""),50)</f>
        <v>50</v>
      </c>
    </row>
    <row r="100" spans="1:7" ht="13.2">
      <c r="A100" s="16"/>
      <c r="B100" s="17"/>
      <c r="D100" s="16">
        <f ca="1">IFERROR(__xludf.DUMMYFUNCTION("""COMPUTED_VALUE"""),20)</f>
        <v>20</v>
      </c>
      <c r="E100" s="16" t="str">
        <f ca="1">IFERROR(__xludf.DUMMYFUNCTION("""COMPUTED_VALUE"""),"Gauntlet, locked")</f>
        <v>Gauntlet, locked</v>
      </c>
      <c r="F100" s="16" t="str">
        <f ca="1">IFERROR(__xludf.DUMMYFUNCTION("""COMPUTED_VALUE"""),"Armor")</f>
        <v>Armor</v>
      </c>
      <c r="G100" s="58">
        <f ca="1">IFERROR(__xludf.DUMMYFUNCTION("""COMPUTED_VALUE"""),8)</f>
        <v>8</v>
      </c>
    </row>
    <row r="101" spans="1:7" ht="13.2">
      <c r="A101" s="16"/>
      <c r="B101" s="17"/>
      <c r="D101" s="16">
        <f ca="1">IFERROR(__xludf.DUMMYFUNCTION("""COMPUTED_VALUE"""),21)</f>
        <v>21</v>
      </c>
      <c r="E101" s="16" t="str">
        <f ca="1">IFERROR(__xludf.DUMMYFUNCTION("""COMPUTED_VALUE"""),"Shield Spikes, Light or Heavy")</f>
        <v>Shield Spikes, Light or Heavy</v>
      </c>
      <c r="F101" s="16" t="str">
        <f ca="1">IFERROR(__xludf.DUMMYFUNCTION("""COMPUTED_VALUE"""),"Armor")</f>
        <v>Armor</v>
      </c>
      <c r="G101" s="58">
        <f ca="1">IFERROR(__xludf.DUMMYFUNCTION("""COMPUTED_VALUE"""),10)</f>
        <v>10</v>
      </c>
    </row>
    <row r="102" spans="1:7" ht="13.2">
      <c r="A102" s="16"/>
      <c r="B102" s="17"/>
      <c r="D102" s="16">
        <f ca="1">IFERROR(__xludf.DUMMYFUNCTION("""COMPUTED_VALUE"""),1)</f>
        <v>1</v>
      </c>
      <c r="E102" s="16" t="str">
        <f ca="1">IFERROR(__xludf.DUMMYFUNCTION("""COMPUTED_VALUE"""),"Backpack (empty)")</f>
        <v>Backpack (empty)</v>
      </c>
      <c r="F102" s="16" t="str">
        <f ca="1">IFERROR(__xludf.DUMMYFUNCTION("""COMPUTED_VALUE"""),"Adventure")</f>
        <v>Adventure</v>
      </c>
      <c r="G102" s="58">
        <f ca="1">IFERROR(__xludf.DUMMYFUNCTION("""COMPUTED_VALUE"""),2)</f>
        <v>2</v>
      </c>
    </row>
    <row r="103" spans="1:7" ht="13.2">
      <c r="A103" s="16"/>
      <c r="B103" s="17"/>
      <c r="D103" s="16">
        <f ca="1">IFERROR(__xludf.DUMMYFUNCTION("""COMPUTED_VALUE"""),2)</f>
        <v>2</v>
      </c>
      <c r="E103" s="16" t="str">
        <f ca="1">IFERROR(__xludf.DUMMYFUNCTION("""COMPUTED_VALUE"""),"Barrel (empty)")</f>
        <v>Barrel (empty)</v>
      </c>
      <c r="F103" s="16" t="str">
        <f ca="1">IFERROR(__xludf.DUMMYFUNCTION("""COMPUTED_VALUE"""),"Adventure")</f>
        <v>Adventure</v>
      </c>
      <c r="G103" s="58">
        <f ca="1">IFERROR(__xludf.DUMMYFUNCTION("""COMPUTED_VALUE"""),2)</f>
        <v>2</v>
      </c>
    </row>
    <row r="104" spans="1:7" ht="13.2">
      <c r="A104" s="16"/>
      <c r="B104" s="17"/>
      <c r="D104" s="16">
        <f ca="1">IFERROR(__xludf.DUMMYFUNCTION("""COMPUTED_VALUE"""),3)</f>
        <v>3</v>
      </c>
      <c r="E104" s="16" t="str">
        <f ca="1">IFERROR(__xludf.DUMMYFUNCTION("""COMPUTED_VALUE"""),"Basket (empty)")</f>
        <v>Basket (empty)</v>
      </c>
      <c r="F104" s="16" t="str">
        <f ca="1">IFERROR(__xludf.DUMMYFUNCTION("""COMPUTED_VALUE"""),"Adventure")</f>
        <v>Adventure</v>
      </c>
      <c r="G104" s="58">
        <f ca="1">IFERROR(__xludf.DUMMYFUNCTION("""COMPUTED_VALUE"""),0.4)</f>
        <v>0.4</v>
      </c>
    </row>
    <row r="105" spans="1:7" ht="13.2">
      <c r="A105" s="16"/>
      <c r="B105" s="17"/>
      <c r="D105" s="16">
        <f ca="1">IFERROR(__xludf.DUMMYFUNCTION("""COMPUTED_VALUE"""),4)</f>
        <v>4</v>
      </c>
      <c r="E105" s="16" t="str">
        <f ca="1">IFERROR(__xludf.DUMMYFUNCTION("""COMPUTED_VALUE"""),"Bedroll")</f>
        <v>Bedroll</v>
      </c>
      <c r="F105" s="16" t="str">
        <f ca="1">IFERROR(__xludf.DUMMYFUNCTION("""COMPUTED_VALUE"""),"Adventure")</f>
        <v>Adventure</v>
      </c>
      <c r="G105" s="58">
        <f ca="1">IFERROR(__xludf.DUMMYFUNCTION("""COMPUTED_VALUE"""),0.1)</f>
        <v>0.1</v>
      </c>
    </row>
    <row r="106" spans="1:7" ht="13.2">
      <c r="A106" s="16"/>
      <c r="B106" s="17"/>
      <c r="D106" s="16">
        <f ca="1">IFERROR(__xludf.DUMMYFUNCTION("""COMPUTED_VALUE"""),5)</f>
        <v>5</v>
      </c>
      <c r="E106" s="16" t="str">
        <f ca="1">IFERROR(__xludf.DUMMYFUNCTION("""COMPUTED_VALUE"""),"Bell")</f>
        <v>Bell</v>
      </c>
      <c r="F106" s="16" t="str">
        <f ca="1">IFERROR(__xludf.DUMMYFUNCTION("""COMPUTED_VALUE"""),"Adventure")</f>
        <v>Adventure</v>
      </c>
      <c r="G106" s="58">
        <f ca="1">IFERROR(__xludf.DUMMYFUNCTION("""COMPUTED_VALUE"""),1)</f>
        <v>1</v>
      </c>
    </row>
    <row r="107" spans="1:7" ht="13.2">
      <c r="A107" s="16"/>
      <c r="B107" s="17"/>
      <c r="D107" s="16">
        <f ca="1">IFERROR(__xludf.DUMMYFUNCTION("""COMPUTED_VALUE"""),6)</f>
        <v>6</v>
      </c>
      <c r="E107" s="16" t="str">
        <f ca="1">IFERROR(__xludf.DUMMYFUNCTION("""COMPUTED_VALUE"""),"Blanket, winter")</f>
        <v>Blanket, winter</v>
      </c>
      <c r="F107" s="16" t="str">
        <f ca="1">IFERROR(__xludf.DUMMYFUNCTION("""COMPUTED_VALUE"""),"Adventure")</f>
        <v>Adventure</v>
      </c>
      <c r="G107" s="58">
        <f ca="1">IFERROR(__xludf.DUMMYFUNCTION("""COMPUTED_VALUE"""),0.5)</f>
        <v>0.5</v>
      </c>
    </row>
    <row r="108" spans="1:7" ht="13.2">
      <c r="A108" s="16"/>
      <c r="B108" s="17"/>
      <c r="D108" s="16">
        <f ca="1">IFERROR(__xludf.DUMMYFUNCTION("""COMPUTED_VALUE"""),7)</f>
        <v>7</v>
      </c>
      <c r="E108" s="16" t="str">
        <f ca="1">IFERROR(__xludf.DUMMYFUNCTION("""COMPUTED_VALUE"""),"Block and tackle")</f>
        <v>Block and tackle</v>
      </c>
      <c r="F108" s="16" t="str">
        <f ca="1">IFERROR(__xludf.DUMMYFUNCTION("""COMPUTED_VALUE"""),"Adventure")</f>
        <v>Adventure</v>
      </c>
      <c r="G108" s="58">
        <f ca="1">IFERROR(__xludf.DUMMYFUNCTION("""COMPUTED_VALUE"""),5)</f>
        <v>5</v>
      </c>
    </row>
    <row r="109" spans="1:7" ht="13.2">
      <c r="A109" s="16"/>
      <c r="B109" s="17"/>
      <c r="D109" s="16">
        <f ca="1">IFERROR(__xludf.DUMMYFUNCTION("""COMPUTED_VALUE"""),8)</f>
        <v>8</v>
      </c>
      <c r="E109" s="16" t="str">
        <f ca="1">IFERROR(__xludf.DUMMYFUNCTION("""COMPUTED_VALUE"""),"Bottle, wine, glass")</f>
        <v>Bottle, wine, glass</v>
      </c>
      <c r="F109" s="16" t="str">
        <f ca="1">IFERROR(__xludf.DUMMYFUNCTION("""COMPUTED_VALUE"""),"Adventure")</f>
        <v>Adventure</v>
      </c>
      <c r="G109" s="58">
        <f ca="1">IFERROR(__xludf.DUMMYFUNCTION("""COMPUTED_VALUE"""),2)</f>
        <v>2</v>
      </c>
    </row>
    <row r="110" spans="1:7" ht="13.2">
      <c r="A110" s="16"/>
      <c r="B110" s="17"/>
      <c r="D110" s="16">
        <f ca="1">IFERROR(__xludf.DUMMYFUNCTION("""COMPUTED_VALUE"""),9)</f>
        <v>9</v>
      </c>
      <c r="E110" s="16" t="str">
        <f ca="1">IFERROR(__xludf.DUMMYFUNCTION("""COMPUTED_VALUE"""),"Bucket (empty)")</f>
        <v>Bucket (empty)</v>
      </c>
      <c r="F110" s="16" t="str">
        <f ca="1">IFERROR(__xludf.DUMMYFUNCTION("""COMPUTED_VALUE"""),"Adventure")</f>
        <v>Adventure</v>
      </c>
      <c r="G110" s="58">
        <f ca="1">IFERROR(__xludf.DUMMYFUNCTION("""COMPUTED_VALUE"""),0.05)</f>
        <v>0.05</v>
      </c>
    </row>
    <row r="111" spans="1:7" ht="13.2">
      <c r="A111" s="16"/>
      <c r="B111" s="17"/>
      <c r="D111" s="16">
        <f ca="1">IFERROR(__xludf.DUMMYFUNCTION("""COMPUTED_VALUE"""),10)</f>
        <v>10</v>
      </c>
      <c r="E111" s="16" t="str">
        <f ca="1">IFERROR(__xludf.DUMMYFUNCTION("""COMPUTED_VALUE"""),"Caltrops")</f>
        <v>Caltrops</v>
      </c>
      <c r="F111" s="16" t="str">
        <f ca="1">IFERROR(__xludf.DUMMYFUNCTION("""COMPUTED_VALUE"""),"Adventure")</f>
        <v>Adventure</v>
      </c>
      <c r="G111" s="58">
        <f ca="1">IFERROR(__xludf.DUMMYFUNCTION("""COMPUTED_VALUE"""),0.1)</f>
        <v>0.1</v>
      </c>
    </row>
    <row r="112" spans="1:7" ht="13.2">
      <c r="A112" s="16"/>
      <c r="B112" s="17"/>
      <c r="D112" s="16">
        <f ca="1">IFERROR(__xludf.DUMMYFUNCTION("""COMPUTED_VALUE"""),11)</f>
        <v>11</v>
      </c>
      <c r="E112" s="16" t="str">
        <f ca="1">IFERROR(__xludf.DUMMYFUNCTION("""COMPUTED_VALUE"""),"Candle")</f>
        <v>Candle</v>
      </c>
      <c r="F112" s="16" t="str">
        <f ca="1">IFERROR(__xludf.DUMMYFUNCTION("""COMPUTED_VALUE"""),"Adventure")</f>
        <v>Adventure</v>
      </c>
      <c r="G112" s="58">
        <f ca="1">IFERROR(__xludf.DUMMYFUNCTION("""COMPUTED_VALUE"""),0.1)</f>
        <v>0.1</v>
      </c>
    </row>
    <row r="113" spans="1:7" ht="13.2">
      <c r="A113" s="16"/>
      <c r="B113" s="17"/>
      <c r="D113" s="16">
        <f ca="1">IFERROR(__xludf.DUMMYFUNCTION("""COMPUTED_VALUE"""),12)</f>
        <v>12</v>
      </c>
      <c r="E113" s="16" t="str">
        <f ca="1">IFERROR(__xludf.DUMMYFUNCTION("""COMPUTED_VALUE"""),"Canvas (sq. yd.)")</f>
        <v>Canvas (sq. yd.)</v>
      </c>
      <c r="F113" s="16" t="str">
        <f ca="1">IFERROR(__xludf.DUMMYFUNCTION("""COMPUTED_VALUE"""),"Adventure")</f>
        <v>Adventure</v>
      </c>
      <c r="G113" s="58">
        <f ca="1">IFERROR(__xludf.DUMMYFUNCTION("""COMPUTED_VALUE"""),0.1)</f>
        <v>0.1</v>
      </c>
    </row>
    <row r="114" spans="1:7" ht="13.2">
      <c r="A114" s="16"/>
      <c r="B114" s="17"/>
      <c r="D114" s="16">
        <f ca="1">IFERROR(__xludf.DUMMYFUNCTION("""COMPUTED_VALUE"""),13)</f>
        <v>13</v>
      </c>
      <c r="E114" s="16" t="str">
        <f ca="1">IFERROR(__xludf.DUMMYFUNCTION("""COMPUTED_VALUE"""),"Case, map or scroll")</f>
        <v>Case, map or scroll</v>
      </c>
      <c r="F114" s="16" t="str">
        <f ca="1">IFERROR(__xludf.DUMMYFUNCTION("""COMPUTED_VALUE"""),"Adventure")</f>
        <v>Adventure</v>
      </c>
      <c r="G114" s="58">
        <f ca="1">IFERROR(__xludf.DUMMYFUNCTION("""COMPUTED_VALUE"""),1)</f>
        <v>1</v>
      </c>
    </row>
    <row r="115" spans="1:7" ht="13.2">
      <c r="A115" s="16"/>
      <c r="B115" s="17"/>
      <c r="D115" s="16">
        <f ca="1">IFERROR(__xludf.DUMMYFUNCTION("""COMPUTED_VALUE"""),14)</f>
        <v>14</v>
      </c>
      <c r="E115" s="16" t="str">
        <f ca="1">IFERROR(__xludf.DUMMYFUNCTION("""COMPUTED_VALUE"""),"Chain (10 ft.)")</f>
        <v>Chain (10 ft.)</v>
      </c>
      <c r="F115" s="16" t="str">
        <f ca="1">IFERROR(__xludf.DUMMYFUNCTION("""COMPUTED_VALUE"""),"Adventure")</f>
        <v>Adventure</v>
      </c>
      <c r="G115" s="58">
        <f ca="1">IFERROR(__xludf.DUMMYFUNCTION("""COMPUTED_VALUE"""),30)</f>
        <v>30</v>
      </c>
    </row>
    <row r="116" spans="1:7" ht="13.2">
      <c r="A116" s="16"/>
      <c r="B116" s="17"/>
      <c r="D116" s="16">
        <f ca="1">IFERROR(__xludf.DUMMYFUNCTION("""COMPUTED_VALUE"""),15)</f>
        <v>15</v>
      </c>
      <c r="E116" s="16" t="str">
        <f ca="1">IFERROR(__xludf.DUMMYFUNCTION("""COMPUTED_VALUE"""),"Chalk, 1 piece")</f>
        <v>Chalk, 1 piece</v>
      </c>
      <c r="F116" s="16" t="str">
        <f ca="1">IFERROR(__xludf.DUMMYFUNCTION("""COMPUTED_VALUE"""),"Adventure")</f>
        <v>Adventure</v>
      </c>
      <c r="G116" s="58">
        <f ca="1">IFERROR(__xludf.DUMMYFUNCTION("""COMPUTED_VALUE"""),0.01)</f>
        <v>0.01</v>
      </c>
    </row>
    <row r="117" spans="1:7" ht="13.2">
      <c r="A117" s="16"/>
      <c r="B117" s="17"/>
      <c r="D117" s="16">
        <f ca="1">IFERROR(__xludf.DUMMYFUNCTION("""COMPUTED_VALUE"""),16)</f>
        <v>16</v>
      </c>
      <c r="E117" s="16" t="str">
        <f ca="1">IFERROR(__xludf.DUMMYFUNCTION("""COMPUTED_VALUE"""),"Chest (empty)")</f>
        <v>Chest (empty)</v>
      </c>
      <c r="F117" s="16" t="str">
        <f ca="1">IFERROR(__xludf.DUMMYFUNCTION("""COMPUTED_VALUE"""),"Adventure")</f>
        <v>Adventure</v>
      </c>
      <c r="G117" s="58">
        <f ca="1">IFERROR(__xludf.DUMMYFUNCTION("""COMPUTED_VALUE"""),2)</f>
        <v>2</v>
      </c>
    </row>
    <row r="118" spans="1:7" ht="13.2">
      <c r="A118" s="16"/>
      <c r="B118" s="17"/>
      <c r="D118" s="16">
        <f ca="1">IFERROR(__xludf.DUMMYFUNCTION("""COMPUTED_VALUE"""),17)</f>
        <v>17</v>
      </c>
      <c r="E118" s="16" t="str">
        <f ca="1">IFERROR(__xludf.DUMMYFUNCTION("""COMPUTED_VALUE"""),"Crowbar")</f>
        <v>Crowbar</v>
      </c>
      <c r="F118" s="16" t="str">
        <f ca="1">IFERROR(__xludf.DUMMYFUNCTION("""COMPUTED_VALUE"""),"Adventure")</f>
        <v>Adventure</v>
      </c>
      <c r="G118" s="58">
        <f ca="1">IFERROR(__xludf.DUMMYFUNCTION("""COMPUTED_VALUE"""),2)</f>
        <v>2</v>
      </c>
    </row>
    <row r="119" spans="1:7" ht="13.2">
      <c r="A119" s="16"/>
      <c r="B119" s="17"/>
      <c r="D119" s="16">
        <f ca="1">IFERROR(__xludf.DUMMYFUNCTION("""COMPUTED_VALUE"""),18)</f>
        <v>18</v>
      </c>
      <c r="E119" s="16" t="str">
        <f ca="1">IFERROR(__xludf.DUMMYFUNCTION("""COMPUTED_VALUE"""),"Firewood (per day)")</f>
        <v>Firewood (per day)</v>
      </c>
      <c r="F119" s="16" t="str">
        <f ca="1">IFERROR(__xludf.DUMMYFUNCTION("""COMPUTED_VALUE"""),"Adventure")</f>
        <v>Adventure</v>
      </c>
      <c r="G119" s="58">
        <f ca="1">IFERROR(__xludf.DUMMYFUNCTION("""COMPUTED_VALUE"""),0.01)</f>
        <v>0.01</v>
      </c>
    </row>
    <row r="120" spans="1:7" ht="13.2">
      <c r="A120" s="16"/>
      <c r="B120" s="17"/>
      <c r="D120" s="16">
        <f ca="1">IFERROR(__xludf.DUMMYFUNCTION("""COMPUTED_VALUE"""),19)</f>
        <v>19</v>
      </c>
      <c r="E120" s="16" t="str">
        <f ca="1">IFERROR(__xludf.DUMMYFUNCTION("""COMPUTED_VALUE"""),"Fishhook")</f>
        <v>Fishhook</v>
      </c>
      <c r="F120" s="16" t="str">
        <f ca="1">IFERROR(__xludf.DUMMYFUNCTION("""COMPUTED_VALUE"""),"Adventure")</f>
        <v>Adventure</v>
      </c>
      <c r="G120" s="58">
        <f ca="1">IFERROR(__xludf.DUMMYFUNCTION("""COMPUTED_VALUE"""),0.1)</f>
        <v>0.1</v>
      </c>
    </row>
    <row r="121" spans="1:7" ht="13.2">
      <c r="A121" s="16"/>
      <c r="B121" s="17"/>
      <c r="D121" s="16">
        <f ca="1">IFERROR(__xludf.DUMMYFUNCTION("""COMPUTED_VALUE"""),20)</f>
        <v>20</v>
      </c>
      <c r="E121" s="16" t="str">
        <f ca="1">IFERROR(__xludf.DUMMYFUNCTION("""COMPUTED_VALUE"""),"Fishing net, 25 sq. ft.")</f>
        <v>Fishing net, 25 sq. ft.</v>
      </c>
      <c r="F121" s="16" t="str">
        <f ca="1">IFERROR(__xludf.DUMMYFUNCTION("""COMPUTED_VALUE"""),"Adventure")</f>
        <v>Adventure</v>
      </c>
      <c r="G121" s="58">
        <f ca="1">IFERROR(__xludf.DUMMYFUNCTION("""COMPUTED_VALUE"""),4)</f>
        <v>4</v>
      </c>
    </row>
    <row r="122" spans="1:7" ht="13.2">
      <c r="A122" s="16"/>
      <c r="B122" s="17"/>
      <c r="D122" s="16">
        <f ca="1">IFERROR(__xludf.DUMMYFUNCTION("""COMPUTED_VALUE"""),21)</f>
        <v>21</v>
      </c>
      <c r="E122" s="16" t="str">
        <f ca="1">IFERROR(__xludf.DUMMYFUNCTION("""COMPUTED_VALUE"""),"Flask (empty)")</f>
        <v>Flask (empty)</v>
      </c>
      <c r="F122" s="16" t="str">
        <f ca="1">IFERROR(__xludf.DUMMYFUNCTION("""COMPUTED_VALUE"""),"Adventure")</f>
        <v>Adventure</v>
      </c>
      <c r="G122" s="58">
        <f ca="1">IFERROR(__xludf.DUMMYFUNCTION("""COMPUTED_VALUE"""),0.03)</f>
        <v>0.03</v>
      </c>
    </row>
    <row r="123" spans="1:7" ht="13.2">
      <c r="A123" s="16"/>
      <c r="B123" s="17"/>
      <c r="D123" s="16">
        <f ca="1">IFERROR(__xludf.DUMMYFUNCTION("""COMPUTED_VALUE"""),22)</f>
        <v>22</v>
      </c>
      <c r="E123" s="16" t="str">
        <f ca="1">IFERROR(__xludf.DUMMYFUNCTION("""COMPUTED_VALUE"""),"Flint and steel")</f>
        <v>Flint and steel</v>
      </c>
      <c r="F123" s="16" t="str">
        <f ca="1">IFERROR(__xludf.DUMMYFUNCTION("""COMPUTED_VALUE"""),"Adventure")</f>
        <v>Adventure</v>
      </c>
      <c r="G123" s="58">
        <f ca="1">IFERROR(__xludf.DUMMYFUNCTION("""COMPUTED_VALUE"""),1)</f>
        <v>1</v>
      </c>
    </row>
    <row r="124" spans="1:7" ht="13.2">
      <c r="A124" s="16"/>
      <c r="B124" s="17"/>
      <c r="D124" s="16">
        <f ca="1">IFERROR(__xludf.DUMMYFUNCTION("""COMPUTED_VALUE"""),23)</f>
        <v>23</v>
      </c>
      <c r="E124" s="16" t="str">
        <f ca="1">IFERROR(__xludf.DUMMYFUNCTION("""COMPUTED_VALUE"""),"Grappling hook")</f>
        <v>Grappling hook</v>
      </c>
      <c r="F124" s="16" t="str">
        <f ca="1">IFERROR(__xludf.DUMMYFUNCTION("""COMPUTED_VALUE"""),"Adventure")</f>
        <v>Adventure</v>
      </c>
      <c r="G124" s="58">
        <f ca="1">IFERROR(__xludf.DUMMYFUNCTION("""COMPUTED_VALUE"""),1)</f>
        <v>1</v>
      </c>
    </row>
    <row r="125" spans="1:7" ht="13.2">
      <c r="A125" s="16"/>
      <c r="B125" s="17"/>
      <c r="D125" s="16">
        <f ca="1">IFERROR(__xludf.DUMMYFUNCTION("""COMPUTED_VALUE"""),24)</f>
        <v>24</v>
      </c>
      <c r="E125" s="16" t="str">
        <f ca="1">IFERROR(__xludf.DUMMYFUNCTION("""COMPUTED_VALUE"""),"Hammer")</f>
        <v>Hammer</v>
      </c>
      <c r="F125" s="16" t="str">
        <f ca="1">IFERROR(__xludf.DUMMYFUNCTION("""COMPUTED_VALUE"""),"Adventure")</f>
        <v>Adventure</v>
      </c>
      <c r="G125" s="58">
        <f ca="1">IFERROR(__xludf.DUMMYFUNCTION("""COMPUTED_VALUE"""),0.5)</f>
        <v>0.5</v>
      </c>
    </row>
    <row r="126" spans="1:7" ht="13.2">
      <c r="A126" s="16"/>
      <c r="B126" s="17"/>
      <c r="D126" s="16">
        <f ca="1">IFERROR(__xludf.DUMMYFUNCTION("""COMPUTED_VALUE"""),25)</f>
        <v>25</v>
      </c>
      <c r="E126" s="16" t="str">
        <f ca="1">IFERROR(__xludf.DUMMYFUNCTION("""COMPUTED_VALUE"""),"Ink (1 oz. vial)")</f>
        <v>Ink (1 oz. vial)</v>
      </c>
      <c r="F126" s="16" t="str">
        <f ca="1">IFERROR(__xludf.DUMMYFUNCTION("""COMPUTED_VALUE"""),"Adventure")</f>
        <v>Adventure</v>
      </c>
      <c r="G126" s="58">
        <f ca="1">IFERROR(__xludf.DUMMYFUNCTION("""COMPUTED_VALUE"""),8)</f>
        <v>8</v>
      </c>
    </row>
    <row r="127" spans="1:7" ht="13.2">
      <c r="A127" s="16"/>
      <c r="B127" s="17"/>
      <c r="D127" s="16">
        <f ca="1">IFERROR(__xludf.DUMMYFUNCTION("""COMPUTED_VALUE"""),26)</f>
        <v>26</v>
      </c>
      <c r="E127" s="16" t="str">
        <f ca="1">IFERROR(__xludf.DUMMYFUNCTION("""COMPUTED_VALUE"""),"Inkpen")</f>
        <v>Inkpen</v>
      </c>
      <c r="F127" s="16" t="str">
        <f ca="1">IFERROR(__xludf.DUMMYFUNCTION("""COMPUTED_VALUE"""),"Adventure")</f>
        <v>Adventure</v>
      </c>
      <c r="G127" s="58">
        <f ca="1">IFERROR(__xludf.DUMMYFUNCTION("""COMPUTED_VALUE"""),0.1)</f>
        <v>0.1</v>
      </c>
    </row>
    <row r="128" spans="1:7" ht="13.2">
      <c r="A128" s="16"/>
      <c r="B128" s="17"/>
      <c r="D128" s="16">
        <f ca="1">IFERROR(__xludf.DUMMYFUNCTION("""COMPUTED_VALUE"""),27)</f>
        <v>27</v>
      </c>
      <c r="E128" s="16" t="str">
        <f ca="1">IFERROR(__xludf.DUMMYFUNCTION("""COMPUTED_VALUE"""),"Jug, clay")</f>
        <v>Jug, clay</v>
      </c>
      <c r="F128" s="16" t="str">
        <f ca="1">IFERROR(__xludf.DUMMYFUNCTION("""COMPUTED_VALUE"""),"Adventure")</f>
        <v>Adventure</v>
      </c>
      <c r="G128" s="58">
        <f ca="1">IFERROR(__xludf.DUMMYFUNCTION("""COMPUTED_VALUE"""),0.04)</f>
        <v>0.04</v>
      </c>
    </row>
    <row r="129" spans="1:7" ht="13.2">
      <c r="A129" s="16"/>
      <c r="B129" s="17"/>
      <c r="D129" s="16">
        <f ca="1">IFERROR(__xludf.DUMMYFUNCTION("""COMPUTED_VALUE"""),28)</f>
        <v>28</v>
      </c>
      <c r="E129" s="16" t="str">
        <f ca="1">IFERROR(__xludf.DUMMYFUNCTION("""COMPUTED_VALUE"""),"Ladder, 10-foot")</f>
        <v>Ladder, 10-foot</v>
      </c>
      <c r="F129" s="16" t="str">
        <f ca="1">IFERROR(__xludf.DUMMYFUNCTION("""COMPUTED_VALUE"""),"Adventure")</f>
        <v>Adventure</v>
      </c>
      <c r="G129" s="58">
        <f ca="1">IFERROR(__xludf.DUMMYFUNCTION("""COMPUTED_VALUE"""),0.05)</f>
        <v>0.05</v>
      </c>
    </row>
    <row r="130" spans="1:7" ht="13.2">
      <c r="A130" s="16"/>
      <c r="B130" s="17"/>
      <c r="D130" s="16">
        <f ca="1">IFERROR(__xludf.DUMMYFUNCTION("""COMPUTED_VALUE"""),29)</f>
        <v>29</v>
      </c>
      <c r="E130" s="16" t="str">
        <f ca="1">IFERROR(__xludf.DUMMYFUNCTION("""COMPUTED_VALUE"""),"Lamp, common")</f>
        <v>Lamp, common</v>
      </c>
      <c r="F130" s="16" t="str">
        <f ca="1">IFERROR(__xludf.DUMMYFUNCTION("""COMPUTED_VALUE"""),"Adventure")</f>
        <v>Adventure</v>
      </c>
      <c r="G130" s="58">
        <f ca="1">IFERROR(__xludf.DUMMYFUNCTION("""COMPUTED_VALUE"""),0.1)</f>
        <v>0.1</v>
      </c>
    </row>
    <row r="131" spans="1:7" ht="13.2">
      <c r="A131" s="16"/>
      <c r="B131" s="17"/>
      <c r="D131" s="16">
        <f ca="1">IFERROR(__xludf.DUMMYFUNCTION("""COMPUTED_VALUE"""),30)</f>
        <v>30</v>
      </c>
      <c r="E131" s="16" t="str">
        <f ca="1">IFERROR(__xludf.DUMMYFUNCTION("""COMPUTED_VALUE"""),"Lantern, bullseye")</f>
        <v>Lantern, bullseye</v>
      </c>
      <c r="F131" s="16" t="str">
        <f ca="1">IFERROR(__xludf.DUMMYFUNCTION("""COMPUTED_VALUE"""),"Adventure")</f>
        <v>Adventure</v>
      </c>
      <c r="G131" s="58">
        <f ca="1">IFERROR(__xludf.DUMMYFUNCTION("""COMPUTED_VALUE"""),12)</f>
        <v>12</v>
      </c>
    </row>
    <row r="132" spans="1:7" ht="13.2">
      <c r="A132" s="16"/>
      <c r="B132" s="17"/>
      <c r="D132" s="16">
        <f ca="1">IFERROR(__xludf.DUMMYFUNCTION("""COMPUTED_VALUE"""),31)</f>
        <v>31</v>
      </c>
      <c r="E132" s="16" t="str">
        <f ca="1">IFERROR(__xludf.DUMMYFUNCTION("""COMPUTED_VALUE"""),"Lantern, hooded")</f>
        <v>Lantern, hooded</v>
      </c>
      <c r="F132" s="16" t="str">
        <f ca="1">IFERROR(__xludf.DUMMYFUNCTION("""COMPUTED_VALUE"""),"Adventure")</f>
        <v>Adventure</v>
      </c>
      <c r="G132" s="58">
        <f ca="1">IFERROR(__xludf.DUMMYFUNCTION("""COMPUTED_VALUE"""),7)</f>
        <v>7</v>
      </c>
    </row>
    <row r="133" spans="1:7" ht="13.2">
      <c r="A133" s="16"/>
      <c r="B133" s="17"/>
      <c r="D133" s="16">
        <f ca="1">IFERROR(__xludf.DUMMYFUNCTION("""COMPUTED_VALUE"""),33)</f>
        <v>33</v>
      </c>
      <c r="E133" s="16" t="str">
        <f ca="1">IFERROR(__xludf.DUMMYFUNCTION("""COMPUTED_VALUE"""),"Lock - Very simple")</f>
        <v>Lock - Very simple</v>
      </c>
      <c r="F133" s="16" t="str">
        <f ca="1">IFERROR(__xludf.DUMMYFUNCTION("""COMPUTED_VALUE"""),"Adventure")</f>
        <v>Adventure</v>
      </c>
      <c r="G133" s="58">
        <f ca="1">IFERROR(__xludf.DUMMYFUNCTION("""COMPUTED_VALUE"""),20)</f>
        <v>20</v>
      </c>
    </row>
    <row r="134" spans="1:7" ht="13.2">
      <c r="A134" s="16"/>
      <c r="B134" s="17"/>
      <c r="D134" s="16">
        <f ca="1">IFERROR(__xludf.DUMMYFUNCTION("""COMPUTED_VALUE"""),34)</f>
        <v>34</v>
      </c>
      <c r="E134" s="16" t="str">
        <f ca="1">IFERROR(__xludf.DUMMYFUNCTION("""COMPUTED_VALUE"""),"Lock - Average")</f>
        <v>Lock - Average</v>
      </c>
      <c r="F134" s="16" t="str">
        <f ca="1">IFERROR(__xludf.DUMMYFUNCTION("""COMPUTED_VALUE"""),"Adventure")</f>
        <v>Adventure</v>
      </c>
      <c r="G134" s="58">
        <f ca="1">IFERROR(__xludf.DUMMYFUNCTION("""COMPUTED_VALUE"""),40)</f>
        <v>40</v>
      </c>
    </row>
    <row r="135" spans="1:7" ht="13.2">
      <c r="A135" s="16"/>
      <c r="B135" s="17"/>
      <c r="D135" s="16">
        <f ca="1">IFERROR(__xludf.DUMMYFUNCTION("""COMPUTED_VALUE"""),35)</f>
        <v>35</v>
      </c>
      <c r="E135" s="16" t="str">
        <f ca="1">IFERROR(__xludf.DUMMYFUNCTION("""COMPUTED_VALUE"""),"Lock - Good")</f>
        <v>Lock - Good</v>
      </c>
      <c r="F135" s="16" t="str">
        <f ca="1">IFERROR(__xludf.DUMMYFUNCTION("""COMPUTED_VALUE"""),"Adventure")</f>
        <v>Adventure</v>
      </c>
      <c r="G135" s="58">
        <f ca="1">IFERROR(__xludf.DUMMYFUNCTION("""COMPUTED_VALUE"""),80)</f>
        <v>80</v>
      </c>
    </row>
    <row r="136" spans="1:7" ht="13.2">
      <c r="A136" s="16"/>
      <c r="B136" s="17"/>
      <c r="D136" s="16">
        <f ca="1">IFERROR(__xludf.DUMMYFUNCTION("""COMPUTED_VALUE"""),36)</f>
        <v>36</v>
      </c>
      <c r="E136" s="16" t="str">
        <f ca="1">IFERROR(__xludf.DUMMYFUNCTION("""COMPUTED_VALUE"""),"Lock - Amazing")</f>
        <v>Lock - Amazing</v>
      </c>
      <c r="F136" s="16" t="str">
        <f ca="1">IFERROR(__xludf.DUMMYFUNCTION("""COMPUTED_VALUE"""),"Adventure")</f>
        <v>Adventure</v>
      </c>
      <c r="G136" s="58">
        <f ca="1">IFERROR(__xludf.DUMMYFUNCTION("""COMPUTED_VALUE"""),150)</f>
        <v>150</v>
      </c>
    </row>
    <row r="137" spans="1:7" ht="13.2">
      <c r="A137" s="16"/>
      <c r="B137" s="17"/>
      <c r="D137" s="16">
        <f ca="1">IFERROR(__xludf.DUMMYFUNCTION("""COMPUTED_VALUE"""),37)</f>
        <v>37</v>
      </c>
      <c r="E137" s="16" t="str">
        <f ca="1">IFERROR(__xludf.DUMMYFUNCTION("""COMPUTED_VALUE"""),"Manacles")</f>
        <v>Manacles</v>
      </c>
      <c r="F137" s="16" t="str">
        <f ca="1">IFERROR(__xludf.DUMMYFUNCTION("""COMPUTED_VALUE"""),"Adventure")</f>
        <v>Adventure</v>
      </c>
      <c r="G137" s="58">
        <f ca="1">IFERROR(__xludf.DUMMYFUNCTION("""COMPUTED_VALUE"""),15)</f>
        <v>15</v>
      </c>
    </row>
    <row r="138" spans="1:7" ht="13.2">
      <c r="A138" s="16"/>
      <c r="B138" s="17"/>
      <c r="D138" s="16">
        <f ca="1">IFERROR(__xludf.DUMMYFUNCTION("""COMPUTED_VALUE"""),38)</f>
        <v>38</v>
      </c>
      <c r="E138" s="16" t="str">
        <f ca="1">IFERROR(__xludf.DUMMYFUNCTION("""COMPUTED_VALUE"""),"Manacles, masterwork")</f>
        <v>Manacles, masterwork</v>
      </c>
      <c r="F138" s="16" t="str">
        <f ca="1">IFERROR(__xludf.DUMMYFUNCTION("""COMPUTED_VALUE"""),"Adventure")</f>
        <v>Adventure</v>
      </c>
      <c r="G138" s="58">
        <f ca="1">IFERROR(__xludf.DUMMYFUNCTION("""COMPUTED_VALUE"""),50)</f>
        <v>50</v>
      </c>
    </row>
    <row r="139" spans="1:7" ht="13.2">
      <c r="A139" s="16"/>
      <c r="B139" s="17"/>
      <c r="D139" s="16">
        <f ca="1">IFERROR(__xludf.DUMMYFUNCTION("""COMPUTED_VALUE"""),39)</f>
        <v>39</v>
      </c>
      <c r="E139" s="16" t="str">
        <f ca="1">IFERROR(__xludf.DUMMYFUNCTION("""COMPUTED_VALUE"""),"Mirror, small steel")</f>
        <v>Mirror, small steel</v>
      </c>
      <c r="F139" s="16" t="str">
        <f ca="1">IFERROR(__xludf.DUMMYFUNCTION("""COMPUTED_VALUE"""),"Adventure")</f>
        <v>Adventure</v>
      </c>
      <c r="G139" s="58">
        <f ca="1">IFERROR(__xludf.DUMMYFUNCTION("""COMPUTED_VALUE"""),10)</f>
        <v>10</v>
      </c>
    </row>
    <row r="140" spans="1:7" ht="13.2">
      <c r="A140" s="16"/>
      <c r="B140" s="17"/>
      <c r="D140" s="16">
        <f ca="1">IFERROR(__xludf.DUMMYFUNCTION("""COMPUTED_VALUE"""),40)</f>
        <v>40</v>
      </c>
      <c r="E140" s="16" t="str">
        <f ca="1">IFERROR(__xludf.DUMMYFUNCTION("""COMPUTED_VALUE"""),"Mug/Tankard, clay")</f>
        <v>Mug/Tankard, clay</v>
      </c>
      <c r="F140" s="16" t="str">
        <f ca="1">IFERROR(__xludf.DUMMYFUNCTION("""COMPUTED_VALUE"""),"Adventure")</f>
        <v>Adventure</v>
      </c>
      <c r="G140" s="58">
        <f ca="1">IFERROR(__xludf.DUMMYFUNCTION("""COMPUTED_VALUE"""),0.002)</f>
        <v>2E-3</v>
      </c>
    </row>
    <row r="141" spans="1:7" ht="13.2">
      <c r="A141" s="16"/>
      <c r="B141" s="17"/>
      <c r="D141" s="16">
        <f ca="1">IFERROR(__xludf.DUMMYFUNCTION("""COMPUTED_VALUE"""),41)</f>
        <v>41</v>
      </c>
      <c r="E141" s="16" t="str">
        <f ca="1">IFERROR(__xludf.DUMMYFUNCTION("""COMPUTED_VALUE"""),"Oil (1-pint flask)")</f>
        <v>Oil (1-pint flask)</v>
      </c>
      <c r="F141" s="16" t="str">
        <f ca="1">IFERROR(__xludf.DUMMYFUNCTION("""COMPUTED_VALUE"""),"Adventure")</f>
        <v>Adventure</v>
      </c>
      <c r="G141" s="58">
        <f ca="1">IFERROR(__xludf.DUMMYFUNCTION("""COMPUTED_VALUE"""),0.1)</f>
        <v>0.1</v>
      </c>
    </row>
    <row r="142" spans="1:7" ht="13.2">
      <c r="A142" s="16"/>
      <c r="B142" s="17"/>
      <c r="D142" s="16">
        <f ca="1">IFERROR(__xludf.DUMMYFUNCTION("""COMPUTED_VALUE"""),42)</f>
        <v>42</v>
      </c>
      <c r="E142" s="16" t="str">
        <f ca="1">IFERROR(__xludf.DUMMYFUNCTION("""COMPUTED_VALUE"""),"Paper (sheet)")</f>
        <v>Paper (sheet)</v>
      </c>
      <c r="F142" s="16" t="str">
        <f ca="1">IFERROR(__xludf.DUMMYFUNCTION("""COMPUTED_VALUE"""),"Adventure")</f>
        <v>Adventure</v>
      </c>
      <c r="G142" s="58">
        <f ca="1">IFERROR(__xludf.DUMMYFUNCTION("""COMPUTED_VALUE"""),0.4)</f>
        <v>0.4</v>
      </c>
    </row>
    <row r="143" spans="1:7" ht="13.2">
      <c r="A143" s="16"/>
      <c r="B143" s="17"/>
      <c r="D143" s="16">
        <f ca="1">IFERROR(__xludf.DUMMYFUNCTION("""COMPUTED_VALUE"""),43)</f>
        <v>43</v>
      </c>
      <c r="E143" s="16" t="str">
        <f ca="1">IFERROR(__xludf.DUMMYFUNCTION("""COMPUTED_VALUE"""),"Parchment (sheet)")</f>
        <v>Parchment (sheet)</v>
      </c>
      <c r="F143" s="16" t="str">
        <f ca="1">IFERROR(__xludf.DUMMYFUNCTION("""COMPUTED_VALUE"""),"Adventure")</f>
        <v>Adventure</v>
      </c>
      <c r="G143" s="58">
        <f ca="1">IFERROR(__xludf.DUMMYFUNCTION("""COMPUTED_VALUE"""),0.2)</f>
        <v>0.2</v>
      </c>
    </row>
    <row r="144" spans="1:7" ht="13.2">
      <c r="A144" s="16"/>
      <c r="B144" s="17"/>
      <c r="D144" s="16">
        <f ca="1">IFERROR(__xludf.DUMMYFUNCTION("""COMPUTED_VALUE"""),44)</f>
        <v>44</v>
      </c>
      <c r="E144" s="16" t="str">
        <f ca="1">IFERROR(__xludf.DUMMYFUNCTION("""COMPUTED_VALUE"""),"Pick, miner’s")</f>
        <v>Pick, miner’s</v>
      </c>
      <c r="F144" s="16" t="str">
        <f ca="1">IFERROR(__xludf.DUMMYFUNCTION("""COMPUTED_VALUE"""),"Adventure")</f>
        <v>Adventure</v>
      </c>
      <c r="G144" s="58">
        <f ca="1">IFERROR(__xludf.DUMMYFUNCTION("""COMPUTED_VALUE"""),3)</f>
        <v>3</v>
      </c>
    </row>
    <row r="145" spans="1:7" ht="13.2">
      <c r="A145" s="16"/>
      <c r="B145" s="17"/>
      <c r="D145" s="16">
        <f ca="1">IFERROR(__xludf.DUMMYFUNCTION("""COMPUTED_VALUE"""),45)</f>
        <v>45</v>
      </c>
      <c r="E145" s="16" t="str">
        <f ca="1">IFERROR(__xludf.DUMMYFUNCTION("""COMPUTED_VALUE"""),"Pitcher, clay")</f>
        <v>Pitcher, clay</v>
      </c>
      <c r="F145" s="16" t="str">
        <f ca="1">IFERROR(__xludf.DUMMYFUNCTION("""COMPUTED_VALUE"""),"Adventure")</f>
        <v>Adventure</v>
      </c>
      <c r="G145" s="58">
        <f ca="1">IFERROR(__xludf.DUMMYFUNCTION("""COMPUTED_VALUE"""),0.002)</f>
        <v>2E-3</v>
      </c>
    </row>
    <row r="146" spans="1:7" ht="13.2">
      <c r="A146" s="16"/>
      <c r="B146" s="17"/>
      <c r="D146" s="16">
        <f ca="1">IFERROR(__xludf.DUMMYFUNCTION("""COMPUTED_VALUE"""),46)</f>
        <v>46</v>
      </c>
      <c r="E146" s="16" t="str">
        <f ca="1">IFERROR(__xludf.DUMMYFUNCTION("""COMPUTED_VALUE"""),"Piton")</f>
        <v>Piton</v>
      </c>
      <c r="F146" s="16" t="str">
        <f ca="1">IFERROR(__xludf.DUMMYFUNCTION("""COMPUTED_VALUE"""),"Adventure")</f>
        <v>Adventure</v>
      </c>
      <c r="G146" s="58">
        <f ca="1">IFERROR(__xludf.DUMMYFUNCTION("""COMPUTED_VALUE"""),0.1)</f>
        <v>0.1</v>
      </c>
    </row>
    <row r="147" spans="1:7" ht="13.2">
      <c r="A147" s="16"/>
      <c r="B147" s="17"/>
      <c r="D147" s="16">
        <f ca="1">IFERROR(__xludf.DUMMYFUNCTION("""COMPUTED_VALUE"""),47)</f>
        <v>47</v>
      </c>
      <c r="E147" s="16" t="str">
        <f ca="1">IFERROR(__xludf.DUMMYFUNCTION("""COMPUTED_VALUE"""),"Pole, 10-foot")</f>
        <v>Pole, 10-foot</v>
      </c>
      <c r="F147" s="16" t="str">
        <f ca="1">IFERROR(__xludf.DUMMYFUNCTION("""COMPUTED_VALUE"""),"Adventure")</f>
        <v>Adventure</v>
      </c>
      <c r="G147" s="58">
        <f ca="1">IFERROR(__xludf.DUMMYFUNCTION("""COMPUTED_VALUE"""),0.02)</f>
        <v>0.02</v>
      </c>
    </row>
    <row r="148" spans="1:7" ht="13.2">
      <c r="A148" s="16"/>
      <c r="B148" s="17"/>
      <c r="D148" s="16">
        <f ca="1">IFERROR(__xludf.DUMMYFUNCTION("""COMPUTED_VALUE"""),48)</f>
        <v>48</v>
      </c>
      <c r="E148" s="16" t="str">
        <f ca="1">IFERROR(__xludf.DUMMYFUNCTION("""COMPUTED_VALUE"""),"Pot, iron")</f>
        <v>Pot, iron</v>
      </c>
      <c r="F148" s="16" t="str">
        <f ca="1">IFERROR(__xludf.DUMMYFUNCTION("""COMPUTED_VALUE"""),"Adventure")</f>
        <v>Adventure</v>
      </c>
      <c r="G148" s="58">
        <f ca="1">IFERROR(__xludf.DUMMYFUNCTION("""COMPUTED_VALUE"""),0.05)</f>
        <v>0.05</v>
      </c>
    </row>
    <row r="149" spans="1:7" ht="13.2">
      <c r="A149" s="16"/>
      <c r="B149" s="17"/>
      <c r="D149" s="16">
        <f ca="1">IFERROR(__xludf.DUMMYFUNCTION("""COMPUTED_VALUE"""),49)</f>
        <v>49</v>
      </c>
      <c r="E149" s="16" t="str">
        <f ca="1">IFERROR(__xludf.DUMMYFUNCTION("""COMPUTED_VALUE"""),"Pouch, belt (empty)")</f>
        <v>Pouch, belt (empty)</v>
      </c>
      <c r="F149" s="16" t="str">
        <f ca="1">IFERROR(__xludf.DUMMYFUNCTION("""COMPUTED_VALUE"""),"Adventure")</f>
        <v>Adventure</v>
      </c>
      <c r="G149" s="58">
        <f ca="1">IFERROR(__xludf.DUMMYFUNCTION("""COMPUTED_VALUE"""),1)</f>
        <v>1</v>
      </c>
    </row>
    <row r="150" spans="1:7" ht="13.2">
      <c r="A150" s="16"/>
      <c r="B150" s="17"/>
      <c r="D150" s="16">
        <f ca="1">IFERROR(__xludf.DUMMYFUNCTION("""COMPUTED_VALUE"""),50)</f>
        <v>50</v>
      </c>
      <c r="E150" s="16" t="str">
        <f ca="1">IFERROR(__xludf.DUMMYFUNCTION("""COMPUTED_VALUE"""),"Ram, portable")</f>
        <v>Ram, portable</v>
      </c>
      <c r="F150" s="16" t="str">
        <f ca="1">IFERROR(__xludf.DUMMYFUNCTION("""COMPUTED_VALUE"""),"Adventure")</f>
        <v>Adventure</v>
      </c>
      <c r="G150" s="58">
        <f ca="1">IFERROR(__xludf.DUMMYFUNCTION("""COMPUTED_VALUE"""),10)</f>
        <v>10</v>
      </c>
    </row>
    <row r="151" spans="1:7" ht="13.2">
      <c r="A151" s="16"/>
      <c r="B151" s="17"/>
      <c r="D151" s="16">
        <f ca="1">IFERROR(__xludf.DUMMYFUNCTION("""COMPUTED_VALUE"""),51)</f>
        <v>51</v>
      </c>
      <c r="E151" s="16" t="str">
        <f ca="1">IFERROR(__xludf.DUMMYFUNCTION("""COMPUTED_VALUE"""),"Rations, trail (per day)")</f>
        <v>Rations, trail (per day)</v>
      </c>
      <c r="F151" s="16" t="str">
        <f ca="1">IFERROR(__xludf.DUMMYFUNCTION("""COMPUTED_VALUE"""),"Adventure")</f>
        <v>Adventure</v>
      </c>
      <c r="G151" s="58">
        <f ca="1">IFERROR(__xludf.DUMMYFUNCTION("""COMPUTED_VALUE"""),0.05)</f>
        <v>0.05</v>
      </c>
    </row>
    <row r="152" spans="1:7" ht="13.2">
      <c r="A152" s="16"/>
      <c r="B152" s="17"/>
      <c r="D152" s="16">
        <f ca="1">IFERROR(__xludf.DUMMYFUNCTION("""COMPUTED_VALUE"""),52)</f>
        <v>52</v>
      </c>
      <c r="E152" s="16" t="str">
        <f ca="1">IFERROR(__xludf.DUMMYFUNCTION("""COMPUTED_VALUE"""),"Rope, hempen (50 ft.)")</f>
        <v>Rope, hempen (50 ft.)</v>
      </c>
      <c r="F152" s="16" t="str">
        <f ca="1">IFERROR(__xludf.DUMMYFUNCTION("""COMPUTED_VALUE"""),"Adventure")</f>
        <v>Adventure</v>
      </c>
      <c r="G152" s="58">
        <f ca="1">IFERROR(__xludf.DUMMYFUNCTION("""COMPUTED_VALUE"""),1)</f>
        <v>1</v>
      </c>
    </row>
    <row r="153" spans="1:7" ht="13.2">
      <c r="A153" s="16"/>
      <c r="B153" s="17"/>
      <c r="D153" s="16">
        <f ca="1">IFERROR(__xludf.DUMMYFUNCTION("""COMPUTED_VALUE"""),53)</f>
        <v>53</v>
      </c>
      <c r="E153" s="16" t="str">
        <f ca="1">IFERROR(__xludf.DUMMYFUNCTION("""COMPUTED_VALUE"""),"Rope, silk (50 ft.)")</f>
        <v>Rope, silk (50 ft.)</v>
      </c>
      <c r="F153" s="16" t="str">
        <f ca="1">IFERROR(__xludf.DUMMYFUNCTION("""COMPUTED_VALUE"""),"Adventure")</f>
        <v>Adventure</v>
      </c>
      <c r="G153" s="58">
        <f ca="1">IFERROR(__xludf.DUMMYFUNCTION("""COMPUTED_VALUE"""),10)</f>
        <v>10</v>
      </c>
    </row>
    <row r="154" spans="1:7" ht="13.2">
      <c r="A154" s="16"/>
      <c r="B154" s="17"/>
      <c r="D154" s="16">
        <f ca="1">IFERROR(__xludf.DUMMYFUNCTION("""COMPUTED_VALUE"""),54)</f>
        <v>54</v>
      </c>
      <c r="E154" s="16" t="str">
        <f ca="1">IFERROR(__xludf.DUMMYFUNCTION("""COMPUTED_VALUE"""),"Sack (empty)")</f>
        <v>Sack (empty)</v>
      </c>
      <c r="F154" s="16" t="str">
        <f ca="1">IFERROR(__xludf.DUMMYFUNCTION("""COMPUTED_VALUE"""),"Adventure")</f>
        <v>Adventure</v>
      </c>
      <c r="G154" s="58">
        <f ca="1">IFERROR(__xludf.DUMMYFUNCTION("""COMPUTED_VALUE"""),0.01)</f>
        <v>0.01</v>
      </c>
    </row>
    <row r="155" spans="1:7" ht="13.2">
      <c r="A155" s="16"/>
      <c r="B155" s="17"/>
      <c r="D155" s="16">
        <f ca="1">IFERROR(__xludf.DUMMYFUNCTION("""COMPUTED_VALUE"""),55)</f>
        <v>55</v>
      </c>
      <c r="E155" s="16" t="str">
        <f ca="1">IFERROR(__xludf.DUMMYFUNCTION("""COMPUTED_VALUE"""),"Sealing wax")</f>
        <v>Sealing wax</v>
      </c>
      <c r="F155" s="16" t="str">
        <f ca="1">IFERROR(__xludf.DUMMYFUNCTION("""COMPUTED_VALUE"""),"Adventure")</f>
        <v>Adventure</v>
      </c>
      <c r="G155" s="58">
        <f ca="1">IFERROR(__xludf.DUMMYFUNCTION("""COMPUTED_VALUE"""),1)</f>
        <v>1</v>
      </c>
    </row>
    <row r="156" spans="1:7" ht="13.2">
      <c r="A156" s="16"/>
      <c r="B156" s="17"/>
      <c r="D156" s="16">
        <f ca="1">IFERROR(__xludf.DUMMYFUNCTION("""COMPUTED_VALUE"""),56)</f>
        <v>56</v>
      </c>
      <c r="E156" s="16" t="str">
        <f ca="1">IFERROR(__xludf.DUMMYFUNCTION("""COMPUTED_VALUE"""),"Sewing needle")</f>
        <v>Sewing needle</v>
      </c>
      <c r="F156" s="16" t="str">
        <f ca="1">IFERROR(__xludf.DUMMYFUNCTION("""COMPUTED_VALUE"""),"Adventure")</f>
        <v>Adventure</v>
      </c>
      <c r="G156" s="58">
        <f ca="1">IFERROR(__xludf.DUMMYFUNCTION("""COMPUTED_VALUE"""),0.05)</f>
        <v>0.05</v>
      </c>
    </row>
    <row r="157" spans="1:7" ht="13.2">
      <c r="A157" s="16"/>
      <c r="B157" s="17"/>
      <c r="D157" s="16">
        <f ca="1">IFERROR(__xludf.DUMMYFUNCTION("""COMPUTED_VALUE"""),57)</f>
        <v>57</v>
      </c>
      <c r="E157" s="16" t="str">
        <f ca="1">IFERROR(__xludf.DUMMYFUNCTION("""COMPUTED_VALUE"""),"Signal whistle")</f>
        <v>Signal whistle</v>
      </c>
      <c r="F157" s="16" t="str">
        <f ca="1">IFERROR(__xludf.DUMMYFUNCTION("""COMPUTED_VALUE"""),"Adventure")</f>
        <v>Adventure</v>
      </c>
      <c r="G157" s="58">
        <f ca="1">IFERROR(__xludf.DUMMYFUNCTION("""COMPUTED_VALUE"""),0.08)</f>
        <v>0.08</v>
      </c>
    </row>
    <row r="158" spans="1:7" ht="13.2">
      <c r="A158" s="16"/>
      <c r="B158" s="17"/>
      <c r="D158" s="16">
        <f ca="1">IFERROR(__xludf.DUMMYFUNCTION("""COMPUTED_VALUE"""),58)</f>
        <v>58</v>
      </c>
      <c r="E158" s="16" t="str">
        <f ca="1">IFERROR(__xludf.DUMMYFUNCTION("""COMPUTED_VALUE"""),"Signet ring")</f>
        <v>Signet ring</v>
      </c>
      <c r="F158" s="16" t="str">
        <f ca="1">IFERROR(__xludf.DUMMYFUNCTION("""COMPUTED_VALUE"""),"Adventure")</f>
        <v>Adventure</v>
      </c>
      <c r="G158" s="58">
        <f ca="1">IFERROR(__xludf.DUMMYFUNCTION("""COMPUTED_VALUE"""),5)</f>
        <v>5</v>
      </c>
    </row>
    <row r="159" spans="1:7" ht="13.2">
      <c r="A159" s="16"/>
      <c r="B159" s="17"/>
      <c r="D159" s="16">
        <f ca="1">IFERROR(__xludf.DUMMYFUNCTION("""COMPUTED_VALUE"""),59)</f>
        <v>59</v>
      </c>
      <c r="E159" s="16" t="str">
        <f ca="1">IFERROR(__xludf.DUMMYFUNCTION("""COMPUTED_VALUE"""),"Sledge")</f>
        <v>Sledge</v>
      </c>
      <c r="F159" s="16" t="str">
        <f ca="1">IFERROR(__xludf.DUMMYFUNCTION("""COMPUTED_VALUE"""),"Adventure")</f>
        <v>Adventure</v>
      </c>
      <c r="G159" s="58">
        <f ca="1">IFERROR(__xludf.DUMMYFUNCTION("""COMPUTED_VALUE"""),1)</f>
        <v>1</v>
      </c>
    </row>
    <row r="160" spans="1:7" ht="13.2">
      <c r="A160" s="16"/>
      <c r="B160" s="17"/>
      <c r="D160" s="16">
        <f ca="1">IFERROR(__xludf.DUMMYFUNCTION("""COMPUTED_VALUE"""),60)</f>
        <v>60</v>
      </c>
      <c r="E160" s="16" t="str">
        <f ca="1">IFERROR(__xludf.DUMMYFUNCTION("""COMPUTED_VALUE"""),"Soap (per lb.)")</f>
        <v>Soap (per lb.)</v>
      </c>
      <c r="F160" s="16" t="str">
        <f ca="1">IFERROR(__xludf.DUMMYFUNCTION("""COMPUTED_VALUE"""),"Adventure")</f>
        <v>Adventure</v>
      </c>
      <c r="G160" s="58">
        <f ca="1">IFERROR(__xludf.DUMMYFUNCTION("""COMPUTED_VALUE"""),0.05)</f>
        <v>0.05</v>
      </c>
    </row>
    <row r="161" spans="1:7" ht="13.2">
      <c r="A161" s="16"/>
      <c r="B161" s="17"/>
      <c r="D161" s="16">
        <f ca="1">IFERROR(__xludf.DUMMYFUNCTION("""COMPUTED_VALUE"""),61)</f>
        <v>61</v>
      </c>
      <c r="E161" s="16" t="str">
        <f ca="1">IFERROR(__xludf.DUMMYFUNCTION("""COMPUTED_VALUE"""),"Spade or shovel")</f>
        <v>Spade or shovel</v>
      </c>
      <c r="F161" s="16" t="str">
        <f ca="1">IFERROR(__xludf.DUMMYFUNCTION("""COMPUTED_VALUE"""),"Adventure")</f>
        <v>Adventure</v>
      </c>
      <c r="G161" s="58">
        <f ca="1">IFERROR(__xludf.DUMMYFUNCTION("""COMPUTED_VALUE"""),2)</f>
        <v>2</v>
      </c>
    </row>
    <row r="162" spans="1:7" ht="13.2">
      <c r="A162" s="16"/>
      <c r="B162" s="17"/>
      <c r="D162" s="16">
        <f ca="1">IFERROR(__xludf.DUMMYFUNCTION("""COMPUTED_VALUE"""),62)</f>
        <v>62</v>
      </c>
      <c r="E162" s="16" t="str">
        <f ca="1">IFERROR(__xludf.DUMMYFUNCTION("""COMPUTED_VALUE"""),"Spyglass")</f>
        <v>Spyglass</v>
      </c>
      <c r="F162" s="16" t="str">
        <f ca="1">IFERROR(__xludf.DUMMYFUNCTION("""COMPUTED_VALUE"""),"Adventure")</f>
        <v>Adventure</v>
      </c>
      <c r="G162" s="58">
        <f ca="1">IFERROR(__xludf.DUMMYFUNCTION("""COMPUTED_VALUE"""),1000)</f>
        <v>1000</v>
      </c>
    </row>
    <row r="163" spans="1:7" ht="13.2">
      <c r="A163" s="16"/>
      <c r="B163" s="17"/>
      <c r="D163" s="16">
        <f ca="1">IFERROR(__xludf.DUMMYFUNCTION("""COMPUTED_VALUE"""),63)</f>
        <v>63</v>
      </c>
      <c r="E163" s="16" t="str">
        <f ca="1">IFERROR(__xludf.DUMMYFUNCTION("""COMPUTED_VALUE"""),"Tent")</f>
        <v>Tent</v>
      </c>
      <c r="F163" s="16" t="str">
        <f ca="1">IFERROR(__xludf.DUMMYFUNCTION("""COMPUTED_VALUE"""),"Adventure")</f>
        <v>Adventure</v>
      </c>
      <c r="G163" s="58">
        <f ca="1">IFERROR(__xludf.DUMMYFUNCTION("""COMPUTED_VALUE"""),10)</f>
        <v>10</v>
      </c>
    </row>
    <row r="164" spans="1:7" ht="13.2">
      <c r="A164" s="16"/>
      <c r="B164" s="17"/>
      <c r="D164" s="16">
        <f ca="1">IFERROR(__xludf.DUMMYFUNCTION("""COMPUTED_VALUE"""),64)</f>
        <v>64</v>
      </c>
      <c r="E164" s="16" t="str">
        <f ca="1">IFERROR(__xludf.DUMMYFUNCTION("""COMPUTED_VALUE"""),"Torch")</f>
        <v>Torch</v>
      </c>
      <c r="F164" s="16" t="str">
        <f ca="1">IFERROR(__xludf.DUMMYFUNCTION("""COMPUTED_VALUE"""),"Adventure")</f>
        <v>Adventure</v>
      </c>
      <c r="G164" s="58">
        <f ca="1">IFERROR(__xludf.DUMMYFUNCTION("""COMPUTED_VALUE"""),0.001)</f>
        <v>1E-3</v>
      </c>
    </row>
    <row r="165" spans="1:7" ht="13.2">
      <c r="A165" s="16"/>
      <c r="B165" s="17"/>
      <c r="D165" s="16">
        <f ca="1">IFERROR(__xludf.DUMMYFUNCTION("""COMPUTED_VALUE"""),65)</f>
        <v>65</v>
      </c>
      <c r="E165" s="16" t="str">
        <f ca="1">IFERROR(__xludf.DUMMYFUNCTION("""COMPUTED_VALUE"""),"Vial, ink or potion")</f>
        <v>Vial, ink or potion</v>
      </c>
      <c r="F165" s="16" t="str">
        <f ca="1">IFERROR(__xludf.DUMMYFUNCTION("""COMPUTED_VALUE"""),"Adventure")</f>
        <v>Adventure</v>
      </c>
      <c r="G165" s="58">
        <f ca="1">IFERROR(__xludf.DUMMYFUNCTION("""COMPUTED_VALUE"""),1)</f>
        <v>1</v>
      </c>
    </row>
    <row r="166" spans="1:7" ht="13.2">
      <c r="A166" s="16"/>
      <c r="B166" s="17"/>
      <c r="D166" s="16">
        <f ca="1">IFERROR(__xludf.DUMMYFUNCTION("""COMPUTED_VALUE"""),66)</f>
        <v>66</v>
      </c>
      <c r="E166" s="16" t="str">
        <f ca="1">IFERROR(__xludf.DUMMYFUNCTION("""COMPUTED_VALUE"""),"Waterskin")</f>
        <v>Waterskin</v>
      </c>
      <c r="F166" s="16" t="str">
        <f ca="1">IFERROR(__xludf.DUMMYFUNCTION("""COMPUTED_VALUE"""),"Adventure")</f>
        <v>Adventure</v>
      </c>
      <c r="G166" s="58">
        <f ca="1">IFERROR(__xludf.DUMMYFUNCTION("""COMPUTED_VALUE"""),1)</f>
        <v>1</v>
      </c>
    </row>
    <row r="167" spans="1:7" ht="13.2">
      <c r="A167" s="16"/>
      <c r="B167" s="17"/>
      <c r="D167" s="16">
        <f ca="1">IFERROR(__xludf.DUMMYFUNCTION("""COMPUTED_VALUE"""),67)</f>
        <v>67</v>
      </c>
      <c r="E167" s="16" t="str">
        <f ca="1">IFERROR(__xludf.DUMMYFUNCTION("""COMPUTED_VALUE"""),"Whetstone")</f>
        <v>Whetstone</v>
      </c>
      <c r="F167" s="16" t="str">
        <f ca="1">IFERROR(__xludf.DUMMYFUNCTION("""COMPUTED_VALUE"""),"Adventure")</f>
        <v>Adventure</v>
      </c>
      <c r="G167" s="58">
        <f ca="1">IFERROR(__xludf.DUMMYFUNCTION("""COMPUTED_VALUE"""),0.002)</f>
        <v>2E-3</v>
      </c>
    </row>
    <row r="168" spans="1:7" ht="13.2">
      <c r="A168" s="16"/>
      <c r="B168" s="17"/>
      <c r="D168" s="16">
        <f ca="1">IFERROR(__xludf.DUMMYFUNCTION("""COMPUTED_VALUE"""),1)</f>
        <v>1</v>
      </c>
      <c r="E168" s="16" t="str">
        <f ca="1">IFERROR(__xludf.DUMMYFUNCTION("""COMPUTED_VALUE"""),"Adamantine armor")</f>
        <v>Adamantine armor</v>
      </c>
      <c r="F168" s="16" t="str">
        <f ca="1">IFERROR(__xludf.DUMMYFUNCTION("""COMPUTED_VALUE"""),"Magic")</f>
        <v>Magic</v>
      </c>
      <c r="G168" s="58">
        <f ca="1">IFERROR(__xludf.DUMMYFUNCTION("""COMPUTED_VALUE"""),378)</f>
        <v>378</v>
      </c>
    </row>
    <row r="169" spans="1:7" ht="13.2">
      <c r="A169" s="16"/>
      <c r="B169" s="17"/>
      <c r="D169" s="16">
        <f ca="1">IFERROR(__xludf.DUMMYFUNCTION("""COMPUTED_VALUE"""),2)</f>
        <v>2</v>
      </c>
      <c r="E169" s="16" t="str">
        <f ca="1">IFERROR(__xludf.DUMMYFUNCTION("""COMPUTED_VALUE"""),"Alchemy jug")</f>
        <v>Alchemy jug</v>
      </c>
      <c r="F169" s="16" t="str">
        <f ca="1">IFERROR(__xludf.DUMMYFUNCTION("""COMPUTED_VALUE"""),"Magic")</f>
        <v>Magic</v>
      </c>
      <c r="G169" s="58">
        <f ca="1">IFERROR(__xludf.DUMMYFUNCTION("""COMPUTED_VALUE"""),366)</f>
        <v>366</v>
      </c>
    </row>
    <row r="170" spans="1:7" ht="13.2">
      <c r="A170" s="16"/>
      <c r="B170" s="17"/>
      <c r="D170" s="16">
        <f ca="1">IFERROR(__xludf.DUMMYFUNCTION("""COMPUTED_VALUE"""),3)</f>
        <v>3</v>
      </c>
      <c r="E170" s="16" t="str">
        <f ca="1">IFERROR(__xludf.DUMMYFUNCTION("""COMPUTED_VALUE"""),"Ammunition +1")</f>
        <v>Ammunition +1</v>
      </c>
      <c r="F170" s="16" t="str">
        <f ca="1">IFERROR(__xludf.DUMMYFUNCTION("""COMPUTED_VALUE"""),"Magic")</f>
        <v>Magic</v>
      </c>
      <c r="G170" s="58">
        <f ca="1">IFERROR(__xludf.DUMMYFUNCTION("""COMPUTED_VALUE"""),378)</f>
        <v>378</v>
      </c>
    </row>
    <row r="171" spans="1:7" ht="13.2">
      <c r="A171" s="16"/>
      <c r="B171" s="17"/>
      <c r="D171" s="16">
        <f ca="1">IFERROR(__xludf.DUMMYFUNCTION("""COMPUTED_VALUE"""),4)</f>
        <v>4</v>
      </c>
      <c r="E171" s="16" t="str">
        <f ca="1">IFERROR(__xludf.DUMMYFUNCTION("""COMPUTED_VALUE"""),"Ammunition +2")</f>
        <v>Ammunition +2</v>
      </c>
      <c r="F171" s="16" t="str">
        <f ca="1">IFERROR(__xludf.DUMMYFUNCTION("""COMPUTED_VALUE"""),"Magic")</f>
        <v>Magic</v>
      </c>
      <c r="G171" s="58">
        <f ca="1">IFERROR(__xludf.DUMMYFUNCTION("""COMPUTED_VALUE"""),919)</f>
        <v>919</v>
      </c>
    </row>
    <row r="172" spans="1:7" ht="13.2">
      <c r="A172" s="16"/>
      <c r="B172" s="17"/>
      <c r="D172" s="16">
        <f ca="1">IFERROR(__xludf.DUMMYFUNCTION("""COMPUTED_VALUE"""),5)</f>
        <v>5</v>
      </c>
      <c r="E172" s="16" t="str">
        <f ca="1">IFERROR(__xludf.DUMMYFUNCTION("""COMPUTED_VALUE"""),"Ammunition +3")</f>
        <v>Ammunition +3</v>
      </c>
      <c r="F172" s="16" t="str">
        <f ca="1">IFERROR(__xludf.DUMMYFUNCTION("""COMPUTED_VALUE"""),"Magic")</f>
        <v>Magic</v>
      </c>
      <c r="G172" s="58">
        <f ca="1">IFERROR(__xludf.DUMMYFUNCTION("""COMPUTED_VALUE"""),1576)</f>
        <v>1576</v>
      </c>
    </row>
    <row r="173" spans="1:7" ht="13.2">
      <c r="A173" s="16"/>
      <c r="B173" s="17"/>
      <c r="D173" s="16">
        <f ca="1">IFERROR(__xludf.DUMMYFUNCTION("""COMPUTED_VALUE"""),6)</f>
        <v>6</v>
      </c>
      <c r="E173" s="16" t="str">
        <f ca="1">IFERROR(__xludf.DUMMYFUNCTION("""COMPUTED_VALUE"""),"Amulet of health")</f>
        <v>Amulet of health</v>
      </c>
      <c r="F173" s="16" t="str">
        <f ca="1">IFERROR(__xludf.DUMMYFUNCTION("""COMPUTED_VALUE"""),"Magic")</f>
        <v>Magic</v>
      </c>
      <c r="G173" s="58">
        <f ca="1">IFERROR(__xludf.DUMMYFUNCTION("""COMPUTED_VALUE"""),919)</f>
        <v>919</v>
      </c>
    </row>
    <row r="174" spans="1:7" ht="13.2">
      <c r="A174" s="16"/>
      <c r="B174" s="17"/>
      <c r="D174" s="16">
        <f ca="1">IFERROR(__xludf.DUMMYFUNCTION("""COMPUTED_VALUE"""),7)</f>
        <v>7</v>
      </c>
      <c r="E174" s="16" t="str">
        <f ca="1">IFERROR(__xludf.DUMMYFUNCTION("""COMPUTED_VALUE"""),"Amulet of proof against detection and location")</f>
        <v>Amulet of proof against detection and location</v>
      </c>
      <c r="F174" s="16" t="str">
        <f ca="1">IFERROR(__xludf.DUMMYFUNCTION("""COMPUTED_VALUE"""),"Magic")</f>
        <v>Magic</v>
      </c>
      <c r="G174" s="58">
        <f ca="1">IFERROR(__xludf.DUMMYFUNCTION("""COMPUTED_VALUE"""),380)</f>
        <v>380</v>
      </c>
    </row>
    <row r="175" spans="1:7" ht="13.2">
      <c r="A175" s="16"/>
      <c r="B175" s="17"/>
      <c r="D175" s="16">
        <f ca="1">IFERROR(__xludf.DUMMYFUNCTION("""COMPUTED_VALUE"""),8)</f>
        <v>8</v>
      </c>
      <c r="E175" s="16" t="str">
        <f ca="1">IFERROR(__xludf.DUMMYFUNCTION("""COMPUTED_VALUE"""),"Amulet of the planes")</f>
        <v>Amulet of the planes</v>
      </c>
      <c r="F175" s="16" t="str">
        <f ca="1">IFERROR(__xludf.DUMMYFUNCTION("""COMPUTED_VALUE"""),"Magic")</f>
        <v>Magic</v>
      </c>
      <c r="G175" s="58">
        <f ca="1">IFERROR(__xludf.DUMMYFUNCTION("""COMPUTED_VALUE"""),1556)</f>
        <v>1556</v>
      </c>
    </row>
    <row r="176" spans="1:7" ht="13.2">
      <c r="A176" s="16"/>
      <c r="B176" s="17"/>
      <c r="D176" s="16">
        <f ca="1">IFERROR(__xludf.DUMMYFUNCTION("""COMPUTED_VALUE"""),9)</f>
        <v>9</v>
      </c>
      <c r="E176" s="16" t="str">
        <f ca="1">IFERROR(__xludf.DUMMYFUNCTION("""COMPUTED_VALUE"""),"Animated shield")</f>
        <v>Animated shield</v>
      </c>
      <c r="F176" s="16" t="str">
        <f ca="1">IFERROR(__xludf.DUMMYFUNCTION("""COMPUTED_VALUE"""),"Magic")</f>
        <v>Magic</v>
      </c>
      <c r="G176" s="58">
        <f ca="1">IFERROR(__xludf.DUMMYFUNCTION("""COMPUTED_VALUE"""),1580)</f>
        <v>1580</v>
      </c>
    </row>
    <row r="177" spans="1:7" ht="13.2">
      <c r="A177" s="16"/>
      <c r="B177" s="17"/>
      <c r="D177" s="16">
        <f ca="1">IFERROR(__xludf.DUMMYFUNCTION("""COMPUTED_VALUE"""),10)</f>
        <v>10</v>
      </c>
      <c r="E177" s="16" t="str">
        <f ca="1">IFERROR(__xludf.DUMMYFUNCTION("""COMPUTED_VALUE"""),"Apparatus of Kwalish")</f>
        <v>Apparatus of Kwalish</v>
      </c>
      <c r="F177" s="16" t="str">
        <f ca="1">IFERROR(__xludf.DUMMYFUNCTION("""COMPUTED_VALUE"""),"Magic")</f>
        <v>Magic</v>
      </c>
      <c r="G177" s="58">
        <f ca="1">IFERROR(__xludf.DUMMYFUNCTION("""COMPUTED_VALUE"""),3020)</f>
        <v>3020</v>
      </c>
    </row>
    <row r="178" spans="1:7" ht="13.2">
      <c r="A178" s="16"/>
      <c r="B178" s="17"/>
      <c r="D178" s="16">
        <f ca="1">IFERROR(__xludf.DUMMYFUNCTION("""COMPUTED_VALUE"""),11)</f>
        <v>11</v>
      </c>
      <c r="E178" s="16" t="str">
        <f ca="1">IFERROR(__xludf.DUMMYFUNCTION("""COMPUTED_VALUE"""),"Armor +1")</f>
        <v>Armor +1</v>
      </c>
      <c r="F178" s="16" t="str">
        <f ca="1">IFERROR(__xludf.DUMMYFUNCTION("""COMPUTED_VALUE"""),"Magic")</f>
        <v>Magic</v>
      </c>
      <c r="G178" s="58">
        <f ca="1">IFERROR(__xludf.DUMMYFUNCTION("""COMPUTED_VALUE"""),940)</f>
        <v>940</v>
      </c>
    </row>
    <row r="179" spans="1:7" ht="13.2">
      <c r="A179" s="16"/>
      <c r="B179" s="17"/>
      <c r="D179" s="16">
        <f ca="1">IFERROR(__xludf.DUMMYFUNCTION("""COMPUTED_VALUE"""),12)</f>
        <v>12</v>
      </c>
      <c r="E179" s="16" t="str">
        <f ca="1">IFERROR(__xludf.DUMMYFUNCTION("""COMPUTED_VALUE"""),"Armor +2")</f>
        <v>Armor +2</v>
      </c>
      <c r="F179" s="16" t="str">
        <f ca="1">IFERROR(__xludf.DUMMYFUNCTION("""COMPUTED_VALUE"""),"Magic")</f>
        <v>Magic</v>
      </c>
      <c r="G179" s="58">
        <f ca="1">IFERROR(__xludf.DUMMYFUNCTION("""COMPUTED_VALUE"""),1556)</f>
        <v>1556</v>
      </c>
    </row>
    <row r="180" spans="1:7" ht="13.2">
      <c r="A180" s="16"/>
      <c r="B180" s="17"/>
      <c r="D180" s="16">
        <f ca="1">IFERROR(__xludf.DUMMYFUNCTION("""COMPUTED_VALUE"""),13)</f>
        <v>13</v>
      </c>
      <c r="E180" s="16" t="str">
        <f ca="1">IFERROR(__xludf.DUMMYFUNCTION("""COMPUTED_VALUE"""),"Armor +3")</f>
        <v>Armor +3</v>
      </c>
      <c r="F180" s="16" t="str">
        <f ca="1">IFERROR(__xludf.DUMMYFUNCTION("""COMPUTED_VALUE"""),"Magic")</f>
        <v>Magic</v>
      </c>
      <c r="G180" s="58">
        <f ca="1">IFERROR(__xludf.DUMMYFUNCTION("""COMPUTED_VALUE"""),3055)</f>
        <v>3055</v>
      </c>
    </row>
    <row r="181" spans="1:7" ht="13.2">
      <c r="A181" s="16"/>
      <c r="B181" s="17"/>
      <c r="D181" s="16">
        <f ca="1">IFERROR(__xludf.DUMMYFUNCTION("""COMPUTED_VALUE"""),14)</f>
        <v>14</v>
      </c>
      <c r="E181" s="16" t="str">
        <f ca="1">IFERROR(__xludf.DUMMYFUNCTION("""COMPUTED_VALUE"""),"Armor of invulnerability")</f>
        <v>Armor of invulnerability</v>
      </c>
      <c r="F181" s="16" t="str">
        <f ca="1">IFERROR(__xludf.DUMMYFUNCTION("""COMPUTED_VALUE"""),"Magic")</f>
        <v>Magic</v>
      </c>
      <c r="G181" s="58">
        <f ca="1">IFERROR(__xludf.DUMMYFUNCTION("""COMPUTED_VALUE"""),3025)</f>
        <v>3025</v>
      </c>
    </row>
    <row r="182" spans="1:7" ht="13.2">
      <c r="A182" s="16"/>
      <c r="B182" s="17"/>
      <c r="D182" s="16">
        <f ca="1">IFERROR(__xludf.DUMMYFUNCTION("""COMPUTED_VALUE"""),15)</f>
        <v>15</v>
      </c>
      <c r="E182" s="16" t="str">
        <f ca="1">IFERROR(__xludf.DUMMYFUNCTION("""COMPUTED_VALUE"""),"Armor of resistance")</f>
        <v>Armor of resistance</v>
      </c>
      <c r="F182" s="16" t="str">
        <f ca="1">IFERROR(__xludf.DUMMYFUNCTION("""COMPUTED_VALUE"""),"Magic")</f>
        <v>Magic</v>
      </c>
      <c r="G182" s="58">
        <f ca="1">IFERROR(__xludf.DUMMYFUNCTION("""COMPUTED_VALUE"""),943)</f>
        <v>943</v>
      </c>
    </row>
    <row r="183" spans="1:7" ht="13.2">
      <c r="A183" s="16"/>
      <c r="B183" s="17"/>
      <c r="D183" s="16">
        <f ca="1">IFERROR(__xludf.DUMMYFUNCTION("""COMPUTED_VALUE"""),16)</f>
        <v>16</v>
      </c>
      <c r="E183" s="16" t="str">
        <f ca="1">IFERROR(__xludf.DUMMYFUNCTION("""COMPUTED_VALUE"""),"Armor of vulnerability")</f>
        <v>Armor of vulnerability</v>
      </c>
      <c r="F183" s="16" t="str">
        <f ca="1">IFERROR(__xludf.DUMMYFUNCTION("""COMPUTED_VALUE"""),"Magic")</f>
        <v>Magic</v>
      </c>
      <c r="G183" s="58">
        <f ca="1">IFERROR(__xludf.DUMMYFUNCTION("""COMPUTED_VALUE"""),925)</f>
        <v>925</v>
      </c>
    </row>
    <row r="184" spans="1:7" ht="13.2">
      <c r="A184" s="16"/>
      <c r="B184" s="17"/>
      <c r="D184" s="16">
        <f ca="1">IFERROR(__xludf.DUMMYFUNCTION("""COMPUTED_VALUE"""),17)</f>
        <v>17</v>
      </c>
      <c r="E184" s="16" t="str">
        <f ca="1">IFERROR(__xludf.DUMMYFUNCTION("""COMPUTED_VALUE"""),"Arrow of slaying")</f>
        <v>Arrow of slaying</v>
      </c>
      <c r="F184" s="16" t="str">
        <f ca="1">IFERROR(__xludf.DUMMYFUNCTION("""COMPUTED_VALUE"""),"Magic")</f>
        <v>Magic</v>
      </c>
      <c r="G184" s="58">
        <f ca="1">IFERROR(__xludf.DUMMYFUNCTION("""COMPUTED_VALUE"""),1584)</f>
        <v>1584</v>
      </c>
    </row>
    <row r="185" spans="1:7" ht="13.2">
      <c r="A185" s="16"/>
      <c r="B185" s="17"/>
      <c r="D185" s="16">
        <f ca="1">IFERROR(__xludf.DUMMYFUNCTION("""COMPUTED_VALUE"""),18)</f>
        <v>18</v>
      </c>
      <c r="E185" s="16" t="str">
        <f ca="1">IFERROR(__xludf.DUMMYFUNCTION("""COMPUTED_VALUE"""),"Arrow-catching shield")</f>
        <v>Arrow-catching shield</v>
      </c>
      <c r="F185" s="16" t="str">
        <f ca="1">IFERROR(__xludf.DUMMYFUNCTION("""COMPUTED_VALUE"""),"Magic")</f>
        <v>Magic</v>
      </c>
      <c r="G185" s="58">
        <f ca="1">IFERROR(__xludf.DUMMYFUNCTION("""COMPUTED_VALUE"""),925)</f>
        <v>925</v>
      </c>
    </row>
    <row r="186" spans="1:7" ht="13.2">
      <c r="A186" s="16"/>
      <c r="B186" s="17"/>
      <c r="D186" s="16">
        <f ca="1">IFERROR(__xludf.DUMMYFUNCTION("""COMPUTED_VALUE"""),19)</f>
        <v>19</v>
      </c>
      <c r="E186" s="16" t="str">
        <f ca="1">IFERROR(__xludf.DUMMYFUNCTION("""COMPUTED_VALUE"""),"Bag of beans")</f>
        <v>Bag of beans</v>
      </c>
      <c r="F186" s="16" t="str">
        <f ca="1">IFERROR(__xludf.DUMMYFUNCTION("""COMPUTED_VALUE"""),"Magic")</f>
        <v>Magic</v>
      </c>
      <c r="G186" s="58">
        <f ca="1">IFERROR(__xludf.DUMMYFUNCTION("""COMPUTED_VALUE"""),946)</f>
        <v>946</v>
      </c>
    </row>
    <row r="187" spans="1:7" ht="13.2">
      <c r="A187" s="16"/>
      <c r="B187" s="17"/>
      <c r="D187" s="16">
        <f ca="1">IFERROR(__xludf.DUMMYFUNCTION("""COMPUTED_VALUE"""),20)</f>
        <v>20</v>
      </c>
      <c r="E187" s="16" t="str">
        <f ca="1">IFERROR(__xludf.DUMMYFUNCTION("""COMPUTED_VALUE"""),"Bag of devouring")</f>
        <v>Bag of devouring</v>
      </c>
      <c r="F187" s="16" t="str">
        <f ca="1">IFERROR(__xludf.DUMMYFUNCTION("""COMPUTED_VALUE"""),"Magic")</f>
        <v>Magic</v>
      </c>
      <c r="G187" s="58">
        <f ca="1">IFERROR(__xludf.DUMMYFUNCTION("""COMPUTED_VALUE"""),1564)</f>
        <v>1564</v>
      </c>
    </row>
    <row r="188" spans="1:7" ht="13.2">
      <c r="A188" s="16"/>
      <c r="B188" s="17"/>
      <c r="D188" s="16">
        <f ca="1">IFERROR(__xludf.DUMMYFUNCTION("""COMPUTED_VALUE"""),21)</f>
        <v>21</v>
      </c>
      <c r="E188" s="16" t="str">
        <f ca="1">IFERROR(__xludf.DUMMYFUNCTION("""COMPUTED_VALUE"""),"Bag of holding")</f>
        <v>Bag of holding</v>
      </c>
      <c r="F188" s="16" t="str">
        <f ca="1">IFERROR(__xludf.DUMMYFUNCTION("""COMPUTED_VALUE"""),"Magic")</f>
        <v>Magic</v>
      </c>
      <c r="G188" s="58">
        <f ca="1">IFERROR(__xludf.DUMMYFUNCTION("""COMPUTED_VALUE"""),384)</f>
        <v>384</v>
      </c>
    </row>
    <row r="189" spans="1:7" ht="13.2">
      <c r="A189" s="16"/>
      <c r="B189" s="17"/>
      <c r="D189" s="16">
        <f ca="1">IFERROR(__xludf.DUMMYFUNCTION("""COMPUTED_VALUE"""),22)</f>
        <v>22</v>
      </c>
      <c r="E189" s="16" t="str">
        <f ca="1">IFERROR(__xludf.DUMMYFUNCTION("""COMPUTED_VALUE"""),"Bag of tricks")</f>
        <v>Bag of tricks</v>
      </c>
      <c r="F189" s="16" t="str">
        <f ca="1">IFERROR(__xludf.DUMMYFUNCTION("""COMPUTED_VALUE"""),"Magic")</f>
        <v>Magic</v>
      </c>
      <c r="G189" s="58">
        <f ca="1">IFERROR(__xludf.DUMMYFUNCTION("""COMPUTED_VALUE"""),372)</f>
        <v>372</v>
      </c>
    </row>
    <row r="190" spans="1:7" ht="13.2">
      <c r="A190" s="16"/>
      <c r="B190" s="17"/>
      <c r="D190" s="16">
        <f ca="1">IFERROR(__xludf.DUMMYFUNCTION("""COMPUTED_VALUE"""),23)</f>
        <v>23</v>
      </c>
      <c r="E190" s="16" t="str">
        <f ca="1">IFERROR(__xludf.DUMMYFUNCTION("""COMPUTED_VALUE"""),"Bead of force")</f>
        <v>Bead of force</v>
      </c>
      <c r="F190" s="16" t="str">
        <f ca="1">IFERROR(__xludf.DUMMYFUNCTION("""COMPUTED_VALUE"""),"Magic")</f>
        <v>Magic</v>
      </c>
      <c r="G190" s="58">
        <f ca="1">IFERROR(__xludf.DUMMYFUNCTION("""COMPUTED_VALUE"""),946)</f>
        <v>946</v>
      </c>
    </row>
    <row r="191" spans="1:7" ht="13.2">
      <c r="A191" s="16"/>
      <c r="B191" s="17"/>
      <c r="D191" s="16">
        <f ca="1">IFERROR(__xludf.DUMMYFUNCTION("""COMPUTED_VALUE"""),24)</f>
        <v>24</v>
      </c>
      <c r="E191" s="16" t="str">
        <f ca="1">IFERROR(__xludf.DUMMYFUNCTION("""COMPUTED_VALUE"""),"Belt of dwarvenkind")</f>
        <v>Belt of dwarvenkind</v>
      </c>
      <c r="F191" s="16" t="str">
        <f ca="1">IFERROR(__xludf.DUMMYFUNCTION("""COMPUTED_VALUE"""),"Magic")</f>
        <v>Magic</v>
      </c>
      <c r="G191" s="58">
        <f ca="1">IFERROR(__xludf.DUMMYFUNCTION("""COMPUTED_VALUE"""),928)</f>
        <v>928</v>
      </c>
    </row>
    <row r="192" spans="1:7" ht="13.2">
      <c r="A192" s="16"/>
      <c r="B192" s="17"/>
      <c r="D192" s="16">
        <f ca="1">IFERROR(__xludf.DUMMYFUNCTION("""COMPUTED_VALUE"""),25)</f>
        <v>25</v>
      </c>
      <c r="E192" s="16" t="str">
        <f ca="1">IFERROR(__xludf.DUMMYFUNCTION("""COMPUTED_VALUE"""),"Belt of giant strength (cloud giant)")</f>
        <v>Belt of giant strength (cloud giant)</v>
      </c>
      <c r="F192" s="16" t="str">
        <f ca="1">IFERROR(__xludf.DUMMYFUNCTION("""COMPUTED_VALUE"""),"Magic")</f>
        <v>Magic</v>
      </c>
      <c r="G192" s="58">
        <f ca="1">IFERROR(__xludf.DUMMYFUNCTION("""COMPUTED_VALUE"""),3065)</f>
        <v>3065</v>
      </c>
    </row>
    <row r="193" spans="1:7" ht="13.2">
      <c r="A193" s="16"/>
      <c r="B193" s="17"/>
      <c r="D193" s="16">
        <f ca="1">IFERROR(__xludf.DUMMYFUNCTION("""COMPUTED_VALUE"""),26)</f>
        <v>26</v>
      </c>
      <c r="E193" s="16" t="str">
        <f ca="1">IFERROR(__xludf.DUMMYFUNCTION("""COMPUTED_VALUE"""),"Belt of giant strength (fire giant)")</f>
        <v>Belt of giant strength (fire giant)</v>
      </c>
      <c r="F193" s="16" t="str">
        <f ca="1">IFERROR(__xludf.DUMMYFUNCTION("""COMPUTED_VALUE"""),"Magic")</f>
        <v>Magic</v>
      </c>
      <c r="G193" s="58">
        <f ca="1">IFERROR(__xludf.DUMMYFUNCTION("""COMPUTED_VALUE"""),1568)</f>
        <v>1568</v>
      </c>
    </row>
    <row r="194" spans="1:7" ht="13.2">
      <c r="A194" s="16"/>
      <c r="B194" s="17"/>
      <c r="D194" s="16">
        <f ca="1">IFERROR(__xludf.DUMMYFUNCTION("""COMPUTED_VALUE"""),27)</f>
        <v>27</v>
      </c>
      <c r="E194" s="16" t="str">
        <f ca="1">IFERROR(__xludf.DUMMYFUNCTION("""COMPUTED_VALUE"""),"Belt of giant strength (frost or stone giant)")</f>
        <v>Belt of giant strength (frost or stone giant)</v>
      </c>
      <c r="F194" s="16" t="str">
        <f ca="1">IFERROR(__xludf.DUMMYFUNCTION("""COMPUTED_VALUE"""),"Magic")</f>
        <v>Magic</v>
      </c>
      <c r="G194" s="58">
        <f ca="1">IFERROR(__xludf.DUMMYFUNCTION("""COMPUTED_VALUE"""),1592)</f>
        <v>1592</v>
      </c>
    </row>
    <row r="195" spans="1:7" ht="13.2">
      <c r="A195" s="16"/>
      <c r="B195" s="17"/>
      <c r="D195" s="16">
        <f ca="1">IFERROR(__xludf.DUMMYFUNCTION("""COMPUTED_VALUE"""),28)</f>
        <v>28</v>
      </c>
      <c r="E195" s="16" t="str">
        <f ca="1">IFERROR(__xludf.DUMMYFUNCTION("""COMPUTED_VALUE"""),"Belt of giant strength (hill giant)")</f>
        <v>Belt of giant strength (hill giant)</v>
      </c>
      <c r="F195" s="16" t="str">
        <f ca="1">IFERROR(__xludf.DUMMYFUNCTION("""COMPUTED_VALUE"""),"Magic")</f>
        <v>Magic</v>
      </c>
      <c r="G195" s="58">
        <f ca="1">IFERROR(__xludf.DUMMYFUNCTION("""COMPUTED_VALUE"""),931)</f>
        <v>931</v>
      </c>
    </row>
    <row r="196" spans="1:7" ht="13.2">
      <c r="A196" s="16"/>
      <c r="B196" s="17"/>
      <c r="D196" s="16">
        <f ca="1">IFERROR(__xludf.DUMMYFUNCTION("""COMPUTED_VALUE"""),29)</f>
        <v>29</v>
      </c>
      <c r="E196" s="16" t="str">
        <f ca="1">IFERROR(__xludf.DUMMYFUNCTION("""COMPUTED_VALUE"""),"Belt of giant strength (storm giant)")</f>
        <v>Belt of giant strength (storm giant)</v>
      </c>
      <c r="F196" s="16" t="str">
        <f ca="1">IFERROR(__xludf.DUMMYFUNCTION("""COMPUTED_VALUE"""),"Magic")</f>
        <v>Magic</v>
      </c>
      <c r="G196" s="58">
        <f ca="1">IFERROR(__xludf.DUMMYFUNCTION("""COMPUTED_VALUE"""),3065)</f>
        <v>3065</v>
      </c>
    </row>
    <row r="197" spans="1:7" ht="13.2">
      <c r="A197" s="16"/>
      <c r="B197" s="17"/>
      <c r="D197" s="16">
        <f ca="1">IFERROR(__xludf.DUMMYFUNCTION("""COMPUTED_VALUE"""),30)</f>
        <v>30</v>
      </c>
      <c r="E197" s="16" t="str">
        <f ca="1">IFERROR(__xludf.DUMMYFUNCTION("""COMPUTED_VALUE"""),"Berserker axe")</f>
        <v>Berserker axe</v>
      </c>
      <c r="F197" s="16" t="str">
        <f ca="1">IFERROR(__xludf.DUMMYFUNCTION("""COMPUTED_VALUE"""),"Magic")</f>
        <v>Magic</v>
      </c>
      <c r="G197" s="58">
        <f ca="1">IFERROR(__xludf.DUMMYFUNCTION("""COMPUTED_VALUE"""),931)</f>
        <v>931</v>
      </c>
    </row>
    <row r="198" spans="1:7" ht="13.2">
      <c r="A198" s="16"/>
      <c r="B198" s="17"/>
      <c r="D198" s="16">
        <f ca="1">IFERROR(__xludf.DUMMYFUNCTION("""COMPUTED_VALUE"""),31)</f>
        <v>31</v>
      </c>
      <c r="E198" s="16" t="str">
        <f ca="1">IFERROR(__xludf.DUMMYFUNCTION("""COMPUTED_VALUE"""),"Boots of elvenkind")</f>
        <v>Boots of elvenkind</v>
      </c>
      <c r="F198" s="16" t="str">
        <f ca="1">IFERROR(__xludf.DUMMYFUNCTION("""COMPUTED_VALUE"""),"Magic")</f>
        <v>Magic</v>
      </c>
      <c r="G198" s="58">
        <f ca="1">IFERROR(__xludf.DUMMYFUNCTION("""COMPUTED_VALUE"""),388)</f>
        <v>388</v>
      </c>
    </row>
    <row r="199" spans="1:7" ht="13.2">
      <c r="A199" s="16"/>
      <c r="B199" s="17"/>
      <c r="D199" s="16">
        <f ca="1">IFERROR(__xludf.DUMMYFUNCTION("""COMPUTED_VALUE"""),32)</f>
        <v>32</v>
      </c>
      <c r="E199" s="16" t="str">
        <f ca="1">IFERROR(__xludf.DUMMYFUNCTION("""COMPUTED_VALUE"""),"Boots of levitation")</f>
        <v>Boots of levitation</v>
      </c>
      <c r="F199" s="16" t="str">
        <f ca="1">IFERROR(__xludf.DUMMYFUNCTION("""COMPUTED_VALUE"""),"Magic")</f>
        <v>Magic</v>
      </c>
      <c r="G199" s="58">
        <f ca="1">IFERROR(__xludf.DUMMYFUNCTION("""COMPUTED_VALUE"""),934)</f>
        <v>934</v>
      </c>
    </row>
    <row r="200" spans="1:7" ht="13.2">
      <c r="A200" s="16"/>
      <c r="B200" s="17"/>
      <c r="D200" s="16">
        <f ca="1">IFERROR(__xludf.DUMMYFUNCTION("""COMPUTED_VALUE"""),33)</f>
        <v>33</v>
      </c>
      <c r="E200" s="16" t="str">
        <f ca="1">IFERROR(__xludf.DUMMYFUNCTION("""COMPUTED_VALUE"""),"Boots of speed")</f>
        <v>Boots of speed</v>
      </c>
      <c r="F200" s="16" t="str">
        <f ca="1">IFERROR(__xludf.DUMMYFUNCTION("""COMPUTED_VALUE"""),"Magic")</f>
        <v>Magic</v>
      </c>
      <c r="G200" s="58">
        <f ca="1">IFERROR(__xludf.DUMMYFUNCTION("""COMPUTED_VALUE"""),952)</f>
        <v>952</v>
      </c>
    </row>
    <row r="201" spans="1:7" ht="13.2">
      <c r="A201" s="16"/>
      <c r="B201" s="17"/>
      <c r="D201" s="16">
        <f ca="1">IFERROR(__xludf.DUMMYFUNCTION("""COMPUTED_VALUE"""),34)</f>
        <v>34</v>
      </c>
      <c r="E201" s="16" t="str">
        <f ca="1">IFERROR(__xludf.DUMMYFUNCTION("""COMPUTED_VALUE"""),"Boots of striding and springing")</f>
        <v>Boots of striding and springing</v>
      </c>
      <c r="F201" s="16" t="str">
        <f ca="1">IFERROR(__xludf.DUMMYFUNCTION("""COMPUTED_VALUE"""),"Magic")</f>
        <v>Magic</v>
      </c>
      <c r="G201" s="58">
        <f ca="1">IFERROR(__xludf.DUMMYFUNCTION("""COMPUTED_VALUE"""),376)</f>
        <v>376</v>
      </c>
    </row>
    <row r="202" spans="1:7" ht="13.2">
      <c r="A202" s="16"/>
      <c r="B202" s="17"/>
      <c r="D202" s="16">
        <f ca="1">IFERROR(__xludf.DUMMYFUNCTION("""COMPUTED_VALUE"""),35)</f>
        <v>35</v>
      </c>
      <c r="E202" s="16" t="str">
        <f ca="1">IFERROR(__xludf.DUMMYFUNCTION("""COMPUTED_VALUE"""),"Boots of the winterlands")</f>
        <v>Boots of the winterlands</v>
      </c>
      <c r="F202" s="16" t="str">
        <f ca="1">IFERROR(__xludf.DUMMYFUNCTION("""COMPUTED_VALUE"""),"Magic")</f>
        <v>Magic</v>
      </c>
      <c r="G202" s="58">
        <f ca="1">IFERROR(__xludf.DUMMYFUNCTION("""COMPUTED_VALUE"""),388)</f>
        <v>388</v>
      </c>
    </row>
    <row r="203" spans="1:7" ht="13.2">
      <c r="A203" s="16"/>
      <c r="B203" s="17"/>
      <c r="D203" s="16">
        <f ca="1">IFERROR(__xludf.DUMMYFUNCTION("""COMPUTED_VALUE"""),36)</f>
        <v>36</v>
      </c>
      <c r="E203" s="16" t="str">
        <f ca="1">IFERROR(__xludf.DUMMYFUNCTION("""COMPUTED_VALUE"""),"Bowl of commanding water elementals")</f>
        <v>Bowl of commanding water elementals</v>
      </c>
      <c r="F203" s="16" t="str">
        <f ca="1">IFERROR(__xludf.DUMMYFUNCTION("""COMPUTED_VALUE"""),"Magic")</f>
        <v>Magic</v>
      </c>
      <c r="G203" s="58">
        <f ca="1">IFERROR(__xludf.DUMMYFUNCTION("""COMPUTED_VALUE"""),934)</f>
        <v>934</v>
      </c>
    </row>
    <row r="204" spans="1:7" ht="13.2">
      <c r="A204" s="16"/>
      <c r="B204" s="17"/>
      <c r="D204" s="16">
        <f ca="1">IFERROR(__xludf.DUMMYFUNCTION("""COMPUTED_VALUE"""),37)</f>
        <v>37</v>
      </c>
      <c r="E204" s="16" t="str">
        <f ca="1">IFERROR(__xludf.DUMMYFUNCTION("""COMPUTED_VALUE"""),"Bracers of archery")</f>
        <v>Bracers of archery</v>
      </c>
      <c r="F204" s="16" t="str">
        <f ca="1">IFERROR(__xludf.DUMMYFUNCTION("""COMPUTED_VALUE"""),"Magic")</f>
        <v>Magic</v>
      </c>
      <c r="G204" s="58">
        <f ca="1">IFERROR(__xludf.DUMMYFUNCTION("""COMPUTED_VALUE"""),366)</f>
        <v>366</v>
      </c>
    </row>
    <row r="205" spans="1:7" ht="13.2">
      <c r="A205" s="16"/>
      <c r="B205" s="17"/>
      <c r="D205" s="16">
        <f ca="1">IFERROR(__xludf.DUMMYFUNCTION("""COMPUTED_VALUE"""),38)</f>
        <v>38</v>
      </c>
      <c r="E205" s="16" t="str">
        <f ca="1">IFERROR(__xludf.DUMMYFUNCTION("""COMPUTED_VALUE"""),"Bracers of defense")</f>
        <v>Bracers of defense</v>
      </c>
      <c r="F205" s="16" t="str">
        <f ca="1">IFERROR(__xludf.DUMMYFUNCTION("""COMPUTED_VALUE"""),"Magic")</f>
        <v>Magic</v>
      </c>
      <c r="G205" s="58">
        <f ca="1">IFERROR(__xludf.DUMMYFUNCTION("""COMPUTED_VALUE"""),937)</f>
        <v>937</v>
      </c>
    </row>
    <row r="206" spans="1:7" ht="13.2">
      <c r="A206" s="16"/>
      <c r="B206" s="17"/>
      <c r="D206" s="16">
        <f ca="1">IFERROR(__xludf.DUMMYFUNCTION("""COMPUTED_VALUE"""),39)</f>
        <v>39</v>
      </c>
      <c r="E206" s="16" t="str">
        <f ca="1">IFERROR(__xludf.DUMMYFUNCTION("""COMPUTED_VALUE"""),"Brazier of commanding fire elementals")</f>
        <v>Brazier of commanding fire elementals</v>
      </c>
      <c r="F206" s="16" t="str">
        <f ca="1">IFERROR(__xludf.DUMMYFUNCTION("""COMPUTED_VALUE"""),"Magic")</f>
        <v>Magic</v>
      </c>
      <c r="G206" s="58">
        <f ca="1">IFERROR(__xludf.DUMMYFUNCTION("""COMPUTED_VALUE"""),919)</f>
        <v>919</v>
      </c>
    </row>
    <row r="207" spans="1:7" ht="13.2">
      <c r="A207" s="16"/>
      <c r="B207" s="17"/>
      <c r="D207" s="16">
        <f ca="1">IFERROR(__xludf.DUMMYFUNCTION("""COMPUTED_VALUE"""),40)</f>
        <v>40</v>
      </c>
      <c r="E207" s="16" t="str">
        <f ca="1">IFERROR(__xludf.DUMMYFUNCTION("""COMPUTED_VALUE"""),"Brooch of shielding")</f>
        <v>Brooch of shielding</v>
      </c>
      <c r="F207" s="16" t="str">
        <f ca="1">IFERROR(__xludf.DUMMYFUNCTION("""COMPUTED_VALUE"""),"Magic")</f>
        <v>Magic</v>
      </c>
      <c r="G207" s="58">
        <f ca="1">IFERROR(__xludf.DUMMYFUNCTION("""COMPUTED_VALUE"""),378)</f>
        <v>378</v>
      </c>
    </row>
    <row r="208" spans="1:7" ht="13.2">
      <c r="A208" s="16"/>
      <c r="B208" s="17"/>
      <c r="D208" s="16">
        <f ca="1">IFERROR(__xludf.DUMMYFUNCTION("""COMPUTED_VALUE"""),41)</f>
        <v>41</v>
      </c>
      <c r="E208" s="16" t="str">
        <f ca="1">IFERROR(__xludf.DUMMYFUNCTION("""COMPUTED_VALUE"""),"Broom of flying")</f>
        <v>Broom of flying</v>
      </c>
      <c r="F208" s="16" t="str">
        <f ca="1">IFERROR(__xludf.DUMMYFUNCTION("""COMPUTED_VALUE"""),"Magic")</f>
        <v>Magic</v>
      </c>
      <c r="G208" s="58">
        <f ca="1">IFERROR(__xludf.DUMMYFUNCTION("""COMPUTED_VALUE"""),366)</f>
        <v>366</v>
      </c>
    </row>
    <row r="209" spans="1:7" ht="13.2">
      <c r="A209" s="16"/>
      <c r="B209" s="17"/>
      <c r="D209" s="16">
        <f ca="1">IFERROR(__xludf.DUMMYFUNCTION("""COMPUTED_VALUE"""),42)</f>
        <v>42</v>
      </c>
      <c r="E209" s="16" t="str">
        <f ca="1">IFERROR(__xludf.DUMMYFUNCTION("""COMPUTED_VALUE"""),"Candle of invocation")</f>
        <v>Candle of invocation</v>
      </c>
      <c r="F209" s="16" t="str">
        <f ca="1">IFERROR(__xludf.DUMMYFUNCTION("""COMPUTED_VALUE"""),"Magic")</f>
        <v>Magic</v>
      </c>
      <c r="G209" s="58">
        <f ca="1">IFERROR(__xludf.DUMMYFUNCTION("""COMPUTED_VALUE"""),1576)</f>
        <v>1576</v>
      </c>
    </row>
    <row r="210" spans="1:7" ht="13.2">
      <c r="A210" s="16"/>
      <c r="B210" s="17"/>
      <c r="D210" s="16">
        <f ca="1">IFERROR(__xludf.DUMMYFUNCTION("""COMPUTED_VALUE"""),43)</f>
        <v>43</v>
      </c>
      <c r="E210" s="16" t="str">
        <f ca="1">IFERROR(__xludf.DUMMYFUNCTION("""COMPUTED_VALUE"""),"Cap of water breathing")</f>
        <v>Cap of water breathing</v>
      </c>
      <c r="F210" s="16" t="str">
        <f ca="1">IFERROR(__xludf.DUMMYFUNCTION("""COMPUTED_VALUE"""),"Magic")</f>
        <v>Magic</v>
      </c>
      <c r="G210" s="58">
        <f ca="1">IFERROR(__xludf.DUMMYFUNCTION("""COMPUTED_VALUE"""),368)</f>
        <v>368</v>
      </c>
    </row>
    <row r="211" spans="1:7" ht="13.2">
      <c r="A211" s="16"/>
      <c r="B211" s="17"/>
      <c r="D211" s="16">
        <f ca="1">IFERROR(__xludf.DUMMYFUNCTION("""COMPUTED_VALUE"""),44)</f>
        <v>44</v>
      </c>
      <c r="E211" s="16" t="str">
        <f ca="1">IFERROR(__xludf.DUMMYFUNCTION("""COMPUTED_VALUE"""),"Cape of the mountebank")</f>
        <v>Cape of the mountebank</v>
      </c>
      <c r="F211" s="16" t="str">
        <f ca="1">IFERROR(__xludf.DUMMYFUNCTION("""COMPUTED_VALUE"""),"Magic")</f>
        <v>Magic</v>
      </c>
      <c r="G211" s="58">
        <f ca="1">IFERROR(__xludf.DUMMYFUNCTION("""COMPUTED_VALUE"""),940)</f>
        <v>940</v>
      </c>
    </row>
    <row r="212" spans="1:7" ht="13.2">
      <c r="A212" s="16"/>
      <c r="B212" s="17"/>
      <c r="D212" s="16">
        <f ca="1">IFERROR(__xludf.DUMMYFUNCTION("""COMPUTED_VALUE"""),45)</f>
        <v>45</v>
      </c>
      <c r="E212" s="16" t="str">
        <f ca="1">IFERROR(__xludf.DUMMYFUNCTION("""COMPUTED_VALUE"""),"Carpet of flying")</f>
        <v>Carpet of flying</v>
      </c>
      <c r="F212" s="16" t="str">
        <f ca="1">IFERROR(__xludf.DUMMYFUNCTION("""COMPUTED_VALUE"""),"Magic")</f>
        <v>Magic</v>
      </c>
      <c r="G212" s="58">
        <f ca="1">IFERROR(__xludf.DUMMYFUNCTION("""COMPUTED_VALUE"""),1556)</f>
        <v>1556</v>
      </c>
    </row>
    <row r="213" spans="1:7" ht="13.2">
      <c r="A213" s="16"/>
      <c r="B213" s="17"/>
      <c r="D213" s="16">
        <f ca="1">IFERROR(__xludf.DUMMYFUNCTION("""COMPUTED_VALUE"""),46)</f>
        <v>46</v>
      </c>
      <c r="E213" s="16" t="str">
        <f ca="1">IFERROR(__xludf.DUMMYFUNCTION("""COMPUTED_VALUE"""),"Censer of controlling air elementals")</f>
        <v>Censer of controlling air elementals</v>
      </c>
      <c r="F213" s="16" t="str">
        <f ca="1">IFERROR(__xludf.DUMMYFUNCTION("""COMPUTED_VALUE"""),"Magic")</f>
        <v>Magic</v>
      </c>
      <c r="G213" s="58">
        <f ca="1">IFERROR(__xludf.DUMMYFUNCTION("""COMPUTED_VALUE"""),940)</f>
        <v>940</v>
      </c>
    </row>
    <row r="214" spans="1:7" ht="13.2">
      <c r="A214" s="16"/>
      <c r="B214" s="17"/>
      <c r="D214" s="16">
        <f ca="1">IFERROR(__xludf.DUMMYFUNCTION("""COMPUTED_VALUE"""),47)</f>
        <v>47</v>
      </c>
      <c r="E214" s="16" t="str">
        <f ca="1">IFERROR(__xludf.DUMMYFUNCTION("""COMPUTED_VALUE"""),"Chime of opening")</f>
        <v>Chime of opening</v>
      </c>
      <c r="F214" s="16" t="str">
        <f ca="1">IFERROR(__xludf.DUMMYFUNCTION("""COMPUTED_VALUE"""),"Magic")</f>
        <v>Magic</v>
      </c>
      <c r="G214" s="58">
        <f ca="1">IFERROR(__xludf.DUMMYFUNCTION("""COMPUTED_VALUE"""),922)</f>
        <v>922</v>
      </c>
    </row>
    <row r="215" spans="1:7" ht="13.2">
      <c r="A215" s="16"/>
      <c r="B215" s="17"/>
      <c r="D215" s="16">
        <f ca="1">IFERROR(__xludf.DUMMYFUNCTION("""COMPUTED_VALUE"""),48)</f>
        <v>48</v>
      </c>
      <c r="E215" s="16" t="str">
        <f ca="1">IFERROR(__xludf.DUMMYFUNCTION("""COMPUTED_VALUE"""),"Circlet of blasting")</f>
        <v>Circlet of blasting</v>
      </c>
      <c r="F215" s="16" t="str">
        <f ca="1">IFERROR(__xludf.DUMMYFUNCTION("""COMPUTED_VALUE"""),"Magic")</f>
        <v>Magic</v>
      </c>
      <c r="G215" s="58">
        <f ca="1">IFERROR(__xludf.DUMMYFUNCTION("""COMPUTED_VALUE"""),380)</f>
        <v>380</v>
      </c>
    </row>
    <row r="216" spans="1:7" ht="13.2">
      <c r="A216" s="16"/>
      <c r="B216" s="17"/>
      <c r="D216" s="16">
        <f ca="1">IFERROR(__xludf.DUMMYFUNCTION("""COMPUTED_VALUE"""),49)</f>
        <v>49</v>
      </c>
      <c r="E216" s="16" t="str">
        <f ca="1">IFERROR(__xludf.DUMMYFUNCTION("""COMPUTED_VALUE"""),"Cloak of arachnida")</f>
        <v>Cloak of arachnida</v>
      </c>
      <c r="F216" s="16" t="str">
        <f ca="1">IFERROR(__xludf.DUMMYFUNCTION("""COMPUTED_VALUE"""),"Magic")</f>
        <v>Magic</v>
      </c>
      <c r="G216" s="58">
        <f ca="1">IFERROR(__xludf.DUMMYFUNCTION("""COMPUTED_VALUE"""),1560)</f>
        <v>1560</v>
      </c>
    </row>
    <row r="217" spans="1:7" ht="13.2">
      <c r="A217" s="16"/>
      <c r="B217" s="17"/>
      <c r="D217" s="16">
        <f ca="1">IFERROR(__xludf.DUMMYFUNCTION("""COMPUTED_VALUE"""),50)</f>
        <v>50</v>
      </c>
      <c r="E217" s="16" t="str">
        <f ca="1">IFERROR(__xludf.DUMMYFUNCTION("""COMPUTED_VALUE"""),"Cloak of displacement")</f>
        <v>Cloak of displacement</v>
      </c>
      <c r="F217" s="16" t="str">
        <f ca="1">IFERROR(__xludf.DUMMYFUNCTION("""COMPUTED_VALUE"""),"Magic")</f>
        <v>Magic</v>
      </c>
      <c r="G217" s="58">
        <f ca="1">IFERROR(__xludf.DUMMYFUNCTION("""COMPUTED_VALUE"""),943)</f>
        <v>943</v>
      </c>
    </row>
    <row r="218" spans="1:7" ht="13.2">
      <c r="A218" s="16"/>
      <c r="B218" s="17"/>
      <c r="D218" s="16">
        <f ca="1">IFERROR(__xludf.DUMMYFUNCTION("""COMPUTED_VALUE"""),51)</f>
        <v>51</v>
      </c>
      <c r="E218" s="16" t="str">
        <f ca="1">IFERROR(__xludf.DUMMYFUNCTION("""COMPUTED_VALUE"""),"Cloak of elvenkind")</f>
        <v>Cloak of elvenkind</v>
      </c>
      <c r="F218" s="16" t="str">
        <f ca="1">IFERROR(__xludf.DUMMYFUNCTION("""COMPUTED_VALUE"""),"Magic")</f>
        <v>Magic</v>
      </c>
      <c r="G218" s="58">
        <f ca="1">IFERROR(__xludf.DUMMYFUNCTION("""COMPUTED_VALUE"""),370)</f>
        <v>370</v>
      </c>
    </row>
    <row r="219" spans="1:7" ht="13.2">
      <c r="A219" s="16"/>
      <c r="B219" s="17"/>
      <c r="D219" s="16">
        <f ca="1">IFERROR(__xludf.DUMMYFUNCTION("""COMPUTED_VALUE"""),52)</f>
        <v>52</v>
      </c>
      <c r="E219" s="16" t="str">
        <f ca="1">IFERROR(__xludf.DUMMYFUNCTION("""COMPUTED_VALUE"""),"Cloak of invisibility")</f>
        <v>Cloak of invisibility</v>
      </c>
      <c r="F219" s="16" t="str">
        <f ca="1">IFERROR(__xludf.DUMMYFUNCTION("""COMPUTED_VALUE"""),"Magic")</f>
        <v>Magic</v>
      </c>
      <c r="G219" s="58">
        <f ca="1">IFERROR(__xludf.DUMMYFUNCTION("""COMPUTED_VALUE"""),3055)</f>
        <v>3055</v>
      </c>
    </row>
    <row r="220" spans="1:7" ht="13.2">
      <c r="A220" s="16"/>
      <c r="B220" s="17"/>
      <c r="D220" s="16">
        <f ca="1">IFERROR(__xludf.DUMMYFUNCTION("""COMPUTED_VALUE"""),53)</f>
        <v>53</v>
      </c>
      <c r="E220" s="16" t="str">
        <f ca="1">IFERROR(__xludf.DUMMYFUNCTION("""COMPUTED_VALUE"""),"Cloak of protection")</f>
        <v>Cloak of protection</v>
      </c>
      <c r="F220" s="16" t="str">
        <f ca="1">IFERROR(__xludf.DUMMYFUNCTION("""COMPUTED_VALUE"""),"Magic")</f>
        <v>Magic</v>
      </c>
      <c r="G220" s="58">
        <f ca="1">IFERROR(__xludf.DUMMYFUNCTION("""COMPUTED_VALUE"""),370)</f>
        <v>370</v>
      </c>
    </row>
    <row r="221" spans="1:7" ht="13.2">
      <c r="A221" s="16"/>
      <c r="B221" s="17"/>
      <c r="D221" s="16">
        <f ca="1">IFERROR(__xludf.DUMMYFUNCTION("""COMPUTED_VALUE"""),54)</f>
        <v>54</v>
      </c>
      <c r="E221" s="16" t="str">
        <f ca="1">IFERROR(__xludf.DUMMYFUNCTION("""COMPUTED_VALUE"""),"Cloak of the bat")</f>
        <v>Cloak of the bat</v>
      </c>
      <c r="F221" s="16" t="str">
        <f ca="1">IFERROR(__xludf.DUMMYFUNCTION("""COMPUTED_VALUE"""),"Magic")</f>
        <v>Magic</v>
      </c>
      <c r="G221" s="58">
        <f ca="1">IFERROR(__xludf.DUMMYFUNCTION("""COMPUTED_VALUE"""),943)</f>
        <v>943</v>
      </c>
    </row>
    <row r="222" spans="1:7" ht="13.2">
      <c r="A222" s="16"/>
      <c r="B222" s="17"/>
      <c r="D222" s="16">
        <f ca="1">IFERROR(__xludf.DUMMYFUNCTION("""COMPUTED_VALUE"""),55)</f>
        <v>55</v>
      </c>
      <c r="E222" s="16" t="str">
        <f ca="1">IFERROR(__xludf.DUMMYFUNCTION("""COMPUTED_VALUE"""),"Cloak of the manta ray")</f>
        <v>Cloak of the manta ray</v>
      </c>
      <c r="F222" s="16" t="str">
        <f ca="1">IFERROR(__xludf.DUMMYFUNCTION("""COMPUTED_VALUE"""),"Magic")</f>
        <v>Magic</v>
      </c>
      <c r="G222" s="58">
        <f ca="1">IFERROR(__xludf.DUMMYFUNCTION("""COMPUTED_VALUE"""),372)</f>
        <v>372</v>
      </c>
    </row>
    <row r="223" spans="1:7" ht="13.2">
      <c r="A223" s="16"/>
      <c r="B223" s="17"/>
      <c r="D223" s="16">
        <f ca="1">IFERROR(__xludf.DUMMYFUNCTION("""COMPUTED_VALUE"""),56)</f>
        <v>56</v>
      </c>
      <c r="E223" s="16" t="str">
        <f ca="1">IFERROR(__xludf.DUMMYFUNCTION("""COMPUTED_VALUE"""),"Crystal ball")</f>
        <v>Crystal ball</v>
      </c>
      <c r="F223" s="16" t="str">
        <f ca="1">IFERROR(__xludf.DUMMYFUNCTION("""COMPUTED_VALUE"""),"Magic")</f>
        <v>Magic</v>
      </c>
      <c r="G223" s="58">
        <f ca="1">IFERROR(__xludf.DUMMYFUNCTION("""COMPUTED_VALUE"""),1588)</f>
        <v>1588</v>
      </c>
    </row>
    <row r="224" spans="1:7" ht="13.2">
      <c r="A224" s="16"/>
      <c r="B224" s="17"/>
      <c r="D224" s="16">
        <f ca="1">IFERROR(__xludf.DUMMYFUNCTION("""COMPUTED_VALUE"""),57)</f>
        <v>57</v>
      </c>
      <c r="E224" s="16" t="str">
        <f ca="1">IFERROR(__xludf.DUMMYFUNCTION("""COMPUTED_VALUE"""),"Crystal ball")</f>
        <v>Crystal ball</v>
      </c>
      <c r="F224" s="16" t="str">
        <f ca="1">IFERROR(__xludf.DUMMYFUNCTION("""COMPUTED_VALUE"""),"Magic")</f>
        <v>Magic</v>
      </c>
      <c r="G224" s="58">
        <f ca="1">IFERROR(__xludf.DUMMYFUNCTION("""COMPUTED_VALUE"""),3030)</f>
        <v>3030</v>
      </c>
    </row>
    <row r="225" spans="1:7" ht="13.2">
      <c r="A225" s="16"/>
      <c r="B225" s="17"/>
      <c r="D225" s="16">
        <f ca="1">IFERROR(__xludf.DUMMYFUNCTION("""COMPUTED_VALUE"""),58)</f>
        <v>58</v>
      </c>
      <c r="E225" s="16" t="str">
        <f ca="1">IFERROR(__xludf.DUMMYFUNCTION("""COMPUTED_VALUE"""),"Cube of force")</f>
        <v>Cube of force</v>
      </c>
      <c r="F225" s="16" t="str">
        <f ca="1">IFERROR(__xludf.DUMMYFUNCTION("""COMPUTED_VALUE"""),"Magic")</f>
        <v>Magic</v>
      </c>
      <c r="G225" s="58">
        <f ca="1">IFERROR(__xludf.DUMMYFUNCTION("""COMPUTED_VALUE"""),946)</f>
        <v>946</v>
      </c>
    </row>
    <row r="226" spans="1:7" ht="13.2">
      <c r="A226" s="16"/>
      <c r="B226" s="17"/>
      <c r="D226" s="16">
        <f ca="1">IFERROR(__xludf.DUMMYFUNCTION("""COMPUTED_VALUE"""),59)</f>
        <v>59</v>
      </c>
      <c r="E226" s="16" t="str">
        <f ca="1">IFERROR(__xludf.DUMMYFUNCTION("""COMPUTED_VALUE"""),"Cubic gate")</f>
        <v>Cubic gate</v>
      </c>
      <c r="F226" s="16" t="str">
        <f ca="1">IFERROR(__xludf.DUMMYFUNCTION("""COMPUTED_VALUE"""),"Magic")</f>
        <v>Magic</v>
      </c>
      <c r="G226" s="58">
        <f ca="1">IFERROR(__xludf.DUMMYFUNCTION("""COMPUTED_VALUE"""),3030)</f>
        <v>3030</v>
      </c>
    </row>
    <row r="227" spans="1:7" ht="13.2">
      <c r="A227" s="16"/>
      <c r="B227" s="17"/>
      <c r="D227" s="16">
        <f ca="1">IFERROR(__xludf.DUMMYFUNCTION("""COMPUTED_VALUE"""),60)</f>
        <v>60</v>
      </c>
      <c r="E227" s="16" t="str">
        <f ca="1">IFERROR(__xludf.DUMMYFUNCTION("""COMPUTED_VALUE"""),"Daern’s instant fortress")</f>
        <v>Daern’s instant fortress</v>
      </c>
      <c r="F227" s="16" t="str">
        <f ca="1">IFERROR(__xludf.DUMMYFUNCTION("""COMPUTED_VALUE"""),"Magic")</f>
        <v>Magic</v>
      </c>
      <c r="G227" s="58">
        <f ca="1">IFERROR(__xludf.DUMMYFUNCTION("""COMPUTED_VALUE"""),946)</f>
        <v>946</v>
      </c>
    </row>
    <row r="228" spans="1:7" ht="13.2">
      <c r="A228" s="16"/>
      <c r="B228" s="17"/>
      <c r="D228" s="16">
        <f ca="1">IFERROR(__xludf.DUMMYFUNCTION("""COMPUTED_VALUE"""),61)</f>
        <v>61</v>
      </c>
      <c r="E228" s="16" t="str">
        <f ca="1">IFERROR(__xludf.DUMMYFUNCTION("""COMPUTED_VALUE"""),"Dagger of venom")</f>
        <v>Dagger of venom</v>
      </c>
      <c r="F228" s="16" t="str">
        <f ca="1">IFERROR(__xludf.DUMMYFUNCTION("""COMPUTED_VALUE"""),"Magic")</f>
        <v>Magic</v>
      </c>
      <c r="G228" s="58">
        <f ca="1">IFERROR(__xludf.DUMMYFUNCTION("""COMPUTED_VALUE"""),931)</f>
        <v>931</v>
      </c>
    </row>
    <row r="229" spans="1:7" ht="13.2">
      <c r="A229" s="16"/>
      <c r="B229" s="17"/>
      <c r="D229" s="16">
        <f ca="1">IFERROR(__xludf.DUMMYFUNCTION("""COMPUTED_VALUE"""),62)</f>
        <v>62</v>
      </c>
      <c r="E229" s="16" t="str">
        <f ca="1">IFERROR(__xludf.DUMMYFUNCTION("""COMPUTED_VALUE"""),"Dancing sword")</f>
        <v>Dancing sword</v>
      </c>
      <c r="F229" s="16" t="str">
        <f ca="1">IFERROR(__xludf.DUMMYFUNCTION("""COMPUTED_VALUE"""),"Magic")</f>
        <v>Magic</v>
      </c>
      <c r="G229" s="58">
        <f ca="1">IFERROR(__xludf.DUMMYFUNCTION("""COMPUTED_VALUE"""),1592)</f>
        <v>1592</v>
      </c>
    </row>
    <row r="230" spans="1:7" ht="13.2">
      <c r="A230" s="16"/>
      <c r="B230" s="17"/>
      <c r="D230" s="16">
        <f ca="1">IFERROR(__xludf.DUMMYFUNCTION("""COMPUTED_VALUE"""),63)</f>
        <v>63</v>
      </c>
      <c r="E230" s="16" t="str">
        <f ca="1">IFERROR(__xludf.DUMMYFUNCTION("""COMPUTED_VALUE"""),"Decanter of endless water")</f>
        <v>Decanter of endless water</v>
      </c>
      <c r="F230" s="16" t="str">
        <f ca="1">IFERROR(__xludf.DUMMYFUNCTION("""COMPUTED_VALUE"""),"Magic")</f>
        <v>Magic</v>
      </c>
      <c r="G230" s="58">
        <f ca="1">IFERROR(__xludf.DUMMYFUNCTION("""COMPUTED_VALUE"""),374)</f>
        <v>374</v>
      </c>
    </row>
    <row r="231" spans="1:7" ht="13.2">
      <c r="A231" s="16"/>
      <c r="B231" s="17"/>
      <c r="D231" s="16">
        <f ca="1">IFERROR(__xludf.DUMMYFUNCTION("""COMPUTED_VALUE"""),64)</f>
        <v>64</v>
      </c>
      <c r="E231" s="16" t="str">
        <f ca="1">IFERROR(__xludf.DUMMYFUNCTION("""COMPUTED_VALUE"""),"Deck of illusions")</f>
        <v>Deck of illusions</v>
      </c>
      <c r="F231" s="16" t="str">
        <f ca="1">IFERROR(__xludf.DUMMYFUNCTION("""COMPUTED_VALUE"""),"Magic")</f>
        <v>Magic</v>
      </c>
      <c r="G231" s="58">
        <f ca="1">IFERROR(__xludf.DUMMYFUNCTION("""COMPUTED_VALUE"""),386)</f>
        <v>386</v>
      </c>
    </row>
    <row r="232" spans="1:7" ht="13.2">
      <c r="A232" s="16"/>
      <c r="B232" s="17"/>
      <c r="D232" s="16">
        <f ca="1">IFERROR(__xludf.DUMMYFUNCTION("""COMPUTED_VALUE"""),65)</f>
        <v>65</v>
      </c>
      <c r="E232" s="16" t="str">
        <f ca="1">IFERROR(__xludf.DUMMYFUNCTION("""COMPUTED_VALUE"""),"Deck of many things")</f>
        <v>Deck of many things</v>
      </c>
      <c r="F232" s="16" t="str">
        <f ca="1">IFERROR(__xludf.DUMMYFUNCTION("""COMPUTED_VALUE"""),"Magic")</f>
        <v>Magic</v>
      </c>
      <c r="G232" s="58">
        <f ca="1">IFERROR(__xludf.DUMMYFUNCTION("""COMPUTED_VALUE"""),3035)</f>
        <v>3035</v>
      </c>
    </row>
    <row r="233" spans="1:7" ht="13.2">
      <c r="A233" s="16"/>
      <c r="B233" s="17"/>
      <c r="D233" s="16">
        <f ca="1">IFERROR(__xludf.DUMMYFUNCTION("""COMPUTED_VALUE"""),66)</f>
        <v>66</v>
      </c>
      <c r="E233" s="16" t="str">
        <f ca="1">IFERROR(__xludf.DUMMYFUNCTION("""COMPUTED_VALUE"""),"Defender")</f>
        <v>Defender</v>
      </c>
      <c r="F233" s="16" t="str">
        <f ca="1">IFERROR(__xludf.DUMMYFUNCTION("""COMPUTED_VALUE"""),"Magic")</f>
        <v>Magic</v>
      </c>
      <c r="G233" s="58">
        <f ca="1">IFERROR(__xludf.DUMMYFUNCTION("""COMPUTED_VALUE"""),3065)</f>
        <v>3065</v>
      </c>
    </row>
    <row r="234" spans="1:7" ht="13.2">
      <c r="A234" s="16"/>
      <c r="B234" s="17"/>
      <c r="D234" s="16">
        <f ca="1">IFERROR(__xludf.DUMMYFUNCTION("""COMPUTED_VALUE"""),67)</f>
        <v>67</v>
      </c>
      <c r="E234" s="16" t="str">
        <f ca="1">IFERROR(__xludf.DUMMYFUNCTION("""COMPUTED_VALUE"""),"Demon armor")</f>
        <v>Demon armor</v>
      </c>
      <c r="F234" s="16" t="str">
        <f ca="1">IFERROR(__xludf.DUMMYFUNCTION("""COMPUTED_VALUE"""),"Magic")</f>
        <v>Magic</v>
      </c>
      <c r="G234" s="58">
        <f ca="1">IFERROR(__xludf.DUMMYFUNCTION("""COMPUTED_VALUE"""),1572)</f>
        <v>1572</v>
      </c>
    </row>
    <row r="235" spans="1:7" ht="13.2">
      <c r="A235" s="16"/>
      <c r="B235" s="17"/>
      <c r="D235" s="16">
        <f ca="1">IFERROR(__xludf.DUMMYFUNCTION("""COMPUTED_VALUE"""),68)</f>
        <v>68</v>
      </c>
      <c r="E235" s="16" t="str">
        <f ca="1">IFERROR(__xludf.DUMMYFUNCTION("""COMPUTED_VALUE"""),"Dimensional shackles")</f>
        <v>Dimensional shackles</v>
      </c>
      <c r="F235" s="16" t="str">
        <f ca="1">IFERROR(__xludf.DUMMYFUNCTION("""COMPUTED_VALUE"""),"Magic")</f>
        <v>Magic</v>
      </c>
      <c r="G235" s="58">
        <f ca="1">IFERROR(__xludf.DUMMYFUNCTION("""COMPUTED_VALUE"""),952)</f>
        <v>952</v>
      </c>
    </row>
    <row r="236" spans="1:7" ht="13.2">
      <c r="A236" s="16"/>
      <c r="B236" s="17"/>
      <c r="D236" s="16">
        <f ca="1">IFERROR(__xludf.DUMMYFUNCTION("""COMPUTED_VALUE"""),69)</f>
        <v>69</v>
      </c>
      <c r="E236" s="16" t="str">
        <f ca="1">IFERROR(__xludf.DUMMYFUNCTION("""COMPUTED_VALUE"""),"Dragon scale mail")</f>
        <v>Dragon scale mail</v>
      </c>
      <c r="F236" s="16" t="str">
        <f ca="1">IFERROR(__xludf.DUMMYFUNCTION("""COMPUTED_VALUE"""),"Magic")</f>
        <v>Magic</v>
      </c>
      <c r="G236" s="58">
        <f ca="1">IFERROR(__xludf.DUMMYFUNCTION("""COMPUTED_VALUE"""),1572)</f>
        <v>1572</v>
      </c>
    </row>
    <row r="237" spans="1:7" ht="13.2">
      <c r="A237" s="16"/>
      <c r="B237" s="17"/>
      <c r="D237" s="16">
        <f ca="1">IFERROR(__xludf.DUMMYFUNCTION("""COMPUTED_VALUE"""),70)</f>
        <v>70</v>
      </c>
      <c r="E237" s="16" t="str">
        <f ca="1">IFERROR(__xludf.DUMMYFUNCTION("""COMPUTED_VALUE"""),"Dragon slayer")</f>
        <v>Dragon slayer</v>
      </c>
      <c r="F237" s="16" t="str">
        <f ca="1">IFERROR(__xludf.DUMMYFUNCTION("""COMPUTED_VALUE"""),"Magic")</f>
        <v>Magic</v>
      </c>
      <c r="G237" s="58">
        <f ca="1">IFERROR(__xludf.DUMMYFUNCTION("""COMPUTED_VALUE"""),952)</f>
        <v>952</v>
      </c>
    </row>
    <row r="238" spans="1:7" ht="13.2">
      <c r="A238" s="16"/>
      <c r="B238" s="17"/>
      <c r="D238" s="16">
        <f ca="1">IFERROR(__xludf.DUMMYFUNCTION("""COMPUTED_VALUE"""),71)</f>
        <v>71</v>
      </c>
      <c r="E238" s="16" t="str">
        <f ca="1">IFERROR(__xludf.DUMMYFUNCTION("""COMPUTED_VALUE"""),"Driftglobe")</f>
        <v>Driftglobe</v>
      </c>
      <c r="F238" s="16" t="str">
        <f ca="1">IFERROR(__xludf.DUMMYFUNCTION("""COMPUTED_VALUE"""),"Magic")</f>
        <v>Magic</v>
      </c>
      <c r="G238" s="58">
        <f ca="1">IFERROR(__xludf.DUMMYFUNCTION("""COMPUTED_VALUE"""),376)</f>
        <v>376</v>
      </c>
    </row>
    <row r="239" spans="1:7" ht="13.2">
      <c r="A239" s="16"/>
      <c r="B239" s="17"/>
      <c r="D239" s="16">
        <f ca="1">IFERROR(__xludf.DUMMYFUNCTION("""COMPUTED_VALUE"""),72)</f>
        <v>72</v>
      </c>
      <c r="E239" s="16" t="str">
        <f ca="1">IFERROR(__xludf.DUMMYFUNCTION("""COMPUTED_VALUE"""),"Dust of disappearance")</f>
        <v>Dust of disappearance</v>
      </c>
      <c r="F239" s="16" t="str">
        <f ca="1">IFERROR(__xludf.DUMMYFUNCTION("""COMPUTED_VALUE"""),"Magic")</f>
        <v>Magic</v>
      </c>
      <c r="G239" s="58">
        <f ca="1">IFERROR(__xludf.DUMMYFUNCTION("""COMPUTED_VALUE"""),388)</f>
        <v>388</v>
      </c>
    </row>
    <row r="240" spans="1:7" ht="13.2">
      <c r="A240" s="16"/>
      <c r="B240" s="17"/>
      <c r="D240" s="16">
        <f ca="1">IFERROR(__xludf.DUMMYFUNCTION("""COMPUTED_VALUE"""),73)</f>
        <v>73</v>
      </c>
      <c r="E240" s="16" t="str">
        <f ca="1">IFERROR(__xludf.DUMMYFUNCTION("""COMPUTED_VALUE"""),"Dust of dryness")</f>
        <v>Dust of dryness</v>
      </c>
      <c r="F240" s="16" t="str">
        <f ca="1">IFERROR(__xludf.DUMMYFUNCTION("""COMPUTED_VALUE"""),"Magic")</f>
        <v>Magic</v>
      </c>
      <c r="G240" s="58">
        <f ca="1">IFERROR(__xludf.DUMMYFUNCTION("""COMPUTED_VALUE"""),378)</f>
        <v>378</v>
      </c>
    </row>
    <row r="241" spans="1:7" ht="13.2">
      <c r="A241" s="16"/>
      <c r="B241" s="17"/>
      <c r="D241" s="16">
        <f ca="1">IFERROR(__xludf.DUMMYFUNCTION("""COMPUTED_VALUE"""),74)</f>
        <v>74</v>
      </c>
      <c r="E241" s="16" t="str">
        <f ca="1">IFERROR(__xludf.DUMMYFUNCTION("""COMPUTED_VALUE"""),"Dust of sneezing and choking")</f>
        <v>Dust of sneezing and choking</v>
      </c>
      <c r="F241" s="16" t="str">
        <f ca="1">IFERROR(__xludf.DUMMYFUNCTION("""COMPUTED_VALUE"""),"Magic")</f>
        <v>Magic</v>
      </c>
      <c r="G241" s="58">
        <f ca="1">IFERROR(__xludf.DUMMYFUNCTION("""COMPUTED_VALUE"""),366)</f>
        <v>366</v>
      </c>
    </row>
    <row r="242" spans="1:7" ht="13.2">
      <c r="A242" s="16"/>
      <c r="B242" s="17"/>
      <c r="D242" s="16">
        <f ca="1">IFERROR(__xludf.DUMMYFUNCTION("""COMPUTED_VALUE"""),75)</f>
        <v>75</v>
      </c>
      <c r="E242" s="16" t="str">
        <f ca="1">IFERROR(__xludf.DUMMYFUNCTION("""COMPUTED_VALUE"""),"Dwarven plate")</f>
        <v>Dwarven plate</v>
      </c>
      <c r="F242" s="16" t="str">
        <f ca="1">IFERROR(__xludf.DUMMYFUNCTION("""COMPUTED_VALUE"""),"Magic")</f>
        <v>Magic</v>
      </c>
      <c r="G242" s="58">
        <f ca="1">IFERROR(__xludf.DUMMYFUNCTION("""COMPUTED_VALUE"""),1576)</f>
        <v>1576</v>
      </c>
    </row>
    <row r="243" spans="1:7" ht="13.2">
      <c r="A243" s="16"/>
      <c r="B243" s="17"/>
      <c r="D243" s="16">
        <f ca="1">IFERROR(__xludf.DUMMYFUNCTION("""COMPUTED_VALUE"""),76)</f>
        <v>76</v>
      </c>
      <c r="E243" s="16" t="str">
        <f ca="1">IFERROR(__xludf.DUMMYFUNCTION("""COMPUTED_VALUE"""),"Dwarven thrower")</f>
        <v>Dwarven thrower</v>
      </c>
      <c r="F243" s="16" t="str">
        <f ca="1">IFERROR(__xludf.DUMMYFUNCTION("""COMPUTED_VALUE"""),"Magic")</f>
        <v>Magic</v>
      </c>
      <c r="G243" s="58">
        <f ca="1">IFERROR(__xludf.DUMMYFUNCTION("""COMPUTED_VALUE"""),1552)</f>
        <v>1552</v>
      </c>
    </row>
    <row r="244" spans="1:7" ht="13.2">
      <c r="A244" s="16"/>
      <c r="B244" s="17"/>
      <c r="D244" s="16">
        <f ca="1">IFERROR(__xludf.DUMMYFUNCTION("""COMPUTED_VALUE"""),77)</f>
        <v>77</v>
      </c>
      <c r="E244" s="16" t="str">
        <f ca="1">IFERROR(__xludf.DUMMYFUNCTION("""COMPUTED_VALUE"""),"Efreeti bottle")</f>
        <v>Efreeti bottle</v>
      </c>
      <c r="F244" s="16" t="str">
        <f ca="1">IFERROR(__xludf.DUMMYFUNCTION("""COMPUTED_VALUE"""),"Magic")</f>
        <v>Magic</v>
      </c>
      <c r="G244" s="58">
        <f ca="1">IFERROR(__xludf.DUMMYFUNCTION("""COMPUTED_VALUE"""),1576)</f>
        <v>1576</v>
      </c>
    </row>
    <row r="245" spans="1:7" ht="13.2">
      <c r="A245" s="16"/>
      <c r="B245" s="17"/>
      <c r="D245" s="16">
        <f ca="1">IFERROR(__xludf.DUMMYFUNCTION("""COMPUTED_VALUE"""),78)</f>
        <v>78</v>
      </c>
      <c r="E245" s="16" t="str">
        <f ca="1">IFERROR(__xludf.DUMMYFUNCTION("""COMPUTED_VALUE"""),"Efreeti chain")</f>
        <v>Efreeti chain</v>
      </c>
      <c r="F245" s="16" t="str">
        <f ca="1">IFERROR(__xludf.DUMMYFUNCTION("""COMPUTED_VALUE"""),"Magic")</f>
        <v>Magic</v>
      </c>
      <c r="G245" s="58">
        <f ca="1">IFERROR(__xludf.DUMMYFUNCTION("""COMPUTED_VALUE"""),3015)</f>
        <v>3015</v>
      </c>
    </row>
    <row r="246" spans="1:7" ht="13.2">
      <c r="A246" s="16"/>
      <c r="B246" s="17"/>
      <c r="D246" s="16">
        <f ca="1">IFERROR(__xludf.DUMMYFUNCTION("""COMPUTED_VALUE"""),79)</f>
        <v>79</v>
      </c>
      <c r="E246" s="16" t="str">
        <f ca="1">IFERROR(__xludf.DUMMYFUNCTION("""COMPUTED_VALUE"""),"Elemental gem")</f>
        <v>Elemental gem</v>
      </c>
      <c r="F246" s="16" t="str">
        <f ca="1">IFERROR(__xludf.DUMMYFUNCTION("""COMPUTED_VALUE"""),"Magic")</f>
        <v>Magic</v>
      </c>
      <c r="G246" s="58">
        <f ca="1">IFERROR(__xludf.DUMMYFUNCTION("""COMPUTED_VALUE"""),380)</f>
        <v>380</v>
      </c>
    </row>
    <row r="247" spans="1:7" ht="13.2">
      <c r="A247" s="16"/>
      <c r="B247" s="17"/>
      <c r="D247" s="16">
        <f ca="1">IFERROR(__xludf.DUMMYFUNCTION("""COMPUTED_VALUE"""),80)</f>
        <v>80</v>
      </c>
      <c r="E247" s="16" t="str">
        <f ca="1">IFERROR(__xludf.DUMMYFUNCTION("""COMPUTED_VALUE"""),"Elixir of health")</f>
        <v>Elixir of health</v>
      </c>
      <c r="F247" s="16" t="str">
        <f ca="1">IFERROR(__xludf.DUMMYFUNCTION("""COMPUTED_VALUE"""),"Magic")</f>
        <v>Magic</v>
      </c>
      <c r="G247" s="58">
        <f ca="1">IFERROR(__xludf.DUMMYFUNCTION("""COMPUTED_VALUE"""),922)</f>
        <v>922</v>
      </c>
    </row>
    <row r="248" spans="1:7" ht="13.2">
      <c r="A248" s="16"/>
      <c r="B248" s="17"/>
      <c r="D248" s="16">
        <f ca="1">IFERROR(__xludf.DUMMYFUNCTION("""COMPUTED_VALUE"""),81)</f>
        <v>81</v>
      </c>
      <c r="E248" s="16" t="str">
        <f ca="1">IFERROR(__xludf.DUMMYFUNCTION("""COMPUTED_VALUE"""),"Elven chain")</f>
        <v>Elven chain</v>
      </c>
      <c r="F248" s="16" t="str">
        <f ca="1">IFERROR(__xludf.DUMMYFUNCTION("""COMPUTED_VALUE"""),"Magic")</f>
        <v>Magic</v>
      </c>
      <c r="G248" s="58">
        <f ca="1">IFERROR(__xludf.DUMMYFUNCTION("""COMPUTED_VALUE"""),940)</f>
        <v>940</v>
      </c>
    </row>
    <row r="249" spans="1:7" ht="13.2">
      <c r="A249" s="16"/>
      <c r="B249" s="17"/>
      <c r="D249" s="16">
        <f ca="1">IFERROR(__xludf.DUMMYFUNCTION("""COMPUTED_VALUE"""),82)</f>
        <v>82</v>
      </c>
      <c r="E249" s="16" t="str">
        <f ca="1">IFERROR(__xludf.DUMMYFUNCTION("""COMPUTED_VALUE"""),"Eversmoking bottle")</f>
        <v>Eversmoking bottle</v>
      </c>
      <c r="F249" s="16" t="str">
        <f ca="1">IFERROR(__xludf.DUMMYFUNCTION("""COMPUTED_VALUE"""),"Magic")</f>
        <v>Magic</v>
      </c>
      <c r="G249" s="58">
        <f ca="1">IFERROR(__xludf.DUMMYFUNCTION("""COMPUTED_VALUE"""),368)</f>
        <v>368</v>
      </c>
    </row>
    <row r="250" spans="1:7" ht="13.2">
      <c r="A250" s="16"/>
      <c r="B250" s="17"/>
      <c r="D250" s="16">
        <f ca="1">IFERROR(__xludf.DUMMYFUNCTION("""COMPUTED_VALUE"""),83)</f>
        <v>83</v>
      </c>
      <c r="E250" s="16" t="str">
        <f ca="1">IFERROR(__xludf.DUMMYFUNCTION("""COMPUTED_VALUE"""),"Eyes of charming")</f>
        <v>Eyes of charming</v>
      </c>
      <c r="F250" s="16" t="str">
        <f ca="1">IFERROR(__xludf.DUMMYFUNCTION("""COMPUTED_VALUE"""),"Magic")</f>
        <v>Magic</v>
      </c>
      <c r="G250" s="58">
        <f ca="1">IFERROR(__xludf.DUMMYFUNCTION("""COMPUTED_VALUE"""),380)</f>
        <v>380</v>
      </c>
    </row>
    <row r="251" spans="1:7" ht="13.2">
      <c r="A251" s="16"/>
      <c r="B251" s="17"/>
      <c r="D251" s="16">
        <f ca="1">IFERROR(__xludf.DUMMYFUNCTION("""COMPUTED_VALUE"""),84)</f>
        <v>84</v>
      </c>
      <c r="E251" s="16" t="str">
        <f ca="1">IFERROR(__xludf.DUMMYFUNCTION("""COMPUTED_VALUE"""),"Eyes of minute seeing")</f>
        <v>Eyes of minute seeing</v>
      </c>
      <c r="F251" s="16" t="str">
        <f ca="1">IFERROR(__xludf.DUMMYFUNCTION("""COMPUTED_VALUE"""),"Magic")</f>
        <v>Magic</v>
      </c>
      <c r="G251" s="58">
        <f ca="1">IFERROR(__xludf.DUMMYFUNCTION("""COMPUTED_VALUE"""),368)</f>
        <v>368</v>
      </c>
    </row>
    <row r="252" spans="1:7" ht="13.2">
      <c r="A252" s="16"/>
      <c r="B252" s="17"/>
      <c r="D252" s="16">
        <f ca="1">IFERROR(__xludf.DUMMYFUNCTION("""COMPUTED_VALUE"""),85)</f>
        <v>85</v>
      </c>
      <c r="E252" s="16" t="str">
        <f ca="1">IFERROR(__xludf.DUMMYFUNCTION("""COMPUTED_VALUE"""),"Eyes of the eagle")</f>
        <v>Eyes of the eagle</v>
      </c>
      <c r="F252" s="16" t="str">
        <f ca="1">IFERROR(__xludf.DUMMYFUNCTION("""COMPUTED_VALUE"""),"Magic")</f>
        <v>Magic</v>
      </c>
      <c r="G252" s="58">
        <f ca="1">IFERROR(__xludf.DUMMYFUNCTION("""COMPUTED_VALUE"""),382)</f>
        <v>382</v>
      </c>
    </row>
    <row r="253" spans="1:7" ht="13.2">
      <c r="A253" s="16"/>
      <c r="B253" s="17"/>
      <c r="D253" s="16">
        <f ca="1">IFERROR(__xludf.DUMMYFUNCTION("""COMPUTED_VALUE"""),86)</f>
        <v>86</v>
      </c>
      <c r="E253" s="16" t="str">
        <f ca="1">IFERROR(__xludf.DUMMYFUNCTION("""COMPUTED_VALUE"""),"Figurine of wondrous power (bronze griffon)")</f>
        <v>Figurine of wondrous power (bronze griffon)</v>
      </c>
      <c r="F253" s="16" t="str">
        <f ca="1">IFERROR(__xludf.DUMMYFUNCTION("""COMPUTED_VALUE"""),"Magic")</f>
        <v>Magic</v>
      </c>
      <c r="G253" s="58">
        <f ca="1">IFERROR(__xludf.DUMMYFUNCTION("""COMPUTED_VALUE"""),925)</f>
        <v>925</v>
      </c>
    </row>
    <row r="254" spans="1:7" ht="13.2">
      <c r="A254" s="16"/>
      <c r="B254" s="17"/>
      <c r="D254" s="16">
        <f ca="1">IFERROR(__xludf.DUMMYFUNCTION("""COMPUTED_VALUE"""),87)</f>
        <v>87</v>
      </c>
      <c r="E254" s="16" t="str">
        <f ca="1">IFERROR(__xludf.DUMMYFUNCTION("""COMPUTED_VALUE"""),"Figurine of wondrous power (ebony fly)")</f>
        <v>Figurine of wondrous power (ebony fly)</v>
      </c>
      <c r="F254" s="16" t="str">
        <f ca="1">IFERROR(__xludf.DUMMYFUNCTION("""COMPUTED_VALUE"""),"Magic")</f>
        <v>Magic</v>
      </c>
      <c r="G254" s="58">
        <f ca="1">IFERROR(__xludf.DUMMYFUNCTION("""COMPUTED_VALUE"""),943)</f>
        <v>943</v>
      </c>
    </row>
    <row r="255" spans="1:7" ht="13.2">
      <c r="A255" s="16"/>
      <c r="B255" s="17"/>
      <c r="D255" s="16">
        <f ca="1">IFERROR(__xludf.DUMMYFUNCTION("""COMPUTED_VALUE"""),88)</f>
        <v>88</v>
      </c>
      <c r="E255" s="16" t="str">
        <f ca="1">IFERROR(__xludf.DUMMYFUNCTION("""COMPUTED_VALUE"""),"Figurine of wondrous power (golden lions)")</f>
        <v>Figurine of wondrous power (golden lions)</v>
      </c>
      <c r="F255" s="16" t="str">
        <f ca="1">IFERROR(__xludf.DUMMYFUNCTION("""COMPUTED_VALUE"""),"Magic")</f>
        <v>Magic</v>
      </c>
      <c r="G255" s="58">
        <f ca="1">IFERROR(__xludf.DUMMYFUNCTION("""COMPUTED_VALUE"""),925)</f>
        <v>925</v>
      </c>
    </row>
    <row r="256" spans="1:7" ht="13.2">
      <c r="A256" s="16"/>
      <c r="B256" s="17"/>
      <c r="D256" s="16">
        <f ca="1">IFERROR(__xludf.DUMMYFUNCTION("""COMPUTED_VALUE"""),89)</f>
        <v>89</v>
      </c>
      <c r="E256" s="16" t="str">
        <f ca="1">IFERROR(__xludf.DUMMYFUNCTION("""COMPUTED_VALUE"""),"Figurine of wondrous power (ivory goats)")</f>
        <v>Figurine of wondrous power (ivory goats)</v>
      </c>
      <c r="F256" s="16" t="str">
        <f ca="1">IFERROR(__xludf.DUMMYFUNCTION("""COMPUTED_VALUE"""),"Magic")</f>
        <v>Magic</v>
      </c>
      <c r="G256" s="58">
        <f ca="1">IFERROR(__xludf.DUMMYFUNCTION("""COMPUTED_VALUE"""),943)</f>
        <v>943</v>
      </c>
    </row>
    <row r="257" spans="1:7" ht="13.2">
      <c r="A257" s="16"/>
      <c r="B257" s="17"/>
      <c r="D257" s="16">
        <f ca="1">IFERROR(__xludf.DUMMYFUNCTION("""COMPUTED_VALUE"""),90)</f>
        <v>90</v>
      </c>
      <c r="E257" s="16" t="str">
        <f ca="1">IFERROR(__xludf.DUMMYFUNCTION("""COMPUTED_VALUE"""),"Figurine of wondrous power (marble elephant)")</f>
        <v>Figurine of wondrous power (marble elephant)</v>
      </c>
      <c r="F257" s="16" t="str">
        <f ca="1">IFERROR(__xludf.DUMMYFUNCTION("""COMPUTED_VALUE"""),"Magic")</f>
        <v>Magic</v>
      </c>
      <c r="G257" s="58">
        <f ca="1">IFERROR(__xludf.DUMMYFUNCTION("""COMPUTED_VALUE"""),925)</f>
        <v>925</v>
      </c>
    </row>
    <row r="258" spans="1:7" ht="13.2">
      <c r="A258" s="16"/>
      <c r="B258" s="17"/>
      <c r="D258" s="16">
        <f ca="1">IFERROR(__xludf.DUMMYFUNCTION("""COMPUTED_VALUE"""),91)</f>
        <v>91</v>
      </c>
      <c r="E258" s="16" t="str">
        <f ca="1">IFERROR(__xludf.DUMMYFUNCTION("""COMPUTED_VALUE"""),"Figurine of wondrous power (obsidian steed)")</f>
        <v>Figurine of wondrous power (obsidian steed)</v>
      </c>
      <c r="F258" s="16" t="str">
        <f ca="1">IFERROR(__xludf.DUMMYFUNCTION("""COMPUTED_VALUE"""),"Magic")</f>
        <v>Magic</v>
      </c>
      <c r="G258" s="58">
        <f ca="1">IFERROR(__xludf.DUMMYFUNCTION("""COMPUTED_VALUE"""),1588)</f>
        <v>1588</v>
      </c>
    </row>
    <row r="259" spans="1:7" ht="13.2">
      <c r="A259" s="16"/>
      <c r="B259" s="17"/>
      <c r="D259" s="16">
        <f ca="1">IFERROR(__xludf.DUMMYFUNCTION("""COMPUTED_VALUE"""),92)</f>
        <v>92</v>
      </c>
      <c r="E259" s="16" t="str">
        <f ca="1">IFERROR(__xludf.DUMMYFUNCTION("""COMPUTED_VALUE"""),"Figurine of wondrous power (onyx dog)")</f>
        <v>Figurine of wondrous power (onyx dog)</v>
      </c>
      <c r="F259" s="16" t="str">
        <f ca="1">IFERROR(__xludf.DUMMYFUNCTION("""COMPUTED_VALUE"""),"Magic")</f>
        <v>Magic</v>
      </c>
      <c r="G259" s="58">
        <f ca="1">IFERROR(__xludf.DUMMYFUNCTION("""COMPUTED_VALUE"""),928)</f>
        <v>928</v>
      </c>
    </row>
    <row r="260" spans="1:7" ht="13.2">
      <c r="A260" s="16"/>
      <c r="B260" s="17"/>
      <c r="D260" s="16">
        <f ca="1">IFERROR(__xludf.DUMMYFUNCTION("""COMPUTED_VALUE"""),93)</f>
        <v>93</v>
      </c>
      <c r="E260" s="16" t="str">
        <f ca="1">IFERROR(__xludf.DUMMYFUNCTION("""COMPUTED_VALUE"""),"Figurine of wondrous power (serpentine owl)")</f>
        <v>Figurine of wondrous power (serpentine owl)</v>
      </c>
      <c r="F260" s="16" t="str">
        <f ca="1">IFERROR(__xludf.DUMMYFUNCTION("""COMPUTED_VALUE"""),"Magic")</f>
        <v>Magic</v>
      </c>
      <c r="G260" s="58">
        <f ca="1">IFERROR(__xludf.DUMMYFUNCTION("""COMPUTED_VALUE"""),946)</f>
        <v>946</v>
      </c>
    </row>
    <row r="261" spans="1:7" ht="13.2">
      <c r="A261" s="16"/>
      <c r="B261" s="17"/>
      <c r="D261" s="16">
        <f ca="1">IFERROR(__xludf.DUMMYFUNCTION("""COMPUTED_VALUE"""),94)</f>
        <v>94</v>
      </c>
      <c r="E261" s="16" t="str">
        <f ca="1">IFERROR(__xludf.DUMMYFUNCTION("""COMPUTED_VALUE"""),"Figurine of wondrous power (silver raven)")</f>
        <v>Figurine of wondrous power (silver raven)</v>
      </c>
      <c r="F261" s="16" t="str">
        <f ca="1">IFERROR(__xludf.DUMMYFUNCTION("""COMPUTED_VALUE"""),"Magic")</f>
        <v>Magic</v>
      </c>
      <c r="G261" s="58">
        <f ca="1">IFERROR(__xludf.DUMMYFUNCTION("""COMPUTED_VALUE"""),372)</f>
        <v>372</v>
      </c>
    </row>
    <row r="262" spans="1:7" ht="13.2">
      <c r="A262" s="16"/>
      <c r="B262" s="17"/>
      <c r="D262" s="16">
        <f ca="1">IFERROR(__xludf.DUMMYFUNCTION("""COMPUTED_VALUE"""),95)</f>
        <v>95</v>
      </c>
      <c r="E262" s="16" t="str">
        <f ca="1">IFERROR(__xludf.DUMMYFUNCTION("""COMPUTED_VALUE"""),"Flame tongue")</f>
        <v>Flame tongue</v>
      </c>
      <c r="F262" s="16" t="str">
        <f ca="1">IFERROR(__xludf.DUMMYFUNCTION("""COMPUTED_VALUE"""),"Magic")</f>
        <v>Magic</v>
      </c>
      <c r="G262" s="58">
        <f ca="1">IFERROR(__xludf.DUMMYFUNCTION("""COMPUTED_VALUE"""),946)</f>
        <v>946</v>
      </c>
    </row>
    <row r="263" spans="1:7" ht="13.2">
      <c r="A263" s="16"/>
      <c r="B263" s="17"/>
      <c r="D263" s="16">
        <f ca="1">IFERROR(__xludf.DUMMYFUNCTION("""COMPUTED_VALUE"""),96)</f>
        <v>96</v>
      </c>
      <c r="E263" s="16" t="str">
        <f ca="1">IFERROR(__xludf.DUMMYFUNCTION("""COMPUTED_VALUE"""),"Folding boat")</f>
        <v>Folding boat</v>
      </c>
      <c r="F263" s="16" t="str">
        <f ca="1">IFERROR(__xludf.DUMMYFUNCTION("""COMPUTED_VALUE"""),"Magic")</f>
        <v>Magic</v>
      </c>
      <c r="G263" s="58">
        <f ca="1">IFERROR(__xludf.DUMMYFUNCTION("""COMPUTED_VALUE"""),928)</f>
        <v>928</v>
      </c>
    </row>
    <row r="264" spans="1:7" ht="13.2">
      <c r="A264" s="16"/>
      <c r="B264" s="17"/>
      <c r="D264" s="16">
        <f ca="1">IFERROR(__xludf.DUMMYFUNCTION("""COMPUTED_VALUE"""),97)</f>
        <v>97</v>
      </c>
      <c r="E264" s="16" t="str">
        <f ca="1">IFERROR(__xludf.DUMMYFUNCTION("""COMPUTED_VALUE"""),"Frost brand")</f>
        <v>Frost brand</v>
      </c>
      <c r="F264" s="16" t="str">
        <f ca="1">IFERROR(__xludf.DUMMYFUNCTION("""COMPUTED_VALUE"""),"Magic")</f>
        <v>Magic</v>
      </c>
      <c r="G264" s="58">
        <f ca="1">IFERROR(__xludf.DUMMYFUNCTION("""COMPUTED_VALUE"""),1592)</f>
        <v>1592</v>
      </c>
    </row>
    <row r="265" spans="1:7" ht="13.2">
      <c r="A265" s="16"/>
      <c r="B265" s="17"/>
      <c r="D265" s="16">
        <f ca="1">IFERROR(__xludf.DUMMYFUNCTION("""COMPUTED_VALUE"""),98)</f>
        <v>98</v>
      </c>
      <c r="E265" s="16" t="str">
        <f ca="1">IFERROR(__xludf.DUMMYFUNCTION("""COMPUTED_VALUE"""),"Gauntlets of ogre power")</f>
        <v>Gauntlets of ogre power</v>
      </c>
      <c r="F265" s="16" t="str">
        <f ca="1">IFERROR(__xludf.DUMMYFUNCTION("""COMPUTED_VALUE"""),"Magic")</f>
        <v>Magic</v>
      </c>
      <c r="G265" s="58">
        <f ca="1">IFERROR(__xludf.DUMMYFUNCTION("""COMPUTED_VALUE"""),374)</f>
        <v>374</v>
      </c>
    </row>
    <row r="266" spans="1:7" ht="13.2">
      <c r="A266" s="16"/>
      <c r="B266" s="17"/>
      <c r="D266" s="16">
        <f ca="1">IFERROR(__xludf.DUMMYFUNCTION("""COMPUTED_VALUE"""),99)</f>
        <v>99</v>
      </c>
      <c r="E266" s="16" t="str">
        <f ca="1">IFERROR(__xludf.DUMMYFUNCTION("""COMPUTED_VALUE"""),"Gem of brightness")</f>
        <v>Gem of brightness</v>
      </c>
      <c r="F266" s="16" t="str">
        <f ca="1">IFERROR(__xludf.DUMMYFUNCTION("""COMPUTED_VALUE"""),"Magic")</f>
        <v>Magic</v>
      </c>
      <c r="G266" s="58">
        <f ca="1">IFERROR(__xludf.DUMMYFUNCTION("""COMPUTED_VALUE"""),386)</f>
        <v>386</v>
      </c>
    </row>
    <row r="267" spans="1:7" ht="13.2">
      <c r="A267" s="16"/>
      <c r="B267" s="17"/>
      <c r="D267" s="16">
        <f ca="1">IFERROR(__xludf.DUMMYFUNCTION("""COMPUTED_VALUE"""),100)</f>
        <v>100</v>
      </c>
      <c r="E267" s="16" t="str">
        <f ca="1">IFERROR(__xludf.DUMMYFUNCTION("""COMPUTED_VALUE"""),"Gem of seeing")</f>
        <v>Gem of seeing</v>
      </c>
      <c r="F267" s="16" t="str">
        <f ca="1">IFERROR(__xludf.DUMMYFUNCTION("""COMPUTED_VALUE"""),"Magic")</f>
        <v>Magic</v>
      </c>
      <c r="G267" s="58">
        <f ca="1">IFERROR(__xludf.DUMMYFUNCTION("""COMPUTED_VALUE"""),931)</f>
        <v>931</v>
      </c>
    </row>
    <row r="268" spans="1:7" ht="13.2">
      <c r="A268" s="16"/>
      <c r="B268" s="17"/>
      <c r="D268" s="16">
        <f ca="1">IFERROR(__xludf.DUMMYFUNCTION("""COMPUTED_VALUE"""),101)</f>
        <v>101</v>
      </c>
      <c r="E268" s="16" t="str">
        <f ca="1">IFERROR(__xludf.DUMMYFUNCTION("""COMPUTED_VALUE"""),"Giant slayer")</f>
        <v>Giant slayer</v>
      </c>
      <c r="F268" s="16" t="str">
        <f ca="1">IFERROR(__xludf.DUMMYFUNCTION("""COMPUTED_VALUE"""),"Magic")</f>
        <v>Magic</v>
      </c>
      <c r="G268" s="58">
        <f ca="1">IFERROR(__xludf.DUMMYFUNCTION("""COMPUTED_VALUE"""),949)</f>
        <v>949</v>
      </c>
    </row>
    <row r="269" spans="1:7" ht="13.2">
      <c r="A269" s="16"/>
      <c r="B269" s="17"/>
      <c r="D269" s="16">
        <f ca="1">IFERROR(__xludf.DUMMYFUNCTION("""COMPUTED_VALUE"""),102)</f>
        <v>102</v>
      </c>
      <c r="E269" s="16" t="str">
        <f ca="1">IFERROR(__xludf.DUMMYFUNCTION("""COMPUTED_VALUE"""),"Glamoured studded leather")</f>
        <v>Glamoured studded leather</v>
      </c>
      <c r="F269" s="16" t="str">
        <f ca="1">IFERROR(__xludf.DUMMYFUNCTION("""COMPUTED_VALUE"""),"Magic")</f>
        <v>Magic</v>
      </c>
      <c r="G269" s="58">
        <f ca="1">IFERROR(__xludf.DUMMYFUNCTION("""COMPUTED_VALUE"""),931)</f>
        <v>931</v>
      </c>
    </row>
    <row r="270" spans="1:7" ht="13.2">
      <c r="A270" s="16"/>
      <c r="B270" s="17"/>
      <c r="D270" s="16">
        <f ca="1">IFERROR(__xludf.DUMMYFUNCTION("""COMPUTED_VALUE"""),103)</f>
        <v>103</v>
      </c>
      <c r="E270" s="16" t="str">
        <f ca="1">IFERROR(__xludf.DUMMYFUNCTION("""COMPUTED_VALUE"""),"Gloves of missile snaring")</f>
        <v>Gloves of missile snaring</v>
      </c>
      <c r="F270" s="16" t="str">
        <f ca="1">IFERROR(__xludf.DUMMYFUNCTION("""COMPUTED_VALUE"""),"Magic")</f>
        <v>Magic</v>
      </c>
      <c r="G270" s="58">
        <f ca="1">IFERROR(__xludf.DUMMYFUNCTION("""COMPUTED_VALUE"""),388)</f>
        <v>388</v>
      </c>
    </row>
    <row r="271" spans="1:7" ht="13.2">
      <c r="A271" s="16"/>
      <c r="B271" s="17"/>
      <c r="D271" s="16">
        <f ca="1">IFERROR(__xludf.DUMMYFUNCTION("""COMPUTED_VALUE"""),104)</f>
        <v>104</v>
      </c>
      <c r="E271" s="16" t="str">
        <f ca="1">IFERROR(__xludf.DUMMYFUNCTION("""COMPUTED_VALUE"""),"Gloves of swimming and climbing")</f>
        <v>Gloves of swimming and climbing</v>
      </c>
      <c r="F271" s="16" t="str">
        <f ca="1">IFERROR(__xludf.DUMMYFUNCTION("""COMPUTED_VALUE"""),"Magic")</f>
        <v>Magic</v>
      </c>
      <c r="G271" s="58">
        <f ca="1">IFERROR(__xludf.DUMMYFUNCTION("""COMPUTED_VALUE"""),376)</f>
        <v>376</v>
      </c>
    </row>
    <row r="272" spans="1:7" ht="13.2">
      <c r="A272" s="16"/>
      <c r="B272" s="17"/>
      <c r="D272" s="16">
        <f ca="1">IFERROR(__xludf.DUMMYFUNCTION("""COMPUTED_VALUE"""),105)</f>
        <v>105</v>
      </c>
      <c r="E272" s="16" t="str">
        <f ca="1">IFERROR(__xludf.DUMMYFUNCTION("""COMPUTED_VALUE"""),"Gloves of thievery")</f>
        <v>Gloves of thievery</v>
      </c>
      <c r="F272" s="16" t="str">
        <f ca="1">IFERROR(__xludf.DUMMYFUNCTION("""COMPUTED_VALUE"""),"Magic")</f>
        <v>Magic</v>
      </c>
      <c r="G272" s="58">
        <f ca="1">IFERROR(__xludf.DUMMYFUNCTION("""COMPUTED_VALUE"""),388)</f>
        <v>388</v>
      </c>
    </row>
    <row r="273" spans="1:7" ht="13.2">
      <c r="A273" s="16"/>
      <c r="B273" s="17"/>
      <c r="D273" s="16">
        <f ca="1">IFERROR(__xludf.DUMMYFUNCTION("""COMPUTED_VALUE"""),106)</f>
        <v>106</v>
      </c>
      <c r="E273" s="16" t="str">
        <f ca="1">IFERROR(__xludf.DUMMYFUNCTION("""COMPUTED_VALUE"""),"Goggles of night")</f>
        <v>Goggles of night</v>
      </c>
      <c r="F273" s="16" t="str">
        <f ca="1">IFERROR(__xludf.DUMMYFUNCTION("""COMPUTED_VALUE"""),"Magic")</f>
        <v>Magic</v>
      </c>
      <c r="G273" s="58">
        <f ca="1">IFERROR(__xludf.DUMMYFUNCTION("""COMPUTED_VALUE"""),376)</f>
        <v>376</v>
      </c>
    </row>
    <row r="274" spans="1:7" ht="13.2">
      <c r="A274" s="16"/>
      <c r="B274" s="17"/>
      <c r="D274" s="16">
        <f ca="1">IFERROR(__xludf.DUMMYFUNCTION("""COMPUTED_VALUE"""),107)</f>
        <v>107</v>
      </c>
      <c r="E274" s="16" t="str">
        <f ca="1">IFERROR(__xludf.DUMMYFUNCTION("""COMPUTED_VALUE"""),"Hammer of thunderbolts")</f>
        <v>Hammer of thunderbolts</v>
      </c>
      <c r="F274" s="16" t="str">
        <f ca="1">IFERROR(__xludf.DUMMYFUNCTION("""COMPUTED_VALUE"""),"Magic")</f>
        <v>Magic</v>
      </c>
      <c r="G274" s="58">
        <f ca="1">IFERROR(__xludf.DUMMYFUNCTION("""COMPUTED_VALUE"""),3070)</f>
        <v>3070</v>
      </c>
    </row>
    <row r="275" spans="1:7" ht="13.2">
      <c r="A275" s="16"/>
      <c r="B275" s="17"/>
      <c r="D275" s="16">
        <f ca="1">IFERROR(__xludf.DUMMYFUNCTION("""COMPUTED_VALUE"""),108)</f>
        <v>108</v>
      </c>
      <c r="E275" s="16" t="str">
        <f ca="1">IFERROR(__xludf.DUMMYFUNCTION("""COMPUTED_VALUE"""),"Hat of disguise")</f>
        <v>Hat of disguise</v>
      </c>
      <c r="F275" s="16" t="str">
        <f ca="1">IFERROR(__xludf.DUMMYFUNCTION("""COMPUTED_VALUE"""),"Magic")</f>
        <v>Magic</v>
      </c>
      <c r="G275" s="58">
        <f ca="1">IFERROR(__xludf.DUMMYFUNCTION("""COMPUTED_VALUE"""),376)</f>
        <v>376</v>
      </c>
    </row>
    <row r="276" spans="1:7" ht="13.2">
      <c r="A276" s="16"/>
      <c r="B276" s="17"/>
      <c r="D276" s="16">
        <f ca="1">IFERROR(__xludf.DUMMYFUNCTION("""COMPUTED_VALUE"""),109)</f>
        <v>109</v>
      </c>
      <c r="E276" s="16" t="str">
        <f ca="1">IFERROR(__xludf.DUMMYFUNCTION("""COMPUTED_VALUE"""),"Headband of intellect")</f>
        <v>Headband of intellect</v>
      </c>
      <c r="F276" s="16" t="str">
        <f ca="1">IFERROR(__xludf.DUMMYFUNCTION("""COMPUTED_VALUE"""),"Magic")</f>
        <v>Magic</v>
      </c>
      <c r="G276" s="58">
        <f ca="1">IFERROR(__xludf.DUMMYFUNCTION("""COMPUTED_VALUE"""),366)</f>
        <v>366</v>
      </c>
    </row>
    <row r="277" spans="1:7" ht="13.2">
      <c r="A277" s="16"/>
      <c r="B277" s="17"/>
      <c r="D277" s="16">
        <f ca="1">IFERROR(__xludf.DUMMYFUNCTION("""COMPUTED_VALUE"""),110)</f>
        <v>110</v>
      </c>
      <c r="E277" s="16" t="str">
        <f ca="1">IFERROR(__xludf.DUMMYFUNCTION("""COMPUTED_VALUE"""),"Helm of brilliance")</f>
        <v>Helm of brilliance</v>
      </c>
      <c r="F277" s="16" t="str">
        <f ca="1">IFERROR(__xludf.DUMMYFUNCTION("""COMPUTED_VALUE"""),"Magic")</f>
        <v>Magic</v>
      </c>
      <c r="G277" s="58">
        <f ca="1">IFERROR(__xludf.DUMMYFUNCTION("""COMPUTED_VALUE"""),1576)</f>
        <v>1576</v>
      </c>
    </row>
    <row r="278" spans="1:7" ht="13.2">
      <c r="A278" s="16"/>
      <c r="B278" s="17"/>
      <c r="D278" s="16">
        <f ca="1">IFERROR(__xludf.DUMMYFUNCTION("""COMPUTED_VALUE"""),111)</f>
        <v>111</v>
      </c>
      <c r="E278" s="16" t="str">
        <f ca="1">IFERROR(__xludf.DUMMYFUNCTION("""COMPUTED_VALUE"""),"Helm of comprehending languages")</f>
        <v>Helm of comprehending languages</v>
      </c>
      <c r="F278" s="16" t="str">
        <f ca="1">IFERROR(__xludf.DUMMYFUNCTION("""COMPUTED_VALUE"""),"Magic")</f>
        <v>Magic</v>
      </c>
      <c r="G278" s="58">
        <f ca="1">IFERROR(__xludf.DUMMYFUNCTION("""COMPUTED_VALUE"""),366)</f>
        <v>366</v>
      </c>
    </row>
    <row r="279" spans="1:7" ht="13.2">
      <c r="A279" s="16"/>
      <c r="B279" s="17"/>
      <c r="D279" s="16">
        <f ca="1">IFERROR(__xludf.DUMMYFUNCTION("""COMPUTED_VALUE"""),112)</f>
        <v>112</v>
      </c>
      <c r="E279" s="16" t="str">
        <f ca="1">IFERROR(__xludf.DUMMYFUNCTION("""COMPUTED_VALUE"""),"Helm of telepathy")</f>
        <v>Helm of telepathy</v>
      </c>
      <c r="F279" s="16" t="str">
        <f ca="1">IFERROR(__xludf.DUMMYFUNCTION("""COMPUTED_VALUE"""),"Magic")</f>
        <v>Magic</v>
      </c>
      <c r="G279" s="58">
        <f ca="1">IFERROR(__xludf.DUMMYFUNCTION("""COMPUTED_VALUE"""),378)</f>
        <v>378</v>
      </c>
    </row>
    <row r="280" spans="1:7" ht="13.2">
      <c r="A280" s="16"/>
      <c r="B280" s="17"/>
      <c r="D280" s="16">
        <f ca="1">IFERROR(__xludf.DUMMYFUNCTION("""COMPUTED_VALUE"""),113)</f>
        <v>113</v>
      </c>
      <c r="E280" s="16" t="str">
        <f ca="1">IFERROR(__xludf.DUMMYFUNCTION("""COMPUTED_VALUE"""),"Helm of teleportation")</f>
        <v>Helm of teleportation</v>
      </c>
      <c r="F280" s="16" t="str">
        <f ca="1">IFERROR(__xludf.DUMMYFUNCTION("""COMPUTED_VALUE"""),"Magic")</f>
        <v>Magic</v>
      </c>
      <c r="G280" s="58">
        <f ca="1">IFERROR(__xludf.DUMMYFUNCTION("""COMPUTED_VALUE"""),919)</f>
        <v>919</v>
      </c>
    </row>
    <row r="281" spans="1:7" ht="13.2">
      <c r="A281" s="16"/>
      <c r="B281" s="17"/>
      <c r="D281" s="16">
        <f ca="1">IFERROR(__xludf.DUMMYFUNCTION("""COMPUTED_VALUE"""),114)</f>
        <v>114</v>
      </c>
      <c r="E281" s="16" t="str">
        <f ca="1">IFERROR(__xludf.DUMMYFUNCTION("""COMPUTED_VALUE"""),"Heward’s handy haversack")</f>
        <v>Heward’s handy haversack</v>
      </c>
      <c r="F281" s="16" t="str">
        <f ca="1">IFERROR(__xludf.DUMMYFUNCTION("""COMPUTED_VALUE"""),"Magic")</f>
        <v>Magic</v>
      </c>
      <c r="G281" s="58">
        <f ca="1">IFERROR(__xludf.DUMMYFUNCTION("""COMPUTED_VALUE"""),937)</f>
        <v>937</v>
      </c>
    </row>
    <row r="282" spans="1:7" ht="13.2">
      <c r="A282" s="16"/>
      <c r="B282" s="17"/>
      <c r="D282" s="16">
        <f ca="1">IFERROR(__xludf.DUMMYFUNCTION("""COMPUTED_VALUE"""),115)</f>
        <v>115</v>
      </c>
      <c r="E282" s="16" t="str">
        <f ca="1">IFERROR(__xludf.DUMMYFUNCTION("""COMPUTED_VALUE"""),"Holy avenger")</f>
        <v>Holy avenger</v>
      </c>
      <c r="F282" s="16" t="str">
        <f ca="1">IFERROR(__xludf.DUMMYFUNCTION("""COMPUTED_VALUE"""),"Magic")</f>
        <v>Magic</v>
      </c>
      <c r="G282" s="58">
        <f ca="1">IFERROR(__xludf.DUMMYFUNCTION("""COMPUTED_VALUE"""),3020)</f>
        <v>3020</v>
      </c>
    </row>
    <row r="283" spans="1:7" ht="13.2">
      <c r="A283" s="16"/>
      <c r="B283" s="17"/>
      <c r="D283" s="16">
        <f ca="1">IFERROR(__xludf.DUMMYFUNCTION("""COMPUTED_VALUE"""),116)</f>
        <v>116</v>
      </c>
      <c r="E283" s="16" t="str">
        <f ca="1">IFERROR(__xludf.DUMMYFUNCTION("""COMPUTED_VALUE"""),"Horn of blasting")</f>
        <v>Horn of blasting</v>
      </c>
      <c r="F283" s="16" t="str">
        <f ca="1">IFERROR(__xludf.DUMMYFUNCTION("""COMPUTED_VALUE"""),"Magic")</f>
        <v>Magic</v>
      </c>
      <c r="G283" s="58">
        <f ca="1">IFERROR(__xludf.DUMMYFUNCTION("""COMPUTED_VALUE"""),940)</f>
        <v>940</v>
      </c>
    </row>
    <row r="284" spans="1:7" ht="13.2">
      <c r="A284" s="16"/>
      <c r="B284" s="17"/>
      <c r="D284" s="16">
        <f ca="1">IFERROR(__xludf.DUMMYFUNCTION("""COMPUTED_VALUE"""),117)</f>
        <v>117</v>
      </c>
      <c r="E284" s="16" t="str">
        <f ca="1">IFERROR(__xludf.DUMMYFUNCTION("""COMPUTED_VALUE"""),"Horn of valhalla (bronze)")</f>
        <v>Horn of valhalla (bronze)</v>
      </c>
      <c r="F284" s="16" t="str">
        <f ca="1">IFERROR(__xludf.DUMMYFUNCTION("""COMPUTED_VALUE"""),"Magic")</f>
        <v>Magic</v>
      </c>
      <c r="G284" s="58">
        <f ca="1">IFERROR(__xludf.DUMMYFUNCTION("""COMPUTED_VALUE"""),1556)</f>
        <v>1556</v>
      </c>
    </row>
    <row r="285" spans="1:7" ht="13.2">
      <c r="A285" s="16"/>
      <c r="B285" s="17"/>
      <c r="D285" s="16">
        <f ca="1">IFERROR(__xludf.DUMMYFUNCTION("""COMPUTED_VALUE"""),118)</f>
        <v>118</v>
      </c>
      <c r="E285" s="16" t="str">
        <f ca="1">IFERROR(__xludf.DUMMYFUNCTION("""COMPUTED_VALUE"""),"Horn of valhalla (iron)")</f>
        <v>Horn of valhalla (iron)</v>
      </c>
      <c r="F285" s="16" t="str">
        <f ca="1">IFERROR(__xludf.DUMMYFUNCTION("""COMPUTED_VALUE"""),"Magic")</f>
        <v>Magic</v>
      </c>
      <c r="G285" s="58">
        <f ca="1">IFERROR(__xludf.DUMMYFUNCTION("""COMPUTED_VALUE"""),3050)</f>
        <v>3050</v>
      </c>
    </row>
    <row r="286" spans="1:7" ht="13.2">
      <c r="A286" s="16"/>
      <c r="B286" s="17"/>
      <c r="D286" s="16">
        <f ca="1">IFERROR(__xludf.DUMMYFUNCTION("""COMPUTED_VALUE"""),119)</f>
        <v>119</v>
      </c>
      <c r="E286" s="16" t="str">
        <f ca="1">IFERROR(__xludf.DUMMYFUNCTION("""COMPUTED_VALUE"""),"Horn of valhalla (silver or brass)")</f>
        <v>Horn of valhalla (silver or brass)</v>
      </c>
      <c r="F286" s="16" t="str">
        <f ca="1">IFERROR(__xludf.DUMMYFUNCTION("""COMPUTED_VALUE"""),"Magic")</f>
        <v>Magic</v>
      </c>
      <c r="G286" s="58">
        <f ca="1">IFERROR(__xludf.DUMMYFUNCTION("""COMPUTED_VALUE"""),922)</f>
        <v>922</v>
      </c>
    </row>
    <row r="287" spans="1:7" ht="13.2">
      <c r="A287" s="16"/>
      <c r="B287" s="17"/>
      <c r="D287" s="16">
        <f ca="1">IFERROR(__xludf.DUMMYFUNCTION("""COMPUTED_VALUE"""),120)</f>
        <v>120</v>
      </c>
      <c r="E287" s="16" t="str">
        <f ca="1">IFERROR(__xludf.DUMMYFUNCTION("""COMPUTED_VALUE"""),"Horseshoes of a zephyr")</f>
        <v>Horseshoes of a zephyr</v>
      </c>
      <c r="F287" s="16" t="str">
        <f ca="1">IFERROR(__xludf.DUMMYFUNCTION("""COMPUTED_VALUE"""),"Magic")</f>
        <v>Magic</v>
      </c>
      <c r="G287" s="58">
        <f ca="1">IFERROR(__xludf.DUMMYFUNCTION("""COMPUTED_VALUE"""),1580)</f>
        <v>1580</v>
      </c>
    </row>
    <row r="288" spans="1:7" ht="13.2">
      <c r="A288" s="16"/>
      <c r="B288" s="17"/>
      <c r="D288" s="16">
        <f ca="1">IFERROR(__xludf.DUMMYFUNCTION("""COMPUTED_VALUE"""),121)</f>
        <v>121</v>
      </c>
      <c r="E288" s="16" t="str">
        <f ca="1">IFERROR(__xludf.DUMMYFUNCTION("""COMPUTED_VALUE"""),"Horseshoes of speed")</f>
        <v>Horseshoes of speed</v>
      </c>
      <c r="F288" s="16" t="str">
        <f ca="1">IFERROR(__xludf.DUMMYFUNCTION("""COMPUTED_VALUE"""),"Magic")</f>
        <v>Magic</v>
      </c>
      <c r="G288" s="58">
        <f ca="1">IFERROR(__xludf.DUMMYFUNCTION("""COMPUTED_VALUE"""),925)</f>
        <v>925</v>
      </c>
    </row>
    <row r="289" spans="1:7" ht="13.2">
      <c r="A289" s="16"/>
      <c r="B289" s="17"/>
      <c r="D289" s="16">
        <f ca="1">IFERROR(__xludf.DUMMYFUNCTION("""COMPUTED_VALUE"""),122)</f>
        <v>122</v>
      </c>
      <c r="E289" s="16" t="str">
        <f ca="1">IFERROR(__xludf.DUMMYFUNCTION("""COMPUTED_VALUE"""),"Immovable rod")</f>
        <v>Immovable rod</v>
      </c>
      <c r="F289" s="16" t="str">
        <f ca="1">IFERROR(__xludf.DUMMYFUNCTION("""COMPUTED_VALUE"""),"Magic")</f>
        <v>Magic</v>
      </c>
      <c r="G289" s="58">
        <f ca="1">IFERROR(__xludf.DUMMYFUNCTION("""COMPUTED_VALUE"""),382)</f>
        <v>382</v>
      </c>
    </row>
    <row r="290" spans="1:7" ht="13.2">
      <c r="A290" s="16"/>
      <c r="B290" s="17"/>
      <c r="D290" s="16">
        <f ca="1">IFERROR(__xludf.DUMMYFUNCTION("""COMPUTED_VALUE"""),123)</f>
        <v>123</v>
      </c>
      <c r="E290" s="16" t="str">
        <f ca="1">IFERROR(__xludf.DUMMYFUNCTION("""COMPUTED_VALUE"""),"Instrument of the bard (Anstruth harp)")</f>
        <v>Instrument of the bard (Anstruth harp)</v>
      </c>
      <c r="F290" s="16" t="str">
        <f ca="1">IFERROR(__xludf.DUMMYFUNCTION("""COMPUTED_VALUE"""),"Magic")</f>
        <v>Magic</v>
      </c>
      <c r="G290" s="58">
        <f ca="1">IFERROR(__xludf.DUMMYFUNCTION("""COMPUTED_VALUE"""),1560)</f>
        <v>1560</v>
      </c>
    </row>
    <row r="291" spans="1:7" ht="13.2">
      <c r="A291" s="16"/>
      <c r="B291" s="17"/>
      <c r="D291" s="16">
        <f ca="1">IFERROR(__xludf.DUMMYFUNCTION("""COMPUTED_VALUE"""),124)</f>
        <v>124</v>
      </c>
      <c r="E291" s="16" t="str">
        <f ca="1">IFERROR(__xludf.DUMMYFUNCTION("""COMPUTED_VALUE"""),"Instrument of the bard (Canaith mandolin)")</f>
        <v>Instrument of the bard (Canaith mandolin)</v>
      </c>
      <c r="F291" s="16" t="str">
        <f ca="1">IFERROR(__xludf.DUMMYFUNCTION("""COMPUTED_VALUE"""),"Magic")</f>
        <v>Magic</v>
      </c>
      <c r="G291" s="58">
        <f ca="1">IFERROR(__xludf.DUMMYFUNCTION("""COMPUTED_VALUE"""),943)</f>
        <v>943</v>
      </c>
    </row>
    <row r="292" spans="1:7" ht="13.2">
      <c r="A292" s="16"/>
      <c r="B292" s="17"/>
      <c r="D292" s="16">
        <f ca="1">IFERROR(__xludf.DUMMYFUNCTION("""COMPUTED_VALUE"""),125)</f>
        <v>125</v>
      </c>
      <c r="E292" s="16" t="str">
        <f ca="1">IFERROR(__xludf.DUMMYFUNCTION("""COMPUTED_VALUE"""),"Instrument of the bard (Cli lyre)")</f>
        <v>Instrument of the bard (Cli lyre)</v>
      </c>
      <c r="F292" s="16" t="str">
        <f ca="1">IFERROR(__xludf.DUMMYFUNCTION("""COMPUTED_VALUE"""),"Magic")</f>
        <v>Magic</v>
      </c>
      <c r="G292" s="58">
        <f ca="1">IFERROR(__xludf.DUMMYFUNCTION("""COMPUTED_VALUE"""),925)</f>
        <v>925</v>
      </c>
    </row>
    <row r="293" spans="1:7" ht="13.2">
      <c r="A293" s="16"/>
      <c r="B293" s="17"/>
      <c r="D293" s="16">
        <f ca="1">IFERROR(__xludf.DUMMYFUNCTION("""COMPUTED_VALUE"""),126)</f>
        <v>126</v>
      </c>
      <c r="E293" s="16" t="str">
        <f ca="1">IFERROR(__xludf.DUMMYFUNCTION("""COMPUTED_VALUE"""),"Instrument of the bard (Doss lute)")</f>
        <v>Instrument of the bard (Doss lute)</v>
      </c>
      <c r="F293" s="16" t="str">
        <f ca="1">IFERROR(__xludf.DUMMYFUNCTION("""COMPUTED_VALUE"""),"Magic")</f>
        <v>Magic</v>
      </c>
      <c r="G293" s="58">
        <f ca="1">IFERROR(__xludf.DUMMYFUNCTION("""COMPUTED_VALUE"""),382)</f>
        <v>382</v>
      </c>
    </row>
    <row r="294" spans="1:7" ht="13.2">
      <c r="A294" s="16"/>
      <c r="B294" s="17"/>
      <c r="D294" s="16">
        <f ca="1">IFERROR(__xludf.DUMMYFUNCTION("""COMPUTED_VALUE"""),127)</f>
        <v>127</v>
      </c>
      <c r="E294" s="16" t="str">
        <f ca="1">IFERROR(__xludf.DUMMYFUNCTION("""COMPUTED_VALUE"""),"Instrument of the bard (Fochlucan bandore)")</f>
        <v>Instrument of the bard (Fochlucan bandore)</v>
      </c>
      <c r="F294" s="16" t="str">
        <f ca="1">IFERROR(__xludf.DUMMYFUNCTION("""COMPUTED_VALUE"""),"Magic")</f>
        <v>Magic</v>
      </c>
      <c r="G294" s="58">
        <f ca="1">IFERROR(__xludf.DUMMYFUNCTION("""COMPUTED_VALUE"""),372)</f>
        <v>372</v>
      </c>
    </row>
    <row r="295" spans="1:7" ht="13.2">
      <c r="A295" s="16"/>
      <c r="B295" s="17"/>
      <c r="D295" s="16">
        <f ca="1">IFERROR(__xludf.DUMMYFUNCTION("""COMPUTED_VALUE"""),128)</f>
        <v>128</v>
      </c>
      <c r="E295" s="16" t="str">
        <f ca="1">IFERROR(__xludf.DUMMYFUNCTION("""COMPUTED_VALUE"""),"Instrument of the bard (Mac-Fuirmidh cittern)")</f>
        <v>Instrument of the bard (Mac-Fuirmidh cittern)</v>
      </c>
      <c r="F295" s="16" t="str">
        <f ca="1">IFERROR(__xludf.DUMMYFUNCTION("""COMPUTED_VALUE"""),"Magic")</f>
        <v>Magic</v>
      </c>
      <c r="G295" s="58">
        <f ca="1">IFERROR(__xludf.DUMMYFUNCTION("""COMPUTED_VALUE"""),384)</f>
        <v>384</v>
      </c>
    </row>
    <row r="296" spans="1:7" ht="13.2">
      <c r="A296" s="16"/>
      <c r="B296" s="17"/>
      <c r="D296" s="16">
        <f ca="1">IFERROR(__xludf.DUMMYFUNCTION("""COMPUTED_VALUE"""),129)</f>
        <v>129</v>
      </c>
      <c r="E296" s="16" t="str">
        <f ca="1">IFERROR(__xludf.DUMMYFUNCTION("""COMPUTED_VALUE"""),"Instrument of the bard (Ollamh harp)")</f>
        <v>Instrument of the bard (Ollamh harp)</v>
      </c>
      <c r="F296" s="16" t="str">
        <f ca="1">IFERROR(__xludf.DUMMYFUNCTION("""COMPUTED_VALUE"""),"Magic")</f>
        <v>Magic</v>
      </c>
      <c r="G296" s="58">
        <f ca="1">IFERROR(__xludf.DUMMYFUNCTION("""COMPUTED_VALUE"""),3030)</f>
        <v>3030</v>
      </c>
    </row>
    <row r="297" spans="1:7" ht="13.2">
      <c r="A297" s="16"/>
      <c r="B297" s="17"/>
      <c r="D297" s="16">
        <f ca="1">IFERROR(__xludf.DUMMYFUNCTION("""COMPUTED_VALUE"""),130)</f>
        <v>130</v>
      </c>
      <c r="E297" s="16" t="str">
        <f ca="1">IFERROR(__xludf.DUMMYFUNCTION("""COMPUTED_VALUE"""),"Ioun stone (absorption)")</f>
        <v>Ioun stone (absorption)</v>
      </c>
      <c r="F297" s="16" t="str">
        <f ca="1">IFERROR(__xludf.DUMMYFUNCTION("""COMPUTED_VALUE"""),"Magic")</f>
        <v>Magic</v>
      </c>
      <c r="G297" s="58">
        <f ca="1">IFERROR(__xludf.DUMMYFUNCTION("""COMPUTED_VALUE"""),1588)</f>
        <v>1588</v>
      </c>
    </row>
    <row r="298" spans="1:7" ht="13.2">
      <c r="A298" s="16"/>
      <c r="B298" s="17"/>
      <c r="D298" s="16">
        <f ca="1">IFERROR(__xludf.DUMMYFUNCTION("""COMPUTED_VALUE"""),131)</f>
        <v>131</v>
      </c>
      <c r="E298" s="16" t="str">
        <f ca="1">IFERROR(__xludf.DUMMYFUNCTION("""COMPUTED_VALUE"""),"Ioun stone (agility)")</f>
        <v>Ioun stone (agility)</v>
      </c>
      <c r="F298" s="16" t="str">
        <f ca="1">IFERROR(__xludf.DUMMYFUNCTION("""COMPUTED_VALUE"""),"Magic")</f>
        <v>Magic</v>
      </c>
      <c r="G298" s="58">
        <f ca="1">IFERROR(__xludf.DUMMYFUNCTION("""COMPUTED_VALUE"""),1564)</f>
        <v>1564</v>
      </c>
    </row>
    <row r="299" spans="1:7" ht="13.2">
      <c r="A299" s="16"/>
      <c r="B299" s="17"/>
      <c r="D299" s="16">
        <f ca="1">IFERROR(__xludf.DUMMYFUNCTION("""COMPUTED_VALUE"""),132)</f>
        <v>132</v>
      </c>
      <c r="E299" s="16" t="str">
        <f ca="1">IFERROR(__xludf.DUMMYFUNCTION("""COMPUTED_VALUE"""),"Ioun stone (awareness)")</f>
        <v>Ioun stone (awareness)</v>
      </c>
      <c r="F299" s="16" t="str">
        <f ca="1">IFERROR(__xludf.DUMMYFUNCTION("""COMPUTED_VALUE"""),"Magic")</f>
        <v>Magic</v>
      </c>
      <c r="G299" s="58">
        <f ca="1">IFERROR(__xludf.DUMMYFUNCTION("""COMPUTED_VALUE"""),946)</f>
        <v>946</v>
      </c>
    </row>
    <row r="300" spans="1:7" ht="13.2">
      <c r="A300" s="16"/>
      <c r="B300" s="17"/>
      <c r="D300" s="16">
        <f ca="1">IFERROR(__xludf.DUMMYFUNCTION("""COMPUTED_VALUE"""),133)</f>
        <v>133</v>
      </c>
      <c r="E300" s="16" t="str">
        <f ca="1">IFERROR(__xludf.DUMMYFUNCTION("""COMPUTED_VALUE"""),"Ioun stone (fortitude)")</f>
        <v>Ioun stone (fortitude)</v>
      </c>
      <c r="F300" s="16" t="str">
        <f ca="1">IFERROR(__xludf.DUMMYFUNCTION("""COMPUTED_VALUE"""),"Magic")</f>
        <v>Magic</v>
      </c>
      <c r="G300" s="58">
        <f ca="1">IFERROR(__xludf.DUMMYFUNCTION("""COMPUTED_VALUE"""),1568)</f>
        <v>1568</v>
      </c>
    </row>
    <row r="301" spans="1:7" ht="13.2">
      <c r="A301" s="16"/>
      <c r="B301" s="17"/>
      <c r="D301" s="16">
        <f ca="1">IFERROR(__xludf.DUMMYFUNCTION("""COMPUTED_VALUE"""),134)</f>
        <v>134</v>
      </c>
      <c r="E301" s="16" t="str">
        <f ca="1">IFERROR(__xludf.DUMMYFUNCTION("""COMPUTED_VALUE"""),"Ioun stone (greater absorption)")</f>
        <v>Ioun stone (greater absorption)</v>
      </c>
      <c r="F301" s="16" t="str">
        <f ca="1">IFERROR(__xludf.DUMMYFUNCTION("""COMPUTED_VALUE"""),"Magic")</f>
        <v>Magic</v>
      </c>
      <c r="G301" s="58">
        <f ca="1">IFERROR(__xludf.DUMMYFUNCTION("""COMPUTED_VALUE"""),3065)</f>
        <v>3065</v>
      </c>
    </row>
    <row r="302" spans="1:7" ht="13.2">
      <c r="A302" s="16"/>
      <c r="B302" s="17"/>
      <c r="D302" s="16">
        <f ca="1">IFERROR(__xludf.DUMMYFUNCTION("""COMPUTED_VALUE"""),135)</f>
        <v>135</v>
      </c>
      <c r="E302" s="16" t="str">
        <f ca="1">IFERROR(__xludf.DUMMYFUNCTION("""COMPUTED_VALUE"""),"Ioun stone (insight)")</f>
        <v>Ioun stone (insight)</v>
      </c>
      <c r="F302" s="16" t="str">
        <f ca="1">IFERROR(__xludf.DUMMYFUNCTION("""COMPUTED_VALUE"""),"Magic")</f>
        <v>Magic</v>
      </c>
      <c r="G302" s="58">
        <f ca="1">IFERROR(__xludf.DUMMYFUNCTION("""COMPUTED_VALUE"""),1568)</f>
        <v>1568</v>
      </c>
    </row>
    <row r="303" spans="1:7" ht="13.2">
      <c r="A303" s="16"/>
      <c r="B303" s="17"/>
      <c r="D303" s="16">
        <f ca="1">IFERROR(__xludf.DUMMYFUNCTION("""COMPUTED_VALUE"""),136)</f>
        <v>136</v>
      </c>
      <c r="E303" s="16" t="str">
        <f ca="1">IFERROR(__xludf.DUMMYFUNCTION("""COMPUTED_VALUE"""),"Ioun stone (intellect)")</f>
        <v>Ioun stone (intellect)</v>
      </c>
      <c r="F303" s="16" t="str">
        <f ca="1">IFERROR(__xludf.DUMMYFUNCTION("""COMPUTED_VALUE"""),"Magic")</f>
        <v>Magic</v>
      </c>
      <c r="G303" s="58">
        <f ca="1">IFERROR(__xludf.DUMMYFUNCTION("""COMPUTED_VALUE"""),1592)</f>
        <v>1592</v>
      </c>
    </row>
    <row r="304" spans="1:7" ht="13.2">
      <c r="A304" s="16"/>
      <c r="B304" s="17"/>
      <c r="D304" s="16">
        <f ca="1">IFERROR(__xludf.DUMMYFUNCTION("""COMPUTED_VALUE"""),137)</f>
        <v>137</v>
      </c>
      <c r="E304" s="16" t="str">
        <f ca="1">IFERROR(__xludf.DUMMYFUNCTION("""COMPUTED_VALUE"""),"Ioun stone (leadership)")</f>
        <v>Ioun stone (leadership)</v>
      </c>
      <c r="F304" s="16" t="str">
        <f ca="1">IFERROR(__xludf.DUMMYFUNCTION("""COMPUTED_VALUE"""),"Magic")</f>
        <v>Magic</v>
      </c>
      <c r="G304" s="58">
        <f ca="1">IFERROR(__xludf.DUMMYFUNCTION("""COMPUTED_VALUE"""),1568)</f>
        <v>1568</v>
      </c>
    </row>
    <row r="305" spans="1:7" ht="13.2">
      <c r="A305" s="16"/>
      <c r="B305" s="17"/>
      <c r="D305" s="16">
        <f ca="1">IFERROR(__xludf.DUMMYFUNCTION("""COMPUTED_VALUE"""),138)</f>
        <v>138</v>
      </c>
      <c r="E305" s="16" t="str">
        <f ca="1">IFERROR(__xludf.DUMMYFUNCTION("""COMPUTED_VALUE"""),"Ioun stone (mastery)")</f>
        <v>Ioun stone (mastery)</v>
      </c>
      <c r="F305" s="16" t="str">
        <f ca="1">IFERROR(__xludf.DUMMYFUNCTION("""COMPUTED_VALUE"""),"Magic")</f>
        <v>Magic</v>
      </c>
      <c r="G305" s="58">
        <f ca="1">IFERROR(__xludf.DUMMYFUNCTION("""COMPUTED_VALUE"""),3065)</f>
        <v>3065</v>
      </c>
    </row>
    <row r="306" spans="1:7" ht="13.2">
      <c r="A306" s="16"/>
      <c r="B306" s="17"/>
      <c r="D306" s="16">
        <f ca="1">IFERROR(__xludf.DUMMYFUNCTION("""COMPUTED_VALUE"""),139)</f>
        <v>139</v>
      </c>
      <c r="E306" s="16" t="str">
        <f ca="1">IFERROR(__xludf.DUMMYFUNCTION("""COMPUTED_VALUE"""),"Ioun stone (protection)")</f>
        <v>Ioun stone (protection)</v>
      </c>
      <c r="F306" s="16" t="str">
        <f ca="1">IFERROR(__xludf.DUMMYFUNCTION("""COMPUTED_VALUE"""),"Magic")</f>
        <v>Magic</v>
      </c>
      <c r="G306" s="58">
        <f ca="1">IFERROR(__xludf.DUMMYFUNCTION("""COMPUTED_VALUE"""),934)</f>
        <v>934</v>
      </c>
    </row>
    <row r="307" spans="1:7" ht="13.2">
      <c r="A307" s="16"/>
      <c r="B307" s="17"/>
      <c r="D307" s="16">
        <f ca="1">IFERROR(__xludf.DUMMYFUNCTION("""COMPUTED_VALUE"""),140)</f>
        <v>140</v>
      </c>
      <c r="E307" s="16" t="str">
        <f ca="1">IFERROR(__xludf.DUMMYFUNCTION("""COMPUTED_VALUE"""),"Ioun stone (regeneration)")</f>
        <v>Ioun stone (regeneration)</v>
      </c>
      <c r="F307" s="16" t="str">
        <f ca="1">IFERROR(__xludf.DUMMYFUNCTION("""COMPUTED_VALUE"""),"Magic")</f>
        <v>Magic</v>
      </c>
      <c r="G307" s="58">
        <f ca="1">IFERROR(__xludf.DUMMYFUNCTION("""COMPUTED_VALUE"""),3070)</f>
        <v>3070</v>
      </c>
    </row>
    <row r="308" spans="1:7" ht="13.2">
      <c r="A308" s="16"/>
      <c r="B308" s="17"/>
      <c r="D308" s="16">
        <f ca="1">IFERROR(__xludf.DUMMYFUNCTION("""COMPUTED_VALUE"""),141)</f>
        <v>141</v>
      </c>
      <c r="E308" s="16" t="str">
        <f ca="1">IFERROR(__xludf.DUMMYFUNCTION("""COMPUTED_VALUE"""),"Ioun stone (reserve)")</f>
        <v>Ioun stone (reserve)</v>
      </c>
      <c r="F308" s="16" t="str">
        <f ca="1">IFERROR(__xludf.DUMMYFUNCTION("""COMPUTED_VALUE"""),"Magic")</f>
        <v>Magic</v>
      </c>
      <c r="G308" s="58">
        <f ca="1">IFERROR(__xludf.DUMMYFUNCTION("""COMPUTED_VALUE"""),934)</f>
        <v>934</v>
      </c>
    </row>
    <row r="309" spans="1:7" ht="13.2">
      <c r="A309" s="16"/>
      <c r="B309" s="17"/>
      <c r="D309" s="16">
        <f ca="1">IFERROR(__xludf.DUMMYFUNCTION("""COMPUTED_VALUE"""),142)</f>
        <v>142</v>
      </c>
      <c r="E309" s="16" t="str">
        <f ca="1">IFERROR(__xludf.DUMMYFUNCTION("""COMPUTED_VALUE"""),"Ioun stone (strength)")</f>
        <v>Ioun stone (strength)</v>
      </c>
      <c r="F309" s="16" t="str">
        <f ca="1">IFERROR(__xludf.DUMMYFUNCTION("""COMPUTED_VALUE"""),"Magic")</f>
        <v>Magic</v>
      </c>
      <c r="G309" s="58">
        <f ca="1">IFERROR(__xludf.DUMMYFUNCTION("""COMPUTED_VALUE"""),1596)</f>
        <v>1596</v>
      </c>
    </row>
    <row r="310" spans="1:7" ht="13.2">
      <c r="A310" s="16"/>
      <c r="B310" s="17"/>
      <c r="D310" s="16">
        <f ca="1">IFERROR(__xludf.DUMMYFUNCTION("""COMPUTED_VALUE"""),143)</f>
        <v>143</v>
      </c>
      <c r="E310" s="16" t="str">
        <f ca="1">IFERROR(__xludf.DUMMYFUNCTION("""COMPUTED_VALUE"""),"Ioun stone (sustenance)")</f>
        <v>Ioun stone (sustenance)</v>
      </c>
      <c r="F310" s="16" t="str">
        <f ca="1">IFERROR(__xludf.DUMMYFUNCTION("""COMPUTED_VALUE"""),"Magic")</f>
        <v>Magic</v>
      </c>
      <c r="G310" s="58">
        <f ca="1">IFERROR(__xludf.DUMMYFUNCTION("""COMPUTED_VALUE"""),934)</f>
        <v>934</v>
      </c>
    </row>
    <row r="311" spans="1:7" ht="13.2">
      <c r="A311" s="16"/>
      <c r="B311" s="17"/>
      <c r="D311" s="16">
        <f ca="1">IFERROR(__xludf.DUMMYFUNCTION("""COMPUTED_VALUE"""),144)</f>
        <v>144</v>
      </c>
      <c r="E311" s="16" t="str">
        <f ca="1">IFERROR(__xludf.DUMMYFUNCTION("""COMPUTED_VALUE"""),"Iron bands of bilarro")</f>
        <v>Iron bands of bilarro</v>
      </c>
      <c r="F311" s="16" t="str">
        <f ca="1">IFERROR(__xludf.DUMMYFUNCTION("""COMPUTED_VALUE"""),"Magic")</f>
        <v>Magic</v>
      </c>
      <c r="G311" s="58">
        <f ca="1">IFERROR(__xludf.DUMMYFUNCTION("""COMPUTED_VALUE"""),952)</f>
        <v>952</v>
      </c>
    </row>
    <row r="312" spans="1:7" ht="13.2">
      <c r="A312" s="16"/>
      <c r="B312" s="17"/>
      <c r="D312" s="16">
        <f ca="1">IFERROR(__xludf.DUMMYFUNCTION("""COMPUTED_VALUE"""),145)</f>
        <v>145</v>
      </c>
      <c r="E312" s="16" t="str">
        <f ca="1">IFERROR(__xludf.DUMMYFUNCTION("""COMPUTED_VALUE"""),"Iron flask")</f>
        <v>Iron flask</v>
      </c>
      <c r="F312" s="16" t="str">
        <f ca="1">IFERROR(__xludf.DUMMYFUNCTION("""COMPUTED_VALUE"""),"Magic")</f>
        <v>Magic</v>
      </c>
      <c r="G312" s="58">
        <f ca="1">IFERROR(__xludf.DUMMYFUNCTION("""COMPUTED_VALUE"""),3045)</f>
        <v>3045</v>
      </c>
    </row>
    <row r="313" spans="1:7" ht="13.2">
      <c r="A313" s="16"/>
      <c r="B313" s="17"/>
      <c r="D313" s="16">
        <f ca="1">IFERROR(__xludf.DUMMYFUNCTION("""COMPUTED_VALUE"""),146)</f>
        <v>146</v>
      </c>
      <c r="E313" s="16" t="str">
        <f ca="1">IFERROR(__xludf.DUMMYFUNCTION("""COMPUTED_VALUE"""),"Javelin of lightning")</f>
        <v>Javelin of lightning</v>
      </c>
      <c r="F313" s="16" t="str">
        <f ca="1">IFERROR(__xludf.DUMMYFUNCTION("""COMPUTED_VALUE"""),"Magic")</f>
        <v>Magic</v>
      </c>
      <c r="G313" s="58">
        <f ca="1">IFERROR(__xludf.DUMMYFUNCTION("""COMPUTED_VALUE"""),366)</f>
        <v>366</v>
      </c>
    </row>
    <row r="314" spans="1:7" ht="13.2">
      <c r="A314" s="16"/>
      <c r="B314" s="17"/>
      <c r="D314" s="16">
        <f ca="1">IFERROR(__xludf.DUMMYFUNCTION("""COMPUTED_VALUE"""),147)</f>
        <v>147</v>
      </c>
      <c r="E314" s="16" t="str">
        <f ca="1">IFERROR(__xludf.DUMMYFUNCTION("""COMPUTED_VALUE"""),"Keoghtom’s ointment")</f>
        <v>Keoghtom’s ointment</v>
      </c>
      <c r="F314" s="16" t="str">
        <f ca="1">IFERROR(__xludf.DUMMYFUNCTION("""COMPUTED_VALUE"""),"Magic")</f>
        <v>Magic</v>
      </c>
      <c r="G314" s="58">
        <f ca="1">IFERROR(__xludf.DUMMYFUNCTION("""COMPUTED_VALUE"""),378)</f>
        <v>378</v>
      </c>
    </row>
    <row r="315" spans="1:7" ht="13.2">
      <c r="A315" s="16"/>
      <c r="B315" s="17"/>
      <c r="D315" s="16">
        <f ca="1">IFERROR(__xludf.DUMMYFUNCTION("""COMPUTED_VALUE"""),148)</f>
        <v>148</v>
      </c>
      <c r="E315" s="16" t="str">
        <f ca="1">IFERROR(__xludf.DUMMYFUNCTION("""COMPUTED_VALUE"""),"Lantern of revealing")</f>
        <v>Lantern of revealing</v>
      </c>
      <c r="F315" s="16" t="str">
        <f ca="1">IFERROR(__xludf.DUMMYFUNCTION("""COMPUTED_VALUE"""),"Magic")</f>
        <v>Magic</v>
      </c>
      <c r="G315" s="58">
        <f ca="1">IFERROR(__xludf.DUMMYFUNCTION("""COMPUTED_VALUE"""),366)</f>
        <v>366</v>
      </c>
    </row>
    <row r="316" spans="1:7" ht="13.2">
      <c r="A316" s="16"/>
      <c r="B316" s="17"/>
      <c r="D316" s="16">
        <f ca="1">IFERROR(__xludf.DUMMYFUNCTION("""COMPUTED_VALUE"""),149)</f>
        <v>149</v>
      </c>
      <c r="E316" s="16" t="str">
        <f ca="1">IFERROR(__xludf.DUMMYFUNCTION("""COMPUTED_VALUE"""),"Luck blade")</f>
        <v>Luck blade</v>
      </c>
      <c r="F316" s="16" t="str">
        <f ca="1">IFERROR(__xludf.DUMMYFUNCTION("""COMPUTED_VALUE"""),"Magic")</f>
        <v>Magic</v>
      </c>
      <c r="G316" s="58">
        <f ca="1">IFERROR(__xludf.DUMMYFUNCTION("""COMPUTED_VALUE"""),3045)</f>
        <v>3045</v>
      </c>
    </row>
    <row r="317" spans="1:7" ht="13.2">
      <c r="A317" s="16"/>
      <c r="B317" s="17"/>
      <c r="D317" s="16">
        <f ca="1">IFERROR(__xludf.DUMMYFUNCTION("""COMPUTED_VALUE"""),150)</f>
        <v>150</v>
      </c>
      <c r="E317" s="16" t="str">
        <f ca="1">IFERROR(__xludf.DUMMYFUNCTION("""COMPUTED_VALUE"""),"Mace of disruption")</f>
        <v>Mace of disruption</v>
      </c>
      <c r="F317" s="16" t="str">
        <f ca="1">IFERROR(__xludf.DUMMYFUNCTION("""COMPUTED_VALUE"""),"Magic")</f>
        <v>Magic</v>
      </c>
      <c r="G317" s="58">
        <f ca="1">IFERROR(__xludf.DUMMYFUNCTION("""COMPUTED_VALUE"""),919)</f>
        <v>919</v>
      </c>
    </row>
    <row r="318" spans="1:7" ht="13.2">
      <c r="A318" s="16"/>
      <c r="B318" s="17"/>
      <c r="D318" s="16">
        <f ca="1">IFERROR(__xludf.DUMMYFUNCTION("""COMPUTED_VALUE"""),151)</f>
        <v>151</v>
      </c>
      <c r="E318" s="16" t="str">
        <f ca="1">IFERROR(__xludf.DUMMYFUNCTION("""COMPUTED_VALUE"""),"Mace of smiting")</f>
        <v>Mace of smiting</v>
      </c>
      <c r="F318" s="16" t="str">
        <f ca="1">IFERROR(__xludf.DUMMYFUNCTION("""COMPUTED_VALUE"""),"Magic")</f>
        <v>Magic</v>
      </c>
      <c r="G318" s="58">
        <f ca="1">IFERROR(__xludf.DUMMYFUNCTION("""COMPUTED_VALUE"""),940)</f>
        <v>940</v>
      </c>
    </row>
    <row r="319" spans="1:7" ht="13.2">
      <c r="A319" s="16"/>
      <c r="B319" s="17"/>
      <c r="D319" s="16">
        <f ca="1">IFERROR(__xludf.DUMMYFUNCTION("""COMPUTED_VALUE"""),152)</f>
        <v>152</v>
      </c>
      <c r="E319" s="16" t="str">
        <f ca="1">IFERROR(__xludf.DUMMYFUNCTION("""COMPUTED_VALUE"""),"Mace of terror")</f>
        <v>Mace of terror</v>
      </c>
      <c r="F319" s="16" t="str">
        <f ca="1">IFERROR(__xludf.DUMMYFUNCTION("""COMPUTED_VALUE"""),"Magic")</f>
        <v>Magic</v>
      </c>
      <c r="G319" s="58">
        <f ca="1">IFERROR(__xludf.DUMMYFUNCTION("""COMPUTED_VALUE"""),922)</f>
        <v>922</v>
      </c>
    </row>
    <row r="320" spans="1:7" ht="13.2">
      <c r="A320" s="16"/>
      <c r="B320" s="17"/>
      <c r="D320" s="16">
        <f ca="1">IFERROR(__xludf.DUMMYFUNCTION("""COMPUTED_VALUE"""),153)</f>
        <v>153</v>
      </c>
      <c r="E320" s="16" t="str">
        <f ca="1">IFERROR(__xludf.DUMMYFUNCTION("""COMPUTED_VALUE"""),"Mantle of spell resistance")</f>
        <v>Mantle of spell resistance</v>
      </c>
      <c r="F320" s="16" t="str">
        <f ca="1">IFERROR(__xludf.DUMMYFUNCTION("""COMPUTED_VALUE"""),"Magic")</f>
        <v>Magic</v>
      </c>
      <c r="G320" s="58">
        <f ca="1">IFERROR(__xludf.DUMMYFUNCTION("""COMPUTED_VALUE"""),940)</f>
        <v>940</v>
      </c>
    </row>
    <row r="321" spans="1:7" ht="13.2">
      <c r="A321" s="16"/>
      <c r="B321" s="17"/>
      <c r="D321" s="16">
        <f ca="1">IFERROR(__xludf.DUMMYFUNCTION("""COMPUTED_VALUE"""),154)</f>
        <v>154</v>
      </c>
      <c r="E321" s="16" t="str">
        <f ca="1">IFERROR(__xludf.DUMMYFUNCTION("""COMPUTED_VALUE"""),"Manual of bodily health")</f>
        <v>Manual of bodily health</v>
      </c>
      <c r="F321" s="16" t="str">
        <f ca="1">IFERROR(__xludf.DUMMYFUNCTION("""COMPUTED_VALUE"""),"Magic")</f>
        <v>Magic</v>
      </c>
      <c r="G321" s="58">
        <f ca="1">IFERROR(__xludf.DUMMYFUNCTION("""COMPUTED_VALUE"""),1556)</f>
        <v>1556</v>
      </c>
    </row>
    <row r="322" spans="1:7" ht="13.2">
      <c r="A322" s="16"/>
      <c r="B322" s="17"/>
      <c r="D322" s="16">
        <f ca="1">IFERROR(__xludf.DUMMYFUNCTION("""COMPUTED_VALUE"""),155)</f>
        <v>155</v>
      </c>
      <c r="E322" s="16" t="str">
        <f ca="1">IFERROR(__xludf.DUMMYFUNCTION("""COMPUTED_VALUE"""),"Manual of gainful exercise")</f>
        <v>Manual of gainful exercise</v>
      </c>
      <c r="F322" s="16" t="str">
        <f ca="1">IFERROR(__xludf.DUMMYFUNCTION("""COMPUTED_VALUE"""),"Magic")</f>
        <v>Magic</v>
      </c>
      <c r="G322" s="58">
        <f ca="1">IFERROR(__xludf.DUMMYFUNCTION("""COMPUTED_VALUE"""),1580)</f>
        <v>1580</v>
      </c>
    </row>
    <row r="323" spans="1:7" ht="13.2">
      <c r="A323" s="16"/>
      <c r="B323" s="17"/>
      <c r="D323" s="16">
        <f ca="1">IFERROR(__xludf.DUMMYFUNCTION("""COMPUTED_VALUE"""),156)</f>
        <v>156</v>
      </c>
      <c r="E323" s="16" t="str">
        <f ca="1">IFERROR(__xludf.DUMMYFUNCTION("""COMPUTED_VALUE"""),"Manual of golems")</f>
        <v>Manual of golems</v>
      </c>
      <c r="F323" s="16" t="str">
        <f ca="1">IFERROR(__xludf.DUMMYFUNCTION("""COMPUTED_VALUE"""),"Magic")</f>
        <v>Magic</v>
      </c>
      <c r="G323" s="58">
        <f ca="1">IFERROR(__xludf.DUMMYFUNCTION("""COMPUTED_VALUE"""),1556)</f>
        <v>1556</v>
      </c>
    </row>
    <row r="324" spans="1:7" ht="13.2">
      <c r="A324" s="16"/>
      <c r="B324" s="17"/>
      <c r="D324" s="16">
        <f ca="1">IFERROR(__xludf.DUMMYFUNCTION("""COMPUTED_VALUE"""),157)</f>
        <v>157</v>
      </c>
      <c r="E324" s="16" t="str">
        <f ca="1">IFERROR(__xludf.DUMMYFUNCTION("""COMPUTED_VALUE"""),"Manual of quickness of action")</f>
        <v>Manual of quickness of action</v>
      </c>
      <c r="F324" s="16" t="str">
        <f ca="1">IFERROR(__xludf.DUMMYFUNCTION("""COMPUTED_VALUE"""),"Magic")</f>
        <v>Magic</v>
      </c>
      <c r="G324" s="58">
        <f ca="1">IFERROR(__xludf.DUMMYFUNCTION("""COMPUTED_VALUE"""),1584)</f>
        <v>1584</v>
      </c>
    </row>
    <row r="325" spans="1:7" ht="13.2">
      <c r="A325" s="16"/>
      <c r="B325" s="17"/>
      <c r="D325" s="16">
        <f ca="1">IFERROR(__xludf.DUMMYFUNCTION("""COMPUTED_VALUE"""),158)</f>
        <v>158</v>
      </c>
      <c r="E325" s="16" t="str">
        <f ca="1">IFERROR(__xludf.DUMMYFUNCTION("""COMPUTED_VALUE"""),"Mariner’s armor")</f>
        <v>Mariner’s armor</v>
      </c>
      <c r="F325" s="16" t="str">
        <f ca="1">IFERROR(__xludf.DUMMYFUNCTION("""COMPUTED_VALUE"""),"Magic")</f>
        <v>Magic</v>
      </c>
      <c r="G325" s="58">
        <f ca="1">IFERROR(__xludf.DUMMYFUNCTION("""COMPUTED_VALUE"""),370)</f>
        <v>370</v>
      </c>
    </row>
    <row r="326" spans="1:7" ht="13.2">
      <c r="A326" s="16"/>
      <c r="B326" s="17"/>
      <c r="D326" s="16">
        <f ca="1">IFERROR(__xludf.DUMMYFUNCTION("""COMPUTED_VALUE"""),159)</f>
        <v>159</v>
      </c>
      <c r="E326" s="16" t="str">
        <f ca="1">IFERROR(__xludf.DUMMYFUNCTION("""COMPUTED_VALUE"""),"Medallion of thoughts")</f>
        <v>Medallion of thoughts</v>
      </c>
      <c r="F326" s="16" t="str">
        <f ca="1">IFERROR(__xludf.DUMMYFUNCTION("""COMPUTED_VALUE"""),"Magic")</f>
        <v>Magic</v>
      </c>
      <c r="G326" s="58">
        <f ca="1">IFERROR(__xludf.DUMMYFUNCTION("""COMPUTED_VALUE"""),382)</f>
        <v>382</v>
      </c>
    </row>
    <row r="327" spans="1:7" ht="13.2">
      <c r="A327" s="16"/>
      <c r="B327" s="17"/>
      <c r="D327" s="16">
        <f ca="1">IFERROR(__xludf.DUMMYFUNCTION("""COMPUTED_VALUE"""),160)</f>
        <v>160</v>
      </c>
      <c r="E327" s="16" t="str">
        <f ca="1">IFERROR(__xludf.DUMMYFUNCTION("""COMPUTED_VALUE"""),"Mirror of life trapping")</f>
        <v>Mirror of life trapping</v>
      </c>
      <c r="F327" s="16" t="str">
        <f ca="1">IFERROR(__xludf.DUMMYFUNCTION("""COMPUTED_VALUE"""),"Magic")</f>
        <v>Magic</v>
      </c>
      <c r="G327" s="58">
        <f ca="1">IFERROR(__xludf.DUMMYFUNCTION("""COMPUTED_VALUE"""),1560)</f>
        <v>1560</v>
      </c>
    </row>
    <row r="328" spans="1:7" ht="13.2">
      <c r="A328" s="16"/>
      <c r="B328" s="17"/>
      <c r="D328" s="16">
        <f ca="1">IFERROR(__xludf.DUMMYFUNCTION("""COMPUTED_VALUE"""),161)</f>
        <v>161</v>
      </c>
      <c r="E328" s="16" t="str">
        <f ca="1">IFERROR(__xludf.DUMMYFUNCTION("""COMPUTED_VALUE"""),"Mithral armor")</f>
        <v>Mithral armor</v>
      </c>
      <c r="F328" s="16" t="str">
        <f ca="1">IFERROR(__xludf.DUMMYFUNCTION("""COMPUTED_VALUE"""),"Magic")</f>
        <v>Magic</v>
      </c>
      <c r="G328" s="58">
        <f ca="1">IFERROR(__xludf.DUMMYFUNCTION("""COMPUTED_VALUE"""),382)</f>
        <v>382</v>
      </c>
    </row>
    <row r="329" spans="1:7" ht="13.2">
      <c r="A329" s="16"/>
      <c r="B329" s="17"/>
      <c r="D329" s="16">
        <f ca="1">IFERROR(__xludf.DUMMYFUNCTION("""COMPUTED_VALUE"""),162)</f>
        <v>162</v>
      </c>
      <c r="E329" s="16" t="str">
        <f ca="1">IFERROR(__xludf.DUMMYFUNCTION("""COMPUTED_VALUE"""),"Necklace of adaptation")</f>
        <v>Necklace of adaptation</v>
      </c>
      <c r="F329" s="16" t="str">
        <f ca="1">IFERROR(__xludf.DUMMYFUNCTION("""COMPUTED_VALUE"""),"Magic")</f>
        <v>Magic</v>
      </c>
      <c r="G329" s="58">
        <f ca="1">IFERROR(__xludf.DUMMYFUNCTION("""COMPUTED_VALUE"""),370)</f>
        <v>370</v>
      </c>
    </row>
    <row r="330" spans="1:7" ht="13.2">
      <c r="A330" s="16"/>
      <c r="B330" s="17"/>
      <c r="D330" s="16">
        <f ca="1">IFERROR(__xludf.DUMMYFUNCTION("""COMPUTED_VALUE"""),163)</f>
        <v>163</v>
      </c>
      <c r="E330" s="16" t="str">
        <f ca="1">IFERROR(__xludf.DUMMYFUNCTION("""COMPUTED_VALUE"""),"Necklace of fireballs")</f>
        <v>Necklace of fireballs</v>
      </c>
      <c r="F330" s="16" t="str">
        <f ca="1">IFERROR(__xludf.DUMMYFUNCTION("""COMPUTED_VALUE"""),"Magic")</f>
        <v>Magic</v>
      </c>
      <c r="G330" s="58">
        <f ca="1">IFERROR(__xludf.DUMMYFUNCTION("""COMPUTED_VALUE"""),946)</f>
        <v>946</v>
      </c>
    </row>
    <row r="331" spans="1:7" ht="13.2">
      <c r="A331" s="16"/>
      <c r="B331" s="17"/>
      <c r="D331" s="16">
        <f ca="1">IFERROR(__xludf.DUMMYFUNCTION("""COMPUTED_VALUE"""),164)</f>
        <v>164</v>
      </c>
      <c r="E331" s="16" t="str">
        <f ca="1">IFERROR(__xludf.DUMMYFUNCTION("""COMPUTED_VALUE"""),"Necklace of prayer beads")</f>
        <v>Necklace of prayer beads</v>
      </c>
      <c r="F331" s="16" t="str">
        <f ca="1">IFERROR(__xludf.DUMMYFUNCTION("""COMPUTED_VALUE"""),"Magic")</f>
        <v>Magic</v>
      </c>
      <c r="G331" s="58">
        <f ca="1">IFERROR(__xludf.DUMMYFUNCTION("""COMPUTED_VALUE"""),928)</f>
        <v>928</v>
      </c>
    </row>
    <row r="332" spans="1:7" ht="13.2">
      <c r="A332" s="16"/>
      <c r="B332" s="17"/>
      <c r="D332" s="16">
        <f ca="1">IFERROR(__xludf.DUMMYFUNCTION("""COMPUTED_VALUE"""),165)</f>
        <v>165</v>
      </c>
      <c r="E332" s="16" t="str">
        <f ca="1">IFERROR(__xludf.DUMMYFUNCTION("""COMPUTED_VALUE"""),"Nine lives stealer")</f>
        <v>Nine lives stealer</v>
      </c>
      <c r="F332" s="16" t="str">
        <f ca="1">IFERROR(__xludf.DUMMYFUNCTION("""COMPUTED_VALUE"""),"Magic")</f>
        <v>Magic</v>
      </c>
      <c r="G332" s="58">
        <f ca="1">IFERROR(__xludf.DUMMYFUNCTION("""COMPUTED_VALUE"""),1588)</f>
        <v>1588</v>
      </c>
    </row>
    <row r="333" spans="1:7" ht="13.2">
      <c r="A333" s="16"/>
      <c r="B333" s="17"/>
      <c r="D333" s="16">
        <f ca="1">IFERROR(__xludf.DUMMYFUNCTION("""COMPUTED_VALUE"""),166)</f>
        <v>166</v>
      </c>
      <c r="E333" s="16" t="str">
        <f ca="1">IFERROR(__xludf.DUMMYFUNCTION("""COMPUTED_VALUE"""),"Nolzur’s marvelous pigments")</f>
        <v>Nolzur’s marvelous pigments</v>
      </c>
      <c r="F333" s="16" t="str">
        <f ca="1">IFERROR(__xludf.DUMMYFUNCTION("""COMPUTED_VALUE"""),"Magic")</f>
        <v>Magic</v>
      </c>
      <c r="G333" s="58">
        <f ca="1">IFERROR(__xludf.DUMMYFUNCTION("""COMPUTED_VALUE"""),1564)</f>
        <v>1564</v>
      </c>
    </row>
    <row r="334" spans="1:7" ht="13.2">
      <c r="A334" s="16"/>
      <c r="B334" s="17"/>
      <c r="D334" s="16">
        <f ca="1">IFERROR(__xludf.DUMMYFUNCTION("""COMPUTED_VALUE"""),167)</f>
        <v>167</v>
      </c>
      <c r="E334" s="16" t="str">
        <f ca="1">IFERROR(__xludf.DUMMYFUNCTION("""COMPUTED_VALUE"""),"Oathbow")</f>
        <v>Oathbow</v>
      </c>
      <c r="F334" s="16" t="str">
        <f ca="1">IFERROR(__xludf.DUMMYFUNCTION("""COMPUTED_VALUE"""),"Magic")</f>
        <v>Magic</v>
      </c>
      <c r="G334" s="58">
        <f ca="1">IFERROR(__xludf.DUMMYFUNCTION("""COMPUTED_VALUE"""),1588)</f>
        <v>1588</v>
      </c>
    </row>
    <row r="335" spans="1:7" ht="13.2">
      <c r="A335" s="16"/>
      <c r="B335" s="17"/>
      <c r="D335" s="16">
        <f ca="1">IFERROR(__xludf.DUMMYFUNCTION("""COMPUTED_VALUE"""),168)</f>
        <v>168</v>
      </c>
      <c r="E335" s="16" t="str">
        <f ca="1">IFERROR(__xludf.DUMMYFUNCTION("""COMPUTED_VALUE"""),"Oil of etherealness")</f>
        <v>Oil of etherealness</v>
      </c>
      <c r="F335" s="16" t="str">
        <f ca="1">IFERROR(__xludf.DUMMYFUNCTION("""COMPUTED_VALUE"""),"Magic")</f>
        <v>Magic</v>
      </c>
      <c r="G335" s="58">
        <f ca="1">IFERROR(__xludf.DUMMYFUNCTION("""COMPUTED_VALUE"""),928)</f>
        <v>928</v>
      </c>
    </row>
    <row r="336" spans="1:7" ht="13.2">
      <c r="A336" s="16"/>
      <c r="B336" s="17"/>
      <c r="D336" s="16">
        <f ca="1">IFERROR(__xludf.DUMMYFUNCTION("""COMPUTED_VALUE"""),169)</f>
        <v>169</v>
      </c>
      <c r="E336" s="16" t="str">
        <f ca="1">IFERROR(__xludf.DUMMYFUNCTION("""COMPUTED_VALUE"""),"Oil of sharpness")</f>
        <v>Oil of sharpness</v>
      </c>
      <c r="F336" s="16" t="str">
        <f ca="1">IFERROR(__xludf.DUMMYFUNCTION("""COMPUTED_VALUE"""),"Magic")</f>
        <v>Magic</v>
      </c>
      <c r="G336" s="58">
        <f ca="1">IFERROR(__xludf.DUMMYFUNCTION("""COMPUTED_VALUE"""),1592)</f>
        <v>1592</v>
      </c>
    </row>
    <row r="337" spans="1:7" ht="13.2">
      <c r="A337" s="16"/>
      <c r="B337" s="17"/>
      <c r="D337" s="16">
        <f ca="1">IFERROR(__xludf.DUMMYFUNCTION("""COMPUTED_VALUE"""),170)</f>
        <v>170</v>
      </c>
      <c r="E337" s="16" t="str">
        <f ca="1">IFERROR(__xludf.DUMMYFUNCTION("""COMPUTED_VALUE"""),"Oil of slipperiness")</f>
        <v>Oil of slipperiness</v>
      </c>
      <c r="F337" s="16" t="str">
        <f ca="1">IFERROR(__xludf.DUMMYFUNCTION("""COMPUTED_VALUE"""),"Magic")</f>
        <v>Magic</v>
      </c>
      <c r="G337" s="58">
        <f ca="1">IFERROR(__xludf.DUMMYFUNCTION("""COMPUTED_VALUE"""),374)</f>
        <v>374</v>
      </c>
    </row>
    <row r="338" spans="1:7" ht="13.2">
      <c r="A338" s="16"/>
      <c r="B338" s="17"/>
      <c r="D338" s="16">
        <f ca="1">IFERROR(__xludf.DUMMYFUNCTION("""COMPUTED_VALUE"""),171)</f>
        <v>171</v>
      </c>
      <c r="E338" s="16" t="str">
        <f ca="1">IFERROR(__xludf.DUMMYFUNCTION("""COMPUTED_VALUE"""),"Pearl of power")</f>
        <v>Pearl of power</v>
      </c>
      <c r="F338" s="16" t="str">
        <f ca="1">IFERROR(__xludf.DUMMYFUNCTION("""COMPUTED_VALUE"""),"Magic")</f>
        <v>Magic</v>
      </c>
      <c r="G338" s="58">
        <f ca="1">IFERROR(__xludf.DUMMYFUNCTION("""COMPUTED_VALUE"""),386)</f>
        <v>386</v>
      </c>
    </row>
    <row r="339" spans="1:7" ht="13.2">
      <c r="A339" s="16"/>
      <c r="B339" s="17"/>
      <c r="D339" s="16">
        <f ca="1">IFERROR(__xludf.DUMMYFUNCTION("""COMPUTED_VALUE"""),172)</f>
        <v>172</v>
      </c>
      <c r="E339" s="16" t="str">
        <f ca="1">IFERROR(__xludf.DUMMYFUNCTION("""COMPUTED_VALUE"""),"Periapt of health")</f>
        <v>Periapt of health</v>
      </c>
      <c r="F339" s="16" t="str">
        <f ca="1">IFERROR(__xludf.DUMMYFUNCTION("""COMPUTED_VALUE"""),"Magic")</f>
        <v>Magic</v>
      </c>
      <c r="G339" s="58">
        <f ca="1">IFERROR(__xludf.DUMMYFUNCTION("""COMPUTED_VALUE"""),374)</f>
        <v>374</v>
      </c>
    </row>
    <row r="340" spans="1:7" ht="13.2">
      <c r="A340" s="16"/>
      <c r="B340" s="17"/>
      <c r="D340" s="16">
        <f ca="1">IFERROR(__xludf.DUMMYFUNCTION("""COMPUTED_VALUE"""),173)</f>
        <v>173</v>
      </c>
      <c r="E340" s="16" t="str">
        <f ca="1">IFERROR(__xludf.DUMMYFUNCTION("""COMPUTED_VALUE"""),"Periapt of proof against poison")</f>
        <v>Periapt of proof against poison</v>
      </c>
      <c r="F340" s="16" t="str">
        <f ca="1">IFERROR(__xludf.DUMMYFUNCTION("""COMPUTED_VALUE"""),"Magic")</f>
        <v>Magic</v>
      </c>
      <c r="G340" s="58">
        <f ca="1">IFERROR(__xludf.DUMMYFUNCTION("""COMPUTED_VALUE"""),949)</f>
        <v>949</v>
      </c>
    </row>
    <row r="341" spans="1:7" ht="13.2">
      <c r="A341" s="16"/>
      <c r="B341" s="17"/>
      <c r="D341" s="16">
        <f ca="1">IFERROR(__xludf.DUMMYFUNCTION("""COMPUTED_VALUE"""),174)</f>
        <v>174</v>
      </c>
      <c r="E341" s="16" t="str">
        <f ca="1">IFERROR(__xludf.DUMMYFUNCTION("""COMPUTED_VALUE"""),"Periapt of wound closure")</f>
        <v>Periapt of wound closure</v>
      </c>
      <c r="F341" s="16" t="str">
        <f ca="1">IFERROR(__xludf.DUMMYFUNCTION("""COMPUTED_VALUE"""),"Magic")</f>
        <v>Magic</v>
      </c>
      <c r="G341" s="58">
        <f ca="1">IFERROR(__xludf.DUMMYFUNCTION("""COMPUTED_VALUE"""),374)</f>
        <v>374</v>
      </c>
    </row>
    <row r="342" spans="1:7" ht="13.2">
      <c r="A342" s="16"/>
      <c r="B342" s="17"/>
      <c r="D342" s="16">
        <f ca="1">IFERROR(__xludf.DUMMYFUNCTION("""COMPUTED_VALUE"""),175)</f>
        <v>175</v>
      </c>
      <c r="E342" s="16" t="str">
        <f ca="1">IFERROR(__xludf.DUMMYFUNCTION("""COMPUTED_VALUE"""),"Philter of love")</f>
        <v>Philter of love</v>
      </c>
      <c r="F342" s="16" t="str">
        <f ca="1">IFERROR(__xludf.DUMMYFUNCTION("""COMPUTED_VALUE"""),"Magic")</f>
        <v>Magic</v>
      </c>
      <c r="G342" s="58">
        <f ca="1">IFERROR(__xludf.DUMMYFUNCTION("""COMPUTED_VALUE"""),388)</f>
        <v>388</v>
      </c>
    </row>
    <row r="343" spans="1:7" ht="13.2">
      <c r="A343" s="16"/>
      <c r="B343" s="17"/>
      <c r="D343" s="16">
        <f ca="1">IFERROR(__xludf.DUMMYFUNCTION("""COMPUTED_VALUE"""),176)</f>
        <v>176</v>
      </c>
      <c r="E343" s="16" t="str">
        <f ca="1">IFERROR(__xludf.DUMMYFUNCTION("""COMPUTED_VALUE"""),"Pipes of haunting")</f>
        <v>Pipes of haunting</v>
      </c>
      <c r="F343" s="16" t="str">
        <f ca="1">IFERROR(__xludf.DUMMYFUNCTION("""COMPUTED_VALUE"""),"Magic")</f>
        <v>Magic</v>
      </c>
      <c r="G343" s="58">
        <f ca="1">IFERROR(__xludf.DUMMYFUNCTION("""COMPUTED_VALUE"""),376)</f>
        <v>376</v>
      </c>
    </row>
    <row r="344" spans="1:7" ht="13.2">
      <c r="A344" s="16"/>
      <c r="B344" s="17"/>
      <c r="D344" s="16">
        <f ca="1">IFERROR(__xludf.DUMMYFUNCTION("""COMPUTED_VALUE"""),177)</f>
        <v>177</v>
      </c>
      <c r="E344" s="16" t="str">
        <f ca="1">IFERROR(__xludf.DUMMYFUNCTION("""COMPUTED_VALUE"""),"Pipes of the sewers")</f>
        <v>Pipes of the sewers</v>
      </c>
      <c r="F344" s="16" t="str">
        <f ca="1">IFERROR(__xludf.DUMMYFUNCTION("""COMPUTED_VALUE"""),"Magic")</f>
        <v>Magic</v>
      </c>
      <c r="G344" s="58">
        <f ca="1">IFERROR(__xludf.DUMMYFUNCTION("""COMPUTED_VALUE"""),388)</f>
        <v>388</v>
      </c>
    </row>
    <row r="345" spans="1:7" ht="13.2">
      <c r="A345" s="16"/>
      <c r="B345" s="17"/>
      <c r="D345" s="16">
        <f ca="1">IFERROR(__xludf.DUMMYFUNCTION("""COMPUTED_VALUE"""),178)</f>
        <v>178</v>
      </c>
      <c r="E345" s="16" t="str">
        <f ca="1">IFERROR(__xludf.DUMMYFUNCTION("""COMPUTED_VALUE"""),"Plate armor of etherealness")</f>
        <v>Plate armor of etherealness</v>
      </c>
      <c r="F345" s="16" t="str">
        <f ca="1">IFERROR(__xludf.DUMMYFUNCTION("""COMPUTED_VALUE"""),"Magic")</f>
        <v>Magic</v>
      </c>
      <c r="G345" s="58">
        <f ca="1">IFERROR(__xludf.DUMMYFUNCTION("""COMPUTED_VALUE"""),3040)</f>
        <v>3040</v>
      </c>
    </row>
    <row r="346" spans="1:7" ht="13.2">
      <c r="A346" s="16"/>
      <c r="B346" s="17"/>
      <c r="D346" s="16">
        <f ca="1">IFERROR(__xludf.DUMMYFUNCTION("""COMPUTED_VALUE"""),179)</f>
        <v>179</v>
      </c>
      <c r="E346" s="16" t="str">
        <f ca="1">IFERROR(__xludf.DUMMYFUNCTION("""COMPUTED_VALUE"""),"Portable hole")</f>
        <v>Portable hole</v>
      </c>
      <c r="F346" s="16" t="str">
        <f ca="1">IFERROR(__xludf.DUMMYFUNCTION("""COMPUTED_VALUE"""),"Magic")</f>
        <v>Magic</v>
      </c>
      <c r="G346" s="58">
        <f ca="1">IFERROR(__xludf.DUMMYFUNCTION("""COMPUTED_VALUE"""),952)</f>
        <v>952</v>
      </c>
    </row>
    <row r="347" spans="1:7" ht="13.2">
      <c r="A347" s="16"/>
      <c r="B347" s="17"/>
      <c r="D347" s="16">
        <f ca="1">IFERROR(__xludf.DUMMYFUNCTION("""COMPUTED_VALUE"""),180)</f>
        <v>180</v>
      </c>
      <c r="E347" s="16" t="str">
        <f ca="1">IFERROR(__xludf.DUMMYFUNCTION("""COMPUTED_VALUE"""),"Potion of animal friendship")</f>
        <v>Potion of animal friendship</v>
      </c>
      <c r="F347" s="16" t="str">
        <f ca="1">IFERROR(__xludf.DUMMYFUNCTION("""COMPUTED_VALUE"""),"Magic")</f>
        <v>Magic</v>
      </c>
      <c r="G347" s="58">
        <f ca="1">IFERROR(__xludf.DUMMYFUNCTION("""COMPUTED_VALUE"""),376)</f>
        <v>376</v>
      </c>
    </row>
    <row r="348" spans="1:7" ht="13.2">
      <c r="A348" s="16"/>
      <c r="B348" s="17"/>
      <c r="D348" s="16">
        <f ca="1">IFERROR(__xludf.DUMMYFUNCTION("""COMPUTED_VALUE"""),181)</f>
        <v>181</v>
      </c>
      <c r="E348" s="16" t="str">
        <f ca="1">IFERROR(__xludf.DUMMYFUNCTION("""COMPUTED_VALUE"""),"Potion of clairvoyance")</f>
        <v>Potion of clairvoyance</v>
      </c>
      <c r="F348" s="16" t="str">
        <f ca="1">IFERROR(__xludf.DUMMYFUNCTION("""COMPUTED_VALUE"""),"Magic")</f>
        <v>Magic</v>
      </c>
      <c r="G348" s="58">
        <f ca="1">IFERROR(__xludf.DUMMYFUNCTION("""COMPUTED_VALUE"""),919)</f>
        <v>919</v>
      </c>
    </row>
    <row r="349" spans="1:7" ht="13.2">
      <c r="A349" s="16"/>
      <c r="B349" s="17"/>
      <c r="D349" s="16">
        <f ca="1">IFERROR(__xludf.DUMMYFUNCTION("""COMPUTED_VALUE"""),182)</f>
        <v>182</v>
      </c>
      <c r="E349" s="16" t="str">
        <f ca="1">IFERROR(__xludf.DUMMYFUNCTION("""COMPUTED_VALUE"""),"Potion of climbing")</f>
        <v>Potion of climbing</v>
      </c>
      <c r="F349" s="16" t="str">
        <f ca="1">IFERROR(__xludf.DUMMYFUNCTION("""COMPUTED_VALUE"""),"Magic")</f>
        <v>Magic</v>
      </c>
      <c r="G349" s="58">
        <f ca="1">IFERROR(__xludf.DUMMYFUNCTION("""COMPUTED_VALUE"""),119)</f>
        <v>119</v>
      </c>
    </row>
    <row r="350" spans="1:7" ht="13.2">
      <c r="A350" s="16"/>
      <c r="B350" s="17"/>
      <c r="D350" s="16">
        <f ca="1">IFERROR(__xludf.DUMMYFUNCTION("""COMPUTED_VALUE"""),183)</f>
        <v>183</v>
      </c>
      <c r="E350" s="16" t="str">
        <f ca="1">IFERROR(__xludf.DUMMYFUNCTION("""COMPUTED_VALUE"""),"Potion of diminution")</f>
        <v>Potion of diminution</v>
      </c>
      <c r="F350" s="16" t="str">
        <f ca="1">IFERROR(__xludf.DUMMYFUNCTION("""COMPUTED_VALUE"""),"Magic")</f>
        <v>Magic</v>
      </c>
      <c r="G350" s="58">
        <f ca="1">IFERROR(__xludf.DUMMYFUNCTION("""COMPUTED_VALUE"""),919)</f>
        <v>919</v>
      </c>
    </row>
    <row r="351" spans="1:7" ht="13.2">
      <c r="A351" s="16"/>
      <c r="B351" s="17"/>
      <c r="D351" s="16">
        <f ca="1">IFERROR(__xludf.DUMMYFUNCTION("""COMPUTED_VALUE"""),184)</f>
        <v>184</v>
      </c>
      <c r="E351" s="16" t="str">
        <f ca="1">IFERROR(__xludf.DUMMYFUNCTION("""COMPUTED_VALUE"""),"Potion of fire breath")</f>
        <v>Potion of fire breath</v>
      </c>
      <c r="F351" s="16" t="str">
        <f ca="1">IFERROR(__xludf.DUMMYFUNCTION("""COMPUTED_VALUE"""),"Magic")</f>
        <v>Magic</v>
      </c>
      <c r="G351" s="58">
        <f ca="1">IFERROR(__xludf.DUMMYFUNCTION("""COMPUTED_VALUE"""),378)</f>
        <v>378</v>
      </c>
    </row>
    <row r="352" spans="1:7" ht="13.2">
      <c r="A352" s="16"/>
      <c r="B352" s="17"/>
      <c r="D352" s="16">
        <f ca="1">IFERROR(__xludf.DUMMYFUNCTION("""COMPUTED_VALUE"""),185)</f>
        <v>185</v>
      </c>
      <c r="E352" s="16" t="str">
        <f ca="1">IFERROR(__xludf.DUMMYFUNCTION("""COMPUTED_VALUE"""),"Potion of flying")</f>
        <v>Potion of flying</v>
      </c>
      <c r="F352" s="16" t="str">
        <f ca="1">IFERROR(__xludf.DUMMYFUNCTION("""COMPUTED_VALUE"""),"Magic")</f>
        <v>Magic</v>
      </c>
      <c r="G352" s="58">
        <f ca="1">IFERROR(__xludf.DUMMYFUNCTION("""COMPUTED_VALUE"""),1552)</f>
        <v>1552</v>
      </c>
    </row>
    <row r="353" spans="1:7" ht="13.2">
      <c r="A353" s="16"/>
      <c r="B353" s="17"/>
      <c r="D353" s="16">
        <f ca="1">IFERROR(__xludf.DUMMYFUNCTION("""COMPUTED_VALUE"""),186)</f>
        <v>186</v>
      </c>
      <c r="E353" s="16" t="str">
        <f ca="1">IFERROR(__xludf.DUMMYFUNCTION("""COMPUTED_VALUE"""),"Potion of gaseous form")</f>
        <v>Potion of gaseous form</v>
      </c>
      <c r="F353" s="16" t="str">
        <f ca="1">IFERROR(__xludf.DUMMYFUNCTION("""COMPUTED_VALUE"""),"Magic")</f>
        <v>Magic</v>
      </c>
      <c r="G353" s="58">
        <f ca="1">IFERROR(__xludf.DUMMYFUNCTION("""COMPUTED_VALUE"""),937)</f>
        <v>937</v>
      </c>
    </row>
    <row r="354" spans="1:7" ht="13.2">
      <c r="A354" s="16"/>
      <c r="B354" s="17"/>
      <c r="D354" s="16">
        <f ca="1">IFERROR(__xludf.DUMMYFUNCTION("""COMPUTED_VALUE"""),187)</f>
        <v>187</v>
      </c>
      <c r="E354" s="16" t="str">
        <f ca="1">IFERROR(__xludf.DUMMYFUNCTION("""COMPUTED_VALUE"""),"Potion of giant strength (cloud giant)")</f>
        <v>Potion of giant strength (cloud giant)</v>
      </c>
      <c r="F354" s="16" t="str">
        <f ca="1">IFERROR(__xludf.DUMMYFUNCTION("""COMPUTED_VALUE"""),"Magic")</f>
        <v>Magic</v>
      </c>
      <c r="G354" s="58">
        <f ca="1">IFERROR(__xludf.DUMMYFUNCTION("""COMPUTED_VALUE"""),1556)</f>
        <v>1556</v>
      </c>
    </row>
    <row r="355" spans="1:7" ht="13.2">
      <c r="A355" s="16"/>
      <c r="B355" s="17"/>
      <c r="D355" s="16">
        <f ca="1">IFERROR(__xludf.DUMMYFUNCTION("""COMPUTED_VALUE"""),188)</f>
        <v>188</v>
      </c>
      <c r="E355" s="16" t="str">
        <f ca="1">IFERROR(__xludf.DUMMYFUNCTION("""COMPUTED_VALUE"""),"Potion of giant strength (fire giant)")</f>
        <v>Potion of giant strength (fire giant)</v>
      </c>
      <c r="F355" s="16" t="str">
        <f ca="1">IFERROR(__xludf.DUMMYFUNCTION("""COMPUTED_VALUE"""),"Magic")</f>
        <v>Magic</v>
      </c>
      <c r="G355" s="58">
        <f ca="1">IFERROR(__xludf.DUMMYFUNCTION("""COMPUTED_VALUE"""),940)</f>
        <v>940</v>
      </c>
    </row>
    <row r="356" spans="1:7" ht="13.2">
      <c r="A356" s="16"/>
      <c r="B356" s="17"/>
      <c r="D356" s="16">
        <f ca="1">IFERROR(__xludf.DUMMYFUNCTION("""COMPUTED_VALUE"""),189)</f>
        <v>189</v>
      </c>
      <c r="E356" s="16" t="str">
        <f ca="1">IFERROR(__xludf.DUMMYFUNCTION("""COMPUTED_VALUE"""),"Potion of giant strength (frost or stone giant)")</f>
        <v>Potion of giant strength (frost or stone giant)</v>
      </c>
      <c r="F356" s="16" t="str">
        <f ca="1">IFERROR(__xludf.DUMMYFUNCTION("""COMPUTED_VALUE"""),"Magic")</f>
        <v>Magic</v>
      </c>
      <c r="G356" s="58">
        <f ca="1">IFERROR(__xludf.DUMMYFUNCTION("""COMPUTED_VALUE"""),922)</f>
        <v>922</v>
      </c>
    </row>
    <row r="357" spans="1:7" ht="13.2">
      <c r="A357" s="16"/>
      <c r="B357" s="17"/>
      <c r="D357" s="16">
        <f ca="1">IFERROR(__xludf.DUMMYFUNCTION("""COMPUTED_VALUE"""),190)</f>
        <v>190</v>
      </c>
      <c r="E357" s="16" t="str">
        <f ca="1">IFERROR(__xludf.DUMMYFUNCTION("""COMPUTED_VALUE"""),"Potion of giant strength (hill giant)")</f>
        <v>Potion of giant strength (hill giant)</v>
      </c>
      <c r="F357" s="16" t="str">
        <f ca="1">IFERROR(__xludf.DUMMYFUNCTION("""COMPUTED_VALUE"""),"Magic")</f>
        <v>Magic</v>
      </c>
      <c r="G357" s="58">
        <f ca="1">IFERROR(__xludf.DUMMYFUNCTION("""COMPUTED_VALUE"""),380)</f>
        <v>380</v>
      </c>
    </row>
    <row r="358" spans="1:7" ht="13.2">
      <c r="A358" s="16"/>
      <c r="B358" s="17"/>
      <c r="D358" s="16">
        <f ca="1">IFERROR(__xludf.DUMMYFUNCTION("""COMPUTED_VALUE"""),191)</f>
        <v>191</v>
      </c>
      <c r="E358" s="16" t="str">
        <f ca="1">IFERROR(__xludf.DUMMYFUNCTION("""COMPUTED_VALUE"""),"Potion of giant strength (storm giant)")</f>
        <v>Potion of giant strength (storm giant)</v>
      </c>
      <c r="F358" s="16" t="str">
        <f ca="1">IFERROR(__xludf.DUMMYFUNCTION("""COMPUTED_VALUE"""),"Magic")</f>
        <v>Magic</v>
      </c>
      <c r="G358" s="58">
        <f ca="1">IFERROR(__xludf.DUMMYFUNCTION("""COMPUTED_VALUE"""),3020)</f>
        <v>3020</v>
      </c>
    </row>
    <row r="359" spans="1:7" ht="13.2">
      <c r="A359" s="16"/>
      <c r="B359" s="17"/>
      <c r="D359" s="16">
        <f ca="1">IFERROR(__xludf.DUMMYFUNCTION("""COMPUTED_VALUE"""),192)</f>
        <v>192</v>
      </c>
      <c r="E359" s="16" t="str">
        <f ca="1">IFERROR(__xludf.DUMMYFUNCTION("""COMPUTED_VALUE"""),"Potion of greater healing")</f>
        <v>Potion of greater healing</v>
      </c>
      <c r="F359" s="16" t="str">
        <f ca="1">IFERROR(__xludf.DUMMYFUNCTION("""COMPUTED_VALUE"""),"Magic")</f>
        <v>Magic</v>
      </c>
      <c r="G359" s="58">
        <f ca="1">IFERROR(__xludf.DUMMYFUNCTION("""COMPUTED_VALUE"""),380)</f>
        <v>380</v>
      </c>
    </row>
    <row r="360" spans="1:7" ht="13.2">
      <c r="A360" s="16"/>
      <c r="B360" s="17"/>
      <c r="D360" s="16">
        <f ca="1">IFERROR(__xludf.DUMMYFUNCTION("""COMPUTED_VALUE"""),193)</f>
        <v>193</v>
      </c>
      <c r="E360" s="16" t="str">
        <f ca="1">IFERROR(__xludf.DUMMYFUNCTION("""COMPUTED_VALUE"""),"Potion of growth")</f>
        <v>Potion of growth</v>
      </c>
      <c r="F360" s="16" t="str">
        <f ca="1">IFERROR(__xludf.DUMMYFUNCTION("""COMPUTED_VALUE"""),"Magic")</f>
        <v>Magic</v>
      </c>
      <c r="G360" s="58">
        <f ca="1">IFERROR(__xludf.DUMMYFUNCTION("""COMPUTED_VALUE"""),370)</f>
        <v>370</v>
      </c>
    </row>
    <row r="361" spans="1:7" ht="13.2">
      <c r="A361" s="16"/>
      <c r="B361" s="17"/>
      <c r="D361" s="16">
        <f ca="1">IFERROR(__xludf.DUMMYFUNCTION("""COMPUTED_VALUE"""),194)</f>
        <v>194</v>
      </c>
      <c r="E361" s="16" t="str">
        <f ca="1">IFERROR(__xludf.DUMMYFUNCTION("""COMPUTED_VALUE"""),"Potion of healing")</f>
        <v>Potion of healing</v>
      </c>
      <c r="F361" s="16" t="str">
        <f ca="1">IFERROR(__xludf.DUMMYFUNCTION("""COMPUTED_VALUE"""),"Magic")</f>
        <v>Magic</v>
      </c>
      <c r="G361" s="58">
        <f ca="1">IFERROR(__xludf.DUMMYFUNCTION("""COMPUTED_VALUE"""),121)</f>
        <v>121</v>
      </c>
    </row>
    <row r="362" spans="1:7" ht="13.2">
      <c r="A362" s="16"/>
      <c r="B362" s="17"/>
      <c r="D362" s="16">
        <f ca="1">IFERROR(__xludf.DUMMYFUNCTION("""COMPUTED_VALUE"""),195)</f>
        <v>195</v>
      </c>
      <c r="E362" s="16" t="str">
        <f ca="1">IFERROR(__xludf.DUMMYFUNCTION("""COMPUTED_VALUE"""),"Potion of superior healing")</f>
        <v>Potion of superior healing</v>
      </c>
      <c r="F362" s="16" t="str">
        <f ca="1">IFERROR(__xludf.DUMMYFUNCTION("""COMPUTED_VALUE"""),"Magic")</f>
        <v>Magic</v>
      </c>
      <c r="G362" s="58">
        <f ca="1">IFERROR(__xludf.DUMMYFUNCTION("""COMPUTED_VALUE"""),925)</f>
        <v>925</v>
      </c>
    </row>
    <row r="363" spans="1:7" ht="13.2">
      <c r="A363" s="16"/>
      <c r="B363" s="17"/>
      <c r="D363" s="16">
        <f ca="1">IFERROR(__xludf.DUMMYFUNCTION("""COMPUTED_VALUE"""),196)</f>
        <v>196</v>
      </c>
      <c r="E363" s="16" t="str">
        <f ca="1">IFERROR(__xludf.DUMMYFUNCTION("""COMPUTED_VALUE"""),"Potion of supreme healing")</f>
        <v>Potion of supreme healing</v>
      </c>
      <c r="F363" s="16" t="str">
        <f ca="1">IFERROR(__xludf.DUMMYFUNCTION("""COMPUTED_VALUE"""),"Magic")</f>
        <v>Magic</v>
      </c>
      <c r="G363" s="58">
        <f ca="1">IFERROR(__xludf.DUMMYFUNCTION("""COMPUTED_VALUE"""),1584)</f>
        <v>1584</v>
      </c>
    </row>
    <row r="364" spans="1:7" ht="13.2">
      <c r="A364" s="16"/>
      <c r="B364" s="17"/>
      <c r="D364" s="16">
        <f ca="1">IFERROR(__xludf.DUMMYFUNCTION("""COMPUTED_VALUE"""),197)</f>
        <v>197</v>
      </c>
      <c r="E364" s="16" t="str">
        <f ca="1">IFERROR(__xludf.DUMMYFUNCTION("""COMPUTED_VALUE"""),"Potion of heroism")</f>
        <v>Potion of heroism</v>
      </c>
      <c r="F364" s="16" t="str">
        <f ca="1">IFERROR(__xludf.DUMMYFUNCTION("""COMPUTED_VALUE"""),"Magic")</f>
        <v>Magic</v>
      </c>
      <c r="G364" s="58">
        <f ca="1">IFERROR(__xludf.DUMMYFUNCTION("""COMPUTED_VALUE"""),925)</f>
        <v>925</v>
      </c>
    </row>
    <row r="365" spans="1:7" ht="13.2">
      <c r="A365" s="16"/>
      <c r="B365" s="17"/>
      <c r="D365" s="16">
        <f ca="1">IFERROR(__xludf.DUMMYFUNCTION("""COMPUTED_VALUE"""),198)</f>
        <v>198</v>
      </c>
      <c r="E365" s="16" t="str">
        <f ca="1">IFERROR(__xludf.DUMMYFUNCTION("""COMPUTED_VALUE"""),"Potion of invisibility")</f>
        <v>Potion of invisibility</v>
      </c>
      <c r="F365" s="16" t="str">
        <f ca="1">IFERROR(__xludf.DUMMYFUNCTION("""COMPUTED_VALUE"""),"Magic")</f>
        <v>Magic</v>
      </c>
      <c r="G365" s="58">
        <f ca="1">IFERROR(__xludf.DUMMYFUNCTION("""COMPUTED_VALUE"""),1584)</f>
        <v>1584</v>
      </c>
    </row>
    <row r="366" spans="1:7" ht="13.2">
      <c r="A366" s="16"/>
      <c r="B366" s="17"/>
      <c r="D366" s="16">
        <f ca="1">IFERROR(__xludf.DUMMYFUNCTION("""COMPUTED_VALUE"""),199)</f>
        <v>199</v>
      </c>
      <c r="E366" s="16" t="str">
        <f ca="1">IFERROR(__xludf.DUMMYFUNCTION("""COMPUTED_VALUE"""),"Potion of invulnerability")</f>
        <v>Potion of invulnerability</v>
      </c>
      <c r="F366" s="16" t="str">
        <f ca="1">IFERROR(__xludf.DUMMYFUNCTION("""COMPUTED_VALUE"""),"Magic")</f>
        <v>Magic</v>
      </c>
      <c r="G366" s="58">
        <f ca="1">IFERROR(__xludf.DUMMYFUNCTION("""COMPUTED_VALUE"""),928)</f>
        <v>928</v>
      </c>
    </row>
    <row r="367" spans="1:7" ht="13.2">
      <c r="A367" s="16"/>
      <c r="B367" s="17"/>
      <c r="D367" s="16">
        <f ca="1">IFERROR(__xludf.DUMMYFUNCTION("""COMPUTED_VALUE"""),200)</f>
        <v>200</v>
      </c>
      <c r="E367" s="16" t="str">
        <f ca="1">IFERROR(__xludf.DUMMYFUNCTION("""COMPUTED_VALUE"""),"Potion of longevity")</f>
        <v>Potion of longevity</v>
      </c>
      <c r="F367" s="16" t="str">
        <f ca="1">IFERROR(__xludf.DUMMYFUNCTION("""COMPUTED_VALUE"""),"Magic")</f>
        <v>Magic</v>
      </c>
      <c r="G367" s="58">
        <f ca="1">IFERROR(__xludf.DUMMYFUNCTION("""COMPUTED_VALUE"""),1588)</f>
        <v>1588</v>
      </c>
    </row>
    <row r="368" spans="1:7" ht="13.2">
      <c r="A368" s="16"/>
      <c r="B368" s="17"/>
      <c r="D368" s="16">
        <f ca="1">IFERROR(__xludf.DUMMYFUNCTION("""COMPUTED_VALUE"""),201)</f>
        <v>201</v>
      </c>
      <c r="E368" s="16" t="str">
        <f ca="1">IFERROR(__xludf.DUMMYFUNCTION("""COMPUTED_VALUE"""),"Potion of mind reading")</f>
        <v>Potion of mind reading</v>
      </c>
      <c r="F368" s="16" t="str">
        <f ca="1">IFERROR(__xludf.DUMMYFUNCTION("""COMPUTED_VALUE"""),"Magic")</f>
        <v>Magic</v>
      </c>
      <c r="G368" s="58">
        <f ca="1">IFERROR(__xludf.DUMMYFUNCTION("""COMPUTED_VALUE"""),928)</f>
        <v>928</v>
      </c>
    </row>
    <row r="369" spans="1:7" ht="13.2">
      <c r="A369" s="16"/>
      <c r="B369" s="17"/>
      <c r="D369" s="16">
        <f ca="1">IFERROR(__xludf.DUMMYFUNCTION("""COMPUTED_VALUE"""),202)</f>
        <v>202</v>
      </c>
      <c r="E369" s="16" t="str">
        <f ca="1">IFERROR(__xludf.DUMMYFUNCTION("""COMPUTED_VALUE"""),"Potion of poison")</f>
        <v>Potion of poison</v>
      </c>
      <c r="F369" s="16" t="str">
        <f ca="1">IFERROR(__xludf.DUMMYFUNCTION("""COMPUTED_VALUE"""),"Magic")</f>
        <v>Magic</v>
      </c>
      <c r="G369" s="58">
        <f ca="1">IFERROR(__xludf.DUMMYFUNCTION("""COMPUTED_VALUE"""),384)</f>
        <v>384</v>
      </c>
    </row>
    <row r="370" spans="1:7" ht="13.2">
      <c r="A370" s="16"/>
      <c r="B370" s="17"/>
      <c r="D370" s="16">
        <f ca="1">IFERROR(__xludf.DUMMYFUNCTION("""COMPUTED_VALUE"""),203)</f>
        <v>203</v>
      </c>
      <c r="E370" s="16" t="str">
        <f ca="1">IFERROR(__xludf.DUMMYFUNCTION("""COMPUTED_VALUE"""),"Potion of resistance")</f>
        <v>Potion of resistance</v>
      </c>
      <c r="F370" s="16" t="str">
        <f ca="1">IFERROR(__xludf.DUMMYFUNCTION("""COMPUTED_VALUE"""),"Magic")</f>
        <v>Magic</v>
      </c>
      <c r="G370" s="58">
        <f ca="1">IFERROR(__xludf.DUMMYFUNCTION("""COMPUTED_VALUE"""),372)</f>
        <v>372</v>
      </c>
    </row>
    <row r="371" spans="1:7" ht="13.2">
      <c r="A371" s="16"/>
      <c r="B371" s="17"/>
      <c r="D371" s="16">
        <f ca="1">IFERROR(__xludf.DUMMYFUNCTION("""COMPUTED_VALUE"""),204)</f>
        <v>204</v>
      </c>
      <c r="E371" s="16" t="str">
        <f ca="1">IFERROR(__xludf.DUMMYFUNCTION("""COMPUTED_VALUE"""),"Potion of speed")</f>
        <v>Potion of speed</v>
      </c>
      <c r="F371" s="16" t="str">
        <f ca="1">IFERROR(__xludf.DUMMYFUNCTION("""COMPUTED_VALUE"""),"Magic")</f>
        <v>Magic</v>
      </c>
      <c r="G371" s="58">
        <f ca="1">IFERROR(__xludf.DUMMYFUNCTION("""COMPUTED_VALUE"""),1588)</f>
        <v>1588</v>
      </c>
    </row>
    <row r="372" spans="1:7" ht="13.2">
      <c r="A372" s="16"/>
      <c r="B372" s="17"/>
      <c r="D372" s="16">
        <f ca="1">IFERROR(__xludf.DUMMYFUNCTION("""COMPUTED_VALUE"""),205)</f>
        <v>205</v>
      </c>
      <c r="E372" s="16" t="str">
        <f ca="1">IFERROR(__xludf.DUMMYFUNCTION("""COMPUTED_VALUE"""),"Potion of vitality")</f>
        <v>Potion of vitality</v>
      </c>
      <c r="F372" s="16" t="str">
        <f ca="1">IFERROR(__xludf.DUMMYFUNCTION("""COMPUTED_VALUE"""),"Magic")</f>
        <v>Magic</v>
      </c>
      <c r="G372" s="58">
        <f ca="1">IFERROR(__xludf.DUMMYFUNCTION("""COMPUTED_VALUE"""),1568)</f>
        <v>1568</v>
      </c>
    </row>
    <row r="373" spans="1:7" ht="13.2">
      <c r="A373" s="16"/>
      <c r="B373" s="17"/>
      <c r="D373" s="16">
        <f ca="1">IFERROR(__xludf.DUMMYFUNCTION("""COMPUTED_VALUE"""),206)</f>
        <v>206</v>
      </c>
      <c r="E373" s="16" t="str">
        <f ca="1">IFERROR(__xludf.DUMMYFUNCTION("""COMPUTED_VALUE"""),"Potion of water breathing")</f>
        <v>Potion of water breathing</v>
      </c>
      <c r="F373" s="16" t="str">
        <f ca="1">IFERROR(__xludf.DUMMYFUNCTION("""COMPUTED_VALUE"""),"Magic")</f>
        <v>Magic</v>
      </c>
      <c r="G373" s="58">
        <f ca="1">IFERROR(__xludf.DUMMYFUNCTION("""COMPUTED_VALUE"""),386)</f>
        <v>386</v>
      </c>
    </row>
    <row r="374" spans="1:7" ht="13.2">
      <c r="A374" s="16"/>
      <c r="B374" s="17"/>
      <c r="D374" s="16">
        <f ca="1">IFERROR(__xludf.DUMMYFUNCTION("""COMPUTED_VALUE"""),207)</f>
        <v>207</v>
      </c>
      <c r="E374" s="16" t="str">
        <f ca="1">IFERROR(__xludf.DUMMYFUNCTION("""COMPUTED_VALUE"""),"Quaal’s feather token")</f>
        <v>Quaal’s feather token</v>
      </c>
      <c r="F374" s="16" t="str">
        <f ca="1">IFERROR(__xludf.DUMMYFUNCTION("""COMPUTED_VALUE"""),"Magic")</f>
        <v>Magic</v>
      </c>
      <c r="G374" s="58">
        <f ca="1">IFERROR(__xludf.DUMMYFUNCTION("""COMPUTED_VALUE"""),931)</f>
        <v>931</v>
      </c>
    </row>
    <row r="375" spans="1:7" ht="13.2">
      <c r="A375" s="16"/>
      <c r="B375" s="17"/>
      <c r="D375" s="16">
        <f ca="1">IFERROR(__xludf.DUMMYFUNCTION("""COMPUTED_VALUE"""),208)</f>
        <v>208</v>
      </c>
      <c r="E375" s="16" t="str">
        <f ca="1">IFERROR(__xludf.DUMMYFUNCTION("""COMPUTED_VALUE"""),"Quiver of Ehlonna")</f>
        <v>Quiver of Ehlonna</v>
      </c>
      <c r="F375" s="16" t="str">
        <f ca="1">IFERROR(__xludf.DUMMYFUNCTION("""COMPUTED_VALUE"""),"Magic")</f>
        <v>Magic</v>
      </c>
      <c r="G375" s="58">
        <f ca="1">IFERROR(__xludf.DUMMYFUNCTION("""COMPUTED_VALUE"""),386)</f>
        <v>386</v>
      </c>
    </row>
    <row r="376" spans="1:7" ht="13.2">
      <c r="A376" s="16"/>
      <c r="B376" s="17"/>
      <c r="D376" s="16">
        <f ca="1">IFERROR(__xludf.DUMMYFUNCTION("""COMPUTED_VALUE"""),209)</f>
        <v>209</v>
      </c>
      <c r="E376" s="16" t="str">
        <f ca="1">IFERROR(__xludf.DUMMYFUNCTION("""COMPUTED_VALUE"""),"Ring of animal influence")</f>
        <v>Ring of animal influence</v>
      </c>
      <c r="F376" s="16" t="str">
        <f ca="1">IFERROR(__xludf.DUMMYFUNCTION("""COMPUTED_VALUE"""),"Magic")</f>
        <v>Magic</v>
      </c>
      <c r="G376" s="58">
        <f ca="1">IFERROR(__xludf.DUMMYFUNCTION("""COMPUTED_VALUE"""),931)</f>
        <v>931</v>
      </c>
    </row>
    <row r="377" spans="1:7" ht="13.2">
      <c r="A377" s="16"/>
      <c r="B377" s="17"/>
      <c r="D377" s="16">
        <f ca="1">IFERROR(__xludf.DUMMYFUNCTION("""COMPUTED_VALUE"""),210)</f>
        <v>210</v>
      </c>
      <c r="E377" s="16" t="str">
        <f ca="1">IFERROR(__xludf.DUMMYFUNCTION("""COMPUTED_VALUE"""),"Ring of djinni summoning")</f>
        <v>Ring of djinni summoning</v>
      </c>
      <c r="F377" s="16" t="str">
        <f ca="1">IFERROR(__xludf.DUMMYFUNCTION("""COMPUTED_VALUE"""),"Magic")</f>
        <v>Magic</v>
      </c>
      <c r="G377" s="58">
        <f ca="1">IFERROR(__xludf.DUMMYFUNCTION("""COMPUTED_VALUE"""),3065)</f>
        <v>3065</v>
      </c>
    </row>
    <row r="378" spans="1:7" ht="13.2">
      <c r="A378" s="16"/>
      <c r="B378" s="17"/>
      <c r="D378" s="16">
        <f ca="1">IFERROR(__xludf.DUMMYFUNCTION("""COMPUTED_VALUE"""),211)</f>
        <v>211</v>
      </c>
      <c r="E378" s="16" t="str">
        <f ca="1">IFERROR(__xludf.DUMMYFUNCTION("""COMPUTED_VALUE"""),"Ring of elemental command")</f>
        <v>Ring of elemental command</v>
      </c>
      <c r="F378" s="16" t="str">
        <f ca="1">IFERROR(__xludf.DUMMYFUNCTION("""COMPUTED_VALUE"""),"Magic")</f>
        <v>Magic</v>
      </c>
      <c r="G378" s="58">
        <f ca="1">IFERROR(__xludf.DUMMYFUNCTION("""COMPUTED_VALUE"""),3040)</f>
        <v>3040</v>
      </c>
    </row>
    <row r="379" spans="1:7" ht="13.2">
      <c r="A379" s="16"/>
      <c r="B379" s="17"/>
      <c r="D379" s="16">
        <f ca="1">IFERROR(__xludf.DUMMYFUNCTION("""COMPUTED_VALUE"""),212)</f>
        <v>212</v>
      </c>
      <c r="E379" s="16" t="str">
        <f ca="1">IFERROR(__xludf.DUMMYFUNCTION("""COMPUTED_VALUE"""),"Ring of evasion")</f>
        <v>Ring of evasion</v>
      </c>
      <c r="F379" s="16" t="str">
        <f ca="1">IFERROR(__xludf.DUMMYFUNCTION("""COMPUTED_VALUE"""),"Magic")</f>
        <v>Magic</v>
      </c>
      <c r="G379" s="58">
        <f ca="1">IFERROR(__xludf.DUMMYFUNCTION("""COMPUTED_VALUE"""),952)</f>
        <v>952</v>
      </c>
    </row>
    <row r="380" spans="1:7" ht="13.2">
      <c r="A380" s="16"/>
      <c r="B380" s="17"/>
      <c r="D380" s="16">
        <f ca="1">IFERROR(__xludf.DUMMYFUNCTION("""COMPUTED_VALUE"""),213)</f>
        <v>213</v>
      </c>
      <c r="E380" s="16" t="str">
        <f ca="1">IFERROR(__xludf.DUMMYFUNCTION("""COMPUTED_VALUE"""),"Ring of feather falling")</f>
        <v>Ring of feather falling</v>
      </c>
      <c r="F380" s="16" t="str">
        <f ca="1">IFERROR(__xludf.DUMMYFUNCTION("""COMPUTED_VALUE"""),"Magic")</f>
        <v>Magic</v>
      </c>
      <c r="G380" s="58">
        <f ca="1">IFERROR(__xludf.DUMMYFUNCTION("""COMPUTED_VALUE"""),934)</f>
        <v>934</v>
      </c>
    </row>
    <row r="381" spans="1:7" ht="13.2">
      <c r="A381" s="16"/>
      <c r="B381" s="17"/>
      <c r="D381" s="16">
        <f ca="1">IFERROR(__xludf.DUMMYFUNCTION("""COMPUTED_VALUE"""),214)</f>
        <v>214</v>
      </c>
      <c r="E381" s="16" t="str">
        <f ca="1">IFERROR(__xludf.DUMMYFUNCTION("""COMPUTED_VALUE"""),"Ring of free action")</f>
        <v>Ring of free action</v>
      </c>
      <c r="F381" s="16" t="str">
        <f ca="1">IFERROR(__xludf.DUMMYFUNCTION("""COMPUTED_VALUE"""),"Magic")</f>
        <v>Magic</v>
      </c>
      <c r="G381" s="58">
        <f ca="1">IFERROR(__xludf.DUMMYFUNCTION("""COMPUTED_VALUE"""),952)</f>
        <v>952</v>
      </c>
    </row>
    <row r="382" spans="1:7" ht="13.2">
      <c r="A382" s="16"/>
      <c r="B382" s="17"/>
      <c r="D382" s="16">
        <f ca="1">IFERROR(__xludf.DUMMYFUNCTION("""COMPUTED_VALUE"""),215)</f>
        <v>215</v>
      </c>
      <c r="E382" s="16" t="str">
        <f ca="1">IFERROR(__xludf.DUMMYFUNCTION("""COMPUTED_VALUE"""),"Ring of invisibility")</f>
        <v>Ring of invisibility</v>
      </c>
      <c r="F382" s="16" t="str">
        <f ca="1">IFERROR(__xludf.DUMMYFUNCTION("""COMPUTED_VALUE"""),"Magic")</f>
        <v>Magic</v>
      </c>
      <c r="G382" s="58">
        <f ca="1">IFERROR(__xludf.DUMMYFUNCTION("""COMPUTED_VALUE"""),3040)</f>
        <v>3040</v>
      </c>
    </row>
    <row r="383" spans="1:7" ht="13.2">
      <c r="A383" s="16"/>
      <c r="B383" s="17"/>
      <c r="D383" s="16">
        <f ca="1">IFERROR(__xludf.DUMMYFUNCTION("""COMPUTED_VALUE"""),216)</f>
        <v>216</v>
      </c>
      <c r="E383" s="16" t="str">
        <f ca="1">IFERROR(__xludf.DUMMYFUNCTION("""COMPUTED_VALUE"""),"Ring of jumping")</f>
        <v>Ring of jumping</v>
      </c>
      <c r="F383" s="16" t="str">
        <f ca="1">IFERROR(__xludf.DUMMYFUNCTION("""COMPUTED_VALUE"""),"Magic")</f>
        <v>Magic</v>
      </c>
      <c r="G383" s="58">
        <f ca="1">IFERROR(__xludf.DUMMYFUNCTION("""COMPUTED_VALUE"""),388)</f>
        <v>388</v>
      </c>
    </row>
    <row r="384" spans="1:7" ht="13.2">
      <c r="A384" s="16"/>
      <c r="B384" s="17"/>
      <c r="D384" s="16">
        <f ca="1">IFERROR(__xludf.DUMMYFUNCTION("""COMPUTED_VALUE"""),217)</f>
        <v>217</v>
      </c>
      <c r="E384" s="16" t="str">
        <f ca="1">IFERROR(__xludf.DUMMYFUNCTION("""COMPUTED_VALUE"""),"Ring of mind shielding")</f>
        <v>Ring of mind shielding</v>
      </c>
      <c r="F384" s="16" t="str">
        <f ca="1">IFERROR(__xludf.DUMMYFUNCTION("""COMPUTED_VALUE"""),"Magic")</f>
        <v>Magic</v>
      </c>
      <c r="G384" s="58">
        <f ca="1">IFERROR(__xludf.DUMMYFUNCTION("""COMPUTED_VALUE"""),378)</f>
        <v>378</v>
      </c>
    </row>
    <row r="385" spans="1:7" ht="13.2">
      <c r="A385" s="16"/>
      <c r="B385" s="17"/>
      <c r="D385" s="16">
        <f ca="1">IFERROR(__xludf.DUMMYFUNCTION("""COMPUTED_VALUE"""),218)</f>
        <v>218</v>
      </c>
      <c r="E385" s="16" t="str">
        <f ca="1">IFERROR(__xludf.DUMMYFUNCTION("""COMPUTED_VALUE"""),"Ring of protection")</f>
        <v>Ring of protection</v>
      </c>
      <c r="F385" s="16" t="str">
        <f ca="1">IFERROR(__xludf.DUMMYFUNCTION("""COMPUTED_VALUE"""),"Magic")</f>
        <v>Magic</v>
      </c>
      <c r="G385" s="58">
        <f ca="1">IFERROR(__xludf.DUMMYFUNCTION("""COMPUTED_VALUE"""),919)</f>
        <v>919</v>
      </c>
    </row>
    <row r="386" spans="1:7" ht="13.2">
      <c r="A386" s="16"/>
      <c r="B386" s="17"/>
      <c r="D386" s="16">
        <f ca="1">IFERROR(__xludf.DUMMYFUNCTION("""COMPUTED_VALUE"""),219)</f>
        <v>219</v>
      </c>
      <c r="E386" s="16" t="str">
        <f ca="1">IFERROR(__xludf.DUMMYFUNCTION("""COMPUTED_VALUE"""),"Ring of regeneration")</f>
        <v>Ring of regeneration</v>
      </c>
      <c r="F386" s="16" t="str">
        <f ca="1">IFERROR(__xludf.DUMMYFUNCTION("""COMPUTED_VALUE"""),"Magic")</f>
        <v>Magic</v>
      </c>
      <c r="G386" s="58">
        <f ca="1">IFERROR(__xludf.DUMMYFUNCTION("""COMPUTED_VALUE"""),1576)</f>
        <v>1576</v>
      </c>
    </row>
    <row r="387" spans="1:7" ht="13.2">
      <c r="A387" s="16"/>
      <c r="B387" s="17"/>
      <c r="D387" s="16">
        <f ca="1">IFERROR(__xludf.DUMMYFUNCTION("""COMPUTED_VALUE"""),220)</f>
        <v>220</v>
      </c>
      <c r="E387" s="16" t="str">
        <f ca="1">IFERROR(__xludf.DUMMYFUNCTION("""COMPUTED_VALUE"""),"Ring of resistance")</f>
        <v>Ring of resistance</v>
      </c>
      <c r="F387" s="16" t="str">
        <f ca="1">IFERROR(__xludf.DUMMYFUNCTION("""COMPUTED_VALUE"""),"Magic")</f>
        <v>Magic</v>
      </c>
      <c r="G387" s="58">
        <f ca="1">IFERROR(__xludf.DUMMYFUNCTION("""COMPUTED_VALUE"""),919)</f>
        <v>919</v>
      </c>
    </row>
    <row r="388" spans="1:7" ht="13.2">
      <c r="A388" s="16"/>
      <c r="B388" s="17"/>
      <c r="D388" s="16">
        <f ca="1">IFERROR(__xludf.DUMMYFUNCTION("""COMPUTED_VALUE"""),221)</f>
        <v>221</v>
      </c>
      <c r="E388" s="16" t="str">
        <f ca="1">IFERROR(__xludf.DUMMYFUNCTION("""COMPUTED_VALUE"""),"Ring of shooting stars")</f>
        <v>Ring of shooting stars</v>
      </c>
      <c r="F388" s="16" t="str">
        <f ca="1">IFERROR(__xludf.DUMMYFUNCTION("""COMPUTED_VALUE"""),"Magic")</f>
        <v>Magic</v>
      </c>
      <c r="G388" s="58">
        <f ca="1">IFERROR(__xludf.DUMMYFUNCTION("""COMPUTED_VALUE"""),1576)</f>
        <v>1576</v>
      </c>
    </row>
    <row r="389" spans="1:7" ht="13.2">
      <c r="A389" s="16"/>
      <c r="B389" s="17"/>
      <c r="D389" s="16">
        <f ca="1">IFERROR(__xludf.DUMMYFUNCTION("""COMPUTED_VALUE"""),222)</f>
        <v>222</v>
      </c>
      <c r="E389" s="16" t="str">
        <f ca="1">IFERROR(__xludf.DUMMYFUNCTION("""COMPUTED_VALUE"""),"Ring of spell storing")</f>
        <v>Ring of spell storing</v>
      </c>
      <c r="F389" s="16" t="str">
        <f ca="1">IFERROR(__xludf.DUMMYFUNCTION("""COMPUTED_VALUE"""),"Magic")</f>
        <v>Magic</v>
      </c>
      <c r="G389" s="58">
        <f ca="1">IFERROR(__xludf.DUMMYFUNCTION("""COMPUTED_VALUE"""),919)</f>
        <v>919</v>
      </c>
    </row>
    <row r="390" spans="1:7" ht="13.2">
      <c r="A390" s="16"/>
      <c r="B390" s="17"/>
      <c r="D390" s="16">
        <f ca="1">IFERROR(__xludf.DUMMYFUNCTION("""COMPUTED_VALUE"""),223)</f>
        <v>223</v>
      </c>
      <c r="E390" s="16" t="str">
        <f ca="1">IFERROR(__xludf.DUMMYFUNCTION("""COMPUTED_VALUE"""),"Ring of spell turning")</f>
        <v>Ring of spell turning</v>
      </c>
      <c r="F390" s="16" t="str">
        <f ca="1">IFERROR(__xludf.DUMMYFUNCTION("""COMPUTED_VALUE"""),"Magic")</f>
        <v>Magic</v>
      </c>
      <c r="G390" s="58">
        <f ca="1">IFERROR(__xludf.DUMMYFUNCTION("""COMPUTED_VALUE"""),3050)</f>
        <v>3050</v>
      </c>
    </row>
    <row r="391" spans="1:7" ht="13.2">
      <c r="A391" s="16"/>
      <c r="B391" s="17"/>
      <c r="D391" s="16">
        <f ca="1">IFERROR(__xludf.DUMMYFUNCTION("""COMPUTED_VALUE"""),224)</f>
        <v>224</v>
      </c>
      <c r="E391" s="16" t="str">
        <f ca="1">IFERROR(__xludf.DUMMYFUNCTION("""COMPUTED_VALUE"""),"Ring of swimming")</f>
        <v>Ring of swimming</v>
      </c>
      <c r="F391" s="16" t="str">
        <f ca="1">IFERROR(__xludf.DUMMYFUNCTION("""COMPUTED_VALUE"""),"Magic")</f>
        <v>Magic</v>
      </c>
      <c r="G391" s="58">
        <f ca="1">IFERROR(__xludf.DUMMYFUNCTION("""COMPUTED_VALUE"""),368)</f>
        <v>368</v>
      </c>
    </row>
    <row r="392" spans="1:7" ht="13.2">
      <c r="A392" s="16"/>
      <c r="B392" s="17"/>
      <c r="D392" s="16">
        <f ca="1">IFERROR(__xludf.DUMMYFUNCTION("""COMPUTED_VALUE"""),225)</f>
        <v>225</v>
      </c>
      <c r="E392" s="16" t="str">
        <f ca="1">IFERROR(__xludf.DUMMYFUNCTION("""COMPUTED_VALUE"""),"Ring of telekinesis")</f>
        <v>Ring of telekinesis</v>
      </c>
      <c r="F392" s="16" t="str">
        <f ca="1">IFERROR(__xludf.DUMMYFUNCTION("""COMPUTED_VALUE"""),"Magic")</f>
        <v>Magic</v>
      </c>
      <c r="G392" s="58">
        <f ca="1">IFERROR(__xludf.DUMMYFUNCTION("""COMPUTED_VALUE"""),1580)</f>
        <v>1580</v>
      </c>
    </row>
    <row r="393" spans="1:7" ht="13.2">
      <c r="A393" s="16"/>
      <c r="B393" s="17"/>
      <c r="D393" s="16">
        <f ca="1">IFERROR(__xludf.DUMMYFUNCTION("""COMPUTED_VALUE"""),226)</f>
        <v>226</v>
      </c>
      <c r="E393" s="16" t="str">
        <f ca="1">IFERROR(__xludf.DUMMYFUNCTION("""COMPUTED_VALUE"""),"Ring of the ram")</f>
        <v>Ring of the ram</v>
      </c>
      <c r="F393" s="16" t="str">
        <f ca="1">IFERROR(__xludf.DUMMYFUNCTION("""COMPUTED_VALUE"""),"Magic")</f>
        <v>Magic</v>
      </c>
      <c r="G393" s="58">
        <f ca="1">IFERROR(__xludf.DUMMYFUNCTION("""COMPUTED_VALUE"""),922)</f>
        <v>922</v>
      </c>
    </row>
    <row r="394" spans="1:7" ht="13.2">
      <c r="A394" s="16"/>
      <c r="B394" s="17"/>
      <c r="D394" s="16">
        <f ca="1">IFERROR(__xludf.DUMMYFUNCTION("""COMPUTED_VALUE"""),227)</f>
        <v>227</v>
      </c>
      <c r="E394" s="16" t="str">
        <f ca="1">IFERROR(__xludf.DUMMYFUNCTION("""COMPUTED_VALUE"""),"Ring of three wishes")</f>
        <v>Ring of three wishes</v>
      </c>
      <c r="F394" s="16" t="str">
        <f ca="1">IFERROR(__xludf.DUMMYFUNCTION("""COMPUTED_VALUE"""),"Magic")</f>
        <v>Magic</v>
      </c>
      <c r="G394" s="58">
        <f ca="1">IFERROR(__xludf.DUMMYFUNCTION("""COMPUTED_VALUE"""),3050)</f>
        <v>3050</v>
      </c>
    </row>
    <row r="395" spans="1:7" ht="13.2">
      <c r="A395" s="16"/>
      <c r="B395" s="17"/>
      <c r="D395" s="16">
        <f ca="1">IFERROR(__xludf.DUMMYFUNCTION("""COMPUTED_VALUE"""),228)</f>
        <v>228</v>
      </c>
      <c r="E395" s="16" t="str">
        <f ca="1">IFERROR(__xludf.DUMMYFUNCTION("""COMPUTED_VALUE"""),"Ring of warmth")</f>
        <v>Ring of warmth</v>
      </c>
      <c r="F395" s="16" t="str">
        <f ca="1">IFERROR(__xludf.DUMMYFUNCTION("""COMPUTED_VALUE"""),"Magic")</f>
        <v>Magic</v>
      </c>
      <c r="G395" s="58">
        <f ca="1">IFERROR(__xludf.DUMMYFUNCTION("""COMPUTED_VALUE"""),368)</f>
        <v>368</v>
      </c>
    </row>
    <row r="396" spans="1:7" ht="13.2">
      <c r="A396" s="16"/>
      <c r="B396" s="17"/>
      <c r="D396" s="16">
        <f ca="1">IFERROR(__xludf.DUMMYFUNCTION("""COMPUTED_VALUE"""),229)</f>
        <v>229</v>
      </c>
      <c r="E396" s="16" t="str">
        <f ca="1">IFERROR(__xludf.DUMMYFUNCTION("""COMPUTED_VALUE"""),"Ring of water walking")</f>
        <v>Ring of water walking</v>
      </c>
      <c r="F396" s="16" t="str">
        <f ca="1">IFERROR(__xludf.DUMMYFUNCTION("""COMPUTED_VALUE"""),"Magic")</f>
        <v>Magic</v>
      </c>
      <c r="G396" s="58">
        <f ca="1">IFERROR(__xludf.DUMMYFUNCTION("""COMPUTED_VALUE"""),382)</f>
        <v>382</v>
      </c>
    </row>
    <row r="397" spans="1:7" ht="13.2">
      <c r="A397" s="16"/>
      <c r="B397" s="17"/>
      <c r="D397" s="16">
        <f ca="1">IFERROR(__xludf.DUMMYFUNCTION("""COMPUTED_VALUE"""),230)</f>
        <v>230</v>
      </c>
      <c r="E397" s="16" t="str">
        <f ca="1">IFERROR(__xludf.DUMMYFUNCTION("""COMPUTED_VALUE"""),"Ring of x-ray vision")</f>
        <v>Ring of x-ray vision</v>
      </c>
      <c r="F397" s="16" t="str">
        <f ca="1">IFERROR(__xludf.DUMMYFUNCTION("""COMPUTED_VALUE"""),"Magic")</f>
        <v>Magic</v>
      </c>
      <c r="G397" s="58">
        <f ca="1">IFERROR(__xludf.DUMMYFUNCTION("""COMPUTED_VALUE"""),925)</f>
        <v>925</v>
      </c>
    </row>
    <row r="398" spans="1:7" ht="13.2">
      <c r="A398" s="16"/>
      <c r="B398" s="17"/>
      <c r="D398" s="16">
        <f ca="1">IFERROR(__xludf.DUMMYFUNCTION("""COMPUTED_VALUE"""),231)</f>
        <v>231</v>
      </c>
      <c r="E398" s="16" t="str">
        <f ca="1">IFERROR(__xludf.DUMMYFUNCTION("""COMPUTED_VALUE"""),"Robe of eyes")</f>
        <v>Robe of eyes</v>
      </c>
      <c r="F398" s="16" t="str">
        <f ca="1">IFERROR(__xludf.DUMMYFUNCTION("""COMPUTED_VALUE"""),"Magic")</f>
        <v>Magic</v>
      </c>
      <c r="G398" s="58">
        <f ca="1">IFERROR(__xludf.DUMMYFUNCTION("""COMPUTED_VALUE"""),943)</f>
        <v>943</v>
      </c>
    </row>
    <row r="399" spans="1:7" ht="13.2">
      <c r="A399" s="16"/>
      <c r="B399" s="17"/>
      <c r="D399" s="16">
        <f ca="1">IFERROR(__xludf.DUMMYFUNCTION("""COMPUTED_VALUE"""),232)</f>
        <v>232</v>
      </c>
      <c r="E399" s="16" t="str">
        <f ca="1">IFERROR(__xludf.DUMMYFUNCTION("""COMPUTED_VALUE"""),"Robe of scintillating colors")</f>
        <v>Robe of scintillating colors</v>
      </c>
      <c r="F399" s="16" t="str">
        <f ca="1">IFERROR(__xludf.DUMMYFUNCTION("""COMPUTED_VALUE"""),"Magic")</f>
        <v>Magic</v>
      </c>
      <c r="G399" s="58">
        <f ca="1">IFERROR(__xludf.DUMMYFUNCTION("""COMPUTED_VALUE"""),1560)</f>
        <v>1560</v>
      </c>
    </row>
    <row r="400" spans="1:7" ht="13.2">
      <c r="A400" s="16"/>
      <c r="B400" s="17"/>
      <c r="D400" s="16">
        <f ca="1">IFERROR(__xludf.DUMMYFUNCTION("""COMPUTED_VALUE"""),233)</f>
        <v>233</v>
      </c>
      <c r="E400" s="16" t="str">
        <f ca="1">IFERROR(__xludf.DUMMYFUNCTION("""COMPUTED_VALUE"""),"Robe of stars")</f>
        <v>Robe of stars</v>
      </c>
      <c r="F400" s="16" t="str">
        <f ca="1">IFERROR(__xludf.DUMMYFUNCTION("""COMPUTED_VALUE"""),"Magic")</f>
        <v>Magic</v>
      </c>
      <c r="G400" s="58">
        <f ca="1">IFERROR(__xludf.DUMMYFUNCTION("""COMPUTED_VALUE"""),1584)</f>
        <v>1584</v>
      </c>
    </row>
    <row r="401" spans="1:7" ht="13.2">
      <c r="A401" s="16"/>
      <c r="B401" s="17"/>
      <c r="D401" s="16">
        <f ca="1">IFERROR(__xludf.DUMMYFUNCTION("""COMPUTED_VALUE"""),234)</f>
        <v>234</v>
      </c>
      <c r="E401" s="16" t="str">
        <f ca="1">IFERROR(__xludf.DUMMYFUNCTION("""COMPUTED_VALUE"""),"Robe of the archmagi")</f>
        <v>Robe of the archmagi</v>
      </c>
      <c r="F401" s="16" t="str">
        <f ca="1">IFERROR(__xludf.DUMMYFUNCTION("""COMPUTED_VALUE"""),"Magic")</f>
        <v>Magic</v>
      </c>
      <c r="G401" s="58">
        <f ca="1">IFERROR(__xludf.DUMMYFUNCTION("""COMPUTED_VALUE"""),3025)</f>
        <v>3025</v>
      </c>
    </row>
    <row r="402" spans="1:7" ht="13.2">
      <c r="A402" s="16"/>
      <c r="B402" s="17"/>
      <c r="D402" s="16">
        <f ca="1">IFERROR(__xludf.DUMMYFUNCTION("""COMPUTED_VALUE"""),235)</f>
        <v>235</v>
      </c>
      <c r="E402" s="16" t="str">
        <f ca="1">IFERROR(__xludf.DUMMYFUNCTION("""COMPUTED_VALUE"""),"Robe of useful items")</f>
        <v>Robe of useful items</v>
      </c>
      <c r="F402" s="16" t="str">
        <f ca="1">IFERROR(__xludf.DUMMYFUNCTION("""COMPUTED_VALUE"""),"Magic")</f>
        <v>Magic</v>
      </c>
      <c r="G402" s="58">
        <f ca="1">IFERROR(__xludf.DUMMYFUNCTION("""COMPUTED_VALUE"""),384)</f>
        <v>384</v>
      </c>
    </row>
    <row r="403" spans="1:7" ht="13.2">
      <c r="A403" s="16"/>
      <c r="B403" s="17"/>
      <c r="D403" s="16">
        <f ca="1">IFERROR(__xludf.DUMMYFUNCTION("""COMPUTED_VALUE"""),236)</f>
        <v>236</v>
      </c>
      <c r="E403" s="16" t="str">
        <f ca="1">IFERROR(__xludf.DUMMYFUNCTION("""COMPUTED_VALUE"""),"Rod of absorption")</f>
        <v>Rod of absorption</v>
      </c>
      <c r="F403" s="16" t="str">
        <f ca="1">IFERROR(__xludf.DUMMYFUNCTION("""COMPUTED_VALUE"""),"Magic")</f>
        <v>Magic</v>
      </c>
      <c r="G403" s="58">
        <f ca="1">IFERROR(__xludf.DUMMYFUNCTION("""COMPUTED_VALUE"""),1564)</f>
        <v>1564</v>
      </c>
    </row>
    <row r="404" spans="1:7" ht="13.2">
      <c r="A404" s="16"/>
      <c r="B404" s="17"/>
      <c r="D404" s="16">
        <f ca="1">IFERROR(__xludf.DUMMYFUNCTION("""COMPUTED_VALUE"""),237)</f>
        <v>237</v>
      </c>
      <c r="E404" s="16" t="str">
        <f ca="1">IFERROR(__xludf.DUMMYFUNCTION("""COMPUTED_VALUE"""),"Rod of alertness")</f>
        <v>Rod of alertness</v>
      </c>
      <c r="F404" s="16" t="str">
        <f ca="1">IFERROR(__xludf.DUMMYFUNCTION("""COMPUTED_VALUE"""),"Magic")</f>
        <v>Magic</v>
      </c>
      <c r="G404" s="58">
        <f ca="1">IFERROR(__xludf.DUMMYFUNCTION("""COMPUTED_VALUE"""),1588)</f>
        <v>1588</v>
      </c>
    </row>
    <row r="405" spans="1:7" ht="13.2">
      <c r="A405" s="16"/>
      <c r="B405" s="17"/>
      <c r="D405" s="16">
        <f ca="1">IFERROR(__xludf.DUMMYFUNCTION("""COMPUTED_VALUE"""),238)</f>
        <v>238</v>
      </c>
      <c r="E405" s="16" t="str">
        <f ca="1">IFERROR(__xludf.DUMMYFUNCTION("""COMPUTED_VALUE"""),"Rod of lordly might")</f>
        <v>Rod of lordly might</v>
      </c>
      <c r="F405" s="16" t="str">
        <f ca="1">IFERROR(__xludf.DUMMYFUNCTION("""COMPUTED_VALUE"""),"Magic")</f>
        <v>Magic</v>
      </c>
      <c r="G405" s="58">
        <f ca="1">IFERROR(__xludf.DUMMYFUNCTION("""COMPUTED_VALUE"""),3030)</f>
        <v>3030</v>
      </c>
    </row>
    <row r="406" spans="1:7" ht="13.2">
      <c r="A406" s="16"/>
      <c r="B406" s="17"/>
      <c r="D406" s="16">
        <f ca="1">IFERROR(__xludf.DUMMYFUNCTION("""COMPUTED_VALUE"""),239)</f>
        <v>239</v>
      </c>
      <c r="E406" s="16" t="str">
        <f ca="1">IFERROR(__xludf.DUMMYFUNCTION("""COMPUTED_VALUE"""),"Rod of resurrection")</f>
        <v>Rod of resurrection</v>
      </c>
      <c r="F406" s="16" t="str">
        <f ca="1">IFERROR(__xludf.DUMMYFUNCTION("""COMPUTED_VALUE"""),"Magic")</f>
        <v>Magic</v>
      </c>
      <c r="G406" s="58">
        <f ca="1">IFERROR(__xludf.DUMMYFUNCTION("""COMPUTED_VALUE"""),3060)</f>
        <v>3060</v>
      </c>
    </row>
    <row r="407" spans="1:7" ht="13.2">
      <c r="A407" s="16"/>
      <c r="B407" s="17"/>
      <c r="D407" s="16">
        <f ca="1">IFERROR(__xludf.DUMMYFUNCTION("""COMPUTED_VALUE"""),240)</f>
        <v>240</v>
      </c>
      <c r="E407" s="16" t="str">
        <f ca="1">IFERROR(__xludf.DUMMYFUNCTION("""COMPUTED_VALUE"""),"Rod of rulership")</f>
        <v>Rod of rulership</v>
      </c>
      <c r="F407" s="16" t="str">
        <f ca="1">IFERROR(__xludf.DUMMYFUNCTION("""COMPUTED_VALUE"""),"Magic")</f>
        <v>Magic</v>
      </c>
      <c r="G407" s="58">
        <f ca="1">IFERROR(__xludf.DUMMYFUNCTION("""COMPUTED_VALUE"""),928)</f>
        <v>928</v>
      </c>
    </row>
    <row r="408" spans="1:7" ht="13.2">
      <c r="A408" s="16"/>
      <c r="B408" s="17"/>
      <c r="D408" s="16">
        <f ca="1">IFERROR(__xludf.DUMMYFUNCTION("""COMPUTED_VALUE"""),241)</f>
        <v>241</v>
      </c>
      <c r="E408" s="16" t="str">
        <f ca="1">IFERROR(__xludf.DUMMYFUNCTION("""COMPUTED_VALUE"""),"Rod of security")</f>
        <v>Rod of security</v>
      </c>
      <c r="F408" s="16" t="str">
        <f ca="1">IFERROR(__xludf.DUMMYFUNCTION("""COMPUTED_VALUE"""),"Magic")</f>
        <v>Magic</v>
      </c>
      <c r="G408" s="58">
        <f ca="1">IFERROR(__xludf.DUMMYFUNCTION("""COMPUTED_VALUE"""),1592)</f>
        <v>1592</v>
      </c>
    </row>
    <row r="409" spans="1:7" ht="13.2">
      <c r="A409" s="16"/>
      <c r="B409" s="17"/>
      <c r="D409" s="16">
        <f ca="1">IFERROR(__xludf.DUMMYFUNCTION("""COMPUTED_VALUE"""),242)</f>
        <v>242</v>
      </c>
      <c r="E409" s="16" t="str">
        <f ca="1">IFERROR(__xludf.DUMMYFUNCTION("""COMPUTED_VALUE"""),"Rod of the pact keeper +1")</f>
        <v>Rod of the pact keeper +1</v>
      </c>
      <c r="F409" s="16" t="str">
        <f ca="1">IFERROR(__xludf.DUMMYFUNCTION("""COMPUTED_VALUE"""),"Magic")</f>
        <v>Magic</v>
      </c>
      <c r="G409" s="58">
        <f ca="1">IFERROR(__xludf.DUMMYFUNCTION("""COMPUTED_VALUE"""),374)</f>
        <v>374</v>
      </c>
    </row>
    <row r="410" spans="1:7" ht="13.2">
      <c r="A410" s="16"/>
      <c r="B410" s="17"/>
      <c r="D410" s="16">
        <f ca="1">IFERROR(__xludf.DUMMYFUNCTION("""COMPUTED_VALUE"""),243)</f>
        <v>243</v>
      </c>
      <c r="E410" s="16" t="str">
        <f ca="1">IFERROR(__xludf.DUMMYFUNCTION("""COMPUTED_VALUE"""),"Rod of the pact keeper +2")</f>
        <v>Rod of the pact keeper +2</v>
      </c>
      <c r="F410" s="16" t="str">
        <f ca="1">IFERROR(__xludf.DUMMYFUNCTION("""COMPUTED_VALUE"""),"Magic")</f>
        <v>Magic</v>
      </c>
      <c r="G410" s="58">
        <f ca="1">IFERROR(__xludf.DUMMYFUNCTION("""COMPUTED_VALUE"""),949)</f>
        <v>949</v>
      </c>
    </row>
    <row r="411" spans="1:7" ht="13.2">
      <c r="A411" s="16"/>
      <c r="B411" s="17"/>
      <c r="D411" s="16">
        <f ca="1">IFERROR(__xludf.DUMMYFUNCTION("""COMPUTED_VALUE"""),244)</f>
        <v>244</v>
      </c>
      <c r="E411" s="16" t="str">
        <f ca="1">IFERROR(__xludf.DUMMYFUNCTION("""COMPUTED_VALUE"""),"Rod of the pact keeper +3")</f>
        <v>Rod of the pact keeper +3</v>
      </c>
      <c r="F411" s="16" t="str">
        <f ca="1">IFERROR(__xludf.DUMMYFUNCTION("""COMPUTED_VALUE"""),"Magic")</f>
        <v>Magic</v>
      </c>
      <c r="G411" s="58">
        <f ca="1">IFERROR(__xludf.DUMMYFUNCTION("""COMPUTED_VALUE"""),1568)</f>
        <v>1568</v>
      </c>
    </row>
    <row r="412" spans="1:7" ht="13.2">
      <c r="A412" s="16"/>
      <c r="B412" s="17"/>
      <c r="D412" s="16">
        <f ca="1">IFERROR(__xludf.DUMMYFUNCTION("""COMPUTED_VALUE"""),245)</f>
        <v>245</v>
      </c>
      <c r="E412" s="16" t="str">
        <f ca="1">IFERROR(__xludf.DUMMYFUNCTION("""COMPUTED_VALUE"""),"Rope of climbing")</f>
        <v>Rope of climbing</v>
      </c>
      <c r="F412" s="16" t="str">
        <f ca="1">IFERROR(__xludf.DUMMYFUNCTION("""COMPUTED_VALUE"""),"Magic")</f>
        <v>Magic</v>
      </c>
      <c r="G412" s="58">
        <f ca="1">IFERROR(__xludf.DUMMYFUNCTION("""COMPUTED_VALUE"""),386)</f>
        <v>386</v>
      </c>
    </row>
    <row r="413" spans="1:7" ht="13.2">
      <c r="A413" s="16"/>
      <c r="B413" s="17"/>
      <c r="D413" s="16">
        <f ca="1">IFERROR(__xludf.DUMMYFUNCTION("""COMPUTED_VALUE"""),246)</f>
        <v>246</v>
      </c>
      <c r="E413" s="16" t="str">
        <f ca="1">IFERROR(__xludf.DUMMYFUNCTION("""COMPUTED_VALUE"""),"Rope of entanglement")</f>
        <v>Rope of entanglement</v>
      </c>
      <c r="F413" s="16" t="str">
        <f ca="1">IFERROR(__xludf.DUMMYFUNCTION("""COMPUTED_VALUE"""),"Magic")</f>
        <v>Magic</v>
      </c>
      <c r="G413" s="58">
        <f ca="1">IFERROR(__xludf.DUMMYFUNCTION("""COMPUTED_VALUE"""),931)</f>
        <v>931</v>
      </c>
    </row>
    <row r="414" spans="1:7" ht="13.2">
      <c r="A414" s="16"/>
      <c r="B414" s="17"/>
      <c r="D414" s="16">
        <f ca="1">IFERROR(__xludf.DUMMYFUNCTION("""COMPUTED_VALUE"""),247)</f>
        <v>247</v>
      </c>
      <c r="E414" s="16" t="str">
        <f ca="1">IFERROR(__xludf.DUMMYFUNCTION("""COMPUTED_VALUE"""),"Saddle of the cavalier")</f>
        <v>Saddle of the cavalier</v>
      </c>
      <c r="F414" s="16" t="str">
        <f ca="1">IFERROR(__xludf.DUMMYFUNCTION("""COMPUTED_VALUE"""),"Magic")</f>
        <v>Magic</v>
      </c>
      <c r="G414" s="58">
        <f ca="1">IFERROR(__xludf.DUMMYFUNCTION("""COMPUTED_VALUE"""),388)</f>
        <v>388</v>
      </c>
    </row>
    <row r="415" spans="1:7" ht="13.2">
      <c r="A415" s="16"/>
      <c r="B415" s="17"/>
      <c r="D415" s="16">
        <f ca="1">IFERROR(__xludf.DUMMYFUNCTION("""COMPUTED_VALUE"""),248)</f>
        <v>248</v>
      </c>
      <c r="E415" s="16" t="str">
        <f ca="1">IFERROR(__xludf.DUMMYFUNCTION("""COMPUTED_VALUE"""),"Scarab of protection")</f>
        <v>Scarab of protection</v>
      </c>
      <c r="F415" s="16" t="str">
        <f ca="1">IFERROR(__xludf.DUMMYFUNCTION("""COMPUTED_VALUE"""),"Magic")</f>
        <v>Magic</v>
      </c>
      <c r="G415" s="58">
        <f ca="1">IFERROR(__xludf.DUMMYFUNCTION("""COMPUTED_VALUE"""),3040)</f>
        <v>3040</v>
      </c>
    </row>
    <row r="416" spans="1:7" ht="13.2">
      <c r="A416" s="16"/>
      <c r="B416" s="17"/>
      <c r="D416" s="16">
        <f ca="1">IFERROR(__xludf.DUMMYFUNCTION("""COMPUTED_VALUE"""),249)</f>
        <v>249</v>
      </c>
      <c r="E416" s="16" t="str">
        <f ca="1">IFERROR(__xludf.DUMMYFUNCTION("""COMPUTED_VALUE"""),"Scimitar of speed")</f>
        <v>Scimitar of speed</v>
      </c>
      <c r="F416" s="16" t="str">
        <f ca="1">IFERROR(__xludf.DUMMYFUNCTION("""COMPUTED_VALUE"""),"Magic")</f>
        <v>Magic</v>
      </c>
      <c r="G416" s="58">
        <f ca="1">IFERROR(__xludf.DUMMYFUNCTION("""COMPUTED_VALUE"""),1596)</f>
        <v>1596</v>
      </c>
    </row>
    <row r="417" spans="1:7" ht="13.2">
      <c r="A417" s="16"/>
      <c r="B417" s="17"/>
      <c r="D417" s="16">
        <f ca="1">IFERROR(__xludf.DUMMYFUNCTION("""COMPUTED_VALUE"""),250)</f>
        <v>250</v>
      </c>
      <c r="E417" s="16" t="str">
        <f ca="1">IFERROR(__xludf.DUMMYFUNCTION("""COMPUTED_VALUE"""),"Scroll of protection")</f>
        <v>Scroll of protection</v>
      </c>
      <c r="F417" s="16" t="str">
        <f ca="1">IFERROR(__xludf.DUMMYFUNCTION("""COMPUTED_VALUE"""),"Magic")</f>
        <v>Magic</v>
      </c>
      <c r="G417" s="58">
        <f ca="1">IFERROR(__xludf.DUMMYFUNCTION("""COMPUTED_VALUE"""),934)</f>
        <v>934</v>
      </c>
    </row>
    <row r="418" spans="1:7" ht="13.2">
      <c r="A418" s="16"/>
      <c r="B418" s="17"/>
      <c r="D418" s="16">
        <f ca="1">IFERROR(__xludf.DUMMYFUNCTION("""COMPUTED_VALUE"""),251)</f>
        <v>251</v>
      </c>
      <c r="E418" s="16" t="str">
        <f ca="1">IFERROR(__xludf.DUMMYFUNCTION("""COMPUTED_VALUE"""),"Sending stones")</f>
        <v>Sending stones</v>
      </c>
      <c r="F418" s="16" t="str">
        <f ca="1">IFERROR(__xludf.DUMMYFUNCTION("""COMPUTED_VALUE"""),"Magic")</f>
        <v>Magic</v>
      </c>
      <c r="G418" s="58">
        <f ca="1">IFERROR(__xludf.DUMMYFUNCTION("""COMPUTED_VALUE"""),388)</f>
        <v>388</v>
      </c>
    </row>
    <row r="419" spans="1:7" ht="13.2">
      <c r="A419" s="16"/>
      <c r="B419" s="17"/>
      <c r="D419" s="16">
        <f ca="1">IFERROR(__xludf.DUMMYFUNCTION("""COMPUTED_VALUE"""),252)</f>
        <v>252</v>
      </c>
      <c r="E419" s="16" t="str">
        <f ca="1">IFERROR(__xludf.DUMMYFUNCTION("""COMPUTED_VALUE"""),"Sentinel shield")</f>
        <v>Sentinel shield</v>
      </c>
      <c r="F419" s="16" t="str">
        <f ca="1">IFERROR(__xludf.DUMMYFUNCTION("""COMPUTED_VALUE"""),"Magic")</f>
        <v>Magic</v>
      </c>
      <c r="G419" s="58">
        <f ca="1">IFERROR(__xludf.DUMMYFUNCTION("""COMPUTED_VALUE"""),376)</f>
        <v>376</v>
      </c>
    </row>
    <row r="420" spans="1:7" ht="13.2">
      <c r="A420" s="16"/>
      <c r="B420" s="17"/>
      <c r="D420" s="16">
        <f ca="1">IFERROR(__xludf.DUMMYFUNCTION("""COMPUTED_VALUE"""),253)</f>
        <v>253</v>
      </c>
      <c r="E420" s="16" t="str">
        <f ca="1">IFERROR(__xludf.DUMMYFUNCTION("""COMPUTED_VALUE"""),"Shield +1")</f>
        <v>Shield +1</v>
      </c>
      <c r="F420" s="16" t="str">
        <f ca="1">IFERROR(__xludf.DUMMYFUNCTION("""COMPUTED_VALUE"""),"Magic")</f>
        <v>Magic</v>
      </c>
      <c r="G420" s="58">
        <f ca="1">IFERROR(__xludf.DUMMYFUNCTION("""COMPUTED_VALUE"""),366)</f>
        <v>366</v>
      </c>
    </row>
    <row r="421" spans="1:7" ht="13.2">
      <c r="A421" s="16"/>
      <c r="B421" s="17"/>
      <c r="D421" s="16">
        <f ca="1">IFERROR(__xludf.DUMMYFUNCTION("""COMPUTED_VALUE"""),254)</f>
        <v>254</v>
      </c>
      <c r="E421" s="16" t="str">
        <f ca="1">IFERROR(__xludf.DUMMYFUNCTION("""COMPUTED_VALUE"""),"Shield +2")</f>
        <v>Shield +2</v>
      </c>
      <c r="F421" s="16" t="str">
        <f ca="1">IFERROR(__xludf.DUMMYFUNCTION("""COMPUTED_VALUE"""),"Magic")</f>
        <v>Magic</v>
      </c>
      <c r="G421" s="58">
        <f ca="1">IFERROR(__xludf.DUMMYFUNCTION("""COMPUTED_VALUE"""),937)</f>
        <v>937</v>
      </c>
    </row>
    <row r="422" spans="1:7" ht="13.2">
      <c r="A422" s="16"/>
      <c r="B422" s="17"/>
      <c r="D422" s="16">
        <f ca="1">IFERROR(__xludf.DUMMYFUNCTION("""COMPUTED_VALUE"""),255)</f>
        <v>255</v>
      </c>
      <c r="E422" s="16" t="str">
        <f ca="1">IFERROR(__xludf.DUMMYFUNCTION("""COMPUTED_VALUE"""),"Shield +3")</f>
        <v>Shield +3</v>
      </c>
      <c r="F422" s="16" t="str">
        <f ca="1">IFERROR(__xludf.DUMMYFUNCTION("""COMPUTED_VALUE"""),"Magic")</f>
        <v>Magic</v>
      </c>
      <c r="G422" s="58">
        <f ca="1">IFERROR(__xludf.DUMMYFUNCTION("""COMPUTED_VALUE"""),1552)</f>
        <v>1552</v>
      </c>
    </row>
    <row r="423" spans="1:7" ht="13.2">
      <c r="A423" s="16"/>
      <c r="B423" s="17"/>
      <c r="D423" s="16">
        <f ca="1">IFERROR(__xludf.DUMMYFUNCTION("""COMPUTED_VALUE"""),256)</f>
        <v>256</v>
      </c>
      <c r="E423" s="16" t="str">
        <f ca="1">IFERROR(__xludf.DUMMYFUNCTION("""COMPUTED_VALUE"""),"Shield of missile attraction")</f>
        <v>Shield of missile attraction</v>
      </c>
      <c r="F423" s="16" t="str">
        <f ca="1">IFERROR(__xludf.DUMMYFUNCTION("""COMPUTED_VALUE"""),"Magic")</f>
        <v>Magic</v>
      </c>
      <c r="G423" s="58">
        <f ca="1">IFERROR(__xludf.DUMMYFUNCTION("""COMPUTED_VALUE"""),937)</f>
        <v>937</v>
      </c>
    </row>
    <row r="424" spans="1:7" ht="13.2">
      <c r="A424" s="16"/>
      <c r="B424" s="17"/>
      <c r="D424" s="16">
        <f ca="1">IFERROR(__xludf.DUMMYFUNCTION("""COMPUTED_VALUE"""),257)</f>
        <v>257</v>
      </c>
      <c r="E424" s="16" t="str">
        <f ca="1">IFERROR(__xludf.DUMMYFUNCTION("""COMPUTED_VALUE"""),"Slippers of spider climbing")</f>
        <v>Slippers of spider climbing</v>
      </c>
      <c r="F424" s="16" t="str">
        <f ca="1">IFERROR(__xludf.DUMMYFUNCTION("""COMPUTED_VALUE"""),"Magic")</f>
        <v>Magic</v>
      </c>
      <c r="G424" s="58">
        <f ca="1">IFERROR(__xludf.DUMMYFUNCTION("""COMPUTED_VALUE"""),366)</f>
        <v>366</v>
      </c>
    </row>
    <row r="425" spans="1:7" ht="13.2">
      <c r="A425" s="16"/>
      <c r="B425" s="17"/>
      <c r="D425" s="16">
        <f ca="1">IFERROR(__xludf.DUMMYFUNCTION("""COMPUTED_VALUE"""),258)</f>
        <v>258</v>
      </c>
      <c r="E425" s="16" t="str">
        <f ca="1">IFERROR(__xludf.DUMMYFUNCTION("""COMPUTED_VALUE"""),"Sovereign glue")</f>
        <v>Sovereign glue</v>
      </c>
      <c r="F425" s="16" t="str">
        <f ca="1">IFERROR(__xludf.DUMMYFUNCTION("""COMPUTED_VALUE"""),"Magic")</f>
        <v>Magic</v>
      </c>
      <c r="G425" s="58">
        <f ca="1">IFERROR(__xludf.DUMMYFUNCTION("""COMPUTED_VALUE"""),3045)</f>
        <v>3045</v>
      </c>
    </row>
    <row r="426" spans="1:7" ht="13.2">
      <c r="A426" s="16"/>
      <c r="B426" s="17"/>
      <c r="D426" s="16">
        <f ca="1">IFERROR(__xludf.DUMMYFUNCTION("""COMPUTED_VALUE"""),259)</f>
        <v>259</v>
      </c>
      <c r="E426" s="16" t="str">
        <f ca="1">IFERROR(__xludf.DUMMYFUNCTION("""COMPUTED_VALUE"""),"Spell scroll (1st level)")</f>
        <v>Spell scroll (1st level)</v>
      </c>
      <c r="F426" s="16" t="str">
        <f ca="1">IFERROR(__xludf.DUMMYFUNCTION("""COMPUTED_VALUE"""),"Magic")</f>
        <v>Magic</v>
      </c>
      <c r="G426" s="58">
        <f ca="1">IFERROR(__xludf.DUMMYFUNCTION("""COMPUTED_VALUE"""),114)</f>
        <v>114</v>
      </c>
    </row>
    <row r="427" spans="1:7" ht="13.2">
      <c r="A427" s="16"/>
      <c r="B427" s="17"/>
      <c r="D427" s="16">
        <f ca="1">IFERROR(__xludf.DUMMYFUNCTION("""COMPUTED_VALUE"""),260)</f>
        <v>260</v>
      </c>
      <c r="E427" s="16" t="str">
        <f ca="1">IFERROR(__xludf.DUMMYFUNCTION("""COMPUTED_VALUE"""),"Spell scroll (2nd level)")</f>
        <v>Spell scroll (2nd level)</v>
      </c>
      <c r="F427" s="16" t="str">
        <f ca="1">IFERROR(__xludf.DUMMYFUNCTION("""COMPUTED_VALUE"""),"Magic")</f>
        <v>Magic</v>
      </c>
      <c r="G427" s="58">
        <f ca="1">IFERROR(__xludf.DUMMYFUNCTION("""COMPUTED_VALUE"""),380)</f>
        <v>380</v>
      </c>
    </row>
    <row r="428" spans="1:7" ht="13.2">
      <c r="A428" s="16"/>
      <c r="B428" s="17"/>
      <c r="D428" s="16">
        <f ca="1">IFERROR(__xludf.DUMMYFUNCTION("""COMPUTED_VALUE"""),261)</f>
        <v>261</v>
      </c>
      <c r="E428" s="16" t="str">
        <f ca="1">IFERROR(__xludf.DUMMYFUNCTION("""COMPUTED_VALUE"""),"Spell scroll (3rd level)")</f>
        <v>Spell scroll (3rd level)</v>
      </c>
      <c r="F428" s="16" t="str">
        <f ca="1">IFERROR(__xludf.DUMMYFUNCTION("""COMPUTED_VALUE"""),"Magic")</f>
        <v>Magic</v>
      </c>
      <c r="G428" s="58">
        <f ca="1">IFERROR(__xludf.DUMMYFUNCTION("""COMPUTED_VALUE"""),368)</f>
        <v>368</v>
      </c>
    </row>
    <row r="429" spans="1:7" ht="13.2">
      <c r="A429" s="16"/>
      <c r="B429" s="17"/>
      <c r="D429" s="16">
        <f ca="1">IFERROR(__xludf.DUMMYFUNCTION("""COMPUTED_VALUE"""),262)</f>
        <v>262</v>
      </c>
      <c r="E429" s="16" t="str">
        <f ca="1">IFERROR(__xludf.DUMMYFUNCTION("""COMPUTED_VALUE"""),"Spell scroll (4th level)")</f>
        <v>Spell scroll (4th level)</v>
      </c>
      <c r="F429" s="16" t="str">
        <f ca="1">IFERROR(__xludf.DUMMYFUNCTION("""COMPUTED_VALUE"""),"Magic")</f>
        <v>Magic</v>
      </c>
      <c r="G429" s="58">
        <f ca="1">IFERROR(__xludf.DUMMYFUNCTION("""COMPUTED_VALUE"""),940)</f>
        <v>940</v>
      </c>
    </row>
    <row r="430" spans="1:7" ht="13.2">
      <c r="A430" s="16"/>
      <c r="B430" s="17"/>
      <c r="D430" s="16">
        <f ca="1">IFERROR(__xludf.DUMMYFUNCTION("""COMPUTED_VALUE"""),263)</f>
        <v>263</v>
      </c>
      <c r="E430" s="16" t="str">
        <f ca="1">IFERROR(__xludf.DUMMYFUNCTION("""COMPUTED_VALUE"""),"Spell scroll (5th level)")</f>
        <v>Spell scroll (5th level)</v>
      </c>
      <c r="F430" s="16" t="str">
        <f ca="1">IFERROR(__xludf.DUMMYFUNCTION("""COMPUTED_VALUE"""),"Magic")</f>
        <v>Magic</v>
      </c>
      <c r="G430" s="58">
        <f ca="1">IFERROR(__xludf.DUMMYFUNCTION("""COMPUTED_VALUE"""),922)</f>
        <v>922</v>
      </c>
    </row>
    <row r="431" spans="1:7" ht="13.2">
      <c r="A431" s="16"/>
      <c r="B431" s="17"/>
      <c r="D431" s="16">
        <f ca="1">IFERROR(__xludf.DUMMYFUNCTION("""COMPUTED_VALUE"""),264)</f>
        <v>264</v>
      </c>
      <c r="E431" s="16" t="str">
        <f ca="1">IFERROR(__xludf.DUMMYFUNCTION("""COMPUTED_VALUE"""),"Spell scroll (6th level)")</f>
        <v>Spell scroll (6th level)</v>
      </c>
      <c r="F431" s="16" t="str">
        <f ca="1">IFERROR(__xludf.DUMMYFUNCTION("""COMPUTED_VALUE"""),"Magic")</f>
        <v>Magic</v>
      </c>
      <c r="G431" s="58">
        <f ca="1">IFERROR(__xludf.DUMMYFUNCTION("""COMPUTED_VALUE"""),1580)</f>
        <v>1580</v>
      </c>
    </row>
    <row r="432" spans="1:7" ht="13.2">
      <c r="A432" s="16"/>
      <c r="B432" s="17"/>
      <c r="D432" s="16">
        <f ca="1">IFERROR(__xludf.DUMMYFUNCTION("""COMPUTED_VALUE"""),265)</f>
        <v>265</v>
      </c>
      <c r="E432" s="16" t="str">
        <f ca="1">IFERROR(__xludf.DUMMYFUNCTION("""COMPUTED_VALUE"""),"Spell scroll (7th level)")</f>
        <v>Spell scroll (7th level)</v>
      </c>
      <c r="F432" s="16" t="str">
        <f ca="1">IFERROR(__xludf.DUMMYFUNCTION("""COMPUTED_VALUE"""),"Magic")</f>
        <v>Magic</v>
      </c>
      <c r="G432" s="58">
        <f ca="1">IFERROR(__xludf.DUMMYFUNCTION("""COMPUTED_VALUE"""),1560)</f>
        <v>1560</v>
      </c>
    </row>
    <row r="433" spans="1:7" ht="13.2">
      <c r="A433" s="16"/>
      <c r="B433" s="17"/>
      <c r="D433" s="16">
        <f ca="1">IFERROR(__xludf.DUMMYFUNCTION("""COMPUTED_VALUE"""),266)</f>
        <v>266</v>
      </c>
      <c r="E433" s="16" t="str">
        <f ca="1">IFERROR(__xludf.DUMMYFUNCTION("""COMPUTED_VALUE"""),"Spell scroll (8th level)")</f>
        <v>Spell scroll (8th level)</v>
      </c>
      <c r="F433" s="16" t="str">
        <f ca="1">IFERROR(__xludf.DUMMYFUNCTION("""COMPUTED_VALUE"""),"Magic")</f>
        <v>Magic</v>
      </c>
      <c r="G433" s="58">
        <f ca="1">IFERROR(__xludf.DUMMYFUNCTION("""COMPUTED_VALUE"""),1584)</f>
        <v>1584</v>
      </c>
    </row>
    <row r="434" spans="1:7" ht="13.2">
      <c r="A434" s="16"/>
      <c r="B434" s="17"/>
      <c r="D434" s="16">
        <f ca="1">IFERROR(__xludf.DUMMYFUNCTION("""COMPUTED_VALUE"""),267)</f>
        <v>267</v>
      </c>
      <c r="E434" s="16" t="str">
        <f ca="1">IFERROR(__xludf.DUMMYFUNCTION("""COMPUTED_VALUE"""),"Spell scroll (9th level)")</f>
        <v>Spell scroll (9th level)</v>
      </c>
      <c r="F434" s="16" t="str">
        <f ca="1">IFERROR(__xludf.DUMMYFUNCTION("""COMPUTED_VALUE"""),"Magic")</f>
        <v>Magic</v>
      </c>
      <c r="G434" s="58">
        <f ca="1">IFERROR(__xludf.DUMMYFUNCTION("""COMPUTED_VALUE"""),3025)</f>
        <v>3025</v>
      </c>
    </row>
    <row r="435" spans="1:7" ht="13.2">
      <c r="A435" s="16"/>
      <c r="B435" s="17"/>
      <c r="D435" s="16">
        <f ca="1">IFERROR(__xludf.DUMMYFUNCTION("""COMPUTED_VALUE"""),268)</f>
        <v>268</v>
      </c>
      <c r="E435" s="16" t="str">
        <f ca="1">IFERROR(__xludf.DUMMYFUNCTION("""COMPUTED_VALUE"""),"Spell scroll (cantrip)")</f>
        <v>Spell scroll (cantrip)</v>
      </c>
      <c r="F435" s="16" t="str">
        <f ca="1">IFERROR(__xludf.DUMMYFUNCTION("""COMPUTED_VALUE"""),"Magic")</f>
        <v>Magic</v>
      </c>
      <c r="G435" s="58">
        <f ca="1">IFERROR(__xludf.DUMMYFUNCTION("""COMPUTED_VALUE"""),121)</f>
        <v>121</v>
      </c>
    </row>
    <row r="436" spans="1:7" ht="13.2">
      <c r="A436" s="16"/>
      <c r="B436" s="17"/>
      <c r="D436" s="16">
        <f ca="1">IFERROR(__xludf.DUMMYFUNCTION("""COMPUTED_VALUE"""),269)</f>
        <v>269</v>
      </c>
      <c r="E436" s="16" t="str">
        <f ca="1">IFERROR(__xludf.DUMMYFUNCTION("""COMPUTED_VALUE"""),"Spellguard shield")</f>
        <v>Spellguard shield</v>
      </c>
      <c r="F436" s="16" t="str">
        <f ca="1">IFERROR(__xludf.DUMMYFUNCTION("""COMPUTED_VALUE"""),"Magic")</f>
        <v>Magic</v>
      </c>
      <c r="G436" s="58">
        <f ca="1">IFERROR(__xludf.DUMMYFUNCTION("""COMPUTED_VALUE"""),1560)</f>
        <v>1560</v>
      </c>
    </row>
    <row r="437" spans="1:7" ht="13.2">
      <c r="A437" s="16"/>
      <c r="B437" s="17"/>
      <c r="D437" s="16">
        <f ca="1">IFERROR(__xludf.DUMMYFUNCTION("""COMPUTED_VALUE"""),270)</f>
        <v>270</v>
      </c>
      <c r="E437" s="16" t="str">
        <f ca="1">IFERROR(__xludf.DUMMYFUNCTION("""COMPUTED_VALUE"""),"Sphere of annihilation")</f>
        <v>Sphere of annihilation</v>
      </c>
      <c r="F437" s="16" t="str">
        <f ca="1">IFERROR(__xludf.DUMMYFUNCTION("""COMPUTED_VALUE"""),"Magic")</f>
        <v>Magic</v>
      </c>
      <c r="G437" s="58">
        <f ca="1">IFERROR(__xludf.DUMMYFUNCTION("""COMPUTED_VALUE"""),3055)</f>
        <v>3055</v>
      </c>
    </row>
    <row r="438" spans="1:7" ht="13.2">
      <c r="A438" s="16"/>
      <c r="B438" s="17"/>
      <c r="D438" s="16">
        <f ca="1">IFERROR(__xludf.DUMMYFUNCTION("""COMPUTED_VALUE"""),271)</f>
        <v>271</v>
      </c>
      <c r="E438" s="16" t="str">
        <f ca="1">IFERROR(__xludf.DUMMYFUNCTION("""COMPUTED_VALUE"""),"Staff of charming")</f>
        <v>Staff of charming</v>
      </c>
      <c r="F438" s="16" t="str">
        <f ca="1">IFERROR(__xludf.DUMMYFUNCTION("""COMPUTED_VALUE"""),"Magic")</f>
        <v>Magic</v>
      </c>
      <c r="G438" s="58">
        <f ca="1">IFERROR(__xludf.DUMMYFUNCTION("""COMPUTED_VALUE"""),928)</f>
        <v>928</v>
      </c>
    </row>
    <row r="439" spans="1:7" ht="13.2">
      <c r="A439" s="16"/>
      <c r="B439" s="17"/>
      <c r="D439" s="16">
        <f ca="1">IFERROR(__xludf.DUMMYFUNCTION("""COMPUTED_VALUE"""),272)</f>
        <v>272</v>
      </c>
      <c r="E439" s="16" t="str">
        <f ca="1">IFERROR(__xludf.DUMMYFUNCTION("""COMPUTED_VALUE"""),"Staff of fire")</f>
        <v>Staff of fire</v>
      </c>
      <c r="F439" s="16" t="str">
        <f ca="1">IFERROR(__xludf.DUMMYFUNCTION("""COMPUTED_VALUE"""),"Magic")</f>
        <v>Magic</v>
      </c>
      <c r="G439" s="58">
        <f ca="1">IFERROR(__xludf.DUMMYFUNCTION("""COMPUTED_VALUE"""),1588)</f>
        <v>1588</v>
      </c>
    </row>
    <row r="440" spans="1:7" ht="13.2">
      <c r="A440" s="16"/>
      <c r="B440" s="17"/>
      <c r="D440" s="16">
        <f ca="1">IFERROR(__xludf.DUMMYFUNCTION("""COMPUTED_VALUE"""),273)</f>
        <v>273</v>
      </c>
      <c r="E440" s="16" t="str">
        <f ca="1">IFERROR(__xludf.DUMMYFUNCTION("""COMPUTED_VALUE"""),"Staff of frost")</f>
        <v>Staff of frost</v>
      </c>
      <c r="F440" s="16" t="str">
        <f ca="1">IFERROR(__xludf.DUMMYFUNCTION("""COMPUTED_VALUE"""),"Magic")</f>
        <v>Magic</v>
      </c>
      <c r="G440" s="58">
        <f ca="1">IFERROR(__xludf.DUMMYFUNCTION("""COMPUTED_VALUE"""),1564)</f>
        <v>1564</v>
      </c>
    </row>
    <row r="441" spans="1:7" ht="13.2">
      <c r="A441" s="16"/>
      <c r="B441" s="17"/>
      <c r="D441" s="16">
        <f ca="1">IFERROR(__xludf.DUMMYFUNCTION("""COMPUTED_VALUE"""),274)</f>
        <v>274</v>
      </c>
      <c r="E441" s="16" t="str">
        <f ca="1">IFERROR(__xludf.DUMMYFUNCTION("""COMPUTED_VALUE"""),"Staff of healing")</f>
        <v>Staff of healing</v>
      </c>
      <c r="F441" s="16" t="str">
        <f ca="1">IFERROR(__xludf.DUMMYFUNCTION("""COMPUTED_VALUE"""),"Magic")</f>
        <v>Magic</v>
      </c>
      <c r="G441" s="58">
        <f ca="1">IFERROR(__xludf.DUMMYFUNCTION("""COMPUTED_VALUE"""),946)</f>
        <v>946</v>
      </c>
    </row>
    <row r="442" spans="1:7" ht="13.2">
      <c r="A442" s="16"/>
      <c r="B442" s="17"/>
      <c r="D442" s="16">
        <f ca="1">IFERROR(__xludf.DUMMYFUNCTION("""COMPUTED_VALUE"""),275)</f>
        <v>275</v>
      </c>
      <c r="E442" s="16" t="str">
        <f ca="1">IFERROR(__xludf.DUMMYFUNCTION("""COMPUTED_VALUE"""),"Staff of power")</f>
        <v>Staff of power</v>
      </c>
      <c r="F442" s="16" t="str">
        <f ca="1">IFERROR(__xludf.DUMMYFUNCTION("""COMPUTED_VALUE"""),"Magic")</f>
        <v>Magic</v>
      </c>
      <c r="G442" s="58">
        <f ca="1">IFERROR(__xludf.DUMMYFUNCTION("""COMPUTED_VALUE"""),1564)</f>
        <v>1564</v>
      </c>
    </row>
    <row r="443" spans="1:7" ht="13.2">
      <c r="A443" s="16"/>
      <c r="B443" s="17"/>
      <c r="D443" s="16">
        <f ca="1">IFERROR(__xludf.DUMMYFUNCTION("""COMPUTED_VALUE"""),276)</f>
        <v>276</v>
      </c>
      <c r="E443" s="16" t="str">
        <f ca="1">IFERROR(__xludf.DUMMYFUNCTION("""COMPUTED_VALUE"""),"Staff of striking")</f>
        <v>Staff of striking</v>
      </c>
      <c r="F443" s="16" t="str">
        <f ca="1">IFERROR(__xludf.DUMMYFUNCTION("""COMPUTED_VALUE"""),"Magic")</f>
        <v>Magic</v>
      </c>
      <c r="G443" s="58">
        <f ca="1">IFERROR(__xludf.DUMMYFUNCTION("""COMPUTED_VALUE"""),1588)</f>
        <v>1588</v>
      </c>
    </row>
    <row r="444" spans="1:7" ht="13.2">
      <c r="A444" s="16"/>
      <c r="B444" s="17"/>
      <c r="D444" s="16">
        <f ca="1">IFERROR(__xludf.DUMMYFUNCTION("""COMPUTED_VALUE"""),277)</f>
        <v>277</v>
      </c>
      <c r="E444" s="16" t="str">
        <f ca="1">IFERROR(__xludf.DUMMYFUNCTION("""COMPUTED_VALUE"""),"Staff of swarming insects")</f>
        <v>Staff of swarming insects</v>
      </c>
      <c r="F444" s="16" t="str">
        <f ca="1">IFERROR(__xludf.DUMMYFUNCTION("""COMPUTED_VALUE"""),"Magic")</f>
        <v>Magic</v>
      </c>
      <c r="G444" s="58">
        <f ca="1">IFERROR(__xludf.DUMMYFUNCTION("""COMPUTED_VALUE"""),931)</f>
        <v>931</v>
      </c>
    </row>
    <row r="445" spans="1:7" ht="13.2">
      <c r="A445" s="16"/>
      <c r="B445" s="17"/>
      <c r="D445" s="16">
        <f ca="1">IFERROR(__xludf.DUMMYFUNCTION("""COMPUTED_VALUE"""),278)</f>
        <v>278</v>
      </c>
      <c r="E445" s="16" t="str">
        <f ca="1">IFERROR(__xludf.DUMMYFUNCTION("""COMPUTED_VALUE"""),"Staff of the adder")</f>
        <v>Staff of the adder</v>
      </c>
      <c r="F445" s="16" t="str">
        <f ca="1">IFERROR(__xludf.DUMMYFUNCTION("""COMPUTED_VALUE"""),"Magic")</f>
        <v>Magic</v>
      </c>
      <c r="G445" s="58">
        <f ca="1">IFERROR(__xludf.DUMMYFUNCTION("""COMPUTED_VALUE"""),386)</f>
        <v>386</v>
      </c>
    </row>
    <row r="446" spans="1:7" ht="13.2">
      <c r="A446" s="16"/>
      <c r="B446" s="17"/>
      <c r="D446" s="16">
        <f ca="1">IFERROR(__xludf.DUMMYFUNCTION("""COMPUTED_VALUE"""),279)</f>
        <v>279</v>
      </c>
      <c r="E446" s="16" t="str">
        <f ca="1">IFERROR(__xludf.DUMMYFUNCTION("""COMPUTED_VALUE"""),"Staff of the magi")</f>
        <v>Staff of the magi</v>
      </c>
      <c r="F446" s="16" t="str">
        <f ca="1">IFERROR(__xludf.DUMMYFUNCTION("""COMPUTED_VALUE"""),"Magic")</f>
        <v>Magic</v>
      </c>
      <c r="G446" s="58">
        <f ca="1">IFERROR(__xludf.DUMMYFUNCTION("""COMPUTED_VALUE"""),3035)</f>
        <v>3035</v>
      </c>
    </row>
    <row r="447" spans="1:7" ht="13.2">
      <c r="A447" s="16"/>
      <c r="B447" s="17"/>
      <c r="D447" s="16">
        <f ca="1">IFERROR(__xludf.DUMMYFUNCTION("""COMPUTED_VALUE"""),280)</f>
        <v>280</v>
      </c>
      <c r="E447" s="16" t="str">
        <f ca="1">IFERROR(__xludf.DUMMYFUNCTION("""COMPUTED_VALUE"""),"Staff of the python")</f>
        <v>Staff of the python</v>
      </c>
      <c r="F447" s="16" t="str">
        <f ca="1">IFERROR(__xludf.DUMMYFUNCTION("""COMPUTED_VALUE"""),"Magic")</f>
        <v>Magic</v>
      </c>
      <c r="G447" s="58">
        <f ca="1">IFERROR(__xludf.DUMMYFUNCTION("""COMPUTED_VALUE"""),386)</f>
        <v>386</v>
      </c>
    </row>
    <row r="448" spans="1:7" ht="13.2">
      <c r="A448" s="16"/>
      <c r="B448" s="17"/>
      <c r="D448" s="16">
        <f ca="1">IFERROR(__xludf.DUMMYFUNCTION("""COMPUTED_VALUE"""),281)</f>
        <v>281</v>
      </c>
      <c r="E448" s="16" t="str">
        <f ca="1">IFERROR(__xludf.DUMMYFUNCTION("""COMPUTED_VALUE"""),"Staff of the woodlands")</f>
        <v>Staff of the woodlands</v>
      </c>
      <c r="F448" s="16" t="str">
        <f ca="1">IFERROR(__xludf.DUMMYFUNCTION("""COMPUTED_VALUE"""),"Magic")</f>
        <v>Magic</v>
      </c>
      <c r="G448" s="58">
        <f ca="1">IFERROR(__xludf.DUMMYFUNCTION("""COMPUTED_VALUE"""),931)</f>
        <v>931</v>
      </c>
    </row>
    <row r="449" spans="1:7" ht="13.2">
      <c r="A449" s="16"/>
      <c r="B449" s="17"/>
      <c r="D449" s="16">
        <f ca="1">IFERROR(__xludf.DUMMYFUNCTION("""COMPUTED_VALUE"""),282)</f>
        <v>282</v>
      </c>
      <c r="E449" s="16" t="str">
        <f ca="1">IFERROR(__xludf.DUMMYFUNCTION("""COMPUTED_VALUE"""),"Staff of thunder and lightning")</f>
        <v>Staff of thunder and lightning</v>
      </c>
      <c r="F449" s="16" t="str">
        <f ca="1">IFERROR(__xludf.DUMMYFUNCTION("""COMPUTED_VALUE"""),"Magic")</f>
        <v>Magic</v>
      </c>
      <c r="G449" s="58">
        <f ca="1">IFERROR(__xludf.DUMMYFUNCTION("""COMPUTED_VALUE"""),1592)</f>
        <v>1592</v>
      </c>
    </row>
    <row r="450" spans="1:7" ht="13.2">
      <c r="A450" s="16"/>
      <c r="B450" s="17"/>
      <c r="D450" s="16">
        <f ca="1">IFERROR(__xludf.DUMMYFUNCTION("""COMPUTED_VALUE"""),283)</f>
        <v>283</v>
      </c>
      <c r="E450" s="16" t="str">
        <f ca="1">IFERROR(__xludf.DUMMYFUNCTION("""COMPUTED_VALUE"""),"Staff of withering")</f>
        <v>Staff of withering</v>
      </c>
      <c r="F450" s="16" t="str">
        <f ca="1">IFERROR(__xludf.DUMMYFUNCTION("""COMPUTED_VALUE"""),"Magic")</f>
        <v>Magic</v>
      </c>
      <c r="G450" s="58">
        <f ca="1">IFERROR(__xludf.DUMMYFUNCTION("""COMPUTED_VALUE"""),934)</f>
        <v>934</v>
      </c>
    </row>
    <row r="451" spans="1:7" ht="13.2">
      <c r="A451" s="16"/>
      <c r="B451" s="17"/>
      <c r="D451" s="16">
        <f ca="1">IFERROR(__xludf.DUMMYFUNCTION("""COMPUTED_VALUE"""),284)</f>
        <v>284</v>
      </c>
      <c r="E451" s="16" t="str">
        <f ca="1">IFERROR(__xludf.DUMMYFUNCTION("""COMPUTED_VALUE"""),"Stone of controlling earth elementals")</f>
        <v>Stone of controlling earth elementals</v>
      </c>
      <c r="F451" s="16" t="str">
        <f ca="1">IFERROR(__xludf.DUMMYFUNCTION("""COMPUTED_VALUE"""),"Magic")</f>
        <v>Magic</v>
      </c>
      <c r="G451" s="58">
        <f ca="1">IFERROR(__xludf.DUMMYFUNCTION("""COMPUTED_VALUE"""),952)</f>
        <v>952</v>
      </c>
    </row>
    <row r="452" spans="1:7" ht="13.2">
      <c r="A452" s="16"/>
      <c r="B452" s="17"/>
      <c r="D452" s="16">
        <f ca="1">IFERROR(__xludf.DUMMYFUNCTION("""COMPUTED_VALUE"""),285)</f>
        <v>285</v>
      </c>
      <c r="E452" s="16" t="str">
        <f ca="1">IFERROR(__xludf.DUMMYFUNCTION("""COMPUTED_VALUE"""),"Stone of good luck (luckstone)")</f>
        <v>Stone of good luck (luckstone)</v>
      </c>
      <c r="F452" s="16" t="str">
        <f ca="1">IFERROR(__xludf.DUMMYFUNCTION("""COMPUTED_VALUE"""),"Magic")</f>
        <v>Magic</v>
      </c>
      <c r="G452" s="58">
        <f ca="1">IFERROR(__xludf.DUMMYFUNCTION("""COMPUTED_VALUE"""),376)</f>
        <v>376</v>
      </c>
    </row>
    <row r="453" spans="1:7" ht="13.2">
      <c r="A453" s="16"/>
      <c r="B453" s="17"/>
      <c r="D453" s="16">
        <f ca="1">IFERROR(__xludf.DUMMYFUNCTION("""COMPUTED_VALUE"""),286)</f>
        <v>286</v>
      </c>
      <c r="E453" s="16" t="str">
        <f ca="1">IFERROR(__xludf.DUMMYFUNCTION("""COMPUTED_VALUE"""),"Sun blade")</f>
        <v>Sun blade</v>
      </c>
      <c r="F453" s="16" t="str">
        <f ca="1">IFERROR(__xludf.DUMMYFUNCTION("""COMPUTED_VALUE"""),"Magic")</f>
        <v>Magic</v>
      </c>
      <c r="G453" s="58">
        <f ca="1">IFERROR(__xludf.DUMMYFUNCTION("""COMPUTED_VALUE"""),952)</f>
        <v>952</v>
      </c>
    </row>
    <row r="454" spans="1:7" ht="13.2">
      <c r="A454" s="16"/>
      <c r="B454" s="17"/>
      <c r="D454" s="16">
        <f ca="1">IFERROR(__xludf.DUMMYFUNCTION("""COMPUTED_VALUE"""),287)</f>
        <v>287</v>
      </c>
      <c r="E454" s="16" t="str">
        <f ca="1">IFERROR(__xludf.DUMMYFUNCTION("""COMPUTED_VALUE"""),"Sword of answering")</f>
        <v>Sword of answering</v>
      </c>
      <c r="F454" s="16" t="str">
        <f ca="1">IFERROR(__xludf.DUMMYFUNCTION("""COMPUTED_VALUE"""),"Magic")</f>
        <v>Magic</v>
      </c>
      <c r="G454" s="58">
        <f ca="1">IFERROR(__xludf.DUMMYFUNCTION("""COMPUTED_VALUE"""),3040)</f>
        <v>3040</v>
      </c>
    </row>
    <row r="455" spans="1:7" ht="13.2">
      <c r="A455" s="16"/>
      <c r="B455" s="17"/>
      <c r="D455" s="16">
        <f ca="1">IFERROR(__xludf.DUMMYFUNCTION("""COMPUTED_VALUE"""),288)</f>
        <v>288</v>
      </c>
      <c r="E455" s="16" t="str">
        <f ca="1">IFERROR(__xludf.DUMMYFUNCTION("""COMPUTED_VALUE"""),"Sword of life stealing")</f>
        <v>Sword of life stealing</v>
      </c>
      <c r="F455" s="16" t="str">
        <f ca="1">IFERROR(__xludf.DUMMYFUNCTION("""COMPUTED_VALUE"""),"Magic")</f>
        <v>Magic</v>
      </c>
      <c r="G455" s="58">
        <f ca="1">IFERROR(__xludf.DUMMYFUNCTION("""COMPUTED_VALUE"""),952)</f>
        <v>952</v>
      </c>
    </row>
    <row r="456" spans="1:7" ht="13.2">
      <c r="A456" s="16"/>
      <c r="B456" s="17"/>
      <c r="D456" s="16">
        <f ca="1">IFERROR(__xludf.DUMMYFUNCTION("""COMPUTED_VALUE"""),289)</f>
        <v>289</v>
      </c>
      <c r="E456" s="16" t="str">
        <f ca="1">IFERROR(__xludf.DUMMYFUNCTION("""COMPUTED_VALUE"""),"Sword of sharpness")</f>
        <v>Sword of sharpness</v>
      </c>
      <c r="F456" s="16" t="str">
        <f ca="1">IFERROR(__xludf.DUMMYFUNCTION("""COMPUTED_VALUE"""),"Magic")</f>
        <v>Magic</v>
      </c>
      <c r="G456" s="58">
        <f ca="1">IFERROR(__xludf.DUMMYFUNCTION("""COMPUTED_VALUE"""),1576)</f>
        <v>1576</v>
      </c>
    </row>
    <row r="457" spans="1:7" ht="13.2">
      <c r="A457" s="16"/>
      <c r="B457" s="17"/>
      <c r="D457" s="16">
        <f ca="1">IFERROR(__xludf.DUMMYFUNCTION("""COMPUTED_VALUE"""),290)</f>
        <v>290</v>
      </c>
      <c r="E457" s="16" t="str">
        <f ca="1">IFERROR(__xludf.DUMMYFUNCTION("""COMPUTED_VALUE"""),"Sword of vengeance")</f>
        <v>Sword of vengeance</v>
      </c>
      <c r="F457" s="16" t="str">
        <f ca="1">IFERROR(__xludf.DUMMYFUNCTION("""COMPUTED_VALUE"""),"Magic")</f>
        <v>Magic</v>
      </c>
      <c r="G457" s="58">
        <f ca="1">IFERROR(__xludf.DUMMYFUNCTION("""COMPUTED_VALUE"""),366)</f>
        <v>366</v>
      </c>
    </row>
    <row r="458" spans="1:7" ht="13.2">
      <c r="A458" s="16"/>
      <c r="B458" s="17"/>
      <c r="D458" s="16">
        <f ca="1">IFERROR(__xludf.DUMMYFUNCTION("""COMPUTED_VALUE"""),291)</f>
        <v>291</v>
      </c>
      <c r="E458" s="16" t="str">
        <f ca="1">IFERROR(__xludf.DUMMYFUNCTION("""COMPUTED_VALUE"""),"Sword of wounding")</f>
        <v>Sword of wounding</v>
      </c>
      <c r="F458" s="16" t="str">
        <f ca="1">IFERROR(__xludf.DUMMYFUNCTION("""COMPUTED_VALUE"""),"Magic")</f>
        <v>Magic</v>
      </c>
      <c r="G458" s="58">
        <f ca="1">IFERROR(__xludf.DUMMYFUNCTION("""COMPUTED_VALUE"""),937)</f>
        <v>937</v>
      </c>
    </row>
    <row r="459" spans="1:7" ht="13.2">
      <c r="A459" s="16"/>
      <c r="B459" s="17"/>
      <c r="D459" s="16">
        <f ca="1">IFERROR(__xludf.DUMMYFUNCTION("""COMPUTED_VALUE"""),292)</f>
        <v>292</v>
      </c>
      <c r="E459" s="16" t="str">
        <f ca="1">IFERROR(__xludf.DUMMYFUNCTION("""COMPUTED_VALUE"""),"Talisman of pure good")</f>
        <v>Talisman of pure good</v>
      </c>
      <c r="F459" s="16" t="str">
        <f ca="1">IFERROR(__xludf.DUMMYFUNCTION("""COMPUTED_VALUE"""),"Magic")</f>
        <v>Magic</v>
      </c>
      <c r="G459" s="58">
        <f ca="1">IFERROR(__xludf.DUMMYFUNCTION("""COMPUTED_VALUE"""),3015)</f>
        <v>3015</v>
      </c>
    </row>
    <row r="460" spans="1:7" ht="13.2">
      <c r="A460" s="16"/>
      <c r="B460" s="17"/>
      <c r="D460" s="16">
        <f ca="1">IFERROR(__xludf.DUMMYFUNCTION("""COMPUTED_VALUE"""),293)</f>
        <v>293</v>
      </c>
      <c r="E460" s="16" t="str">
        <f ca="1">IFERROR(__xludf.DUMMYFUNCTION("""COMPUTED_VALUE"""),"Talisman of the sphere")</f>
        <v>Talisman of the sphere</v>
      </c>
      <c r="F460" s="16" t="str">
        <f ca="1">IFERROR(__xludf.DUMMYFUNCTION("""COMPUTED_VALUE"""),"Magic")</f>
        <v>Magic</v>
      </c>
      <c r="G460" s="58">
        <f ca="1">IFERROR(__xludf.DUMMYFUNCTION("""COMPUTED_VALUE"""),3045)</f>
        <v>3045</v>
      </c>
    </row>
    <row r="461" spans="1:7" ht="13.2">
      <c r="A461" s="16"/>
      <c r="B461" s="17"/>
      <c r="D461" s="16">
        <f ca="1">IFERROR(__xludf.DUMMYFUNCTION("""COMPUTED_VALUE"""),294)</f>
        <v>294</v>
      </c>
      <c r="E461" s="16" t="str">
        <f ca="1">IFERROR(__xludf.DUMMYFUNCTION("""COMPUTED_VALUE"""),"Talisman of ultimate evil")</f>
        <v>Talisman of ultimate evil</v>
      </c>
      <c r="F461" s="16" t="str">
        <f ca="1">IFERROR(__xludf.DUMMYFUNCTION("""COMPUTED_VALUE"""),"Magic")</f>
        <v>Magic</v>
      </c>
      <c r="G461" s="58">
        <f ca="1">IFERROR(__xludf.DUMMYFUNCTION("""COMPUTED_VALUE"""),3015)</f>
        <v>3015</v>
      </c>
    </row>
    <row r="462" spans="1:7" ht="13.2">
      <c r="A462" s="16"/>
      <c r="B462" s="17"/>
      <c r="D462" s="16">
        <f ca="1">IFERROR(__xludf.DUMMYFUNCTION("""COMPUTED_VALUE"""),295)</f>
        <v>295</v>
      </c>
      <c r="E462" s="16" t="str">
        <f ca="1">IFERROR(__xludf.DUMMYFUNCTION("""COMPUTED_VALUE"""),"Tentacle rod")</f>
        <v>Tentacle rod</v>
      </c>
      <c r="F462" s="16" t="str">
        <f ca="1">IFERROR(__xludf.DUMMYFUNCTION("""COMPUTED_VALUE"""),"Magic")</f>
        <v>Magic</v>
      </c>
      <c r="G462" s="58">
        <f ca="1">IFERROR(__xludf.DUMMYFUNCTION("""COMPUTED_VALUE"""),940)</f>
        <v>940</v>
      </c>
    </row>
    <row r="463" spans="1:7" ht="13.2">
      <c r="A463" s="16"/>
      <c r="B463" s="17"/>
      <c r="D463" s="16">
        <f ca="1">IFERROR(__xludf.DUMMYFUNCTION("""COMPUTED_VALUE"""),296)</f>
        <v>296</v>
      </c>
      <c r="E463" s="16" t="str">
        <f ca="1">IFERROR(__xludf.DUMMYFUNCTION("""COMPUTED_VALUE"""),"Tome of clear thought")</f>
        <v>Tome of clear thought</v>
      </c>
      <c r="F463" s="16" t="str">
        <f ca="1">IFERROR(__xludf.DUMMYFUNCTION("""COMPUTED_VALUE"""),"Magic")</f>
        <v>Magic</v>
      </c>
      <c r="G463" s="58">
        <f ca="1">IFERROR(__xludf.DUMMYFUNCTION("""COMPUTED_VALUE"""),1556)</f>
        <v>1556</v>
      </c>
    </row>
    <row r="464" spans="1:7" ht="13.2">
      <c r="A464" s="16"/>
      <c r="B464" s="17"/>
      <c r="D464" s="16">
        <f ca="1">IFERROR(__xludf.DUMMYFUNCTION("""COMPUTED_VALUE"""),297)</f>
        <v>297</v>
      </c>
      <c r="E464" s="16" t="str">
        <f ca="1">IFERROR(__xludf.DUMMYFUNCTION("""COMPUTED_VALUE"""),"Tome of leadership and influence")</f>
        <v>Tome of leadership and influence</v>
      </c>
      <c r="F464" s="16" t="str">
        <f ca="1">IFERROR(__xludf.DUMMYFUNCTION("""COMPUTED_VALUE"""),"Magic")</f>
        <v>Magic</v>
      </c>
      <c r="G464" s="58">
        <f ca="1">IFERROR(__xludf.DUMMYFUNCTION("""COMPUTED_VALUE"""),1580)</f>
        <v>1580</v>
      </c>
    </row>
    <row r="465" spans="1:7" ht="13.2">
      <c r="A465" s="16"/>
      <c r="B465" s="17"/>
      <c r="D465" s="16">
        <f ca="1">IFERROR(__xludf.DUMMYFUNCTION("""COMPUTED_VALUE"""),298)</f>
        <v>298</v>
      </c>
      <c r="E465" s="16" t="str">
        <f ca="1">IFERROR(__xludf.DUMMYFUNCTION("""COMPUTED_VALUE"""),"Tome of the stilled tongue")</f>
        <v>Tome of the stilled tongue</v>
      </c>
      <c r="F465" s="16" t="str">
        <f ca="1">IFERROR(__xludf.DUMMYFUNCTION("""COMPUTED_VALUE"""),"Magic")</f>
        <v>Magic</v>
      </c>
      <c r="G465" s="58">
        <f ca="1">IFERROR(__xludf.DUMMYFUNCTION("""COMPUTED_VALUE"""),3020)</f>
        <v>3020</v>
      </c>
    </row>
    <row r="466" spans="1:7" ht="13.2">
      <c r="A466" s="16"/>
      <c r="B466" s="17"/>
      <c r="D466" s="16">
        <f ca="1">IFERROR(__xludf.DUMMYFUNCTION("""COMPUTED_VALUE"""),299)</f>
        <v>299</v>
      </c>
      <c r="E466" s="16" t="str">
        <f ca="1">IFERROR(__xludf.DUMMYFUNCTION("""COMPUTED_VALUE"""),"Tome of understanding")</f>
        <v>Tome of understanding</v>
      </c>
      <c r="F466" s="16" t="str">
        <f ca="1">IFERROR(__xludf.DUMMYFUNCTION("""COMPUTED_VALUE"""),"Magic")</f>
        <v>Magic</v>
      </c>
      <c r="G466" s="58">
        <f ca="1">IFERROR(__xludf.DUMMYFUNCTION("""COMPUTED_VALUE"""),1580)</f>
        <v>1580</v>
      </c>
    </row>
    <row r="467" spans="1:7" ht="13.2">
      <c r="A467" s="16"/>
      <c r="B467" s="17"/>
      <c r="D467" s="16">
        <f ca="1">IFERROR(__xludf.DUMMYFUNCTION("""COMPUTED_VALUE"""),300)</f>
        <v>300</v>
      </c>
      <c r="E467" s="16" t="str">
        <f ca="1">IFERROR(__xludf.DUMMYFUNCTION("""COMPUTED_VALUE"""),"Trident of fish command")</f>
        <v>Trident of fish command</v>
      </c>
      <c r="F467" s="16" t="str">
        <f ca="1">IFERROR(__xludf.DUMMYFUNCTION("""COMPUTED_VALUE"""),"Magic")</f>
        <v>Magic</v>
      </c>
      <c r="G467" s="58">
        <f ca="1">IFERROR(__xludf.DUMMYFUNCTION("""COMPUTED_VALUE"""),368)</f>
        <v>368</v>
      </c>
    </row>
    <row r="468" spans="1:7" ht="13.2">
      <c r="A468" s="16"/>
      <c r="B468" s="17"/>
      <c r="D468" s="16">
        <f ca="1">IFERROR(__xludf.DUMMYFUNCTION("""COMPUTED_VALUE"""),301)</f>
        <v>301</v>
      </c>
      <c r="E468" s="16" t="str">
        <f ca="1">IFERROR(__xludf.DUMMYFUNCTION("""COMPUTED_VALUE"""),"Universal solvent")</f>
        <v>Universal solvent</v>
      </c>
      <c r="F468" s="16" t="str">
        <f ca="1">IFERROR(__xludf.DUMMYFUNCTION("""COMPUTED_VALUE"""),"Magic")</f>
        <v>Magic</v>
      </c>
      <c r="G468" s="58">
        <f ca="1">IFERROR(__xludf.DUMMYFUNCTION("""COMPUTED_VALUE"""),3055)</f>
        <v>3055</v>
      </c>
    </row>
    <row r="469" spans="1:7" ht="13.2">
      <c r="A469" s="16"/>
      <c r="B469" s="17"/>
      <c r="D469" s="16">
        <f ca="1">IFERROR(__xludf.DUMMYFUNCTION("""COMPUTED_VALUE"""),302)</f>
        <v>302</v>
      </c>
      <c r="E469" s="16" t="str">
        <f ca="1">IFERROR(__xludf.DUMMYFUNCTION("""COMPUTED_VALUE"""),"Vicious weapon")</f>
        <v>Vicious weapon</v>
      </c>
      <c r="F469" s="16" t="str">
        <f ca="1">IFERROR(__xludf.DUMMYFUNCTION("""COMPUTED_VALUE"""),"Magic")</f>
        <v>Magic</v>
      </c>
      <c r="G469" s="58">
        <f ca="1">IFERROR(__xludf.DUMMYFUNCTION("""COMPUTED_VALUE"""),925)</f>
        <v>925</v>
      </c>
    </row>
    <row r="470" spans="1:7" ht="13.2">
      <c r="A470" s="16"/>
      <c r="B470" s="17"/>
      <c r="D470" s="16">
        <f ca="1">IFERROR(__xludf.DUMMYFUNCTION("""COMPUTED_VALUE"""),303)</f>
        <v>303</v>
      </c>
      <c r="E470" s="16" t="str">
        <f ca="1">IFERROR(__xludf.DUMMYFUNCTION("""COMPUTED_VALUE"""),"Vorpal sword")</f>
        <v>Vorpal sword</v>
      </c>
      <c r="F470" s="16" t="str">
        <f ca="1">IFERROR(__xludf.DUMMYFUNCTION("""COMPUTED_VALUE"""),"Magic")</f>
        <v>Magic</v>
      </c>
      <c r="G470" s="58">
        <f ca="1">IFERROR(__xludf.DUMMYFUNCTION("""COMPUTED_VALUE"""),3055)</f>
        <v>3055</v>
      </c>
    </row>
    <row r="471" spans="1:7" ht="13.2">
      <c r="A471" s="16"/>
      <c r="B471" s="17"/>
      <c r="D471" s="16">
        <f ca="1">IFERROR(__xludf.DUMMYFUNCTION("""COMPUTED_VALUE"""),304)</f>
        <v>304</v>
      </c>
      <c r="E471" s="16" t="str">
        <f ca="1">IFERROR(__xludf.DUMMYFUNCTION("""COMPUTED_VALUE"""),"Wand of binding")</f>
        <v>Wand of binding</v>
      </c>
      <c r="F471" s="16" t="str">
        <f ca="1">IFERROR(__xludf.DUMMYFUNCTION("""COMPUTED_VALUE"""),"Magic")</f>
        <v>Magic</v>
      </c>
      <c r="G471" s="58">
        <f ca="1">IFERROR(__xludf.DUMMYFUNCTION("""COMPUTED_VALUE"""),925)</f>
        <v>925</v>
      </c>
    </row>
    <row r="472" spans="1:7" ht="13.2">
      <c r="A472" s="16"/>
      <c r="B472" s="17"/>
      <c r="D472" s="16">
        <f ca="1">IFERROR(__xludf.DUMMYFUNCTION("""COMPUTED_VALUE"""),305)</f>
        <v>305</v>
      </c>
      <c r="E472" s="16" t="str">
        <f ca="1">IFERROR(__xludf.DUMMYFUNCTION("""COMPUTED_VALUE"""),"Wand of enemy detection")</f>
        <v>Wand of enemy detection</v>
      </c>
      <c r="F472" s="16" t="str">
        <f ca="1">IFERROR(__xludf.DUMMYFUNCTION("""COMPUTED_VALUE"""),"Magic")</f>
        <v>Magic</v>
      </c>
      <c r="G472" s="58">
        <f ca="1">IFERROR(__xludf.DUMMYFUNCTION("""COMPUTED_VALUE"""),943)</f>
        <v>943</v>
      </c>
    </row>
    <row r="473" spans="1:7" ht="13.2">
      <c r="A473" s="16"/>
      <c r="B473" s="17"/>
      <c r="D473" s="16">
        <f ca="1">IFERROR(__xludf.DUMMYFUNCTION("""COMPUTED_VALUE"""),306)</f>
        <v>306</v>
      </c>
      <c r="E473" s="16" t="str">
        <f ca="1">IFERROR(__xludf.DUMMYFUNCTION("""COMPUTED_VALUE"""),"Wand of fear")</f>
        <v>Wand of fear</v>
      </c>
      <c r="F473" s="16" t="str">
        <f ca="1">IFERROR(__xludf.DUMMYFUNCTION("""COMPUTED_VALUE"""),"Magic")</f>
        <v>Magic</v>
      </c>
      <c r="G473" s="58">
        <f ca="1">IFERROR(__xludf.DUMMYFUNCTION("""COMPUTED_VALUE"""),925)</f>
        <v>925</v>
      </c>
    </row>
    <row r="474" spans="1:7" ht="13.2">
      <c r="A474" s="16"/>
      <c r="B474" s="17"/>
      <c r="D474" s="16">
        <f ca="1">IFERROR(__xludf.DUMMYFUNCTION("""COMPUTED_VALUE"""),307)</f>
        <v>307</v>
      </c>
      <c r="E474" s="16" t="str">
        <f ca="1">IFERROR(__xludf.DUMMYFUNCTION("""COMPUTED_VALUE"""),"Wand of fireballs")</f>
        <v>Wand of fireballs</v>
      </c>
      <c r="F474" s="16" t="str">
        <f ca="1">IFERROR(__xludf.DUMMYFUNCTION("""COMPUTED_VALUE"""),"Magic")</f>
        <v>Magic</v>
      </c>
      <c r="G474" s="58">
        <f ca="1">IFERROR(__xludf.DUMMYFUNCTION("""COMPUTED_VALUE"""),946)</f>
        <v>946</v>
      </c>
    </row>
    <row r="475" spans="1:7" ht="13.2">
      <c r="A475" s="16"/>
      <c r="B475" s="17"/>
      <c r="D475" s="16">
        <f ca="1">IFERROR(__xludf.DUMMYFUNCTION("""COMPUTED_VALUE"""),308)</f>
        <v>308</v>
      </c>
      <c r="E475" s="16" t="str">
        <f ca="1">IFERROR(__xludf.DUMMYFUNCTION("""COMPUTED_VALUE"""),"Wand of lightning bolts")</f>
        <v>Wand of lightning bolts</v>
      </c>
      <c r="F475" s="16" t="str">
        <f ca="1">IFERROR(__xludf.DUMMYFUNCTION("""COMPUTED_VALUE"""),"Magic")</f>
        <v>Magic</v>
      </c>
      <c r="G475" s="58">
        <f ca="1">IFERROR(__xludf.DUMMYFUNCTION("""COMPUTED_VALUE"""),928)</f>
        <v>928</v>
      </c>
    </row>
    <row r="476" spans="1:7" ht="13.2">
      <c r="A476" s="16"/>
      <c r="B476" s="17"/>
      <c r="D476" s="16">
        <f ca="1">IFERROR(__xludf.DUMMYFUNCTION("""COMPUTED_VALUE"""),309)</f>
        <v>309</v>
      </c>
      <c r="E476" s="16" t="str">
        <f ca="1">IFERROR(__xludf.DUMMYFUNCTION("""COMPUTED_VALUE"""),"Wand of magic detection")</f>
        <v>Wand of magic detection</v>
      </c>
      <c r="F476" s="16" t="str">
        <f ca="1">IFERROR(__xludf.DUMMYFUNCTION("""COMPUTED_VALUE"""),"Magic")</f>
        <v>Magic</v>
      </c>
      <c r="G476" s="58">
        <f ca="1">IFERROR(__xludf.DUMMYFUNCTION("""COMPUTED_VALUE"""),384)</f>
        <v>384</v>
      </c>
    </row>
    <row r="477" spans="1:7" ht="13.2">
      <c r="A477" s="16"/>
      <c r="B477" s="17"/>
      <c r="D477" s="16">
        <f ca="1">IFERROR(__xludf.DUMMYFUNCTION("""COMPUTED_VALUE"""),310)</f>
        <v>310</v>
      </c>
      <c r="E477" s="16" t="str">
        <f ca="1">IFERROR(__xludf.DUMMYFUNCTION("""COMPUTED_VALUE"""),"Wand of magic missiles")</f>
        <v>Wand of magic missiles</v>
      </c>
      <c r="F477" s="16" t="str">
        <f ca="1">IFERROR(__xludf.DUMMYFUNCTION("""COMPUTED_VALUE"""),"Magic")</f>
        <v>Magic</v>
      </c>
      <c r="G477" s="58">
        <f ca="1">IFERROR(__xludf.DUMMYFUNCTION("""COMPUTED_VALUE"""),372)</f>
        <v>372</v>
      </c>
    </row>
    <row r="478" spans="1:7" ht="13.2">
      <c r="A478" s="16"/>
      <c r="B478" s="17"/>
      <c r="D478" s="16">
        <f ca="1">IFERROR(__xludf.DUMMYFUNCTION("""COMPUTED_VALUE"""),311)</f>
        <v>311</v>
      </c>
      <c r="E478" s="16" t="str">
        <f ca="1">IFERROR(__xludf.DUMMYFUNCTION("""COMPUTED_VALUE"""),"Wand of paralysis")</f>
        <v>Wand of paralysis</v>
      </c>
      <c r="F478" s="16" t="str">
        <f ca="1">IFERROR(__xludf.DUMMYFUNCTION("""COMPUTED_VALUE"""),"Magic")</f>
        <v>Magic</v>
      </c>
      <c r="G478" s="58">
        <f ca="1">IFERROR(__xludf.DUMMYFUNCTION("""COMPUTED_VALUE"""),946)</f>
        <v>946</v>
      </c>
    </row>
    <row r="479" spans="1:7" ht="13.2">
      <c r="A479" s="16"/>
      <c r="B479" s="17"/>
      <c r="D479" s="16">
        <f ca="1">IFERROR(__xludf.DUMMYFUNCTION("""COMPUTED_VALUE"""),312)</f>
        <v>312</v>
      </c>
      <c r="E479" s="16" t="str">
        <f ca="1">IFERROR(__xludf.DUMMYFUNCTION("""COMPUTED_VALUE"""),"Wand of polymorph")</f>
        <v>Wand of polymorph</v>
      </c>
      <c r="F479" s="16" t="str">
        <f ca="1">IFERROR(__xludf.DUMMYFUNCTION("""COMPUTED_VALUE"""),"Magic")</f>
        <v>Magic</v>
      </c>
      <c r="G479" s="58">
        <f ca="1">IFERROR(__xludf.DUMMYFUNCTION("""COMPUTED_VALUE"""),1564)</f>
        <v>1564</v>
      </c>
    </row>
    <row r="480" spans="1:7" ht="13.2">
      <c r="A480" s="16"/>
      <c r="B480" s="17"/>
      <c r="D480" s="16">
        <f ca="1">IFERROR(__xludf.DUMMYFUNCTION("""COMPUTED_VALUE"""),313)</f>
        <v>313</v>
      </c>
      <c r="E480" s="16" t="str">
        <f ca="1">IFERROR(__xludf.DUMMYFUNCTION("""COMPUTED_VALUE"""),"Wand of secrets")</f>
        <v>Wand of secrets</v>
      </c>
      <c r="F480" s="16" t="str">
        <f ca="1">IFERROR(__xludf.DUMMYFUNCTION("""COMPUTED_VALUE"""),"Magic")</f>
        <v>Magic</v>
      </c>
      <c r="G480" s="58">
        <f ca="1">IFERROR(__xludf.DUMMYFUNCTION("""COMPUTED_VALUE"""),386)</f>
        <v>386</v>
      </c>
    </row>
    <row r="481" spans="1:7" ht="13.2">
      <c r="A481" s="16"/>
      <c r="B481" s="17"/>
      <c r="D481" s="16">
        <f ca="1">IFERROR(__xludf.DUMMYFUNCTION("""COMPUTED_VALUE"""),314)</f>
        <v>314</v>
      </c>
      <c r="E481" s="16" t="str">
        <f ca="1">IFERROR(__xludf.DUMMYFUNCTION("""COMPUTED_VALUE"""),"Wand of the war mage +1")</f>
        <v>Wand of the war mage +1</v>
      </c>
      <c r="F481" s="16" t="str">
        <f ca="1">IFERROR(__xludf.DUMMYFUNCTION("""COMPUTED_VALUE"""),"Magic")</f>
        <v>Magic</v>
      </c>
      <c r="G481" s="58">
        <f ca="1">IFERROR(__xludf.DUMMYFUNCTION("""COMPUTED_VALUE"""),374)</f>
        <v>374</v>
      </c>
    </row>
    <row r="482" spans="1:7" ht="13.2">
      <c r="A482" s="16"/>
      <c r="B482" s="17"/>
      <c r="D482" s="16">
        <f ca="1">IFERROR(__xludf.DUMMYFUNCTION("""COMPUTED_VALUE"""),315)</f>
        <v>315</v>
      </c>
      <c r="E482" s="16" t="str">
        <f ca="1">IFERROR(__xludf.DUMMYFUNCTION("""COMPUTED_VALUE"""),"Wand of the war mage +2")</f>
        <v>Wand of the war mage +2</v>
      </c>
      <c r="F482" s="16" t="str">
        <f ca="1">IFERROR(__xludf.DUMMYFUNCTION("""COMPUTED_VALUE"""),"Magic")</f>
        <v>Magic</v>
      </c>
      <c r="G482" s="58">
        <f ca="1">IFERROR(__xludf.DUMMYFUNCTION("""COMPUTED_VALUE"""),949)</f>
        <v>949</v>
      </c>
    </row>
    <row r="483" spans="1:7" ht="13.2">
      <c r="A483" s="16"/>
      <c r="B483" s="17"/>
      <c r="D483" s="16">
        <f ca="1">IFERROR(__xludf.DUMMYFUNCTION("""COMPUTED_VALUE"""),316)</f>
        <v>316</v>
      </c>
      <c r="E483" s="16" t="str">
        <f ca="1">IFERROR(__xludf.DUMMYFUNCTION("""COMPUTED_VALUE"""),"Wand of the war mage +3")</f>
        <v>Wand of the war mage +3</v>
      </c>
      <c r="F483" s="16" t="str">
        <f ca="1">IFERROR(__xludf.DUMMYFUNCTION("""COMPUTED_VALUE"""),"Magic")</f>
        <v>Magic</v>
      </c>
      <c r="G483" s="58">
        <f ca="1">IFERROR(__xludf.DUMMYFUNCTION("""COMPUTED_VALUE"""),1568)</f>
        <v>1568</v>
      </c>
    </row>
    <row r="484" spans="1:7" ht="13.2">
      <c r="A484" s="16"/>
      <c r="B484" s="17"/>
      <c r="D484" s="16">
        <f ca="1">IFERROR(__xludf.DUMMYFUNCTION("""COMPUTED_VALUE"""),317)</f>
        <v>317</v>
      </c>
      <c r="E484" s="16" t="str">
        <f ca="1">IFERROR(__xludf.DUMMYFUNCTION("""COMPUTED_VALUE"""),"Wand of web")</f>
        <v>Wand of web</v>
      </c>
      <c r="F484" s="16" t="str">
        <f ca="1">IFERROR(__xludf.DUMMYFUNCTION("""COMPUTED_VALUE"""),"Magic")</f>
        <v>Magic</v>
      </c>
      <c r="G484" s="58">
        <f ca="1">IFERROR(__xludf.DUMMYFUNCTION("""COMPUTED_VALUE"""),386)</f>
        <v>386</v>
      </c>
    </row>
    <row r="485" spans="1:7" ht="13.2">
      <c r="A485" s="16"/>
      <c r="B485" s="17"/>
      <c r="D485" s="16">
        <f ca="1">IFERROR(__xludf.DUMMYFUNCTION("""COMPUTED_VALUE"""),318)</f>
        <v>318</v>
      </c>
      <c r="E485" s="16" t="str">
        <f ca="1">IFERROR(__xludf.DUMMYFUNCTION("""COMPUTED_VALUE"""),"Wand of wonder")</f>
        <v>Wand of wonder</v>
      </c>
      <c r="F485" s="16" t="str">
        <f ca="1">IFERROR(__xludf.DUMMYFUNCTION("""COMPUTED_VALUE"""),"Magic")</f>
        <v>Magic</v>
      </c>
      <c r="G485" s="58">
        <f ca="1">IFERROR(__xludf.DUMMYFUNCTION("""COMPUTED_VALUE"""),931)</f>
        <v>931</v>
      </c>
    </row>
    <row r="486" spans="1:7" ht="13.2">
      <c r="A486" s="16"/>
      <c r="B486" s="17"/>
      <c r="D486" s="16">
        <f ca="1">IFERROR(__xludf.DUMMYFUNCTION("""COMPUTED_VALUE"""),319)</f>
        <v>319</v>
      </c>
      <c r="E486" s="16" t="str">
        <f ca="1">IFERROR(__xludf.DUMMYFUNCTION("""COMPUTED_VALUE"""),"Weapon +1")</f>
        <v>Weapon +1</v>
      </c>
      <c r="F486" s="16" t="str">
        <f ca="1">IFERROR(__xludf.DUMMYFUNCTION("""COMPUTED_VALUE"""),"Magic")</f>
        <v>Magic</v>
      </c>
      <c r="G486" s="58">
        <f ca="1">IFERROR(__xludf.DUMMYFUNCTION("""COMPUTED_VALUE"""),388)</f>
        <v>388</v>
      </c>
    </row>
    <row r="487" spans="1:7" ht="13.2">
      <c r="A487" s="16"/>
      <c r="B487" s="17"/>
      <c r="D487" s="16">
        <f ca="1">IFERROR(__xludf.DUMMYFUNCTION("""COMPUTED_VALUE"""),320)</f>
        <v>320</v>
      </c>
      <c r="E487" s="16" t="str">
        <f ca="1">IFERROR(__xludf.DUMMYFUNCTION("""COMPUTED_VALUE"""),"Weapon +2")</f>
        <v>Weapon +2</v>
      </c>
      <c r="F487" s="16" t="str">
        <f ca="1">IFERROR(__xludf.DUMMYFUNCTION("""COMPUTED_VALUE"""),"Magic")</f>
        <v>Magic</v>
      </c>
      <c r="G487" s="58">
        <f ca="1">IFERROR(__xludf.DUMMYFUNCTION("""COMPUTED_VALUE"""),934)</f>
        <v>934</v>
      </c>
    </row>
    <row r="488" spans="1:7" ht="13.2">
      <c r="A488" s="16"/>
      <c r="B488" s="17"/>
      <c r="D488" s="16">
        <f ca="1">IFERROR(__xludf.DUMMYFUNCTION("""COMPUTED_VALUE"""),321)</f>
        <v>321</v>
      </c>
      <c r="E488" s="16" t="str">
        <f ca="1">IFERROR(__xludf.DUMMYFUNCTION("""COMPUTED_VALUE"""),"Weapon +3")</f>
        <v>Weapon +3</v>
      </c>
      <c r="F488" s="16" t="str">
        <f ca="1">IFERROR(__xludf.DUMMYFUNCTION("""COMPUTED_VALUE"""),"Magic")</f>
        <v>Magic</v>
      </c>
      <c r="G488" s="58">
        <f ca="1">IFERROR(__xludf.DUMMYFUNCTION("""COMPUTED_VALUE"""),1596)</f>
        <v>1596</v>
      </c>
    </row>
    <row r="489" spans="1:7" ht="13.2">
      <c r="A489" s="16"/>
      <c r="B489" s="17"/>
      <c r="D489" s="16">
        <f ca="1">IFERROR(__xludf.DUMMYFUNCTION("""COMPUTED_VALUE"""),322)</f>
        <v>322</v>
      </c>
      <c r="E489" s="16" t="str">
        <f ca="1">IFERROR(__xludf.DUMMYFUNCTION("""COMPUTED_VALUE"""),"Weapon of warning")</f>
        <v>Weapon of warning</v>
      </c>
      <c r="F489" s="16" t="str">
        <f ca="1">IFERROR(__xludf.DUMMYFUNCTION("""COMPUTED_VALUE"""),"Magic")</f>
        <v>Magic</v>
      </c>
      <c r="G489" s="58">
        <f ca="1">IFERROR(__xludf.DUMMYFUNCTION("""COMPUTED_VALUE"""),376)</f>
        <v>376</v>
      </c>
    </row>
    <row r="490" spans="1:7" ht="13.2">
      <c r="A490" s="16"/>
      <c r="B490" s="17"/>
      <c r="D490" s="16">
        <f ca="1">IFERROR(__xludf.DUMMYFUNCTION("""COMPUTED_VALUE"""),323)</f>
        <v>323</v>
      </c>
      <c r="E490" s="16" t="str">
        <f ca="1">IFERROR(__xludf.DUMMYFUNCTION("""COMPUTED_VALUE"""),"Well of many worlds")</f>
        <v>Well of many worlds</v>
      </c>
      <c r="F490" s="16" t="str">
        <f ca="1">IFERROR(__xludf.DUMMYFUNCTION("""COMPUTED_VALUE"""),"Magic")</f>
        <v>Magic</v>
      </c>
      <c r="G490" s="58">
        <f ca="1">IFERROR(__xludf.DUMMYFUNCTION("""COMPUTED_VALUE"""),3070)</f>
        <v>3070</v>
      </c>
    </row>
    <row r="491" spans="1:7" ht="13.2">
      <c r="A491" s="16"/>
      <c r="B491" s="17"/>
      <c r="D491" s="16">
        <f ca="1">IFERROR(__xludf.DUMMYFUNCTION("""COMPUTED_VALUE"""),324)</f>
        <v>324</v>
      </c>
      <c r="E491" s="16" t="str">
        <f ca="1">IFERROR(__xludf.DUMMYFUNCTION("""COMPUTED_VALUE"""),"Wind fan")</f>
        <v>Wind fan</v>
      </c>
      <c r="F491" s="16" t="str">
        <f ca="1">IFERROR(__xludf.DUMMYFUNCTION("""COMPUTED_VALUE"""),"Magic")</f>
        <v>Magic</v>
      </c>
      <c r="G491" s="58">
        <f ca="1">IFERROR(__xludf.DUMMYFUNCTION("""COMPUTED_VALUE"""),376)</f>
        <v>376</v>
      </c>
    </row>
    <row r="492" spans="1:7" ht="13.2">
      <c r="A492" s="16"/>
      <c r="B492" s="17"/>
      <c r="D492" s="16">
        <f ca="1">IFERROR(__xludf.DUMMYFUNCTION("""COMPUTED_VALUE"""),325)</f>
        <v>325</v>
      </c>
      <c r="E492" s="16" t="str">
        <f ca="1">IFERROR(__xludf.DUMMYFUNCTION("""COMPUTED_VALUE"""),"Winged boots")</f>
        <v>Winged boots</v>
      </c>
      <c r="F492" s="16" t="str">
        <f ca="1">IFERROR(__xludf.DUMMYFUNCTION("""COMPUTED_VALUE"""),"Magic")</f>
        <v>Magic</v>
      </c>
      <c r="G492" s="58">
        <f ca="1">IFERROR(__xludf.DUMMYFUNCTION("""COMPUTED_VALUE"""),366)</f>
        <v>366</v>
      </c>
    </row>
    <row r="493" spans="1:7" ht="13.2">
      <c r="A493" s="16"/>
      <c r="B493" s="17"/>
      <c r="D493" s="16">
        <f ca="1">IFERROR(__xludf.DUMMYFUNCTION("""COMPUTED_VALUE"""),326)</f>
        <v>326</v>
      </c>
      <c r="E493" s="16" t="str">
        <f ca="1">IFERROR(__xludf.DUMMYFUNCTION("""COMPUTED_VALUE"""),"Wings of flying")</f>
        <v>Wings of flying</v>
      </c>
      <c r="F493" s="16" t="str">
        <f ca="1">IFERROR(__xludf.DUMMYFUNCTION("""COMPUTED_VALUE"""),"Magic")</f>
        <v>Magic</v>
      </c>
      <c r="G493" s="58">
        <f ca="1">IFERROR(__xludf.DUMMYFUNCTION("""COMPUTED_VALUE"""),937)</f>
        <v>937</v>
      </c>
    </row>
    <row r="494" spans="1:7" ht="13.2">
      <c r="A494" s="16"/>
      <c r="B494" s="17"/>
      <c r="D494" s="16">
        <f ca="1">IFERROR(__xludf.DUMMYFUNCTION("""COMPUTED_VALUE"""),327)</f>
        <v>327</v>
      </c>
      <c r="E494" s="16" t="str">
        <f ca="1">IFERROR(__xludf.DUMMYFUNCTION("""COMPUTED_VALUE"""),"Blackrazor")</f>
        <v>Blackrazor</v>
      </c>
      <c r="F494" s="16" t="str">
        <f ca="1">IFERROR(__xludf.DUMMYFUNCTION("""COMPUTED_VALUE"""),"Magic")</f>
        <v>Magic</v>
      </c>
      <c r="G494" s="58">
        <f ca="1">IFERROR(__xludf.DUMMYFUNCTION("""COMPUTED_VALUE"""),18)</f>
        <v>18</v>
      </c>
    </row>
    <row r="495" spans="1:7" ht="13.2">
      <c r="A495" s="16"/>
      <c r="B495" s="17"/>
      <c r="D495" s="16">
        <f ca="1">IFERROR(__xludf.DUMMYFUNCTION("""COMPUTED_VALUE"""),328)</f>
        <v>328</v>
      </c>
      <c r="E495" s="16" t="str">
        <f ca="1">IFERROR(__xludf.DUMMYFUNCTION("""COMPUTED_VALUE"""),"Moonblade")</f>
        <v>Moonblade</v>
      </c>
      <c r="F495" s="16" t="str">
        <f ca="1">IFERROR(__xludf.DUMMYFUNCTION("""COMPUTED_VALUE"""),"Magic")</f>
        <v>Magic</v>
      </c>
      <c r="G495" s="58">
        <f ca="1">IFERROR(__xludf.DUMMYFUNCTION("""COMPUTED_VALUE"""),54)</f>
        <v>54</v>
      </c>
    </row>
    <row r="496" spans="1:7" ht="13.2">
      <c r="A496" s="16"/>
      <c r="B496" s="17"/>
      <c r="D496" s="16">
        <f ca="1">IFERROR(__xludf.DUMMYFUNCTION("""COMPUTED_VALUE"""),329)</f>
        <v>329</v>
      </c>
      <c r="E496" s="16" t="str">
        <f ca="1">IFERROR(__xludf.DUMMYFUNCTION("""COMPUTED_VALUE"""),"Wave")</f>
        <v>Wave</v>
      </c>
      <c r="F496" s="16" t="str">
        <f ca="1">IFERROR(__xludf.DUMMYFUNCTION("""COMPUTED_VALUE"""),"Magic")</f>
        <v>Magic</v>
      </c>
      <c r="G496" s="58">
        <f ca="1">IFERROR(__xludf.DUMMYFUNCTION("""COMPUTED_VALUE"""),18)</f>
        <v>18</v>
      </c>
    </row>
    <row r="497" spans="1:7" ht="13.2">
      <c r="A497" s="16"/>
      <c r="B497" s="17"/>
      <c r="D497" s="16">
        <f ca="1">IFERROR(__xludf.DUMMYFUNCTION("""COMPUTED_VALUE"""),330)</f>
        <v>330</v>
      </c>
      <c r="E497" s="16" t="str">
        <f ca="1">IFERROR(__xludf.DUMMYFUNCTION("""COMPUTED_VALUE"""),"Whelm")</f>
        <v>Whelm</v>
      </c>
      <c r="F497" s="16" t="str">
        <f ca="1">IFERROR(__xludf.DUMMYFUNCTION("""COMPUTED_VALUE"""),"Magic")</f>
        <v>Magic</v>
      </c>
      <c r="G497" s="58">
        <f ca="1">IFERROR(__xludf.DUMMYFUNCTION("""COMPUTED_VALUE"""),54)</f>
        <v>54</v>
      </c>
    </row>
    <row r="498" spans="1:7" ht="13.2">
      <c r="A498" s="16"/>
      <c r="B498" s="17"/>
      <c r="D498" s="16">
        <f ca="1">IFERROR(__xludf.DUMMYFUNCTION("""COMPUTED_VALUE"""),331)</f>
        <v>331</v>
      </c>
      <c r="E498" s="16" t="str">
        <f ca="1">IFERROR(__xludf.DUMMYFUNCTION("""COMPUTED_VALUE"""),"Axe of the Dwarvish Lords")</f>
        <v>Axe of the Dwarvish Lords</v>
      </c>
      <c r="F498" s="16" t="str">
        <f ca="1">IFERROR(__xludf.DUMMYFUNCTION("""COMPUTED_VALUE"""),"Magic")</f>
        <v>Magic</v>
      </c>
      <c r="G498" s="58">
        <f ca="1">IFERROR(__xludf.DUMMYFUNCTION("""COMPUTED_VALUE"""),28)</f>
        <v>28</v>
      </c>
    </row>
    <row r="499" spans="1:7" ht="13.2">
      <c r="A499" s="16"/>
      <c r="B499" s="17"/>
      <c r="D499" s="16">
        <f ca="1">IFERROR(__xludf.DUMMYFUNCTION("""COMPUTED_VALUE"""),332)</f>
        <v>332</v>
      </c>
      <c r="E499" s="16" t="str">
        <f ca="1">IFERROR(__xludf.DUMMYFUNCTION("""COMPUTED_VALUE"""),"Book of Exalted Deeds")</f>
        <v>Book of Exalted Deeds</v>
      </c>
      <c r="F499" s="16" t="str">
        <f ca="1">IFERROR(__xludf.DUMMYFUNCTION("""COMPUTED_VALUE"""),"Magic")</f>
        <v>Magic</v>
      </c>
      <c r="G499" s="58">
        <f ca="1">IFERROR(__xludf.DUMMYFUNCTION("""COMPUTED_VALUE"""),70)</f>
        <v>70</v>
      </c>
    </row>
    <row r="500" spans="1:7" ht="13.2">
      <c r="A500" s="16"/>
      <c r="B500" s="17"/>
      <c r="D500" s="16">
        <f ca="1">IFERROR(__xludf.DUMMYFUNCTION("""COMPUTED_VALUE"""),333)</f>
        <v>333</v>
      </c>
      <c r="E500" s="16" t="str">
        <f ca="1">IFERROR(__xludf.DUMMYFUNCTION("""COMPUTED_VALUE"""),"Book of Vile Darkness")</f>
        <v>Book of Vile Darkness</v>
      </c>
      <c r="F500" s="16" t="str">
        <f ca="1">IFERROR(__xludf.DUMMYFUNCTION("""COMPUTED_VALUE"""),"Magic")</f>
        <v>Magic</v>
      </c>
      <c r="G500" s="58">
        <f ca="1">IFERROR(__xludf.DUMMYFUNCTION("""COMPUTED_VALUE"""),28)</f>
        <v>28</v>
      </c>
    </row>
    <row r="501" spans="1:7" ht="13.2">
      <c r="A501" s="16"/>
      <c r="B501" s="17"/>
      <c r="D501" s="16">
        <f ca="1">IFERROR(__xludf.DUMMYFUNCTION("""COMPUTED_VALUE"""),334)</f>
        <v>334</v>
      </c>
      <c r="E501" s="16" t="str">
        <f ca="1">IFERROR(__xludf.DUMMYFUNCTION("""COMPUTED_VALUE"""),"Eye and Hand of Vecna")</f>
        <v>Eye and Hand of Vecna</v>
      </c>
      <c r="F501" s="16" t="str">
        <f ca="1">IFERROR(__xludf.DUMMYFUNCTION("""COMPUTED_VALUE"""),"Magic")</f>
        <v>Magic</v>
      </c>
      <c r="G501" s="58">
        <f ca="1">IFERROR(__xludf.DUMMYFUNCTION("""COMPUTED_VALUE"""),70)</f>
        <v>70</v>
      </c>
    </row>
    <row r="502" spans="1:7" ht="13.2">
      <c r="A502" s="16"/>
      <c r="B502" s="17"/>
      <c r="D502" s="16">
        <f ca="1">IFERROR(__xludf.DUMMYFUNCTION("""COMPUTED_VALUE"""),335)</f>
        <v>335</v>
      </c>
      <c r="E502" s="16" t="str">
        <f ca="1">IFERROR(__xludf.DUMMYFUNCTION("""COMPUTED_VALUE"""),"Orb of Dragonkind")</f>
        <v>Orb of Dragonkind</v>
      </c>
      <c r="F502" s="16" t="str">
        <f ca="1">IFERROR(__xludf.DUMMYFUNCTION("""COMPUTED_VALUE"""),"Magic")</f>
        <v>Magic</v>
      </c>
      <c r="G502" s="58">
        <f ca="1">IFERROR(__xludf.DUMMYFUNCTION("""COMPUTED_VALUE"""),28)</f>
        <v>28</v>
      </c>
    </row>
    <row r="503" spans="1:7" ht="13.2">
      <c r="A503" s="16"/>
      <c r="B503" s="17"/>
      <c r="D503" s="16">
        <f ca="1">IFERROR(__xludf.DUMMYFUNCTION("""COMPUTED_VALUE"""),336)</f>
        <v>336</v>
      </c>
      <c r="E503" s="16" t="str">
        <f ca="1">IFERROR(__xludf.DUMMYFUNCTION("""COMPUTED_VALUE"""),"Sword of Kas")</f>
        <v>Sword of Kas</v>
      </c>
      <c r="F503" s="16" t="str">
        <f ca="1">IFERROR(__xludf.DUMMYFUNCTION("""COMPUTED_VALUE"""),"Magic")</f>
        <v>Magic</v>
      </c>
      <c r="G503" s="58">
        <f ca="1">IFERROR(__xludf.DUMMYFUNCTION("""COMPUTED_VALUE"""),70)</f>
        <v>70</v>
      </c>
    </row>
    <row r="504" spans="1:7" ht="13.2">
      <c r="A504" s="16"/>
      <c r="B504" s="17"/>
      <c r="D504" s="16">
        <f ca="1">IFERROR(__xludf.DUMMYFUNCTION("""COMPUTED_VALUE"""),337)</f>
        <v>337</v>
      </c>
      <c r="E504" s="16" t="str">
        <f ca="1">IFERROR(__xludf.DUMMYFUNCTION("""COMPUTED_VALUE"""),"Wand of Orcus")</f>
        <v>Wand of Orcus</v>
      </c>
      <c r="F504" s="16" t="str">
        <f ca="1">IFERROR(__xludf.DUMMYFUNCTION("""COMPUTED_VALUE"""),"Magic")</f>
        <v>Magic</v>
      </c>
      <c r="G504" s="58">
        <f ca="1">IFERROR(__xludf.DUMMYFUNCTION("""COMPUTED_VALUE"""),35)</f>
        <v>35</v>
      </c>
    </row>
    <row r="505" spans="1:7" ht="13.2">
      <c r="A505" s="16"/>
      <c r="B505" s="17"/>
      <c r="D505" s="16"/>
      <c r="E505" s="16"/>
      <c r="F505" s="16"/>
      <c r="G505" s="58">
        <f ca="1">IFERROR(__xludf.DUMMYFUNCTION("""COMPUTED_VALUE"""),0)</f>
        <v>0</v>
      </c>
    </row>
    <row r="506" spans="1:7" ht="13.2">
      <c r="A506" s="16"/>
      <c r="B506" s="17"/>
      <c r="D506" s="16"/>
      <c r="E506" s="16"/>
      <c r="F506" s="16"/>
      <c r="G506" s="58">
        <f ca="1">IFERROR(__xludf.DUMMYFUNCTION("""COMPUTED_VALUE"""),0)</f>
        <v>0</v>
      </c>
    </row>
    <row r="507" spans="1:7" ht="13.2">
      <c r="A507" s="16"/>
      <c r="B507" s="17"/>
      <c r="D507" s="16"/>
      <c r="E507" s="16"/>
      <c r="F507" s="16"/>
      <c r="G507" s="58">
        <f ca="1">IFERROR(__xludf.DUMMYFUNCTION("""COMPUTED_VALUE"""),0)</f>
        <v>0</v>
      </c>
    </row>
    <row r="508" spans="1:7" ht="13.2">
      <c r="A508" s="16"/>
      <c r="B508" s="17"/>
      <c r="D508" s="16"/>
      <c r="E508" s="16"/>
      <c r="F508" s="16"/>
      <c r="G508" s="58">
        <f ca="1">IFERROR(__xludf.DUMMYFUNCTION("""COMPUTED_VALUE"""),0)</f>
        <v>0</v>
      </c>
    </row>
    <row r="509" spans="1:7" ht="13.2">
      <c r="A509" s="16"/>
      <c r="B509" s="17"/>
      <c r="D509" s="16"/>
      <c r="E509" s="16"/>
      <c r="F509" s="16"/>
      <c r="G509" s="58">
        <f ca="1">IFERROR(__xludf.DUMMYFUNCTION("""COMPUTED_VALUE"""),0)</f>
        <v>0</v>
      </c>
    </row>
    <row r="510" spans="1:7" ht="13.2">
      <c r="A510" s="16"/>
      <c r="B510" s="17"/>
      <c r="D510" s="16"/>
      <c r="E510" s="16"/>
      <c r="F510" s="16"/>
      <c r="G510" s="58">
        <f ca="1">IFERROR(__xludf.DUMMYFUNCTION("""COMPUTED_VALUE"""),0)</f>
        <v>0</v>
      </c>
    </row>
    <row r="511" spans="1:7" ht="13.2">
      <c r="A511" s="16"/>
      <c r="B511" s="17"/>
      <c r="D511" s="16"/>
      <c r="E511" s="16"/>
      <c r="F511" s="16"/>
      <c r="G511" s="58">
        <f ca="1">IFERROR(__xludf.DUMMYFUNCTION("""COMPUTED_VALUE"""),0)</f>
        <v>0</v>
      </c>
    </row>
    <row r="512" spans="1:7" ht="13.2">
      <c r="A512" s="16"/>
      <c r="B512" s="17"/>
      <c r="D512" s="16"/>
      <c r="E512" s="16"/>
      <c r="F512" s="16"/>
      <c r="G512" s="58">
        <f ca="1">IFERROR(__xludf.DUMMYFUNCTION("""COMPUTED_VALUE"""),0)</f>
        <v>0</v>
      </c>
    </row>
    <row r="513" spans="1:7" ht="13.2">
      <c r="A513" s="16"/>
      <c r="B513" s="17"/>
      <c r="D513" s="16"/>
      <c r="E513" s="16"/>
      <c r="F513" s="16"/>
      <c r="G513" s="58">
        <f ca="1">IFERROR(__xludf.DUMMYFUNCTION("""COMPUTED_VALUE"""),0)</f>
        <v>0</v>
      </c>
    </row>
    <row r="514" spans="1:7" ht="13.2">
      <c r="A514" s="16"/>
      <c r="B514" s="17"/>
      <c r="D514" s="16"/>
      <c r="E514" s="16"/>
      <c r="F514" s="16"/>
      <c r="G514" s="58">
        <f ca="1">IFERROR(__xludf.DUMMYFUNCTION("""COMPUTED_VALUE"""),0)</f>
        <v>0</v>
      </c>
    </row>
    <row r="515" spans="1:7" ht="13.2">
      <c r="A515" s="16"/>
      <c r="B515" s="17"/>
      <c r="D515" s="16"/>
      <c r="E515" s="16"/>
      <c r="F515" s="16"/>
      <c r="G515" s="58">
        <f ca="1">IFERROR(__xludf.DUMMYFUNCTION("""COMPUTED_VALUE"""),0)</f>
        <v>0</v>
      </c>
    </row>
    <row r="516" spans="1:7" ht="13.2">
      <c r="A516" s="16"/>
      <c r="B516" s="17"/>
      <c r="D516" s="16"/>
      <c r="E516" s="16"/>
      <c r="F516" s="16"/>
      <c r="G516" s="58">
        <f ca="1">IFERROR(__xludf.DUMMYFUNCTION("""COMPUTED_VALUE"""),0)</f>
        <v>0</v>
      </c>
    </row>
    <row r="517" spans="1:7" ht="13.2">
      <c r="A517" s="16"/>
      <c r="B517" s="17"/>
      <c r="D517" s="16"/>
      <c r="E517" s="16"/>
      <c r="F517" s="16"/>
      <c r="G517" s="58">
        <f ca="1">IFERROR(__xludf.DUMMYFUNCTION("""COMPUTED_VALUE"""),0)</f>
        <v>0</v>
      </c>
    </row>
    <row r="518" spans="1:7" ht="13.2">
      <c r="A518" s="16"/>
      <c r="B518" s="17"/>
      <c r="D518" s="16"/>
      <c r="E518" s="16"/>
      <c r="F518" s="16"/>
      <c r="G518" s="58">
        <f ca="1">IFERROR(__xludf.DUMMYFUNCTION("""COMPUTED_VALUE"""),0)</f>
        <v>0</v>
      </c>
    </row>
    <row r="519" spans="1:7" ht="13.2">
      <c r="A519" s="16"/>
      <c r="B519" s="17"/>
      <c r="D519" s="16"/>
      <c r="E519" s="16"/>
      <c r="F519" s="16"/>
      <c r="G519" s="58">
        <f ca="1">IFERROR(__xludf.DUMMYFUNCTION("""COMPUTED_VALUE"""),0)</f>
        <v>0</v>
      </c>
    </row>
    <row r="520" spans="1:7" ht="13.2">
      <c r="A520" s="16"/>
      <c r="B520" s="17"/>
      <c r="D520" s="16"/>
      <c r="E520" s="16"/>
      <c r="F520" s="16"/>
      <c r="G520" s="58">
        <f ca="1">IFERROR(__xludf.DUMMYFUNCTION("""COMPUTED_VALUE"""),0)</f>
        <v>0</v>
      </c>
    </row>
    <row r="521" spans="1:7" ht="13.2">
      <c r="A521" s="16"/>
      <c r="B521" s="17"/>
      <c r="D521" s="16"/>
      <c r="E521" s="16"/>
      <c r="F521" s="16"/>
      <c r="G521" s="58">
        <f ca="1">IFERROR(__xludf.DUMMYFUNCTION("""COMPUTED_VALUE"""),0)</f>
        <v>0</v>
      </c>
    </row>
    <row r="522" spans="1:7" ht="13.2">
      <c r="A522" s="16"/>
      <c r="B522" s="17"/>
      <c r="D522" s="16"/>
      <c r="E522" s="16"/>
      <c r="F522" s="16"/>
      <c r="G522" s="58">
        <f ca="1">IFERROR(__xludf.DUMMYFUNCTION("""COMPUTED_VALUE"""),0)</f>
        <v>0</v>
      </c>
    </row>
    <row r="523" spans="1:7" ht="13.2">
      <c r="A523" s="16"/>
      <c r="B523" s="17"/>
      <c r="D523" s="16"/>
      <c r="E523" s="16"/>
      <c r="F523" s="16"/>
      <c r="G523" s="58">
        <f ca="1">IFERROR(__xludf.DUMMYFUNCTION("""COMPUTED_VALUE"""),0)</f>
        <v>0</v>
      </c>
    </row>
    <row r="524" spans="1:7" ht="13.2">
      <c r="A524" s="16"/>
      <c r="B524" s="17"/>
      <c r="D524" s="16"/>
      <c r="E524" s="16"/>
      <c r="F524" s="16"/>
      <c r="G524" s="58">
        <f ca="1">IFERROR(__xludf.DUMMYFUNCTION("""COMPUTED_VALUE"""),0)</f>
        <v>0</v>
      </c>
    </row>
    <row r="525" spans="1:7" ht="13.2">
      <c r="A525" s="16"/>
      <c r="B525" s="17"/>
      <c r="D525" s="16"/>
      <c r="E525" s="16"/>
      <c r="F525" s="16"/>
      <c r="G525" s="58">
        <f ca="1">IFERROR(__xludf.DUMMYFUNCTION("""COMPUTED_VALUE"""),0)</f>
        <v>0</v>
      </c>
    </row>
    <row r="526" spans="1:7" ht="13.2">
      <c r="A526" s="16"/>
      <c r="B526" s="17"/>
      <c r="D526" s="16"/>
      <c r="E526" s="16"/>
      <c r="F526" s="16"/>
      <c r="G526" s="58">
        <f ca="1">IFERROR(__xludf.DUMMYFUNCTION("""COMPUTED_VALUE"""),0)</f>
        <v>0</v>
      </c>
    </row>
    <row r="527" spans="1:7" ht="13.2">
      <c r="A527" s="16"/>
      <c r="B527" s="17"/>
      <c r="D527" s="16"/>
      <c r="E527" s="16"/>
      <c r="F527" s="16"/>
      <c r="G527" s="58">
        <f ca="1">IFERROR(__xludf.DUMMYFUNCTION("""COMPUTED_VALUE"""),0)</f>
        <v>0</v>
      </c>
    </row>
    <row r="528" spans="1:7" ht="13.2">
      <c r="A528" s="16"/>
      <c r="B528" s="17"/>
      <c r="D528" s="16"/>
      <c r="E528" s="16"/>
      <c r="F528" s="16"/>
      <c r="G528" s="58">
        <f ca="1">IFERROR(__xludf.DUMMYFUNCTION("""COMPUTED_VALUE"""),0)</f>
        <v>0</v>
      </c>
    </row>
    <row r="529" spans="1:7" ht="13.2">
      <c r="A529" s="16"/>
      <c r="B529" s="17"/>
      <c r="D529" s="16"/>
      <c r="E529" s="16"/>
      <c r="F529" s="16"/>
      <c r="G529" s="58">
        <f ca="1">IFERROR(__xludf.DUMMYFUNCTION("""COMPUTED_VALUE"""),0)</f>
        <v>0</v>
      </c>
    </row>
    <row r="530" spans="1:7" ht="13.2">
      <c r="A530" s="16"/>
      <c r="B530" s="17"/>
      <c r="D530" s="16"/>
      <c r="E530" s="16"/>
      <c r="F530" s="16"/>
      <c r="G530" s="58">
        <f ca="1">IFERROR(__xludf.DUMMYFUNCTION("""COMPUTED_VALUE"""),0)</f>
        <v>0</v>
      </c>
    </row>
    <row r="531" spans="1:7" ht="13.2">
      <c r="A531" s="16"/>
      <c r="B531" s="17"/>
      <c r="D531" s="16"/>
      <c r="E531" s="16"/>
      <c r="F531" s="16"/>
      <c r="G531" s="58">
        <f ca="1">IFERROR(__xludf.DUMMYFUNCTION("""COMPUTED_VALUE"""),0)</f>
        <v>0</v>
      </c>
    </row>
    <row r="532" spans="1:7" ht="13.2">
      <c r="A532" s="16"/>
      <c r="B532" s="17"/>
      <c r="D532" s="16"/>
      <c r="E532" s="16"/>
      <c r="F532" s="16"/>
      <c r="G532" s="58">
        <f ca="1">IFERROR(__xludf.DUMMYFUNCTION("""COMPUTED_VALUE"""),0)</f>
        <v>0</v>
      </c>
    </row>
    <row r="533" spans="1:7" ht="13.2">
      <c r="A533" s="16"/>
      <c r="B533" s="17"/>
      <c r="D533" s="16"/>
      <c r="E533" s="16"/>
      <c r="F533" s="16"/>
      <c r="G533" s="58">
        <f ca="1">IFERROR(__xludf.DUMMYFUNCTION("""COMPUTED_VALUE"""),0)</f>
        <v>0</v>
      </c>
    </row>
    <row r="534" spans="1:7" ht="13.2">
      <c r="A534" s="16"/>
      <c r="B534" s="17"/>
      <c r="D534" s="16"/>
      <c r="E534" s="16"/>
      <c r="F534" s="16"/>
      <c r="G534" s="58">
        <f ca="1">IFERROR(__xludf.DUMMYFUNCTION("""COMPUTED_VALUE"""),0)</f>
        <v>0</v>
      </c>
    </row>
    <row r="535" spans="1:7" ht="13.2">
      <c r="A535" s="16"/>
      <c r="B535" s="17"/>
      <c r="D535" s="16"/>
      <c r="E535" s="16"/>
      <c r="F535" s="16"/>
      <c r="G535" s="58">
        <f ca="1">IFERROR(__xludf.DUMMYFUNCTION("""COMPUTED_VALUE"""),0)</f>
        <v>0</v>
      </c>
    </row>
    <row r="536" spans="1:7" ht="13.2">
      <c r="A536" s="16"/>
      <c r="B536" s="17"/>
      <c r="D536" s="16"/>
      <c r="E536" s="16"/>
      <c r="F536" s="16"/>
      <c r="G536" s="58">
        <f ca="1">IFERROR(__xludf.DUMMYFUNCTION("""COMPUTED_VALUE"""),0)</f>
        <v>0</v>
      </c>
    </row>
    <row r="537" spans="1:7" ht="13.2">
      <c r="A537" s="16"/>
      <c r="B537" s="17"/>
      <c r="D537" s="16"/>
      <c r="E537" s="16"/>
      <c r="F537" s="16"/>
      <c r="G537" s="58">
        <f ca="1">IFERROR(__xludf.DUMMYFUNCTION("""COMPUTED_VALUE"""),0)</f>
        <v>0</v>
      </c>
    </row>
    <row r="538" spans="1:7" ht="13.2">
      <c r="A538" s="16"/>
      <c r="B538" s="17"/>
      <c r="D538" s="16"/>
      <c r="E538" s="16"/>
      <c r="F538" s="16"/>
      <c r="G538" s="58">
        <f ca="1">IFERROR(__xludf.DUMMYFUNCTION("""COMPUTED_VALUE"""),0)</f>
        <v>0</v>
      </c>
    </row>
    <row r="539" spans="1:7" ht="13.2">
      <c r="A539" s="16"/>
      <c r="B539" s="17"/>
      <c r="D539" s="16"/>
      <c r="E539" s="16"/>
      <c r="F539" s="16"/>
      <c r="G539" s="58">
        <f ca="1">IFERROR(__xludf.DUMMYFUNCTION("""COMPUTED_VALUE"""),0)</f>
        <v>0</v>
      </c>
    </row>
    <row r="540" spans="1:7" ht="13.2">
      <c r="A540" s="16"/>
      <c r="B540" s="17"/>
      <c r="D540" s="16"/>
      <c r="E540" s="16"/>
      <c r="F540" s="16"/>
      <c r="G540" s="58">
        <f ca="1">IFERROR(__xludf.DUMMYFUNCTION("""COMPUTED_VALUE"""),0)</f>
        <v>0</v>
      </c>
    </row>
    <row r="541" spans="1:7" ht="13.2">
      <c r="A541" s="16"/>
      <c r="B541" s="17"/>
      <c r="D541" s="16"/>
      <c r="E541" s="16"/>
      <c r="F541" s="16"/>
      <c r="G541" s="58">
        <f ca="1">IFERROR(__xludf.DUMMYFUNCTION("""COMPUTED_VALUE"""),0)</f>
        <v>0</v>
      </c>
    </row>
    <row r="542" spans="1:7" ht="13.2">
      <c r="A542" s="16"/>
      <c r="B542" s="17"/>
      <c r="D542" s="16"/>
      <c r="E542" s="16"/>
      <c r="F542" s="16"/>
      <c r="G542" s="58">
        <f ca="1">IFERROR(__xludf.DUMMYFUNCTION("""COMPUTED_VALUE"""),0)</f>
        <v>0</v>
      </c>
    </row>
    <row r="543" spans="1:7" ht="13.2">
      <c r="A543" s="16"/>
      <c r="B543" s="17"/>
      <c r="D543" s="16"/>
      <c r="E543" s="16"/>
      <c r="F543" s="16"/>
      <c r="G543" s="58">
        <f ca="1">IFERROR(__xludf.DUMMYFUNCTION("""COMPUTED_VALUE"""),0)</f>
        <v>0</v>
      </c>
    </row>
    <row r="544" spans="1:7" ht="13.2">
      <c r="A544" s="16"/>
      <c r="B544" s="17"/>
      <c r="D544" s="16"/>
      <c r="E544" s="16"/>
      <c r="F544" s="16"/>
      <c r="G544" s="58">
        <f ca="1">IFERROR(__xludf.DUMMYFUNCTION("""COMPUTED_VALUE"""),0)</f>
        <v>0</v>
      </c>
    </row>
    <row r="545" spans="1:7" ht="13.2">
      <c r="A545" s="16"/>
      <c r="B545" s="17"/>
      <c r="D545" s="16"/>
      <c r="E545" s="16"/>
      <c r="F545" s="16"/>
      <c r="G545" s="58">
        <f ca="1">IFERROR(__xludf.DUMMYFUNCTION("""COMPUTED_VALUE"""),0)</f>
        <v>0</v>
      </c>
    </row>
    <row r="546" spans="1:7" ht="13.2">
      <c r="A546" s="16"/>
      <c r="B546" s="17"/>
      <c r="D546" s="16"/>
      <c r="E546" s="16"/>
      <c r="F546" s="16"/>
      <c r="G546" s="58">
        <f ca="1">IFERROR(__xludf.DUMMYFUNCTION("""COMPUTED_VALUE"""),0)</f>
        <v>0</v>
      </c>
    </row>
    <row r="547" spans="1:7" ht="13.2">
      <c r="A547" s="16"/>
      <c r="B547" s="17"/>
      <c r="D547" s="16"/>
      <c r="E547" s="16"/>
      <c r="F547" s="16"/>
      <c r="G547" s="58">
        <f ca="1">IFERROR(__xludf.DUMMYFUNCTION("""COMPUTED_VALUE"""),0)</f>
        <v>0</v>
      </c>
    </row>
    <row r="548" spans="1:7" ht="13.2">
      <c r="A548" s="16"/>
      <c r="B548" s="17"/>
      <c r="D548" s="16"/>
      <c r="E548" s="16"/>
      <c r="F548" s="16"/>
      <c r="G548" s="58">
        <f ca="1">IFERROR(__xludf.DUMMYFUNCTION("""COMPUTED_VALUE"""),0)</f>
        <v>0</v>
      </c>
    </row>
    <row r="549" spans="1:7" ht="13.2">
      <c r="A549" s="16"/>
      <c r="B549" s="17"/>
      <c r="D549" s="16"/>
      <c r="E549" s="16"/>
      <c r="F549" s="16"/>
      <c r="G549" s="58">
        <f ca="1">IFERROR(__xludf.DUMMYFUNCTION("""COMPUTED_VALUE"""),0)</f>
        <v>0</v>
      </c>
    </row>
    <row r="550" spans="1:7" ht="13.2">
      <c r="A550" s="16"/>
      <c r="B550" s="17"/>
      <c r="D550" s="16"/>
      <c r="E550" s="16"/>
      <c r="F550" s="16"/>
      <c r="G550" s="58">
        <f ca="1">IFERROR(__xludf.DUMMYFUNCTION("""COMPUTED_VALUE"""),0)</f>
        <v>0</v>
      </c>
    </row>
    <row r="551" spans="1:7" ht="13.2">
      <c r="A551" s="16"/>
      <c r="B551" s="17"/>
      <c r="D551" s="16"/>
      <c r="E551" s="16"/>
      <c r="F551" s="16"/>
      <c r="G551" s="58">
        <f ca="1">IFERROR(__xludf.DUMMYFUNCTION("""COMPUTED_VALUE"""),0)</f>
        <v>0</v>
      </c>
    </row>
    <row r="552" spans="1:7" ht="13.2">
      <c r="A552" s="16"/>
      <c r="B552" s="17"/>
      <c r="D552" s="16"/>
      <c r="E552" s="16"/>
      <c r="F552" s="16"/>
      <c r="G552" s="58">
        <f ca="1">IFERROR(__xludf.DUMMYFUNCTION("""COMPUTED_VALUE"""),0)</f>
        <v>0</v>
      </c>
    </row>
    <row r="553" spans="1:7" ht="13.2">
      <c r="A553" s="16"/>
      <c r="B553" s="17"/>
      <c r="D553" s="16"/>
      <c r="E553" s="16"/>
      <c r="F553" s="16"/>
      <c r="G553" s="58">
        <f ca="1">IFERROR(__xludf.DUMMYFUNCTION("""COMPUTED_VALUE"""),0)</f>
        <v>0</v>
      </c>
    </row>
    <row r="554" spans="1:7" ht="13.2">
      <c r="A554" s="16"/>
      <c r="B554" s="17"/>
      <c r="D554" s="16"/>
      <c r="E554" s="16"/>
      <c r="F554" s="16"/>
      <c r="G554" s="58">
        <f ca="1">IFERROR(__xludf.DUMMYFUNCTION("""COMPUTED_VALUE"""),0)</f>
        <v>0</v>
      </c>
    </row>
    <row r="555" spans="1:7" ht="13.2">
      <c r="A555" s="16"/>
      <c r="B555" s="17"/>
      <c r="D555" s="16"/>
      <c r="E555" s="16"/>
      <c r="F555" s="16"/>
      <c r="G555" s="58">
        <f ca="1">IFERROR(__xludf.DUMMYFUNCTION("""COMPUTED_VALUE"""),0)</f>
        <v>0</v>
      </c>
    </row>
    <row r="556" spans="1:7" ht="13.2">
      <c r="A556" s="16"/>
      <c r="B556" s="17"/>
      <c r="D556" s="16"/>
      <c r="E556" s="16"/>
      <c r="F556" s="16"/>
      <c r="G556" s="58">
        <f ca="1">IFERROR(__xludf.DUMMYFUNCTION("""COMPUTED_VALUE"""),0)</f>
        <v>0</v>
      </c>
    </row>
    <row r="557" spans="1:7" ht="13.2">
      <c r="A557" s="16"/>
      <c r="B557" s="17"/>
      <c r="D557" s="16"/>
      <c r="E557" s="16"/>
      <c r="F557" s="16"/>
      <c r="G557" s="58">
        <f ca="1">IFERROR(__xludf.DUMMYFUNCTION("""COMPUTED_VALUE"""),0)</f>
        <v>0</v>
      </c>
    </row>
    <row r="558" spans="1:7" ht="13.2">
      <c r="A558" s="16"/>
      <c r="B558" s="17"/>
      <c r="D558" s="16"/>
      <c r="E558" s="16"/>
      <c r="F558" s="16"/>
      <c r="G558" s="58">
        <f ca="1">IFERROR(__xludf.DUMMYFUNCTION("""COMPUTED_VALUE"""),0)</f>
        <v>0</v>
      </c>
    </row>
    <row r="559" spans="1:7" ht="13.2">
      <c r="A559" s="16"/>
      <c r="B559" s="17"/>
      <c r="D559" s="16"/>
      <c r="E559" s="16"/>
      <c r="F559" s="16"/>
      <c r="G559" s="58">
        <f ca="1">IFERROR(__xludf.DUMMYFUNCTION("""COMPUTED_VALUE"""),0)</f>
        <v>0</v>
      </c>
    </row>
    <row r="560" spans="1:7" ht="13.2">
      <c r="A560" s="16"/>
      <c r="B560" s="17"/>
      <c r="D560" s="16"/>
      <c r="E560" s="16"/>
      <c r="F560" s="16"/>
      <c r="G560" s="58">
        <f ca="1">IFERROR(__xludf.DUMMYFUNCTION("""COMPUTED_VALUE"""),0)</f>
        <v>0</v>
      </c>
    </row>
    <row r="561" spans="1:7" ht="13.2">
      <c r="A561" s="16"/>
      <c r="B561" s="17"/>
      <c r="D561" s="16"/>
      <c r="E561" s="16"/>
      <c r="F561" s="16"/>
      <c r="G561" s="58">
        <f ca="1">IFERROR(__xludf.DUMMYFUNCTION("""COMPUTED_VALUE"""),0)</f>
        <v>0</v>
      </c>
    </row>
    <row r="562" spans="1:7" ht="13.2">
      <c r="A562" s="16"/>
      <c r="B562" s="17"/>
      <c r="D562" s="16"/>
      <c r="E562" s="16"/>
      <c r="F562" s="16"/>
      <c r="G562" s="58">
        <f ca="1">IFERROR(__xludf.DUMMYFUNCTION("""COMPUTED_VALUE"""),0)</f>
        <v>0</v>
      </c>
    </row>
    <row r="563" spans="1:7" ht="13.2">
      <c r="A563" s="16"/>
      <c r="B563" s="17"/>
      <c r="D563" s="16"/>
      <c r="E563" s="16"/>
      <c r="F563" s="16"/>
      <c r="G563" s="58">
        <f ca="1">IFERROR(__xludf.DUMMYFUNCTION("""COMPUTED_VALUE"""),0)</f>
        <v>0</v>
      </c>
    </row>
    <row r="564" spans="1:7" ht="13.2">
      <c r="A564" s="16"/>
      <c r="B564" s="17"/>
      <c r="D564" s="16"/>
      <c r="E564" s="16"/>
      <c r="F564" s="16"/>
      <c r="G564" s="58">
        <f ca="1">IFERROR(__xludf.DUMMYFUNCTION("""COMPUTED_VALUE"""),0)</f>
        <v>0</v>
      </c>
    </row>
    <row r="565" spans="1:7" ht="13.2">
      <c r="A565" s="16"/>
      <c r="B565" s="17"/>
      <c r="D565" s="16"/>
      <c r="E565" s="16"/>
      <c r="F565" s="16"/>
      <c r="G565" s="58">
        <f ca="1">IFERROR(__xludf.DUMMYFUNCTION("""COMPUTED_VALUE"""),0)</f>
        <v>0</v>
      </c>
    </row>
    <row r="566" spans="1:7" ht="13.2">
      <c r="A566" s="16"/>
      <c r="B566" s="17"/>
      <c r="D566" s="16"/>
      <c r="E566" s="16"/>
      <c r="F566" s="16"/>
      <c r="G566" s="58">
        <f ca="1">IFERROR(__xludf.DUMMYFUNCTION("""COMPUTED_VALUE"""),0)</f>
        <v>0</v>
      </c>
    </row>
    <row r="567" spans="1:7" ht="13.2">
      <c r="A567" s="16"/>
      <c r="B567" s="17"/>
      <c r="D567" s="16"/>
      <c r="E567" s="16"/>
      <c r="F567" s="16"/>
      <c r="G567" s="58">
        <f ca="1">IFERROR(__xludf.DUMMYFUNCTION("""COMPUTED_VALUE"""),0)</f>
        <v>0</v>
      </c>
    </row>
    <row r="568" spans="1:7" ht="13.2">
      <c r="A568" s="16"/>
      <c r="B568" s="17"/>
      <c r="D568" s="16"/>
      <c r="E568" s="16"/>
      <c r="F568" s="16"/>
      <c r="G568" s="58">
        <f ca="1">IFERROR(__xludf.DUMMYFUNCTION("""COMPUTED_VALUE"""),0)</f>
        <v>0</v>
      </c>
    </row>
    <row r="569" spans="1:7" ht="13.2">
      <c r="A569" s="16"/>
      <c r="B569" s="17"/>
      <c r="D569" s="16"/>
      <c r="E569" s="16"/>
      <c r="F569" s="16"/>
      <c r="G569" s="58">
        <f ca="1">IFERROR(__xludf.DUMMYFUNCTION("""COMPUTED_VALUE"""),0)</f>
        <v>0</v>
      </c>
    </row>
    <row r="570" spans="1:7" ht="13.2">
      <c r="A570" s="16"/>
      <c r="B570" s="17"/>
      <c r="D570" s="16"/>
      <c r="E570" s="16"/>
      <c r="F570" s="16"/>
      <c r="G570" s="58">
        <f ca="1">IFERROR(__xludf.DUMMYFUNCTION("""COMPUTED_VALUE"""),0)</f>
        <v>0</v>
      </c>
    </row>
    <row r="571" spans="1:7" ht="13.2">
      <c r="A571" s="16"/>
      <c r="B571" s="17"/>
      <c r="D571" s="16"/>
      <c r="E571" s="16"/>
      <c r="F571" s="16"/>
      <c r="G571" s="58">
        <f ca="1">IFERROR(__xludf.DUMMYFUNCTION("""COMPUTED_VALUE"""),0)</f>
        <v>0</v>
      </c>
    </row>
    <row r="572" spans="1:7" ht="13.2">
      <c r="A572" s="16"/>
      <c r="B572" s="17"/>
      <c r="D572" s="16"/>
      <c r="E572" s="16"/>
      <c r="F572" s="16"/>
      <c r="G572" s="58">
        <f ca="1">IFERROR(__xludf.DUMMYFUNCTION("""COMPUTED_VALUE"""),0)</f>
        <v>0</v>
      </c>
    </row>
    <row r="573" spans="1:7" ht="13.2">
      <c r="A573" s="16"/>
      <c r="B573" s="17"/>
      <c r="D573" s="16"/>
      <c r="E573" s="16"/>
      <c r="F573" s="16"/>
      <c r="G573" s="58">
        <f ca="1">IFERROR(__xludf.DUMMYFUNCTION("""COMPUTED_VALUE"""),0)</f>
        <v>0</v>
      </c>
    </row>
    <row r="574" spans="1:7" ht="13.2">
      <c r="A574" s="16"/>
      <c r="B574" s="17"/>
      <c r="D574" s="16"/>
      <c r="E574" s="16"/>
      <c r="F574" s="16"/>
      <c r="G574" s="58">
        <f ca="1">IFERROR(__xludf.DUMMYFUNCTION("""COMPUTED_VALUE"""),0)</f>
        <v>0</v>
      </c>
    </row>
    <row r="575" spans="1:7" ht="13.2">
      <c r="A575" s="16"/>
      <c r="B575" s="17"/>
      <c r="D575" s="16"/>
      <c r="E575" s="16"/>
      <c r="F575" s="16"/>
      <c r="G575" s="58">
        <f ca="1">IFERROR(__xludf.DUMMYFUNCTION("""COMPUTED_VALUE"""),0)</f>
        <v>0</v>
      </c>
    </row>
    <row r="576" spans="1:7" ht="13.2">
      <c r="A576" s="16"/>
      <c r="B576" s="17"/>
      <c r="D576" s="16"/>
      <c r="E576" s="16"/>
      <c r="F576" s="16"/>
      <c r="G576" s="58">
        <f ca="1">IFERROR(__xludf.DUMMYFUNCTION("""COMPUTED_VALUE"""),0)</f>
        <v>0</v>
      </c>
    </row>
    <row r="577" spans="1:7" ht="13.2">
      <c r="A577" s="16"/>
      <c r="B577" s="17"/>
      <c r="D577" s="16"/>
      <c r="E577" s="16"/>
      <c r="F577" s="16"/>
      <c r="G577" s="58">
        <f ca="1">IFERROR(__xludf.DUMMYFUNCTION("""COMPUTED_VALUE"""),0)</f>
        <v>0</v>
      </c>
    </row>
    <row r="578" spans="1:7" ht="13.2">
      <c r="A578" s="16"/>
      <c r="B578" s="17"/>
      <c r="D578" s="16"/>
      <c r="E578" s="16"/>
      <c r="F578" s="16"/>
      <c r="G578" s="58">
        <f ca="1">IFERROR(__xludf.DUMMYFUNCTION("""COMPUTED_VALUE"""),0)</f>
        <v>0</v>
      </c>
    </row>
    <row r="579" spans="1:7" ht="13.2">
      <c r="A579" s="16"/>
      <c r="B579" s="17"/>
      <c r="D579" s="16"/>
      <c r="E579" s="16"/>
      <c r="F579" s="16"/>
      <c r="G579" s="58">
        <f ca="1">IFERROR(__xludf.DUMMYFUNCTION("""COMPUTED_VALUE"""),0)</f>
        <v>0</v>
      </c>
    </row>
    <row r="580" spans="1:7" ht="13.2">
      <c r="A580" s="16"/>
      <c r="B580" s="17"/>
      <c r="D580" s="16"/>
      <c r="E580" s="16"/>
      <c r="F580" s="16"/>
      <c r="G580" s="58">
        <f ca="1">IFERROR(__xludf.DUMMYFUNCTION("""COMPUTED_VALUE"""),0)</f>
        <v>0</v>
      </c>
    </row>
    <row r="581" spans="1:7" ht="13.2">
      <c r="A581" s="16"/>
      <c r="B581" s="17"/>
      <c r="D581" s="16"/>
      <c r="E581" s="16"/>
      <c r="F581" s="16"/>
      <c r="G581" s="58">
        <f ca="1">IFERROR(__xludf.DUMMYFUNCTION("""COMPUTED_VALUE"""),0)</f>
        <v>0</v>
      </c>
    </row>
    <row r="582" spans="1:7" ht="13.2">
      <c r="A582" s="16"/>
      <c r="B582" s="17"/>
      <c r="D582" s="16"/>
      <c r="E582" s="16"/>
      <c r="F582" s="16"/>
      <c r="G582" s="58">
        <f ca="1">IFERROR(__xludf.DUMMYFUNCTION("""COMPUTED_VALUE"""),0)</f>
        <v>0</v>
      </c>
    </row>
    <row r="583" spans="1:7" ht="13.2">
      <c r="A583" s="16"/>
      <c r="B583" s="17"/>
      <c r="D583" s="16"/>
      <c r="E583" s="16"/>
      <c r="F583" s="16"/>
      <c r="G583" s="58">
        <f ca="1">IFERROR(__xludf.DUMMYFUNCTION("""COMPUTED_VALUE"""),0)</f>
        <v>0</v>
      </c>
    </row>
    <row r="584" spans="1:7" ht="13.2">
      <c r="A584" s="16"/>
      <c r="B584" s="17"/>
      <c r="D584" s="16"/>
      <c r="E584" s="16"/>
      <c r="F584" s="16"/>
      <c r="G584" s="58">
        <f ca="1">IFERROR(__xludf.DUMMYFUNCTION("""COMPUTED_VALUE"""),0)</f>
        <v>0</v>
      </c>
    </row>
    <row r="585" spans="1:7" ht="13.2">
      <c r="A585" s="16"/>
      <c r="B585" s="17"/>
      <c r="D585" s="16"/>
      <c r="E585" s="16"/>
      <c r="F585" s="16"/>
      <c r="G585" s="58">
        <f ca="1">IFERROR(__xludf.DUMMYFUNCTION("""COMPUTED_VALUE"""),0)</f>
        <v>0</v>
      </c>
    </row>
    <row r="586" spans="1:7" ht="13.2">
      <c r="A586" s="16"/>
      <c r="B586" s="17"/>
      <c r="D586" s="16"/>
      <c r="E586" s="16"/>
      <c r="F586" s="16"/>
      <c r="G586" s="58">
        <f ca="1">IFERROR(__xludf.DUMMYFUNCTION("""COMPUTED_VALUE"""),0)</f>
        <v>0</v>
      </c>
    </row>
    <row r="587" spans="1:7" ht="13.2">
      <c r="A587" s="16"/>
      <c r="B587" s="17"/>
      <c r="D587" s="16"/>
      <c r="E587" s="16"/>
      <c r="F587" s="16"/>
      <c r="G587" s="58">
        <f ca="1">IFERROR(__xludf.DUMMYFUNCTION("""COMPUTED_VALUE"""),0)</f>
        <v>0</v>
      </c>
    </row>
    <row r="588" spans="1:7" ht="13.2">
      <c r="A588" s="16"/>
      <c r="B588" s="17"/>
      <c r="D588" s="16"/>
      <c r="E588" s="16"/>
      <c r="F588" s="16"/>
      <c r="G588" s="58">
        <f ca="1">IFERROR(__xludf.DUMMYFUNCTION("""COMPUTED_VALUE"""),0)</f>
        <v>0</v>
      </c>
    </row>
    <row r="589" spans="1:7" ht="13.2">
      <c r="A589" s="16"/>
      <c r="B589" s="17"/>
      <c r="D589" s="16"/>
      <c r="E589" s="16"/>
      <c r="F589" s="16"/>
      <c r="G589" s="58">
        <f ca="1">IFERROR(__xludf.DUMMYFUNCTION("""COMPUTED_VALUE"""),0)</f>
        <v>0</v>
      </c>
    </row>
    <row r="590" spans="1:7" ht="13.2">
      <c r="A590" s="16"/>
      <c r="B590" s="17"/>
      <c r="D590" s="16"/>
      <c r="E590" s="16"/>
      <c r="F590" s="16"/>
      <c r="G590" s="58">
        <f ca="1">IFERROR(__xludf.DUMMYFUNCTION("""COMPUTED_VALUE"""),0)</f>
        <v>0</v>
      </c>
    </row>
    <row r="591" spans="1:7" ht="13.2">
      <c r="A591" s="16"/>
      <c r="B591" s="17"/>
      <c r="D591" s="16"/>
      <c r="E591" s="16"/>
      <c r="F591" s="16"/>
      <c r="G591" s="58">
        <f ca="1">IFERROR(__xludf.DUMMYFUNCTION("""COMPUTED_VALUE"""),0)</f>
        <v>0</v>
      </c>
    </row>
    <row r="592" spans="1:7" ht="13.2">
      <c r="A592" s="16"/>
      <c r="B592" s="17"/>
      <c r="D592" s="16"/>
      <c r="E592" s="16"/>
      <c r="F592" s="16"/>
      <c r="G592" s="58">
        <f ca="1">IFERROR(__xludf.DUMMYFUNCTION("""COMPUTED_VALUE"""),0)</f>
        <v>0</v>
      </c>
    </row>
    <row r="593" spans="1:7" ht="13.2">
      <c r="A593" s="16"/>
      <c r="B593" s="17"/>
      <c r="D593" s="16"/>
      <c r="E593" s="16"/>
      <c r="F593" s="16"/>
      <c r="G593" s="58">
        <f ca="1">IFERROR(__xludf.DUMMYFUNCTION("""COMPUTED_VALUE"""),0)</f>
        <v>0</v>
      </c>
    </row>
    <row r="594" spans="1:7" ht="13.2">
      <c r="A594" s="16"/>
      <c r="B594" s="17"/>
      <c r="D594" s="16"/>
      <c r="E594" s="16"/>
      <c r="F594" s="16"/>
      <c r="G594" s="58">
        <f ca="1">IFERROR(__xludf.DUMMYFUNCTION("""COMPUTED_VALUE"""),0)</f>
        <v>0</v>
      </c>
    </row>
    <row r="595" spans="1:7" ht="13.2">
      <c r="A595" s="16"/>
      <c r="B595" s="17"/>
      <c r="D595" s="16"/>
      <c r="E595" s="16"/>
      <c r="F595" s="16"/>
      <c r="G595" s="58">
        <f ca="1">IFERROR(__xludf.DUMMYFUNCTION("""COMPUTED_VALUE"""),0)</f>
        <v>0</v>
      </c>
    </row>
    <row r="596" spans="1:7" ht="13.2">
      <c r="A596" s="16"/>
      <c r="B596" s="17"/>
      <c r="D596" s="16"/>
      <c r="E596" s="16"/>
      <c r="F596" s="16"/>
      <c r="G596" s="58">
        <f ca="1">IFERROR(__xludf.DUMMYFUNCTION("""COMPUTED_VALUE"""),0)</f>
        <v>0</v>
      </c>
    </row>
    <row r="597" spans="1:7" ht="13.2">
      <c r="A597" s="16"/>
      <c r="B597" s="17"/>
      <c r="D597" s="16"/>
      <c r="E597" s="16"/>
      <c r="F597" s="16"/>
      <c r="G597" s="58">
        <f ca="1">IFERROR(__xludf.DUMMYFUNCTION("""COMPUTED_VALUE"""),0)</f>
        <v>0</v>
      </c>
    </row>
    <row r="598" spans="1:7" ht="13.2">
      <c r="A598" s="16"/>
      <c r="B598" s="17"/>
      <c r="D598" s="16"/>
      <c r="E598" s="16"/>
      <c r="F598" s="16"/>
      <c r="G598" s="58">
        <f ca="1">IFERROR(__xludf.DUMMYFUNCTION("""COMPUTED_VALUE"""),0)</f>
        <v>0</v>
      </c>
    </row>
    <row r="599" spans="1:7" ht="13.2">
      <c r="A599" s="16"/>
      <c r="B599" s="17"/>
      <c r="D599" s="16"/>
      <c r="E599" s="16"/>
      <c r="F599" s="16"/>
      <c r="G599" s="58">
        <f ca="1">IFERROR(__xludf.DUMMYFUNCTION("""COMPUTED_VALUE"""),0)</f>
        <v>0</v>
      </c>
    </row>
    <row r="600" spans="1:7" ht="13.2">
      <c r="A600" s="16"/>
      <c r="B600" s="17"/>
      <c r="D600" s="16"/>
      <c r="E600" s="16"/>
      <c r="F600" s="16"/>
      <c r="G600" s="58">
        <f ca="1">IFERROR(__xludf.DUMMYFUNCTION("""COMPUTED_VALUE"""),0)</f>
        <v>0</v>
      </c>
    </row>
    <row r="601" spans="1:7" ht="13.2">
      <c r="A601" s="16"/>
      <c r="B601" s="17"/>
      <c r="D601" s="16"/>
      <c r="E601" s="16"/>
      <c r="F601" s="16"/>
      <c r="G601" s="58">
        <f ca="1">IFERROR(__xludf.DUMMYFUNCTION("""COMPUTED_VALUE"""),0)</f>
        <v>0</v>
      </c>
    </row>
    <row r="602" spans="1:7" ht="13.2">
      <c r="A602" s="16"/>
      <c r="B602" s="17"/>
      <c r="D602" s="16"/>
      <c r="E602" s="16"/>
      <c r="F602" s="16"/>
      <c r="G602" s="58">
        <f ca="1">IFERROR(__xludf.DUMMYFUNCTION("""COMPUTED_VALUE"""),0)</f>
        <v>0</v>
      </c>
    </row>
    <row r="603" spans="1:7" ht="13.2">
      <c r="A603" s="16"/>
      <c r="B603" s="17"/>
      <c r="D603" s="16"/>
      <c r="E603" s="16"/>
      <c r="F603" s="16"/>
      <c r="G603" s="58">
        <f ca="1">IFERROR(__xludf.DUMMYFUNCTION("""COMPUTED_VALUE"""),0)</f>
        <v>0</v>
      </c>
    </row>
    <row r="604" spans="1:7" ht="13.2">
      <c r="A604" s="16"/>
      <c r="B604" s="17"/>
      <c r="D604" s="16"/>
      <c r="E604" s="16"/>
      <c r="F604" s="16"/>
      <c r="G604" s="58">
        <f ca="1">IFERROR(__xludf.DUMMYFUNCTION("""COMPUTED_VALUE"""),0)</f>
        <v>0</v>
      </c>
    </row>
    <row r="605" spans="1:7" ht="13.2">
      <c r="A605" s="16"/>
      <c r="B605" s="17"/>
      <c r="D605" s="16"/>
      <c r="E605" s="16"/>
      <c r="F605" s="16"/>
      <c r="G605" s="58">
        <f ca="1">IFERROR(__xludf.DUMMYFUNCTION("""COMPUTED_VALUE"""),0)</f>
        <v>0</v>
      </c>
    </row>
    <row r="606" spans="1:7" ht="13.2">
      <c r="A606" s="16"/>
      <c r="B606" s="17"/>
      <c r="D606" s="16"/>
      <c r="E606" s="16"/>
      <c r="F606" s="16"/>
      <c r="G606" s="58">
        <f ca="1">IFERROR(__xludf.DUMMYFUNCTION("""COMPUTED_VALUE"""),0)</f>
        <v>0</v>
      </c>
    </row>
    <row r="607" spans="1:7" ht="13.2">
      <c r="A607" s="16"/>
      <c r="B607" s="17"/>
      <c r="D607" s="16"/>
      <c r="E607" s="16"/>
      <c r="F607" s="16"/>
      <c r="G607" s="58">
        <f ca="1">IFERROR(__xludf.DUMMYFUNCTION("""COMPUTED_VALUE"""),0)</f>
        <v>0</v>
      </c>
    </row>
    <row r="608" spans="1:7" ht="13.2">
      <c r="A608" s="16"/>
      <c r="B608" s="17"/>
      <c r="D608" s="16"/>
      <c r="E608" s="16"/>
      <c r="F608" s="16"/>
      <c r="G608" s="58">
        <f ca="1">IFERROR(__xludf.DUMMYFUNCTION("""COMPUTED_VALUE"""),0)</f>
        <v>0</v>
      </c>
    </row>
    <row r="609" spans="1:7" ht="13.2">
      <c r="A609" s="16"/>
      <c r="B609" s="17"/>
      <c r="D609" s="16"/>
      <c r="E609" s="16"/>
      <c r="F609" s="16"/>
      <c r="G609" s="58">
        <f ca="1">IFERROR(__xludf.DUMMYFUNCTION("""COMPUTED_VALUE"""),0)</f>
        <v>0</v>
      </c>
    </row>
    <row r="610" spans="1:7" ht="13.2">
      <c r="A610" s="16"/>
      <c r="B610" s="17"/>
      <c r="D610" s="16"/>
      <c r="E610" s="16"/>
      <c r="F610" s="16"/>
      <c r="G610" s="58">
        <f ca="1">IFERROR(__xludf.DUMMYFUNCTION("""COMPUTED_VALUE"""),0)</f>
        <v>0</v>
      </c>
    </row>
    <row r="611" spans="1:7" ht="13.2">
      <c r="A611" s="16"/>
      <c r="B611" s="17"/>
      <c r="D611" s="16"/>
      <c r="E611" s="16"/>
      <c r="F611" s="16"/>
      <c r="G611" s="58">
        <f ca="1">IFERROR(__xludf.DUMMYFUNCTION("""COMPUTED_VALUE"""),0)</f>
        <v>0</v>
      </c>
    </row>
    <row r="612" spans="1:7" ht="13.2">
      <c r="A612" s="16"/>
      <c r="B612" s="17"/>
      <c r="D612" s="16"/>
      <c r="E612" s="16"/>
      <c r="F612" s="16"/>
      <c r="G612" s="58">
        <f ca="1">IFERROR(__xludf.DUMMYFUNCTION("""COMPUTED_VALUE"""),0)</f>
        <v>0</v>
      </c>
    </row>
    <row r="613" spans="1:7" ht="13.2">
      <c r="A613" s="16"/>
      <c r="B613" s="17"/>
      <c r="D613" s="16"/>
      <c r="E613" s="16"/>
      <c r="F613" s="16"/>
      <c r="G613" s="58">
        <f ca="1">IFERROR(__xludf.DUMMYFUNCTION("""COMPUTED_VALUE"""),0)</f>
        <v>0</v>
      </c>
    </row>
    <row r="614" spans="1:7" ht="13.2">
      <c r="A614" s="16"/>
      <c r="B614" s="17"/>
      <c r="D614" s="16"/>
      <c r="E614" s="16"/>
      <c r="F614" s="16"/>
      <c r="G614" s="58">
        <f ca="1">IFERROR(__xludf.DUMMYFUNCTION("""COMPUTED_VALUE"""),0)</f>
        <v>0</v>
      </c>
    </row>
    <row r="615" spans="1:7" ht="13.2">
      <c r="A615" s="16"/>
      <c r="B615" s="17"/>
      <c r="D615" s="16"/>
      <c r="E615" s="16"/>
      <c r="F615" s="16"/>
      <c r="G615" s="58">
        <f ca="1">IFERROR(__xludf.DUMMYFUNCTION("""COMPUTED_VALUE"""),0)</f>
        <v>0</v>
      </c>
    </row>
    <row r="616" spans="1:7" ht="13.2">
      <c r="A616" s="16"/>
      <c r="B616" s="17"/>
      <c r="D616" s="16"/>
      <c r="E616" s="16"/>
      <c r="F616" s="16"/>
      <c r="G616" s="58">
        <f ca="1">IFERROR(__xludf.DUMMYFUNCTION("""COMPUTED_VALUE"""),0)</f>
        <v>0</v>
      </c>
    </row>
    <row r="617" spans="1:7" ht="13.2">
      <c r="A617" s="16"/>
      <c r="B617" s="17"/>
      <c r="D617" s="16"/>
      <c r="E617" s="16"/>
      <c r="F617" s="16"/>
      <c r="G617" s="58">
        <f ca="1">IFERROR(__xludf.DUMMYFUNCTION("""COMPUTED_VALUE"""),0)</f>
        <v>0</v>
      </c>
    </row>
    <row r="618" spans="1:7" ht="13.2">
      <c r="A618" s="16"/>
      <c r="B618" s="17"/>
      <c r="D618" s="16"/>
      <c r="E618" s="16"/>
      <c r="F618" s="16"/>
      <c r="G618" s="58">
        <f ca="1">IFERROR(__xludf.DUMMYFUNCTION("""COMPUTED_VALUE"""),0)</f>
        <v>0</v>
      </c>
    </row>
    <row r="619" spans="1:7" ht="13.2">
      <c r="A619" s="16"/>
      <c r="B619" s="17"/>
      <c r="D619" s="16"/>
      <c r="E619" s="16"/>
      <c r="F619" s="16"/>
      <c r="G619" s="58">
        <f ca="1">IFERROR(__xludf.DUMMYFUNCTION("""COMPUTED_VALUE"""),0)</f>
        <v>0</v>
      </c>
    </row>
    <row r="620" spans="1:7" ht="13.2">
      <c r="A620" s="16"/>
      <c r="B620" s="17"/>
      <c r="D620" s="16"/>
      <c r="E620" s="16"/>
      <c r="F620" s="16"/>
      <c r="G620" s="58">
        <f ca="1">IFERROR(__xludf.DUMMYFUNCTION("""COMPUTED_VALUE"""),0)</f>
        <v>0</v>
      </c>
    </row>
    <row r="621" spans="1:7" ht="13.2">
      <c r="A621" s="16"/>
      <c r="B621" s="17"/>
      <c r="D621" s="16"/>
      <c r="E621" s="16"/>
      <c r="F621" s="16"/>
      <c r="G621" s="58">
        <f ca="1">IFERROR(__xludf.DUMMYFUNCTION("""COMPUTED_VALUE"""),0)</f>
        <v>0</v>
      </c>
    </row>
    <row r="622" spans="1:7" ht="13.2">
      <c r="A622" s="16"/>
      <c r="B622" s="17"/>
      <c r="D622" s="16"/>
      <c r="E622" s="16"/>
      <c r="F622" s="16"/>
      <c r="G622" s="58">
        <f ca="1">IFERROR(__xludf.DUMMYFUNCTION("""COMPUTED_VALUE"""),0)</f>
        <v>0</v>
      </c>
    </row>
    <row r="623" spans="1:7" ht="13.2">
      <c r="A623" s="16"/>
      <c r="B623" s="17"/>
      <c r="D623" s="16"/>
      <c r="E623" s="16"/>
      <c r="F623" s="16"/>
      <c r="G623" s="58">
        <f ca="1">IFERROR(__xludf.DUMMYFUNCTION("""COMPUTED_VALUE"""),0)</f>
        <v>0</v>
      </c>
    </row>
    <row r="624" spans="1:7" ht="13.2">
      <c r="A624" s="16"/>
      <c r="B624" s="17"/>
      <c r="D624" s="16"/>
      <c r="E624" s="16"/>
      <c r="F624" s="16"/>
      <c r="G624" s="58">
        <f ca="1">IFERROR(__xludf.DUMMYFUNCTION("""COMPUTED_VALUE"""),0)</f>
        <v>0</v>
      </c>
    </row>
    <row r="625" spans="1:7" ht="13.2">
      <c r="A625" s="16"/>
      <c r="B625" s="17"/>
      <c r="D625" s="16"/>
      <c r="E625" s="16"/>
      <c r="F625" s="16"/>
      <c r="G625" s="58">
        <f ca="1">IFERROR(__xludf.DUMMYFUNCTION("""COMPUTED_VALUE"""),0)</f>
        <v>0</v>
      </c>
    </row>
    <row r="626" spans="1:7" ht="13.2">
      <c r="A626" s="16"/>
      <c r="B626" s="17"/>
      <c r="D626" s="16"/>
      <c r="E626" s="16"/>
      <c r="F626" s="16"/>
      <c r="G626" s="58">
        <f ca="1">IFERROR(__xludf.DUMMYFUNCTION("""COMPUTED_VALUE"""),0)</f>
        <v>0</v>
      </c>
    </row>
    <row r="627" spans="1:7" ht="13.2">
      <c r="A627" s="16"/>
      <c r="B627" s="17"/>
      <c r="D627" s="16"/>
      <c r="E627" s="16"/>
      <c r="F627" s="16"/>
      <c r="G627" s="58">
        <f ca="1">IFERROR(__xludf.DUMMYFUNCTION("""COMPUTED_VALUE"""),0)</f>
        <v>0</v>
      </c>
    </row>
    <row r="628" spans="1:7" ht="13.2">
      <c r="A628" s="16"/>
      <c r="B628" s="17"/>
      <c r="D628" s="16"/>
      <c r="E628" s="16"/>
      <c r="F628" s="16"/>
      <c r="G628" s="58">
        <f ca="1">IFERROR(__xludf.DUMMYFUNCTION("""COMPUTED_VALUE"""),0)</f>
        <v>0</v>
      </c>
    </row>
    <row r="629" spans="1:7" ht="13.2">
      <c r="A629" s="16"/>
      <c r="B629" s="17"/>
      <c r="D629" s="16"/>
      <c r="E629" s="16"/>
      <c r="F629" s="16"/>
      <c r="G629" s="58">
        <f ca="1">IFERROR(__xludf.DUMMYFUNCTION("""COMPUTED_VALUE"""),0)</f>
        <v>0</v>
      </c>
    </row>
    <row r="630" spans="1:7" ht="13.2">
      <c r="A630" s="16"/>
      <c r="B630" s="17"/>
      <c r="D630" s="16"/>
      <c r="E630" s="16"/>
      <c r="F630" s="16"/>
      <c r="G630" s="58">
        <f ca="1">IFERROR(__xludf.DUMMYFUNCTION("""COMPUTED_VALUE"""),0)</f>
        <v>0</v>
      </c>
    </row>
    <row r="631" spans="1:7" ht="13.2">
      <c r="A631" s="16"/>
      <c r="B631" s="17"/>
      <c r="D631" s="16"/>
      <c r="E631" s="16"/>
      <c r="F631" s="16"/>
      <c r="G631" s="58">
        <f ca="1">IFERROR(__xludf.DUMMYFUNCTION("""COMPUTED_VALUE"""),0)</f>
        <v>0</v>
      </c>
    </row>
    <row r="632" spans="1:7" ht="13.2">
      <c r="A632" s="16"/>
      <c r="B632" s="17"/>
      <c r="D632" s="16"/>
      <c r="E632" s="16"/>
      <c r="F632" s="16"/>
      <c r="G632" s="58">
        <f ca="1">IFERROR(__xludf.DUMMYFUNCTION("""COMPUTED_VALUE"""),0)</f>
        <v>0</v>
      </c>
    </row>
    <row r="633" spans="1:7" ht="13.2">
      <c r="A633" s="16"/>
      <c r="B633" s="17"/>
      <c r="D633" s="16"/>
      <c r="E633" s="16"/>
      <c r="F633" s="16"/>
      <c r="G633" s="58">
        <f ca="1">IFERROR(__xludf.DUMMYFUNCTION("""COMPUTED_VALUE"""),0)</f>
        <v>0</v>
      </c>
    </row>
    <row r="634" spans="1:7" ht="13.2">
      <c r="A634" s="16"/>
      <c r="B634" s="17"/>
      <c r="D634" s="16"/>
      <c r="E634" s="16"/>
      <c r="F634" s="16"/>
      <c r="G634" s="58">
        <f ca="1">IFERROR(__xludf.DUMMYFUNCTION("""COMPUTED_VALUE"""),0)</f>
        <v>0</v>
      </c>
    </row>
    <row r="635" spans="1:7" ht="13.2">
      <c r="A635" s="16"/>
      <c r="B635" s="17"/>
      <c r="D635" s="16"/>
      <c r="E635" s="16"/>
      <c r="F635" s="16"/>
      <c r="G635" s="58">
        <f ca="1">IFERROR(__xludf.DUMMYFUNCTION("""COMPUTED_VALUE"""),0)</f>
        <v>0</v>
      </c>
    </row>
    <row r="636" spans="1:7" ht="13.2">
      <c r="A636" s="16"/>
      <c r="B636" s="17"/>
      <c r="D636" s="16"/>
      <c r="E636" s="16"/>
      <c r="F636" s="16"/>
      <c r="G636" s="58">
        <f ca="1">IFERROR(__xludf.DUMMYFUNCTION("""COMPUTED_VALUE"""),0)</f>
        <v>0</v>
      </c>
    </row>
    <row r="637" spans="1:7" ht="13.2">
      <c r="A637" s="16"/>
      <c r="B637" s="17"/>
      <c r="D637" s="16"/>
      <c r="E637" s="16"/>
      <c r="F637" s="16"/>
      <c r="G637" s="58">
        <f ca="1">IFERROR(__xludf.DUMMYFUNCTION("""COMPUTED_VALUE"""),0)</f>
        <v>0</v>
      </c>
    </row>
    <row r="638" spans="1:7" ht="13.2">
      <c r="A638" s="16"/>
      <c r="B638" s="17"/>
      <c r="D638" s="16"/>
      <c r="E638" s="16"/>
      <c r="F638" s="16"/>
      <c r="G638" s="58">
        <f ca="1">IFERROR(__xludf.DUMMYFUNCTION("""COMPUTED_VALUE"""),0)</f>
        <v>0</v>
      </c>
    </row>
    <row r="639" spans="1:7" ht="13.2">
      <c r="A639" s="16"/>
      <c r="B639" s="17"/>
      <c r="D639" s="16"/>
      <c r="E639" s="16"/>
      <c r="F639" s="16"/>
      <c r="G639" s="58">
        <f ca="1">IFERROR(__xludf.DUMMYFUNCTION("""COMPUTED_VALUE"""),0)</f>
        <v>0</v>
      </c>
    </row>
    <row r="640" spans="1:7" ht="13.2">
      <c r="A640" s="16"/>
      <c r="B640" s="17"/>
      <c r="D640" s="16"/>
      <c r="E640" s="16"/>
      <c r="F640" s="16"/>
      <c r="G640" s="58">
        <f ca="1">IFERROR(__xludf.DUMMYFUNCTION("""COMPUTED_VALUE"""),0)</f>
        <v>0</v>
      </c>
    </row>
    <row r="641" spans="1:7" ht="13.2">
      <c r="A641" s="16"/>
      <c r="B641" s="17"/>
      <c r="D641" s="16"/>
      <c r="E641" s="16"/>
      <c r="F641" s="16"/>
      <c r="G641" s="58">
        <f ca="1">IFERROR(__xludf.DUMMYFUNCTION("""COMPUTED_VALUE"""),0)</f>
        <v>0</v>
      </c>
    </row>
    <row r="642" spans="1:7" ht="13.2">
      <c r="A642" s="16"/>
      <c r="B642" s="17"/>
      <c r="D642" s="16"/>
      <c r="E642" s="16"/>
      <c r="F642" s="16"/>
      <c r="G642" s="58">
        <f ca="1">IFERROR(__xludf.DUMMYFUNCTION("""COMPUTED_VALUE"""),0)</f>
        <v>0</v>
      </c>
    </row>
    <row r="643" spans="1:7" ht="13.2">
      <c r="A643" s="16"/>
      <c r="B643" s="17"/>
      <c r="D643" s="16"/>
      <c r="E643" s="16"/>
      <c r="F643" s="16"/>
      <c r="G643" s="58">
        <f ca="1">IFERROR(__xludf.DUMMYFUNCTION("""COMPUTED_VALUE"""),0)</f>
        <v>0</v>
      </c>
    </row>
    <row r="644" spans="1:7" ht="13.2">
      <c r="A644" s="16"/>
      <c r="B644" s="17"/>
      <c r="D644" s="16"/>
      <c r="E644" s="16"/>
      <c r="F644" s="16"/>
      <c r="G644" s="58">
        <f ca="1">IFERROR(__xludf.DUMMYFUNCTION("""COMPUTED_VALUE"""),0)</f>
        <v>0</v>
      </c>
    </row>
    <row r="645" spans="1:7" ht="13.2">
      <c r="A645" s="16"/>
      <c r="B645" s="17"/>
      <c r="D645" s="16"/>
      <c r="E645" s="16"/>
      <c r="F645" s="16"/>
      <c r="G645" s="58">
        <f ca="1">IFERROR(__xludf.DUMMYFUNCTION("""COMPUTED_VALUE"""),0)</f>
        <v>0</v>
      </c>
    </row>
    <row r="646" spans="1:7" ht="13.2">
      <c r="A646" s="16"/>
      <c r="B646" s="17"/>
      <c r="D646" s="16"/>
      <c r="E646" s="16"/>
      <c r="F646" s="16"/>
      <c r="G646" s="58">
        <f ca="1">IFERROR(__xludf.DUMMYFUNCTION("""COMPUTED_VALUE"""),0)</f>
        <v>0</v>
      </c>
    </row>
    <row r="647" spans="1:7" ht="13.2">
      <c r="A647" s="16"/>
      <c r="B647" s="17"/>
      <c r="D647" s="16"/>
      <c r="E647" s="16"/>
      <c r="F647" s="16"/>
      <c r="G647" s="58">
        <f ca="1">IFERROR(__xludf.DUMMYFUNCTION("""COMPUTED_VALUE"""),0)</f>
        <v>0</v>
      </c>
    </row>
    <row r="648" spans="1:7" ht="13.2">
      <c r="A648" s="16"/>
      <c r="B648" s="17"/>
      <c r="D648" s="16"/>
      <c r="E648" s="16"/>
      <c r="F648" s="16"/>
      <c r="G648" s="58">
        <f ca="1">IFERROR(__xludf.DUMMYFUNCTION("""COMPUTED_VALUE"""),0)</f>
        <v>0</v>
      </c>
    </row>
    <row r="649" spans="1:7" ht="13.2">
      <c r="A649" s="16"/>
      <c r="B649" s="17"/>
      <c r="D649" s="16"/>
      <c r="E649" s="16"/>
      <c r="F649" s="16"/>
      <c r="G649" s="58">
        <f ca="1">IFERROR(__xludf.DUMMYFUNCTION("""COMPUTED_VALUE"""),0)</f>
        <v>0</v>
      </c>
    </row>
    <row r="650" spans="1:7" ht="13.2">
      <c r="A650" s="16"/>
      <c r="B650" s="17"/>
      <c r="D650" s="16"/>
      <c r="E650" s="16"/>
      <c r="F650" s="16"/>
      <c r="G650" s="58">
        <f ca="1">IFERROR(__xludf.DUMMYFUNCTION("""COMPUTED_VALUE"""),0)</f>
        <v>0</v>
      </c>
    </row>
    <row r="651" spans="1:7" ht="13.2">
      <c r="A651" s="16"/>
      <c r="B651" s="17"/>
      <c r="D651" s="16"/>
      <c r="E651" s="16"/>
      <c r="F651" s="16"/>
      <c r="G651" s="58">
        <f ca="1">IFERROR(__xludf.DUMMYFUNCTION("""COMPUTED_VALUE"""),0)</f>
        <v>0</v>
      </c>
    </row>
    <row r="652" spans="1:7" ht="13.2">
      <c r="A652" s="16"/>
      <c r="B652" s="17"/>
      <c r="D652" s="16"/>
      <c r="E652" s="16"/>
      <c r="F652" s="16"/>
      <c r="G652" s="58">
        <f ca="1">IFERROR(__xludf.DUMMYFUNCTION("""COMPUTED_VALUE"""),0)</f>
        <v>0</v>
      </c>
    </row>
    <row r="653" spans="1:7" ht="13.2">
      <c r="A653" s="16"/>
      <c r="B653" s="17"/>
      <c r="D653" s="16"/>
      <c r="E653" s="16"/>
      <c r="F653" s="16"/>
      <c r="G653" s="58">
        <f ca="1">IFERROR(__xludf.DUMMYFUNCTION("""COMPUTED_VALUE"""),0)</f>
        <v>0</v>
      </c>
    </row>
    <row r="654" spans="1:7" ht="13.2">
      <c r="A654" s="16"/>
      <c r="B654" s="17"/>
      <c r="D654" s="16"/>
      <c r="E654" s="16"/>
      <c r="F654" s="16"/>
      <c r="G654" s="58">
        <f ca="1">IFERROR(__xludf.DUMMYFUNCTION("""COMPUTED_VALUE"""),0)</f>
        <v>0</v>
      </c>
    </row>
    <row r="655" spans="1:7" ht="13.2">
      <c r="A655" s="16"/>
      <c r="B655" s="17"/>
      <c r="D655" s="16"/>
      <c r="E655" s="16"/>
      <c r="F655" s="16"/>
      <c r="G655" s="58">
        <f ca="1">IFERROR(__xludf.DUMMYFUNCTION("""COMPUTED_VALUE"""),0)</f>
        <v>0</v>
      </c>
    </row>
    <row r="656" spans="1:7" ht="13.2">
      <c r="A656" s="16"/>
      <c r="B656" s="17"/>
      <c r="D656" s="16"/>
      <c r="E656" s="16"/>
      <c r="F656" s="16"/>
      <c r="G656" s="58">
        <f ca="1">IFERROR(__xludf.DUMMYFUNCTION("""COMPUTED_VALUE"""),0)</f>
        <v>0</v>
      </c>
    </row>
    <row r="657" spans="1:7" ht="13.2">
      <c r="A657" s="16"/>
      <c r="B657" s="17"/>
      <c r="D657" s="16"/>
      <c r="E657" s="16"/>
      <c r="F657" s="16"/>
      <c r="G657" s="58">
        <f ca="1">IFERROR(__xludf.DUMMYFUNCTION("""COMPUTED_VALUE"""),0)</f>
        <v>0</v>
      </c>
    </row>
    <row r="658" spans="1:7" ht="13.2">
      <c r="A658" s="16"/>
      <c r="B658" s="17"/>
      <c r="D658" s="16"/>
      <c r="E658" s="16"/>
      <c r="F658" s="16"/>
      <c r="G658" s="58">
        <f ca="1">IFERROR(__xludf.DUMMYFUNCTION("""COMPUTED_VALUE"""),0)</f>
        <v>0</v>
      </c>
    </row>
    <row r="659" spans="1:7" ht="13.2">
      <c r="A659" s="16"/>
      <c r="B659" s="17"/>
      <c r="D659" s="16"/>
      <c r="E659" s="16"/>
      <c r="F659" s="16"/>
      <c r="G659" s="58">
        <f ca="1">IFERROR(__xludf.DUMMYFUNCTION("""COMPUTED_VALUE"""),0)</f>
        <v>0</v>
      </c>
    </row>
    <row r="660" spans="1:7" ht="13.2">
      <c r="A660" s="16"/>
      <c r="B660" s="17"/>
      <c r="D660" s="16"/>
      <c r="E660" s="16"/>
      <c r="F660" s="16"/>
      <c r="G660" s="58">
        <f ca="1">IFERROR(__xludf.DUMMYFUNCTION("""COMPUTED_VALUE"""),0)</f>
        <v>0</v>
      </c>
    </row>
    <row r="661" spans="1:7" ht="13.2">
      <c r="A661" s="16"/>
      <c r="B661" s="17"/>
      <c r="D661" s="16"/>
      <c r="E661" s="16"/>
      <c r="F661" s="16"/>
      <c r="G661" s="58">
        <f ca="1">IFERROR(__xludf.DUMMYFUNCTION("""COMPUTED_VALUE"""),0)</f>
        <v>0</v>
      </c>
    </row>
    <row r="662" spans="1:7" ht="13.2">
      <c r="A662" s="16"/>
      <c r="B662" s="17"/>
      <c r="D662" s="16"/>
      <c r="E662" s="16"/>
      <c r="F662" s="16"/>
      <c r="G662" s="58">
        <f ca="1">IFERROR(__xludf.DUMMYFUNCTION("""COMPUTED_VALUE"""),0)</f>
        <v>0</v>
      </c>
    </row>
    <row r="663" spans="1:7" ht="13.2">
      <c r="A663" s="16"/>
      <c r="B663" s="17"/>
      <c r="D663" s="16"/>
      <c r="E663" s="16"/>
      <c r="F663" s="16"/>
      <c r="G663" s="58">
        <f ca="1">IFERROR(__xludf.DUMMYFUNCTION("""COMPUTED_VALUE"""),0)</f>
        <v>0</v>
      </c>
    </row>
    <row r="664" spans="1:7" ht="13.2">
      <c r="A664" s="16"/>
      <c r="B664" s="17"/>
      <c r="D664" s="16"/>
      <c r="E664" s="16"/>
      <c r="F664" s="16"/>
      <c r="G664" s="58">
        <f ca="1">IFERROR(__xludf.DUMMYFUNCTION("""COMPUTED_VALUE"""),0)</f>
        <v>0</v>
      </c>
    </row>
    <row r="665" spans="1:7" ht="13.2">
      <c r="A665" s="16"/>
      <c r="B665" s="17"/>
      <c r="D665" s="16"/>
      <c r="E665" s="16"/>
      <c r="F665" s="16"/>
      <c r="G665" s="58">
        <f ca="1">IFERROR(__xludf.DUMMYFUNCTION("""COMPUTED_VALUE"""),0)</f>
        <v>0</v>
      </c>
    </row>
    <row r="666" spans="1:7" ht="13.2">
      <c r="A666" s="16"/>
      <c r="B666" s="17"/>
      <c r="D666" s="16"/>
      <c r="E666" s="16"/>
      <c r="F666" s="16"/>
      <c r="G666" s="58">
        <f ca="1">IFERROR(__xludf.DUMMYFUNCTION("""COMPUTED_VALUE"""),0)</f>
        <v>0</v>
      </c>
    </row>
    <row r="667" spans="1:7" ht="13.2">
      <c r="A667" s="16"/>
      <c r="B667" s="17"/>
      <c r="D667" s="16"/>
      <c r="E667" s="16"/>
      <c r="F667" s="16"/>
      <c r="G667" s="58">
        <f ca="1">IFERROR(__xludf.DUMMYFUNCTION("""COMPUTED_VALUE"""),0)</f>
        <v>0</v>
      </c>
    </row>
    <row r="668" spans="1:7" ht="13.2">
      <c r="A668" s="16"/>
      <c r="B668" s="17"/>
      <c r="D668" s="16"/>
      <c r="E668" s="16"/>
      <c r="F668" s="16"/>
      <c r="G668" s="58">
        <f ca="1">IFERROR(__xludf.DUMMYFUNCTION("""COMPUTED_VALUE"""),0)</f>
        <v>0</v>
      </c>
    </row>
    <row r="669" spans="1:7" ht="13.2">
      <c r="A669" s="16"/>
      <c r="B669" s="17"/>
      <c r="D669" s="16"/>
      <c r="E669" s="16"/>
      <c r="F669" s="16"/>
      <c r="G669" s="58">
        <f ca="1">IFERROR(__xludf.DUMMYFUNCTION("""COMPUTED_VALUE"""),0)</f>
        <v>0</v>
      </c>
    </row>
    <row r="670" spans="1:7" ht="13.2">
      <c r="A670" s="16"/>
      <c r="B670" s="17"/>
      <c r="D670" s="16"/>
      <c r="E670" s="16"/>
      <c r="F670" s="16"/>
      <c r="G670" s="58">
        <f ca="1">IFERROR(__xludf.DUMMYFUNCTION("""COMPUTED_VALUE"""),0)</f>
        <v>0</v>
      </c>
    </row>
    <row r="671" spans="1:7" ht="13.2">
      <c r="A671" s="16"/>
      <c r="B671" s="17"/>
      <c r="D671" s="16"/>
      <c r="E671" s="16"/>
      <c r="F671" s="16"/>
      <c r="G671" s="58">
        <f ca="1">IFERROR(__xludf.DUMMYFUNCTION("""COMPUTED_VALUE"""),0)</f>
        <v>0</v>
      </c>
    </row>
    <row r="672" spans="1:7" ht="13.2">
      <c r="A672" s="16"/>
      <c r="B672" s="17"/>
      <c r="D672" s="16"/>
      <c r="E672" s="16"/>
      <c r="F672" s="16"/>
      <c r="G672" s="58">
        <f ca="1">IFERROR(__xludf.DUMMYFUNCTION("""COMPUTED_VALUE"""),0)</f>
        <v>0</v>
      </c>
    </row>
    <row r="673" spans="1:7" ht="13.2">
      <c r="A673" s="16"/>
      <c r="B673" s="17"/>
      <c r="D673" s="16"/>
      <c r="E673" s="16"/>
      <c r="F673" s="16"/>
      <c r="G673" s="58">
        <f ca="1">IFERROR(__xludf.DUMMYFUNCTION("""COMPUTED_VALUE"""),0)</f>
        <v>0</v>
      </c>
    </row>
    <row r="674" spans="1:7" ht="13.2">
      <c r="A674" s="16"/>
      <c r="B674" s="17"/>
      <c r="D674" s="16"/>
      <c r="E674" s="16"/>
      <c r="F674" s="16"/>
      <c r="G674" s="58">
        <f ca="1">IFERROR(__xludf.DUMMYFUNCTION("""COMPUTED_VALUE"""),0)</f>
        <v>0</v>
      </c>
    </row>
    <row r="675" spans="1:7" ht="13.2">
      <c r="A675" s="16"/>
      <c r="B675" s="17"/>
      <c r="D675" s="16"/>
      <c r="E675" s="16"/>
      <c r="F675" s="16"/>
      <c r="G675" s="58">
        <f ca="1">IFERROR(__xludf.DUMMYFUNCTION("""COMPUTED_VALUE"""),0)</f>
        <v>0</v>
      </c>
    </row>
    <row r="676" spans="1:7" ht="13.2">
      <c r="A676" s="16"/>
      <c r="B676" s="17"/>
      <c r="D676" s="16"/>
      <c r="E676" s="16"/>
      <c r="F676" s="16"/>
      <c r="G676" s="58">
        <f ca="1">IFERROR(__xludf.DUMMYFUNCTION("""COMPUTED_VALUE"""),0)</f>
        <v>0</v>
      </c>
    </row>
    <row r="677" spans="1:7" ht="13.2">
      <c r="A677" s="16"/>
      <c r="B677" s="17"/>
      <c r="D677" s="16"/>
      <c r="E677" s="16"/>
      <c r="F677" s="16"/>
      <c r="G677" s="58">
        <f ca="1">IFERROR(__xludf.DUMMYFUNCTION("""COMPUTED_VALUE"""),0)</f>
        <v>0</v>
      </c>
    </row>
    <row r="678" spans="1:7" ht="13.2">
      <c r="A678" s="16"/>
      <c r="B678" s="17"/>
      <c r="D678" s="16"/>
      <c r="E678" s="16"/>
      <c r="F678" s="16"/>
      <c r="G678" s="58">
        <f ca="1">IFERROR(__xludf.DUMMYFUNCTION("""COMPUTED_VALUE"""),0)</f>
        <v>0</v>
      </c>
    </row>
    <row r="679" spans="1:7" ht="13.2">
      <c r="A679" s="16"/>
      <c r="B679" s="17"/>
      <c r="D679" s="16"/>
      <c r="E679" s="16"/>
      <c r="F679" s="16"/>
      <c r="G679" s="58">
        <f ca="1">IFERROR(__xludf.DUMMYFUNCTION("""COMPUTED_VALUE"""),0)</f>
        <v>0</v>
      </c>
    </row>
    <row r="680" spans="1:7" ht="13.2">
      <c r="A680" s="16"/>
      <c r="B680" s="17"/>
      <c r="D680" s="16"/>
      <c r="E680" s="16"/>
      <c r="F680" s="16"/>
      <c r="G680" s="58">
        <f ca="1">IFERROR(__xludf.DUMMYFUNCTION("""COMPUTED_VALUE"""),0)</f>
        <v>0</v>
      </c>
    </row>
    <row r="681" spans="1:7" ht="13.2">
      <c r="A681" s="16"/>
      <c r="B681" s="17"/>
      <c r="D681" s="16"/>
      <c r="E681" s="16"/>
      <c r="F681" s="16"/>
      <c r="G681" s="58">
        <f ca="1">IFERROR(__xludf.DUMMYFUNCTION("""COMPUTED_VALUE"""),0)</f>
        <v>0</v>
      </c>
    </row>
    <row r="682" spans="1:7" ht="13.2">
      <c r="A682" s="16"/>
      <c r="B682" s="17"/>
      <c r="D682" s="16"/>
      <c r="E682" s="16"/>
      <c r="F682" s="16"/>
      <c r="G682" s="58">
        <f ca="1">IFERROR(__xludf.DUMMYFUNCTION("""COMPUTED_VALUE"""),0)</f>
        <v>0</v>
      </c>
    </row>
    <row r="683" spans="1:7" ht="13.2">
      <c r="A683" s="16"/>
      <c r="B683" s="17"/>
      <c r="D683" s="16"/>
      <c r="E683" s="16"/>
      <c r="F683" s="16"/>
      <c r="G683" s="58">
        <f ca="1">IFERROR(__xludf.DUMMYFUNCTION("""COMPUTED_VALUE"""),0)</f>
        <v>0</v>
      </c>
    </row>
    <row r="684" spans="1:7" ht="13.2">
      <c r="A684" s="16"/>
      <c r="B684" s="17"/>
      <c r="D684" s="16"/>
      <c r="E684" s="16"/>
      <c r="F684" s="16"/>
      <c r="G684" s="58">
        <f ca="1">IFERROR(__xludf.DUMMYFUNCTION("""COMPUTED_VALUE"""),0)</f>
        <v>0</v>
      </c>
    </row>
    <row r="685" spans="1:7" ht="13.2">
      <c r="A685" s="16"/>
      <c r="B685" s="17"/>
      <c r="D685" s="16"/>
      <c r="E685" s="16"/>
      <c r="F685" s="16"/>
      <c r="G685" s="58">
        <f ca="1">IFERROR(__xludf.DUMMYFUNCTION("""COMPUTED_VALUE"""),0)</f>
        <v>0</v>
      </c>
    </row>
    <row r="686" spans="1:7" ht="13.2">
      <c r="A686" s="16"/>
      <c r="B686" s="17"/>
      <c r="D686" s="16"/>
      <c r="E686" s="16"/>
      <c r="F686" s="16"/>
      <c r="G686" s="58">
        <f ca="1">IFERROR(__xludf.DUMMYFUNCTION("""COMPUTED_VALUE"""),0)</f>
        <v>0</v>
      </c>
    </row>
    <row r="687" spans="1:7" ht="13.2">
      <c r="A687" s="16"/>
      <c r="B687" s="17"/>
      <c r="D687" s="16"/>
      <c r="E687" s="16"/>
      <c r="F687" s="16"/>
      <c r="G687" s="58">
        <f ca="1">IFERROR(__xludf.DUMMYFUNCTION("""COMPUTED_VALUE"""),0)</f>
        <v>0</v>
      </c>
    </row>
    <row r="688" spans="1:7" ht="13.2">
      <c r="A688" s="16"/>
      <c r="B688" s="17"/>
      <c r="D688" s="16"/>
      <c r="E688" s="16"/>
      <c r="F688" s="16"/>
      <c r="G688" s="58">
        <f ca="1">IFERROR(__xludf.DUMMYFUNCTION("""COMPUTED_VALUE"""),0)</f>
        <v>0</v>
      </c>
    </row>
    <row r="689" spans="1:7" ht="13.2">
      <c r="A689" s="16"/>
      <c r="B689" s="17"/>
      <c r="D689" s="16"/>
      <c r="E689" s="16"/>
      <c r="F689" s="16"/>
      <c r="G689" s="58">
        <f ca="1">IFERROR(__xludf.DUMMYFUNCTION("""COMPUTED_VALUE"""),0)</f>
        <v>0</v>
      </c>
    </row>
    <row r="690" spans="1:7" ht="13.2">
      <c r="A690" s="16"/>
      <c r="B690" s="17"/>
      <c r="D690" s="16"/>
      <c r="E690" s="16"/>
      <c r="F690" s="16"/>
      <c r="G690" s="58">
        <f ca="1">IFERROR(__xludf.DUMMYFUNCTION("""COMPUTED_VALUE"""),0)</f>
        <v>0</v>
      </c>
    </row>
    <row r="691" spans="1:7" ht="13.2">
      <c r="A691" s="16"/>
      <c r="B691" s="17"/>
      <c r="D691" s="16"/>
      <c r="E691" s="16"/>
      <c r="F691" s="16"/>
      <c r="G691" s="58">
        <f ca="1">IFERROR(__xludf.DUMMYFUNCTION("""COMPUTED_VALUE"""),0)</f>
        <v>0</v>
      </c>
    </row>
    <row r="692" spans="1:7" ht="13.2">
      <c r="A692" s="16"/>
      <c r="B692" s="17"/>
      <c r="D692" s="16"/>
      <c r="E692" s="16"/>
      <c r="F692" s="16"/>
      <c r="G692" s="58">
        <f ca="1">IFERROR(__xludf.DUMMYFUNCTION("""COMPUTED_VALUE"""),0)</f>
        <v>0</v>
      </c>
    </row>
    <row r="693" spans="1:7" ht="13.2">
      <c r="A693" s="16"/>
      <c r="B693" s="17"/>
      <c r="D693" s="16"/>
      <c r="E693" s="16"/>
      <c r="F693" s="16"/>
      <c r="G693" s="58">
        <f ca="1">IFERROR(__xludf.DUMMYFUNCTION("""COMPUTED_VALUE"""),0)</f>
        <v>0</v>
      </c>
    </row>
    <row r="694" spans="1:7" ht="13.2">
      <c r="A694" s="16"/>
      <c r="B694" s="17"/>
      <c r="D694" s="16"/>
      <c r="E694" s="16"/>
      <c r="F694" s="16"/>
      <c r="G694" s="58">
        <f ca="1">IFERROR(__xludf.DUMMYFUNCTION("""COMPUTED_VALUE"""),0)</f>
        <v>0</v>
      </c>
    </row>
    <row r="695" spans="1:7" ht="13.2">
      <c r="A695" s="16"/>
      <c r="B695" s="17"/>
      <c r="D695" s="16"/>
      <c r="E695" s="16"/>
      <c r="F695" s="16"/>
      <c r="G695" s="58">
        <f ca="1">IFERROR(__xludf.DUMMYFUNCTION("""COMPUTED_VALUE"""),0)</f>
        <v>0</v>
      </c>
    </row>
    <row r="696" spans="1:7" ht="13.2">
      <c r="A696" s="16"/>
      <c r="B696" s="17"/>
      <c r="D696" s="16"/>
      <c r="E696" s="16"/>
      <c r="F696" s="16"/>
      <c r="G696" s="58">
        <f ca="1">IFERROR(__xludf.DUMMYFUNCTION("""COMPUTED_VALUE"""),0)</f>
        <v>0</v>
      </c>
    </row>
    <row r="697" spans="1:7" ht="13.2">
      <c r="A697" s="16"/>
      <c r="B697" s="17"/>
      <c r="D697" s="16"/>
      <c r="E697" s="16"/>
      <c r="F697" s="16"/>
      <c r="G697" s="58">
        <f ca="1">IFERROR(__xludf.DUMMYFUNCTION("""COMPUTED_VALUE"""),0)</f>
        <v>0</v>
      </c>
    </row>
    <row r="698" spans="1:7" ht="13.2">
      <c r="A698" s="16"/>
      <c r="B698" s="17"/>
      <c r="D698" s="16"/>
      <c r="E698" s="16"/>
      <c r="F698" s="16"/>
      <c r="G698" s="58">
        <f ca="1">IFERROR(__xludf.DUMMYFUNCTION("""COMPUTED_VALUE"""),0)</f>
        <v>0</v>
      </c>
    </row>
    <row r="699" spans="1:7" ht="13.2">
      <c r="A699" s="16"/>
      <c r="B699" s="17"/>
      <c r="D699" s="16"/>
      <c r="E699" s="16"/>
      <c r="F699" s="16"/>
      <c r="G699" s="58">
        <f ca="1">IFERROR(__xludf.DUMMYFUNCTION("""COMPUTED_VALUE"""),0)</f>
        <v>0</v>
      </c>
    </row>
    <row r="700" spans="1:7" ht="13.2">
      <c r="A700" s="16"/>
      <c r="B700" s="17"/>
      <c r="D700" s="16"/>
      <c r="E700" s="16"/>
      <c r="F700" s="16"/>
      <c r="G700" s="58">
        <f ca="1">IFERROR(__xludf.DUMMYFUNCTION("""COMPUTED_VALUE"""),0)</f>
        <v>0</v>
      </c>
    </row>
    <row r="701" spans="1:7" ht="13.2">
      <c r="A701" s="16"/>
      <c r="B701" s="17"/>
      <c r="D701" s="16"/>
      <c r="E701" s="16"/>
      <c r="F701" s="16"/>
      <c r="G701" s="58">
        <f ca="1">IFERROR(__xludf.DUMMYFUNCTION("""COMPUTED_VALUE"""),0)</f>
        <v>0</v>
      </c>
    </row>
    <row r="702" spans="1:7" ht="13.2">
      <c r="A702" s="16"/>
      <c r="B702" s="17"/>
      <c r="D702" s="16"/>
      <c r="E702" s="16"/>
      <c r="F702" s="16"/>
      <c r="G702" s="58">
        <f ca="1">IFERROR(__xludf.DUMMYFUNCTION("""COMPUTED_VALUE"""),0)</f>
        <v>0</v>
      </c>
    </row>
    <row r="703" spans="1:7" ht="13.2">
      <c r="A703" s="16"/>
      <c r="B703" s="17"/>
      <c r="D703" s="16"/>
      <c r="E703" s="16"/>
      <c r="F703" s="16"/>
      <c r="G703" s="58">
        <f ca="1">IFERROR(__xludf.DUMMYFUNCTION("""COMPUTED_VALUE"""),0)</f>
        <v>0</v>
      </c>
    </row>
    <row r="704" spans="1:7" ht="13.2">
      <c r="A704" s="16"/>
      <c r="B704" s="17"/>
      <c r="D704" s="16"/>
      <c r="E704" s="16"/>
      <c r="F704" s="16"/>
      <c r="G704" s="58">
        <f ca="1">IFERROR(__xludf.DUMMYFUNCTION("""COMPUTED_VALUE"""),0)</f>
        <v>0</v>
      </c>
    </row>
    <row r="705" spans="1:7" ht="13.2">
      <c r="A705" s="16"/>
      <c r="B705" s="17"/>
      <c r="D705" s="16"/>
      <c r="E705" s="16"/>
      <c r="F705" s="16"/>
      <c r="G705" s="58">
        <f ca="1">IFERROR(__xludf.DUMMYFUNCTION("""COMPUTED_VALUE"""),0)</f>
        <v>0</v>
      </c>
    </row>
    <row r="706" spans="1:7" ht="13.2">
      <c r="A706" s="16"/>
      <c r="B706" s="17"/>
      <c r="D706" s="16"/>
      <c r="E706" s="16"/>
      <c r="F706" s="16"/>
      <c r="G706" s="58">
        <f ca="1">IFERROR(__xludf.DUMMYFUNCTION("""COMPUTED_VALUE"""),0)</f>
        <v>0</v>
      </c>
    </row>
    <row r="707" spans="1:7" ht="13.2">
      <c r="A707" s="16"/>
      <c r="B707" s="17"/>
      <c r="D707" s="16"/>
      <c r="E707" s="16"/>
      <c r="F707" s="16"/>
      <c r="G707" s="58">
        <f ca="1">IFERROR(__xludf.DUMMYFUNCTION("""COMPUTED_VALUE"""),0)</f>
        <v>0</v>
      </c>
    </row>
    <row r="708" spans="1:7" ht="13.2">
      <c r="A708" s="16"/>
      <c r="B708" s="17"/>
      <c r="D708" s="16"/>
      <c r="E708" s="16"/>
      <c r="F708" s="16"/>
      <c r="G708" s="58">
        <f ca="1">IFERROR(__xludf.DUMMYFUNCTION("""COMPUTED_VALUE"""),0)</f>
        <v>0</v>
      </c>
    </row>
    <row r="709" spans="1:7" ht="13.2">
      <c r="A709" s="16"/>
      <c r="B709" s="17"/>
      <c r="D709" s="16"/>
      <c r="E709" s="16"/>
      <c r="F709" s="16"/>
      <c r="G709" s="58">
        <f ca="1">IFERROR(__xludf.DUMMYFUNCTION("""COMPUTED_VALUE"""),0)</f>
        <v>0</v>
      </c>
    </row>
    <row r="710" spans="1:7" ht="13.2">
      <c r="A710" s="16"/>
      <c r="B710" s="17"/>
      <c r="D710" s="16"/>
      <c r="E710" s="16"/>
      <c r="F710" s="16"/>
      <c r="G710" s="58">
        <f ca="1">IFERROR(__xludf.DUMMYFUNCTION("""COMPUTED_VALUE"""),0)</f>
        <v>0</v>
      </c>
    </row>
    <row r="711" spans="1:7" ht="13.2">
      <c r="A711" s="16"/>
      <c r="B711" s="17"/>
      <c r="D711" s="16"/>
      <c r="E711" s="16"/>
      <c r="F711" s="16"/>
      <c r="G711" s="58">
        <f ca="1">IFERROR(__xludf.DUMMYFUNCTION("""COMPUTED_VALUE"""),0)</f>
        <v>0</v>
      </c>
    </row>
    <row r="712" spans="1:7" ht="13.2">
      <c r="A712" s="16"/>
      <c r="B712" s="17"/>
      <c r="D712" s="16"/>
      <c r="E712" s="16"/>
      <c r="F712" s="16"/>
      <c r="G712" s="58">
        <f ca="1">IFERROR(__xludf.DUMMYFUNCTION("""COMPUTED_VALUE"""),0)</f>
        <v>0</v>
      </c>
    </row>
    <row r="713" spans="1:7" ht="13.2">
      <c r="A713" s="16"/>
      <c r="B713" s="17"/>
      <c r="D713" s="16"/>
      <c r="E713" s="16"/>
      <c r="F713" s="16"/>
      <c r="G713" s="58">
        <f ca="1">IFERROR(__xludf.DUMMYFUNCTION("""COMPUTED_VALUE"""),0)</f>
        <v>0</v>
      </c>
    </row>
    <row r="714" spans="1:7" ht="13.2">
      <c r="A714" s="16"/>
      <c r="B714" s="17"/>
      <c r="D714" s="16"/>
      <c r="E714" s="16"/>
      <c r="F714" s="16"/>
      <c r="G714" s="58">
        <f ca="1">IFERROR(__xludf.DUMMYFUNCTION("""COMPUTED_VALUE"""),0)</f>
        <v>0</v>
      </c>
    </row>
    <row r="715" spans="1:7" ht="13.2">
      <c r="A715" s="16"/>
      <c r="B715" s="17"/>
      <c r="D715" s="16"/>
      <c r="E715" s="16"/>
      <c r="F715" s="16"/>
      <c r="G715" s="58">
        <f ca="1">IFERROR(__xludf.DUMMYFUNCTION("""COMPUTED_VALUE"""),0)</f>
        <v>0</v>
      </c>
    </row>
    <row r="716" spans="1:7" ht="13.2">
      <c r="A716" s="16"/>
      <c r="B716" s="17"/>
      <c r="D716" s="16"/>
      <c r="E716" s="16"/>
      <c r="F716" s="16"/>
      <c r="G716" s="58">
        <f ca="1">IFERROR(__xludf.DUMMYFUNCTION("""COMPUTED_VALUE"""),0)</f>
        <v>0</v>
      </c>
    </row>
    <row r="717" spans="1:7" ht="13.2">
      <c r="A717" s="16"/>
      <c r="B717" s="17"/>
      <c r="D717" s="16"/>
      <c r="E717" s="16"/>
      <c r="F717" s="16"/>
      <c r="G717" s="58">
        <f ca="1">IFERROR(__xludf.DUMMYFUNCTION("""COMPUTED_VALUE"""),0)</f>
        <v>0</v>
      </c>
    </row>
    <row r="718" spans="1:7" ht="13.2">
      <c r="A718" s="16"/>
      <c r="B718" s="17"/>
      <c r="D718" s="16"/>
      <c r="E718" s="16"/>
      <c r="F718" s="16"/>
      <c r="G718" s="58">
        <f ca="1">IFERROR(__xludf.DUMMYFUNCTION("""COMPUTED_VALUE"""),0)</f>
        <v>0</v>
      </c>
    </row>
    <row r="719" spans="1:7" ht="13.2">
      <c r="A719" s="16"/>
      <c r="B719" s="17"/>
      <c r="D719" s="16"/>
      <c r="E719" s="16"/>
      <c r="F719" s="16"/>
      <c r="G719" s="58">
        <f ca="1">IFERROR(__xludf.DUMMYFUNCTION("""COMPUTED_VALUE"""),0)</f>
        <v>0</v>
      </c>
    </row>
    <row r="720" spans="1:7" ht="13.2">
      <c r="A720" s="16"/>
      <c r="B720" s="17"/>
      <c r="D720" s="16"/>
      <c r="E720" s="16"/>
      <c r="F720" s="16"/>
      <c r="G720" s="58">
        <f ca="1">IFERROR(__xludf.DUMMYFUNCTION("""COMPUTED_VALUE"""),0)</f>
        <v>0</v>
      </c>
    </row>
    <row r="721" spans="1:7" ht="13.2">
      <c r="A721" s="16"/>
      <c r="B721" s="17"/>
      <c r="D721" s="16"/>
      <c r="E721" s="16"/>
      <c r="F721" s="16"/>
      <c r="G721" s="58">
        <f ca="1">IFERROR(__xludf.DUMMYFUNCTION("""COMPUTED_VALUE"""),0)</f>
        <v>0</v>
      </c>
    </row>
    <row r="722" spans="1:7" ht="13.2">
      <c r="A722" s="16"/>
      <c r="B722" s="17"/>
      <c r="D722" s="16"/>
      <c r="E722" s="16"/>
      <c r="F722" s="16"/>
      <c r="G722" s="58">
        <f ca="1">IFERROR(__xludf.DUMMYFUNCTION("""COMPUTED_VALUE"""),0)</f>
        <v>0</v>
      </c>
    </row>
    <row r="723" spans="1:7" ht="13.2">
      <c r="A723" s="16"/>
      <c r="B723" s="17"/>
      <c r="D723" s="16"/>
      <c r="E723" s="16"/>
      <c r="F723" s="16"/>
      <c r="G723" s="58">
        <f ca="1">IFERROR(__xludf.DUMMYFUNCTION("""COMPUTED_VALUE"""),0)</f>
        <v>0</v>
      </c>
    </row>
    <row r="724" spans="1:7" ht="13.2">
      <c r="A724" s="16"/>
      <c r="B724" s="17"/>
      <c r="D724" s="16"/>
      <c r="E724" s="16"/>
      <c r="F724" s="16"/>
      <c r="G724" s="58">
        <f ca="1">IFERROR(__xludf.DUMMYFUNCTION("""COMPUTED_VALUE"""),0)</f>
        <v>0</v>
      </c>
    </row>
    <row r="725" spans="1:7" ht="13.2">
      <c r="A725" s="16"/>
      <c r="B725" s="17"/>
      <c r="D725" s="16"/>
      <c r="E725" s="16"/>
      <c r="F725" s="16"/>
      <c r="G725" s="58">
        <f ca="1">IFERROR(__xludf.DUMMYFUNCTION("""COMPUTED_VALUE"""),0)</f>
        <v>0</v>
      </c>
    </row>
    <row r="726" spans="1:7" ht="13.2">
      <c r="A726" s="16"/>
      <c r="B726" s="17"/>
      <c r="D726" s="16"/>
      <c r="E726" s="16"/>
      <c r="F726" s="16"/>
      <c r="G726" s="58">
        <f ca="1">IFERROR(__xludf.DUMMYFUNCTION("""COMPUTED_VALUE"""),0)</f>
        <v>0</v>
      </c>
    </row>
    <row r="727" spans="1:7" ht="13.2">
      <c r="A727" s="16"/>
      <c r="B727" s="17"/>
      <c r="D727" s="16"/>
      <c r="E727" s="16"/>
      <c r="F727" s="16"/>
      <c r="G727" s="58">
        <f ca="1">IFERROR(__xludf.DUMMYFUNCTION("""COMPUTED_VALUE"""),0)</f>
        <v>0</v>
      </c>
    </row>
    <row r="728" spans="1:7" ht="13.2">
      <c r="A728" s="16"/>
      <c r="B728" s="17"/>
      <c r="D728" s="16"/>
      <c r="E728" s="16"/>
      <c r="F728" s="16"/>
      <c r="G728" s="58">
        <f ca="1">IFERROR(__xludf.DUMMYFUNCTION("""COMPUTED_VALUE"""),0)</f>
        <v>0</v>
      </c>
    </row>
    <row r="729" spans="1:7" ht="13.2">
      <c r="A729" s="16"/>
      <c r="B729" s="17"/>
      <c r="D729" s="16"/>
      <c r="E729" s="16"/>
      <c r="F729" s="16"/>
      <c r="G729" s="58">
        <f ca="1">IFERROR(__xludf.DUMMYFUNCTION("""COMPUTED_VALUE"""),0)</f>
        <v>0</v>
      </c>
    </row>
    <row r="730" spans="1:7" ht="13.2">
      <c r="A730" s="16"/>
      <c r="B730" s="17"/>
      <c r="D730" s="16"/>
      <c r="E730" s="16"/>
      <c r="F730" s="16"/>
      <c r="G730" s="58">
        <f ca="1">IFERROR(__xludf.DUMMYFUNCTION("""COMPUTED_VALUE"""),0)</f>
        <v>0</v>
      </c>
    </row>
    <row r="731" spans="1:7" ht="13.2">
      <c r="A731" s="16"/>
      <c r="B731" s="17"/>
      <c r="D731" s="16"/>
      <c r="E731" s="16"/>
      <c r="F731" s="16"/>
      <c r="G731" s="58">
        <f ca="1">IFERROR(__xludf.DUMMYFUNCTION("""COMPUTED_VALUE"""),0)</f>
        <v>0</v>
      </c>
    </row>
    <row r="732" spans="1:7" ht="13.2">
      <c r="A732" s="16"/>
      <c r="B732" s="17"/>
      <c r="D732" s="16"/>
      <c r="E732" s="16"/>
      <c r="F732" s="16"/>
      <c r="G732" s="58">
        <f ca="1">IFERROR(__xludf.DUMMYFUNCTION("""COMPUTED_VALUE"""),0)</f>
        <v>0</v>
      </c>
    </row>
    <row r="733" spans="1:7" ht="13.2">
      <c r="A733" s="16"/>
      <c r="B733" s="17"/>
      <c r="D733" s="16"/>
      <c r="E733" s="16"/>
      <c r="F733" s="16"/>
      <c r="G733" s="58">
        <f ca="1">IFERROR(__xludf.DUMMYFUNCTION("""COMPUTED_VALUE"""),0)</f>
        <v>0</v>
      </c>
    </row>
    <row r="734" spans="1:7" ht="13.2">
      <c r="A734" s="16"/>
      <c r="B734" s="17"/>
      <c r="D734" s="16"/>
      <c r="E734" s="16"/>
      <c r="F734" s="16"/>
      <c r="G734" s="58">
        <f ca="1">IFERROR(__xludf.DUMMYFUNCTION("""COMPUTED_VALUE"""),0)</f>
        <v>0</v>
      </c>
    </row>
    <row r="735" spans="1:7" ht="13.2">
      <c r="A735" s="16"/>
      <c r="B735" s="17"/>
      <c r="D735" s="16"/>
      <c r="E735" s="16"/>
      <c r="F735" s="16"/>
      <c r="G735" s="58">
        <f ca="1">IFERROR(__xludf.DUMMYFUNCTION("""COMPUTED_VALUE"""),0)</f>
        <v>0</v>
      </c>
    </row>
    <row r="736" spans="1:7" ht="13.2">
      <c r="A736" s="16"/>
      <c r="B736" s="17"/>
      <c r="D736" s="16"/>
      <c r="E736" s="16"/>
      <c r="F736" s="16"/>
      <c r="G736" s="58">
        <f ca="1">IFERROR(__xludf.DUMMYFUNCTION("""COMPUTED_VALUE"""),0)</f>
        <v>0</v>
      </c>
    </row>
    <row r="737" spans="1:7" ht="13.2">
      <c r="A737" s="16"/>
      <c r="B737" s="17"/>
      <c r="D737" s="16"/>
      <c r="E737" s="16"/>
      <c r="F737" s="16"/>
      <c r="G737" s="58">
        <f ca="1">IFERROR(__xludf.DUMMYFUNCTION("""COMPUTED_VALUE"""),0)</f>
        <v>0</v>
      </c>
    </row>
    <row r="738" spans="1:7" ht="13.2">
      <c r="A738" s="16"/>
      <c r="B738" s="17"/>
      <c r="D738" s="16"/>
      <c r="E738" s="16"/>
      <c r="F738" s="16"/>
      <c r="G738" s="58">
        <f ca="1">IFERROR(__xludf.DUMMYFUNCTION("""COMPUTED_VALUE"""),0)</f>
        <v>0</v>
      </c>
    </row>
    <row r="739" spans="1:7" ht="13.2">
      <c r="A739" s="16"/>
      <c r="B739" s="17"/>
      <c r="D739" s="16"/>
      <c r="E739" s="16"/>
      <c r="F739" s="16"/>
      <c r="G739" s="58">
        <f ca="1">IFERROR(__xludf.DUMMYFUNCTION("""COMPUTED_VALUE"""),0)</f>
        <v>0</v>
      </c>
    </row>
    <row r="740" spans="1:7" ht="13.2">
      <c r="A740" s="16"/>
      <c r="B740" s="17"/>
      <c r="D740" s="16"/>
      <c r="E740" s="16"/>
      <c r="F740" s="16"/>
      <c r="G740" s="58">
        <f ca="1">IFERROR(__xludf.DUMMYFUNCTION("""COMPUTED_VALUE"""),0)</f>
        <v>0</v>
      </c>
    </row>
    <row r="741" spans="1:7" ht="13.2">
      <c r="A741" s="16"/>
      <c r="B741" s="17"/>
      <c r="D741" s="16"/>
      <c r="E741" s="16"/>
      <c r="F741" s="16"/>
      <c r="G741" s="58">
        <f ca="1">IFERROR(__xludf.DUMMYFUNCTION("""COMPUTED_VALUE"""),0)</f>
        <v>0</v>
      </c>
    </row>
    <row r="742" spans="1:7" ht="13.2">
      <c r="A742" s="16"/>
      <c r="B742" s="17"/>
      <c r="D742" s="16"/>
      <c r="E742" s="16"/>
      <c r="F742" s="16"/>
      <c r="G742" s="58">
        <f ca="1">IFERROR(__xludf.DUMMYFUNCTION("""COMPUTED_VALUE"""),0)</f>
        <v>0</v>
      </c>
    </row>
    <row r="743" spans="1:7" ht="13.2">
      <c r="A743" s="16"/>
      <c r="B743" s="17"/>
      <c r="D743" s="16"/>
      <c r="E743" s="16"/>
      <c r="F743" s="16"/>
      <c r="G743" s="58">
        <f ca="1">IFERROR(__xludf.DUMMYFUNCTION("""COMPUTED_VALUE"""),0)</f>
        <v>0</v>
      </c>
    </row>
    <row r="744" spans="1:7" ht="13.2">
      <c r="A744" s="16"/>
      <c r="B744" s="17"/>
      <c r="D744" s="16"/>
      <c r="E744" s="16"/>
      <c r="F744" s="16"/>
      <c r="G744" s="58">
        <f ca="1">IFERROR(__xludf.DUMMYFUNCTION("""COMPUTED_VALUE"""),0)</f>
        <v>0</v>
      </c>
    </row>
    <row r="745" spans="1:7" ht="13.2">
      <c r="A745" s="16"/>
      <c r="B745" s="17"/>
      <c r="D745" s="16"/>
      <c r="E745" s="16"/>
      <c r="F745" s="16"/>
      <c r="G745" s="58">
        <f ca="1">IFERROR(__xludf.DUMMYFUNCTION("""COMPUTED_VALUE"""),0)</f>
        <v>0</v>
      </c>
    </row>
    <row r="746" spans="1:7" ht="13.2">
      <c r="A746" s="16"/>
      <c r="B746" s="17"/>
      <c r="D746" s="16"/>
      <c r="E746" s="16"/>
      <c r="F746" s="16"/>
      <c r="G746" s="58">
        <f ca="1">IFERROR(__xludf.DUMMYFUNCTION("""COMPUTED_VALUE"""),0)</f>
        <v>0</v>
      </c>
    </row>
    <row r="747" spans="1:7" ht="13.2">
      <c r="A747" s="16"/>
      <c r="B747" s="17"/>
      <c r="D747" s="16"/>
      <c r="E747" s="16"/>
      <c r="F747" s="16"/>
      <c r="G747" s="58">
        <f ca="1">IFERROR(__xludf.DUMMYFUNCTION("""COMPUTED_VALUE"""),0)</f>
        <v>0</v>
      </c>
    </row>
    <row r="748" spans="1:7" ht="13.2">
      <c r="A748" s="16"/>
      <c r="B748" s="17"/>
      <c r="D748" s="16"/>
      <c r="E748" s="16"/>
      <c r="F748" s="16"/>
      <c r="G748" s="58">
        <f ca="1">IFERROR(__xludf.DUMMYFUNCTION("""COMPUTED_VALUE"""),0)</f>
        <v>0</v>
      </c>
    </row>
    <row r="749" spans="1:7" ht="13.2">
      <c r="A749" s="16"/>
      <c r="B749" s="17"/>
      <c r="D749" s="16"/>
      <c r="E749" s="16"/>
      <c r="F749" s="16"/>
      <c r="G749" s="58">
        <f ca="1">IFERROR(__xludf.DUMMYFUNCTION("""COMPUTED_VALUE"""),0)</f>
        <v>0</v>
      </c>
    </row>
    <row r="750" spans="1:7" ht="13.2">
      <c r="A750" s="16"/>
      <c r="B750" s="17"/>
      <c r="D750" s="16"/>
      <c r="E750" s="16"/>
      <c r="F750" s="16"/>
      <c r="G750" s="58">
        <f ca="1">IFERROR(__xludf.DUMMYFUNCTION("""COMPUTED_VALUE"""),0)</f>
        <v>0</v>
      </c>
    </row>
    <row r="751" spans="1:7" ht="13.2">
      <c r="A751" s="16"/>
      <c r="B751" s="17"/>
      <c r="D751" s="16"/>
      <c r="E751" s="16"/>
      <c r="F751" s="16"/>
      <c r="G751" s="58">
        <f ca="1">IFERROR(__xludf.DUMMYFUNCTION("""COMPUTED_VALUE"""),0)</f>
        <v>0</v>
      </c>
    </row>
    <row r="752" spans="1:7" ht="13.2">
      <c r="A752" s="16"/>
      <c r="B752" s="17"/>
      <c r="D752" s="16"/>
      <c r="E752" s="16"/>
      <c r="F752" s="16"/>
      <c r="G752" s="58">
        <f ca="1">IFERROR(__xludf.DUMMYFUNCTION("""COMPUTED_VALUE"""),0)</f>
        <v>0</v>
      </c>
    </row>
    <row r="753" spans="1:7" ht="13.2">
      <c r="A753" s="16"/>
      <c r="B753" s="17"/>
      <c r="D753" s="16"/>
      <c r="E753" s="16"/>
      <c r="F753" s="16"/>
      <c r="G753" s="58">
        <f ca="1">IFERROR(__xludf.DUMMYFUNCTION("""COMPUTED_VALUE"""),0)</f>
        <v>0</v>
      </c>
    </row>
    <row r="754" spans="1:7" ht="13.2">
      <c r="A754" s="16"/>
      <c r="B754" s="17"/>
      <c r="D754" s="16"/>
      <c r="E754" s="16"/>
      <c r="F754" s="16"/>
      <c r="G754" s="58">
        <f ca="1">IFERROR(__xludf.DUMMYFUNCTION("""COMPUTED_VALUE"""),0)</f>
        <v>0</v>
      </c>
    </row>
    <row r="755" spans="1:7" ht="13.2">
      <c r="A755" s="16"/>
      <c r="B755" s="17"/>
      <c r="D755" s="16"/>
      <c r="E755" s="16"/>
      <c r="F755" s="16"/>
      <c r="G755" s="58">
        <f ca="1">IFERROR(__xludf.DUMMYFUNCTION("""COMPUTED_VALUE"""),0)</f>
        <v>0</v>
      </c>
    </row>
    <row r="756" spans="1:7" ht="13.2">
      <c r="A756" s="16"/>
      <c r="B756" s="17"/>
      <c r="D756" s="16"/>
      <c r="E756" s="16"/>
      <c r="F756" s="16"/>
      <c r="G756" s="58">
        <f ca="1">IFERROR(__xludf.DUMMYFUNCTION("""COMPUTED_VALUE"""),0)</f>
        <v>0</v>
      </c>
    </row>
    <row r="757" spans="1:7" ht="13.2">
      <c r="A757" s="16"/>
      <c r="B757" s="17"/>
      <c r="D757" s="16"/>
      <c r="E757" s="16"/>
      <c r="F757" s="16"/>
      <c r="G757" s="58">
        <f ca="1">IFERROR(__xludf.DUMMYFUNCTION("""COMPUTED_VALUE"""),0)</f>
        <v>0</v>
      </c>
    </row>
    <row r="758" spans="1:7" ht="13.2">
      <c r="A758" s="16"/>
      <c r="B758" s="17"/>
      <c r="D758" s="16"/>
      <c r="E758" s="16"/>
      <c r="F758" s="16"/>
      <c r="G758" s="58">
        <f ca="1">IFERROR(__xludf.DUMMYFUNCTION("""COMPUTED_VALUE"""),0)</f>
        <v>0</v>
      </c>
    </row>
    <row r="759" spans="1:7" ht="13.2">
      <c r="A759" s="16"/>
      <c r="B759" s="17"/>
      <c r="D759" s="16"/>
      <c r="E759" s="16"/>
      <c r="F759" s="16"/>
      <c r="G759" s="58">
        <f ca="1">IFERROR(__xludf.DUMMYFUNCTION("""COMPUTED_VALUE"""),0)</f>
        <v>0</v>
      </c>
    </row>
    <row r="760" spans="1:7" ht="13.2">
      <c r="A760" s="16"/>
      <c r="B760" s="17"/>
      <c r="D760" s="16"/>
      <c r="E760" s="16"/>
      <c r="F760" s="16"/>
      <c r="G760" s="58">
        <f ca="1">IFERROR(__xludf.DUMMYFUNCTION("""COMPUTED_VALUE"""),0)</f>
        <v>0</v>
      </c>
    </row>
    <row r="761" spans="1:7" ht="13.2">
      <c r="A761" s="16"/>
      <c r="B761" s="17"/>
      <c r="D761" s="16"/>
      <c r="E761" s="16"/>
      <c r="F761" s="16"/>
      <c r="G761" s="58">
        <f ca="1">IFERROR(__xludf.DUMMYFUNCTION("""COMPUTED_VALUE"""),0)</f>
        <v>0</v>
      </c>
    </row>
    <row r="762" spans="1:7" ht="13.2">
      <c r="A762" s="16"/>
      <c r="B762" s="17"/>
      <c r="D762" s="16"/>
      <c r="E762" s="16"/>
      <c r="F762" s="16"/>
      <c r="G762" s="58">
        <f ca="1">IFERROR(__xludf.DUMMYFUNCTION("""COMPUTED_VALUE"""),0)</f>
        <v>0</v>
      </c>
    </row>
    <row r="763" spans="1:7" ht="13.2">
      <c r="A763" s="16"/>
      <c r="B763" s="17"/>
      <c r="D763" s="16"/>
      <c r="E763" s="16"/>
      <c r="F763" s="16"/>
      <c r="G763" s="58">
        <f ca="1">IFERROR(__xludf.DUMMYFUNCTION("""COMPUTED_VALUE"""),0)</f>
        <v>0</v>
      </c>
    </row>
    <row r="764" spans="1:7" ht="13.2">
      <c r="A764" s="16"/>
      <c r="B764" s="17"/>
      <c r="D764" s="16"/>
      <c r="E764" s="16"/>
      <c r="F764" s="16"/>
      <c r="G764" s="58">
        <f ca="1">IFERROR(__xludf.DUMMYFUNCTION("""COMPUTED_VALUE"""),0)</f>
        <v>0</v>
      </c>
    </row>
    <row r="765" spans="1:7" ht="13.2">
      <c r="A765" s="16"/>
      <c r="B765" s="17"/>
      <c r="D765" s="16"/>
      <c r="E765" s="16"/>
      <c r="F765" s="16"/>
      <c r="G765" s="58">
        <f ca="1">IFERROR(__xludf.DUMMYFUNCTION("""COMPUTED_VALUE"""),0)</f>
        <v>0</v>
      </c>
    </row>
    <row r="766" spans="1:7" ht="13.2">
      <c r="A766" s="16"/>
      <c r="B766" s="17"/>
      <c r="D766" s="16"/>
      <c r="E766" s="16"/>
      <c r="F766" s="16"/>
      <c r="G766" s="58">
        <f ca="1">IFERROR(__xludf.DUMMYFUNCTION("""COMPUTED_VALUE"""),0)</f>
        <v>0</v>
      </c>
    </row>
    <row r="767" spans="1:7" ht="13.2">
      <c r="A767" s="16"/>
      <c r="B767" s="17"/>
      <c r="D767" s="16"/>
      <c r="E767" s="16"/>
      <c r="F767" s="16"/>
      <c r="G767" s="58">
        <f ca="1">IFERROR(__xludf.DUMMYFUNCTION("""COMPUTED_VALUE"""),0)</f>
        <v>0</v>
      </c>
    </row>
    <row r="768" spans="1:7" ht="13.2">
      <c r="A768" s="16"/>
      <c r="B768" s="17"/>
      <c r="D768" s="16"/>
      <c r="E768" s="16"/>
      <c r="F768" s="16"/>
      <c r="G768" s="58">
        <f ca="1">IFERROR(__xludf.DUMMYFUNCTION("""COMPUTED_VALUE"""),0)</f>
        <v>0</v>
      </c>
    </row>
    <row r="769" spans="1:7" ht="13.2">
      <c r="A769" s="16"/>
      <c r="B769" s="17"/>
      <c r="D769" s="16"/>
      <c r="E769" s="16"/>
      <c r="F769" s="16"/>
      <c r="G769" s="58">
        <f ca="1">IFERROR(__xludf.DUMMYFUNCTION("""COMPUTED_VALUE"""),0)</f>
        <v>0</v>
      </c>
    </row>
    <row r="770" spans="1:7" ht="13.2">
      <c r="A770" s="16"/>
      <c r="B770" s="17"/>
      <c r="D770" s="16"/>
      <c r="E770" s="16"/>
      <c r="F770" s="16"/>
      <c r="G770" s="58">
        <f ca="1">IFERROR(__xludf.DUMMYFUNCTION("""COMPUTED_VALUE"""),0)</f>
        <v>0</v>
      </c>
    </row>
    <row r="771" spans="1:7" ht="13.2">
      <c r="A771" s="16"/>
      <c r="B771" s="17"/>
      <c r="D771" s="16"/>
      <c r="E771" s="16"/>
      <c r="F771" s="16"/>
      <c r="G771" s="58">
        <f ca="1">IFERROR(__xludf.DUMMYFUNCTION("""COMPUTED_VALUE"""),0)</f>
        <v>0</v>
      </c>
    </row>
    <row r="772" spans="1:7" ht="13.2">
      <c r="A772" s="16"/>
      <c r="B772" s="17"/>
      <c r="D772" s="16"/>
      <c r="E772" s="16"/>
      <c r="F772" s="16"/>
      <c r="G772" s="58">
        <f ca="1">IFERROR(__xludf.DUMMYFUNCTION("""COMPUTED_VALUE"""),0)</f>
        <v>0</v>
      </c>
    </row>
    <row r="773" spans="1:7" ht="13.2">
      <c r="A773" s="16"/>
      <c r="B773" s="17"/>
      <c r="D773" s="16"/>
      <c r="E773" s="16"/>
      <c r="F773" s="16"/>
      <c r="G773" s="58">
        <f ca="1">IFERROR(__xludf.DUMMYFUNCTION("""COMPUTED_VALUE"""),0)</f>
        <v>0</v>
      </c>
    </row>
    <row r="774" spans="1:7" ht="13.2">
      <c r="A774" s="16"/>
      <c r="B774" s="17"/>
      <c r="D774" s="16"/>
      <c r="E774" s="16"/>
      <c r="F774" s="16"/>
      <c r="G774" s="58">
        <f ca="1">IFERROR(__xludf.DUMMYFUNCTION("""COMPUTED_VALUE"""),0)</f>
        <v>0</v>
      </c>
    </row>
    <row r="775" spans="1:7" ht="13.2">
      <c r="A775" s="16"/>
      <c r="B775" s="17"/>
      <c r="D775" s="16"/>
      <c r="E775" s="16"/>
      <c r="F775" s="16"/>
      <c r="G775" s="58">
        <f ca="1">IFERROR(__xludf.DUMMYFUNCTION("""COMPUTED_VALUE"""),0)</f>
        <v>0</v>
      </c>
    </row>
    <row r="776" spans="1:7" ht="13.2">
      <c r="A776" s="16"/>
      <c r="B776" s="17"/>
      <c r="D776" s="16"/>
      <c r="E776" s="16"/>
      <c r="F776" s="16"/>
      <c r="G776" s="58">
        <f ca="1">IFERROR(__xludf.DUMMYFUNCTION("""COMPUTED_VALUE"""),0)</f>
        <v>0</v>
      </c>
    </row>
    <row r="777" spans="1:7" ht="13.2">
      <c r="A777" s="16"/>
      <c r="B777" s="17"/>
      <c r="D777" s="16"/>
      <c r="E777" s="16"/>
      <c r="F777" s="16"/>
      <c r="G777" s="58">
        <f ca="1">IFERROR(__xludf.DUMMYFUNCTION("""COMPUTED_VALUE"""),0)</f>
        <v>0</v>
      </c>
    </row>
    <row r="778" spans="1:7" ht="13.2">
      <c r="A778" s="16"/>
      <c r="B778" s="17"/>
      <c r="D778" s="16"/>
      <c r="E778" s="16"/>
      <c r="F778" s="16"/>
      <c r="G778" s="58">
        <f ca="1">IFERROR(__xludf.DUMMYFUNCTION("""COMPUTED_VALUE"""),0)</f>
        <v>0</v>
      </c>
    </row>
    <row r="779" spans="1:7" ht="13.2">
      <c r="A779" s="16"/>
      <c r="B779" s="17"/>
      <c r="D779" s="16"/>
      <c r="E779" s="16"/>
      <c r="F779" s="16"/>
      <c r="G779" s="58">
        <f ca="1">IFERROR(__xludf.DUMMYFUNCTION("""COMPUTED_VALUE"""),0)</f>
        <v>0</v>
      </c>
    </row>
    <row r="780" spans="1:7" ht="13.2">
      <c r="A780" s="16"/>
      <c r="B780" s="17"/>
      <c r="D780" s="16"/>
      <c r="E780" s="16"/>
      <c r="F780" s="16"/>
      <c r="G780" s="58">
        <f ca="1">IFERROR(__xludf.DUMMYFUNCTION("""COMPUTED_VALUE"""),0)</f>
        <v>0</v>
      </c>
    </row>
    <row r="781" spans="1:7" ht="13.2">
      <c r="A781" s="16"/>
      <c r="B781" s="17"/>
      <c r="D781" s="16"/>
      <c r="E781" s="16"/>
      <c r="F781" s="16"/>
      <c r="G781" s="58">
        <f ca="1">IFERROR(__xludf.DUMMYFUNCTION("""COMPUTED_VALUE"""),0)</f>
        <v>0</v>
      </c>
    </row>
    <row r="782" spans="1:7" ht="13.2">
      <c r="A782" s="16"/>
      <c r="B782" s="17"/>
      <c r="D782" s="16"/>
      <c r="E782" s="16"/>
      <c r="F782" s="16"/>
      <c r="G782" s="58">
        <f ca="1">IFERROR(__xludf.DUMMYFUNCTION("""COMPUTED_VALUE"""),0)</f>
        <v>0</v>
      </c>
    </row>
    <row r="783" spans="1:7" ht="13.2">
      <c r="A783" s="16"/>
      <c r="B783" s="17"/>
      <c r="D783" s="16"/>
      <c r="E783" s="16"/>
      <c r="F783" s="16"/>
      <c r="G783" s="58">
        <f ca="1">IFERROR(__xludf.DUMMYFUNCTION("""COMPUTED_VALUE"""),0)</f>
        <v>0</v>
      </c>
    </row>
    <row r="784" spans="1:7" ht="13.2">
      <c r="A784" s="16"/>
      <c r="B784" s="17"/>
      <c r="D784" s="16"/>
      <c r="E784" s="16"/>
      <c r="F784" s="16"/>
      <c r="G784" s="58">
        <f ca="1">IFERROR(__xludf.DUMMYFUNCTION("""COMPUTED_VALUE"""),0)</f>
        <v>0</v>
      </c>
    </row>
    <row r="785" spans="1:7" ht="13.2">
      <c r="A785" s="16"/>
      <c r="B785" s="17"/>
      <c r="D785" s="16"/>
      <c r="E785" s="16"/>
      <c r="F785" s="16"/>
      <c r="G785" s="58">
        <f ca="1">IFERROR(__xludf.DUMMYFUNCTION("""COMPUTED_VALUE"""),0)</f>
        <v>0</v>
      </c>
    </row>
    <row r="786" spans="1:7" ht="13.2">
      <c r="A786" s="16"/>
      <c r="B786" s="17"/>
      <c r="D786" s="16"/>
      <c r="E786" s="16"/>
      <c r="F786" s="16"/>
      <c r="G786" s="58">
        <f ca="1">IFERROR(__xludf.DUMMYFUNCTION("""COMPUTED_VALUE"""),0)</f>
        <v>0</v>
      </c>
    </row>
    <row r="787" spans="1:7" ht="13.2">
      <c r="A787" s="16"/>
      <c r="B787" s="17"/>
      <c r="D787" s="16"/>
      <c r="E787" s="16"/>
      <c r="F787" s="16"/>
      <c r="G787" s="58">
        <f ca="1">IFERROR(__xludf.DUMMYFUNCTION("""COMPUTED_VALUE"""),0)</f>
        <v>0</v>
      </c>
    </row>
    <row r="788" spans="1:7" ht="13.2">
      <c r="A788" s="16"/>
      <c r="B788" s="17"/>
      <c r="D788" s="16"/>
      <c r="E788" s="16"/>
      <c r="F788" s="16"/>
      <c r="G788" s="58">
        <f ca="1">IFERROR(__xludf.DUMMYFUNCTION("""COMPUTED_VALUE"""),0)</f>
        <v>0</v>
      </c>
    </row>
    <row r="789" spans="1:7" ht="13.2">
      <c r="A789" s="16"/>
      <c r="B789" s="17"/>
      <c r="D789" s="16"/>
      <c r="E789" s="16"/>
      <c r="F789" s="16"/>
      <c r="G789" s="58">
        <f ca="1">IFERROR(__xludf.DUMMYFUNCTION("""COMPUTED_VALUE"""),0)</f>
        <v>0</v>
      </c>
    </row>
    <row r="790" spans="1:7" ht="13.2">
      <c r="A790" s="16"/>
      <c r="B790" s="17"/>
      <c r="D790" s="16"/>
      <c r="E790" s="16"/>
      <c r="F790" s="16"/>
      <c r="G790" s="58">
        <f ca="1">IFERROR(__xludf.DUMMYFUNCTION("""COMPUTED_VALUE"""),0)</f>
        <v>0</v>
      </c>
    </row>
    <row r="791" spans="1:7" ht="13.2">
      <c r="A791" s="16"/>
      <c r="B791" s="17"/>
      <c r="D791" s="16"/>
      <c r="E791" s="16"/>
      <c r="F791" s="16"/>
      <c r="G791" s="58">
        <f ca="1">IFERROR(__xludf.DUMMYFUNCTION("""COMPUTED_VALUE"""),0)</f>
        <v>0</v>
      </c>
    </row>
    <row r="792" spans="1:7" ht="13.2">
      <c r="A792" s="16"/>
      <c r="B792" s="17"/>
      <c r="D792" s="16"/>
      <c r="E792" s="16"/>
      <c r="F792" s="16"/>
      <c r="G792" s="58">
        <f ca="1">IFERROR(__xludf.DUMMYFUNCTION("""COMPUTED_VALUE"""),0)</f>
        <v>0</v>
      </c>
    </row>
    <row r="793" spans="1:7" ht="13.2">
      <c r="A793" s="16"/>
      <c r="B793" s="17"/>
      <c r="D793" s="16"/>
      <c r="E793" s="16"/>
      <c r="F793" s="16"/>
      <c r="G793" s="58">
        <f ca="1">IFERROR(__xludf.DUMMYFUNCTION("""COMPUTED_VALUE"""),0)</f>
        <v>0</v>
      </c>
    </row>
    <row r="794" spans="1:7" ht="13.2">
      <c r="A794" s="16"/>
      <c r="B794" s="17"/>
      <c r="D794" s="16"/>
      <c r="E794" s="16"/>
      <c r="F794" s="16"/>
      <c r="G794" s="58">
        <f ca="1">IFERROR(__xludf.DUMMYFUNCTION("""COMPUTED_VALUE"""),0)</f>
        <v>0</v>
      </c>
    </row>
    <row r="795" spans="1:7" ht="13.2">
      <c r="A795" s="16"/>
      <c r="B795" s="17"/>
      <c r="D795" s="16"/>
      <c r="E795" s="16"/>
      <c r="F795" s="16"/>
      <c r="G795" s="58">
        <f ca="1">IFERROR(__xludf.DUMMYFUNCTION("""COMPUTED_VALUE"""),0)</f>
        <v>0</v>
      </c>
    </row>
    <row r="796" spans="1:7" ht="13.2">
      <c r="A796" s="16"/>
      <c r="B796" s="17"/>
      <c r="D796" s="16"/>
      <c r="E796" s="16"/>
      <c r="F796" s="16"/>
      <c r="G796" s="58">
        <f ca="1">IFERROR(__xludf.DUMMYFUNCTION("""COMPUTED_VALUE"""),0)</f>
        <v>0</v>
      </c>
    </row>
    <row r="797" spans="1:7" ht="13.2">
      <c r="A797" s="16"/>
      <c r="B797" s="17"/>
      <c r="D797" s="16"/>
      <c r="E797" s="16"/>
      <c r="F797" s="16"/>
      <c r="G797" s="58">
        <f ca="1">IFERROR(__xludf.DUMMYFUNCTION("""COMPUTED_VALUE"""),0)</f>
        <v>0</v>
      </c>
    </row>
    <row r="798" spans="1:7" ht="13.2">
      <c r="A798" s="16"/>
      <c r="B798" s="17"/>
      <c r="D798" s="16"/>
      <c r="E798" s="16"/>
      <c r="F798" s="16"/>
      <c r="G798" s="58">
        <f ca="1">IFERROR(__xludf.DUMMYFUNCTION("""COMPUTED_VALUE"""),0)</f>
        <v>0</v>
      </c>
    </row>
    <row r="799" spans="1:7" ht="13.2">
      <c r="A799" s="16"/>
      <c r="B799" s="17"/>
      <c r="D799" s="16"/>
      <c r="E799" s="16"/>
      <c r="F799" s="16"/>
      <c r="G799" s="58">
        <f ca="1">IFERROR(__xludf.DUMMYFUNCTION("""COMPUTED_VALUE"""),0)</f>
        <v>0</v>
      </c>
    </row>
    <row r="800" spans="1:7" ht="13.2">
      <c r="A800" s="16"/>
      <c r="B800" s="17"/>
      <c r="D800" s="16"/>
      <c r="E800" s="16"/>
      <c r="F800" s="16"/>
      <c r="G800" s="58">
        <f ca="1">IFERROR(__xludf.DUMMYFUNCTION("""COMPUTED_VALUE"""),0)</f>
        <v>0</v>
      </c>
    </row>
    <row r="801" spans="1:7" ht="13.2">
      <c r="A801" s="16"/>
      <c r="B801" s="17"/>
      <c r="D801" s="16"/>
      <c r="E801" s="16"/>
      <c r="F801" s="16"/>
      <c r="G801" s="58">
        <f ca="1">IFERROR(__xludf.DUMMYFUNCTION("""COMPUTED_VALUE"""),0)</f>
        <v>0</v>
      </c>
    </row>
    <row r="802" spans="1:7" ht="13.2">
      <c r="A802" s="16"/>
      <c r="B802" s="17"/>
      <c r="D802" s="16"/>
      <c r="E802" s="16"/>
      <c r="F802" s="16"/>
      <c r="G802" s="58">
        <f ca="1">IFERROR(__xludf.DUMMYFUNCTION("""COMPUTED_VALUE"""),0)</f>
        <v>0</v>
      </c>
    </row>
    <row r="803" spans="1:7" ht="13.2">
      <c r="A803" s="16"/>
      <c r="B803" s="17"/>
      <c r="D803" s="16"/>
      <c r="E803" s="16"/>
      <c r="F803" s="16"/>
      <c r="G803" s="58">
        <f ca="1">IFERROR(__xludf.DUMMYFUNCTION("""COMPUTED_VALUE"""),0)</f>
        <v>0</v>
      </c>
    </row>
    <row r="804" spans="1:7" ht="13.2">
      <c r="A804" s="16"/>
      <c r="B804" s="17"/>
      <c r="D804" s="16"/>
      <c r="E804" s="16"/>
      <c r="F804" s="16"/>
      <c r="G804" s="58">
        <f ca="1">IFERROR(__xludf.DUMMYFUNCTION("""COMPUTED_VALUE"""),0)</f>
        <v>0</v>
      </c>
    </row>
    <row r="805" spans="1:7" ht="13.2">
      <c r="A805" s="16"/>
      <c r="B805" s="17"/>
      <c r="D805" s="16"/>
      <c r="E805" s="16"/>
      <c r="F805" s="16"/>
      <c r="G805" s="58">
        <f ca="1">IFERROR(__xludf.DUMMYFUNCTION("""COMPUTED_VALUE"""),0)</f>
        <v>0</v>
      </c>
    </row>
    <row r="806" spans="1:7" ht="13.2">
      <c r="A806" s="16"/>
      <c r="B806" s="17"/>
      <c r="D806" s="16"/>
      <c r="E806" s="16"/>
      <c r="F806" s="16"/>
      <c r="G806" s="58">
        <f ca="1">IFERROR(__xludf.DUMMYFUNCTION("""COMPUTED_VALUE"""),0)</f>
        <v>0</v>
      </c>
    </row>
    <row r="807" spans="1:7" ht="13.2">
      <c r="A807" s="16"/>
      <c r="B807" s="17"/>
      <c r="D807" s="16"/>
      <c r="E807" s="16"/>
      <c r="F807" s="16"/>
      <c r="G807" s="58">
        <f ca="1">IFERROR(__xludf.DUMMYFUNCTION("""COMPUTED_VALUE"""),0)</f>
        <v>0</v>
      </c>
    </row>
    <row r="808" spans="1:7" ht="13.2">
      <c r="A808" s="16"/>
      <c r="B808" s="17"/>
      <c r="D808" s="16"/>
      <c r="E808" s="16"/>
      <c r="F808" s="16"/>
      <c r="G808" s="58">
        <f ca="1">IFERROR(__xludf.DUMMYFUNCTION("""COMPUTED_VALUE"""),0)</f>
        <v>0</v>
      </c>
    </row>
    <row r="809" spans="1:7" ht="13.2">
      <c r="A809" s="16"/>
      <c r="B809" s="17"/>
      <c r="D809" s="16"/>
      <c r="E809" s="16"/>
      <c r="F809" s="16"/>
      <c r="G809" s="58">
        <f ca="1">IFERROR(__xludf.DUMMYFUNCTION("""COMPUTED_VALUE"""),0)</f>
        <v>0</v>
      </c>
    </row>
    <row r="810" spans="1:7" ht="13.2">
      <c r="A810" s="16"/>
      <c r="B810" s="17"/>
      <c r="D810" s="16"/>
      <c r="E810" s="16"/>
      <c r="F810" s="16"/>
      <c r="G810" s="58">
        <f ca="1">IFERROR(__xludf.DUMMYFUNCTION("""COMPUTED_VALUE"""),0)</f>
        <v>0</v>
      </c>
    </row>
    <row r="811" spans="1:7" ht="13.2">
      <c r="A811" s="16"/>
      <c r="B811" s="17"/>
      <c r="D811" s="16"/>
      <c r="E811" s="16"/>
      <c r="F811" s="16"/>
      <c r="G811" s="58">
        <f ca="1">IFERROR(__xludf.DUMMYFUNCTION("""COMPUTED_VALUE"""),0)</f>
        <v>0</v>
      </c>
    </row>
    <row r="812" spans="1:7" ht="13.2">
      <c r="A812" s="16"/>
      <c r="B812" s="17"/>
      <c r="D812" s="16"/>
      <c r="E812" s="16"/>
      <c r="F812" s="16"/>
      <c r="G812" s="58">
        <f ca="1">IFERROR(__xludf.DUMMYFUNCTION("""COMPUTED_VALUE"""),0)</f>
        <v>0</v>
      </c>
    </row>
    <row r="813" spans="1:7" ht="13.2">
      <c r="A813" s="16"/>
      <c r="B813" s="17"/>
      <c r="D813" s="16"/>
      <c r="E813" s="16"/>
      <c r="F813" s="16"/>
      <c r="G813" s="58">
        <f ca="1">IFERROR(__xludf.DUMMYFUNCTION("""COMPUTED_VALUE"""),0)</f>
        <v>0</v>
      </c>
    </row>
    <row r="814" spans="1:7" ht="13.2">
      <c r="A814" s="16"/>
      <c r="B814" s="17"/>
      <c r="D814" s="16"/>
      <c r="E814" s="16"/>
      <c r="F814" s="16"/>
      <c r="G814" s="58">
        <f ca="1">IFERROR(__xludf.DUMMYFUNCTION("""COMPUTED_VALUE"""),0)</f>
        <v>0</v>
      </c>
    </row>
    <row r="815" spans="1:7" ht="13.2">
      <c r="A815" s="16"/>
      <c r="B815" s="17"/>
      <c r="D815" s="16"/>
      <c r="E815" s="16"/>
      <c r="F815" s="16"/>
      <c r="G815" s="58">
        <f ca="1">IFERROR(__xludf.DUMMYFUNCTION("""COMPUTED_VALUE"""),0)</f>
        <v>0</v>
      </c>
    </row>
    <row r="816" spans="1:7" ht="13.2">
      <c r="A816" s="16"/>
      <c r="B816" s="17"/>
      <c r="D816" s="16"/>
      <c r="E816" s="16"/>
      <c r="F816" s="16"/>
      <c r="G816" s="58">
        <f ca="1">IFERROR(__xludf.DUMMYFUNCTION("""COMPUTED_VALUE"""),0)</f>
        <v>0</v>
      </c>
    </row>
    <row r="817" spans="1:7" ht="13.2">
      <c r="A817" s="16"/>
      <c r="B817" s="17"/>
      <c r="D817" s="16"/>
      <c r="E817" s="16"/>
      <c r="F817" s="16"/>
      <c r="G817" s="58">
        <f ca="1">IFERROR(__xludf.DUMMYFUNCTION("""COMPUTED_VALUE"""),0)</f>
        <v>0</v>
      </c>
    </row>
    <row r="818" spans="1:7" ht="13.2">
      <c r="A818" s="16"/>
      <c r="B818" s="17"/>
      <c r="D818" s="16"/>
      <c r="E818" s="16"/>
      <c r="F818" s="16"/>
      <c r="G818" s="58">
        <f ca="1">IFERROR(__xludf.DUMMYFUNCTION("""COMPUTED_VALUE"""),0)</f>
        <v>0</v>
      </c>
    </row>
    <row r="819" spans="1:7" ht="13.2">
      <c r="A819" s="16"/>
      <c r="B819" s="17"/>
      <c r="D819" s="16"/>
      <c r="E819" s="16"/>
      <c r="F819" s="16"/>
      <c r="G819" s="58">
        <f ca="1">IFERROR(__xludf.DUMMYFUNCTION("""COMPUTED_VALUE"""),0)</f>
        <v>0</v>
      </c>
    </row>
    <row r="820" spans="1:7" ht="13.2">
      <c r="A820" s="16"/>
      <c r="B820" s="17"/>
      <c r="D820" s="16"/>
      <c r="E820" s="16"/>
      <c r="F820" s="16"/>
      <c r="G820" s="58">
        <f ca="1">IFERROR(__xludf.DUMMYFUNCTION("""COMPUTED_VALUE"""),0)</f>
        <v>0</v>
      </c>
    </row>
    <row r="821" spans="1:7" ht="13.2">
      <c r="A821" s="16"/>
      <c r="B821" s="17"/>
      <c r="D821" s="16"/>
      <c r="E821" s="16"/>
      <c r="F821" s="16"/>
      <c r="G821" s="58">
        <f ca="1">IFERROR(__xludf.DUMMYFUNCTION("""COMPUTED_VALUE"""),0)</f>
        <v>0</v>
      </c>
    </row>
    <row r="822" spans="1:7" ht="13.2">
      <c r="A822" s="16"/>
      <c r="B822" s="17"/>
      <c r="D822" s="16"/>
      <c r="E822" s="16"/>
      <c r="F822" s="16"/>
      <c r="G822" s="58">
        <f ca="1">IFERROR(__xludf.DUMMYFUNCTION("""COMPUTED_VALUE"""),0)</f>
        <v>0</v>
      </c>
    </row>
    <row r="823" spans="1:7" ht="13.2">
      <c r="A823" s="16"/>
      <c r="B823" s="17"/>
      <c r="D823" s="16"/>
      <c r="E823" s="16"/>
      <c r="F823" s="16"/>
      <c r="G823" s="58">
        <f ca="1">IFERROR(__xludf.DUMMYFUNCTION("""COMPUTED_VALUE"""),0)</f>
        <v>0</v>
      </c>
    </row>
    <row r="824" spans="1:7" ht="13.2">
      <c r="A824" s="16"/>
      <c r="B824" s="17"/>
      <c r="D824" s="16"/>
      <c r="E824" s="16"/>
      <c r="F824" s="16"/>
      <c r="G824" s="58">
        <f ca="1">IFERROR(__xludf.DUMMYFUNCTION("""COMPUTED_VALUE"""),0)</f>
        <v>0</v>
      </c>
    </row>
    <row r="825" spans="1:7" ht="13.2">
      <c r="A825" s="16"/>
      <c r="B825" s="17"/>
      <c r="D825" s="16"/>
      <c r="E825" s="16"/>
      <c r="F825" s="16"/>
      <c r="G825" s="58">
        <f ca="1">IFERROR(__xludf.DUMMYFUNCTION("""COMPUTED_VALUE"""),0)</f>
        <v>0</v>
      </c>
    </row>
    <row r="826" spans="1:7" ht="13.2">
      <c r="A826" s="16"/>
      <c r="B826" s="17"/>
      <c r="D826" s="16"/>
      <c r="E826" s="16"/>
      <c r="F826" s="16"/>
      <c r="G826" s="58">
        <f ca="1">IFERROR(__xludf.DUMMYFUNCTION("""COMPUTED_VALUE"""),0)</f>
        <v>0</v>
      </c>
    </row>
    <row r="827" spans="1:7" ht="13.2">
      <c r="A827" s="16"/>
      <c r="B827" s="17"/>
      <c r="D827" s="16"/>
      <c r="E827" s="16"/>
      <c r="F827" s="16"/>
      <c r="G827" s="58">
        <f ca="1">IFERROR(__xludf.DUMMYFUNCTION("""COMPUTED_VALUE"""),0)</f>
        <v>0</v>
      </c>
    </row>
    <row r="828" spans="1:7" ht="13.2">
      <c r="A828" s="16"/>
      <c r="B828" s="17"/>
      <c r="D828" s="16"/>
      <c r="E828" s="16"/>
      <c r="F828" s="16"/>
      <c r="G828" s="58">
        <f ca="1">IFERROR(__xludf.DUMMYFUNCTION("""COMPUTED_VALUE"""),0)</f>
        <v>0</v>
      </c>
    </row>
    <row r="829" spans="1:7" ht="13.2">
      <c r="A829" s="16"/>
      <c r="B829" s="17"/>
      <c r="D829" s="16"/>
      <c r="E829" s="16"/>
      <c r="F829" s="16"/>
      <c r="G829" s="58">
        <f ca="1">IFERROR(__xludf.DUMMYFUNCTION("""COMPUTED_VALUE"""),0)</f>
        <v>0</v>
      </c>
    </row>
    <row r="830" spans="1:7" ht="13.2">
      <c r="A830" s="16"/>
      <c r="B830" s="17"/>
      <c r="D830" s="16"/>
      <c r="E830" s="16"/>
      <c r="F830" s="16"/>
      <c r="G830" s="58">
        <f ca="1">IFERROR(__xludf.DUMMYFUNCTION("""COMPUTED_VALUE"""),0)</f>
        <v>0</v>
      </c>
    </row>
    <row r="831" spans="1:7" ht="13.2">
      <c r="A831" s="16"/>
      <c r="B831" s="17"/>
      <c r="D831" s="16"/>
      <c r="E831" s="16"/>
      <c r="F831" s="16"/>
      <c r="G831" s="58">
        <f ca="1">IFERROR(__xludf.DUMMYFUNCTION("""COMPUTED_VALUE"""),0)</f>
        <v>0</v>
      </c>
    </row>
    <row r="832" spans="1:7" ht="13.2">
      <c r="A832" s="16"/>
      <c r="B832" s="17"/>
      <c r="D832" s="16"/>
      <c r="E832" s="16"/>
      <c r="F832" s="16"/>
      <c r="G832" s="58">
        <f ca="1">IFERROR(__xludf.DUMMYFUNCTION("""COMPUTED_VALUE"""),0)</f>
        <v>0</v>
      </c>
    </row>
    <row r="833" spans="1:7" ht="13.2">
      <c r="A833" s="16"/>
      <c r="B833" s="17"/>
      <c r="D833" s="16"/>
      <c r="E833" s="16"/>
      <c r="F833" s="16"/>
      <c r="G833" s="58">
        <f ca="1">IFERROR(__xludf.DUMMYFUNCTION("""COMPUTED_VALUE"""),0)</f>
        <v>0</v>
      </c>
    </row>
    <row r="834" spans="1:7" ht="13.2">
      <c r="A834" s="16"/>
      <c r="B834" s="17"/>
      <c r="D834" s="16"/>
      <c r="E834" s="16"/>
      <c r="F834" s="16"/>
      <c r="G834" s="58">
        <f ca="1">IFERROR(__xludf.DUMMYFUNCTION("""COMPUTED_VALUE"""),0)</f>
        <v>0</v>
      </c>
    </row>
    <row r="835" spans="1:7" ht="13.2">
      <c r="A835" s="16"/>
      <c r="B835" s="17"/>
      <c r="D835" s="16"/>
      <c r="E835" s="16"/>
      <c r="F835" s="16"/>
      <c r="G835" s="58">
        <f ca="1">IFERROR(__xludf.DUMMYFUNCTION("""COMPUTED_VALUE"""),0)</f>
        <v>0</v>
      </c>
    </row>
    <row r="836" spans="1:7" ht="13.2">
      <c r="A836" s="16"/>
      <c r="B836" s="17"/>
      <c r="D836" s="16"/>
      <c r="E836" s="16"/>
      <c r="F836" s="16"/>
      <c r="G836" s="58">
        <f ca="1">IFERROR(__xludf.DUMMYFUNCTION("""COMPUTED_VALUE"""),0)</f>
        <v>0</v>
      </c>
    </row>
    <row r="837" spans="1:7" ht="13.2">
      <c r="A837" s="16"/>
      <c r="B837" s="17"/>
      <c r="D837" s="16"/>
      <c r="E837" s="16"/>
      <c r="F837" s="16"/>
      <c r="G837" s="58">
        <f ca="1">IFERROR(__xludf.DUMMYFUNCTION("""COMPUTED_VALUE"""),0)</f>
        <v>0</v>
      </c>
    </row>
    <row r="838" spans="1:7" ht="13.2">
      <c r="A838" s="16"/>
      <c r="B838" s="17"/>
      <c r="D838" s="16"/>
      <c r="E838" s="16"/>
      <c r="F838" s="16"/>
      <c r="G838" s="58">
        <f ca="1">IFERROR(__xludf.DUMMYFUNCTION("""COMPUTED_VALUE"""),0)</f>
        <v>0</v>
      </c>
    </row>
    <row r="839" spans="1:7" ht="13.2">
      <c r="A839" s="16"/>
      <c r="B839" s="17"/>
      <c r="D839" s="16"/>
      <c r="E839" s="16"/>
      <c r="F839" s="16"/>
      <c r="G839" s="58">
        <f ca="1">IFERROR(__xludf.DUMMYFUNCTION("""COMPUTED_VALUE"""),0)</f>
        <v>0</v>
      </c>
    </row>
    <row r="840" spans="1:7" ht="13.2">
      <c r="A840" s="16"/>
      <c r="B840" s="17"/>
      <c r="D840" s="16"/>
      <c r="E840" s="16"/>
      <c r="F840" s="16"/>
      <c r="G840" s="58">
        <f ca="1">IFERROR(__xludf.DUMMYFUNCTION("""COMPUTED_VALUE"""),0)</f>
        <v>0</v>
      </c>
    </row>
    <row r="841" spans="1:7" ht="13.2">
      <c r="A841" s="16"/>
      <c r="B841" s="17"/>
      <c r="D841" s="16"/>
      <c r="E841" s="16"/>
      <c r="F841" s="16"/>
      <c r="G841" s="58">
        <f ca="1">IFERROR(__xludf.DUMMYFUNCTION("""COMPUTED_VALUE"""),0)</f>
        <v>0</v>
      </c>
    </row>
    <row r="842" spans="1:7" ht="13.2">
      <c r="A842" s="16"/>
      <c r="B842" s="17"/>
      <c r="D842" s="16"/>
      <c r="E842" s="16"/>
      <c r="F842" s="16"/>
      <c r="G842" s="58">
        <f ca="1">IFERROR(__xludf.DUMMYFUNCTION("""COMPUTED_VALUE"""),0)</f>
        <v>0</v>
      </c>
    </row>
    <row r="843" spans="1:7" ht="13.2">
      <c r="A843" s="16"/>
      <c r="B843" s="17"/>
      <c r="D843" s="16"/>
      <c r="E843" s="16"/>
      <c r="F843" s="16"/>
      <c r="G843" s="58">
        <f ca="1">IFERROR(__xludf.DUMMYFUNCTION("""COMPUTED_VALUE"""),0)</f>
        <v>0</v>
      </c>
    </row>
    <row r="844" spans="1:7" ht="13.2">
      <c r="A844" s="16"/>
      <c r="B844" s="17"/>
      <c r="D844" s="16"/>
      <c r="E844" s="16"/>
      <c r="F844" s="16"/>
      <c r="G844" s="58">
        <f ca="1">IFERROR(__xludf.DUMMYFUNCTION("""COMPUTED_VALUE"""),0)</f>
        <v>0</v>
      </c>
    </row>
    <row r="845" spans="1:7" ht="13.2">
      <c r="A845" s="16"/>
      <c r="B845" s="17"/>
      <c r="D845" s="16"/>
      <c r="E845" s="16"/>
      <c r="F845" s="16"/>
      <c r="G845" s="58">
        <f ca="1">IFERROR(__xludf.DUMMYFUNCTION("""COMPUTED_VALUE"""),0)</f>
        <v>0</v>
      </c>
    </row>
    <row r="846" spans="1:7" ht="13.2">
      <c r="A846" s="16"/>
      <c r="B846" s="17"/>
      <c r="D846" s="16"/>
      <c r="E846" s="16"/>
      <c r="F846" s="16"/>
      <c r="G846" s="58">
        <f ca="1">IFERROR(__xludf.DUMMYFUNCTION("""COMPUTED_VALUE"""),0)</f>
        <v>0</v>
      </c>
    </row>
    <row r="847" spans="1:7" ht="13.2">
      <c r="A847" s="16"/>
      <c r="B847" s="17"/>
      <c r="D847" s="16"/>
      <c r="E847" s="16"/>
      <c r="F847" s="16"/>
      <c r="G847" s="58">
        <f ca="1">IFERROR(__xludf.DUMMYFUNCTION("""COMPUTED_VALUE"""),0)</f>
        <v>0</v>
      </c>
    </row>
    <row r="848" spans="1:7" ht="13.2">
      <c r="A848" s="16"/>
      <c r="B848" s="17"/>
      <c r="D848" s="16"/>
      <c r="E848" s="16"/>
      <c r="F848" s="16"/>
      <c r="G848" s="58">
        <f ca="1">IFERROR(__xludf.DUMMYFUNCTION("""COMPUTED_VALUE"""),0)</f>
        <v>0</v>
      </c>
    </row>
    <row r="849" spans="1:7" ht="13.2">
      <c r="A849" s="16"/>
      <c r="B849" s="17"/>
      <c r="D849" s="16"/>
      <c r="E849" s="16"/>
      <c r="F849" s="16"/>
      <c r="G849" s="58">
        <f ca="1">IFERROR(__xludf.DUMMYFUNCTION("""COMPUTED_VALUE"""),0)</f>
        <v>0</v>
      </c>
    </row>
    <row r="850" spans="1:7" ht="13.2">
      <c r="A850" s="16"/>
      <c r="B850" s="17"/>
      <c r="D850" s="16"/>
      <c r="E850" s="16"/>
      <c r="F850" s="16"/>
      <c r="G850" s="58">
        <f ca="1">IFERROR(__xludf.DUMMYFUNCTION("""COMPUTED_VALUE"""),0)</f>
        <v>0</v>
      </c>
    </row>
    <row r="851" spans="1:7" ht="13.2">
      <c r="A851" s="16"/>
      <c r="B851" s="17"/>
      <c r="D851" s="16"/>
      <c r="E851" s="16"/>
      <c r="F851" s="16"/>
      <c r="G851" s="58">
        <f ca="1">IFERROR(__xludf.DUMMYFUNCTION("""COMPUTED_VALUE"""),0)</f>
        <v>0</v>
      </c>
    </row>
    <row r="852" spans="1:7" ht="13.2">
      <c r="A852" s="16"/>
      <c r="B852" s="17"/>
      <c r="D852" s="16"/>
      <c r="E852" s="16"/>
      <c r="F852" s="16"/>
      <c r="G852" s="58">
        <f ca="1">IFERROR(__xludf.DUMMYFUNCTION("""COMPUTED_VALUE"""),0)</f>
        <v>0</v>
      </c>
    </row>
    <row r="853" spans="1:7" ht="13.2">
      <c r="A853" s="16"/>
      <c r="B853" s="17"/>
      <c r="D853" s="16"/>
      <c r="E853" s="16"/>
      <c r="F853" s="16"/>
      <c r="G853" s="58">
        <f ca="1">IFERROR(__xludf.DUMMYFUNCTION("""COMPUTED_VALUE"""),0)</f>
        <v>0</v>
      </c>
    </row>
    <row r="854" spans="1:7" ht="13.2">
      <c r="A854" s="16"/>
      <c r="B854" s="17"/>
      <c r="D854" s="16"/>
      <c r="E854" s="16"/>
      <c r="F854" s="16"/>
      <c r="G854" s="58">
        <f ca="1">IFERROR(__xludf.DUMMYFUNCTION("""COMPUTED_VALUE"""),0)</f>
        <v>0</v>
      </c>
    </row>
    <row r="855" spans="1:7" ht="13.2">
      <c r="A855" s="16"/>
      <c r="B855" s="17"/>
      <c r="D855" s="16"/>
      <c r="E855" s="16"/>
      <c r="F855" s="16"/>
      <c r="G855" s="58">
        <f ca="1">IFERROR(__xludf.DUMMYFUNCTION("""COMPUTED_VALUE"""),0)</f>
        <v>0</v>
      </c>
    </row>
    <row r="856" spans="1:7" ht="13.2">
      <c r="A856" s="16"/>
      <c r="B856" s="17"/>
      <c r="D856" s="16"/>
      <c r="E856" s="16"/>
      <c r="F856" s="16"/>
      <c r="G856" s="58">
        <f ca="1">IFERROR(__xludf.DUMMYFUNCTION("""COMPUTED_VALUE"""),0)</f>
        <v>0</v>
      </c>
    </row>
    <row r="857" spans="1:7" ht="13.2">
      <c r="A857" s="16"/>
      <c r="B857" s="17"/>
      <c r="D857" s="16"/>
      <c r="E857" s="16"/>
      <c r="F857" s="16"/>
      <c r="G857" s="58">
        <f ca="1">IFERROR(__xludf.DUMMYFUNCTION("""COMPUTED_VALUE"""),0)</f>
        <v>0</v>
      </c>
    </row>
    <row r="858" spans="1:7" ht="13.2">
      <c r="A858" s="16"/>
      <c r="B858" s="17"/>
      <c r="D858" s="16"/>
      <c r="E858" s="16"/>
      <c r="F858" s="16"/>
      <c r="G858" s="58">
        <f ca="1">IFERROR(__xludf.DUMMYFUNCTION("""COMPUTED_VALUE"""),0)</f>
        <v>0</v>
      </c>
    </row>
    <row r="859" spans="1:7" ht="13.2">
      <c r="A859" s="16"/>
      <c r="B859" s="17"/>
      <c r="D859" s="16"/>
      <c r="E859" s="16"/>
      <c r="F859" s="16"/>
      <c r="G859" s="58">
        <f ca="1">IFERROR(__xludf.DUMMYFUNCTION("""COMPUTED_VALUE"""),0)</f>
        <v>0</v>
      </c>
    </row>
    <row r="860" spans="1:7" ht="13.2">
      <c r="A860" s="16"/>
      <c r="B860" s="17"/>
      <c r="D860" s="16"/>
      <c r="E860" s="16"/>
      <c r="F860" s="16"/>
      <c r="G860" s="58">
        <f ca="1">IFERROR(__xludf.DUMMYFUNCTION("""COMPUTED_VALUE"""),0)</f>
        <v>0</v>
      </c>
    </row>
    <row r="861" spans="1:7" ht="13.2">
      <c r="A861" s="16"/>
      <c r="B861" s="17"/>
      <c r="D861" s="16"/>
      <c r="E861" s="16"/>
      <c r="F861" s="16"/>
      <c r="G861" s="58">
        <f ca="1">IFERROR(__xludf.DUMMYFUNCTION("""COMPUTED_VALUE"""),0)</f>
        <v>0</v>
      </c>
    </row>
    <row r="862" spans="1:7" ht="13.2">
      <c r="A862" s="16"/>
      <c r="B862" s="17"/>
      <c r="D862" s="16"/>
      <c r="E862" s="16"/>
      <c r="F862" s="16"/>
      <c r="G862" s="58">
        <f ca="1">IFERROR(__xludf.DUMMYFUNCTION("""COMPUTED_VALUE"""),0)</f>
        <v>0</v>
      </c>
    </row>
    <row r="863" spans="1:7" ht="13.2">
      <c r="A863" s="16"/>
      <c r="B863" s="17"/>
      <c r="D863" s="16"/>
      <c r="E863" s="16"/>
      <c r="F863" s="16"/>
      <c r="G863" s="58">
        <f ca="1">IFERROR(__xludf.DUMMYFUNCTION("""COMPUTED_VALUE"""),0)</f>
        <v>0</v>
      </c>
    </row>
    <row r="864" spans="1:7" ht="13.2">
      <c r="A864" s="16"/>
      <c r="B864" s="17"/>
      <c r="D864" s="16"/>
      <c r="E864" s="16"/>
      <c r="F864" s="16"/>
      <c r="G864" s="58">
        <f ca="1">IFERROR(__xludf.DUMMYFUNCTION("""COMPUTED_VALUE"""),0)</f>
        <v>0</v>
      </c>
    </row>
    <row r="865" spans="1:7" ht="13.2">
      <c r="A865" s="16"/>
      <c r="B865" s="17"/>
      <c r="D865" s="16"/>
      <c r="E865" s="16"/>
      <c r="F865" s="16"/>
      <c r="G865" s="58">
        <f ca="1">IFERROR(__xludf.DUMMYFUNCTION("""COMPUTED_VALUE"""),0)</f>
        <v>0</v>
      </c>
    </row>
    <row r="866" spans="1:7" ht="13.2">
      <c r="A866" s="16"/>
      <c r="B866" s="17"/>
      <c r="D866" s="16"/>
      <c r="E866" s="16"/>
      <c r="F866" s="16"/>
      <c r="G866" s="58">
        <f ca="1">IFERROR(__xludf.DUMMYFUNCTION("""COMPUTED_VALUE"""),0)</f>
        <v>0</v>
      </c>
    </row>
    <row r="867" spans="1:7" ht="13.2">
      <c r="A867" s="16"/>
      <c r="B867" s="17"/>
      <c r="D867" s="16"/>
      <c r="E867" s="16"/>
      <c r="F867" s="16"/>
      <c r="G867" s="58">
        <f ca="1">IFERROR(__xludf.DUMMYFUNCTION("""COMPUTED_VALUE"""),0)</f>
        <v>0</v>
      </c>
    </row>
    <row r="868" spans="1:7" ht="13.2">
      <c r="A868" s="16"/>
      <c r="B868" s="17"/>
      <c r="D868" s="16"/>
      <c r="E868" s="16"/>
      <c r="F868" s="16"/>
      <c r="G868" s="58">
        <f ca="1">IFERROR(__xludf.DUMMYFUNCTION("""COMPUTED_VALUE"""),0)</f>
        <v>0</v>
      </c>
    </row>
    <row r="869" spans="1:7" ht="13.2">
      <c r="A869" s="16"/>
      <c r="B869" s="17"/>
      <c r="D869" s="16"/>
      <c r="E869" s="16"/>
      <c r="F869" s="16"/>
      <c r="G869" s="58">
        <f ca="1">IFERROR(__xludf.DUMMYFUNCTION("""COMPUTED_VALUE"""),0)</f>
        <v>0</v>
      </c>
    </row>
    <row r="870" spans="1:7" ht="13.2">
      <c r="A870" s="16"/>
      <c r="B870" s="17"/>
      <c r="D870" s="16"/>
      <c r="E870" s="16"/>
      <c r="F870" s="16"/>
      <c r="G870" s="58">
        <f ca="1">IFERROR(__xludf.DUMMYFUNCTION("""COMPUTED_VALUE"""),0)</f>
        <v>0</v>
      </c>
    </row>
    <row r="871" spans="1:7" ht="13.2">
      <c r="A871" s="16"/>
      <c r="B871" s="17"/>
      <c r="D871" s="16"/>
      <c r="E871" s="16"/>
      <c r="F871" s="16"/>
      <c r="G871" s="58">
        <f ca="1">IFERROR(__xludf.DUMMYFUNCTION("""COMPUTED_VALUE"""),0)</f>
        <v>0</v>
      </c>
    </row>
    <row r="872" spans="1:7" ht="13.2">
      <c r="A872" s="16"/>
      <c r="B872" s="17"/>
      <c r="D872" s="16"/>
      <c r="E872" s="16"/>
      <c r="F872" s="16"/>
      <c r="G872" s="58">
        <f ca="1">IFERROR(__xludf.DUMMYFUNCTION("""COMPUTED_VALUE"""),0)</f>
        <v>0</v>
      </c>
    </row>
    <row r="873" spans="1:7" ht="13.2">
      <c r="A873" s="16"/>
      <c r="B873" s="17"/>
      <c r="D873" s="16"/>
      <c r="E873" s="16"/>
      <c r="F873" s="16"/>
      <c r="G873" s="58">
        <f ca="1">IFERROR(__xludf.DUMMYFUNCTION("""COMPUTED_VALUE"""),0)</f>
        <v>0</v>
      </c>
    </row>
    <row r="874" spans="1:7" ht="13.2">
      <c r="A874" s="16"/>
      <c r="B874" s="17"/>
      <c r="D874" s="16"/>
      <c r="E874" s="16"/>
      <c r="F874" s="16"/>
      <c r="G874" s="58">
        <f ca="1">IFERROR(__xludf.DUMMYFUNCTION("""COMPUTED_VALUE"""),0)</f>
        <v>0</v>
      </c>
    </row>
    <row r="875" spans="1:7" ht="13.2">
      <c r="A875" s="16"/>
      <c r="B875" s="17"/>
      <c r="D875" s="16"/>
      <c r="E875" s="16"/>
      <c r="F875" s="16"/>
      <c r="G875" s="58">
        <f ca="1">IFERROR(__xludf.DUMMYFUNCTION("""COMPUTED_VALUE"""),0)</f>
        <v>0</v>
      </c>
    </row>
    <row r="876" spans="1:7" ht="13.2">
      <c r="A876" s="16"/>
      <c r="B876" s="17"/>
      <c r="D876" s="16"/>
      <c r="E876" s="16"/>
      <c r="F876" s="16"/>
      <c r="G876" s="58">
        <f ca="1">IFERROR(__xludf.DUMMYFUNCTION("""COMPUTED_VALUE"""),0)</f>
        <v>0</v>
      </c>
    </row>
    <row r="877" spans="1:7" ht="13.2">
      <c r="A877" s="16"/>
      <c r="B877" s="17"/>
      <c r="D877" s="16"/>
      <c r="E877" s="16"/>
      <c r="F877" s="16"/>
      <c r="G877" s="58">
        <f ca="1">IFERROR(__xludf.DUMMYFUNCTION("""COMPUTED_VALUE"""),0)</f>
        <v>0</v>
      </c>
    </row>
    <row r="878" spans="1:7" ht="13.2">
      <c r="A878" s="16"/>
      <c r="B878" s="17"/>
      <c r="D878" s="16"/>
      <c r="E878" s="16"/>
      <c r="F878" s="16"/>
      <c r="G878" s="58">
        <f ca="1">IFERROR(__xludf.DUMMYFUNCTION("""COMPUTED_VALUE"""),0)</f>
        <v>0</v>
      </c>
    </row>
    <row r="879" spans="1:7" ht="13.2">
      <c r="A879" s="16"/>
      <c r="B879" s="17"/>
      <c r="D879" s="16"/>
      <c r="E879" s="16"/>
      <c r="F879" s="16"/>
      <c r="G879" s="58">
        <f ca="1">IFERROR(__xludf.DUMMYFUNCTION("""COMPUTED_VALUE"""),0)</f>
        <v>0</v>
      </c>
    </row>
    <row r="880" spans="1:7" ht="13.2">
      <c r="A880" s="16"/>
      <c r="B880" s="17"/>
      <c r="D880" s="16"/>
      <c r="E880" s="16"/>
      <c r="F880" s="16"/>
      <c r="G880" s="58">
        <f ca="1">IFERROR(__xludf.DUMMYFUNCTION("""COMPUTED_VALUE"""),0)</f>
        <v>0</v>
      </c>
    </row>
    <row r="881" spans="1:7" ht="13.2">
      <c r="A881" s="16"/>
      <c r="B881" s="17"/>
      <c r="D881" s="16"/>
      <c r="E881" s="16"/>
      <c r="F881" s="16"/>
      <c r="G881" s="58">
        <f ca="1">IFERROR(__xludf.DUMMYFUNCTION("""COMPUTED_VALUE"""),0)</f>
        <v>0</v>
      </c>
    </row>
    <row r="882" spans="1:7" ht="13.2">
      <c r="A882" s="16"/>
      <c r="B882" s="17"/>
      <c r="D882" s="16"/>
      <c r="E882" s="16"/>
      <c r="F882" s="16"/>
      <c r="G882" s="58">
        <f ca="1">IFERROR(__xludf.DUMMYFUNCTION("""COMPUTED_VALUE"""),0)</f>
        <v>0</v>
      </c>
    </row>
    <row r="883" spans="1:7" ht="13.2">
      <c r="A883" s="16"/>
      <c r="B883" s="17"/>
      <c r="D883" s="16"/>
      <c r="E883" s="16"/>
      <c r="F883" s="16"/>
      <c r="G883" s="58">
        <f ca="1">IFERROR(__xludf.DUMMYFUNCTION("""COMPUTED_VALUE"""),0)</f>
        <v>0</v>
      </c>
    </row>
    <row r="884" spans="1:7" ht="13.2">
      <c r="A884" s="16"/>
      <c r="B884" s="17"/>
      <c r="D884" s="16"/>
      <c r="E884" s="16"/>
      <c r="F884" s="16"/>
      <c r="G884" s="58">
        <f ca="1">IFERROR(__xludf.DUMMYFUNCTION("""COMPUTED_VALUE"""),0)</f>
        <v>0</v>
      </c>
    </row>
    <row r="885" spans="1:7" ht="13.2">
      <c r="A885" s="16"/>
      <c r="B885" s="17"/>
      <c r="D885" s="16"/>
      <c r="E885" s="16"/>
      <c r="F885" s="16"/>
      <c r="G885" s="58">
        <f ca="1">IFERROR(__xludf.DUMMYFUNCTION("""COMPUTED_VALUE"""),0)</f>
        <v>0</v>
      </c>
    </row>
    <row r="886" spans="1:7" ht="13.2">
      <c r="A886" s="16"/>
      <c r="B886" s="17"/>
      <c r="D886" s="16"/>
      <c r="E886" s="16"/>
      <c r="F886" s="16"/>
      <c r="G886" s="58">
        <f ca="1">IFERROR(__xludf.DUMMYFUNCTION("""COMPUTED_VALUE"""),0)</f>
        <v>0</v>
      </c>
    </row>
    <row r="887" spans="1:7" ht="13.2">
      <c r="A887" s="16"/>
      <c r="B887" s="17"/>
      <c r="D887" s="16"/>
      <c r="E887" s="16"/>
      <c r="F887" s="16"/>
      <c r="G887" s="58">
        <f ca="1">IFERROR(__xludf.DUMMYFUNCTION("""COMPUTED_VALUE"""),0)</f>
        <v>0</v>
      </c>
    </row>
    <row r="888" spans="1:7" ht="13.2">
      <c r="A888" s="16"/>
      <c r="B888" s="17"/>
      <c r="D888" s="16"/>
      <c r="E888" s="16"/>
      <c r="F888" s="16"/>
      <c r="G888" s="58">
        <f ca="1">IFERROR(__xludf.DUMMYFUNCTION("""COMPUTED_VALUE"""),0)</f>
        <v>0</v>
      </c>
    </row>
    <row r="889" spans="1:7" ht="13.2">
      <c r="A889" s="16"/>
      <c r="B889" s="17"/>
      <c r="D889" s="16"/>
      <c r="E889" s="16"/>
      <c r="F889" s="16"/>
      <c r="G889" s="58">
        <f ca="1">IFERROR(__xludf.DUMMYFUNCTION("""COMPUTED_VALUE"""),0)</f>
        <v>0</v>
      </c>
    </row>
    <row r="890" spans="1:7" ht="13.2">
      <c r="A890" s="16"/>
      <c r="B890" s="17"/>
      <c r="D890" s="16"/>
      <c r="E890" s="16"/>
      <c r="F890" s="16"/>
      <c r="G890" s="58">
        <f ca="1">IFERROR(__xludf.DUMMYFUNCTION("""COMPUTED_VALUE"""),0)</f>
        <v>0</v>
      </c>
    </row>
    <row r="891" spans="1:7" ht="13.2">
      <c r="A891" s="16"/>
      <c r="B891" s="17"/>
      <c r="D891" s="16"/>
      <c r="E891" s="16"/>
      <c r="F891" s="16"/>
      <c r="G891" s="58">
        <f ca="1">IFERROR(__xludf.DUMMYFUNCTION("""COMPUTED_VALUE"""),0)</f>
        <v>0</v>
      </c>
    </row>
    <row r="892" spans="1:7" ht="13.2">
      <c r="A892" s="16"/>
      <c r="B892" s="17"/>
      <c r="D892" s="16"/>
      <c r="E892" s="16"/>
      <c r="F892" s="16"/>
      <c r="G892" s="58">
        <f ca="1">IFERROR(__xludf.DUMMYFUNCTION("""COMPUTED_VALUE"""),0)</f>
        <v>0</v>
      </c>
    </row>
    <row r="893" spans="1:7" ht="13.2">
      <c r="A893" s="16"/>
      <c r="B893" s="17"/>
      <c r="D893" s="16"/>
      <c r="E893" s="16"/>
      <c r="F893" s="16"/>
      <c r="G893" s="58">
        <f ca="1">IFERROR(__xludf.DUMMYFUNCTION("""COMPUTED_VALUE"""),0)</f>
        <v>0</v>
      </c>
    </row>
    <row r="894" spans="1:7" ht="13.2">
      <c r="A894" s="16"/>
      <c r="B894" s="17"/>
      <c r="D894" s="16"/>
      <c r="E894" s="16"/>
      <c r="F894" s="16"/>
      <c r="G894" s="58">
        <f ca="1">IFERROR(__xludf.DUMMYFUNCTION("""COMPUTED_VALUE"""),0)</f>
        <v>0</v>
      </c>
    </row>
    <row r="895" spans="1:7" ht="13.2">
      <c r="A895" s="16"/>
      <c r="B895" s="17"/>
      <c r="D895" s="16"/>
      <c r="E895" s="16"/>
      <c r="F895" s="16"/>
      <c r="G895" s="58">
        <f ca="1">IFERROR(__xludf.DUMMYFUNCTION("""COMPUTED_VALUE"""),0)</f>
        <v>0</v>
      </c>
    </row>
    <row r="896" spans="1:7" ht="13.2">
      <c r="A896" s="16"/>
      <c r="B896" s="17"/>
      <c r="D896" s="16"/>
      <c r="E896" s="16"/>
      <c r="F896" s="16"/>
      <c r="G896" s="58">
        <f ca="1">IFERROR(__xludf.DUMMYFUNCTION("""COMPUTED_VALUE"""),0)</f>
        <v>0</v>
      </c>
    </row>
    <row r="897" spans="1:7" ht="13.2">
      <c r="A897" s="16"/>
      <c r="B897" s="17"/>
      <c r="D897" s="16"/>
      <c r="E897" s="16"/>
      <c r="F897" s="16"/>
      <c r="G897" s="58">
        <f ca="1">IFERROR(__xludf.DUMMYFUNCTION("""COMPUTED_VALUE"""),0)</f>
        <v>0</v>
      </c>
    </row>
    <row r="898" spans="1:7" ht="13.2">
      <c r="A898" s="16"/>
      <c r="B898" s="17"/>
      <c r="D898" s="16"/>
      <c r="E898" s="16"/>
      <c r="F898" s="16"/>
      <c r="G898" s="58">
        <f ca="1">IFERROR(__xludf.DUMMYFUNCTION("""COMPUTED_VALUE"""),0)</f>
        <v>0</v>
      </c>
    </row>
    <row r="899" spans="1:7" ht="13.2">
      <c r="A899" s="16"/>
      <c r="B899" s="17"/>
      <c r="D899" s="16"/>
      <c r="E899" s="16"/>
      <c r="F899" s="16"/>
      <c r="G899" s="58">
        <f ca="1">IFERROR(__xludf.DUMMYFUNCTION("""COMPUTED_VALUE"""),0)</f>
        <v>0</v>
      </c>
    </row>
    <row r="900" spans="1:7" ht="13.2">
      <c r="A900" s="16"/>
      <c r="B900" s="17"/>
      <c r="D900" s="16"/>
      <c r="E900" s="16"/>
      <c r="F900" s="16"/>
      <c r="G900" s="58">
        <f ca="1">IFERROR(__xludf.DUMMYFUNCTION("""COMPUTED_VALUE"""),0)</f>
        <v>0</v>
      </c>
    </row>
    <row r="901" spans="1:7" ht="13.2">
      <c r="A901" s="16"/>
      <c r="B901" s="17"/>
      <c r="D901" s="16"/>
      <c r="E901" s="16"/>
      <c r="F901" s="16"/>
      <c r="G901" s="58">
        <f ca="1">IFERROR(__xludf.DUMMYFUNCTION("""COMPUTED_VALUE"""),0)</f>
        <v>0</v>
      </c>
    </row>
    <row r="902" spans="1:7" ht="13.2">
      <c r="A902" s="16"/>
      <c r="B902" s="17"/>
      <c r="D902" s="16"/>
      <c r="E902" s="16"/>
      <c r="F902" s="16"/>
      <c r="G902" s="58">
        <f ca="1">IFERROR(__xludf.DUMMYFUNCTION("""COMPUTED_VALUE"""),0)</f>
        <v>0</v>
      </c>
    </row>
    <row r="903" spans="1:7" ht="13.2">
      <c r="A903" s="16"/>
      <c r="B903" s="17"/>
      <c r="D903" s="16"/>
      <c r="E903" s="16"/>
      <c r="F903" s="16"/>
      <c r="G903" s="58">
        <f ca="1">IFERROR(__xludf.DUMMYFUNCTION("""COMPUTED_VALUE"""),0)</f>
        <v>0</v>
      </c>
    </row>
    <row r="904" spans="1:7" ht="13.2">
      <c r="A904" s="16"/>
      <c r="B904" s="17"/>
      <c r="D904" s="16"/>
      <c r="E904" s="16"/>
      <c r="F904" s="16"/>
      <c r="G904" s="58">
        <f ca="1">IFERROR(__xludf.DUMMYFUNCTION("""COMPUTED_VALUE"""),0)</f>
        <v>0</v>
      </c>
    </row>
    <row r="905" spans="1:7" ht="13.2">
      <c r="A905" s="16"/>
      <c r="B905" s="17"/>
      <c r="D905" s="16"/>
      <c r="E905" s="16"/>
      <c r="F905" s="16"/>
      <c r="G905" s="58">
        <f ca="1">IFERROR(__xludf.DUMMYFUNCTION("""COMPUTED_VALUE"""),0)</f>
        <v>0</v>
      </c>
    </row>
    <row r="906" spans="1:7" ht="13.2">
      <c r="A906" s="16"/>
      <c r="B906" s="17"/>
      <c r="D906" s="16"/>
      <c r="E906" s="16"/>
      <c r="F906" s="16"/>
      <c r="G906" s="58">
        <f ca="1">IFERROR(__xludf.DUMMYFUNCTION("""COMPUTED_VALUE"""),0)</f>
        <v>0</v>
      </c>
    </row>
    <row r="907" spans="1:7" ht="13.2">
      <c r="A907" s="16"/>
      <c r="B907" s="17"/>
      <c r="D907" s="16"/>
      <c r="E907" s="16"/>
      <c r="F907" s="16"/>
      <c r="G907" s="58">
        <f ca="1">IFERROR(__xludf.DUMMYFUNCTION("""COMPUTED_VALUE"""),0)</f>
        <v>0</v>
      </c>
    </row>
    <row r="908" spans="1:7" ht="13.2">
      <c r="A908" s="16"/>
      <c r="B908" s="17"/>
      <c r="D908" s="16"/>
      <c r="E908" s="16"/>
      <c r="F908" s="16"/>
      <c r="G908" s="58">
        <f ca="1">IFERROR(__xludf.DUMMYFUNCTION("""COMPUTED_VALUE"""),0)</f>
        <v>0</v>
      </c>
    </row>
    <row r="909" spans="1:7" ht="13.2">
      <c r="A909" s="16"/>
      <c r="B909" s="17"/>
      <c r="D909" s="16"/>
      <c r="E909" s="16"/>
      <c r="F909" s="16"/>
      <c r="G909" s="58">
        <f ca="1">IFERROR(__xludf.DUMMYFUNCTION("""COMPUTED_VALUE"""),0)</f>
        <v>0</v>
      </c>
    </row>
    <row r="910" spans="1:7" ht="13.2">
      <c r="A910" s="16"/>
      <c r="B910" s="17"/>
      <c r="D910" s="16"/>
      <c r="E910" s="16"/>
      <c r="F910" s="16"/>
      <c r="G910" s="58">
        <f ca="1">IFERROR(__xludf.DUMMYFUNCTION("""COMPUTED_VALUE"""),0)</f>
        <v>0</v>
      </c>
    </row>
    <row r="911" spans="1:7" ht="13.2">
      <c r="A911" s="16"/>
      <c r="B911" s="17"/>
      <c r="D911" s="16"/>
      <c r="E911" s="16"/>
      <c r="F911" s="16"/>
      <c r="G911" s="58">
        <f ca="1">IFERROR(__xludf.DUMMYFUNCTION("""COMPUTED_VALUE"""),0)</f>
        <v>0</v>
      </c>
    </row>
    <row r="912" spans="1:7" ht="13.2">
      <c r="A912" s="16"/>
      <c r="B912" s="17"/>
      <c r="D912" s="16"/>
      <c r="E912" s="16"/>
      <c r="F912" s="16"/>
      <c r="G912" s="58">
        <f ca="1">IFERROR(__xludf.DUMMYFUNCTION("""COMPUTED_VALUE"""),0)</f>
        <v>0</v>
      </c>
    </row>
    <row r="913" spans="1:7" ht="13.2">
      <c r="A913" s="16"/>
      <c r="B913" s="17"/>
      <c r="D913" s="16"/>
      <c r="E913" s="16"/>
      <c r="F913" s="16"/>
      <c r="G913" s="58">
        <f ca="1">IFERROR(__xludf.DUMMYFUNCTION("""COMPUTED_VALUE"""),0)</f>
        <v>0</v>
      </c>
    </row>
    <row r="914" spans="1:7" ht="13.2">
      <c r="A914" s="16"/>
      <c r="B914" s="17"/>
      <c r="D914" s="16"/>
      <c r="E914" s="16"/>
      <c r="F914" s="16"/>
      <c r="G914" s="58">
        <f ca="1">IFERROR(__xludf.DUMMYFUNCTION("""COMPUTED_VALUE"""),0)</f>
        <v>0</v>
      </c>
    </row>
    <row r="915" spans="1:7" ht="13.2">
      <c r="A915" s="16"/>
      <c r="B915" s="17"/>
      <c r="D915" s="16"/>
      <c r="E915" s="16"/>
      <c r="F915" s="16"/>
      <c r="G915" s="58">
        <f ca="1">IFERROR(__xludf.DUMMYFUNCTION("""COMPUTED_VALUE"""),0)</f>
        <v>0</v>
      </c>
    </row>
    <row r="916" spans="1:7" ht="13.2">
      <c r="A916" s="16"/>
      <c r="B916" s="17"/>
      <c r="D916" s="16"/>
      <c r="E916" s="16"/>
      <c r="F916" s="16"/>
      <c r="G916" s="58">
        <f ca="1">IFERROR(__xludf.DUMMYFUNCTION("""COMPUTED_VALUE"""),0)</f>
        <v>0</v>
      </c>
    </row>
    <row r="917" spans="1:7" ht="13.2">
      <c r="A917" s="16"/>
      <c r="B917" s="17"/>
      <c r="D917" s="16"/>
      <c r="E917" s="16"/>
      <c r="F917" s="16"/>
      <c r="G917" s="58">
        <f ca="1">IFERROR(__xludf.DUMMYFUNCTION("""COMPUTED_VALUE"""),0)</f>
        <v>0</v>
      </c>
    </row>
    <row r="918" spans="1:7" ht="13.2">
      <c r="A918" s="16"/>
      <c r="B918" s="17"/>
      <c r="D918" s="16"/>
      <c r="E918" s="16"/>
      <c r="F918" s="16"/>
      <c r="G918" s="58">
        <f ca="1">IFERROR(__xludf.DUMMYFUNCTION("""COMPUTED_VALUE"""),0)</f>
        <v>0</v>
      </c>
    </row>
    <row r="919" spans="1:7" ht="13.2">
      <c r="A919" s="16"/>
      <c r="B919" s="17"/>
      <c r="D919" s="16"/>
      <c r="E919" s="16"/>
      <c r="F919" s="16"/>
      <c r="G919" s="58">
        <f ca="1">IFERROR(__xludf.DUMMYFUNCTION("""COMPUTED_VALUE"""),0)</f>
        <v>0</v>
      </c>
    </row>
    <row r="920" spans="1:7" ht="13.2">
      <c r="A920" s="16"/>
      <c r="B920" s="17"/>
      <c r="D920" s="16"/>
      <c r="E920" s="16"/>
      <c r="F920" s="16"/>
      <c r="G920" s="58">
        <f ca="1">IFERROR(__xludf.DUMMYFUNCTION("""COMPUTED_VALUE"""),0)</f>
        <v>0</v>
      </c>
    </row>
    <row r="921" spans="1:7" ht="13.2">
      <c r="A921" s="16"/>
      <c r="B921" s="17"/>
      <c r="D921" s="16"/>
      <c r="E921" s="16"/>
      <c r="F921" s="16"/>
      <c r="G921" s="58">
        <f ca="1">IFERROR(__xludf.DUMMYFUNCTION("""COMPUTED_VALUE"""),0)</f>
        <v>0</v>
      </c>
    </row>
    <row r="922" spans="1:7" ht="13.2">
      <c r="A922" s="16"/>
      <c r="B922" s="17"/>
      <c r="D922" s="16"/>
      <c r="E922" s="16"/>
      <c r="F922" s="16"/>
      <c r="G922" s="58">
        <f ca="1">IFERROR(__xludf.DUMMYFUNCTION("""COMPUTED_VALUE"""),0)</f>
        <v>0</v>
      </c>
    </row>
    <row r="923" spans="1:7" ht="13.2">
      <c r="A923" s="16"/>
      <c r="B923" s="17"/>
      <c r="D923" s="16"/>
      <c r="E923" s="16"/>
      <c r="F923" s="16"/>
      <c r="G923" s="58">
        <f ca="1">IFERROR(__xludf.DUMMYFUNCTION("""COMPUTED_VALUE"""),0)</f>
        <v>0</v>
      </c>
    </row>
    <row r="924" spans="1:7" ht="13.2">
      <c r="A924" s="16"/>
      <c r="B924" s="17"/>
      <c r="D924" s="16"/>
      <c r="E924" s="16"/>
      <c r="F924" s="16"/>
      <c r="G924" s="58">
        <f ca="1">IFERROR(__xludf.DUMMYFUNCTION("""COMPUTED_VALUE"""),0)</f>
        <v>0</v>
      </c>
    </row>
    <row r="925" spans="1:7" ht="13.2">
      <c r="A925" s="16"/>
      <c r="B925" s="17"/>
      <c r="D925" s="16"/>
      <c r="E925" s="16"/>
      <c r="F925" s="16"/>
      <c r="G925" s="58">
        <f ca="1">IFERROR(__xludf.DUMMYFUNCTION("""COMPUTED_VALUE"""),0)</f>
        <v>0</v>
      </c>
    </row>
    <row r="926" spans="1:7" ht="13.2">
      <c r="A926" s="16"/>
      <c r="B926" s="17"/>
      <c r="D926" s="16"/>
      <c r="E926" s="16"/>
      <c r="F926" s="16"/>
      <c r="G926" s="58">
        <f ca="1">IFERROR(__xludf.DUMMYFUNCTION("""COMPUTED_VALUE"""),0)</f>
        <v>0</v>
      </c>
    </row>
    <row r="927" spans="1:7" ht="13.2">
      <c r="A927" s="16"/>
      <c r="B927" s="17"/>
      <c r="D927" s="16"/>
      <c r="E927" s="16"/>
      <c r="F927" s="16"/>
      <c r="G927" s="58">
        <f ca="1">IFERROR(__xludf.DUMMYFUNCTION("""COMPUTED_VALUE"""),0)</f>
        <v>0</v>
      </c>
    </row>
    <row r="928" spans="1:7" ht="13.2">
      <c r="A928" s="16"/>
      <c r="B928" s="17"/>
      <c r="D928" s="16"/>
      <c r="E928" s="16"/>
      <c r="F928" s="16"/>
      <c r="G928" s="58">
        <f ca="1">IFERROR(__xludf.DUMMYFUNCTION("""COMPUTED_VALUE"""),0)</f>
        <v>0</v>
      </c>
    </row>
    <row r="929" spans="1:7" ht="13.2">
      <c r="A929" s="16"/>
      <c r="B929" s="17"/>
      <c r="D929" s="16"/>
      <c r="E929" s="16"/>
      <c r="F929" s="16"/>
      <c r="G929" s="58">
        <f ca="1">IFERROR(__xludf.DUMMYFUNCTION("""COMPUTED_VALUE"""),0)</f>
        <v>0</v>
      </c>
    </row>
    <row r="930" spans="1:7" ht="13.2">
      <c r="A930" s="16"/>
      <c r="B930" s="17"/>
      <c r="D930" s="16"/>
      <c r="E930" s="16"/>
      <c r="F930" s="16"/>
      <c r="G930" s="58">
        <f ca="1">IFERROR(__xludf.DUMMYFUNCTION("""COMPUTED_VALUE"""),0)</f>
        <v>0</v>
      </c>
    </row>
    <row r="931" spans="1:7" ht="13.2">
      <c r="A931" s="16"/>
      <c r="B931" s="17"/>
      <c r="D931" s="16"/>
      <c r="E931" s="16"/>
      <c r="F931" s="16"/>
      <c r="G931" s="58">
        <f ca="1">IFERROR(__xludf.DUMMYFUNCTION("""COMPUTED_VALUE"""),0)</f>
        <v>0</v>
      </c>
    </row>
    <row r="932" spans="1:7" ht="13.2">
      <c r="A932" s="16"/>
      <c r="B932" s="17"/>
      <c r="D932" s="16"/>
      <c r="E932" s="16"/>
      <c r="F932" s="16"/>
      <c r="G932" s="58">
        <f ca="1">IFERROR(__xludf.DUMMYFUNCTION("""COMPUTED_VALUE"""),0)</f>
        <v>0</v>
      </c>
    </row>
    <row r="933" spans="1:7" ht="13.2">
      <c r="A933" s="16"/>
      <c r="B933" s="17"/>
      <c r="D933" s="16"/>
      <c r="E933" s="16"/>
      <c r="F933" s="16"/>
      <c r="G933" s="58">
        <f ca="1">IFERROR(__xludf.DUMMYFUNCTION("""COMPUTED_VALUE"""),0)</f>
        <v>0</v>
      </c>
    </row>
    <row r="934" spans="1:7" ht="13.2">
      <c r="A934" s="16"/>
      <c r="B934" s="17"/>
      <c r="D934" s="16"/>
      <c r="E934" s="16"/>
      <c r="F934" s="16"/>
      <c r="G934" s="58">
        <f ca="1">IFERROR(__xludf.DUMMYFUNCTION("""COMPUTED_VALUE"""),0)</f>
        <v>0</v>
      </c>
    </row>
    <row r="935" spans="1:7" ht="13.2">
      <c r="A935" s="16"/>
      <c r="B935" s="17"/>
      <c r="D935" s="16"/>
      <c r="E935" s="16"/>
      <c r="F935" s="16"/>
      <c r="G935" s="58">
        <f ca="1">IFERROR(__xludf.DUMMYFUNCTION("""COMPUTED_VALUE"""),0)</f>
        <v>0</v>
      </c>
    </row>
    <row r="936" spans="1:7" ht="13.2">
      <c r="A936" s="16"/>
      <c r="B936" s="17"/>
      <c r="D936" s="16"/>
      <c r="E936" s="16"/>
      <c r="F936" s="16"/>
      <c r="G936" s="58">
        <f ca="1">IFERROR(__xludf.DUMMYFUNCTION("""COMPUTED_VALUE"""),0)</f>
        <v>0</v>
      </c>
    </row>
    <row r="937" spans="1:7" ht="13.2">
      <c r="A937" s="16"/>
      <c r="B937" s="17"/>
      <c r="D937" s="16"/>
      <c r="E937" s="16"/>
      <c r="F937" s="16"/>
      <c r="G937" s="58">
        <f ca="1">IFERROR(__xludf.DUMMYFUNCTION("""COMPUTED_VALUE"""),0)</f>
        <v>0</v>
      </c>
    </row>
    <row r="938" spans="1:7" ht="13.2">
      <c r="A938" s="16"/>
      <c r="B938" s="17"/>
      <c r="D938" s="16"/>
      <c r="E938" s="16"/>
      <c r="F938" s="16"/>
      <c r="G938" s="58">
        <f ca="1">IFERROR(__xludf.DUMMYFUNCTION("""COMPUTED_VALUE"""),0)</f>
        <v>0</v>
      </c>
    </row>
    <row r="939" spans="1:7" ht="13.2">
      <c r="A939" s="16"/>
      <c r="B939" s="17"/>
      <c r="D939" s="16"/>
      <c r="E939" s="16"/>
      <c r="F939" s="16"/>
      <c r="G939" s="58">
        <f ca="1">IFERROR(__xludf.DUMMYFUNCTION("""COMPUTED_VALUE"""),0)</f>
        <v>0</v>
      </c>
    </row>
    <row r="940" spans="1:7" ht="13.2">
      <c r="A940" s="16"/>
      <c r="B940" s="17"/>
      <c r="D940" s="16"/>
      <c r="E940" s="16"/>
      <c r="F940" s="16"/>
      <c r="G940" s="58">
        <f ca="1">IFERROR(__xludf.DUMMYFUNCTION("""COMPUTED_VALUE"""),0)</f>
        <v>0</v>
      </c>
    </row>
    <row r="941" spans="1:7" ht="13.2">
      <c r="A941" s="16"/>
      <c r="B941" s="17"/>
      <c r="D941" s="16"/>
      <c r="E941" s="16"/>
      <c r="F941" s="16"/>
      <c r="G941" s="58">
        <f ca="1">IFERROR(__xludf.DUMMYFUNCTION("""COMPUTED_VALUE"""),0)</f>
        <v>0</v>
      </c>
    </row>
    <row r="942" spans="1:7" ht="13.2">
      <c r="A942" s="16"/>
      <c r="B942" s="17"/>
      <c r="D942" s="16"/>
      <c r="E942" s="16"/>
      <c r="F942" s="16"/>
      <c r="G942" s="58">
        <f ca="1">IFERROR(__xludf.DUMMYFUNCTION("""COMPUTED_VALUE"""),0)</f>
        <v>0</v>
      </c>
    </row>
    <row r="943" spans="1:7" ht="13.2">
      <c r="A943" s="16"/>
      <c r="B943" s="17"/>
      <c r="D943" s="16"/>
      <c r="E943" s="16"/>
      <c r="F943" s="16"/>
      <c r="G943" s="58">
        <f ca="1">IFERROR(__xludf.DUMMYFUNCTION("""COMPUTED_VALUE"""),0)</f>
        <v>0</v>
      </c>
    </row>
    <row r="944" spans="1:7" ht="13.2">
      <c r="A944" s="16"/>
      <c r="B944" s="17"/>
      <c r="D944" s="16"/>
      <c r="E944" s="16"/>
      <c r="F944" s="16"/>
      <c r="G944" s="58">
        <f ca="1">IFERROR(__xludf.DUMMYFUNCTION("""COMPUTED_VALUE"""),0)</f>
        <v>0</v>
      </c>
    </row>
    <row r="945" spans="1:7" ht="13.2">
      <c r="A945" s="16"/>
      <c r="B945" s="17"/>
      <c r="D945" s="16"/>
      <c r="E945" s="16"/>
      <c r="F945" s="16"/>
      <c r="G945" s="58">
        <f ca="1">IFERROR(__xludf.DUMMYFUNCTION("""COMPUTED_VALUE"""),0)</f>
        <v>0</v>
      </c>
    </row>
    <row r="946" spans="1:7" ht="13.2">
      <c r="A946" s="16"/>
      <c r="B946" s="17"/>
      <c r="D946" s="16"/>
      <c r="E946" s="16"/>
      <c r="F946" s="16"/>
      <c r="G946" s="58">
        <f ca="1">IFERROR(__xludf.DUMMYFUNCTION("""COMPUTED_VALUE"""),0)</f>
        <v>0</v>
      </c>
    </row>
    <row r="947" spans="1:7" ht="13.2">
      <c r="A947" s="16"/>
      <c r="B947" s="17"/>
      <c r="D947" s="16"/>
      <c r="E947" s="16"/>
      <c r="F947" s="16"/>
      <c r="G947" s="58">
        <f ca="1">IFERROR(__xludf.DUMMYFUNCTION("""COMPUTED_VALUE"""),0)</f>
        <v>0</v>
      </c>
    </row>
    <row r="948" spans="1:7" ht="13.2">
      <c r="A948" s="16"/>
      <c r="B948" s="17"/>
      <c r="D948" s="16"/>
      <c r="E948" s="16"/>
      <c r="F948" s="16"/>
      <c r="G948" s="58">
        <f ca="1">IFERROR(__xludf.DUMMYFUNCTION("""COMPUTED_VALUE"""),0)</f>
        <v>0</v>
      </c>
    </row>
    <row r="949" spans="1:7" ht="13.2">
      <c r="A949" s="16"/>
      <c r="B949" s="17"/>
      <c r="D949" s="16"/>
      <c r="E949" s="16"/>
      <c r="F949" s="16"/>
      <c r="G949" s="58">
        <f ca="1">IFERROR(__xludf.DUMMYFUNCTION("""COMPUTED_VALUE"""),0)</f>
        <v>0</v>
      </c>
    </row>
    <row r="950" spans="1:7" ht="13.2">
      <c r="A950" s="16"/>
      <c r="B950" s="17"/>
      <c r="D950" s="16"/>
      <c r="E950" s="16"/>
      <c r="F950" s="16"/>
      <c r="G950" s="58">
        <f ca="1">IFERROR(__xludf.DUMMYFUNCTION("""COMPUTED_VALUE"""),0)</f>
        <v>0</v>
      </c>
    </row>
    <row r="951" spans="1:7" ht="13.2">
      <c r="A951" s="16"/>
      <c r="B951" s="17"/>
      <c r="D951" s="16"/>
      <c r="E951" s="16"/>
      <c r="F951" s="16"/>
      <c r="G951" s="58">
        <f ca="1">IFERROR(__xludf.DUMMYFUNCTION("""COMPUTED_VALUE"""),0)</f>
        <v>0</v>
      </c>
    </row>
    <row r="952" spans="1:7" ht="13.2">
      <c r="A952" s="16"/>
      <c r="B952" s="17"/>
      <c r="D952" s="16"/>
      <c r="E952" s="16"/>
      <c r="F952" s="16"/>
      <c r="G952" s="58">
        <f ca="1">IFERROR(__xludf.DUMMYFUNCTION("""COMPUTED_VALUE"""),0)</f>
        <v>0</v>
      </c>
    </row>
    <row r="953" spans="1:7" ht="13.2">
      <c r="A953" s="16"/>
      <c r="B953" s="17"/>
      <c r="D953" s="16"/>
      <c r="E953" s="16"/>
      <c r="F953" s="16"/>
      <c r="G953" s="58">
        <f ca="1">IFERROR(__xludf.DUMMYFUNCTION("""COMPUTED_VALUE"""),0)</f>
        <v>0</v>
      </c>
    </row>
    <row r="954" spans="1:7" ht="13.2">
      <c r="A954" s="16"/>
      <c r="B954" s="17"/>
      <c r="D954" s="16"/>
      <c r="E954" s="16"/>
      <c r="F954" s="16"/>
      <c r="G954" s="58">
        <f ca="1">IFERROR(__xludf.DUMMYFUNCTION("""COMPUTED_VALUE"""),0)</f>
        <v>0</v>
      </c>
    </row>
    <row r="955" spans="1:7" ht="13.2">
      <c r="A955" s="16"/>
      <c r="B955" s="17"/>
      <c r="D955" s="16"/>
      <c r="E955" s="16"/>
      <c r="F955" s="16"/>
      <c r="G955" s="58">
        <f ca="1">IFERROR(__xludf.DUMMYFUNCTION("""COMPUTED_VALUE"""),0)</f>
        <v>0</v>
      </c>
    </row>
    <row r="956" spans="1:7" ht="13.2">
      <c r="A956" s="16"/>
      <c r="B956" s="17"/>
      <c r="D956" s="16"/>
      <c r="E956" s="16"/>
      <c r="F956" s="16"/>
      <c r="G956" s="58">
        <f ca="1">IFERROR(__xludf.DUMMYFUNCTION("""COMPUTED_VALUE"""),0)</f>
        <v>0</v>
      </c>
    </row>
    <row r="957" spans="1:7" ht="13.2">
      <c r="A957" s="16"/>
      <c r="B957" s="17"/>
      <c r="D957" s="16"/>
      <c r="E957" s="16"/>
      <c r="F957" s="16"/>
      <c r="G957" s="58">
        <f ca="1">IFERROR(__xludf.DUMMYFUNCTION("""COMPUTED_VALUE"""),0)</f>
        <v>0</v>
      </c>
    </row>
    <row r="958" spans="1:7" ht="13.2">
      <c r="A958" s="16"/>
      <c r="B958" s="17"/>
      <c r="D958" s="16"/>
      <c r="E958" s="16"/>
      <c r="F958" s="16"/>
      <c r="G958" s="58">
        <f ca="1">IFERROR(__xludf.DUMMYFUNCTION("""COMPUTED_VALUE"""),0)</f>
        <v>0</v>
      </c>
    </row>
    <row r="959" spans="1:7" ht="13.2">
      <c r="A959" s="16"/>
      <c r="B959" s="17"/>
      <c r="D959" s="16"/>
      <c r="E959" s="16"/>
      <c r="F959" s="16"/>
      <c r="G959" s="58">
        <f ca="1">IFERROR(__xludf.DUMMYFUNCTION("""COMPUTED_VALUE"""),0)</f>
        <v>0</v>
      </c>
    </row>
    <row r="960" spans="1:7" ht="13.2">
      <c r="A960" s="16"/>
      <c r="B960" s="17"/>
      <c r="D960" s="16"/>
      <c r="E960" s="16"/>
      <c r="F960" s="16"/>
      <c r="G960" s="58">
        <f ca="1">IFERROR(__xludf.DUMMYFUNCTION("""COMPUTED_VALUE"""),0)</f>
        <v>0</v>
      </c>
    </row>
    <row r="961" spans="1:7" ht="13.2">
      <c r="A961" s="16"/>
      <c r="B961" s="17"/>
      <c r="D961" s="16"/>
      <c r="E961" s="16"/>
      <c r="F961" s="16"/>
      <c r="G961" s="58">
        <f ca="1">IFERROR(__xludf.DUMMYFUNCTION("""COMPUTED_VALUE"""),0)</f>
        <v>0</v>
      </c>
    </row>
    <row r="962" spans="1:7" ht="13.2">
      <c r="A962" s="16"/>
      <c r="B962" s="17"/>
      <c r="D962" s="16"/>
      <c r="E962" s="16"/>
      <c r="F962" s="16"/>
      <c r="G962" s="58">
        <f ca="1">IFERROR(__xludf.DUMMYFUNCTION("""COMPUTED_VALUE"""),0)</f>
        <v>0</v>
      </c>
    </row>
    <row r="963" spans="1:7" ht="13.2">
      <c r="A963" s="16"/>
      <c r="B963" s="17"/>
      <c r="D963" s="16"/>
      <c r="E963" s="16"/>
      <c r="F963" s="16"/>
      <c r="G963" s="58">
        <f ca="1">IFERROR(__xludf.DUMMYFUNCTION("""COMPUTED_VALUE"""),0)</f>
        <v>0</v>
      </c>
    </row>
    <row r="964" spans="1:7" ht="13.2">
      <c r="A964" s="16"/>
      <c r="B964" s="17"/>
      <c r="D964" s="16"/>
      <c r="E964" s="16"/>
      <c r="F964" s="16"/>
      <c r="G964" s="58">
        <f ca="1">IFERROR(__xludf.DUMMYFUNCTION("""COMPUTED_VALUE"""),0)</f>
        <v>0</v>
      </c>
    </row>
    <row r="965" spans="1:7" ht="13.2">
      <c r="A965" s="16"/>
      <c r="B965" s="17"/>
      <c r="D965" s="16"/>
      <c r="E965" s="16"/>
      <c r="F965" s="16"/>
      <c r="G965" s="58">
        <f ca="1">IFERROR(__xludf.DUMMYFUNCTION("""COMPUTED_VALUE"""),0)</f>
        <v>0</v>
      </c>
    </row>
    <row r="966" spans="1:7" ht="13.2">
      <c r="A966" s="16"/>
      <c r="B966" s="17"/>
      <c r="D966" s="16"/>
      <c r="E966" s="16"/>
      <c r="F966" s="16"/>
      <c r="G966" s="58">
        <f ca="1">IFERROR(__xludf.DUMMYFUNCTION("""COMPUTED_VALUE"""),0)</f>
        <v>0</v>
      </c>
    </row>
    <row r="967" spans="1:7" ht="13.2">
      <c r="A967" s="16"/>
      <c r="B967" s="17"/>
      <c r="D967" s="16"/>
      <c r="E967" s="16"/>
      <c r="F967" s="16"/>
      <c r="G967" s="58">
        <f ca="1">IFERROR(__xludf.DUMMYFUNCTION("""COMPUTED_VALUE"""),0)</f>
        <v>0</v>
      </c>
    </row>
    <row r="968" spans="1:7" ht="13.2">
      <c r="A968" s="16"/>
      <c r="B968" s="17"/>
      <c r="D968" s="16"/>
      <c r="E968" s="16"/>
      <c r="F968" s="16"/>
      <c r="G968" s="58">
        <f ca="1">IFERROR(__xludf.DUMMYFUNCTION("""COMPUTED_VALUE"""),0)</f>
        <v>0</v>
      </c>
    </row>
    <row r="969" spans="1:7" ht="13.2">
      <c r="A969" s="16"/>
      <c r="B969" s="17"/>
      <c r="D969" s="16"/>
      <c r="E969" s="16"/>
      <c r="F969" s="16"/>
      <c r="G969" s="58">
        <f ca="1">IFERROR(__xludf.DUMMYFUNCTION("""COMPUTED_VALUE"""),0)</f>
        <v>0</v>
      </c>
    </row>
    <row r="970" spans="1:7" ht="13.2">
      <c r="A970" s="16"/>
      <c r="B970" s="17"/>
      <c r="D970" s="16"/>
      <c r="E970" s="16"/>
      <c r="F970" s="16"/>
      <c r="G970" s="58">
        <f ca="1">IFERROR(__xludf.DUMMYFUNCTION("""COMPUTED_VALUE"""),0)</f>
        <v>0</v>
      </c>
    </row>
    <row r="971" spans="1:7" ht="13.2">
      <c r="A971" s="16"/>
      <c r="B971" s="17"/>
      <c r="D971" s="16"/>
      <c r="E971" s="16"/>
      <c r="F971" s="16"/>
      <c r="G971" s="58">
        <f ca="1">IFERROR(__xludf.DUMMYFUNCTION("""COMPUTED_VALUE"""),0)</f>
        <v>0</v>
      </c>
    </row>
    <row r="972" spans="1:7" ht="13.2">
      <c r="A972" s="16"/>
      <c r="B972" s="17"/>
      <c r="D972" s="16"/>
      <c r="E972" s="16"/>
      <c r="F972" s="16"/>
      <c r="G972" s="58">
        <f ca="1">IFERROR(__xludf.DUMMYFUNCTION("""COMPUTED_VALUE"""),0)</f>
        <v>0</v>
      </c>
    </row>
    <row r="973" spans="1:7" ht="13.2">
      <c r="A973" s="16"/>
      <c r="B973" s="17"/>
      <c r="D973" s="16"/>
      <c r="E973" s="16"/>
      <c r="F973" s="16"/>
      <c r="G973" s="58">
        <f ca="1">IFERROR(__xludf.DUMMYFUNCTION("""COMPUTED_VALUE"""),0)</f>
        <v>0</v>
      </c>
    </row>
    <row r="974" spans="1:7" ht="13.2">
      <c r="A974" s="16"/>
      <c r="B974" s="17"/>
      <c r="D974" s="16"/>
      <c r="E974" s="16"/>
      <c r="F974" s="16"/>
      <c r="G974" s="58">
        <f ca="1">IFERROR(__xludf.DUMMYFUNCTION("""COMPUTED_VALUE"""),0)</f>
        <v>0</v>
      </c>
    </row>
    <row r="975" spans="1:7" ht="13.2">
      <c r="A975" s="16"/>
      <c r="B975" s="17"/>
      <c r="D975" s="16"/>
      <c r="E975" s="16"/>
      <c r="F975" s="16"/>
      <c r="G975" s="58">
        <f ca="1">IFERROR(__xludf.DUMMYFUNCTION("""COMPUTED_VALUE"""),0)</f>
        <v>0</v>
      </c>
    </row>
    <row r="976" spans="1:7" ht="13.2">
      <c r="A976" s="16"/>
      <c r="B976" s="17"/>
      <c r="D976" s="16"/>
      <c r="E976" s="16"/>
      <c r="F976" s="16"/>
      <c r="G976" s="58">
        <f ca="1">IFERROR(__xludf.DUMMYFUNCTION("""COMPUTED_VALUE"""),0)</f>
        <v>0</v>
      </c>
    </row>
    <row r="977" spans="1:7" ht="13.2">
      <c r="A977" s="16"/>
      <c r="B977" s="17"/>
      <c r="D977" s="16"/>
      <c r="E977" s="16"/>
      <c r="F977" s="16"/>
      <c r="G977" s="58">
        <f ca="1">IFERROR(__xludf.DUMMYFUNCTION("""COMPUTED_VALUE"""),0)</f>
        <v>0</v>
      </c>
    </row>
    <row r="978" spans="1:7" ht="13.2">
      <c r="A978" s="16"/>
      <c r="B978" s="17"/>
      <c r="D978" s="16"/>
      <c r="E978" s="16"/>
      <c r="F978" s="16"/>
      <c r="G978" s="58">
        <f ca="1">IFERROR(__xludf.DUMMYFUNCTION("""COMPUTED_VALUE"""),0)</f>
        <v>0</v>
      </c>
    </row>
    <row r="979" spans="1:7" ht="13.2">
      <c r="A979" s="16"/>
      <c r="B979" s="17"/>
      <c r="D979" s="16"/>
      <c r="E979" s="16"/>
      <c r="F979" s="16"/>
      <c r="G979" s="58">
        <f ca="1">IFERROR(__xludf.DUMMYFUNCTION("""COMPUTED_VALUE"""),0)</f>
        <v>0</v>
      </c>
    </row>
    <row r="980" spans="1:7" ht="13.2">
      <c r="A980" s="16"/>
      <c r="B980" s="17"/>
      <c r="D980" s="16"/>
      <c r="E980" s="16"/>
      <c r="F980" s="16"/>
      <c r="G980" s="58">
        <f ca="1">IFERROR(__xludf.DUMMYFUNCTION("""COMPUTED_VALUE"""),0)</f>
        <v>0</v>
      </c>
    </row>
    <row r="981" spans="1:7" ht="13.2">
      <c r="A981" s="16"/>
      <c r="B981" s="17"/>
      <c r="D981" s="16"/>
      <c r="E981" s="16"/>
      <c r="F981" s="16"/>
      <c r="G981" s="58">
        <f ca="1">IFERROR(__xludf.DUMMYFUNCTION("""COMPUTED_VALUE"""),0)</f>
        <v>0</v>
      </c>
    </row>
    <row r="982" spans="1:7" ht="13.2">
      <c r="A982" s="16"/>
      <c r="B982" s="17"/>
      <c r="D982" s="16"/>
      <c r="E982" s="16"/>
      <c r="F982" s="16"/>
      <c r="G982" s="58">
        <f ca="1">IFERROR(__xludf.DUMMYFUNCTION("""COMPUTED_VALUE"""),0)</f>
        <v>0</v>
      </c>
    </row>
    <row r="983" spans="1:7" ht="13.2">
      <c r="A983" s="16"/>
      <c r="B983" s="17"/>
      <c r="D983" s="16"/>
      <c r="E983" s="16"/>
      <c r="F983" s="16"/>
      <c r="G983" s="58">
        <f ca="1">IFERROR(__xludf.DUMMYFUNCTION("""COMPUTED_VALUE"""),0)</f>
        <v>0</v>
      </c>
    </row>
    <row r="984" spans="1:7" ht="13.2">
      <c r="A984" s="16"/>
      <c r="B984" s="17"/>
      <c r="D984" s="16"/>
      <c r="E984" s="16"/>
      <c r="F984" s="16"/>
      <c r="G984" s="58">
        <f ca="1">IFERROR(__xludf.DUMMYFUNCTION("""COMPUTED_VALUE"""),0)</f>
        <v>0</v>
      </c>
    </row>
    <row r="985" spans="1:7" ht="13.2">
      <c r="A985" s="16"/>
      <c r="B985" s="17"/>
      <c r="D985" s="16"/>
      <c r="E985" s="16"/>
      <c r="F985" s="16"/>
      <c r="G985" s="58">
        <f ca="1">IFERROR(__xludf.DUMMYFUNCTION("""COMPUTED_VALUE"""),0)</f>
        <v>0</v>
      </c>
    </row>
    <row r="986" spans="1:7" ht="13.2">
      <c r="A986" s="16"/>
      <c r="B986" s="17"/>
      <c r="D986" s="16"/>
      <c r="E986" s="16"/>
      <c r="F986" s="16"/>
      <c r="G986" s="58">
        <f ca="1">IFERROR(__xludf.DUMMYFUNCTION("""COMPUTED_VALUE"""),0)</f>
        <v>0</v>
      </c>
    </row>
    <row r="987" spans="1:7" ht="13.2">
      <c r="A987" s="16"/>
      <c r="B987" s="17"/>
      <c r="D987" s="16"/>
      <c r="E987" s="16"/>
      <c r="F987" s="16"/>
      <c r="G987" s="58">
        <f ca="1">IFERROR(__xludf.DUMMYFUNCTION("""COMPUTED_VALUE"""),0)</f>
        <v>0</v>
      </c>
    </row>
    <row r="988" spans="1:7" ht="13.2">
      <c r="A988" s="16"/>
      <c r="B988" s="17"/>
      <c r="D988" s="16"/>
      <c r="E988" s="16"/>
      <c r="F988" s="16"/>
      <c r="G988" s="58">
        <f ca="1">IFERROR(__xludf.DUMMYFUNCTION("""COMPUTED_VALUE"""),0)</f>
        <v>0</v>
      </c>
    </row>
    <row r="989" spans="1:7" ht="13.2">
      <c r="A989" s="16"/>
      <c r="B989" s="17"/>
      <c r="D989" s="16"/>
      <c r="E989" s="16"/>
      <c r="F989" s="16"/>
      <c r="G989" s="58">
        <f ca="1">IFERROR(__xludf.DUMMYFUNCTION("""COMPUTED_VALUE"""),0)</f>
        <v>0</v>
      </c>
    </row>
    <row r="990" spans="1:7" ht="13.2">
      <c r="A990" s="16"/>
      <c r="B990" s="17"/>
      <c r="D990" s="16"/>
      <c r="E990" s="16"/>
      <c r="F990" s="16"/>
      <c r="G990" s="58">
        <f ca="1">IFERROR(__xludf.DUMMYFUNCTION("""COMPUTED_VALUE"""),0)</f>
        <v>0</v>
      </c>
    </row>
    <row r="991" spans="1:7" ht="13.2">
      <c r="A991" s="16"/>
      <c r="B991" s="17"/>
      <c r="D991" s="16"/>
      <c r="E991" s="16"/>
      <c r="F991" s="16"/>
      <c r="G991" s="58">
        <f ca="1">IFERROR(__xludf.DUMMYFUNCTION("""COMPUTED_VALUE"""),0)</f>
        <v>0</v>
      </c>
    </row>
    <row r="992" spans="1:7" ht="13.2">
      <c r="A992" s="16"/>
      <c r="B992" s="17"/>
      <c r="D992" s="16"/>
      <c r="E992" s="16"/>
      <c r="F992" s="16"/>
      <c r="G992" s="58">
        <f ca="1">IFERROR(__xludf.DUMMYFUNCTION("""COMPUTED_VALUE"""),0)</f>
        <v>0</v>
      </c>
    </row>
    <row r="993" spans="1:7" ht="13.2">
      <c r="A993" s="16"/>
      <c r="B993" s="17"/>
      <c r="D993" s="16"/>
      <c r="E993" s="16"/>
      <c r="F993" s="16"/>
      <c r="G993" s="58">
        <f ca="1">IFERROR(__xludf.DUMMYFUNCTION("""COMPUTED_VALUE"""),0)</f>
        <v>0</v>
      </c>
    </row>
    <row r="994" spans="1:7" ht="13.2">
      <c r="A994" s="16"/>
      <c r="B994" s="17"/>
      <c r="D994" s="16"/>
      <c r="E994" s="16"/>
      <c r="F994" s="16"/>
      <c r="G994" s="58">
        <f ca="1">IFERROR(__xludf.DUMMYFUNCTION("""COMPUTED_VALUE"""),0)</f>
        <v>0</v>
      </c>
    </row>
    <row r="995" spans="1:7" ht="13.2">
      <c r="A995" s="16"/>
      <c r="B995" s="17"/>
      <c r="D995" s="16"/>
      <c r="E995" s="16"/>
      <c r="F995" s="16"/>
      <c r="G995" s="58">
        <f ca="1">IFERROR(__xludf.DUMMYFUNCTION("""COMPUTED_VALUE"""),0)</f>
        <v>0</v>
      </c>
    </row>
    <row r="996" spans="1:7" ht="13.2">
      <c r="A996" s="16"/>
      <c r="B996" s="17"/>
      <c r="D996" s="16"/>
      <c r="E996" s="16"/>
      <c r="F996" s="16"/>
      <c r="G996" s="58">
        <f ca="1">IFERROR(__xludf.DUMMYFUNCTION("""COMPUTED_VALUE"""),0)</f>
        <v>0</v>
      </c>
    </row>
    <row r="997" spans="1:7" ht="13.2">
      <c r="A997" s="16"/>
      <c r="B997" s="17"/>
      <c r="D997" s="16"/>
      <c r="E997" s="16"/>
      <c r="F997" s="16"/>
      <c r="G997" s="58">
        <f ca="1">IFERROR(__xludf.DUMMYFUNCTION("""COMPUTED_VALUE"""),0)</f>
        <v>0</v>
      </c>
    </row>
    <row r="998" spans="1:7" ht="13.2">
      <c r="A998" s="16"/>
      <c r="B998" s="17"/>
      <c r="D998" s="16"/>
      <c r="E998" s="16"/>
      <c r="F998" s="16"/>
      <c r="G998" s="58">
        <f ca="1">IFERROR(__xludf.DUMMYFUNCTION("""COMPUTED_VALUE"""),0)</f>
        <v>0</v>
      </c>
    </row>
    <row r="999" spans="1:7" ht="13.2">
      <c r="A999" s="16"/>
      <c r="B999" s="17"/>
      <c r="D999" s="16"/>
      <c r="E999" s="16"/>
      <c r="F999" s="16"/>
      <c r="G999" s="58">
        <f ca="1">IFERROR(__xludf.DUMMYFUNCTION("""COMPUTED_VALUE"""),0)</f>
        <v>0</v>
      </c>
    </row>
    <row r="1000" spans="1:7" ht="13.2">
      <c r="A1000" s="16"/>
      <c r="B1000" s="17"/>
      <c r="D1000" s="16"/>
      <c r="E1000" s="16"/>
      <c r="F1000" s="16"/>
      <c r="G1000" s="16"/>
    </row>
  </sheetData>
  <hyperlinks>
    <hyperlink ref="B2" r:id="rId1" location="gid=0" xr:uid="{00000000-0004-0000-01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pane ySplit="1" topLeftCell="A2" activePane="bottomLeft" state="frozen"/>
      <selection pane="bottomLeft" activeCell="B3" sqref="B3"/>
    </sheetView>
  </sheetViews>
  <sheetFormatPr defaultColWidth="12.6640625" defaultRowHeight="15.75" customHeight="1"/>
  <cols>
    <col min="2" max="3" width="22.21875" customWidth="1"/>
    <col min="4" max="4" width="63.88671875" customWidth="1"/>
    <col min="5" max="5" width="28.44140625" customWidth="1"/>
    <col min="6" max="6" width="25.6640625" customWidth="1"/>
    <col min="7" max="7" width="21.33203125" customWidth="1"/>
    <col min="8" max="8" width="23.109375" customWidth="1"/>
    <col min="9" max="9" width="57.88671875" customWidth="1"/>
    <col min="10" max="10" width="21.88671875" customWidth="1"/>
    <col min="11" max="11" width="21" customWidth="1"/>
    <col min="17" max="17" width="25" customWidth="1"/>
    <col min="19" max="19" width="15.6640625" customWidth="1"/>
  </cols>
  <sheetData>
    <row r="1" spans="1:27" ht="15.75" customHeight="1">
      <c r="A1" s="59"/>
      <c r="B1" s="60" t="s">
        <v>76</v>
      </c>
      <c r="C1" s="61" t="s">
        <v>77</v>
      </c>
      <c r="D1" s="62" t="s">
        <v>78</v>
      </c>
      <c r="E1" s="60"/>
      <c r="F1" s="63" t="s">
        <v>79</v>
      </c>
      <c r="G1" s="60" t="s">
        <v>8</v>
      </c>
      <c r="H1" s="64" t="s">
        <v>17</v>
      </c>
      <c r="I1" s="59" t="s">
        <v>80</v>
      </c>
      <c r="J1" s="65" t="s">
        <v>81</v>
      </c>
      <c r="K1" s="60" t="s">
        <v>8</v>
      </c>
      <c r="L1" s="66" t="s">
        <v>82</v>
      </c>
      <c r="M1" s="66" t="s">
        <v>83</v>
      </c>
      <c r="N1" s="67" t="s">
        <v>84</v>
      </c>
      <c r="O1" s="63" t="s">
        <v>85</v>
      </c>
      <c r="P1" s="63" t="s">
        <v>41</v>
      </c>
      <c r="Q1" s="68"/>
      <c r="R1" s="59" t="s">
        <v>86</v>
      </c>
      <c r="S1" s="60" t="s">
        <v>87</v>
      </c>
      <c r="T1" s="61" t="s">
        <v>88</v>
      </c>
      <c r="U1" s="59"/>
      <c r="V1" s="59"/>
      <c r="W1" s="59"/>
      <c r="X1" s="59"/>
      <c r="Y1" s="59"/>
      <c r="Z1" s="59"/>
      <c r="AA1" s="59"/>
    </row>
    <row r="2" spans="1:27" ht="15.75" customHeight="1">
      <c r="A2" s="2"/>
      <c r="B2" s="69" t="s">
        <v>89</v>
      </c>
      <c r="C2" s="16" t="s">
        <v>90</v>
      </c>
      <c r="D2" s="70" t="str">
        <f t="array" ref="D2">INDEX(NPCFaction,TRUNC(1+(COUNTA(NPCFaction))*(TRUNC(MOD((ROW($A39)*1103515245 +12345)/ 65536, 32768),0)/32768),0))</f>
        <v>Royalty</v>
      </c>
      <c r="E2" s="16"/>
      <c r="F2" s="71" t="s">
        <v>91</v>
      </c>
      <c r="G2" s="72" t="s">
        <v>92</v>
      </c>
      <c r="H2" s="73" t="s">
        <v>93</v>
      </c>
      <c r="I2" s="74" t="s">
        <v>94</v>
      </c>
      <c r="J2" s="71" t="s">
        <v>95</v>
      </c>
      <c r="K2" s="72" t="s">
        <v>92</v>
      </c>
      <c r="L2" s="75">
        <f t="shared" ref="L2:L12" si="0">$N2/4</f>
        <v>20</v>
      </c>
      <c r="M2" s="75">
        <f t="shared" ref="M2:M12" si="1">$L2*1.5</f>
        <v>30</v>
      </c>
      <c r="N2" s="76">
        <v>80</v>
      </c>
      <c r="O2" s="70" t="s">
        <v>96</v>
      </c>
      <c r="P2" s="72" t="s">
        <v>97</v>
      </c>
      <c r="Q2" s="71" t="s">
        <v>98</v>
      </c>
      <c r="R2" s="16" t="s">
        <v>99</v>
      </c>
      <c r="S2" s="72" t="s">
        <v>100</v>
      </c>
      <c r="T2" s="77">
        <v>12</v>
      </c>
    </row>
    <row r="3" spans="1:27" ht="15.75" customHeight="1">
      <c r="A3" s="2"/>
      <c r="B3" s="69" t="s">
        <v>101</v>
      </c>
      <c r="C3" s="77" t="s">
        <v>102</v>
      </c>
      <c r="D3" s="70" t="str">
        <f t="array" ref="D3">INDEX(NPCFaction,TRUNC(1+(COUNTA(NPCFaction))*(TRUNC(MOD((ROW($A40)*1103515245 +12345)/ 65536, 32768),0)/32768),0))</f>
        <v>Death Guild</v>
      </c>
      <c r="E3" s="72"/>
      <c r="F3" s="71" t="s">
        <v>103</v>
      </c>
      <c r="G3" s="72" t="s">
        <v>104</v>
      </c>
      <c r="H3" s="73" t="s">
        <v>105</v>
      </c>
      <c r="I3" s="74" t="s">
        <v>106</v>
      </c>
      <c r="J3" s="71" t="s">
        <v>107</v>
      </c>
      <c r="K3" s="72" t="s">
        <v>104</v>
      </c>
      <c r="L3" s="75">
        <f t="shared" si="0"/>
        <v>80</v>
      </c>
      <c r="M3" s="75">
        <f t="shared" si="1"/>
        <v>120</v>
      </c>
      <c r="N3" s="76">
        <v>320</v>
      </c>
      <c r="O3" s="70" t="s">
        <v>108</v>
      </c>
      <c r="P3" s="72" t="s">
        <v>109</v>
      </c>
      <c r="Q3" s="71" t="s">
        <v>110</v>
      </c>
      <c r="R3" s="16" t="s">
        <v>111</v>
      </c>
      <c r="S3" s="72" t="s">
        <v>112</v>
      </c>
      <c r="T3" s="77">
        <v>8</v>
      </c>
    </row>
    <row r="4" spans="1:27" ht="15.75" customHeight="1">
      <c r="A4" s="2"/>
      <c r="B4" s="69" t="s">
        <v>113</v>
      </c>
      <c r="C4" s="77" t="s">
        <v>114</v>
      </c>
      <c r="D4" s="70" t="str">
        <f t="array" ref="D4">INDEX(NPCFaction,TRUNC(1+(COUNTA(NPCFaction))*(TRUNC(MOD((ROW($A41)*1103515245 +12345)/ 65536, 32768),0)/32768),0))</f>
        <v>Royalty</v>
      </c>
      <c r="E4" s="72"/>
      <c r="F4" s="71" t="s">
        <v>115</v>
      </c>
      <c r="G4" s="72" t="s">
        <v>116</v>
      </c>
      <c r="H4" s="73" t="s">
        <v>117</v>
      </c>
      <c r="I4" s="74" t="s">
        <v>118</v>
      </c>
      <c r="J4" s="71" t="s">
        <v>119</v>
      </c>
      <c r="K4" s="72" t="s">
        <v>116</v>
      </c>
      <c r="L4" s="75">
        <f t="shared" si="0"/>
        <v>187.5</v>
      </c>
      <c r="M4" s="75">
        <f t="shared" si="1"/>
        <v>281.25</v>
      </c>
      <c r="N4" s="76">
        <v>750</v>
      </c>
      <c r="O4" s="70" t="s">
        <v>120</v>
      </c>
      <c r="P4" s="72" t="s">
        <v>121</v>
      </c>
      <c r="Q4" s="71" t="s">
        <v>122</v>
      </c>
      <c r="R4" s="16" t="s">
        <v>123</v>
      </c>
      <c r="S4" s="72" t="s">
        <v>124</v>
      </c>
      <c r="T4" s="77">
        <v>8</v>
      </c>
    </row>
    <row r="5" spans="1:27" ht="15.75" customHeight="1">
      <c r="A5" s="2"/>
      <c r="B5" s="69" t="s">
        <v>125</v>
      </c>
      <c r="C5" s="77" t="s">
        <v>126</v>
      </c>
      <c r="D5" s="70" t="str">
        <f t="array" ref="D5">INDEX(NPCFaction,TRUNC(1+(COUNTA(NPCFaction))*(TRUNC(MOD((ROW($A42)*1103515245 +12345)/ 65536, 32768),0)/32768),0))</f>
        <v>Death Guild</v>
      </c>
      <c r="E5" s="72"/>
      <c r="F5" s="71" t="s">
        <v>127</v>
      </c>
      <c r="G5" s="72" t="s">
        <v>128</v>
      </c>
      <c r="H5" s="73" t="s">
        <v>129</v>
      </c>
      <c r="I5" s="74" t="s">
        <v>130</v>
      </c>
      <c r="J5" s="71" t="s">
        <v>131</v>
      </c>
      <c r="K5" s="72" t="s">
        <v>128</v>
      </c>
      <c r="L5" s="75">
        <f t="shared" si="0"/>
        <v>112.5</v>
      </c>
      <c r="M5" s="75">
        <f t="shared" si="1"/>
        <v>168.75</v>
      </c>
      <c r="N5" s="76">
        <v>450</v>
      </c>
      <c r="O5" s="70" t="s">
        <v>132</v>
      </c>
      <c r="P5" s="72"/>
      <c r="Q5" s="71" t="s">
        <v>133</v>
      </c>
      <c r="R5" s="16" t="s">
        <v>134</v>
      </c>
      <c r="S5" s="72" t="s">
        <v>135</v>
      </c>
      <c r="T5" s="77">
        <v>8</v>
      </c>
    </row>
    <row r="6" spans="1:27" ht="15.75" customHeight="1">
      <c r="A6" s="2"/>
      <c r="B6" s="69" t="s">
        <v>136</v>
      </c>
      <c r="C6" s="77" t="s">
        <v>137</v>
      </c>
      <c r="D6" s="70" t="str">
        <f t="array" ref="D6">INDEX(NPCFaction,TRUNC(1+(COUNTA(NPCFaction))*(TRUNC(MOD((ROW($A43)*1103515245 +12345)/ 65536, 32768),0)/32768),0))</f>
        <v>Royalty</v>
      </c>
      <c r="E6" s="72"/>
      <c r="F6" s="71" t="s">
        <v>138</v>
      </c>
      <c r="G6" s="72" t="s">
        <v>139</v>
      </c>
      <c r="H6" s="73" t="s">
        <v>140</v>
      </c>
      <c r="I6" s="74" t="s">
        <v>141</v>
      </c>
      <c r="J6" s="71" t="s">
        <v>142</v>
      </c>
      <c r="K6" s="72" t="s">
        <v>139</v>
      </c>
      <c r="L6" s="75">
        <f t="shared" si="0"/>
        <v>45</v>
      </c>
      <c r="M6" s="75">
        <f t="shared" si="1"/>
        <v>67.5</v>
      </c>
      <c r="N6" s="76">
        <v>180</v>
      </c>
      <c r="O6" s="70" t="s">
        <v>143</v>
      </c>
      <c r="P6" s="72"/>
      <c r="Q6" s="71" t="s">
        <v>144</v>
      </c>
      <c r="R6" s="16" t="s">
        <v>145</v>
      </c>
      <c r="S6" s="72" t="s">
        <v>146</v>
      </c>
      <c r="T6" s="77">
        <v>10</v>
      </c>
    </row>
    <row r="7" spans="1:27" ht="15.75" customHeight="1">
      <c r="A7" s="2"/>
      <c r="B7" s="69" t="s">
        <v>147</v>
      </c>
      <c r="C7" s="77" t="s">
        <v>148</v>
      </c>
      <c r="D7" s="70" t="str">
        <f t="array" ref="D7">INDEX(NPCFaction,TRUNC(1+(COUNTA(NPCFaction))*(TRUNC(MOD((ROW($A44)*1103515245 +12345)/ 65536, 32768),0)/32768),0))</f>
        <v>Magic Guild</v>
      </c>
      <c r="E7" s="72"/>
      <c r="F7" s="71" t="s">
        <v>149</v>
      </c>
      <c r="G7" s="72" t="s">
        <v>150</v>
      </c>
      <c r="H7" s="73" t="s">
        <v>151</v>
      </c>
      <c r="I7" s="74" t="s">
        <v>152</v>
      </c>
      <c r="J7" s="71" t="s">
        <v>153</v>
      </c>
      <c r="K7" s="72" t="s">
        <v>150</v>
      </c>
      <c r="L7" s="75">
        <f t="shared" si="0"/>
        <v>17.5</v>
      </c>
      <c r="M7" s="75">
        <f t="shared" si="1"/>
        <v>26.25</v>
      </c>
      <c r="N7" s="76">
        <v>70</v>
      </c>
      <c r="O7" s="70" t="s">
        <v>154</v>
      </c>
      <c r="P7" s="72"/>
      <c r="Q7" s="71" t="s">
        <v>155</v>
      </c>
      <c r="R7" s="16"/>
      <c r="S7" s="72" t="s">
        <v>156</v>
      </c>
      <c r="T7" s="77">
        <v>10</v>
      </c>
    </row>
    <row r="8" spans="1:27" ht="15.75" customHeight="1">
      <c r="A8" s="2"/>
      <c r="B8" s="69" t="s">
        <v>157</v>
      </c>
      <c r="C8" s="77" t="s">
        <v>158</v>
      </c>
      <c r="D8" s="70" t="str">
        <f t="array" ref="D8">INDEX(NPCFaction,TRUNC(1+(COUNTA(NPCFaction))*(TRUNC(MOD((ROW($A45)*1103515245 +12345)/ 65536, 32768),0)/32768),0))</f>
        <v>Necromancer</v>
      </c>
      <c r="E8" s="72"/>
      <c r="F8" s="71" t="s">
        <v>159</v>
      </c>
      <c r="G8" s="72" t="s">
        <v>160</v>
      </c>
      <c r="H8" s="73" t="s">
        <v>161</v>
      </c>
      <c r="I8" s="74" t="s">
        <v>162</v>
      </c>
      <c r="J8" s="71" t="s">
        <v>163</v>
      </c>
      <c r="K8" s="72" t="s">
        <v>160</v>
      </c>
      <c r="L8" s="75">
        <f t="shared" si="0"/>
        <v>50</v>
      </c>
      <c r="M8" s="75">
        <f t="shared" si="1"/>
        <v>75</v>
      </c>
      <c r="N8" s="76">
        <v>200</v>
      </c>
      <c r="O8" s="70"/>
      <c r="P8" s="72"/>
      <c r="Q8" s="71" t="s">
        <v>164</v>
      </c>
      <c r="R8" s="16"/>
      <c r="S8" s="72" t="s">
        <v>165</v>
      </c>
      <c r="T8" s="77">
        <v>6</v>
      </c>
    </row>
    <row r="9" spans="1:27" ht="15.75" customHeight="1">
      <c r="A9" s="2"/>
      <c r="B9" s="69" t="s">
        <v>166</v>
      </c>
      <c r="C9" s="77" t="s">
        <v>167</v>
      </c>
      <c r="D9" s="70" t="str">
        <f t="array" ref="D9">INDEX(NPCFaction,TRUNC(1+(COUNTA(NPCFaction))*(TRUNC(MOD((ROW($A46)*1103515245 +12345)/ 65536, 32768),0)/32768),0))</f>
        <v>Magic Guild</v>
      </c>
      <c r="E9" s="72"/>
      <c r="F9" s="71" t="s">
        <v>168</v>
      </c>
      <c r="G9" s="72" t="s">
        <v>169</v>
      </c>
      <c r="H9" s="73" t="s">
        <v>170</v>
      </c>
      <c r="I9" s="78" t="s">
        <v>171</v>
      </c>
      <c r="J9" s="71" t="s">
        <v>172</v>
      </c>
      <c r="K9" s="72" t="s">
        <v>169</v>
      </c>
      <c r="L9" s="75">
        <f t="shared" si="0"/>
        <v>22.5</v>
      </c>
      <c r="M9" s="75">
        <f t="shared" si="1"/>
        <v>33.75</v>
      </c>
      <c r="N9" s="76">
        <v>90</v>
      </c>
      <c r="O9" s="70"/>
      <c r="P9" s="72"/>
      <c r="Q9" s="71" t="s">
        <v>173</v>
      </c>
      <c r="R9" s="16"/>
      <c r="S9" s="72" t="s">
        <v>174</v>
      </c>
      <c r="T9" s="77">
        <v>8</v>
      </c>
    </row>
    <row r="10" spans="1:27" ht="15.75" customHeight="1">
      <c r="A10" s="2"/>
      <c r="B10" s="69" t="s">
        <v>175</v>
      </c>
      <c r="C10" s="77" t="s">
        <v>176</v>
      </c>
      <c r="D10" s="70" t="str">
        <f t="array" ref="D10">INDEX(NPCFaction,TRUNC(1+(COUNTA(NPCFaction))*(TRUNC(MOD((ROW($A47)*1103515245 +12345)/ 65536, 32768),0)/32768),0))</f>
        <v>Necromancer</v>
      </c>
      <c r="E10" s="72"/>
      <c r="F10" s="71" t="s">
        <v>177</v>
      </c>
      <c r="G10" s="72" t="s">
        <v>178</v>
      </c>
      <c r="H10" s="73" t="s">
        <v>179</v>
      </c>
      <c r="I10" s="78" t="s">
        <v>180</v>
      </c>
      <c r="J10" s="71" t="s">
        <v>181</v>
      </c>
      <c r="K10" s="72" t="s">
        <v>178</v>
      </c>
      <c r="L10" s="75">
        <f t="shared" si="0"/>
        <v>25</v>
      </c>
      <c r="M10" s="75">
        <f t="shared" si="1"/>
        <v>37.5</v>
      </c>
      <c r="N10" s="76">
        <v>100</v>
      </c>
      <c r="O10" s="70"/>
      <c r="P10" s="72"/>
      <c r="Q10" s="71" t="s">
        <v>182</v>
      </c>
      <c r="R10" s="16"/>
      <c r="S10" s="72" t="s">
        <v>183</v>
      </c>
      <c r="T10" s="77">
        <v>6</v>
      </c>
    </row>
    <row r="11" spans="1:27" ht="15.75" customHeight="1">
      <c r="A11" s="2"/>
      <c r="B11" s="69" t="s">
        <v>184</v>
      </c>
      <c r="C11" s="77" t="s">
        <v>185</v>
      </c>
      <c r="D11" s="70" t="str">
        <f t="array" ref="D11">INDEX(NPCFaction,TRUNC(1+(COUNTA(NPCFaction))*(TRUNC(MOD((ROW($A48)*1103515245 +12345)/ 65536, 32768),0)/32768),0))</f>
        <v>Magic Guild</v>
      </c>
      <c r="F11" s="70" t="s">
        <v>186</v>
      </c>
      <c r="G11" s="72" t="s">
        <v>187</v>
      </c>
      <c r="H11" s="73" t="s">
        <v>188</v>
      </c>
      <c r="I11" s="78" t="s">
        <v>189</v>
      </c>
      <c r="J11" s="70"/>
      <c r="K11" s="72" t="s">
        <v>187</v>
      </c>
      <c r="L11" s="75">
        <f t="shared" si="0"/>
        <v>27.5</v>
      </c>
      <c r="M11" s="75">
        <f t="shared" si="1"/>
        <v>41.25</v>
      </c>
      <c r="N11" s="76">
        <v>110</v>
      </c>
      <c r="O11" s="70"/>
      <c r="P11" s="72"/>
      <c r="Q11" s="71" t="s">
        <v>190</v>
      </c>
      <c r="R11" s="16"/>
      <c r="S11" s="72" t="s">
        <v>191</v>
      </c>
      <c r="T11" s="77">
        <v>8</v>
      </c>
    </row>
    <row r="12" spans="1:27" ht="15.75" customHeight="1">
      <c r="A12" s="2"/>
      <c r="B12" s="69" t="s">
        <v>192</v>
      </c>
      <c r="C12" s="77" t="s">
        <v>193</v>
      </c>
      <c r="D12" s="70" t="str">
        <f t="array" ref="D12">INDEX(NPCFaction,TRUNC(1+(COUNTA(NPCFaction))*(TRUNC(MOD((ROW($A49)*1103515245 +12345)/ 65536, 32768),0)/32768),0))</f>
        <v>Necromancer</v>
      </c>
      <c r="E12" s="72"/>
      <c r="F12" s="72" t="s">
        <v>194</v>
      </c>
      <c r="G12" s="72" t="s">
        <v>195</v>
      </c>
      <c r="H12" s="24"/>
      <c r="J12" s="70"/>
      <c r="K12" s="72" t="s">
        <v>195</v>
      </c>
      <c r="L12" s="75">
        <f t="shared" si="0"/>
        <v>30</v>
      </c>
      <c r="M12" s="75">
        <f t="shared" si="1"/>
        <v>45</v>
      </c>
      <c r="N12" s="76">
        <v>120</v>
      </c>
      <c r="O12" s="70"/>
      <c r="P12" s="72"/>
      <c r="Q12" s="71" t="s">
        <v>196</v>
      </c>
      <c r="R12" s="16"/>
      <c r="S12" s="72" t="s">
        <v>197</v>
      </c>
      <c r="T12" s="77">
        <v>10</v>
      </c>
    </row>
    <row r="13" spans="1:27" ht="15.75" customHeight="1">
      <c r="A13" s="2"/>
      <c r="B13" s="69" t="s">
        <v>198</v>
      </c>
      <c r="C13" s="77" t="s">
        <v>199</v>
      </c>
      <c r="D13" s="70" t="str">
        <f t="array" ref="D13">INDEX(NPCFaction,TRUNC(1+(COUNTA(NPCFaction))*(TRUNC(MOD((ROW($A50)*1103515245 +12345)/ 65536, 32768),0)/32768),0))</f>
        <v>Magic Guild</v>
      </c>
      <c r="E13" s="70"/>
      <c r="F13" s="70" t="s">
        <v>200</v>
      </c>
      <c r="G13" s="72"/>
      <c r="H13" s="24"/>
      <c r="J13" s="70"/>
      <c r="K13" s="72"/>
      <c r="L13" s="75"/>
      <c r="M13" s="75"/>
      <c r="N13" s="76"/>
      <c r="O13" s="70"/>
      <c r="P13" s="72"/>
      <c r="Q13" s="71" t="s">
        <v>201</v>
      </c>
      <c r="R13" s="16"/>
      <c r="S13" s="72" t="s">
        <v>202</v>
      </c>
      <c r="T13" s="77">
        <v>8</v>
      </c>
    </row>
    <row r="14" spans="1:27" ht="15.75" customHeight="1">
      <c r="A14" s="2"/>
      <c r="B14" s="69" t="s">
        <v>203</v>
      </c>
      <c r="C14" s="77" t="s">
        <v>204</v>
      </c>
      <c r="D14" s="70" t="str">
        <f t="array" ref="D14">INDEX(NPCFaction,TRUNC(1+(COUNTA(NPCFaction))*(TRUNC(MOD((ROW($A51)*1103515245 +12345)/ 65536, 32768),0)/32768),0))</f>
        <v>Traders Guild</v>
      </c>
      <c r="E14" s="72"/>
      <c r="F14" s="16" t="s">
        <v>183</v>
      </c>
      <c r="G14" s="72"/>
      <c r="H14" s="24"/>
      <c r="J14" s="70"/>
      <c r="K14" s="72"/>
      <c r="L14" s="75"/>
      <c r="M14" s="75"/>
      <c r="N14" s="76"/>
      <c r="O14" s="70"/>
      <c r="P14" s="72"/>
      <c r="Q14" s="71" t="s">
        <v>205</v>
      </c>
      <c r="R14" s="16"/>
      <c r="S14" s="72"/>
      <c r="T14" s="77"/>
    </row>
    <row r="15" spans="1:27" ht="15.75" customHeight="1">
      <c r="A15" s="2"/>
      <c r="B15" s="69" t="s">
        <v>206</v>
      </c>
      <c r="C15" s="77" t="s">
        <v>207</v>
      </c>
      <c r="D15" s="70" t="str">
        <f t="array" ref="D15">INDEX(NPCFaction,TRUNC(1+(COUNTA(NPCFaction))*(TRUNC(MOD((ROW($A52)*1103515245 +12345)/ 65536, 32768),0)/32768),0))</f>
        <v>Farmers Guild</v>
      </c>
      <c r="E15" s="72"/>
      <c r="G15" s="72"/>
      <c r="H15" s="24"/>
      <c r="J15" s="70"/>
      <c r="K15" s="72"/>
      <c r="L15" s="75"/>
      <c r="M15" s="75"/>
      <c r="N15" s="76"/>
      <c r="O15" s="70"/>
      <c r="P15" s="72"/>
      <c r="Q15" s="71" t="s">
        <v>208</v>
      </c>
      <c r="R15" s="16"/>
      <c r="S15" s="72"/>
      <c r="T15" s="77"/>
    </row>
    <row r="16" spans="1:27" ht="15.75" customHeight="1">
      <c r="A16" s="2"/>
      <c r="B16" s="69" t="s">
        <v>209</v>
      </c>
      <c r="C16" s="77" t="s">
        <v>210</v>
      </c>
      <c r="D16" s="70" t="str">
        <f t="array" ref="D16">INDEX(NPCFaction,TRUNC(1+(COUNTA(NPCFaction))*(TRUNC(MOD((ROW($A53)*1103515245 +12345)/ 65536, 32768),0)/32768),0))</f>
        <v>Traders Guild</v>
      </c>
      <c r="E16" s="72"/>
      <c r="F16" s="70"/>
      <c r="G16" s="72"/>
      <c r="H16" s="24"/>
      <c r="J16" s="70"/>
      <c r="K16" s="72"/>
      <c r="L16" s="75"/>
      <c r="M16" s="75"/>
      <c r="N16" s="76"/>
      <c r="O16" s="70"/>
      <c r="P16" s="72"/>
      <c r="Q16" s="71" t="s">
        <v>208</v>
      </c>
      <c r="R16" s="16"/>
      <c r="S16" s="72"/>
      <c r="T16" s="77"/>
    </row>
    <row r="17" spans="1:20" ht="15.75" customHeight="1">
      <c r="A17" s="2"/>
      <c r="B17" s="69" t="s">
        <v>211</v>
      </c>
      <c r="C17" s="77" t="s">
        <v>212</v>
      </c>
      <c r="D17" s="70" t="str">
        <f t="array" ref="D17">INDEX(NPCFaction,TRUNC(1+(COUNTA(NPCFaction))*(TRUNC(MOD((ROW($A54)*1103515245 +12345)/ 65536, 32768),0)/32768),0))</f>
        <v>Farmers Guild</v>
      </c>
      <c r="E17" s="72"/>
      <c r="F17" s="70"/>
      <c r="G17" s="72"/>
      <c r="H17" s="24"/>
      <c r="J17" s="70"/>
      <c r="K17" s="72"/>
      <c r="L17" s="75"/>
      <c r="M17" s="75"/>
      <c r="N17" s="76"/>
      <c r="O17" s="70"/>
      <c r="P17" s="72"/>
      <c r="Q17" s="71" t="s">
        <v>213</v>
      </c>
      <c r="R17" s="16"/>
      <c r="S17" s="72"/>
      <c r="T17" s="77"/>
    </row>
    <row r="18" spans="1:20" ht="15.75" customHeight="1">
      <c r="A18" s="2"/>
      <c r="B18" s="69" t="s">
        <v>214</v>
      </c>
      <c r="C18" s="77" t="s">
        <v>215</v>
      </c>
      <c r="D18" s="70" t="str">
        <f t="array" ref="D18">INDEX(NPCFaction,TRUNC(1+(COUNTA(NPCFaction))*(TRUNC(MOD((ROW($A55)*1103515245 +12345)/ 65536, 32768),0)/32768),0))</f>
        <v>Traders Guild</v>
      </c>
      <c r="E18" s="72"/>
      <c r="F18" s="70"/>
      <c r="G18" s="72"/>
      <c r="H18" s="24"/>
      <c r="J18" s="70"/>
      <c r="K18" s="72"/>
      <c r="L18" s="75"/>
      <c r="M18" s="75"/>
      <c r="N18" s="76"/>
      <c r="O18" s="70"/>
      <c r="P18" s="72"/>
      <c r="Q18" s="71" t="s">
        <v>216</v>
      </c>
      <c r="R18" s="16"/>
      <c r="S18" s="72"/>
      <c r="T18" s="77"/>
    </row>
    <row r="19" spans="1:20" ht="15.75" customHeight="1">
      <c r="A19" s="2"/>
      <c r="B19" s="69" t="s">
        <v>217</v>
      </c>
      <c r="C19" s="77" t="s">
        <v>218</v>
      </c>
      <c r="D19" s="70" t="str">
        <f t="array" ref="D19">INDEX(NPCFaction,TRUNC(1+(COUNTA(NPCFaction))*(TRUNC(MOD((ROW($A56)*1103515245 +12345)/ 65536, 32768),0)/32768),0))</f>
        <v>Farmers Guild</v>
      </c>
      <c r="E19" s="72"/>
      <c r="F19" s="70"/>
      <c r="G19" s="72"/>
      <c r="H19" s="24"/>
      <c r="J19" s="70"/>
      <c r="K19" s="72"/>
      <c r="L19" s="75"/>
      <c r="M19" s="75"/>
      <c r="N19" s="76"/>
      <c r="O19" s="70"/>
      <c r="P19" s="72"/>
      <c r="Q19" s="71" t="s">
        <v>219</v>
      </c>
      <c r="R19" s="16"/>
      <c r="S19" s="72"/>
      <c r="T19" s="77"/>
    </row>
    <row r="20" spans="1:20" ht="15.75" customHeight="1">
      <c r="A20" s="2"/>
      <c r="B20" s="69" t="s">
        <v>220</v>
      </c>
      <c r="C20" s="77" t="s">
        <v>221</v>
      </c>
      <c r="D20" s="70" t="str">
        <f t="array" ref="D20">INDEX(NPCFaction,TRUNC(1+(COUNTA(NPCFaction))*(TRUNC(MOD((ROW($A57)*1103515245 +12345)/ 65536, 32768),0)/32768),0))</f>
        <v>Traders Guild</v>
      </c>
      <c r="E20" s="79"/>
      <c r="F20" s="70"/>
      <c r="G20" s="72"/>
      <c r="H20" s="24"/>
      <c r="J20" s="70"/>
      <c r="K20" s="72"/>
      <c r="L20" s="75"/>
      <c r="M20" s="75"/>
      <c r="N20" s="76"/>
      <c r="O20" s="70"/>
      <c r="P20" s="72"/>
      <c r="Q20" s="71" t="s">
        <v>222</v>
      </c>
      <c r="R20" s="16"/>
      <c r="S20" s="80"/>
      <c r="T20" s="77"/>
    </row>
    <row r="21" spans="1:20" ht="15.75" customHeight="1">
      <c r="A21" s="2"/>
      <c r="B21" s="69" t="s">
        <v>223</v>
      </c>
      <c r="C21" s="77" t="s">
        <v>224</v>
      </c>
      <c r="D21" s="70" t="str">
        <f t="array" ref="D21">INDEX(NPCFaction,TRUNC(1+(COUNTA(NPCFaction))*(TRUNC(MOD((ROW($A58)*1103515245 +12345)/ 65536, 32768),0)/32768),0))</f>
        <v>Traverlers Guild</v>
      </c>
      <c r="E21" s="72"/>
      <c r="F21" s="70"/>
      <c r="G21" s="72"/>
      <c r="H21" s="24"/>
      <c r="J21" s="70"/>
      <c r="K21" s="72"/>
      <c r="L21" s="75"/>
      <c r="M21" s="75"/>
      <c r="N21" s="76"/>
      <c r="O21" s="70"/>
      <c r="P21" s="72"/>
      <c r="Q21" s="71" t="s">
        <v>225</v>
      </c>
      <c r="R21" s="16"/>
      <c r="S21" s="72"/>
      <c r="T21" s="77"/>
    </row>
    <row r="22" spans="1:20" ht="15.75" customHeight="1">
      <c r="A22" s="2"/>
      <c r="B22" s="69" t="s">
        <v>226</v>
      </c>
      <c r="C22" s="77" t="s">
        <v>227</v>
      </c>
      <c r="D22" s="70" t="str">
        <f t="array" ref="D22">INDEX(NPCFaction,TRUNC(1+(COUNTA(NPCFaction))*(TRUNC(MOD((ROW($A59)*1103515245 +12345)/ 65536, 32768),0)/32768),0))</f>
        <v>Adventures Guild</v>
      </c>
      <c r="E22" s="72"/>
      <c r="F22" s="70"/>
      <c r="G22" s="72"/>
      <c r="H22" s="24"/>
      <c r="J22" s="70"/>
      <c r="K22" s="72"/>
      <c r="L22" s="75"/>
      <c r="M22" s="75"/>
      <c r="N22" s="76"/>
      <c r="O22" s="70"/>
      <c r="P22" s="70"/>
      <c r="Q22" s="17"/>
      <c r="R22" s="16"/>
      <c r="S22" s="72"/>
      <c r="T22" s="77"/>
    </row>
    <row r="23" spans="1:20" ht="15.75" customHeight="1">
      <c r="A23" s="2"/>
      <c r="B23" s="69" t="s">
        <v>228</v>
      </c>
      <c r="C23" s="77" t="s">
        <v>229</v>
      </c>
      <c r="D23" s="70" t="str">
        <f t="array" ref="D23">INDEX(NPCFaction,TRUNC(1+(COUNTA(NPCFaction))*(TRUNC(MOD((ROW($A60)*1103515245 +12345)/ 65536, 32768),0)/32768),0))</f>
        <v>Traverlers Guild</v>
      </c>
      <c r="E23" s="72"/>
      <c r="F23" s="70"/>
      <c r="G23" s="72"/>
      <c r="H23" s="24"/>
      <c r="J23" s="70"/>
      <c r="K23" s="72"/>
      <c r="L23" s="75"/>
      <c r="M23" s="75"/>
      <c r="N23" s="76"/>
      <c r="O23" s="70"/>
      <c r="P23" s="70"/>
      <c r="Q23" s="17"/>
      <c r="R23" s="16"/>
      <c r="S23" s="72"/>
      <c r="T23" s="77"/>
    </row>
    <row r="24" spans="1:20" ht="15.75" customHeight="1">
      <c r="A24" s="2"/>
      <c r="B24" s="69" t="s">
        <v>230</v>
      </c>
      <c r="C24" s="77" t="s">
        <v>231</v>
      </c>
      <c r="D24" s="70" t="str">
        <f t="array" ref="D24">INDEX(NPCFaction,TRUNC(1+(COUNTA(NPCFaction))*(TRUNC(MOD((ROW($A61)*1103515245 +12345)/ 65536, 32768),0)/32768),0))</f>
        <v>Adventures Guild</v>
      </c>
      <c r="E24" s="72"/>
      <c r="F24" s="70"/>
      <c r="G24" s="72"/>
      <c r="H24" s="24"/>
      <c r="J24" s="70"/>
      <c r="K24" s="72"/>
      <c r="L24" s="75"/>
      <c r="M24" s="75"/>
      <c r="N24" s="76"/>
      <c r="O24" s="70"/>
      <c r="P24" s="70"/>
      <c r="Q24" s="17"/>
      <c r="R24" s="16"/>
      <c r="S24" s="72"/>
      <c r="T24" s="77"/>
    </row>
    <row r="25" spans="1:20" ht="15.75" customHeight="1">
      <c r="A25" s="2"/>
      <c r="B25" s="69" t="s">
        <v>232</v>
      </c>
      <c r="C25" s="77" t="s">
        <v>233</v>
      </c>
      <c r="D25" s="70" t="str">
        <f t="array" ref="D25">INDEX(NPCFaction,TRUNC(1+(COUNTA(NPCFaction))*(TRUNC(MOD((ROW($A62)*1103515245 +12345)/ 65536, 32768),0)/32768),0))</f>
        <v>Traverlers Guild</v>
      </c>
      <c r="E25" s="72"/>
      <c r="F25" s="70"/>
      <c r="G25" s="72"/>
      <c r="H25" s="24"/>
      <c r="J25" s="70"/>
      <c r="K25" s="72"/>
      <c r="L25" s="75"/>
      <c r="M25" s="75"/>
      <c r="N25" s="76"/>
      <c r="O25" s="70"/>
      <c r="P25" s="70"/>
      <c r="Q25" s="17"/>
      <c r="R25" s="16"/>
      <c r="S25" s="72"/>
      <c r="T25" s="77"/>
    </row>
    <row r="26" spans="1:20" ht="15.75" customHeight="1">
      <c r="A26" s="2"/>
      <c r="B26" s="69" t="s">
        <v>234</v>
      </c>
      <c r="C26" s="77" t="s">
        <v>235</v>
      </c>
      <c r="D26" s="70" t="str">
        <f t="array" ref="D26">INDEX(NPCFaction,TRUNC(1+(COUNTA(NPCFaction))*(TRUNC(MOD((ROW($A63)*1103515245 +12345)/ 65536, 32768),0)/32768),0))</f>
        <v>Adventures Guild</v>
      </c>
      <c r="E26" s="72"/>
      <c r="F26" s="70"/>
      <c r="G26" s="72"/>
      <c r="H26" s="24"/>
      <c r="J26" s="70"/>
      <c r="K26" s="72"/>
      <c r="L26" s="75"/>
      <c r="M26" s="75"/>
      <c r="N26" s="76"/>
      <c r="O26" s="70"/>
      <c r="P26" s="70"/>
      <c r="Q26" s="17"/>
      <c r="R26" s="16"/>
      <c r="S26" s="72"/>
      <c r="T26" s="77"/>
    </row>
    <row r="27" spans="1:20" ht="15.75" customHeight="1">
      <c r="A27" s="2"/>
      <c r="B27" s="69" t="s">
        <v>236</v>
      </c>
      <c r="C27" s="77" t="s">
        <v>237</v>
      </c>
      <c r="D27" s="70" t="str">
        <f t="array" ref="D27">INDEX(NPCFaction,TRUNC(1+(COUNTA(NPCFaction))*(TRUNC(MOD((ROW($A64)*1103515245 +12345)/ 65536, 32768),0)/32768),0))</f>
        <v>Traverlers Guild</v>
      </c>
      <c r="E27" s="72"/>
      <c r="F27" s="70"/>
      <c r="G27" s="72"/>
      <c r="H27" s="24"/>
      <c r="J27" s="70"/>
      <c r="K27" s="72"/>
      <c r="L27" s="75"/>
      <c r="M27" s="75"/>
      <c r="N27" s="76"/>
      <c r="O27" s="70"/>
      <c r="P27" s="70"/>
      <c r="Q27" s="17"/>
      <c r="R27" s="16"/>
      <c r="S27" s="72"/>
      <c r="T27" s="77"/>
    </row>
    <row r="28" spans="1:20" ht="15.75" customHeight="1">
      <c r="A28" s="2"/>
      <c r="B28" s="69" t="s">
        <v>238</v>
      </c>
      <c r="C28" s="77" t="s">
        <v>239</v>
      </c>
      <c r="D28" s="70" t="str">
        <f t="array" ref="D28">INDEX(NPCFaction,TRUNC(1+(COUNTA(NPCFaction))*(TRUNC(MOD((ROW($A65)*1103515245 +12345)/ 65536, 32768),0)/32768),0))</f>
        <v>Thieves Guild</v>
      </c>
      <c r="E28" s="72"/>
      <c r="F28" s="70"/>
      <c r="G28" s="72"/>
      <c r="H28" s="24"/>
      <c r="J28" s="70"/>
      <c r="K28" s="72"/>
      <c r="L28" s="75"/>
      <c r="M28" s="75"/>
      <c r="N28" s="76"/>
      <c r="O28" s="70"/>
      <c r="P28" s="70"/>
      <c r="Q28" s="17"/>
      <c r="R28" s="16"/>
      <c r="S28" s="72"/>
      <c r="T28" s="77"/>
    </row>
    <row r="29" spans="1:20" ht="15.75" customHeight="1">
      <c r="A29" s="2"/>
      <c r="B29" s="69" t="s">
        <v>240</v>
      </c>
      <c r="C29" s="77" t="s">
        <v>241</v>
      </c>
      <c r="D29" s="70" t="str">
        <f t="array" ref="D29">INDEX(NPCFaction,TRUNC(1+(COUNTA(NPCFaction))*(TRUNC(MOD((ROW($A66)*1103515245 +12345)/ 65536, 32768),0)/32768),0))</f>
        <v>Followers of Isis</v>
      </c>
      <c r="E29" s="72"/>
      <c r="F29" s="70"/>
      <c r="G29" s="72"/>
      <c r="H29" s="24"/>
      <c r="J29" s="70"/>
      <c r="K29" s="72"/>
      <c r="L29" s="75"/>
      <c r="M29" s="75"/>
      <c r="N29" s="76"/>
      <c r="O29" s="70"/>
      <c r="P29" s="70"/>
      <c r="Q29" s="17"/>
      <c r="R29" s="16"/>
      <c r="S29" s="72"/>
      <c r="T29" s="77"/>
    </row>
    <row r="30" spans="1:20" ht="13.2">
      <c r="A30" s="2"/>
      <c r="B30" s="69" t="s">
        <v>242</v>
      </c>
      <c r="C30" s="77" t="s">
        <v>243</v>
      </c>
      <c r="D30" s="70" t="str">
        <f t="array" ref="D30">INDEX(NPCFaction,TRUNC(1+(COUNTA(NPCFaction))*(TRUNC(MOD((ROW($A67)*1103515245 +12345)/ 65536, 32768),0)/32768),0))</f>
        <v>Thieves Guild</v>
      </c>
      <c r="E30" s="72"/>
      <c r="F30" s="70"/>
      <c r="G30" s="72"/>
      <c r="H30" s="24"/>
      <c r="J30" s="70"/>
      <c r="K30" s="72"/>
      <c r="L30" s="75"/>
      <c r="M30" s="75"/>
      <c r="N30" s="76"/>
      <c r="O30" s="70"/>
      <c r="P30" s="70"/>
      <c r="Q30" s="17"/>
      <c r="R30" s="16"/>
      <c r="S30" s="72"/>
      <c r="T30" s="77"/>
    </row>
    <row r="31" spans="1:20" ht="13.2">
      <c r="A31" s="2"/>
      <c r="B31" s="69" t="s">
        <v>244</v>
      </c>
      <c r="C31" s="77" t="s">
        <v>245</v>
      </c>
      <c r="D31" s="70" t="str">
        <f t="array" ref="D31">INDEX(NPCFaction,TRUNC(1+(COUNTA(NPCFaction))*(TRUNC(MOD((ROW($A68)*1103515245 +12345)/ 65536, 32768),0)/32768),0))</f>
        <v>Followers of Isis</v>
      </c>
      <c r="E31" s="72"/>
      <c r="F31" s="70"/>
      <c r="G31" s="72"/>
      <c r="H31" s="24"/>
      <c r="J31" s="70"/>
      <c r="K31" s="72"/>
      <c r="L31" s="75"/>
      <c r="M31" s="75"/>
      <c r="N31" s="76"/>
      <c r="O31" s="70"/>
      <c r="P31" s="70"/>
      <c r="Q31" s="17"/>
      <c r="R31" s="16"/>
      <c r="S31" s="72"/>
      <c r="T31" s="77"/>
    </row>
    <row r="32" spans="1:20" ht="13.2">
      <c r="A32" s="2"/>
      <c r="B32" s="69" t="s">
        <v>246</v>
      </c>
      <c r="C32" s="77"/>
      <c r="D32" s="16"/>
      <c r="E32" s="72"/>
      <c r="F32" s="70"/>
      <c r="G32" s="72"/>
      <c r="H32" s="24"/>
      <c r="J32" s="70"/>
      <c r="K32" s="72"/>
      <c r="L32" s="75"/>
      <c r="M32" s="75"/>
      <c r="N32" s="76"/>
      <c r="O32" s="70"/>
      <c r="P32" s="70"/>
      <c r="Q32" s="17"/>
      <c r="R32" s="16"/>
      <c r="S32" s="72"/>
      <c r="T32" s="77"/>
    </row>
    <row r="33" spans="1:20" ht="13.2">
      <c r="A33" s="2"/>
      <c r="B33" s="69" t="s">
        <v>247</v>
      </c>
      <c r="C33" s="77"/>
      <c r="D33" s="16"/>
      <c r="E33" s="72"/>
      <c r="F33" s="70"/>
      <c r="G33" s="72"/>
      <c r="H33" s="24"/>
      <c r="J33" s="70"/>
      <c r="K33" s="72"/>
      <c r="L33" s="75"/>
      <c r="M33" s="75"/>
      <c r="N33" s="76"/>
      <c r="O33" s="70"/>
      <c r="P33" s="70"/>
      <c r="Q33" s="17"/>
      <c r="R33" s="16"/>
      <c r="S33" s="72"/>
      <c r="T33" s="77"/>
    </row>
    <row r="34" spans="1:20" ht="13.2">
      <c r="A34" s="2"/>
      <c r="B34" s="69" t="s">
        <v>248</v>
      </c>
      <c r="C34" s="77"/>
      <c r="D34" s="16"/>
      <c r="E34" s="72"/>
      <c r="F34" s="70"/>
      <c r="G34" s="72"/>
      <c r="H34" s="24"/>
      <c r="J34" s="70"/>
      <c r="K34" s="72"/>
      <c r="L34" s="75"/>
      <c r="M34" s="75"/>
      <c r="N34" s="76"/>
      <c r="O34" s="70"/>
      <c r="P34" s="70"/>
      <c r="Q34" s="17"/>
      <c r="R34" s="16"/>
      <c r="S34" s="72"/>
      <c r="T34" s="77"/>
    </row>
    <row r="35" spans="1:20" ht="13.2">
      <c r="A35" s="2"/>
      <c r="B35" s="69" t="s">
        <v>249</v>
      </c>
      <c r="C35" s="77"/>
      <c r="D35" s="16"/>
      <c r="E35" s="72"/>
      <c r="F35" s="70"/>
      <c r="G35" s="72"/>
      <c r="H35" s="24"/>
      <c r="J35" s="70"/>
      <c r="K35" s="72"/>
      <c r="L35" s="75"/>
      <c r="M35" s="75"/>
      <c r="N35" s="76"/>
      <c r="O35" s="70"/>
      <c r="P35" s="70"/>
      <c r="Q35" s="17"/>
      <c r="R35" s="16"/>
      <c r="S35" s="72"/>
      <c r="T35" s="77"/>
    </row>
    <row r="36" spans="1:20" ht="13.2">
      <c r="A36" s="2"/>
      <c r="B36" s="69" t="s">
        <v>250</v>
      </c>
      <c r="C36" s="77"/>
      <c r="D36" s="16"/>
      <c r="E36" s="72"/>
      <c r="F36" s="70"/>
      <c r="G36" s="72"/>
      <c r="H36" s="24"/>
      <c r="J36" s="70"/>
      <c r="K36" s="72"/>
      <c r="L36" s="75"/>
      <c r="M36" s="75"/>
      <c r="N36" s="76"/>
      <c r="O36" s="70"/>
      <c r="P36" s="70"/>
      <c r="Q36" s="17"/>
      <c r="R36" s="16"/>
      <c r="S36" s="72"/>
      <c r="T36" s="77"/>
    </row>
    <row r="37" spans="1:20" ht="13.2">
      <c r="A37" s="2"/>
      <c r="B37" s="69" t="s">
        <v>251</v>
      </c>
      <c r="C37" s="77"/>
      <c r="D37" s="16"/>
      <c r="E37" s="72"/>
      <c r="F37" s="70"/>
      <c r="G37" s="72"/>
      <c r="H37" s="24"/>
      <c r="J37" s="70"/>
      <c r="K37" s="72"/>
      <c r="L37" s="75"/>
      <c r="M37" s="75"/>
      <c r="N37" s="76"/>
      <c r="O37" s="70"/>
      <c r="P37" s="70"/>
      <c r="Q37" s="17"/>
      <c r="R37" s="16"/>
      <c r="S37" s="72"/>
      <c r="T37" s="77"/>
    </row>
    <row r="38" spans="1:20" ht="13.2">
      <c r="A38" s="2"/>
      <c r="B38" s="69" t="s">
        <v>252</v>
      </c>
      <c r="C38" s="77"/>
      <c r="D38" s="16"/>
      <c r="E38" s="72"/>
      <c r="F38" s="70"/>
      <c r="G38" s="72"/>
      <c r="H38" s="24"/>
      <c r="J38" s="70"/>
      <c r="K38" s="72"/>
      <c r="L38" s="75"/>
      <c r="M38" s="75"/>
      <c r="N38" s="76"/>
      <c r="O38" s="70"/>
      <c r="P38" s="70"/>
      <c r="Q38" s="17"/>
      <c r="R38" s="16"/>
      <c r="S38" s="72"/>
      <c r="T38" s="77"/>
    </row>
    <row r="39" spans="1:20" ht="13.2">
      <c r="A39" s="2"/>
      <c r="B39" s="69" t="s">
        <v>253</v>
      </c>
      <c r="C39" s="77"/>
      <c r="D39" s="16"/>
      <c r="E39" s="72"/>
      <c r="F39" s="70"/>
      <c r="G39" s="72"/>
      <c r="H39" s="24"/>
      <c r="J39" s="70"/>
      <c r="K39" s="72"/>
      <c r="L39" s="75"/>
      <c r="M39" s="75"/>
      <c r="N39" s="76"/>
      <c r="O39" s="70"/>
      <c r="P39" s="70"/>
      <c r="Q39" s="17"/>
      <c r="R39" s="16"/>
      <c r="S39" s="72"/>
      <c r="T39" s="77"/>
    </row>
    <row r="40" spans="1:20" ht="13.2">
      <c r="A40" s="2"/>
      <c r="B40" s="69" t="s">
        <v>254</v>
      </c>
      <c r="C40" s="77"/>
      <c r="D40" s="16"/>
      <c r="E40" s="72"/>
      <c r="F40" s="70"/>
      <c r="G40" s="72"/>
      <c r="H40" s="24"/>
      <c r="J40" s="70"/>
      <c r="K40" s="72"/>
      <c r="L40" s="75"/>
      <c r="M40" s="75"/>
      <c r="N40" s="76"/>
      <c r="O40" s="70"/>
      <c r="P40" s="70"/>
      <c r="Q40" s="17"/>
      <c r="R40" s="16"/>
      <c r="S40" s="72"/>
      <c r="T40" s="77"/>
    </row>
    <row r="41" spans="1:20" ht="13.2">
      <c r="A41" s="2"/>
      <c r="B41" s="69" t="s">
        <v>255</v>
      </c>
      <c r="C41" s="77"/>
      <c r="D41" s="16"/>
      <c r="E41" s="72"/>
      <c r="F41" s="70"/>
      <c r="G41" s="72"/>
      <c r="H41" s="24"/>
      <c r="J41" s="70"/>
      <c r="K41" s="72"/>
      <c r="L41" s="75"/>
      <c r="M41" s="75"/>
      <c r="N41" s="76"/>
      <c r="O41" s="70"/>
      <c r="P41" s="70"/>
      <c r="Q41" s="17"/>
      <c r="R41" s="16"/>
      <c r="S41" s="72"/>
      <c r="T41" s="77"/>
    </row>
    <row r="42" spans="1:20" ht="13.2">
      <c r="A42" s="2"/>
      <c r="B42" s="69" t="s">
        <v>256</v>
      </c>
      <c r="C42" s="77"/>
      <c r="D42" s="16"/>
      <c r="E42" s="72"/>
      <c r="F42" s="70"/>
      <c r="G42" s="72"/>
      <c r="H42" s="24"/>
      <c r="J42" s="70"/>
      <c r="K42" s="72"/>
      <c r="L42" s="75"/>
      <c r="M42" s="75"/>
      <c r="N42" s="76"/>
      <c r="O42" s="70"/>
      <c r="P42" s="70"/>
      <c r="Q42" s="17"/>
      <c r="R42" s="16"/>
      <c r="S42" s="72"/>
      <c r="T42" s="77"/>
    </row>
    <row r="43" spans="1:20" ht="13.2">
      <c r="A43" s="2"/>
      <c r="B43" s="69" t="s">
        <v>257</v>
      </c>
      <c r="C43" s="77"/>
      <c r="D43" s="16"/>
      <c r="E43" s="72"/>
      <c r="F43" s="70"/>
      <c r="G43" s="72"/>
      <c r="H43" s="24"/>
      <c r="J43" s="70"/>
      <c r="K43" s="72"/>
      <c r="L43" s="75"/>
      <c r="M43" s="75"/>
      <c r="N43" s="76"/>
      <c r="O43" s="70"/>
      <c r="P43" s="70"/>
      <c r="Q43" s="17"/>
      <c r="R43" s="16"/>
      <c r="S43" s="72"/>
      <c r="T43" s="77"/>
    </row>
    <row r="44" spans="1:20" ht="13.2">
      <c r="A44" s="2"/>
      <c r="B44" s="69" t="s">
        <v>258</v>
      </c>
      <c r="C44" s="77"/>
      <c r="D44" s="16"/>
      <c r="E44" s="72"/>
      <c r="F44" s="70"/>
      <c r="G44" s="72"/>
      <c r="H44" s="24"/>
      <c r="J44" s="70"/>
      <c r="K44" s="72"/>
      <c r="L44" s="75"/>
      <c r="M44" s="75"/>
      <c r="N44" s="76"/>
      <c r="O44" s="70"/>
      <c r="P44" s="70"/>
      <c r="Q44" s="17"/>
      <c r="R44" s="16"/>
      <c r="S44" s="72"/>
      <c r="T44" s="77"/>
    </row>
    <row r="45" spans="1:20" ht="13.2">
      <c r="A45" s="2"/>
      <c r="B45" s="69" t="s">
        <v>259</v>
      </c>
      <c r="C45" s="77"/>
      <c r="D45" s="16"/>
      <c r="E45" s="72"/>
      <c r="F45" s="70"/>
      <c r="G45" s="72"/>
      <c r="H45" s="24"/>
      <c r="J45" s="70"/>
      <c r="K45" s="72"/>
      <c r="L45" s="75"/>
      <c r="M45" s="75"/>
      <c r="N45" s="76"/>
      <c r="O45" s="70"/>
      <c r="P45" s="70"/>
      <c r="Q45" s="17"/>
      <c r="R45" s="16"/>
      <c r="S45" s="72"/>
      <c r="T45" s="77"/>
    </row>
    <row r="46" spans="1:20" ht="13.2">
      <c r="A46" s="2"/>
      <c r="B46" s="69" t="s">
        <v>260</v>
      </c>
      <c r="C46" s="77"/>
      <c r="D46" s="16"/>
      <c r="E46" s="72"/>
      <c r="F46" s="70"/>
      <c r="G46" s="72"/>
      <c r="H46" s="24"/>
      <c r="J46" s="70"/>
      <c r="K46" s="72"/>
      <c r="L46" s="75"/>
      <c r="M46" s="75"/>
      <c r="N46" s="76"/>
      <c r="O46" s="70"/>
      <c r="P46" s="70"/>
      <c r="Q46" s="17"/>
      <c r="R46" s="16"/>
      <c r="S46" s="72"/>
      <c r="T46" s="77"/>
    </row>
    <row r="47" spans="1:20" ht="13.2">
      <c r="A47" s="2"/>
      <c r="B47" s="69" t="s">
        <v>261</v>
      </c>
      <c r="C47" s="77"/>
      <c r="D47" s="16"/>
      <c r="E47" s="72"/>
      <c r="F47" s="70"/>
      <c r="G47" s="72"/>
      <c r="H47" s="24"/>
      <c r="J47" s="70"/>
      <c r="K47" s="72"/>
      <c r="L47" s="75"/>
      <c r="M47" s="75"/>
      <c r="N47" s="76"/>
      <c r="O47" s="70"/>
      <c r="P47" s="70"/>
      <c r="Q47" s="17"/>
      <c r="R47" s="16"/>
      <c r="S47" s="72"/>
      <c r="T47" s="77"/>
    </row>
    <row r="48" spans="1:20" ht="13.2">
      <c r="A48" s="2"/>
      <c r="B48" s="69" t="s">
        <v>262</v>
      </c>
      <c r="C48" s="77"/>
      <c r="D48" s="16"/>
      <c r="E48" s="72"/>
      <c r="F48" s="70"/>
      <c r="G48" s="72"/>
      <c r="H48" s="24"/>
      <c r="J48" s="70"/>
      <c r="K48" s="72"/>
      <c r="L48" s="75"/>
      <c r="M48" s="75"/>
      <c r="N48" s="76"/>
      <c r="O48" s="70"/>
      <c r="P48" s="70"/>
      <c r="Q48" s="17"/>
      <c r="R48" s="16"/>
      <c r="S48" s="72"/>
      <c r="T48" s="77"/>
    </row>
    <row r="49" spans="1:20" ht="13.2">
      <c r="A49" s="2"/>
      <c r="B49" s="69" t="s">
        <v>263</v>
      </c>
      <c r="C49" s="77"/>
      <c r="D49" s="16"/>
      <c r="E49" s="72"/>
      <c r="F49" s="70"/>
      <c r="G49" s="72"/>
      <c r="H49" s="24"/>
      <c r="J49" s="70"/>
      <c r="K49" s="72"/>
      <c r="L49" s="75"/>
      <c r="M49" s="75"/>
      <c r="N49" s="76"/>
      <c r="O49" s="70"/>
      <c r="P49" s="70"/>
      <c r="Q49" s="17"/>
      <c r="R49" s="16"/>
      <c r="S49" s="72"/>
      <c r="T49" s="77"/>
    </row>
    <row r="50" spans="1:20" ht="13.2">
      <c r="A50" s="2"/>
      <c r="B50" s="69" t="s">
        <v>264</v>
      </c>
      <c r="C50" s="77"/>
      <c r="D50" s="16"/>
      <c r="E50" s="72"/>
      <c r="F50" s="70"/>
      <c r="G50" s="72"/>
      <c r="H50" s="24"/>
      <c r="J50" s="70"/>
      <c r="K50" s="72"/>
      <c r="L50" s="75"/>
      <c r="M50" s="75"/>
      <c r="N50" s="76"/>
      <c r="O50" s="70"/>
      <c r="P50" s="70"/>
      <c r="Q50" s="17"/>
      <c r="R50" s="16"/>
      <c r="S50" s="72"/>
      <c r="T50" s="77"/>
    </row>
    <row r="51" spans="1:20" ht="13.2">
      <c r="A51" s="2"/>
      <c r="B51" s="69" t="s">
        <v>265</v>
      </c>
      <c r="C51" s="77"/>
      <c r="D51" s="16"/>
      <c r="E51" s="72"/>
      <c r="F51" s="70"/>
      <c r="G51" s="72"/>
      <c r="H51" s="24"/>
      <c r="J51" s="70"/>
      <c r="K51" s="72"/>
      <c r="L51" s="75"/>
      <c r="M51" s="75"/>
      <c r="N51" s="76"/>
      <c r="O51" s="70"/>
      <c r="P51" s="70"/>
      <c r="Q51" s="17"/>
      <c r="R51" s="16"/>
      <c r="S51" s="72"/>
      <c r="T51" s="77"/>
    </row>
    <row r="52" spans="1:20" ht="13.2">
      <c r="A52" s="2"/>
      <c r="B52" s="69" t="s">
        <v>266</v>
      </c>
      <c r="C52" s="77"/>
      <c r="D52" s="16"/>
      <c r="E52" s="72"/>
      <c r="F52" s="70"/>
      <c r="G52" s="72"/>
      <c r="H52" s="24"/>
      <c r="J52" s="70"/>
      <c r="K52" s="72"/>
      <c r="L52" s="75"/>
      <c r="M52" s="75"/>
      <c r="N52" s="76"/>
      <c r="O52" s="70"/>
      <c r="P52" s="70"/>
      <c r="Q52" s="17"/>
      <c r="R52" s="16"/>
      <c r="S52" s="72"/>
      <c r="T52" s="77"/>
    </row>
    <row r="53" spans="1:20" ht="13.2">
      <c r="A53" s="2"/>
      <c r="B53" s="69" t="s">
        <v>267</v>
      </c>
      <c r="C53" s="77"/>
      <c r="D53" s="16"/>
      <c r="E53" s="72"/>
      <c r="F53" s="70"/>
      <c r="G53" s="72"/>
      <c r="H53" s="24"/>
      <c r="J53" s="70"/>
      <c r="K53" s="72"/>
      <c r="L53" s="75"/>
      <c r="M53" s="75"/>
      <c r="N53" s="76"/>
      <c r="O53" s="70"/>
      <c r="P53" s="70"/>
      <c r="Q53" s="17"/>
      <c r="R53" s="16"/>
      <c r="S53" s="72"/>
      <c r="T53" s="77"/>
    </row>
    <row r="54" spans="1:20" ht="13.2">
      <c r="A54" s="2"/>
      <c r="B54" s="69" t="s">
        <v>268</v>
      </c>
      <c r="C54" s="77"/>
      <c r="D54" s="16"/>
      <c r="E54" s="72"/>
      <c r="F54" s="70"/>
      <c r="G54" s="72"/>
      <c r="H54" s="24"/>
      <c r="J54" s="70"/>
      <c r="K54" s="72"/>
      <c r="L54" s="75"/>
      <c r="M54" s="75"/>
      <c r="N54" s="76"/>
      <c r="O54" s="70"/>
      <c r="P54" s="70"/>
      <c r="Q54" s="17"/>
      <c r="R54" s="16"/>
      <c r="S54" s="72"/>
      <c r="T54" s="77"/>
    </row>
    <row r="55" spans="1:20" ht="13.2">
      <c r="A55" s="2"/>
      <c r="B55" s="69" t="s">
        <v>269</v>
      </c>
      <c r="C55" s="77"/>
      <c r="D55" s="16"/>
      <c r="E55" s="72"/>
      <c r="F55" s="70"/>
      <c r="G55" s="72"/>
      <c r="H55" s="24"/>
      <c r="J55" s="70"/>
      <c r="K55" s="72"/>
      <c r="L55" s="75"/>
      <c r="M55" s="75"/>
      <c r="N55" s="76"/>
      <c r="O55" s="70"/>
      <c r="P55" s="70"/>
      <c r="Q55" s="17"/>
      <c r="R55" s="16"/>
      <c r="S55" s="72"/>
      <c r="T55" s="77"/>
    </row>
    <row r="56" spans="1:20" ht="13.2">
      <c r="A56" s="2"/>
      <c r="B56" s="69" t="s">
        <v>270</v>
      </c>
      <c r="C56" s="77"/>
      <c r="D56" s="16"/>
      <c r="E56" s="72"/>
      <c r="F56" s="70"/>
      <c r="G56" s="72"/>
      <c r="H56" s="24"/>
      <c r="J56" s="70"/>
      <c r="K56" s="72"/>
      <c r="L56" s="75"/>
      <c r="M56" s="75"/>
      <c r="N56" s="76"/>
      <c r="O56" s="70"/>
      <c r="P56" s="70"/>
      <c r="Q56" s="17"/>
      <c r="R56" s="16"/>
      <c r="S56" s="72"/>
      <c r="T56" s="77"/>
    </row>
    <row r="57" spans="1:20" ht="13.2">
      <c r="A57" s="2"/>
      <c r="B57" s="69" t="s">
        <v>271</v>
      </c>
      <c r="C57" s="77"/>
      <c r="D57" s="16"/>
      <c r="E57" s="72"/>
      <c r="F57" s="70"/>
      <c r="G57" s="72"/>
      <c r="H57" s="24"/>
      <c r="J57" s="70"/>
      <c r="K57" s="72"/>
      <c r="L57" s="75"/>
      <c r="M57" s="75"/>
      <c r="N57" s="76"/>
      <c r="O57" s="70"/>
      <c r="P57" s="70"/>
      <c r="Q57" s="17"/>
      <c r="R57" s="16"/>
      <c r="S57" s="72"/>
      <c r="T57" s="77"/>
    </row>
    <row r="58" spans="1:20" ht="13.2">
      <c r="A58" s="2"/>
      <c r="B58" s="69" t="s">
        <v>272</v>
      </c>
      <c r="C58" s="77"/>
      <c r="D58" s="16"/>
      <c r="E58" s="72"/>
      <c r="F58" s="70"/>
      <c r="G58" s="72"/>
      <c r="H58" s="24"/>
      <c r="J58" s="70"/>
      <c r="K58" s="72"/>
      <c r="L58" s="75"/>
      <c r="M58" s="75"/>
      <c r="N58" s="76"/>
      <c r="O58" s="70"/>
      <c r="P58" s="70"/>
      <c r="Q58" s="17"/>
      <c r="R58" s="16"/>
      <c r="S58" s="72"/>
      <c r="T58" s="77"/>
    </row>
    <row r="59" spans="1:20" ht="13.2">
      <c r="A59" s="2"/>
      <c r="B59" s="69" t="s">
        <v>273</v>
      </c>
      <c r="C59" s="77"/>
      <c r="D59" s="16"/>
      <c r="E59" s="72"/>
      <c r="F59" s="70"/>
      <c r="G59" s="72"/>
      <c r="H59" s="24"/>
      <c r="J59" s="70"/>
      <c r="K59" s="72"/>
      <c r="L59" s="75"/>
      <c r="M59" s="75"/>
      <c r="N59" s="76"/>
      <c r="O59" s="70"/>
      <c r="P59" s="70"/>
      <c r="Q59" s="17"/>
      <c r="R59" s="16"/>
      <c r="S59" s="72"/>
      <c r="T59" s="77"/>
    </row>
    <row r="60" spans="1:20" ht="13.2">
      <c r="A60" s="2"/>
      <c r="B60" s="69" t="s">
        <v>274</v>
      </c>
      <c r="C60" s="77"/>
      <c r="D60" s="16"/>
      <c r="E60" s="72"/>
      <c r="F60" s="70"/>
      <c r="G60" s="72"/>
      <c r="H60" s="24"/>
      <c r="J60" s="70"/>
      <c r="K60" s="72"/>
      <c r="L60" s="75"/>
      <c r="M60" s="75"/>
      <c r="N60" s="76"/>
      <c r="O60" s="70"/>
      <c r="P60" s="70"/>
      <c r="Q60" s="17"/>
      <c r="R60" s="16"/>
      <c r="S60" s="72"/>
      <c r="T60" s="77"/>
    </row>
    <row r="61" spans="1:20" ht="13.2">
      <c r="A61" s="2"/>
      <c r="B61" s="69" t="s">
        <v>275</v>
      </c>
      <c r="C61" s="77"/>
      <c r="D61" s="16"/>
      <c r="E61" s="72"/>
      <c r="F61" s="70"/>
      <c r="G61" s="72"/>
      <c r="H61" s="24"/>
      <c r="J61" s="70"/>
      <c r="K61" s="72"/>
      <c r="L61" s="75"/>
      <c r="M61" s="75"/>
      <c r="N61" s="76"/>
      <c r="O61" s="70"/>
      <c r="P61" s="70"/>
      <c r="Q61" s="17"/>
      <c r="R61" s="16"/>
      <c r="S61" s="72"/>
      <c r="T61" s="77"/>
    </row>
    <row r="62" spans="1:20" ht="13.2">
      <c r="A62" s="2"/>
      <c r="B62" s="69" t="s">
        <v>276</v>
      </c>
      <c r="C62" s="77"/>
      <c r="D62" s="16"/>
      <c r="E62" s="72"/>
      <c r="F62" s="70"/>
      <c r="G62" s="72"/>
      <c r="H62" s="24"/>
      <c r="J62" s="70"/>
      <c r="K62" s="72"/>
      <c r="L62" s="75"/>
      <c r="M62" s="75"/>
      <c r="N62" s="76"/>
      <c r="O62" s="70"/>
      <c r="P62" s="70"/>
      <c r="Q62" s="17"/>
      <c r="R62" s="16"/>
      <c r="S62" s="72"/>
      <c r="T62" s="77"/>
    </row>
    <row r="63" spans="1:20" ht="13.2">
      <c r="A63" s="2"/>
      <c r="B63" s="69" t="s">
        <v>277</v>
      </c>
      <c r="C63" s="77"/>
      <c r="D63" s="16"/>
      <c r="E63" s="72"/>
      <c r="F63" s="70"/>
      <c r="G63" s="72"/>
      <c r="H63" s="24"/>
      <c r="J63" s="70"/>
      <c r="K63" s="72"/>
      <c r="L63" s="75"/>
      <c r="M63" s="75"/>
      <c r="N63" s="76"/>
      <c r="O63" s="70"/>
      <c r="P63" s="70"/>
      <c r="Q63" s="17"/>
      <c r="R63" s="16"/>
      <c r="S63" s="72"/>
      <c r="T63" s="77"/>
    </row>
    <row r="64" spans="1:20" ht="13.2">
      <c r="A64" s="2"/>
      <c r="B64" s="69" t="s">
        <v>278</v>
      </c>
      <c r="C64" s="77"/>
      <c r="D64" s="16"/>
      <c r="E64" s="72"/>
      <c r="F64" s="70"/>
      <c r="G64" s="72"/>
      <c r="H64" s="24"/>
      <c r="J64" s="70"/>
      <c r="K64" s="72"/>
      <c r="L64" s="75"/>
      <c r="M64" s="75"/>
      <c r="N64" s="76"/>
      <c r="O64" s="70"/>
      <c r="P64" s="70"/>
      <c r="Q64" s="17"/>
      <c r="R64" s="16"/>
      <c r="S64" s="72"/>
      <c r="T64" s="77"/>
    </row>
    <row r="65" spans="1:20" ht="13.2">
      <c r="A65" s="2"/>
      <c r="B65" s="69" t="s">
        <v>279</v>
      </c>
      <c r="C65" s="77"/>
      <c r="D65" s="16"/>
      <c r="E65" s="72"/>
      <c r="F65" s="70"/>
      <c r="G65" s="72"/>
      <c r="H65" s="24"/>
      <c r="J65" s="70"/>
      <c r="K65" s="72"/>
      <c r="L65" s="75"/>
      <c r="M65" s="75"/>
      <c r="N65" s="76"/>
      <c r="O65" s="70"/>
      <c r="P65" s="70"/>
      <c r="Q65" s="17"/>
      <c r="R65" s="16"/>
      <c r="S65" s="72"/>
      <c r="T65" s="77"/>
    </row>
    <row r="66" spans="1:20" ht="13.2">
      <c r="A66" s="2"/>
      <c r="B66" s="69" t="s">
        <v>280</v>
      </c>
      <c r="C66" s="77"/>
      <c r="D66" s="16"/>
      <c r="E66" s="72"/>
      <c r="F66" s="70"/>
      <c r="G66" s="72"/>
      <c r="H66" s="24"/>
      <c r="J66" s="70"/>
      <c r="K66" s="72"/>
      <c r="L66" s="75"/>
      <c r="M66" s="75"/>
      <c r="N66" s="76"/>
      <c r="O66" s="70"/>
      <c r="P66" s="70"/>
      <c r="Q66" s="17"/>
      <c r="R66" s="16"/>
      <c r="S66" s="72"/>
      <c r="T66" s="77"/>
    </row>
    <row r="67" spans="1:20" ht="13.2">
      <c r="A67" s="2"/>
      <c r="B67" s="69" t="s">
        <v>281</v>
      </c>
      <c r="C67" s="77"/>
      <c r="D67" s="16"/>
      <c r="E67" s="72"/>
      <c r="F67" s="70"/>
      <c r="G67" s="72"/>
      <c r="H67" s="24"/>
      <c r="J67" s="70"/>
      <c r="K67" s="72"/>
      <c r="L67" s="75"/>
      <c r="M67" s="75"/>
      <c r="N67" s="76"/>
      <c r="O67" s="70"/>
      <c r="P67" s="70"/>
      <c r="Q67" s="17"/>
      <c r="R67" s="16"/>
      <c r="S67" s="72"/>
      <c r="T67" s="77"/>
    </row>
    <row r="68" spans="1:20" ht="13.2">
      <c r="A68" s="2"/>
      <c r="B68" s="69" t="s">
        <v>282</v>
      </c>
      <c r="C68" s="77"/>
      <c r="D68" s="16"/>
      <c r="E68" s="72"/>
      <c r="F68" s="70"/>
      <c r="G68" s="72"/>
      <c r="H68" s="24"/>
      <c r="J68" s="70"/>
      <c r="K68" s="72"/>
      <c r="L68" s="75"/>
      <c r="M68" s="75"/>
      <c r="N68" s="76"/>
      <c r="O68" s="70"/>
      <c r="P68" s="70"/>
      <c r="Q68" s="17"/>
      <c r="R68" s="16"/>
      <c r="S68" s="72"/>
      <c r="T68" s="77"/>
    </row>
    <row r="69" spans="1:20" ht="13.2">
      <c r="A69" s="2"/>
      <c r="B69" s="69" t="s">
        <v>283</v>
      </c>
      <c r="C69" s="77"/>
      <c r="D69" s="16"/>
      <c r="E69" s="72"/>
      <c r="F69" s="70"/>
      <c r="G69" s="72"/>
      <c r="H69" s="24"/>
      <c r="J69" s="70"/>
      <c r="K69" s="72"/>
      <c r="L69" s="75"/>
      <c r="M69" s="75"/>
      <c r="N69" s="76"/>
      <c r="O69" s="70"/>
      <c r="P69" s="70"/>
      <c r="Q69" s="17"/>
      <c r="R69" s="16"/>
      <c r="S69" s="72"/>
      <c r="T69" s="77"/>
    </row>
    <row r="70" spans="1:20" ht="13.2">
      <c r="A70" s="2"/>
      <c r="B70" s="69" t="s">
        <v>284</v>
      </c>
      <c r="C70" s="77"/>
      <c r="D70" s="16"/>
      <c r="E70" s="72"/>
      <c r="F70" s="70"/>
      <c r="G70" s="72"/>
      <c r="H70" s="24"/>
      <c r="J70" s="70"/>
      <c r="K70" s="72"/>
      <c r="L70" s="75"/>
      <c r="M70" s="75"/>
      <c r="N70" s="76"/>
      <c r="O70" s="70"/>
      <c r="P70" s="70"/>
      <c r="Q70" s="17"/>
      <c r="R70" s="16"/>
      <c r="S70" s="72"/>
      <c r="T70" s="77"/>
    </row>
    <row r="71" spans="1:20" ht="13.2">
      <c r="A71" s="2"/>
      <c r="B71" s="69" t="s">
        <v>285</v>
      </c>
      <c r="C71" s="77"/>
      <c r="D71" s="16"/>
      <c r="E71" s="72"/>
      <c r="F71" s="70"/>
      <c r="G71" s="72"/>
      <c r="H71" s="24"/>
      <c r="J71" s="70"/>
      <c r="K71" s="72"/>
      <c r="L71" s="75"/>
      <c r="M71" s="75"/>
      <c r="N71" s="76"/>
      <c r="O71" s="70"/>
      <c r="P71" s="70"/>
      <c r="Q71" s="17"/>
      <c r="R71" s="16"/>
      <c r="S71" s="72"/>
      <c r="T71" s="77"/>
    </row>
    <row r="72" spans="1:20" ht="13.2">
      <c r="A72" s="2"/>
      <c r="B72" s="69" t="s">
        <v>286</v>
      </c>
      <c r="C72" s="77"/>
      <c r="D72" s="16"/>
      <c r="E72" s="72"/>
      <c r="F72" s="70"/>
      <c r="G72" s="72"/>
      <c r="H72" s="24"/>
      <c r="J72" s="70"/>
      <c r="K72" s="72"/>
      <c r="L72" s="75"/>
      <c r="M72" s="75"/>
      <c r="N72" s="76"/>
      <c r="O72" s="70"/>
      <c r="P72" s="70"/>
      <c r="Q72" s="17"/>
      <c r="R72" s="16"/>
      <c r="S72" s="72"/>
      <c r="T72" s="77"/>
    </row>
    <row r="73" spans="1:20" ht="13.2">
      <c r="A73" s="2"/>
      <c r="B73" s="69" t="s">
        <v>287</v>
      </c>
      <c r="C73" s="77"/>
      <c r="D73" s="16"/>
      <c r="E73" s="72"/>
      <c r="F73" s="70"/>
      <c r="G73" s="72"/>
      <c r="H73" s="24"/>
      <c r="J73" s="70"/>
      <c r="K73" s="72"/>
      <c r="L73" s="75"/>
      <c r="M73" s="75"/>
      <c r="N73" s="76"/>
      <c r="O73" s="70"/>
      <c r="P73" s="70"/>
      <c r="Q73" s="17"/>
      <c r="R73" s="16"/>
      <c r="S73" s="72"/>
      <c r="T73" s="77"/>
    </row>
    <row r="74" spans="1:20" ht="13.2">
      <c r="A74" s="2"/>
      <c r="B74" s="69" t="s">
        <v>288</v>
      </c>
      <c r="C74" s="77"/>
      <c r="D74" s="16"/>
      <c r="E74" s="72"/>
      <c r="F74" s="70"/>
      <c r="G74" s="72"/>
      <c r="H74" s="24"/>
      <c r="J74" s="70"/>
      <c r="K74" s="72"/>
      <c r="L74" s="75"/>
      <c r="M74" s="75"/>
      <c r="N74" s="76"/>
      <c r="O74" s="70"/>
      <c r="P74" s="70"/>
      <c r="Q74" s="17"/>
      <c r="R74" s="16"/>
      <c r="S74" s="72"/>
      <c r="T74" s="77"/>
    </row>
    <row r="75" spans="1:20" ht="13.2">
      <c r="A75" s="2"/>
      <c r="B75" s="69" t="s">
        <v>289</v>
      </c>
      <c r="C75" s="77"/>
      <c r="D75" s="16"/>
      <c r="E75" s="72"/>
      <c r="F75" s="70"/>
      <c r="G75" s="72"/>
      <c r="H75" s="24"/>
      <c r="J75" s="70"/>
      <c r="K75" s="72"/>
      <c r="L75" s="75"/>
      <c r="M75" s="75"/>
      <c r="N75" s="76"/>
      <c r="O75" s="70"/>
      <c r="P75" s="70"/>
      <c r="Q75" s="17"/>
      <c r="R75" s="16"/>
      <c r="S75" s="72"/>
      <c r="T75" s="77"/>
    </row>
    <row r="76" spans="1:20" ht="13.2">
      <c r="A76" s="2"/>
      <c r="B76" s="69" t="s">
        <v>290</v>
      </c>
      <c r="C76" s="77"/>
      <c r="D76" s="16"/>
      <c r="E76" s="72"/>
      <c r="F76" s="70"/>
      <c r="G76" s="72"/>
      <c r="H76" s="24"/>
      <c r="J76" s="70"/>
      <c r="K76" s="72"/>
      <c r="L76" s="75"/>
      <c r="M76" s="75"/>
      <c r="N76" s="76"/>
      <c r="O76" s="70"/>
      <c r="P76" s="70"/>
      <c r="Q76" s="17"/>
      <c r="R76" s="16"/>
      <c r="S76" s="72"/>
      <c r="T76" s="77"/>
    </row>
    <row r="77" spans="1:20" ht="13.2">
      <c r="A77" s="2"/>
      <c r="B77" s="69" t="s">
        <v>291</v>
      </c>
      <c r="C77" s="77"/>
      <c r="D77" s="16"/>
      <c r="E77" s="72"/>
      <c r="F77" s="70"/>
      <c r="G77" s="72"/>
      <c r="H77" s="24"/>
      <c r="J77" s="70"/>
      <c r="K77" s="72"/>
      <c r="L77" s="75"/>
      <c r="M77" s="75"/>
      <c r="N77" s="76"/>
      <c r="O77" s="70"/>
      <c r="P77" s="70"/>
      <c r="Q77" s="17"/>
      <c r="R77" s="16"/>
      <c r="S77" s="72"/>
      <c r="T77" s="77"/>
    </row>
    <row r="78" spans="1:20" ht="13.2">
      <c r="A78" s="2"/>
      <c r="B78" s="69" t="s">
        <v>292</v>
      </c>
      <c r="C78" s="77"/>
      <c r="D78" s="16"/>
      <c r="E78" s="72"/>
      <c r="F78" s="70"/>
      <c r="G78" s="72"/>
      <c r="H78" s="24"/>
      <c r="J78" s="70"/>
      <c r="K78" s="72"/>
      <c r="L78" s="75"/>
      <c r="M78" s="75"/>
      <c r="N78" s="76"/>
      <c r="O78" s="70"/>
      <c r="P78" s="70"/>
      <c r="Q78" s="17"/>
      <c r="R78" s="16"/>
      <c r="S78" s="72"/>
      <c r="T78" s="77"/>
    </row>
    <row r="79" spans="1:20" ht="13.2">
      <c r="A79" s="2"/>
      <c r="B79" s="69" t="s">
        <v>293</v>
      </c>
      <c r="C79" s="77"/>
      <c r="D79" s="16"/>
      <c r="E79" s="72"/>
      <c r="F79" s="70"/>
      <c r="G79" s="72"/>
      <c r="H79" s="24"/>
      <c r="J79" s="70"/>
      <c r="K79" s="72"/>
      <c r="L79" s="75"/>
      <c r="M79" s="75"/>
      <c r="N79" s="76"/>
      <c r="O79" s="70"/>
      <c r="P79" s="70"/>
      <c r="Q79" s="17"/>
      <c r="R79" s="16"/>
      <c r="S79" s="72"/>
      <c r="T79" s="77"/>
    </row>
    <row r="80" spans="1:20" ht="13.2">
      <c r="A80" s="2"/>
      <c r="B80" s="69" t="s">
        <v>294</v>
      </c>
      <c r="C80" s="77"/>
      <c r="D80" s="16"/>
      <c r="E80" s="72"/>
      <c r="F80" s="70"/>
      <c r="G80" s="72"/>
      <c r="H80" s="24"/>
      <c r="J80" s="70"/>
      <c r="K80" s="72"/>
      <c r="L80" s="75"/>
      <c r="M80" s="75"/>
      <c r="N80" s="76"/>
      <c r="O80" s="70"/>
      <c r="P80" s="70"/>
      <c r="Q80" s="17"/>
      <c r="R80" s="16"/>
      <c r="S80" s="72"/>
      <c r="T80" s="77"/>
    </row>
    <row r="81" spans="1:20" ht="13.2">
      <c r="A81" s="2"/>
      <c r="B81" s="69" t="s">
        <v>295</v>
      </c>
      <c r="C81" s="77"/>
      <c r="D81" s="16"/>
      <c r="E81" s="72"/>
      <c r="F81" s="70"/>
      <c r="G81" s="72"/>
      <c r="H81" s="24"/>
      <c r="J81" s="70"/>
      <c r="K81" s="72"/>
      <c r="L81" s="75"/>
      <c r="M81" s="75"/>
      <c r="N81" s="76"/>
      <c r="O81" s="70"/>
      <c r="P81" s="70"/>
      <c r="Q81" s="17"/>
      <c r="R81" s="16"/>
      <c r="S81" s="72"/>
      <c r="T81" s="77"/>
    </row>
    <row r="82" spans="1:20" ht="13.2">
      <c r="A82" s="2"/>
      <c r="B82" s="69" t="s">
        <v>296</v>
      </c>
      <c r="C82" s="77"/>
      <c r="D82" s="16"/>
      <c r="E82" s="72"/>
      <c r="F82" s="70"/>
      <c r="G82" s="72"/>
      <c r="H82" s="24"/>
      <c r="J82" s="70"/>
      <c r="K82" s="72"/>
      <c r="L82" s="75"/>
      <c r="M82" s="75"/>
      <c r="N82" s="76"/>
      <c r="O82" s="70"/>
      <c r="P82" s="70"/>
      <c r="Q82" s="17"/>
      <c r="R82" s="16"/>
      <c r="S82" s="72"/>
      <c r="T82" s="77"/>
    </row>
    <row r="83" spans="1:20" ht="13.2">
      <c r="A83" s="2"/>
      <c r="B83" s="69" t="s">
        <v>297</v>
      </c>
      <c r="C83" s="77"/>
      <c r="D83" s="16"/>
      <c r="E83" s="72"/>
      <c r="F83" s="70"/>
      <c r="G83" s="72"/>
      <c r="H83" s="24"/>
      <c r="J83" s="70"/>
      <c r="K83" s="72"/>
      <c r="L83" s="75"/>
      <c r="M83" s="75"/>
      <c r="N83" s="76"/>
      <c r="O83" s="70"/>
      <c r="P83" s="70"/>
      <c r="Q83" s="17"/>
      <c r="R83" s="16"/>
      <c r="S83" s="72"/>
      <c r="T83" s="77"/>
    </row>
    <row r="84" spans="1:20" ht="13.2">
      <c r="A84" s="2"/>
      <c r="B84" s="69" t="s">
        <v>298</v>
      </c>
      <c r="C84" s="77"/>
      <c r="D84" s="16"/>
      <c r="E84" s="72"/>
      <c r="F84" s="70"/>
      <c r="G84" s="72"/>
      <c r="H84" s="24"/>
      <c r="J84" s="70"/>
      <c r="K84" s="72"/>
      <c r="L84" s="75"/>
      <c r="M84" s="75"/>
      <c r="N84" s="76"/>
      <c r="O84" s="70"/>
      <c r="P84" s="70"/>
      <c r="Q84" s="17"/>
      <c r="R84" s="16"/>
      <c r="S84" s="72"/>
      <c r="T84" s="77"/>
    </row>
    <row r="85" spans="1:20" ht="13.2">
      <c r="A85" s="2"/>
      <c r="B85" s="69" t="s">
        <v>299</v>
      </c>
      <c r="C85" s="77"/>
      <c r="D85" s="16"/>
      <c r="E85" s="72"/>
      <c r="F85" s="70"/>
      <c r="G85" s="72"/>
      <c r="H85" s="24"/>
      <c r="J85" s="70"/>
      <c r="K85" s="72"/>
      <c r="L85" s="75"/>
      <c r="M85" s="75"/>
      <c r="N85" s="76"/>
      <c r="O85" s="70"/>
      <c r="P85" s="70"/>
      <c r="Q85" s="17"/>
      <c r="R85" s="16"/>
      <c r="S85" s="72"/>
      <c r="T85" s="77"/>
    </row>
    <row r="86" spans="1:20" ht="13.2">
      <c r="A86" s="2"/>
      <c r="B86" s="69" t="s">
        <v>300</v>
      </c>
      <c r="C86" s="77"/>
      <c r="D86" s="16"/>
      <c r="E86" s="72"/>
      <c r="F86" s="70"/>
      <c r="G86" s="72"/>
      <c r="H86" s="24"/>
      <c r="J86" s="70"/>
      <c r="K86" s="72"/>
      <c r="L86" s="75"/>
      <c r="M86" s="75"/>
      <c r="N86" s="76"/>
      <c r="O86" s="70"/>
      <c r="P86" s="70"/>
      <c r="Q86" s="17"/>
      <c r="R86" s="16"/>
      <c r="S86" s="72"/>
      <c r="T86" s="77"/>
    </row>
    <row r="87" spans="1:20" ht="13.2">
      <c r="A87" s="2"/>
      <c r="B87" s="69" t="s">
        <v>301</v>
      </c>
      <c r="C87" s="77"/>
      <c r="D87" s="16"/>
      <c r="E87" s="72"/>
      <c r="F87" s="70"/>
      <c r="G87" s="72"/>
      <c r="H87" s="24"/>
      <c r="J87" s="70"/>
      <c r="K87" s="72"/>
      <c r="L87" s="75"/>
      <c r="M87" s="75"/>
      <c r="N87" s="76"/>
      <c r="O87" s="70"/>
      <c r="P87" s="70"/>
      <c r="Q87" s="17"/>
      <c r="R87" s="16"/>
      <c r="S87" s="72"/>
      <c r="T87" s="77"/>
    </row>
    <row r="88" spans="1:20" ht="13.2">
      <c r="A88" s="2"/>
      <c r="B88" s="69" t="s">
        <v>302</v>
      </c>
      <c r="C88" s="77"/>
      <c r="D88" s="16"/>
      <c r="E88" s="72"/>
      <c r="F88" s="70"/>
      <c r="G88" s="72"/>
      <c r="H88" s="24"/>
      <c r="J88" s="70"/>
      <c r="K88" s="72"/>
      <c r="L88" s="75"/>
      <c r="M88" s="75"/>
      <c r="N88" s="76"/>
      <c r="O88" s="70"/>
      <c r="P88" s="70"/>
      <c r="Q88" s="17"/>
      <c r="R88" s="16"/>
      <c r="S88" s="72"/>
      <c r="T88" s="77"/>
    </row>
    <row r="89" spans="1:20" ht="13.2">
      <c r="A89" s="2"/>
      <c r="B89" s="69" t="s">
        <v>303</v>
      </c>
      <c r="C89" s="77"/>
      <c r="D89" s="16"/>
      <c r="E89" s="72"/>
      <c r="F89" s="70"/>
      <c r="G89" s="72"/>
      <c r="H89" s="24"/>
      <c r="J89" s="70"/>
      <c r="K89" s="72"/>
      <c r="L89" s="75"/>
      <c r="M89" s="75"/>
      <c r="N89" s="76"/>
      <c r="O89" s="70"/>
      <c r="P89" s="70"/>
      <c r="Q89" s="17"/>
      <c r="R89" s="16"/>
      <c r="S89" s="72"/>
      <c r="T89" s="77"/>
    </row>
    <row r="90" spans="1:20" ht="13.2">
      <c r="A90" s="2"/>
      <c r="B90" s="69" t="s">
        <v>304</v>
      </c>
      <c r="C90" s="77"/>
      <c r="D90" s="16"/>
      <c r="E90" s="72"/>
      <c r="F90" s="70"/>
      <c r="G90" s="72"/>
      <c r="H90" s="24"/>
      <c r="J90" s="70"/>
      <c r="K90" s="72"/>
      <c r="L90" s="75"/>
      <c r="M90" s="75"/>
      <c r="N90" s="76"/>
      <c r="O90" s="70"/>
      <c r="P90" s="70"/>
      <c r="Q90" s="17"/>
      <c r="R90" s="16"/>
      <c r="S90" s="72"/>
      <c r="T90" s="77"/>
    </row>
    <row r="91" spans="1:20" ht="13.2">
      <c r="A91" s="2"/>
      <c r="B91" s="69" t="s">
        <v>305</v>
      </c>
      <c r="C91" s="77"/>
      <c r="D91" s="16"/>
      <c r="E91" s="72"/>
      <c r="F91" s="70"/>
      <c r="G91" s="72"/>
      <c r="H91" s="24"/>
      <c r="J91" s="70"/>
      <c r="K91" s="72"/>
      <c r="L91" s="75"/>
      <c r="M91" s="75"/>
      <c r="N91" s="76"/>
      <c r="O91" s="70"/>
      <c r="P91" s="70"/>
      <c r="Q91" s="17"/>
      <c r="R91" s="16"/>
      <c r="S91" s="72"/>
      <c r="T91" s="77"/>
    </row>
    <row r="92" spans="1:20" ht="13.2">
      <c r="A92" s="2"/>
      <c r="B92" s="69" t="s">
        <v>306</v>
      </c>
      <c r="C92" s="77"/>
      <c r="D92" s="16"/>
      <c r="E92" s="72"/>
      <c r="F92" s="70"/>
      <c r="G92" s="72"/>
      <c r="H92" s="24"/>
      <c r="J92" s="70"/>
      <c r="K92" s="72"/>
      <c r="L92" s="75"/>
      <c r="M92" s="75"/>
      <c r="N92" s="76"/>
      <c r="O92" s="70"/>
      <c r="P92" s="70"/>
      <c r="Q92" s="17"/>
      <c r="R92" s="16"/>
      <c r="S92" s="72"/>
      <c r="T92" s="77"/>
    </row>
    <row r="93" spans="1:20" ht="13.2">
      <c r="A93" s="2"/>
      <c r="B93" s="69" t="s">
        <v>307</v>
      </c>
      <c r="C93" s="77"/>
      <c r="D93" s="16"/>
      <c r="E93" s="72"/>
      <c r="F93" s="70"/>
      <c r="G93" s="72"/>
      <c r="H93" s="24"/>
      <c r="J93" s="70"/>
      <c r="K93" s="72"/>
      <c r="L93" s="75"/>
      <c r="M93" s="75"/>
      <c r="N93" s="76"/>
      <c r="O93" s="70"/>
      <c r="P93" s="70"/>
      <c r="Q93" s="17"/>
      <c r="R93" s="16"/>
      <c r="S93" s="72"/>
      <c r="T93" s="77"/>
    </row>
    <row r="94" spans="1:20" ht="13.2">
      <c r="A94" s="2"/>
      <c r="B94" s="69" t="s">
        <v>308</v>
      </c>
      <c r="C94" s="77"/>
      <c r="D94" s="16"/>
      <c r="E94" s="72"/>
      <c r="F94" s="70"/>
      <c r="G94" s="72"/>
      <c r="H94" s="24"/>
      <c r="J94" s="70"/>
      <c r="K94" s="72"/>
      <c r="L94" s="75"/>
      <c r="M94" s="75"/>
      <c r="N94" s="76"/>
      <c r="O94" s="70"/>
      <c r="P94" s="70"/>
      <c r="Q94" s="17"/>
      <c r="R94" s="16"/>
      <c r="S94" s="72"/>
      <c r="T94" s="77"/>
    </row>
    <row r="95" spans="1:20" ht="13.2">
      <c r="A95" s="2"/>
      <c r="B95" s="69" t="s">
        <v>309</v>
      </c>
      <c r="C95" s="77"/>
      <c r="D95" s="16"/>
      <c r="E95" s="72"/>
      <c r="F95" s="70"/>
      <c r="G95" s="72"/>
      <c r="H95" s="24"/>
      <c r="J95" s="70"/>
      <c r="K95" s="72"/>
      <c r="L95" s="75"/>
      <c r="M95" s="75"/>
      <c r="N95" s="76"/>
      <c r="O95" s="70"/>
      <c r="P95" s="70"/>
      <c r="Q95" s="17"/>
      <c r="R95" s="16"/>
      <c r="S95" s="72"/>
      <c r="T95" s="77"/>
    </row>
    <row r="96" spans="1:20" ht="13.2">
      <c r="A96" s="2"/>
      <c r="B96" s="69" t="s">
        <v>310</v>
      </c>
      <c r="C96" s="77"/>
      <c r="D96" s="16"/>
      <c r="E96" s="72"/>
      <c r="F96" s="70"/>
      <c r="G96" s="72"/>
      <c r="H96" s="24"/>
      <c r="J96" s="70"/>
      <c r="K96" s="72"/>
      <c r="L96" s="75"/>
      <c r="M96" s="75"/>
      <c r="N96" s="76"/>
      <c r="O96" s="70"/>
      <c r="P96" s="70"/>
      <c r="Q96" s="17"/>
      <c r="R96" s="16"/>
      <c r="S96" s="72"/>
      <c r="T96" s="77"/>
    </row>
    <row r="97" spans="1:20" ht="13.2">
      <c r="A97" s="2"/>
      <c r="B97" s="69" t="s">
        <v>311</v>
      </c>
      <c r="C97" s="77"/>
      <c r="D97" s="16"/>
      <c r="E97" s="72"/>
      <c r="F97" s="70"/>
      <c r="G97" s="72"/>
      <c r="H97" s="24"/>
      <c r="J97" s="70"/>
      <c r="K97" s="72"/>
      <c r="L97" s="75"/>
      <c r="M97" s="75"/>
      <c r="N97" s="76"/>
      <c r="O97" s="70"/>
      <c r="P97" s="70"/>
      <c r="Q97" s="17"/>
      <c r="R97" s="16"/>
      <c r="S97" s="72"/>
      <c r="T97" s="77"/>
    </row>
    <row r="98" spans="1:20" ht="13.2">
      <c r="A98" s="2"/>
      <c r="B98" s="69" t="s">
        <v>312</v>
      </c>
      <c r="C98" s="77"/>
      <c r="D98" s="16"/>
      <c r="E98" s="72"/>
      <c r="F98" s="70"/>
      <c r="G98" s="72"/>
      <c r="H98" s="24"/>
      <c r="J98" s="70"/>
      <c r="K98" s="72"/>
      <c r="L98" s="75"/>
      <c r="M98" s="75"/>
      <c r="N98" s="76"/>
      <c r="O98" s="70"/>
      <c r="P98" s="70"/>
      <c r="Q98" s="17"/>
      <c r="R98" s="16"/>
      <c r="S98" s="72"/>
      <c r="T98" s="77"/>
    </row>
    <row r="99" spans="1:20" ht="13.2">
      <c r="A99" s="2"/>
      <c r="B99" s="69" t="s">
        <v>313</v>
      </c>
      <c r="C99" s="77"/>
      <c r="D99" s="16"/>
      <c r="E99" s="72"/>
      <c r="F99" s="70"/>
      <c r="G99" s="72"/>
      <c r="H99" s="24"/>
      <c r="J99" s="70"/>
      <c r="K99" s="72"/>
      <c r="L99" s="75"/>
      <c r="M99" s="75"/>
      <c r="N99" s="76"/>
      <c r="O99" s="70"/>
      <c r="P99" s="70"/>
      <c r="Q99" s="17"/>
      <c r="R99" s="16"/>
      <c r="S99" s="72"/>
      <c r="T99" s="77"/>
    </row>
    <row r="100" spans="1:20" ht="13.2">
      <c r="A100" s="2"/>
      <c r="B100" s="69" t="s">
        <v>314</v>
      </c>
      <c r="C100" s="77"/>
      <c r="D100" s="16"/>
      <c r="E100" s="72"/>
      <c r="F100" s="70"/>
      <c r="G100" s="72"/>
      <c r="H100" s="24"/>
      <c r="J100" s="70"/>
      <c r="K100" s="72"/>
      <c r="L100" s="75"/>
      <c r="M100" s="75"/>
      <c r="N100" s="76"/>
      <c r="O100" s="70"/>
      <c r="P100" s="70"/>
      <c r="Q100" s="17"/>
      <c r="R100" s="16"/>
      <c r="S100" s="72"/>
      <c r="T100" s="77"/>
    </row>
    <row r="101" spans="1:20" ht="13.2">
      <c r="A101" s="2"/>
      <c r="B101" s="69" t="s">
        <v>315</v>
      </c>
      <c r="C101" s="77"/>
      <c r="D101" s="16"/>
      <c r="E101" s="72"/>
      <c r="F101" s="70"/>
      <c r="G101" s="72"/>
      <c r="H101" s="24"/>
      <c r="J101" s="70"/>
      <c r="K101" s="72"/>
      <c r="L101" s="75"/>
      <c r="M101" s="75"/>
      <c r="N101" s="76"/>
      <c r="O101" s="70"/>
      <c r="P101" s="70"/>
      <c r="Q101" s="17"/>
      <c r="R101" s="16"/>
      <c r="S101" s="72"/>
      <c r="T101" s="77"/>
    </row>
    <row r="102" spans="1:20" ht="13.2">
      <c r="A102" s="2"/>
      <c r="B102" s="69" t="s">
        <v>316</v>
      </c>
      <c r="C102" s="77"/>
      <c r="D102" s="16"/>
      <c r="E102" s="72"/>
      <c r="F102" s="70"/>
      <c r="G102" s="72"/>
      <c r="H102" s="24"/>
      <c r="J102" s="70"/>
      <c r="K102" s="72"/>
      <c r="L102" s="75"/>
      <c r="M102" s="75"/>
      <c r="N102" s="76"/>
      <c r="O102" s="70"/>
      <c r="P102" s="70"/>
      <c r="Q102" s="17"/>
      <c r="R102" s="16"/>
      <c r="S102" s="72"/>
      <c r="T102" s="77"/>
    </row>
    <row r="103" spans="1:20" ht="13.2">
      <c r="A103" s="2"/>
      <c r="B103" s="69" t="s">
        <v>317</v>
      </c>
      <c r="C103" s="77"/>
      <c r="D103" s="16"/>
      <c r="E103" s="72"/>
      <c r="F103" s="70"/>
      <c r="G103" s="72"/>
      <c r="H103" s="24"/>
      <c r="J103" s="70"/>
      <c r="K103" s="72"/>
      <c r="L103" s="75"/>
      <c r="M103" s="75"/>
      <c r="N103" s="76"/>
      <c r="O103" s="70"/>
      <c r="P103" s="70"/>
      <c r="Q103" s="17"/>
      <c r="R103" s="16"/>
      <c r="S103" s="72"/>
      <c r="T103" s="77"/>
    </row>
    <row r="104" spans="1:20" ht="13.2">
      <c r="A104" s="2"/>
      <c r="B104" s="69" t="s">
        <v>318</v>
      </c>
      <c r="C104" s="77"/>
      <c r="D104" s="16"/>
      <c r="E104" s="72"/>
      <c r="F104" s="70"/>
      <c r="G104" s="72"/>
      <c r="H104" s="24"/>
      <c r="J104" s="70"/>
      <c r="K104" s="72"/>
      <c r="L104" s="75"/>
      <c r="M104" s="75"/>
      <c r="N104" s="76"/>
      <c r="O104" s="70"/>
      <c r="P104" s="70"/>
      <c r="Q104" s="17"/>
      <c r="R104" s="16"/>
      <c r="S104" s="72"/>
      <c r="T104" s="77"/>
    </row>
    <row r="105" spans="1:20" ht="13.2">
      <c r="A105" s="2"/>
      <c r="B105" s="69" t="s">
        <v>319</v>
      </c>
      <c r="C105" s="77"/>
      <c r="D105" s="16"/>
      <c r="E105" s="72"/>
      <c r="F105" s="70"/>
      <c r="G105" s="72"/>
      <c r="H105" s="24"/>
      <c r="J105" s="70"/>
      <c r="K105" s="72"/>
      <c r="L105" s="75"/>
      <c r="M105" s="75"/>
      <c r="N105" s="76"/>
      <c r="O105" s="70"/>
      <c r="P105" s="70"/>
      <c r="Q105" s="17"/>
      <c r="R105" s="16"/>
      <c r="S105" s="72"/>
      <c r="T105" s="77"/>
    </row>
    <row r="106" spans="1:20" ht="13.2">
      <c r="A106" s="2"/>
      <c r="B106" s="69" t="s">
        <v>320</v>
      </c>
      <c r="C106" s="77"/>
      <c r="D106" s="16"/>
      <c r="E106" s="72"/>
      <c r="F106" s="70"/>
      <c r="G106" s="72"/>
      <c r="H106" s="24"/>
      <c r="J106" s="70"/>
      <c r="K106" s="72"/>
      <c r="L106" s="75"/>
      <c r="M106" s="75"/>
      <c r="N106" s="76"/>
      <c r="O106" s="70"/>
      <c r="P106" s="70"/>
      <c r="Q106" s="17"/>
      <c r="R106" s="16"/>
      <c r="S106" s="72"/>
      <c r="T106" s="77"/>
    </row>
    <row r="107" spans="1:20" ht="13.2">
      <c r="A107" s="2"/>
      <c r="B107" s="69" t="s">
        <v>321</v>
      </c>
      <c r="C107" s="77"/>
      <c r="D107" s="16"/>
      <c r="E107" s="72"/>
      <c r="F107" s="70"/>
      <c r="G107" s="72"/>
      <c r="H107" s="24"/>
      <c r="J107" s="70"/>
      <c r="K107" s="72"/>
      <c r="L107" s="75"/>
      <c r="M107" s="75"/>
      <c r="N107" s="76"/>
      <c r="O107" s="70"/>
      <c r="P107" s="70"/>
      <c r="Q107" s="17"/>
      <c r="R107" s="16"/>
      <c r="S107" s="72"/>
      <c r="T107" s="77"/>
    </row>
    <row r="108" spans="1:20" ht="13.2">
      <c r="A108" s="2"/>
      <c r="B108" s="69" t="s">
        <v>322</v>
      </c>
      <c r="C108" s="77"/>
      <c r="D108" s="16"/>
      <c r="E108" s="72"/>
      <c r="F108" s="70"/>
      <c r="G108" s="72"/>
      <c r="H108" s="24"/>
      <c r="J108" s="70"/>
      <c r="K108" s="72"/>
      <c r="L108" s="75"/>
      <c r="M108" s="75"/>
      <c r="N108" s="76"/>
      <c r="O108" s="70"/>
      <c r="P108" s="70"/>
      <c r="Q108" s="17"/>
      <c r="R108" s="16"/>
      <c r="S108" s="72"/>
      <c r="T108" s="77"/>
    </row>
    <row r="109" spans="1:20" ht="13.2">
      <c r="A109" s="2"/>
      <c r="B109" s="69" t="s">
        <v>323</v>
      </c>
      <c r="C109" s="77"/>
      <c r="D109" s="16"/>
      <c r="E109" s="72"/>
      <c r="F109" s="70"/>
      <c r="G109" s="72"/>
      <c r="H109" s="24"/>
      <c r="J109" s="70"/>
      <c r="K109" s="72"/>
      <c r="L109" s="75"/>
      <c r="M109" s="75"/>
      <c r="N109" s="76"/>
      <c r="O109" s="70"/>
      <c r="P109" s="70"/>
      <c r="Q109" s="17"/>
      <c r="R109" s="16"/>
      <c r="S109" s="72"/>
      <c r="T109" s="77"/>
    </row>
    <row r="110" spans="1:20" ht="13.2">
      <c r="A110" s="2"/>
      <c r="B110" s="69" t="s">
        <v>324</v>
      </c>
      <c r="C110" s="77"/>
      <c r="D110" s="16"/>
      <c r="E110" s="72"/>
      <c r="F110" s="70"/>
      <c r="G110" s="72"/>
      <c r="H110" s="24"/>
      <c r="J110" s="70"/>
      <c r="K110" s="72"/>
      <c r="L110" s="75"/>
      <c r="M110" s="75"/>
      <c r="N110" s="76"/>
      <c r="O110" s="70"/>
      <c r="P110" s="70"/>
      <c r="Q110" s="17"/>
      <c r="R110" s="16"/>
      <c r="S110" s="72"/>
      <c r="T110" s="77"/>
    </row>
    <row r="111" spans="1:20" ht="13.2">
      <c r="A111" s="2"/>
      <c r="B111" s="69" t="s">
        <v>325</v>
      </c>
      <c r="C111" s="77"/>
      <c r="D111" s="16"/>
      <c r="E111" s="72"/>
      <c r="F111" s="70"/>
      <c r="G111" s="72"/>
      <c r="H111" s="24"/>
      <c r="J111" s="70"/>
      <c r="K111" s="72"/>
      <c r="L111" s="75"/>
      <c r="M111" s="75"/>
      <c r="N111" s="76"/>
      <c r="O111" s="70"/>
      <c r="P111" s="70"/>
      <c r="Q111" s="17"/>
      <c r="R111" s="16"/>
      <c r="S111" s="72"/>
      <c r="T111" s="77"/>
    </row>
    <row r="112" spans="1:20" ht="13.2">
      <c r="A112" s="2"/>
      <c r="B112" s="69" t="s">
        <v>326</v>
      </c>
      <c r="C112" s="77"/>
      <c r="D112" s="16"/>
      <c r="E112" s="72"/>
      <c r="F112" s="70"/>
      <c r="G112" s="72"/>
      <c r="H112" s="24"/>
      <c r="J112" s="70"/>
      <c r="K112" s="72"/>
      <c r="L112" s="75"/>
      <c r="M112" s="75"/>
      <c r="N112" s="76"/>
      <c r="O112" s="70"/>
      <c r="P112" s="70"/>
      <c r="Q112" s="17"/>
      <c r="R112" s="16"/>
      <c r="S112" s="72"/>
      <c r="T112" s="77"/>
    </row>
    <row r="113" spans="1:20" ht="13.2">
      <c r="A113" s="2"/>
      <c r="B113" s="69" t="s">
        <v>327</v>
      </c>
      <c r="C113" s="77"/>
      <c r="D113" s="16"/>
      <c r="E113" s="72"/>
      <c r="F113" s="70"/>
      <c r="G113" s="72"/>
      <c r="H113" s="24"/>
      <c r="J113" s="70"/>
      <c r="K113" s="72"/>
      <c r="L113" s="75"/>
      <c r="M113" s="75"/>
      <c r="N113" s="76"/>
      <c r="O113" s="70"/>
      <c r="P113" s="70"/>
      <c r="Q113" s="17"/>
      <c r="R113" s="16"/>
      <c r="S113" s="72"/>
      <c r="T113" s="77"/>
    </row>
    <row r="114" spans="1:20" ht="13.2">
      <c r="A114" s="2"/>
      <c r="B114" s="69" t="s">
        <v>328</v>
      </c>
      <c r="C114" s="77"/>
      <c r="D114" s="16"/>
      <c r="E114" s="72"/>
      <c r="F114" s="70"/>
      <c r="G114" s="72"/>
      <c r="H114" s="24"/>
      <c r="J114" s="70"/>
      <c r="K114" s="72"/>
      <c r="L114" s="75"/>
      <c r="M114" s="75"/>
      <c r="N114" s="76"/>
      <c r="O114" s="70"/>
      <c r="P114" s="70"/>
      <c r="Q114" s="17"/>
      <c r="R114" s="16"/>
      <c r="S114" s="72"/>
      <c r="T114" s="77"/>
    </row>
    <row r="115" spans="1:20" ht="13.2">
      <c r="A115" s="2"/>
      <c r="B115" s="69" t="s">
        <v>329</v>
      </c>
      <c r="C115" s="77"/>
      <c r="D115" s="16"/>
      <c r="E115" s="72"/>
      <c r="F115" s="70"/>
      <c r="G115" s="72"/>
      <c r="H115" s="24"/>
      <c r="J115" s="70"/>
      <c r="K115" s="72"/>
      <c r="L115" s="75"/>
      <c r="M115" s="75"/>
      <c r="N115" s="76"/>
      <c r="O115" s="70"/>
      <c r="P115" s="70"/>
      <c r="Q115" s="17"/>
      <c r="R115" s="16"/>
      <c r="S115" s="72"/>
      <c r="T115" s="77"/>
    </row>
    <row r="116" spans="1:20" ht="13.2">
      <c r="A116" s="2"/>
      <c r="B116" s="69" t="s">
        <v>330</v>
      </c>
      <c r="C116" s="77"/>
      <c r="D116" s="16"/>
      <c r="E116" s="72"/>
      <c r="F116" s="70"/>
      <c r="G116" s="72"/>
      <c r="H116" s="24"/>
      <c r="J116" s="70"/>
      <c r="K116" s="72"/>
      <c r="L116" s="75"/>
      <c r="M116" s="75"/>
      <c r="N116" s="76"/>
      <c r="O116" s="70"/>
      <c r="P116" s="70"/>
      <c r="Q116" s="17"/>
      <c r="R116" s="16"/>
      <c r="S116" s="72"/>
      <c r="T116" s="77"/>
    </row>
    <row r="117" spans="1:20" ht="13.2">
      <c r="A117" s="2"/>
      <c r="B117" s="69" t="s">
        <v>331</v>
      </c>
      <c r="C117" s="77"/>
      <c r="D117" s="16"/>
      <c r="E117" s="72"/>
      <c r="F117" s="70"/>
      <c r="G117" s="72"/>
      <c r="H117" s="24"/>
      <c r="J117" s="70"/>
      <c r="K117" s="72"/>
      <c r="L117" s="75"/>
      <c r="M117" s="75"/>
      <c r="N117" s="76"/>
      <c r="O117" s="70"/>
      <c r="P117" s="70"/>
      <c r="Q117" s="17"/>
      <c r="R117" s="16"/>
      <c r="S117" s="72"/>
      <c r="T117" s="77"/>
    </row>
    <row r="118" spans="1:20" ht="13.2">
      <c r="A118" s="2"/>
      <c r="B118" s="69" t="s">
        <v>332</v>
      </c>
      <c r="C118" s="77"/>
      <c r="D118" s="16"/>
      <c r="E118" s="72"/>
      <c r="F118" s="70"/>
      <c r="G118" s="72"/>
      <c r="H118" s="24"/>
      <c r="J118" s="70"/>
      <c r="K118" s="72"/>
      <c r="L118" s="75"/>
      <c r="M118" s="75"/>
      <c r="N118" s="76"/>
      <c r="O118" s="70"/>
      <c r="P118" s="70"/>
      <c r="Q118" s="17"/>
      <c r="R118" s="16"/>
      <c r="S118" s="72"/>
      <c r="T118" s="77"/>
    </row>
    <row r="119" spans="1:20" ht="13.2">
      <c r="A119" s="2"/>
      <c r="B119" s="69" t="s">
        <v>333</v>
      </c>
      <c r="C119" s="77"/>
      <c r="D119" s="16"/>
      <c r="E119" s="72"/>
      <c r="F119" s="70"/>
      <c r="G119" s="72"/>
      <c r="H119" s="24"/>
      <c r="J119" s="70"/>
      <c r="K119" s="72"/>
      <c r="L119" s="75"/>
      <c r="M119" s="75"/>
      <c r="N119" s="76"/>
      <c r="O119" s="70"/>
      <c r="P119" s="70"/>
      <c r="Q119" s="17"/>
      <c r="R119" s="16"/>
      <c r="S119" s="72"/>
      <c r="T119" s="77"/>
    </row>
    <row r="120" spans="1:20" ht="13.2">
      <c r="A120" s="2"/>
      <c r="B120" s="69" t="s">
        <v>334</v>
      </c>
      <c r="C120" s="77"/>
      <c r="D120" s="16"/>
      <c r="E120" s="72"/>
      <c r="F120" s="70"/>
      <c r="G120" s="72"/>
      <c r="H120" s="24"/>
      <c r="J120" s="70"/>
      <c r="K120" s="72"/>
      <c r="L120" s="75"/>
      <c r="M120" s="75"/>
      <c r="N120" s="76"/>
      <c r="O120" s="70"/>
      <c r="P120" s="70"/>
      <c r="Q120" s="17"/>
      <c r="R120" s="16"/>
      <c r="S120" s="72"/>
      <c r="T120" s="77"/>
    </row>
    <row r="121" spans="1:20" ht="13.2">
      <c r="A121" s="2"/>
      <c r="B121" s="69" t="s">
        <v>335</v>
      </c>
      <c r="C121" s="77"/>
      <c r="D121" s="16"/>
      <c r="E121" s="72"/>
      <c r="F121" s="70"/>
      <c r="G121" s="72"/>
      <c r="H121" s="24"/>
      <c r="J121" s="70"/>
      <c r="K121" s="72"/>
      <c r="L121" s="75"/>
      <c r="M121" s="75"/>
      <c r="N121" s="76"/>
      <c r="O121" s="70"/>
      <c r="P121" s="70"/>
      <c r="Q121" s="17"/>
      <c r="R121" s="16"/>
      <c r="S121" s="72"/>
      <c r="T121" s="77"/>
    </row>
    <row r="122" spans="1:20" ht="13.2">
      <c r="A122" s="2"/>
      <c r="B122" s="69" t="s">
        <v>336</v>
      </c>
      <c r="C122" s="77"/>
      <c r="D122" s="16"/>
      <c r="E122" s="72"/>
      <c r="F122" s="70"/>
      <c r="G122" s="72"/>
      <c r="H122" s="24"/>
      <c r="J122" s="70"/>
      <c r="K122" s="72"/>
      <c r="L122" s="75"/>
      <c r="M122" s="75"/>
      <c r="N122" s="76"/>
      <c r="O122" s="70"/>
      <c r="P122" s="70"/>
      <c r="Q122" s="17"/>
      <c r="R122" s="16"/>
      <c r="S122" s="72"/>
      <c r="T122" s="77"/>
    </row>
    <row r="123" spans="1:20" ht="13.2">
      <c r="A123" s="2"/>
      <c r="B123" s="69" t="s">
        <v>337</v>
      </c>
      <c r="C123" s="77"/>
      <c r="D123" s="16"/>
      <c r="E123" s="72"/>
      <c r="F123" s="70"/>
      <c r="G123" s="72"/>
      <c r="H123" s="24"/>
      <c r="J123" s="70"/>
      <c r="K123" s="72"/>
      <c r="L123" s="75"/>
      <c r="M123" s="75"/>
      <c r="N123" s="76"/>
      <c r="O123" s="70"/>
      <c r="P123" s="70"/>
      <c r="Q123" s="17"/>
      <c r="R123" s="16"/>
      <c r="S123" s="72"/>
      <c r="T123" s="77"/>
    </row>
    <row r="124" spans="1:20" ht="13.2">
      <c r="A124" s="2"/>
      <c r="B124" s="69" t="s">
        <v>338</v>
      </c>
      <c r="C124" s="77"/>
      <c r="D124" s="16"/>
      <c r="E124" s="72"/>
      <c r="F124" s="70"/>
      <c r="G124" s="72"/>
      <c r="H124" s="24"/>
      <c r="J124" s="70"/>
      <c r="K124" s="72"/>
      <c r="L124" s="75"/>
      <c r="M124" s="75"/>
      <c r="N124" s="76"/>
      <c r="O124" s="70"/>
      <c r="P124" s="70"/>
      <c r="Q124" s="17"/>
      <c r="R124" s="16"/>
      <c r="S124" s="72"/>
      <c r="T124" s="77"/>
    </row>
    <row r="125" spans="1:20" ht="13.2">
      <c r="A125" s="2"/>
      <c r="B125" s="69" t="s">
        <v>339</v>
      </c>
      <c r="C125" s="77"/>
      <c r="D125" s="16"/>
      <c r="E125" s="72"/>
      <c r="F125" s="70"/>
      <c r="G125" s="72"/>
      <c r="H125" s="24"/>
      <c r="J125" s="70"/>
      <c r="K125" s="72"/>
      <c r="L125" s="75"/>
      <c r="M125" s="75"/>
      <c r="N125" s="76"/>
      <c r="O125" s="70"/>
      <c r="P125" s="70"/>
      <c r="Q125" s="17"/>
      <c r="R125" s="16"/>
      <c r="S125" s="72"/>
      <c r="T125" s="77"/>
    </row>
    <row r="126" spans="1:20" ht="13.2">
      <c r="A126" s="2"/>
      <c r="B126" s="69" t="s">
        <v>340</v>
      </c>
      <c r="C126" s="77"/>
      <c r="D126" s="16"/>
      <c r="E126" s="72"/>
      <c r="F126" s="70"/>
      <c r="G126" s="72"/>
      <c r="H126" s="24"/>
      <c r="J126" s="70"/>
      <c r="K126" s="72"/>
      <c r="L126" s="75"/>
      <c r="M126" s="75"/>
      <c r="N126" s="76"/>
      <c r="O126" s="70"/>
      <c r="P126" s="70"/>
      <c r="Q126" s="17"/>
      <c r="R126" s="16"/>
      <c r="S126" s="72"/>
      <c r="T126" s="77"/>
    </row>
    <row r="127" spans="1:20" ht="13.2">
      <c r="A127" s="2"/>
      <c r="B127" s="69" t="s">
        <v>341</v>
      </c>
      <c r="C127" s="77"/>
      <c r="D127" s="16"/>
      <c r="E127" s="72"/>
      <c r="F127" s="70"/>
      <c r="G127" s="72"/>
      <c r="H127" s="24"/>
      <c r="J127" s="70"/>
      <c r="K127" s="72"/>
      <c r="L127" s="75"/>
      <c r="M127" s="75"/>
      <c r="N127" s="76"/>
      <c r="O127" s="70"/>
      <c r="P127" s="70"/>
      <c r="Q127" s="17"/>
      <c r="R127" s="16"/>
      <c r="S127" s="72"/>
      <c r="T127" s="77"/>
    </row>
    <row r="128" spans="1:20" ht="13.2">
      <c r="A128" s="2"/>
      <c r="B128" s="69" t="s">
        <v>342</v>
      </c>
      <c r="C128" s="77"/>
      <c r="D128" s="16"/>
      <c r="E128" s="72"/>
      <c r="F128" s="70"/>
      <c r="G128" s="72"/>
      <c r="H128" s="24"/>
      <c r="J128" s="70"/>
      <c r="K128" s="72"/>
      <c r="L128" s="75"/>
      <c r="M128" s="75"/>
      <c r="N128" s="76"/>
      <c r="O128" s="70"/>
      <c r="P128" s="70"/>
      <c r="Q128" s="17"/>
      <c r="R128" s="16"/>
      <c r="S128" s="72"/>
      <c r="T128" s="77"/>
    </row>
    <row r="129" spans="1:20" ht="13.2">
      <c r="A129" s="2"/>
      <c r="B129" s="69" t="s">
        <v>343</v>
      </c>
      <c r="C129" s="77"/>
      <c r="D129" s="16"/>
      <c r="E129" s="72"/>
      <c r="F129" s="70"/>
      <c r="G129" s="72"/>
      <c r="H129" s="24"/>
      <c r="J129" s="70"/>
      <c r="K129" s="72"/>
      <c r="L129" s="75"/>
      <c r="M129" s="75"/>
      <c r="N129" s="76"/>
      <c r="O129" s="70"/>
      <c r="P129" s="70"/>
      <c r="Q129" s="17"/>
      <c r="R129" s="16"/>
      <c r="S129" s="72"/>
      <c r="T129" s="77"/>
    </row>
    <row r="130" spans="1:20" ht="13.2">
      <c r="A130" s="2"/>
      <c r="B130" s="69" t="s">
        <v>344</v>
      </c>
      <c r="C130" s="77"/>
      <c r="D130" s="16"/>
      <c r="E130" s="72"/>
      <c r="F130" s="70"/>
      <c r="G130" s="72"/>
      <c r="H130" s="24"/>
      <c r="J130" s="70"/>
      <c r="K130" s="72"/>
      <c r="L130" s="75"/>
      <c r="M130" s="75"/>
      <c r="N130" s="76"/>
      <c r="O130" s="70"/>
      <c r="P130" s="70"/>
      <c r="Q130" s="17"/>
      <c r="R130" s="16"/>
      <c r="S130" s="72"/>
      <c r="T130" s="77"/>
    </row>
    <row r="131" spans="1:20" ht="13.2">
      <c r="A131" s="2"/>
      <c r="B131" s="69" t="s">
        <v>345</v>
      </c>
      <c r="C131" s="77"/>
      <c r="D131" s="16"/>
      <c r="E131" s="72"/>
      <c r="F131" s="70"/>
      <c r="G131" s="72"/>
      <c r="H131" s="24"/>
      <c r="J131" s="70"/>
      <c r="K131" s="72"/>
      <c r="L131" s="75"/>
      <c r="M131" s="75"/>
      <c r="N131" s="76"/>
      <c r="O131" s="70"/>
      <c r="P131" s="70"/>
      <c r="Q131" s="17"/>
      <c r="R131" s="16"/>
      <c r="S131" s="72"/>
      <c r="T131" s="77"/>
    </row>
    <row r="132" spans="1:20" ht="13.2">
      <c r="A132" s="2"/>
      <c r="B132" s="69" t="s">
        <v>346</v>
      </c>
      <c r="C132" s="77"/>
      <c r="D132" s="16"/>
      <c r="E132" s="72"/>
      <c r="F132" s="70"/>
      <c r="G132" s="72"/>
      <c r="H132" s="24"/>
      <c r="J132" s="70"/>
      <c r="K132" s="72"/>
      <c r="L132" s="75"/>
      <c r="M132" s="75"/>
      <c r="N132" s="76"/>
      <c r="O132" s="70"/>
      <c r="P132" s="70"/>
      <c r="Q132" s="17"/>
      <c r="R132" s="16"/>
      <c r="S132" s="72"/>
      <c r="T132" s="77"/>
    </row>
    <row r="133" spans="1:20" ht="13.2">
      <c r="A133" s="2"/>
      <c r="B133" s="69" t="s">
        <v>347</v>
      </c>
      <c r="C133" s="77"/>
      <c r="D133" s="16"/>
      <c r="E133" s="72"/>
      <c r="F133" s="70"/>
      <c r="G133" s="72"/>
      <c r="H133" s="24"/>
      <c r="J133" s="70"/>
      <c r="K133" s="72"/>
      <c r="L133" s="75"/>
      <c r="M133" s="75"/>
      <c r="N133" s="76"/>
      <c r="O133" s="70"/>
      <c r="P133" s="70"/>
      <c r="Q133" s="17"/>
      <c r="R133" s="16"/>
      <c r="S133" s="72"/>
      <c r="T133" s="77"/>
    </row>
    <row r="134" spans="1:20" ht="13.2">
      <c r="A134" s="2"/>
      <c r="B134" s="69" t="s">
        <v>348</v>
      </c>
      <c r="C134" s="77"/>
      <c r="D134" s="16"/>
      <c r="E134" s="72"/>
      <c r="F134" s="70"/>
      <c r="G134" s="72"/>
      <c r="H134" s="24"/>
      <c r="J134" s="70"/>
      <c r="K134" s="72"/>
      <c r="L134" s="75"/>
      <c r="M134" s="75"/>
      <c r="N134" s="76"/>
      <c r="O134" s="70"/>
      <c r="P134" s="70"/>
      <c r="Q134" s="17"/>
      <c r="R134" s="16"/>
      <c r="S134" s="72"/>
      <c r="T134" s="77"/>
    </row>
    <row r="135" spans="1:20" ht="13.2">
      <c r="A135" s="2"/>
      <c r="B135" s="69" t="s">
        <v>349</v>
      </c>
      <c r="C135" s="77"/>
      <c r="D135" s="16"/>
      <c r="E135" s="72"/>
      <c r="F135" s="70"/>
      <c r="G135" s="72"/>
      <c r="H135" s="24"/>
      <c r="J135" s="70"/>
      <c r="K135" s="72"/>
      <c r="L135" s="75"/>
      <c r="M135" s="75"/>
      <c r="N135" s="76"/>
      <c r="O135" s="70"/>
      <c r="P135" s="70"/>
      <c r="Q135" s="17"/>
      <c r="R135" s="16"/>
      <c r="S135" s="72"/>
      <c r="T135" s="77"/>
    </row>
    <row r="136" spans="1:20" ht="13.2">
      <c r="A136" s="2"/>
      <c r="B136" s="69" t="s">
        <v>350</v>
      </c>
      <c r="C136" s="77"/>
      <c r="D136" s="16"/>
      <c r="E136" s="72"/>
      <c r="F136" s="70"/>
      <c r="G136" s="72"/>
      <c r="H136" s="24"/>
      <c r="J136" s="70"/>
      <c r="K136" s="72"/>
      <c r="L136" s="75"/>
      <c r="M136" s="75"/>
      <c r="N136" s="76"/>
      <c r="O136" s="70"/>
      <c r="P136" s="70"/>
      <c r="Q136" s="17"/>
      <c r="R136" s="16"/>
      <c r="S136" s="72"/>
      <c r="T136" s="77"/>
    </row>
    <row r="137" spans="1:20" ht="13.2">
      <c r="A137" s="2"/>
      <c r="B137" s="69" t="s">
        <v>351</v>
      </c>
      <c r="C137" s="77"/>
      <c r="D137" s="16"/>
      <c r="E137" s="72"/>
      <c r="F137" s="70"/>
      <c r="G137" s="72"/>
      <c r="H137" s="24"/>
      <c r="J137" s="70"/>
      <c r="K137" s="72"/>
      <c r="L137" s="75"/>
      <c r="M137" s="75"/>
      <c r="N137" s="76"/>
      <c r="O137" s="70"/>
      <c r="P137" s="70"/>
      <c r="Q137" s="17"/>
      <c r="R137" s="16"/>
      <c r="S137" s="72"/>
      <c r="T137" s="77"/>
    </row>
    <row r="138" spans="1:20" ht="13.2">
      <c r="A138" s="2"/>
      <c r="B138" s="69" t="s">
        <v>352</v>
      </c>
      <c r="C138" s="77"/>
      <c r="D138" s="16"/>
      <c r="E138" s="72"/>
      <c r="F138" s="70"/>
      <c r="G138" s="72"/>
      <c r="H138" s="24"/>
      <c r="J138" s="70"/>
      <c r="K138" s="72"/>
      <c r="L138" s="75"/>
      <c r="M138" s="75"/>
      <c r="N138" s="76"/>
      <c r="O138" s="70"/>
      <c r="P138" s="70"/>
      <c r="Q138" s="17"/>
      <c r="R138" s="16"/>
      <c r="S138" s="72"/>
      <c r="T138" s="77"/>
    </row>
    <row r="139" spans="1:20" ht="13.2">
      <c r="A139" s="2"/>
      <c r="B139" s="69" t="s">
        <v>353</v>
      </c>
      <c r="C139" s="77"/>
      <c r="D139" s="16"/>
      <c r="E139" s="72"/>
      <c r="F139" s="70"/>
      <c r="G139" s="72"/>
      <c r="H139" s="24"/>
      <c r="J139" s="70"/>
      <c r="K139" s="72"/>
      <c r="L139" s="75"/>
      <c r="M139" s="75"/>
      <c r="N139" s="76"/>
      <c r="O139" s="70"/>
      <c r="P139" s="70"/>
      <c r="Q139" s="17"/>
      <c r="R139" s="16"/>
      <c r="S139" s="72"/>
      <c r="T139" s="77"/>
    </row>
    <row r="140" spans="1:20" ht="13.2">
      <c r="A140" s="2"/>
      <c r="B140" s="69" t="s">
        <v>354</v>
      </c>
      <c r="C140" s="77"/>
      <c r="D140" s="16"/>
      <c r="E140" s="72"/>
      <c r="F140" s="70"/>
      <c r="G140" s="72"/>
      <c r="H140" s="24"/>
      <c r="J140" s="70"/>
      <c r="K140" s="72"/>
      <c r="L140" s="75"/>
      <c r="M140" s="75"/>
      <c r="N140" s="76"/>
      <c r="O140" s="70"/>
      <c r="P140" s="70"/>
      <c r="Q140" s="17"/>
      <c r="R140" s="16"/>
      <c r="S140" s="72"/>
      <c r="T140" s="77"/>
    </row>
    <row r="141" spans="1:20" ht="13.2">
      <c r="A141" s="2"/>
      <c r="B141" s="69" t="s">
        <v>355</v>
      </c>
      <c r="C141" s="77"/>
      <c r="D141" s="16"/>
      <c r="E141" s="72"/>
      <c r="F141" s="70"/>
      <c r="G141" s="72"/>
      <c r="H141" s="24"/>
      <c r="J141" s="70"/>
      <c r="K141" s="72"/>
      <c r="L141" s="75"/>
      <c r="M141" s="75"/>
      <c r="N141" s="76"/>
      <c r="O141" s="70"/>
      <c r="P141" s="70"/>
      <c r="Q141" s="17"/>
      <c r="R141" s="16"/>
      <c r="S141" s="72"/>
      <c r="T141" s="77"/>
    </row>
    <row r="142" spans="1:20" ht="13.2">
      <c r="A142" s="2"/>
      <c r="B142" s="69" t="s">
        <v>356</v>
      </c>
      <c r="C142" s="77"/>
      <c r="D142" s="16"/>
      <c r="E142" s="72"/>
      <c r="F142" s="70"/>
      <c r="G142" s="72"/>
      <c r="H142" s="24"/>
      <c r="J142" s="70"/>
      <c r="K142" s="72"/>
      <c r="L142" s="75"/>
      <c r="M142" s="75"/>
      <c r="N142" s="76"/>
      <c r="O142" s="70"/>
      <c r="P142" s="70"/>
      <c r="Q142" s="17"/>
      <c r="R142" s="16"/>
      <c r="S142" s="72"/>
      <c r="T142" s="77"/>
    </row>
    <row r="143" spans="1:20" ht="13.2">
      <c r="A143" s="2"/>
      <c r="B143" s="69" t="s">
        <v>357</v>
      </c>
      <c r="C143" s="77"/>
      <c r="D143" s="16"/>
      <c r="E143" s="72"/>
      <c r="F143" s="70"/>
      <c r="G143" s="72"/>
      <c r="H143" s="24"/>
      <c r="J143" s="70"/>
      <c r="K143" s="72"/>
      <c r="L143" s="75"/>
      <c r="M143" s="75"/>
      <c r="N143" s="76"/>
      <c r="O143" s="70"/>
      <c r="P143" s="70"/>
      <c r="Q143" s="17"/>
      <c r="R143" s="16"/>
      <c r="S143" s="72"/>
      <c r="T143" s="77"/>
    </row>
    <row r="144" spans="1:20" ht="13.2">
      <c r="A144" s="2"/>
      <c r="B144" s="69" t="s">
        <v>358</v>
      </c>
      <c r="C144" s="77"/>
      <c r="D144" s="16"/>
      <c r="E144" s="72"/>
      <c r="F144" s="70"/>
      <c r="G144" s="72"/>
      <c r="H144" s="24"/>
      <c r="J144" s="70"/>
      <c r="K144" s="72"/>
      <c r="L144" s="75"/>
      <c r="M144" s="75"/>
      <c r="N144" s="76"/>
      <c r="O144" s="70"/>
      <c r="P144" s="70"/>
      <c r="Q144" s="17"/>
      <c r="R144" s="16"/>
      <c r="S144" s="72"/>
      <c r="T144" s="77"/>
    </row>
    <row r="145" spans="1:20" ht="13.2">
      <c r="A145" s="2"/>
      <c r="B145" s="69" t="s">
        <v>359</v>
      </c>
      <c r="C145" s="77"/>
      <c r="D145" s="16"/>
      <c r="E145" s="72"/>
      <c r="F145" s="70"/>
      <c r="G145" s="72"/>
      <c r="H145" s="24"/>
      <c r="J145" s="70"/>
      <c r="K145" s="72"/>
      <c r="L145" s="75"/>
      <c r="M145" s="75"/>
      <c r="N145" s="76"/>
      <c r="O145" s="70"/>
      <c r="P145" s="70"/>
      <c r="Q145" s="17"/>
      <c r="R145" s="16"/>
      <c r="S145" s="72"/>
      <c r="T145" s="77"/>
    </row>
    <row r="146" spans="1:20" ht="13.2">
      <c r="A146" s="2"/>
      <c r="B146" s="69" t="s">
        <v>360</v>
      </c>
      <c r="C146" s="77"/>
      <c r="D146" s="16"/>
      <c r="E146" s="72"/>
      <c r="F146" s="70"/>
      <c r="G146" s="72"/>
      <c r="H146" s="24"/>
      <c r="J146" s="70"/>
      <c r="K146" s="72"/>
      <c r="L146" s="75"/>
      <c r="M146" s="75"/>
      <c r="N146" s="76"/>
      <c r="O146" s="70"/>
      <c r="P146" s="70"/>
      <c r="Q146" s="17"/>
      <c r="R146" s="16"/>
      <c r="S146" s="72"/>
      <c r="T146" s="77"/>
    </row>
    <row r="147" spans="1:20" ht="13.2">
      <c r="A147" s="2"/>
      <c r="B147" s="69" t="s">
        <v>361</v>
      </c>
      <c r="C147" s="77"/>
      <c r="D147" s="16"/>
      <c r="E147" s="72"/>
      <c r="F147" s="70"/>
      <c r="G147" s="72"/>
      <c r="H147" s="24"/>
      <c r="J147" s="70"/>
      <c r="K147" s="72"/>
      <c r="L147" s="75"/>
      <c r="M147" s="75"/>
      <c r="N147" s="76"/>
      <c r="O147" s="70"/>
      <c r="P147" s="70"/>
      <c r="Q147" s="17"/>
      <c r="R147" s="16"/>
      <c r="S147" s="72"/>
      <c r="T147" s="77"/>
    </row>
    <row r="148" spans="1:20" ht="13.2">
      <c r="A148" s="2"/>
      <c r="B148" s="69" t="s">
        <v>362</v>
      </c>
      <c r="C148" s="77"/>
      <c r="D148" s="16"/>
      <c r="E148" s="72"/>
      <c r="F148" s="70"/>
      <c r="G148" s="72"/>
      <c r="H148" s="24"/>
      <c r="J148" s="70"/>
      <c r="K148" s="72"/>
      <c r="L148" s="75"/>
      <c r="M148" s="75"/>
      <c r="N148" s="76"/>
      <c r="O148" s="70"/>
      <c r="P148" s="70"/>
      <c r="Q148" s="17"/>
      <c r="R148" s="16"/>
      <c r="S148" s="72"/>
      <c r="T148" s="77"/>
    </row>
    <row r="149" spans="1:20" ht="13.2">
      <c r="A149" s="2"/>
      <c r="B149" s="69" t="s">
        <v>363</v>
      </c>
      <c r="C149" s="77"/>
      <c r="D149" s="16"/>
      <c r="E149" s="72"/>
      <c r="F149" s="70"/>
      <c r="G149" s="72"/>
      <c r="H149" s="24"/>
      <c r="J149" s="70"/>
      <c r="K149" s="72"/>
      <c r="L149" s="75"/>
      <c r="M149" s="75"/>
      <c r="N149" s="76"/>
      <c r="O149" s="70"/>
      <c r="P149" s="70"/>
      <c r="Q149" s="17"/>
      <c r="R149" s="16"/>
      <c r="S149" s="72"/>
      <c r="T149" s="77"/>
    </row>
    <row r="150" spans="1:20" ht="13.2">
      <c r="A150" s="2"/>
      <c r="B150" s="69" t="s">
        <v>364</v>
      </c>
      <c r="C150" s="77"/>
      <c r="D150" s="16"/>
      <c r="E150" s="72"/>
      <c r="F150" s="70"/>
      <c r="G150" s="72"/>
      <c r="H150" s="24"/>
      <c r="J150" s="70"/>
      <c r="K150" s="72"/>
      <c r="L150" s="75"/>
      <c r="M150" s="75"/>
      <c r="N150" s="76"/>
      <c r="O150" s="70"/>
      <c r="P150" s="70"/>
      <c r="Q150" s="17"/>
      <c r="R150" s="16"/>
      <c r="S150" s="72"/>
      <c r="T150" s="77"/>
    </row>
    <row r="151" spans="1:20" ht="13.2">
      <c r="A151" s="2"/>
      <c r="B151" s="69" t="s">
        <v>365</v>
      </c>
      <c r="C151" s="77"/>
      <c r="D151" s="16"/>
      <c r="E151" s="72"/>
      <c r="F151" s="70"/>
      <c r="G151" s="72"/>
      <c r="H151" s="24"/>
      <c r="J151" s="70"/>
      <c r="K151" s="72"/>
      <c r="L151" s="75"/>
      <c r="M151" s="75"/>
      <c r="N151" s="76"/>
      <c r="O151" s="70"/>
      <c r="P151" s="70"/>
      <c r="Q151" s="17"/>
      <c r="R151" s="16"/>
      <c r="S151" s="72"/>
      <c r="T151" s="77"/>
    </row>
    <row r="152" spans="1:20" ht="13.2">
      <c r="A152" s="2"/>
      <c r="B152" s="69" t="s">
        <v>366</v>
      </c>
      <c r="C152" s="77"/>
      <c r="D152" s="16"/>
      <c r="E152" s="72"/>
      <c r="F152" s="70"/>
      <c r="G152" s="72"/>
      <c r="H152" s="24"/>
      <c r="J152" s="70"/>
      <c r="K152" s="72"/>
      <c r="L152" s="75"/>
      <c r="M152" s="75"/>
      <c r="N152" s="76"/>
      <c r="O152" s="70"/>
      <c r="P152" s="70"/>
      <c r="Q152" s="17"/>
      <c r="R152" s="16"/>
      <c r="S152" s="72"/>
      <c r="T152" s="77"/>
    </row>
    <row r="153" spans="1:20" ht="13.2">
      <c r="A153" s="2"/>
      <c r="B153" s="69" t="s">
        <v>367</v>
      </c>
      <c r="C153" s="77"/>
      <c r="D153" s="16"/>
      <c r="E153" s="72"/>
      <c r="F153" s="70"/>
      <c r="G153" s="72"/>
      <c r="H153" s="24"/>
      <c r="J153" s="70"/>
      <c r="K153" s="72"/>
      <c r="L153" s="75"/>
      <c r="M153" s="75"/>
      <c r="N153" s="76"/>
      <c r="O153" s="70"/>
      <c r="P153" s="70"/>
      <c r="Q153" s="17"/>
      <c r="R153" s="16"/>
      <c r="S153" s="72"/>
      <c r="T153" s="77"/>
    </row>
    <row r="154" spans="1:20" ht="13.2">
      <c r="A154" s="2"/>
      <c r="B154" s="69" t="s">
        <v>368</v>
      </c>
      <c r="C154" s="77"/>
      <c r="D154" s="16"/>
      <c r="E154" s="72"/>
      <c r="F154" s="70"/>
      <c r="G154" s="72"/>
      <c r="H154" s="24"/>
      <c r="J154" s="70"/>
      <c r="K154" s="72"/>
      <c r="L154" s="75"/>
      <c r="M154" s="75"/>
      <c r="N154" s="76"/>
      <c r="O154" s="70"/>
      <c r="P154" s="70"/>
      <c r="Q154" s="17"/>
      <c r="R154" s="16"/>
      <c r="S154" s="72"/>
      <c r="T154" s="77"/>
    </row>
    <row r="155" spans="1:20" ht="13.2">
      <c r="A155" s="2"/>
      <c r="B155" s="69" t="s">
        <v>369</v>
      </c>
      <c r="C155" s="77"/>
      <c r="D155" s="16"/>
      <c r="E155" s="72"/>
      <c r="F155" s="70"/>
      <c r="G155" s="72"/>
      <c r="H155" s="24"/>
      <c r="J155" s="70"/>
      <c r="K155" s="72"/>
      <c r="L155" s="75"/>
      <c r="M155" s="75"/>
      <c r="N155" s="76"/>
      <c r="O155" s="70"/>
      <c r="P155" s="70"/>
      <c r="Q155" s="17"/>
      <c r="R155" s="16"/>
      <c r="S155" s="72"/>
      <c r="T155" s="77"/>
    </row>
    <row r="156" spans="1:20" ht="13.2">
      <c r="A156" s="2"/>
      <c r="B156" s="69" t="s">
        <v>370</v>
      </c>
      <c r="C156" s="77"/>
      <c r="D156" s="16"/>
      <c r="E156" s="72"/>
      <c r="F156" s="70"/>
      <c r="G156" s="72"/>
      <c r="H156" s="24"/>
      <c r="J156" s="70"/>
      <c r="K156" s="72"/>
      <c r="L156" s="75"/>
      <c r="M156" s="75"/>
      <c r="N156" s="76"/>
      <c r="O156" s="70"/>
      <c r="P156" s="70"/>
      <c r="Q156" s="17"/>
      <c r="R156" s="16"/>
      <c r="S156" s="72"/>
      <c r="T156" s="77"/>
    </row>
    <row r="157" spans="1:20" ht="13.2">
      <c r="A157" s="2"/>
      <c r="B157" s="69" t="s">
        <v>371</v>
      </c>
      <c r="C157" s="77"/>
      <c r="D157" s="16"/>
      <c r="E157" s="72"/>
      <c r="F157" s="70"/>
      <c r="G157" s="72"/>
      <c r="H157" s="24"/>
      <c r="J157" s="70"/>
      <c r="K157" s="72"/>
      <c r="L157" s="75"/>
      <c r="M157" s="75"/>
      <c r="N157" s="76"/>
      <c r="O157" s="70"/>
      <c r="P157" s="70"/>
      <c r="Q157" s="17"/>
      <c r="R157" s="16"/>
      <c r="S157" s="72"/>
      <c r="T157" s="77"/>
    </row>
    <row r="158" spans="1:20" ht="13.2">
      <c r="A158" s="2"/>
      <c r="B158" s="69" t="s">
        <v>372</v>
      </c>
      <c r="C158" s="77"/>
      <c r="D158" s="16"/>
      <c r="E158" s="72"/>
      <c r="F158" s="70"/>
      <c r="G158" s="72"/>
      <c r="H158" s="24"/>
      <c r="J158" s="70"/>
      <c r="K158" s="72"/>
      <c r="L158" s="75"/>
      <c r="M158" s="75"/>
      <c r="N158" s="76"/>
      <c r="O158" s="70"/>
      <c r="P158" s="70"/>
      <c r="Q158" s="17"/>
      <c r="R158" s="16"/>
      <c r="S158" s="72"/>
      <c r="T158" s="77"/>
    </row>
    <row r="159" spans="1:20" ht="13.2">
      <c r="A159" s="2"/>
      <c r="B159" s="69" t="s">
        <v>373</v>
      </c>
      <c r="C159" s="77"/>
      <c r="D159" s="16"/>
      <c r="E159" s="72"/>
      <c r="F159" s="70"/>
      <c r="G159" s="72"/>
      <c r="H159" s="24"/>
      <c r="J159" s="70"/>
      <c r="K159" s="72"/>
      <c r="L159" s="75"/>
      <c r="M159" s="75"/>
      <c r="N159" s="76"/>
      <c r="O159" s="70"/>
      <c r="P159" s="70"/>
      <c r="Q159" s="17"/>
      <c r="R159" s="16"/>
      <c r="S159" s="72"/>
      <c r="T159" s="77"/>
    </row>
    <row r="160" spans="1:20" ht="13.2">
      <c r="A160" s="2"/>
      <c r="B160" s="69" t="s">
        <v>374</v>
      </c>
      <c r="C160" s="77"/>
      <c r="D160" s="16"/>
      <c r="E160" s="72"/>
      <c r="F160" s="70"/>
      <c r="G160" s="72"/>
      <c r="H160" s="24"/>
      <c r="J160" s="70"/>
      <c r="K160" s="72"/>
      <c r="L160" s="75"/>
      <c r="M160" s="75"/>
      <c r="N160" s="76"/>
      <c r="O160" s="70"/>
      <c r="P160" s="70"/>
      <c r="Q160" s="17"/>
      <c r="R160" s="16"/>
      <c r="S160" s="72"/>
      <c r="T160" s="77"/>
    </row>
    <row r="161" spans="1:20" ht="13.2">
      <c r="A161" s="2"/>
      <c r="B161" s="69" t="s">
        <v>375</v>
      </c>
      <c r="C161" s="77"/>
      <c r="D161" s="16"/>
      <c r="E161" s="72"/>
      <c r="F161" s="70"/>
      <c r="G161" s="72"/>
      <c r="H161" s="24"/>
      <c r="J161" s="70"/>
      <c r="K161" s="72"/>
      <c r="L161" s="75"/>
      <c r="M161" s="75"/>
      <c r="N161" s="76"/>
      <c r="O161" s="70"/>
      <c r="P161" s="70"/>
      <c r="Q161" s="17"/>
      <c r="R161" s="16"/>
      <c r="S161" s="72"/>
      <c r="T161" s="77"/>
    </row>
    <row r="162" spans="1:20" ht="13.2">
      <c r="A162" s="2"/>
      <c r="B162" s="69" t="s">
        <v>376</v>
      </c>
      <c r="C162" s="77"/>
      <c r="D162" s="16"/>
      <c r="E162" s="72"/>
      <c r="F162" s="70"/>
      <c r="G162" s="72"/>
      <c r="H162" s="24"/>
      <c r="J162" s="70"/>
      <c r="K162" s="72"/>
      <c r="L162" s="75"/>
      <c r="M162" s="75"/>
      <c r="N162" s="76"/>
      <c r="O162" s="70"/>
      <c r="P162" s="70"/>
      <c r="Q162" s="17"/>
      <c r="R162" s="16"/>
      <c r="S162" s="72"/>
      <c r="T162" s="77"/>
    </row>
    <row r="163" spans="1:20" ht="13.2">
      <c r="A163" s="2"/>
      <c r="B163" s="69" t="s">
        <v>377</v>
      </c>
      <c r="C163" s="77"/>
      <c r="D163" s="16"/>
      <c r="E163" s="72"/>
      <c r="F163" s="70"/>
      <c r="G163" s="72"/>
      <c r="H163" s="24"/>
      <c r="J163" s="70"/>
      <c r="K163" s="72"/>
      <c r="L163" s="75"/>
      <c r="M163" s="75"/>
      <c r="N163" s="76"/>
      <c r="O163" s="70"/>
      <c r="P163" s="70"/>
      <c r="Q163" s="17"/>
      <c r="R163" s="16"/>
      <c r="S163" s="72"/>
      <c r="T163" s="77"/>
    </row>
    <row r="164" spans="1:20" ht="13.2">
      <c r="A164" s="2"/>
      <c r="B164" s="69" t="s">
        <v>378</v>
      </c>
      <c r="C164" s="77"/>
      <c r="D164" s="16"/>
      <c r="E164" s="72"/>
      <c r="F164" s="70"/>
      <c r="G164" s="72"/>
      <c r="H164" s="24"/>
      <c r="J164" s="70"/>
      <c r="K164" s="72"/>
      <c r="L164" s="75"/>
      <c r="M164" s="75"/>
      <c r="N164" s="76"/>
      <c r="O164" s="70"/>
      <c r="P164" s="70"/>
      <c r="Q164" s="17"/>
      <c r="R164" s="16"/>
      <c r="S164" s="72"/>
      <c r="T164" s="77"/>
    </row>
    <row r="165" spans="1:20" ht="13.2">
      <c r="A165" s="2"/>
      <c r="B165" s="69" t="s">
        <v>379</v>
      </c>
      <c r="C165" s="77"/>
      <c r="D165" s="16"/>
      <c r="E165" s="72"/>
      <c r="F165" s="70"/>
      <c r="G165" s="72"/>
      <c r="H165" s="24"/>
      <c r="J165" s="70"/>
      <c r="K165" s="72"/>
      <c r="L165" s="75"/>
      <c r="M165" s="75"/>
      <c r="N165" s="76"/>
      <c r="O165" s="70"/>
      <c r="P165" s="70"/>
      <c r="Q165" s="17"/>
      <c r="R165" s="16"/>
      <c r="S165" s="72"/>
      <c r="T165" s="77"/>
    </row>
    <row r="166" spans="1:20" ht="13.2">
      <c r="A166" s="2"/>
      <c r="B166" s="69" t="s">
        <v>380</v>
      </c>
      <c r="C166" s="77"/>
      <c r="D166" s="16"/>
      <c r="E166" s="72"/>
      <c r="F166" s="70"/>
      <c r="G166" s="72"/>
      <c r="H166" s="24"/>
      <c r="J166" s="70"/>
      <c r="K166" s="72"/>
      <c r="L166" s="75"/>
      <c r="M166" s="75"/>
      <c r="N166" s="76"/>
      <c r="O166" s="70"/>
      <c r="P166" s="70"/>
      <c r="Q166" s="17"/>
      <c r="R166" s="16"/>
      <c r="S166" s="72"/>
      <c r="T166" s="77"/>
    </row>
    <row r="167" spans="1:20" ht="13.2">
      <c r="A167" s="2"/>
      <c r="B167" s="69" t="s">
        <v>381</v>
      </c>
      <c r="C167" s="77"/>
      <c r="D167" s="16"/>
      <c r="E167" s="72"/>
      <c r="F167" s="70"/>
      <c r="G167" s="72"/>
      <c r="H167" s="24"/>
      <c r="J167" s="70"/>
      <c r="K167" s="72"/>
      <c r="L167" s="75"/>
      <c r="M167" s="75"/>
      <c r="N167" s="76"/>
      <c r="O167" s="70"/>
      <c r="P167" s="70"/>
      <c r="Q167" s="17"/>
      <c r="R167" s="16"/>
      <c r="S167" s="72"/>
      <c r="T167" s="77"/>
    </row>
    <row r="168" spans="1:20" ht="13.2">
      <c r="A168" s="2"/>
      <c r="B168" s="69" t="s">
        <v>382</v>
      </c>
      <c r="C168" s="77"/>
      <c r="D168" s="16"/>
      <c r="E168" s="72"/>
      <c r="F168" s="70"/>
      <c r="G168" s="72"/>
      <c r="H168" s="24"/>
      <c r="J168" s="70"/>
      <c r="K168" s="72"/>
      <c r="L168" s="75"/>
      <c r="M168" s="75"/>
      <c r="N168" s="76"/>
      <c r="O168" s="70"/>
      <c r="P168" s="70"/>
      <c r="Q168" s="17"/>
      <c r="R168" s="16"/>
      <c r="S168" s="72"/>
      <c r="T168" s="77"/>
    </row>
    <row r="169" spans="1:20" ht="13.2">
      <c r="A169" s="2"/>
      <c r="B169" s="69" t="s">
        <v>383</v>
      </c>
      <c r="C169" s="77"/>
      <c r="D169" s="16"/>
      <c r="E169" s="72"/>
      <c r="F169" s="70"/>
      <c r="G169" s="72"/>
      <c r="H169" s="24"/>
      <c r="J169" s="70"/>
      <c r="K169" s="72"/>
      <c r="L169" s="75"/>
      <c r="M169" s="75"/>
      <c r="N169" s="76"/>
      <c r="O169" s="70"/>
      <c r="P169" s="70"/>
      <c r="Q169" s="17"/>
      <c r="R169" s="16"/>
      <c r="S169" s="72"/>
      <c r="T169" s="77"/>
    </row>
    <row r="170" spans="1:20" ht="13.2">
      <c r="A170" s="2"/>
      <c r="B170" s="69" t="s">
        <v>384</v>
      </c>
      <c r="C170" s="77"/>
      <c r="D170" s="16"/>
      <c r="E170" s="72"/>
      <c r="F170" s="70"/>
      <c r="G170" s="72"/>
      <c r="H170" s="24"/>
      <c r="J170" s="70"/>
      <c r="K170" s="72"/>
      <c r="L170" s="75"/>
      <c r="M170" s="75"/>
      <c r="N170" s="76"/>
      <c r="O170" s="70"/>
      <c r="P170" s="70"/>
      <c r="Q170" s="17"/>
      <c r="R170" s="16"/>
      <c r="S170" s="72"/>
      <c r="T170" s="77"/>
    </row>
    <row r="171" spans="1:20" ht="13.2">
      <c r="A171" s="2"/>
      <c r="B171" s="69" t="s">
        <v>385</v>
      </c>
      <c r="C171" s="77"/>
      <c r="D171" s="16"/>
      <c r="E171" s="72"/>
      <c r="F171" s="70"/>
      <c r="G171" s="72"/>
      <c r="H171" s="24"/>
      <c r="J171" s="70"/>
      <c r="K171" s="72"/>
      <c r="L171" s="75"/>
      <c r="M171" s="75"/>
      <c r="N171" s="76"/>
      <c r="O171" s="70"/>
      <c r="P171" s="70"/>
      <c r="Q171" s="17"/>
      <c r="R171" s="16"/>
      <c r="S171" s="72"/>
      <c r="T171" s="77"/>
    </row>
    <row r="172" spans="1:20" ht="13.2">
      <c r="A172" s="2"/>
      <c r="B172" s="69" t="s">
        <v>386</v>
      </c>
      <c r="C172" s="77"/>
      <c r="D172" s="16"/>
      <c r="E172" s="72"/>
      <c r="F172" s="70"/>
      <c r="G172" s="72"/>
      <c r="H172" s="24"/>
      <c r="J172" s="70"/>
      <c r="K172" s="72"/>
      <c r="L172" s="75"/>
      <c r="M172" s="75"/>
      <c r="N172" s="76"/>
      <c r="O172" s="70"/>
      <c r="P172" s="70"/>
      <c r="Q172" s="17"/>
      <c r="R172" s="16"/>
      <c r="S172" s="72"/>
      <c r="T172" s="77"/>
    </row>
    <row r="173" spans="1:20" ht="13.2">
      <c r="A173" s="2"/>
      <c r="B173" s="69" t="s">
        <v>387</v>
      </c>
      <c r="C173" s="77"/>
      <c r="D173" s="16"/>
      <c r="E173" s="72"/>
      <c r="F173" s="70"/>
      <c r="G173" s="72"/>
      <c r="H173" s="24"/>
      <c r="J173" s="70"/>
      <c r="K173" s="72"/>
      <c r="L173" s="75"/>
      <c r="M173" s="75"/>
      <c r="N173" s="76"/>
      <c r="O173" s="70"/>
      <c r="P173" s="70"/>
      <c r="Q173" s="17"/>
      <c r="R173" s="16"/>
      <c r="S173" s="72"/>
      <c r="T173" s="77"/>
    </row>
    <row r="174" spans="1:20" ht="13.2">
      <c r="A174" s="2"/>
      <c r="B174" s="69" t="s">
        <v>388</v>
      </c>
      <c r="C174" s="77"/>
      <c r="D174" s="16"/>
      <c r="E174" s="72"/>
      <c r="F174" s="70"/>
      <c r="G174" s="72"/>
      <c r="H174" s="24"/>
      <c r="J174" s="70"/>
      <c r="K174" s="72"/>
      <c r="L174" s="75"/>
      <c r="M174" s="75"/>
      <c r="N174" s="76"/>
      <c r="O174" s="70"/>
      <c r="P174" s="70"/>
      <c r="Q174" s="17"/>
      <c r="R174" s="16"/>
      <c r="S174" s="72"/>
      <c r="T174" s="77"/>
    </row>
    <row r="175" spans="1:20" ht="13.2">
      <c r="A175" s="2"/>
      <c r="B175" s="69" t="s">
        <v>389</v>
      </c>
      <c r="C175" s="77"/>
      <c r="D175" s="16"/>
      <c r="E175" s="72"/>
      <c r="F175" s="70"/>
      <c r="G175" s="72"/>
      <c r="H175" s="24"/>
      <c r="J175" s="70"/>
      <c r="K175" s="72"/>
      <c r="L175" s="75"/>
      <c r="M175" s="75"/>
      <c r="N175" s="76"/>
      <c r="O175" s="70"/>
      <c r="P175" s="70"/>
      <c r="Q175" s="17"/>
      <c r="R175" s="16"/>
      <c r="S175" s="72"/>
      <c r="T175" s="77"/>
    </row>
    <row r="176" spans="1:20" ht="13.2">
      <c r="A176" s="2"/>
      <c r="B176" s="69" t="s">
        <v>390</v>
      </c>
      <c r="C176" s="77"/>
      <c r="D176" s="16"/>
      <c r="E176" s="72"/>
      <c r="F176" s="70"/>
      <c r="G176" s="72"/>
      <c r="H176" s="24"/>
      <c r="J176" s="70"/>
      <c r="K176" s="72"/>
      <c r="L176" s="75"/>
      <c r="M176" s="75"/>
      <c r="N176" s="76"/>
      <c r="O176" s="70"/>
      <c r="P176" s="70"/>
      <c r="Q176" s="17"/>
      <c r="R176" s="16"/>
      <c r="S176" s="72"/>
      <c r="T176" s="77"/>
    </row>
    <row r="177" spans="1:20" ht="13.2">
      <c r="A177" s="2"/>
      <c r="B177" s="69" t="s">
        <v>391</v>
      </c>
      <c r="C177" s="77"/>
      <c r="D177" s="16"/>
      <c r="E177" s="72"/>
      <c r="F177" s="70"/>
      <c r="G177" s="72"/>
      <c r="H177" s="24"/>
      <c r="J177" s="70"/>
      <c r="K177" s="72"/>
      <c r="L177" s="75"/>
      <c r="M177" s="75"/>
      <c r="N177" s="76"/>
      <c r="O177" s="70"/>
      <c r="P177" s="70"/>
      <c r="Q177" s="17"/>
      <c r="R177" s="16"/>
      <c r="S177" s="72"/>
      <c r="T177" s="77"/>
    </row>
    <row r="178" spans="1:20" ht="13.2">
      <c r="A178" s="2"/>
      <c r="B178" s="69" t="s">
        <v>392</v>
      </c>
      <c r="C178" s="77"/>
      <c r="D178" s="16"/>
      <c r="E178" s="72"/>
      <c r="F178" s="70"/>
      <c r="G178" s="72"/>
      <c r="H178" s="24"/>
      <c r="J178" s="70"/>
      <c r="K178" s="72"/>
      <c r="L178" s="75"/>
      <c r="M178" s="75"/>
      <c r="N178" s="76"/>
      <c r="O178" s="70"/>
      <c r="P178" s="70"/>
      <c r="Q178" s="17"/>
      <c r="R178" s="16"/>
      <c r="S178" s="72"/>
      <c r="T178" s="77"/>
    </row>
    <row r="179" spans="1:20" ht="13.2">
      <c r="A179" s="2"/>
      <c r="B179" s="69" t="s">
        <v>393</v>
      </c>
      <c r="C179" s="77"/>
      <c r="D179" s="16"/>
      <c r="E179" s="72"/>
      <c r="F179" s="70"/>
      <c r="G179" s="72"/>
      <c r="H179" s="24"/>
      <c r="J179" s="70"/>
      <c r="K179" s="72"/>
      <c r="L179" s="75"/>
      <c r="M179" s="75"/>
      <c r="N179" s="76"/>
      <c r="O179" s="70"/>
      <c r="P179" s="70"/>
      <c r="Q179" s="17"/>
      <c r="R179" s="16"/>
      <c r="S179" s="72"/>
      <c r="T179" s="77"/>
    </row>
    <row r="180" spans="1:20" ht="13.2">
      <c r="A180" s="2"/>
      <c r="B180" s="69" t="s">
        <v>394</v>
      </c>
      <c r="C180" s="77"/>
      <c r="D180" s="16"/>
      <c r="E180" s="72"/>
      <c r="F180" s="70"/>
      <c r="G180" s="72"/>
      <c r="H180" s="24"/>
      <c r="J180" s="70"/>
      <c r="K180" s="72"/>
      <c r="L180" s="75"/>
      <c r="M180" s="75"/>
      <c r="N180" s="76"/>
      <c r="O180" s="70"/>
      <c r="P180" s="70"/>
      <c r="Q180" s="17"/>
      <c r="R180" s="16"/>
      <c r="S180" s="72"/>
      <c r="T180" s="77"/>
    </row>
    <row r="181" spans="1:20" ht="13.2">
      <c r="A181" s="2"/>
      <c r="B181" s="69" t="s">
        <v>395</v>
      </c>
      <c r="C181" s="77"/>
      <c r="D181" s="16"/>
      <c r="E181" s="72"/>
      <c r="F181" s="70"/>
      <c r="G181" s="72"/>
      <c r="H181" s="24"/>
      <c r="J181" s="70"/>
      <c r="K181" s="72"/>
      <c r="L181" s="75"/>
      <c r="M181" s="75"/>
      <c r="N181" s="76"/>
      <c r="O181" s="70"/>
      <c r="P181" s="70"/>
      <c r="Q181" s="17"/>
      <c r="R181" s="16"/>
      <c r="S181" s="72"/>
      <c r="T181" s="77"/>
    </row>
    <row r="182" spans="1:20" ht="13.2">
      <c r="A182" s="2"/>
      <c r="B182" s="69" t="s">
        <v>396</v>
      </c>
      <c r="C182" s="77"/>
      <c r="D182" s="16"/>
      <c r="E182" s="72"/>
      <c r="F182" s="70"/>
      <c r="G182" s="72"/>
      <c r="H182" s="24"/>
      <c r="J182" s="70"/>
      <c r="K182" s="72"/>
      <c r="L182" s="75"/>
      <c r="M182" s="75"/>
      <c r="N182" s="76"/>
      <c r="O182" s="70"/>
      <c r="P182" s="70"/>
      <c r="Q182" s="17"/>
      <c r="R182" s="16"/>
      <c r="S182" s="72"/>
      <c r="T182" s="77"/>
    </row>
    <row r="183" spans="1:20" ht="13.2">
      <c r="A183" s="2"/>
      <c r="B183" s="69" t="s">
        <v>397</v>
      </c>
      <c r="C183" s="77"/>
      <c r="D183" s="16"/>
      <c r="E183" s="72"/>
      <c r="F183" s="70"/>
      <c r="G183" s="72"/>
      <c r="H183" s="24"/>
      <c r="J183" s="70"/>
      <c r="K183" s="72"/>
      <c r="L183" s="75"/>
      <c r="M183" s="75"/>
      <c r="N183" s="76"/>
      <c r="O183" s="70"/>
      <c r="P183" s="70"/>
      <c r="Q183" s="17"/>
      <c r="R183" s="16"/>
      <c r="S183" s="72"/>
      <c r="T183" s="77"/>
    </row>
    <row r="184" spans="1:20" ht="13.2">
      <c r="A184" s="2"/>
      <c r="B184" s="69" t="s">
        <v>398</v>
      </c>
      <c r="C184" s="77"/>
      <c r="D184" s="16"/>
      <c r="E184" s="72"/>
      <c r="F184" s="70"/>
      <c r="G184" s="72"/>
      <c r="H184" s="24"/>
      <c r="J184" s="70"/>
      <c r="K184" s="72"/>
      <c r="L184" s="75"/>
      <c r="M184" s="75"/>
      <c r="N184" s="76"/>
      <c r="O184" s="70"/>
      <c r="P184" s="70"/>
      <c r="Q184" s="17"/>
      <c r="R184" s="16"/>
      <c r="S184" s="72"/>
      <c r="T184" s="77"/>
    </row>
    <row r="185" spans="1:20" ht="13.2">
      <c r="A185" s="2"/>
      <c r="B185" s="69" t="s">
        <v>399</v>
      </c>
      <c r="C185" s="77"/>
      <c r="D185" s="16"/>
      <c r="E185" s="72"/>
      <c r="F185" s="70"/>
      <c r="G185" s="72"/>
      <c r="H185" s="24"/>
      <c r="J185" s="70"/>
      <c r="K185" s="72"/>
      <c r="L185" s="75"/>
      <c r="M185" s="75"/>
      <c r="N185" s="76"/>
      <c r="O185" s="70"/>
      <c r="P185" s="70"/>
      <c r="Q185" s="17"/>
      <c r="R185" s="16"/>
      <c r="S185" s="72"/>
      <c r="T185" s="77"/>
    </row>
    <row r="186" spans="1:20" ht="13.2">
      <c r="A186" s="2"/>
      <c r="B186" s="69" t="s">
        <v>400</v>
      </c>
      <c r="C186" s="77"/>
      <c r="D186" s="16"/>
      <c r="E186" s="72"/>
      <c r="F186" s="70"/>
      <c r="G186" s="72"/>
      <c r="H186" s="24"/>
      <c r="J186" s="70"/>
      <c r="K186" s="72"/>
      <c r="L186" s="75"/>
      <c r="M186" s="75"/>
      <c r="N186" s="76"/>
      <c r="O186" s="70"/>
      <c r="P186" s="70"/>
      <c r="Q186" s="17"/>
      <c r="R186" s="16"/>
      <c r="S186" s="72"/>
      <c r="T186" s="77"/>
    </row>
    <row r="187" spans="1:20" ht="13.2">
      <c r="A187" s="2"/>
      <c r="B187" s="69" t="s">
        <v>401</v>
      </c>
      <c r="C187" s="77"/>
      <c r="D187" s="16"/>
      <c r="E187" s="72"/>
      <c r="F187" s="70"/>
      <c r="G187" s="72"/>
      <c r="H187" s="24"/>
      <c r="J187" s="70"/>
      <c r="K187" s="72"/>
      <c r="L187" s="75"/>
      <c r="M187" s="75"/>
      <c r="N187" s="76"/>
      <c r="O187" s="70"/>
      <c r="P187" s="70"/>
      <c r="Q187" s="17"/>
      <c r="R187" s="16"/>
      <c r="S187" s="72"/>
      <c r="T187" s="77"/>
    </row>
    <row r="188" spans="1:20" ht="13.2">
      <c r="A188" s="2"/>
      <c r="B188" s="69" t="s">
        <v>402</v>
      </c>
      <c r="C188" s="77"/>
      <c r="D188" s="16"/>
      <c r="E188" s="72"/>
      <c r="F188" s="70"/>
      <c r="G188" s="72"/>
      <c r="H188" s="24"/>
      <c r="J188" s="70"/>
      <c r="K188" s="72"/>
      <c r="L188" s="75"/>
      <c r="M188" s="75"/>
      <c r="N188" s="76"/>
      <c r="O188" s="70"/>
      <c r="P188" s="70"/>
      <c r="Q188" s="17"/>
      <c r="R188" s="16"/>
      <c r="S188" s="72"/>
      <c r="T188" s="77"/>
    </row>
    <row r="189" spans="1:20" ht="13.2">
      <c r="A189" s="2"/>
      <c r="B189" s="69" t="s">
        <v>403</v>
      </c>
      <c r="C189" s="77"/>
      <c r="D189" s="16"/>
      <c r="E189" s="72"/>
      <c r="F189" s="70"/>
      <c r="G189" s="72"/>
      <c r="H189" s="24"/>
      <c r="J189" s="70"/>
      <c r="K189" s="72"/>
      <c r="L189" s="75"/>
      <c r="M189" s="75"/>
      <c r="N189" s="76"/>
      <c r="O189" s="70"/>
      <c r="P189" s="70"/>
      <c r="Q189" s="17"/>
      <c r="R189" s="16"/>
      <c r="S189" s="72"/>
      <c r="T189" s="77"/>
    </row>
    <row r="190" spans="1:20" ht="13.2">
      <c r="A190" s="2"/>
      <c r="B190" s="69" t="s">
        <v>404</v>
      </c>
      <c r="C190" s="77"/>
      <c r="D190" s="16"/>
      <c r="E190" s="72"/>
      <c r="F190" s="70"/>
      <c r="G190" s="72"/>
      <c r="H190" s="24"/>
      <c r="J190" s="70"/>
      <c r="K190" s="72"/>
      <c r="L190" s="75"/>
      <c r="M190" s="75"/>
      <c r="N190" s="76"/>
      <c r="O190" s="70"/>
      <c r="P190" s="70"/>
      <c r="Q190" s="17"/>
      <c r="R190" s="16"/>
      <c r="S190" s="72"/>
      <c r="T190" s="77"/>
    </row>
    <row r="191" spans="1:20" ht="13.2">
      <c r="A191" s="2"/>
      <c r="B191" s="69" t="s">
        <v>405</v>
      </c>
      <c r="C191" s="77"/>
      <c r="D191" s="16"/>
      <c r="E191" s="72"/>
      <c r="F191" s="70"/>
      <c r="G191" s="72"/>
      <c r="H191" s="24"/>
      <c r="J191" s="70"/>
      <c r="K191" s="72"/>
      <c r="L191" s="75"/>
      <c r="M191" s="75"/>
      <c r="N191" s="76"/>
      <c r="O191" s="70"/>
      <c r="P191" s="70"/>
      <c r="Q191" s="17"/>
      <c r="R191" s="16"/>
      <c r="S191" s="72"/>
      <c r="T191" s="77"/>
    </row>
    <row r="192" spans="1:20" ht="13.2">
      <c r="A192" s="2"/>
      <c r="B192" s="69" t="s">
        <v>406</v>
      </c>
      <c r="C192" s="77"/>
      <c r="D192" s="16"/>
      <c r="E192" s="72"/>
      <c r="F192" s="70"/>
      <c r="G192" s="72"/>
      <c r="H192" s="24"/>
      <c r="J192" s="70"/>
      <c r="K192" s="72"/>
      <c r="L192" s="75"/>
      <c r="M192" s="75"/>
      <c r="N192" s="76"/>
      <c r="O192" s="70"/>
      <c r="P192" s="70"/>
      <c r="Q192" s="17"/>
      <c r="R192" s="16"/>
      <c r="S192" s="72"/>
      <c r="T192" s="77"/>
    </row>
    <row r="193" spans="1:20" ht="13.2">
      <c r="A193" s="2"/>
      <c r="B193" s="69" t="s">
        <v>407</v>
      </c>
      <c r="C193" s="77"/>
      <c r="D193" s="16"/>
      <c r="E193" s="72"/>
      <c r="F193" s="70"/>
      <c r="G193" s="72"/>
      <c r="H193" s="24"/>
      <c r="J193" s="70"/>
      <c r="K193" s="72"/>
      <c r="L193" s="75"/>
      <c r="M193" s="75"/>
      <c r="N193" s="76"/>
      <c r="O193" s="70"/>
      <c r="P193" s="70"/>
      <c r="Q193" s="17"/>
      <c r="R193" s="16"/>
      <c r="S193" s="72"/>
      <c r="T193" s="77"/>
    </row>
    <row r="194" spans="1:20" ht="13.2">
      <c r="A194" s="2"/>
      <c r="B194" s="69" t="s">
        <v>408</v>
      </c>
      <c r="C194" s="77"/>
      <c r="D194" s="16"/>
      <c r="E194" s="72"/>
      <c r="F194" s="70"/>
      <c r="G194" s="72"/>
      <c r="H194" s="24"/>
      <c r="J194" s="70"/>
      <c r="K194" s="72"/>
      <c r="L194" s="75"/>
      <c r="M194" s="75"/>
      <c r="N194" s="76"/>
      <c r="O194" s="70"/>
      <c r="P194" s="70"/>
      <c r="Q194" s="17"/>
      <c r="R194" s="16"/>
      <c r="S194" s="72"/>
      <c r="T194" s="77"/>
    </row>
    <row r="195" spans="1:20" ht="13.2">
      <c r="A195" s="2"/>
      <c r="B195" s="69" t="s">
        <v>409</v>
      </c>
      <c r="C195" s="77"/>
      <c r="D195" s="16"/>
      <c r="E195" s="72"/>
      <c r="F195" s="70"/>
      <c r="G195" s="72"/>
      <c r="H195" s="24"/>
      <c r="J195" s="70"/>
      <c r="K195" s="72"/>
      <c r="L195" s="75"/>
      <c r="M195" s="75"/>
      <c r="N195" s="76"/>
      <c r="O195" s="70"/>
      <c r="P195" s="70"/>
      <c r="Q195" s="17"/>
      <c r="R195" s="16"/>
      <c r="S195" s="72"/>
      <c r="T195" s="77"/>
    </row>
    <row r="196" spans="1:20" ht="13.2">
      <c r="A196" s="2"/>
      <c r="B196" s="69" t="s">
        <v>410</v>
      </c>
      <c r="C196" s="77"/>
      <c r="D196" s="16"/>
      <c r="E196" s="72"/>
      <c r="F196" s="70"/>
      <c r="G196" s="72"/>
      <c r="H196" s="24"/>
      <c r="J196" s="70"/>
      <c r="K196" s="72"/>
      <c r="L196" s="75"/>
      <c r="M196" s="75"/>
      <c r="N196" s="76"/>
      <c r="O196" s="70"/>
      <c r="P196" s="70"/>
      <c r="Q196" s="17"/>
      <c r="R196" s="16"/>
      <c r="S196" s="72"/>
      <c r="T196" s="77"/>
    </row>
    <row r="197" spans="1:20" ht="13.2">
      <c r="A197" s="2"/>
      <c r="B197" s="69" t="s">
        <v>411</v>
      </c>
      <c r="C197" s="77"/>
      <c r="D197" s="16"/>
      <c r="E197" s="72"/>
      <c r="F197" s="70"/>
      <c r="G197" s="72"/>
      <c r="H197" s="24"/>
      <c r="J197" s="70"/>
      <c r="K197" s="72"/>
      <c r="L197" s="75"/>
      <c r="M197" s="75"/>
      <c r="N197" s="76"/>
      <c r="O197" s="70"/>
      <c r="P197" s="70"/>
      <c r="Q197" s="17"/>
      <c r="R197" s="16"/>
      <c r="S197" s="72"/>
      <c r="T197" s="77"/>
    </row>
    <row r="198" spans="1:20" ht="13.2">
      <c r="A198" s="2"/>
      <c r="B198" s="69" t="s">
        <v>412</v>
      </c>
      <c r="C198" s="77"/>
      <c r="D198" s="16"/>
      <c r="E198" s="72"/>
      <c r="F198" s="70"/>
      <c r="G198" s="72"/>
      <c r="H198" s="24"/>
      <c r="J198" s="70"/>
      <c r="K198" s="72"/>
      <c r="L198" s="75"/>
      <c r="M198" s="75"/>
      <c r="N198" s="76"/>
      <c r="O198" s="70"/>
      <c r="P198" s="70"/>
      <c r="Q198" s="17"/>
      <c r="R198" s="16"/>
      <c r="S198" s="72"/>
      <c r="T198" s="77"/>
    </row>
    <row r="199" spans="1:20" ht="13.2">
      <c r="A199" s="2"/>
      <c r="B199" s="69" t="s">
        <v>413</v>
      </c>
      <c r="C199" s="77"/>
      <c r="D199" s="16"/>
      <c r="E199" s="72"/>
      <c r="F199" s="70"/>
      <c r="G199" s="72"/>
      <c r="H199" s="24"/>
      <c r="J199" s="70"/>
      <c r="K199" s="72"/>
      <c r="L199" s="75"/>
      <c r="M199" s="75"/>
      <c r="N199" s="76"/>
      <c r="O199" s="70"/>
      <c r="P199" s="70"/>
      <c r="Q199" s="17"/>
      <c r="R199" s="16"/>
      <c r="S199" s="72"/>
      <c r="T199" s="77"/>
    </row>
    <row r="200" spans="1:20" ht="13.2">
      <c r="A200" s="2"/>
      <c r="B200" s="69" t="s">
        <v>414</v>
      </c>
      <c r="C200" s="77"/>
      <c r="D200" s="16"/>
      <c r="E200" s="72"/>
      <c r="F200" s="70"/>
      <c r="G200" s="72"/>
      <c r="H200" s="24"/>
      <c r="J200" s="70"/>
      <c r="K200" s="72"/>
      <c r="L200" s="75"/>
      <c r="M200" s="75"/>
      <c r="N200" s="76"/>
      <c r="O200" s="70"/>
      <c r="P200" s="70"/>
      <c r="Q200" s="17"/>
      <c r="R200" s="16"/>
      <c r="S200" s="72"/>
      <c r="T200" s="77"/>
    </row>
    <row r="201" spans="1:20" ht="13.2">
      <c r="A201" s="2"/>
      <c r="B201" s="69" t="s">
        <v>415</v>
      </c>
      <c r="C201" s="77"/>
      <c r="D201" s="16"/>
      <c r="E201" s="72"/>
      <c r="F201" s="70"/>
      <c r="G201" s="72"/>
      <c r="H201" s="24"/>
      <c r="J201" s="70"/>
      <c r="K201" s="72"/>
      <c r="L201" s="75"/>
      <c r="M201" s="75"/>
      <c r="N201" s="76"/>
      <c r="O201" s="70"/>
      <c r="P201" s="70"/>
      <c r="Q201" s="17"/>
      <c r="R201" s="16"/>
      <c r="S201" s="72"/>
      <c r="T201" s="77"/>
    </row>
    <row r="202" spans="1:20" ht="13.2">
      <c r="A202" s="2"/>
      <c r="B202" s="69" t="s">
        <v>416</v>
      </c>
      <c r="C202" s="77"/>
      <c r="D202" s="16"/>
      <c r="E202" s="72"/>
      <c r="F202" s="70"/>
      <c r="G202" s="72"/>
      <c r="H202" s="24"/>
      <c r="J202" s="70"/>
      <c r="K202" s="72"/>
      <c r="L202" s="75"/>
      <c r="M202" s="75"/>
      <c r="N202" s="76"/>
      <c r="O202" s="70"/>
      <c r="P202" s="70"/>
      <c r="Q202" s="17"/>
      <c r="R202" s="16"/>
      <c r="S202" s="72"/>
      <c r="T202" s="77"/>
    </row>
    <row r="203" spans="1:20" ht="13.2">
      <c r="A203" s="2"/>
      <c r="B203" s="69" t="s">
        <v>417</v>
      </c>
      <c r="C203" s="77"/>
      <c r="D203" s="16"/>
      <c r="E203" s="72"/>
      <c r="F203" s="70"/>
      <c r="G203" s="72"/>
      <c r="H203" s="24"/>
      <c r="J203" s="70"/>
      <c r="K203" s="72"/>
      <c r="L203" s="75"/>
      <c r="M203" s="75"/>
      <c r="N203" s="76"/>
      <c r="O203" s="70"/>
      <c r="P203" s="70"/>
      <c r="Q203" s="17"/>
      <c r="R203" s="16"/>
      <c r="S203" s="72"/>
      <c r="T203" s="77"/>
    </row>
    <row r="204" spans="1:20" ht="13.2">
      <c r="A204" s="2"/>
      <c r="B204" s="69" t="s">
        <v>418</v>
      </c>
      <c r="C204" s="77"/>
      <c r="D204" s="16"/>
      <c r="E204" s="72"/>
      <c r="F204" s="70"/>
      <c r="G204" s="72"/>
      <c r="H204" s="24"/>
      <c r="J204" s="70"/>
      <c r="K204" s="72"/>
      <c r="L204" s="75"/>
      <c r="M204" s="75"/>
      <c r="N204" s="76"/>
      <c r="O204" s="70"/>
      <c r="P204" s="70"/>
      <c r="Q204" s="17"/>
      <c r="R204" s="16"/>
      <c r="S204" s="72"/>
      <c r="T204" s="77"/>
    </row>
    <row r="205" spans="1:20" ht="13.2">
      <c r="A205" s="2"/>
      <c r="B205" s="69" t="s">
        <v>419</v>
      </c>
      <c r="C205" s="77"/>
      <c r="D205" s="16"/>
      <c r="E205" s="72"/>
      <c r="F205" s="70"/>
      <c r="G205" s="72"/>
      <c r="H205" s="24"/>
      <c r="J205" s="70"/>
      <c r="K205" s="72"/>
      <c r="L205" s="75"/>
      <c r="M205" s="75"/>
      <c r="N205" s="76"/>
      <c r="O205" s="70"/>
      <c r="P205" s="70"/>
      <c r="Q205" s="17"/>
      <c r="R205" s="16"/>
      <c r="S205" s="72"/>
      <c r="T205" s="77"/>
    </row>
    <row r="206" spans="1:20" ht="13.2">
      <c r="A206" s="2"/>
      <c r="B206" s="69" t="s">
        <v>420</v>
      </c>
      <c r="C206" s="77"/>
      <c r="D206" s="16"/>
      <c r="E206" s="72"/>
      <c r="F206" s="70"/>
      <c r="G206" s="72"/>
      <c r="H206" s="24"/>
      <c r="J206" s="70"/>
      <c r="K206" s="72"/>
      <c r="L206" s="75"/>
      <c r="M206" s="75"/>
      <c r="N206" s="76"/>
      <c r="O206" s="70"/>
      <c r="P206" s="70"/>
      <c r="Q206" s="17"/>
      <c r="R206" s="16"/>
      <c r="S206" s="72"/>
      <c r="T206" s="77"/>
    </row>
    <row r="207" spans="1:20" ht="13.2">
      <c r="A207" s="2"/>
      <c r="B207" s="69" t="s">
        <v>421</v>
      </c>
      <c r="C207" s="77"/>
      <c r="D207" s="16"/>
      <c r="E207" s="72"/>
      <c r="F207" s="70"/>
      <c r="G207" s="72"/>
      <c r="H207" s="24"/>
      <c r="J207" s="70"/>
      <c r="K207" s="72"/>
      <c r="L207" s="75"/>
      <c r="M207" s="75"/>
      <c r="N207" s="76"/>
      <c r="O207" s="70"/>
      <c r="P207" s="70"/>
      <c r="Q207" s="17"/>
      <c r="R207" s="16"/>
      <c r="S207" s="72"/>
      <c r="T207" s="77"/>
    </row>
    <row r="208" spans="1:20" ht="13.2">
      <c r="A208" s="2"/>
      <c r="B208" s="69" t="s">
        <v>422</v>
      </c>
      <c r="C208" s="77"/>
      <c r="D208" s="16"/>
      <c r="E208" s="72"/>
      <c r="F208" s="70"/>
      <c r="G208" s="72"/>
      <c r="H208" s="24"/>
      <c r="J208" s="70"/>
      <c r="K208" s="72"/>
      <c r="L208" s="75"/>
      <c r="M208" s="75"/>
      <c r="N208" s="76"/>
      <c r="O208" s="70"/>
      <c r="P208" s="70"/>
      <c r="Q208" s="17"/>
      <c r="R208" s="16"/>
      <c r="S208" s="72"/>
      <c r="T208" s="77"/>
    </row>
    <row r="209" spans="1:20" ht="13.2">
      <c r="A209" s="2"/>
      <c r="B209" s="69" t="s">
        <v>423</v>
      </c>
      <c r="C209" s="77"/>
      <c r="D209" s="16"/>
      <c r="E209" s="72"/>
      <c r="F209" s="70"/>
      <c r="G209" s="72"/>
      <c r="H209" s="24"/>
      <c r="J209" s="70"/>
      <c r="K209" s="72"/>
      <c r="L209" s="75"/>
      <c r="M209" s="75"/>
      <c r="N209" s="76"/>
      <c r="O209" s="70"/>
      <c r="P209" s="70"/>
      <c r="Q209" s="17"/>
      <c r="R209" s="16"/>
      <c r="S209" s="72"/>
      <c r="T209" s="77"/>
    </row>
    <row r="210" spans="1:20" ht="13.2">
      <c r="A210" s="2"/>
      <c r="B210" s="69" t="s">
        <v>424</v>
      </c>
      <c r="C210" s="77"/>
      <c r="D210" s="16"/>
      <c r="E210" s="72"/>
      <c r="F210" s="70"/>
      <c r="G210" s="72"/>
      <c r="H210" s="24"/>
      <c r="J210" s="70"/>
      <c r="K210" s="72"/>
      <c r="L210" s="75"/>
      <c r="M210" s="75"/>
      <c r="N210" s="76"/>
      <c r="O210" s="70"/>
      <c r="P210" s="70"/>
      <c r="Q210" s="17"/>
      <c r="R210" s="16"/>
      <c r="S210" s="72"/>
      <c r="T210" s="77"/>
    </row>
    <row r="211" spans="1:20" ht="13.2">
      <c r="A211" s="2"/>
      <c r="B211" s="69" t="s">
        <v>425</v>
      </c>
      <c r="C211" s="77"/>
      <c r="D211" s="16"/>
      <c r="E211" s="72"/>
      <c r="F211" s="70"/>
      <c r="G211" s="72"/>
      <c r="H211" s="24"/>
      <c r="J211" s="70"/>
      <c r="K211" s="72"/>
      <c r="L211" s="75"/>
      <c r="M211" s="75"/>
      <c r="N211" s="76"/>
      <c r="O211" s="70"/>
      <c r="P211" s="70"/>
      <c r="Q211" s="17"/>
      <c r="R211" s="16"/>
      <c r="S211" s="72"/>
      <c r="T211" s="77"/>
    </row>
    <row r="212" spans="1:20" ht="13.2">
      <c r="A212" s="2"/>
      <c r="B212" s="69" t="s">
        <v>426</v>
      </c>
      <c r="C212" s="77"/>
      <c r="D212" s="16"/>
      <c r="E212" s="72"/>
      <c r="F212" s="70"/>
      <c r="G212" s="72"/>
      <c r="H212" s="24"/>
      <c r="J212" s="70"/>
      <c r="K212" s="72"/>
      <c r="L212" s="75"/>
      <c r="M212" s="75"/>
      <c r="N212" s="76"/>
      <c r="O212" s="70"/>
      <c r="P212" s="70"/>
      <c r="Q212" s="17"/>
      <c r="R212" s="16"/>
      <c r="S212" s="72"/>
      <c r="T212" s="77"/>
    </row>
    <row r="213" spans="1:20" ht="13.2">
      <c r="A213" s="2"/>
      <c r="B213" s="69" t="s">
        <v>427</v>
      </c>
      <c r="C213" s="77"/>
      <c r="D213" s="16"/>
      <c r="E213" s="72"/>
      <c r="F213" s="70"/>
      <c r="G213" s="72"/>
      <c r="H213" s="24"/>
      <c r="J213" s="70"/>
      <c r="K213" s="72"/>
      <c r="L213" s="75"/>
      <c r="M213" s="75"/>
      <c r="N213" s="76"/>
      <c r="O213" s="70"/>
      <c r="P213" s="70"/>
      <c r="Q213" s="17"/>
      <c r="R213" s="16"/>
      <c r="S213" s="72"/>
      <c r="T213" s="77"/>
    </row>
    <row r="214" spans="1:20" ht="13.2">
      <c r="A214" s="2"/>
      <c r="B214" s="69" t="s">
        <v>428</v>
      </c>
      <c r="C214" s="77"/>
      <c r="D214" s="16"/>
      <c r="E214" s="72"/>
      <c r="F214" s="70"/>
      <c r="G214" s="72"/>
      <c r="H214" s="24"/>
      <c r="J214" s="70"/>
      <c r="K214" s="72"/>
      <c r="L214" s="75"/>
      <c r="M214" s="75"/>
      <c r="N214" s="76"/>
      <c r="O214" s="70"/>
      <c r="P214" s="70"/>
      <c r="Q214" s="17"/>
      <c r="R214" s="16"/>
      <c r="S214" s="72"/>
      <c r="T214" s="77"/>
    </row>
    <row r="215" spans="1:20" ht="13.2">
      <c r="A215" s="2"/>
      <c r="B215" s="69" t="s">
        <v>429</v>
      </c>
      <c r="C215" s="77"/>
      <c r="D215" s="16"/>
      <c r="E215" s="72"/>
      <c r="F215" s="70"/>
      <c r="G215" s="72"/>
      <c r="H215" s="24"/>
      <c r="J215" s="70"/>
      <c r="K215" s="72"/>
      <c r="L215" s="75"/>
      <c r="M215" s="75"/>
      <c r="N215" s="76"/>
      <c r="O215" s="70"/>
      <c r="P215" s="70"/>
      <c r="Q215" s="17"/>
      <c r="R215" s="16"/>
      <c r="S215" s="72"/>
      <c r="T215" s="77"/>
    </row>
    <row r="216" spans="1:20" ht="13.2">
      <c r="A216" s="2"/>
      <c r="B216" s="69" t="s">
        <v>430</v>
      </c>
      <c r="C216" s="77"/>
      <c r="D216" s="16"/>
      <c r="E216" s="72"/>
      <c r="F216" s="70"/>
      <c r="G216" s="72"/>
      <c r="H216" s="24"/>
      <c r="J216" s="70"/>
      <c r="K216" s="72"/>
      <c r="L216" s="75"/>
      <c r="M216" s="75"/>
      <c r="N216" s="76"/>
      <c r="O216" s="70"/>
      <c r="P216" s="70"/>
      <c r="Q216" s="17"/>
      <c r="R216" s="16"/>
      <c r="S216" s="72"/>
      <c r="T216" s="77"/>
    </row>
    <row r="217" spans="1:20" ht="13.2">
      <c r="A217" s="2"/>
      <c r="B217" s="69" t="s">
        <v>431</v>
      </c>
      <c r="C217" s="77"/>
      <c r="D217" s="16"/>
      <c r="E217" s="72"/>
      <c r="F217" s="70"/>
      <c r="G217" s="72"/>
      <c r="H217" s="24"/>
      <c r="J217" s="70"/>
      <c r="K217" s="72"/>
      <c r="L217" s="75"/>
      <c r="M217" s="75"/>
      <c r="N217" s="76"/>
      <c r="O217" s="70"/>
      <c r="P217" s="70"/>
      <c r="Q217" s="17"/>
      <c r="R217" s="16"/>
      <c r="S217" s="72"/>
      <c r="T217" s="77"/>
    </row>
    <row r="218" spans="1:20" ht="13.2">
      <c r="A218" s="2"/>
      <c r="B218" s="69" t="s">
        <v>206</v>
      </c>
      <c r="C218" s="77"/>
      <c r="D218" s="16"/>
      <c r="E218" s="72"/>
      <c r="F218" s="70"/>
      <c r="G218" s="72"/>
      <c r="H218" s="24"/>
      <c r="J218" s="70"/>
      <c r="K218" s="72"/>
      <c r="L218" s="75"/>
      <c r="M218" s="75"/>
      <c r="N218" s="76"/>
      <c r="O218" s="70"/>
      <c r="P218" s="70"/>
      <c r="Q218" s="17"/>
      <c r="R218" s="16"/>
      <c r="S218" s="72"/>
      <c r="T218" s="77"/>
    </row>
    <row r="219" spans="1:20" ht="13.2">
      <c r="A219" s="2"/>
      <c r="B219" s="69" t="s">
        <v>432</v>
      </c>
      <c r="C219" s="77"/>
      <c r="D219" s="16"/>
      <c r="E219" s="72"/>
      <c r="F219" s="70"/>
      <c r="G219" s="72"/>
      <c r="H219" s="24"/>
      <c r="J219" s="70"/>
      <c r="K219" s="72"/>
      <c r="L219" s="75"/>
      <c r="M219" s="75"/>
      <c r="N219" s="76"/>
      <c r="O219" s="70"/>
      <c r="P219" s="70"/>
      <c r="Q219" s="17"/>
      <c r="R219" s="16"/>
      <c r="S219" s="72"/>
      <c r="T219" s="77"/>
    </row>
    <row r="220" spans="1:20" ht="13.2">
      <c r="A220" s="2"/>
      <c r="B220" s="69" t="s">
        <v>433</v>
      </c>
      <c r="C220" s="77"/>
      <c r="D220" s="16"/>
      <c r="E220" s="72"/>
      <c r="F220" s="70"/>
      <c r="G220" s="72"/>
      <c r="H220" s="24"/>
      <c r="J220" s="70"/>
      <c r="K220" s="72"/>
      <c r="L220" s="75"/>
      <c r="M220" s="75"/>
      <c r="N220" s="76"/>
      <c r="O220" s="70"/>
      <c r="P220" s="70"/>
      <c r="Q220" s="17"/>
      <c r="R220" s="16"/>
      <c r="S220" s="72"/>
      <c r="T220" s="77"/>
    </row>
    <row r="221" spans="1:20" ht="13.2">
      <c r="A221" s="2"/>
      <c r="B221" s="69" t="s">
        <v>434</v>
      </c>
      <c r="C221" s="77"/>
      <c r="D221" s="16"/>
      <c r="E221" s="72"/>
      <c r="F221" s="70"/>
      <c r="G221" s="72"/>
      <c r="H221" s="24"/>
      <c r="J221" s="70"/>
      <c r="K221" s="72"/>
      <c r="L221" s="75"/>
      <c r="M221" s="75"/>
      <c r="N221" s="76"/>
      <c r="O221" s="70"/>
      <c r="P221" s="70"/>
      <c r="Q221" s="17"/>
      <c r="R221" s="16"/>
      <c r="S221" s="72"/>
      <c r="T221" s="77"/>
    </row>
    <row r="222" spans="1:20" ht="13.2">
      <c r="A222" s="2"/>
      <c r="B222" s="69" t="s">
        <v>435</v>
      </c>
      <c r="C222" s="77"/>
      <c r="D222" s="16"/>
      <c r="E222" s="72"/>
      <c r="F222" s="70"/>
      <c r="G222" s="72"/>
      <c r="H222" s="24"/>
      <c r="J222" s="70"/>
      <c r="K222" s="72"/>
      <c r="L222" s="75"/>
      <c r="M222" s="75"/>
      <c r="N222" s="76"/>
      <c r="O222" s="70"/>
      <c r="P222" s="70"/>
      <c r="Q222" s="17"/>
      <c r="R222" s="16"/>
      <c r="S222" s="72"/>
      <c r="T222" s="77"/>
    </row>
    <row r="223" spans="1:20" ht="13.2">
      <c r="A223" s="2"/>
      <c r="B223" s="69" t="s">
        <v>436</v>
      </c>
      <c r="C223" s="77"/>
      <c r="D223" s="16"/>
      <c r="E223" s="72"/>
      <c r="F223" s="70"/>
      <c r="G223" s="72"/>
      <c r="H223" s="24"/>
      <c r="J223" s="70"/>
      <c r="K223" s="72"/>
      <c r="L223" s="75"/>
      <c r="M223" s="75"/>
      <c r="N223" s="76"/>
      <c r="O223" s="70"/>
      <c r="P223" s="70"/>
      <c r="Q223" s="17"/>
      <c r="R223" s="16"/>
      <c r="S223" s="72"/>
      <c r="T223" s="77"/>
    </row>
    <row r="224" spans="1:20" ht="13.2">
      <c r="A224" s="2"/>
      <c r="B224" s="69" t="s">
        <v>437</v>
      </c>
      <c r="C224" s="77"/>
      <c r="D224" s="16"/>
      <c r="E224" s="72"/>
      <c r="F224" s="70"/>
      <c r="G224" s="72"/>
      <c r="H224" s="24"/>
      <c r="J224" s="70"/>
      <c r="K224" s="72"/>
      <c r="L224" s="75"/>
      <c r="M224" s="75"/>
      <c r="N224" s="76"/>
      <c r="O224" s="70"/>
      <c r="P224" s="70"/>
      <c r="Q224" s="17"/>
      <c r="R224" s="16"/>
      <c r="S224" s="72"/>
      <c r="T224" s="77"/>
    </row>
    <row r="225" spans="1:20" ht="13.2">
      <c r="A225" s="2"/>
      <c r="B225" s="69" t="s">
        <v>438</v>
      </c>
      <c r="C225" s="77"/>
      <c r="D225" s="16"/>
      <c r="E225" s="72"/>
      <c r="F225" s="70"/>
      <c r="G225" s="72"/>
      <c r="H225" s="24"/>
      <c r="J225" s="70"/>
      <c r="K225" s="72"/>
      <c r="L225" s="75"/>
      <c r="M225" s="75"/>
      <c r="N225" s="76"/>
      <c r="O225" s="70"/>
      <c r="P225" s="70"/>
      <c r="Q225" s="17"/>
      <c r="R225" s="16"/>
      <c r="S225" s="72"/>
      <c r="T225" s="77"/>
    </row>
    <row r="226" spans="1:20" ht="13.2">
      <c r="A226" s="2"/>
      <c r="B226" s="69" t="s">
        <v>439</v>
      </c>
      <c r="C226" s="77"/>
      <c r="D226" s="16"/>
      <c r="E226" s="72"/>
      <c r="F226" s="70"/>
      <c r="G226" s="72"/>
      <c r="H226" s="24"/>
      <c r="J226" s="70"/>
      <c r="K226" s="72"/>
      <c r="L226" s="75"/>
      <c r="M226" s="75"/>
      <c r="N226" s="76"/>
      <c r="O226" s="70"/>
      <c r="P226" s="70"/>
      <c r="Q226" s="17"/>
      <c r="R226" s="16"/>
      <c r="S226" s="72"/>
      <c r="T226" s="77"/>
    </row>
    <row r="227" spans="1:20" ht="13.2">
      <c r="A227" s="2"/>
      <c r="B227" s="69" t="s">
        <v>440</v>
      </c>
      <c r="C227" s="77"/>
      <c r="D227" s="16"/>
      <c r="E227" s="72"/>
      <c r="F227" s="70"/>
      <c r="G227" s="72"/>
      <c r="H227" s="24"/>
      <c r="J227" s="70"/>
      <c r="K227" s="72"/>
      <c r="L227" s="75"/>
      <c r="M227" s="75"/>
      <c r="N227" s="76"/>
      <c r="O227" s="70"/>
      <c r="P227" s="70"/>
      <c r="Q227" s="17"/>
      <c r="R227" s="16"/>
      <c r="S227" s="72"/>
      <c r="T227" s="77"/>
    </row>
    <row r="228" spans="1:20" ht="13.2">
      <c r="A228" s="2"/>
      <c r="B228" s="69" t="s">
        <v>441</v>
      </c>
      <c r="C228" s="77"/>
      <c r="D228" s="16"/>
      <c r="E228" s="72"/>
      <c r="F228" s="70"/>
      <c r="G228" s="72"/>
      <c r="H228" s="24"/>
      <c r="J228" s="70"/>
      <c r="K228" s="72"/>
      <c r="L228" s="75"/>
      <c r="M228" s="75"/>
      <c r="N228" s="76"/>
      <c r="O228" s="70"/>
      <c r="P228" s="70"/>
      <c r="Q228" s="17"/>
      <c r="R228" s="16"/>
      <c r="S228" s="72"/>
      <c r="T228" s="77"/>
    </row>
    <row r="229" spans="1:20" ht="13.2">
      <c r="A229" s="2"/>
      <c r="B229" s="69" t="s">
        <v>442</v>
      </c>
      <c r="C229" s="77"/>
      <c r="D229" s="16"/>
      <c r="E229" s="72"/>
      <c r="F229" s="70"/>
      <c r="G229" s="72"/>
      <c r="H229" s="24"/>
      <c r="J229" s="70"/>
      <c r="K229" s="72"/>
      <c r="L229" s="75"/>
      <c r="M229" s="75"/>
      <c r="N229" s="76"/>
      <c r="O229" s="70"/>
      <c r="P229" s="70"/>
      <c r="Q229" s="17"/>
      <c r="R229" s="16"/>
      <c r="S229" s="72"/>
      <c r="T229" s="77"/>
    </row>
    <row r="230" spans="1:20" ht="13.2">
      <c r="A230" s="2"/>
      <c r="B230" s="69" t="s">
        <v>443</v>
      </c>
      <c r="C230" s="77"/>
      <c r="D230" s="16"/>
      <c r="E230" s="72"/>
      <c r="F230" s="70"/>
      <c r="G230" s="72"/>
      <c r="H230" s="24"/>
      <c r="J230" s="70"/>
      <c r="K230" s="72"/>
      <c r="L230" s="75"/>
      <c r="M230" s="75"/>
      <c r="N230" s="76"/>
      <c r="O230" s="70"/>
      <c r="P230" s="70"/>
      <c r="Q230" s="17"/>
      <c r="R230" s="16"/>
      <c r="S230" s="72"/>
      <c r="T230" s="77"/>
    </row>
    <row r="231" spans="1:20" ht="13.2">
      <c r="A231" s="2"/>
      <c r="B231" s="69" t="s">
        <v>444</v>
      </c>
      <c r="C231" s="77"/>
      <c r="D231" s="16"/>
      <c r="E231" s="72"/>
      <c r="F231" s="70"/>
      <c r="G231" s="72"/>
      <c r="H231" s="24"/>
      <c r="J231" s="70"/>
      <c r="K231" s="72"/>
      <c r="L231" s="75"/>
      <c r="M231" s="75"/>
      <c r="N231" s="76"/>
      <c r="O231" s="70"/>
      <c r="P231" s="70"/>
      <c r="Q231" s="17"/>
      <c r="R231" s="16"/>
      <c r="S231" s="72"/>
      <c r="T231" s="77"/>
    </row>
    <row r="232" spans="1:20" ht="13.2">
      <c r="A232" s="2"/>
      <c r="B232" s="69" t="s">
        <v>445</v>
      </c>
      <c r="C232" s="77"/>
      <c r="D232" s="16"/>
      <c r="E232" s="72"/>
      <c r="F232" s="70"/>
      <c r="G232" s="72"/>
      <c r="H232" s="24"/>
      <c r="J232" s="70"/>
      <c r="K232" s="72"/>
      <c r="L232" s="75"/>
      <c r="M232" s="75"/>
      <c r="N232" s="76"/>
      <c r="O232" s="70"/>
      <c r="P232" s="70"/>
      <c r="Q232" s="17"/>
      <c r="R232" s="16"/>
      <c r="S232" s="72"/>
      <c r="T232" s="77"/>
    </row>
    <row r="233" spans="1:20" ht="13.2">
      <c r="A233" s="2"/>
      <c r="B233" s="69" t="s">
        <v>446</v>
      </c>
      <c r="C233" s="77"/>
      <c r="D233" s="16"/>
      <c r="E233" s="72"/>
      <c r="F233" s="70"/>
      <c r="G233" s="72"/>
      <c r="H233" s="24"/>
      <c r="J233" s="70"/>
      <c r="K233" s="72"/>
      <c r="L233" s="75"/>
      <c r="M233" s="75"/>
      <c r="N233" s="76"/>
      <c r="O233" s="70"/>
      <c r="P233" s="70"/>
      <c r="Q233" s="17"/>
      <c r="R233" s="16"/>
      <c r="S233" s="72"/>
      <c r="T233" s="77"/>
    </row>
    <row r="234" spans="1:20" ht="13.2">
      <c r="A234" s="2"/>
      <c r="B234" s="69" t="s">
        <v>447</v>
      </c>
      <c r="C234" s="77"/>
      <c r="D234" s="16"/>
      <c r="E234" s="72"/>
      <c r="F234" s="70"/>
      <c r="G234" s="72"/>
      <c r="H234" s="24"/>
      <c r="J234" s="70"/>
      <c r="K234" s="72"/>
      <c r="L234" s="75"/>
      <c r="M234" s="75"/>
      <c r="N234" s="76"/>
      <c r="O234" s="70"/>
      <c r="P234" s="70"/>
      <c r="Q234" s="17"/>
      <c r="R234" s="16"/>
      <c r="S234" s="72"/>
      <c r="T234" s="77"/>
    </row>
    <row r="235" spans="1:20" ht="13.2">
      <c r="A235" s="2"/>
      <c r="B235" s="69" t="s">
        <v>448</v>
      </c>
      <c r="C235" s="77"/>
      <c r="D235" s="16"/>
      <c r="E235" s="72"/>
      <c r="F235" s="70"/>
      <c r="G235" s="72"/>
      <c r="H235" s="24"/>
      <c r="J235" s="70"/>
      <c r="K235" s="72"/>
      <c r="L235" s="75"/>
      <c r="M235" s="75"/>
      <c r="N235" s="76"/>
      <c r="O235" s="70"/>
      <c r="P235" s="70"/>
      <c r="Q235" s="17"/>
      <c r="R235" s="16"/>
      <c r="S235" s="72"/>
      <c r="T235" s="77"/>
    </row>
    <row r="236" spans="1:20" ht="13.2">
      <c r="A236" s="2"/>
      <c r="B236" s="69" t="s">
        <v>449</v>
      </c>
      <c r="C236" s="77"/>
      <c r="D236" s="16"/>
      <c r="E236" s="72"/>
      <c r="F236" s="70"/>
      <c r="G236" s="72"/>
      <c r="H236" s="24"/>
      <c r="J236" s="70"/>
      <c r="K236" s="72"/>
      <c r="L236" s="75"/>
      <c r="M236" s="75"/>
      <c r="N236" s="76"/>
      <c r="O236" s="70"/>
      <c r="P236" s="70"/>
      <c r="Q236" s="17"/>
      <c r="R236" s="16"/>
      <c r="S236" s="72"/>
      <c r="T236" s="77"/>
    </row>
    <row r="237" spans="1:20" ht="13.2">
      <c r="A237" s="2"/>
      <c r="B237" s="69" t="s">
        <v>450</v>
      </c>
      <c r="C237" s="77"/>
      <c r="D237" s="16"/>
      <c r="E237" s="72"/>
      <c r="F237" s="70"/>
      <c r="G237" s="72"/>
      <c r="H237" s="24"/>
      <c r="J237" s="70"/>
      <c r="K237" s="72"/>
      <c r="L237" s="75"/>
      <c r="M237" s="75"/>
      <c r="N237" s="76"/>
      <c r="O237" s="70"/>
      <c r="P237" s="70"/>
      <c r="Q237" s="17"/>
      <c r="R237" s="16"/>
      <c r="S237" s="72"/>
      <c r="T237" s="77"/>
    </row>
    <row r="238" spans="1:20" ht="13.2">
      <c r="A238" s="2"/>
      <c r="B238" s="69" t="s">
        <v>451</v>
      </c>
      <c r="C238" s="77"/>
      <c r="D238" s="16"/>
      <c r="E238" s="72"/>
      <c r="F238" s="70"/>
      <c r="G238" s="72"/>
      <c r="H238" s="24"/>
      <c r="J238" s="70"/>
      <c r="K238" s="72"/>
      <c r="L238" s="75"/>
      <c r="M238" s="75"/>
      <c r="N238" s="76"/>
      <c r="O238" s="70"/>
      <c r="P238" s="70"/>
      <c r="Q238" s="17"/>
      <c r="R238" s="16"/>
      <c r="S238" s="72"/>
      <c r="T238" s="77"/>
    </row>
    <row r="239" spans="1:20" ht="13.2">
      <c r="A239" s="2"/>
      <c r="B239" s="69" t="s">
        <v>452</v>
      </c>
      <c r="C239" s="77"/>
      <c r="D239" s="16"/>
      <c r="E239" s="72"/>
      <c r="F239" s="70"/>
      <c r="G239" s="72"/>
      <c r="H239" s="24"/>
      <c r="J239" s="70"/>
      <c r="K239" s="72"/>
      <c r="L239" s="75"/>
      <c r="M239" s="75"/>
      <c r="N239" s="76"/>
      <c r="O239" s="70"/>
      <c r="P239" s="70"/>
      <c r="Q239" s="17"/>
      <c r="R239" s="16"/>
      <c r="S239" s="72"/>
      <c r="T239" s="77"/>
    </row>
    <row r="240" spans="1:20" ht="13.2">
      <c r="A240" s="2"/>
      <c r="B240" s="69" t="s">
        <v>453</v>
      </c>
      <c r="C240" s="77"/>
      <c r="D240" s="16"/>
      <c r="E240" s="72"/>
      <c r="F240" s="70"/>
      <c r="G240" s="72"/>
      <c r="H240" s="24"/>
      <c r="J240" s="70"/>
      <c r="K240" s="72"/>
      <c r="L240" s="75"/>
      <c r="M240" s="75"/>
      <c r="N240" s="76"/>
      <c r="O240" s="70"/>
      <c r="P240" s="70"/>
      <c r="Q240" s="17"/>
      <c r="R240" s="16"/>
      <c r="S240" s="72"/>
      <c r="T240" s="77"/>
    </row>
    <row r="241" spans="1:20" ht="13.2">
      <c r="A241" s="2"/>
      <c r="B241" s="69" t="s">
        <v>454</v>
      </c>
      <c r="C241" s="77"/>
      <c r="D241" s="16"/>
      <c r="E241" s="72"/>
      <c r="F241" s="70"/>
      <c r="G241" s="72"/>
      <c r="H241" s="24"/>
      <c r="J241" s="70"/>
      <c r="K241" s="72"/>
      <c r="L241" s="75"/>
      <c r="M241" s="75"/>
      <c r="N241" s="76"/>
      <c r="O241" s="70"/>
      <c r="P241" s="70"/>
      <c r="Q241" s="17"/>
      <c r="R241" s="16"/>
      <c r="S241" s="72"/>
      <c r="T241" s="77"/>
    </row>
    <row r="242" spans="1:20" ht="13.2">
      <c r="A242" s="2"/>
      <c r="B242" s="69" t="s">
        <v>253</v>
      </c>
      <c r="C242" s="77"/>
      <c r="D242" s="16"/>
      <c r="E242" s="72"/>
      <c r="F242" s="70"/>
      <c r="G242" s="72"/>
      <c r="H242" s="24"/>
      <c r="J242" s="70"/>
      <c r="K242" s="72"/>
      <c r="L242" s="75"/>
      <c r="M242" s="75"/>
      <c r="N242" s="76"/>
      <c r="O242" s="70"/>
      <c r="P242" s="70"/>
      <c r="Q242" s="17"/>
      <c r="R242" s="16"/>
      <c r="S242" s="72"/>
      <c r="T242" s="77"/>
    </row>
    <row r="243" spans="1:20" ht="13.2">
      <c r="A243" s="2"/>
      <c r="B243" s="69" t="s">
        <v>455</v>
      </c>
      <c r="C243" s="77"/>
      <c r="D243" s="16"/>
      <c r="E243" s="72"/>
      <c r="F243" s="70"/>
      <c r="G243" s="72"/>
      <c r="H243" s="24"/>
      <c r="J243" s="70"/>
      <c r="K243" s="72"/>
      <c r="L243" s="75"/>
      <c r="M243" s="75"/>
      <c r="N243" s="76"/>
      <c r="O243" s="70"/>
      <c r="P243" s="70"/>
      <c r="Q243" s="17"/>
      <c r="R243" s="16"/>
      <c r="S243" s="72"/>
      <c r="T243" s="77"/>
    </row>
    <row r="244" spans="1:20" ht="13.2">
      <c r="A244" s="2"/>
      <c r="B244" s="69" t="s">
        <v>456</v>
      </c>
      <c r="C244" s="77"/>
      <c r="D244" s="16"/>
      <c r="E244" s="72"/>
      <c r="F244" s="70"/>
      <c r="G244" s="72"/>
      <c r="H244" s="24"/>
      <c r="J244" s="70"/>
      <c r="K244" s="72"/>
      <c r="L244" s="75"/>
      <c r="M244" s="75"/>
      <c r="N244" s="76"/>
      <c r="O244" s="70"/>
      <c r="P244" s="70"/>
      <c r="Q244" s="17"/>
      <c r="R244" s="16"/>
      <c r="S244" s="72"/>
      <c r="T244" s="77"/>
    </row>
    <row r="245" spans="1:20" ht="13.2">
      <c r="A245" s="2"/>
      <c r="B245" s="69" t="s">
        <v>457</v>
      </c>
      <c r="C245" s="77"/>
      <c r="D245" s="16"/>
      <c r="E245" s="72"/>
      <c r="F245" s="70"/>
      <c r="G245" s="72"/>
      <c r="H245" s="24"/>
      <c r="J245" s="70"/>
      <c r="K245" s="72"/>
      <c r="L245" s="75"/>
      <c r="M245" s="75"/>
      <c r="N245" s="76"/>
      <c r="O245" s="70"/>
      <c r="P245" s="70"/>
      <c r="Q245" s="17"/>
      <c r="R245" s="16"/>
      <c r="S245" s="72"/>
      <c r="T245" s="77"/>
    </row>
    <row r="246" spans="1:20" ht="13.2">
      <c r="A246" s="2"/>
      <c r="B246" s="69" t="s">
        <v>458</v>
      </c>
      <c r="C246" s="77"/>
      <c r="D246" s="16"/>
      <c r="E246" s="72"/>
      <c r="F246" s="70"/>
      <c r="G246" s="72"/>
      <c r="H246" s="24"/>
      <c r="J246" s="70"/>
      <c r="K246" s="72"/>
      <c r="L246" s="75"/>
      <c r="M246" s="75"/>
      <c r="N246" s="76"/>
      <c r="O246" s="70"/>
      <c r="P246" s="70"/>
      <c r="Q246" s="17"/>
      <c r="R246" s="16"/>
      <c r="S246" s="72"/>
      <c r="T246" s="77"/>
    </row>
    <row r="247" spans="1:20" ht="13.2">
      <c r="A247" s="2"/>
      <c r="B247" s="69" t="s">
        <v>459</v>
      </c>
      <c r="C247" s="77"/>
      <c r="D247" s="16"/>
      <c r="E247" s="72"/>
      <c r="F247" s="70"/>
      <c r="G247" s="72"/>
      <c r="H247" s="24"/>
      <c r="J247" s="70"/>
      <c r="K247" s="72"/>
      <c r="L247" s="75"/>
      <c r="M247" s="75"/>
      <c r="N247" s="76"/>
      <c r="O247" s="70"/>
      <c r="P247" s="70"/>
      <c r="Q247" s="17"/>
      <c r="R247" s="16"/>
      <c r="S247" s="72"/>
      <c r="T247" s="77"/>
    </row>
    <row r="248" spans="1:20" ht="13.2">
      <c r="A248" s="2"/>
      <c r="B248" s="69" t="s">
        <v>460</v>
      </c>
      <c r="C248" s="77"/>
      <c r="D248" s="16"/>
      <c r="E248" s="72"/>
      <c r="F248" s="70"/>
      <c r="G248" s="72"/>
      <c r="H248" s="24"/>
      <c r="J248" s="70"/>
      <c r="K248" s="72"/>
      <c r="L248" s="75"/>
      <c r="M248" s="75"/>
      <c r="N248" s="76"/>
      <c r="O248" s="70"/>
      <c r="P248" s="70"/>
      <c r="Q248" s="17"/>
      <c r="R248" s="16"/>
      <c r="S248" s="72"/>
      <c r="T248" s="77"/>
    </row>
    <row r="249" spans="1:20" ht="13.2">
      <c r="A249" s="2"/>
      <c r="B249" s="69" t="s">
        <v>461</v>
      </c>
      <c r="C249" s="77"/>
      <c r="D249" s="16"/>
      <c r="E249" s="72"/>
      <c r="F249" s="70"/>
      <c r="G249" s="72"/>
      <c r="H249" s="24"/>
      <c r="J249" s="70"/>
      <c r="K249" s="72"/>
      <c r="L249" s="75"/>
      <c r="M249" s="75"/>
      <c r="N249" s="76"/>
      <c r="O249" s="70"/>
      <c r="P249" s="70"/>
      <c r="Q249" s="17"/>
      <c r="R249" s="16"/>
      <c r="S249" s="72"/>
      <c r="T249" s="77"/>
    </row>
    <row r="250" spans="1:20" ht="13.2">
      <c r="A250" s="2"/>
      <c r="B250" s="69" t="s">
        <v>462</v>
      </c>
      <c r="C250" s="77"/>
      <c r="D250" s="16"/>
      <c r="E250" s="72"/>
      <c r="F250" s="70"/>
      <c r="G250" s="72"/>
      <c r="H250" s="24"/>
      <c r="J250" s="70"/>
      <c r="K250" s="72"/>
      <c r="L250" s="75"/>
      <c r="M250" s="75"/>
      <c r="N250" s="76"/>
      <c r="O250" s="70"/>
      <c r="P250" s="70"/>
      <c r="Q250" s="17"/>
      <c r="R250" s="16"/>
      <c r="S250" s="72"/>
      <c r="T250" s="77"/>
    </row>
    <row r="251" spans="1:20" ht="13.2">
      <c r="A251" s="2"/>
      <c r="B251" s="69" t="s">
        <v>463</v>
      </c>
      <c r="C251" s="77"/>
      <c r="D251" s="16"/>
      <c r="E251" s="72"/>
      <c r="F251" s="70"/>
      <c r="G251" s="72"/>
      <c r="H251" s="24"/>
      <c r="J251" s="70"/>
      <c r="K251" s="72"/>
      <c r="L251" s="75"/>
      <c r="M251" s="75"/>
      <c r="N251" s="76"/>
      <c r="O251" s="70"/>
      <c r="P251" s="70"/>
      <c r="Q251" s="17"/>
      <c r="R251" s="16"/>
      <c r="S251" s="72"/>
      <c r="T251" s="77"/>
    </row>
    <row r="252" spans="1:20" ht="13.2">
      <c r="A252" s="2"/>
      <c r="B252" s="69" t="s">
        <v>464</v>
      </c>
      <c r="C252" s="77"/>
      <c r="D252" s="16"/>
      <c r="E252" s="72"/>
      <c r="F252" s="70"/>
      <c r="G252" s="72"/>
      <c r="H252" s="24"/>
      <c r="J252" s="70"/>
      <c r="K252" s="72"/>
      <c r="L252" s="75"/>
      <c r="M252" s="75"/>
      <c r="N252" s="76"/>
      <c r="O252" s="70"/>
      <c r="P252" s="70"/>
      <c r="Q252" s="17"/>
      <c r="R252" s="16"/>
      <c r="S252" s="72"/>
      <c r="T252" s="77"/>
    </row>
    <row r="253" spans="1:20" ht="13.2">
      <c r="A253" s="2"/>
      <c r="B253" s="69" t="s">
        <v>465</v>
      </c>
      <c r="C253" s="77"/>
      <c r="D253" s="16"/>
      <c r="E253" s="72"/>
      <c r="F253" s="70"/>
      <c r="G253" s="72"/>
      <c r="H253" s="24"/>
      <c r="J253" s="70"/>
      <c r="K253" s="72"/>
      <c r="L253" s="75"/>
      <c r="M253" s="75"/>
      <c r="N253" s="76"/>
      <c r="O253" s="70"/>
      <c r="P253" s="70"/>
      <c r="Q253" s="17"/>
      <c r="R253" s="16"/>
      <c r="S253" s="72"/>
      <c r="T253" s="77"/>
    </row>
    <row r="254" spans="1:20" ht="13.2">
      <c r="A254" s="2"/>
      <c r="B254" s="69" t="s">
        <v>466</v>
      </c>
      <c r="C254" s="77"/>
      <c r="D254" s="16"/>
      <c r="E254" s="72"/>
      <c r="F254" s="70"/>
      <c r="G254" s="72"/>
      <c r="H254" s="24"/>
      <c r="J254" s="70"/>
      <c r="K254" s="72"/>
      <c r="L254" s="75"/>
      <c r="M254" s="75"/>
      <c r="N254" s="76"/>
      <c r="O254" s="70"/>
      <c r="P254" s="70"/>
      <c r="Q254" s="17"/>
      <c r="R254" s="16"/>
      <c r="S254" s="72"/>
      <c r="T254" s="77"/>
    </row>
    <row r="255" spans="1:20" ht="13.2">
      <c r="A255" s="2"/>
      <c r="B255" s="69" t="s">
        <v>467</v>
      </c>
      <c r="C255" s="77"/>
      <c r="D255" s="16"/>
      <c r="E255" s="72"/>
      <c r="F255" s="70"/>
      <c r="G255" s="72"/>
      <c r="H255" s="24"/>
      <c r="J255" s="70"/>
      <c r="K255" s="72"/>
      <c r="L255" s="75"/>
      <c r="M255" s="75"/>
      <c r="N255" s="76"/>
      <c r="O255" s="70"/>
      <c r="P255" s="70"/>
      <c r="Q255" s="17"/>
      <c r="R255" s="16"/>
      <c r="S255" s="72"/>
      <c r="T255" s="77"/>
    </row>
    <row r="256" spans="1:20" ht="13.2">
      <c r="A256" s="2"/>
      <c r="B256" s="69" t="s">
        <v>468</v>
      </c>
      <c r="C256" s="77"/>
      <c r="D256" s="16"/>
      <c r="E256" s="72"/>
      <c r="F256" s="70"/>
      <c r="G256" s="72"/>
      <c r="H256" s="24"/>
      <c r="J256" s="70"/>
      <c r="K256" s="72"/>
      <c r="L256" s="75"/>
      <c r="M256" s="75"/>
      <c r="N256" s="76"/>
      <c r="O256" s="70"/>
      <c r="P256" s="70"/>
      <c r="Q256" s="17"/>
      <c r="R256" s="16"/>
      <c r="S256" s="72"/>
      <c r="T256" s="77"/>
    </row>
    <row r="257" spans="1:20" ht="13.2">
      <c r="A257" s="2"/>
      <c r="B257" s="69" t="s">
        <v>469</v>
      </c>
      <c r="C257" s="77"/>
      <c r="D257" s="16"/>
      <c r="E257" s="72"/>
      <c r="F257" s="70"/>
      <c r="G257" s="72"/>
      <c r="H257" s="24"/>
      <c r="J257" s="70"/>
      <c r="K257" s="72"/>
      <c r="L257" s="75"/>
      <c r="M257" s="75"/>
      <c r="N257" s="76"/>
      <c r="O257" s="70"/>
      <c r="P257" s="70"/>
      <c r="Q257" s="17"/>
      <c r="R257" s="16"/>
      <c r="S257" s="72"/>
      <c r="T257" s="77"/>
    </row>
    <row r="258" spans="1:20" ht="13.2">
      <c r="A258" s="2"/>
      <c r="B258" s="69" t="s">
        <v>470</v>
      </c>
      <c r="C258" s="77"/>
      <c r="D258" s="16"/>
      <c r="E258" s="72"/>
      <c r="F258" s="70"/>
      <c r="G258" s="72"/>
      <c r="H258" s="24"/>
      <c r="J258" s="70"/>
      <c r="K258" s="72"/>
      <c r="L258" s="75"/>
      <c r="M258" s="75"/>
      <c r="N258" s="76"/>
      <c r="O258" s="70"/>
      <c r="P258" s="70"/>
      <c r="Q258" s="17"/>
      <c r="R258" s="16"/>
      <c r="S258" s="72"/>
      <c r="T258" s="77"/>
    </row>
    <row r="259" spans="1:20" ht="13.2">
      <c r="A259" s="2"/>
      <c r="B259" s="69" t="s">
        <v>471</v>
      </c>
      <c r="C259" s="77"/>
      <c r="D259" s="16"/>
      <c r="E259" s="72"/>
      <c r="F259" s="70"/>
      <c r="G259" s="72"/>
      <c r="H259" s="24"/>
      <c r="J259" s="70"/>
      <c r="K259" s="72"/>
      <c r="L259" s="75"/>
      <c r="M259" s="75"/>
      <c r="N259" s="76"/>
      <c r="O259" s="70"/>
      <c r="P259" s="70"/>
      <c r="Q259" s="17"/>
      <c r="R259" s="16"/>
      <c r="S259" s="72"/>
      <c r="T259" s="77"/>
    </row>
    <row r="260" spans="1:20" ht="13.2">
      <c r="A260" s="2"/>
      <c r="B260" s="69" t="s">
        <v>472</v>
      </c>
      <c r="C260" s="77"/>
      <c r="D260" s="16"/>
      <c r="E260" s="72"/>
      <c r="F260" s="70"/>
      <c r="G260" s="72"/>
      <c r="H260" s="24"/>
      <c r="J260" s="70"/>
      <c r="K260" s="72"/>
      <c r="L260" s="75"/>
      <c r="M260" s="75"/>
      <c r="N260" s="76"/>
      <c r="O260" s="70"/>
      <c r="P260" s="70"/>
      <c r="Q260" s="17"/>
      <c r="R260" s="16"/>
      <c r="S260" s="72"/>
      <c r="T260" s="77"/>
    </row>
    <row r="261" spans="1:20" ht="13.2">
      <c r="A261" s="2"/>
      <c r="B261" s="69" t="s">
        <v>473</v>
      </c>
      <c r="C261" s="77"/>
      <c r="D261" s="16"/>
      <c r="E261" s="72"/>
      <c r="F261" s="70"/>
      <c r="G261" s="72"/>
      <c r="H261" s="24"/>
      <c r="J261" s="70"/>
      <c r="K261" s="72"/>
      <c r="L261" s="75"/>
      <c r="M261" s="75"/>
      <c r="N261" s="76"/>
      <c r="O261" s="70"/>
      <c r="P261" s="70"/>
      <c r="Q261" s="17"/>
      <c r="R261" s="16"/>
      <c r="S261" s="72"/>
      <c r="T261" s="77"/>
    </row>
    <row r="262" spans="1:20" ht="13.2">
      <c r="A262" s="2"/>
      <c r="B262" s="69" t="s">
        <v>474</v>
      </c>
      <c r="C262" s="77"/>
      <c r="D262" s="16"/>
      <c r="E262" s="72"/>
      <c r="F262" s="70"/>
      <c r="G262" s="72"/>
      <c r="H262" s="24"/>
      <c r="J262" s="70"/>
      <c r="K262" s="72"/>
      <c r="L262" s="75"/>
      <c r="M262" s="75"/>
      <c r="N262" s="76"/>
      <c r="O262" s="70"/>
      <c r="P262" s="70"/>
      <c r="Q262" s="17"/>
      <c r="R262" s="16"/>
      <c r="S262" s="72"/>
      <c r="T262" s="77"/>
    </row>
    <row r="263" spans="1:20" ht="13.2">
      <c r="A263" s="2"/>
      <c r="B263" s="69" t="s">
        <v>475</v>
      </c>
      <c r="C263" s="77"/>
      <c r="D263" s="16"/>
      <c r="E263" s="72"/>
      <c r="F263" s="70"/>
      <c r="G263" s="72"/>
      <c r="H263" s="24"/>
      <c r="J263" s="70"/>
      <c r="K263" s="72"/>
      <c r="L263" s="75"/>
      <c r="M263" s="75"/>
      <c r="N263" s="76"/>
      <c r="O263" s="70"/>
      <c r="P263" s="70"/>
      <c r="Q263" s="17"/>
      <c r="R263" s="16"/>
      <c r="S263" s="72"/>
      <c r="T263" s="77"/>
    </row>
    <row r="264" spans="1:20" ht="13.2">
      <c r="A264" s="2"/>
      <c r="B264" s="69" t="s">
        <v>476</v>
      </c>
      <c r="C264" s="77"/>
      <c r="D264" s="16"/>
      <c r="E264" s="72"/>
      <c r="F264" s="70"/>
      <c r="G264" s="72"/>
      <c r="H264" s="24"/>
      <c r="J264" s="70"/>
      <c r="K264" s="72"/>
      <c r="L264" s="75"/>
      <c r="M264" s="75"/>
      <c r="N264" s="76"/>
      <c r="O264" s="70"/>
      <c r="P264" s="70"/>
      <c r="Q264" s="17"/>
      <c r="R264" s="16"/>
      <c r="S264" s="72"/>
      <c r="T264" s="77"/>
    </row>
    <row r="265" spans="1:20" ht="13.2">
      <c r="A265" s="2"/>
      <c r="B265" s="69" t="s">
        <v>477</v>
      </c>
      <c r="C265" s="77"/>
      <c r="D265" s="16"/>
      <c r="E265" s="72"/>
      <c r="F265" s="70"/>
      <c r="G265" s="72"/>
      <c r="H265" s="24"/>
      <c r="J265" s="70"/>
      <c r="K265" s="72"/>
      <c r="L265" s="75"/>
      <c r="M265" s="75"/>
      <c r="N265" s="76"/>
      <c r="O265" s="70"/>
      <c r="P265" s="70"/>
      <c r="Q265" s="17"/>
      <c r="R265" s="16"/>
      <c r="S265" s="72"/>
      <c r="T265" s="77"/>
    </row>
    <row r="266" spans="1:20" ht="13.2">
      <c r="A266" s="2"/>
      <c r="B266" s="69" t="s">
        <v>478</v>
      </c>
      <c r="C266" s="77"/>
      <c r="D266" s="16"/>
      <c r="E266" s="72"/>
      <c r="F266" s="70"/>
      <c r="G266" s="72"/>
      <c r="H266" s="24"/>
      <c r="J266" s="70"/>
      <c r="K266" s="72"/>
      <c r="L266" s="75"/>
      <c r="M266" s="75"/>
      <c r="N266" s="76"/>
      <c r="O266" s="70"/>
      <c r="P266" s="70"/>
      <c r="Q266" s="17"/>
      <c r="R266" s="16"/>
      <c r="S266" s="72"/>
      <c r="T266" s="77"/>
    </row>
    <row r="267" spans="1:20" ht="13.2">
      <c r="A267" s="2"/>
      <c r="B267" s="69" t="s">
        <v>278</v>
      </c>
      <c r="C267" s="77"/>
      <c r="D267" s="16"/>
      <c r="E267" s="72"/>
      <c r="F267" s="70"/>
      <c r="G267" s="72"/>
      <c r="H267" s="24"/>
      <c r="J267" s="70"/>
      <c r="K267" s="72"/>
      <c r="L267" s="75"/>
      <c r="M267" s="75"/>
      <c r="N267" s="76"/>
      <c r="O267" s="70"/>
      <c r="P267" s="70"/>
      <c r="Q267" s="17"/>
      <c r="R267" s="16"/>
      <c r="S267" s="72"/>
      <c r="T267" s="77"/>
    </row>
    <row r="268" spans="1:20" ht="13.2">
      <c r="A268" s="2"/>
      <c r="B268" s="69" t="s">
        <v>479</v>
      </c>
      <c r="C268" s="77"/>
      <c r="D268" s="16"/>
      <c r="E268" s="72"/>
      <c r="F268" s="70"/>
      <c r="G268" s="72"/>
      <c r="H268" s="24"/>
      <c r="J268" s="70"/>
      <c r="K268" s="72"/>
      <c r="L268" s="75"/>
      <c r="M268" s="75"/>
      <c r="N268" s="76"/>
      <c r="O268" s="70"/>
      <c r="P268" s="70"/>
      <c r="Q268" s="17"/>
      <c r="R268" s="16"/>
      <c r="S268" s="72"/>
      <c r="T268" s="77"/>
    </row>
    <row r="269" spans="1:20" ht="13.2">
      <c r="A269" s="2"/>
      <c r="B269" s="69" t="s">
        <v>480</v>
      </c>
      <c r="C269" s="77"/>
      <c r="D269" s="16"/>
      <c r="E269" s="72"/>
      <c r="F269" s="70"/>
      <c r="G269" s="72"/>
      <c r="H269" s="24"/>
      <c r="J269" s="70"/>
      <c r="K269" s="72"/>
      <c r="L269" s="75"/>
      <c r="M269" s="75"/>
      <c r="N269" s="76"/>
      <c r="O269" s="70"/>
      <c r="P269" s="70"/>
      <c r="Q269" s="17"/>
      <c r="R269" s="16"/>
      <c r="S269" s="72"/>
      <c r="T269" s="77"/>
    </row>
    <row r="270" spans="1:20" ht="13.2">
      <c r="A270" s="2"/>
      <c r="B270" s="69" t="s">
        <v>481</v>
      </c>
      <c r="C270" s="77"/>
      <c r="D270" s="16"/>
      <c r="E270" s="72"/>
      <c r="F270" s="70"/>
      <c r="G270" s="72"/>
      <c r="H270" s="24"/>
      <c r="J270" s="70"/>
      <c r="K270" s="72"/>
      <c r="L270" s="75"/>
      <c r="M270" s="75"/>
      <c r="N270" s="76"/>
      <c r="O270" s="70"/>
      <c r="P270" s="70"/>
      <c r="Q270" s="17"/>
      <c r="R270" s="16"/>
      <c r="S270" s="72"/>
      <c r="T270" s="77"/>
    </row>
    <row r="271" spans="1:20" ht="13.2">
      <c r="A271" s="2"/>
      <c r="B271" s="69" t="s">
        <v>482</v>
      </c>
      <c r="C271" s="77"/>
      <c r="D271" s="16"/>
      <c r="E271" s="72"/>
      <c r="F271" s="70"/>
      <c r="G271" s="72"/>
      <c r="H271" s="24"/>
      <c r="J271" s="70"/>
      <c r="K271" s="72"/>
      <c r="L271" s="75"/>
      <c r="M271" s="75"/>
      <c r="N271" s="76"/>
      <c r="O271" s="70"/>
      <c r="P271" s="70"/>
      <c r="Q271" s="17"/>
      <c r="R271" s="16"/>
      <c r="S271" s="72"/>
      <c r="T271" s="77"/>
    </row>
    <row r="272" spans="1:20" ht="13.2">
      <c r="A272" s="2"/>
      <c r="B272" s="69" t="s">
        <v>483</v>
      </c>
      <c r="C272" s="77"/>
      <c r="D272" s="16"/>
      <c r="E272" s="72"/>
      <c r="F272" s="70"/>
      <c r="G272" s="72"/>
      <c r="H272" s="24"/>
      <c r="J272" s="70"/>
      <c r="K272" s="72"/>
      <c r="L272" s="75"/>
      <c r="M272" s="75"/>
      <c r="N272" s="76"/>
      <c r="O272" s="70"/>
      <c r="P272" s="70"/>
      <c r="Q272" s="17"/>
      <c r="R272" s="16"/>
      <c r="S272" s="72"/>
      <c r="T272" s="77"/>
    </row>
    <row r="273" spans="1:20" ht="13.2">
      <c r="A273" s="2"/>
      <c r="B273" s="69" t="s">
        <v>484</v>
      </c>
      <c r="C273" s="77"/>
      <c r="D273" s="16"/>
      <c r="E273" s="72"/>
      <c r="F273" s="70"/>
      <c r="G273" s="72"/>
      <c r="H273" s="24"/>
      <c r="J273" s="70"/>
      <c r="K273" s="72"/>
      <c r="L273" s="75"/>
      <c r="M273" s="75"/>
      <c r="N273" s="76"/>
      <c r="O273" s="70"/>
      <c r="P273" s="70"/>
      <c r="Q273" s="17"/>
      <c r="R273" s="16"/>
      <c r="S273" s="72"/>
      <c r="T273" s="77"/>
    </row>
    <row r="274" spans="1:20" ht="13.2">
      <c r="A274" s="2"/>
      <c r="B274" s="69" t="s">
        <v>485</v>
      </c>
      <c r="C274" s="77"/>
      <c r="D274" s="16"/>
      <c r="E274" s="72"/>
      <c r="F274" s="70"/>
      <c r="G274" s="72"/>
      <c r="H274" s="24"/>
      <c r="J274" s="70"/>
      <c r="K274" s="72"/>
      <c r="L274" s="75"/>
      <c r="M274" s="75"/>
      <c r="N274" s="76"/>
      <c r="O274" s="70"/>
      <c r="P274" s="70"/>
      <c r="Q274" s="17"/>
      <c r="R274" s="16"/>
      <c r="S274" s="72"/>
      <c r="T274" s="77"/>
    </row>
    <row r="275" spans="1:20" ht="13.2">
      <c r="A275" s="2"/>
      <c r="B275" s="69" t="s">
        <v>486</v>
      </c>
      <c r="C275" s="77"/>
      <c r="D275" s="16"/>
      <c r="E275" s="72"/>
      <c r="F275" s="70"/>
      <c r="G275" s="72"/>
      <c r="H275" s="24"/>
      <c r="J275" s="70"/>
      <c r="K275" s="72"/>
      <c r="L275" s="75"/>
      <c r="M275" s="75"/>
      <c r="N275" s="76"/>
      <c r="O275" s="70"/>
      <c r="P275" s="70"/>
      <c r="Q275" s="17"/>
      <c r="R275" s="16"/>
      <c r="S275" s="72"/>
      <c r="T275" s="77"/>
    </row>
    <row r="276" spans="1:20" ht="13.2">
      <c r="A276" s="2"/>
      <c r="B276" s="69" t="s">
        <v>487</v>
      </c>
      <c r="C276" s="77"/>
      <c r="D276" s="16"/>
      <c r="E276" s="72"/>
      <c r="F276" s="70"/>
      <c r="G276" s="72"/>
      <c r="H276" s="24"/>
      <c r="J276" s="70"/>
      <c r="K276" s="72"/>
      <c r="L276" s="75"/>
      <c r="M276" s="75"/>
      <c r="N276" s="76"/>
      <c r="O276" s="70"/>
      <c r="P276" s="70"/>
      <c r="Q276" s="17"/>
      <c r="R276" s="16"/>
      <c r="S276" s="72"/>
      <c r="T276" s="77"/>
    </row>
    <row r="277" spans="1:20" ht="13.2">
      <c r="A277" s="2"/>
      <c r="B277" s="69" t="s">
        <v>488</v>
      </c>
      <c r="C277" s="77"/>
      <c r="D277" s="16"/>
      <c r="E277" s="72"/>
      <c r="F277" s="70"/>
      <c r="G277" s="72"/>
      <c r="H277" s="24"/>
      <c r="J277" s="70"/>
      <c r="K277" s="72"/>
      <c r="L277" s="75"/>
      <c r="M277" s="75"/>
      <c r="N277" s="76"/>
      <c r="O277" s="70"/>
      <c r="P277" s="70"/>
      <c r="Q277" s="17"/>
      <c r="R277" s="16"/>
      <c r="S277" s="72"/>
      <c r="T277" s="77"/>
    </row>
    <row r="278" spans="1:20" ht="13.2">
      <c r="A278" s="2"/>
      <c r="B278" s="69" t="s">
        <v>489</v>
      </c>
      <c r="C278" s="77"/>
      <c r="D278" s="16"/>
      <c r="E278" s="72"/>
      <c r="F278" s="70"/>
      <c r="G278" s="72"/>
      <c r="H278" s="24"/>
      <c r="J278" s="70"/>
      <c r="K278" s="72"/>
      <c r="L278" s="75"/>
      <c r="M278" s="75"/>
      <c r="N278" s="76"/>
      <c r="O278" s="70"/>
      <c r="P278" s="70"/>
      <c r="Q278" s="17"/>
      <c r="R278" s="16"/>
      <c r="S278" s="72"/>
      <c r="T278" s="77"/>
    </row>
    <row r="279" spans="1:20" ht="13.2">
      <c r="A279" s="2"/>
      <c r="B279" s="69" t="s">
        <v>490</v>
      </c>
      <c r="C279" s="77"/>
      <c r="D279" s="16"/>
      <c r="E279" s="72"/>
      <c r="F279" s="70"/>
      <c r="G279" s="72"/>
      <c r="H279" s="24"/>
      <c r="J279" s="70"/>
      <c r="K279" s="72"/>
      <c r="L279" s="75"/>
      <c r="M279" s="75"/>
      <c r="N279" s="76"/>
      <c r="O279" s="70"/>
      <c r="P279" s="70"/>
      <c r="Q279" s="17"/>
      <c r="R279" s="16"/>
      <c r="S279" s="72"/>
      <c r="T279" s="77"/>
    </row>
    <row r="280" spans="1:20" ht="13.2">
      <c r="A280" s="2"/>
      <c r="B280" s="69" t="s">
        <v>491</v>
      </c>
      <c r="C280" s="77"/>
      <c r="D280" s="16"/>
      <c r="E280" s="72"/>
      <c r="F280" s="70"/>
      <c r="G280" s="72"/>
      <c r="H280" s="24"/>
      <c r="J280" s="70"/>
      <c r="K280" s="72"/>
      <c r="L280" s="75"/>
      <c r="M280" s="75"/>
      <c r="N280" s="76"/>
      <c r="O280" s="70"/>
      <c r="P280" s="70"/>
      <c r="Q280" s="17"/>
      <c r="R280" s="16"/>
      <c r="S280" s="72"/>
      <c r="T280" s="77"/>
    </row>
    <row r="281" spans="1:20" ht="13.2">
      <c r="A281" s="2"/>
      <c r="B281" s="69" t="s">
        <v>492</v>
      </c>
      <c r="C281" s="77"/>
      <c r="D281" s="16"/>
      <c r="E281" s="72"/>
      <c r="F281" s="70"/>
      <c r="G281" s="72"/>
      <c r="H281" s="24"/>
      <c r="J281" s="70"/>
      <c r="K281" s="72"/>
      <c r="L281" s="75"/>
      <c r="M281" s="75"/>
      <c r="N281" s="76"/>
      <c r="O281" s="70"/>
      <c r="P281" s="70"/>
      <c r="Q281" s="17"/>
      <c r="R281" s="16"/>
      <c r="S281" s="72"/>
      <c r="T281" s="77"/>
    </row>
    <row r="282" spans="1:20" ht="13.2">
      <c r="A282" s="2"/>
      <c r="B282" s="69" t="s">
        <v>493</v>
      </c>
      <c r="C282" s="77"/>
      <c r="D282" s="16"/>
      <c r="E282" s="72"/>
      <c r="F282" s="70"/>
      <c r="G282" s="72"/>
      <c r="H282" s="24"/>
      <c r="J282" s="70"/>
      <c r="K282" s="72"/>
      <c r="L282" s="75"/>
      <c r="M282" s="75"/>
      <c r="N282" s="76"/>
      <c r="O282" s="70"/>
      <c r="P282" s="70"/>
      <c r="Q282" s="17"/>
      <c r="R282" s="16"/>
      <c r="S282" s="72"/>
      <c r="T282" s="77"/>
    </row>
    <row r="283" spans="1:20" ht="13.2">
      <c r="A283" s="2"/>
      <c r="B283" s="69" t="s">
        <v>294</v>
      </c>
      <c r="C283" s="77"/>
      <c r="D283" s="16"/>
      <c r="E283" s="72"/>
      <c r="F283" s="70"/>
      <c r="G283" s="72"/>
      <c r="H283" s="24"/>
      <c r="J283" s="70"/>
      <c r="K283" s="72"/>
      <c r="L283" s="75"/>
      <c r="M283" s="75"/>
      <c r="N283" s="76"/>
      <c r="O283" s="70"/>
      <c r="P283" s="70"/>
      <c r="Q283" s="17"/>
      <c r="R283" s="16"/>
      <c r="S283" s="72"/>
      <c r="T283" s="77"/>
    </row>
    <row r="284" spans="1:20" ht="13.2">
      <c r="A284" s="2"/>
      <c r="B284" s="69" t="s">
        <v>494</v>
      </c>
      <c r="C284" s="77"/>
      <c r="D284" s="16"/>
      <c r="E284" s="72"/>
      <c r="F284" s="70"/>
      <c r="G284" s="72"/>
      <c r="H284" s="24"/>
      <c r="J284" s="70"/>
      <c r="K284" s="72"/>
      <c r="L284" s="75"/>
      <c r="M284" s="75"/>
      <c r="N284" s="76"/>
      <c r="O284" s="70"/>
      <c r="P284" s="70"/>
      <c r="Q284" s="17"/>
      <c r="R284" s="16"/>
      <c r="S284" s="72"/>
      <c r="T284" s="77"/>
    </row>
    <row r="285" spans="1:20" ht="13.2">
      <c r="A285" s="2"/>
      <c r="B285" s="69" t="s">
        <v>495</v>
      </c>
      <c r="C285" s="77"/>
      <c r="D285" s="16"/>
      <c r="E285" s="72"/>
      <c r="F285" s="70"/>
      <c r="G285" s="72"/>
      <c r="H285" s="24"/>
      <c r="J285" s="70"/>
      <c r="K285" s="72"/>
      <c r="L285" s="75"/>
      <c r="M285" s="75"/>
      <c r="N285" s="76"/>
      <c r="O285" s="70"/>
      <c r="P285" s="70"/>
      <c r="Q285" s="17"/>
      <c r="R285" s="16"/>
      <c r="S285" s="72"/>
      <c r="T285" s="77"/>
    </row>
    <row r="286" spans="1:20" ht="13.2">
      <c r="A286" s="2"/>
      <c r="B286" s="69" t="s">
        <v>496</v>
      </c>
      <c r="C286" s="77"/>
      <c r="D286" s="16"/>
      <c r="E286" s="72"/>
      <c r="F286" s="70"/>
      <c r="G286" s="72"/>
      <c r="H286" s="24"/>
      <c r="J286" s="70"/>
      <c r="K286" s="72"/>
      <c r="L286" s="75"/>
      <c r="M286" s="75"/>
      <c r="N286" s="76"/>
      <c r="O286" s="70"/>
      <c r="P286" s="70"/>
      <c r="Q286" s="17"/>
      <c r="R286" s="16"/>
      <c r="S286" s="72"/>
      <c r="T286" s="77"/>
    </row>
    <row r="287" spans="1:20" ht="13.2">
      <c r="A287" s="2"/>
      <c r="B287" s="69" t="s">
        <v>497</v>
      </c>
      <c r="C287" s="77"/>
      <c r="D287" s="16"/>
      <c r="E287" s="72"/>
      <c r="F287" s="70"/>
      <c r="G287" s="72"/>
      <c r="H287" s="24"/>
      <c r="J287" s="70"/>
      <c r="K287" s="72"/>
      <c r="L287" s="75"/>
      <c r="M287" s="75"/>
      <c r="N287" s="76"/>
      <c r="O287" s="70"/>
      <c r="P287" s="70"/>
      <c r="Q287" s="17"/>
      <c r="R287" s="16"/>
      <c r="S287" s="72"/>
      <c r="T287" s="77"/>
    </row>
    <row r="288" spans="1:20" ht="13.2">
      <c r="A288" s="2"/>
      <c r="B288" s="69" t="s">
        <v>498</v>
      </c>
      <c r="C288" s="77"/>
      <c r="D288" s="16"/>
      <c r="E288" s="72"/>
      <c r="F288" s="70"/>
      <c r="G288" s="72"/>
      <c r="H288" s="24"/>
      <c r="J288" s="70"/>
      <c r="K288" s="72"/>
      <c r="L288" s="75"/>
      <c r="M288" s="75"/>
      <c r="N288" s="76"/>
      <c r="O288" s="70"/>
      <c r="P288" s="70"/>
      <c r="Q288" s="17"/>
      <c r="R288" s="16"/>
      <c r="S288" s="72"/>
      <c r="T288" s="77"/>
    </row>
    <row r="289" spans="1:20" ht="13.2">
      <c r="A289" s="2"/>
      <c r="B289" s="69" t="s">
        <v>499</v>
      </c>
      <c r="C289" s="77"/>
      <c r="D289" s="16"/>
      <c r="E289" s="72"/>
      <c r="F289" s="70"/>
      <c r="G289" s="72"/>
      <c r="H289" s="24"/>
      <c r="J289" s="70"/>
      <c r="K289" s="72"/>
      <c r="L289" s="75"/>
      <c r="M289" s="75"/>
      <c r="N289" s="76"/>
      <c r="O289" s="70"/>
      <c r="P289" s="70"/>
      <c r="Q289" s="17"/>
      <c r="R289" s="16"/>
      <c r="S289" s="72"/>
      <c r="T289" s="77"/>
    </row>
    <row r="290" spans="1:20" ht="13.2">
      <c r="A290" s="2"/>
      <c r="B290" s="69" t="s">
        <v>500</v>
      </c>
      <c r="C290" s="77"/>
      <c r="D290" s="16"/>
      <c r="E290" s="72"/>
      <c r="F290" s="70"/>
      <c r="G290" s="72"/>
      <c r="H290" s="24"/>
      <c r="J290" s="70"/>
      <c r="K290" s="72"/>
      <c r="L290" s="75"/>
      <c r="M290" s="75"/>
      <c r="N290" s="76"/>
      <c r="O290" s="70"/>
      <c r="P290" s="70"/>
      <c r="Q290" s="17"/>
      <c r="R290" s="16"/>
      <c r="S290" s="72"/>
      <c r="T290" s="77"/>
    </row>
    <row r="291" spans="1:20" ht="13.2">
      <c r="A291" s="2"/>
      <c r="B291" s="69" t="s">
        <v>501</v>
      </c>
      <c r="C291" s="77"/>
      <c r="D291" s="16"/>
      <c r="E291" s="72"/>
      <c r="F291" s="70"/>
      <c r="G291" s="72"/>
      <c r="H291" s="24"/>
      <c r="J291" s="70"/>
      <c r="K291" s="72"/>
      <c r="L291" s="75"/>
      <c r="M291" s="75"/>
      <c r="N291" s="76"/>
      <c r="O291" s="70"/>
      <c r="P291" s="70"/>
      <c r="Q291" s="17"/>
      <c r="R291" s="16"/>
      <c r="S291" s="72"/>
      <c r="T291" s="77"/>
    </row>
    <row r="292" spans="1:20" ht="13.2">
      <c r="A292" s="2"/>
      <c r="B292" s="69" t="s">
        <v>502</v>
      </c>
      <c r="C292" s="77"/>
      <c r="D292" s="16"/>
      <c r="E292" s="72"/>
      <c r="F292" s="70"/>
      <c r="G292" s="72"/>
      <c r="H292" s="24"/>
      <c r="J292" s="70"/>
      <c r="K292" s="72"/>
      <c r="L292" s="75"/>
      <c r="M292" s="75"/>
      <c r="N292" s="76"/>
      <c r="O292" s="70"/>
      <c r="P292" s="70"/>
      <c r="Q292" s="17"/>
      <c r="R292" s="16"/>
      <c r="S292" s="72"/>
      <c r="T292" s="77"/>
    </row>
    <row r="293" spans="1:20" ht="13.2">
      <c r="A293" s="2"/>
      <c r="B293" s="69" t="s">
        <v>503</v>
      </c>
      <c r="C293" s="77"/>
      <c r="D293" s="16"/>
      <c r="E293" s="72"/>
      <c r="F293" s="70"/>
      <c r="G293" s="72"/>
      <c r="H293" s="24"/>
      <c r="J293" s="70"/>
      <c r="K293" s="72"/>
      <c r="L293" s="75"/>
      <c r="M293" s="75"/>
      <c r="N293" s="76"/>
      <c r="O293" s="70"/>
      <c r="P293" s="70"/>
      <c r="Q293" s="17"/>
      <c r="R293" s="16"/>
      <c r="S293" s="72"/>
      <c r="T293" s="77"/>
    </row>
    <row r="294" spans="1:20" ht="13.2">
      <c r="A294" s="2"/>
      <c r="B294" s="69" t="s">
        <v>504</v>
      </c>
      <c r="C294" s="77"/>
      <c r="D294" s="16"/>
      <c r="E294" s="72"/>
      <c r="F294" s="70"/>
      <c r="G294" s="72"/>
      <c r="H294" s="24"/>
      <c r="J294" s="70"/>
      <c r="K294" s="72"/>
      <c r="L294" s="75"/>
      <c r="M294" s="75"/>
      <c r="N294" s="76"/>
      <c r="O294" s="70"/>
      <c r="P294" s="70"/>
      <c r="Q294" s="17"/>
      <c r="R294" s="16"/>
      <c r="S294" s="72"/>
      <c r="T294" s="77"/>
    </row>
    <row r="295" spans="1:20" ht="13.2">
      <c r="A295" s="2"/>
      <c r="B295" s="69" t="s">
        <v>505</v>
      </c>
      <c r="C295" s="77"/>
      <c r="D295" s="16"/>
      <c r="E295" s="72"/>
      <c r="F295" s="70"/>
      <c r="G295" s="72"/>
      <c r="H295" s="24"/>
      <c r="J295" s="70"/>
      <c r="K295" s="72"/>
      <c r="L295" s="75"/>
      <c r="M295" s="75"/>
      <c r="N295" s="76"/>
      <c r="O295" s="70"/>
      <c r="P295" s="70"/>
      <c r="Q295" s="17"/>
      <c r="R295" s="16"/>
      <c r="S295" s="72"/>
      <c r="T295" s="77"/>
    </row>
    <row r="296" spans="1:20" ht="13.2">
      <c r="A296" s="2"/>
      <c r="B296" s="69" t="s">
        <v>506</v>
      </c>
      <c r="C296" s="77"/>
      <c r="D296" s="16"/>
      <c r="E296" s="72"/>
      <c r="F296" s="70"/>
      <c r="G296" s="72"/>
      <c r="H296" s="24"/>
      <c r="J296" s="70"/>
      <c r="K296" s="72"/>
      <c r="L296" s="75"/>
      <c r="M296" s="75"/>
      <c r="N296" s="76"/>
      <c r="O296" s="70"/>
      <c r="P296" s="70"/>
      <c r="Q296" s="17"/>
      <c r="R296" s="16"/>
      <c r="S296" s="72"/>
      <c r="T296" s="77"/>
    </row>
    <row r="297" spans="1:20" ht="13.2">
      <c r="A297" s="2"/>
      <c r="B297" s="69" t="s">
        <v>507</v>
      </c>
      <c r="C297" s="77"/>
      <c r="D297" s="16"/>
      <c r="E297" s="72"/>
      <c r="F297" s="70"/>
      <c r="G297" s="72"/>
      <c r="H297" s="24"/>
      <c r="J297" s="70"/>
      <c r="K297" s="72"/>
      <c r="L297" s="75"/>
      <c r="M297" s="75"/>
      <c r="N297" s="76"/>
      <c r="O297" s="70"/>
      <c r="P297" s="70"/>
      <c r="Q297" s="17"/>
      <c r="R297" s="16"/>
      <c r="S297" s="72"/>
      <c r="T297" s="77"/>
    </row>
    <row r="298" spans="1:20" ht="13.2">
      <c r="A298" s="2"/>
      <c r="B298" s="69" t="s">
        <v>508</v>
      </c>
      <c r="C298" s="77"/>
      <c r="D298" s="16"/>
      <c r="E298" s="72"/>
      <c r="F298" s="70"/>
      <c r="G298" s="72"/>
      <c r="H298" s="24"/>
      <c r="J298" s="70"/>
      <c r="K298" s="72"/>
      <c r="L298" s="75"/>
      <c r="M298" s="75"/>
      <c r="N298" s="76"/>
      <c r="O298" s="70"/>
      <c r="P298" s="70"/>
      <c r="Q298" s="17"/>
      <c r="R298" s="16"/>
      <c r="S298" s="72"/>
      <c r="T298" s="77"/>
    </row>
    <row r="299" spans="1:20" ht="13.2">
      <c r="A299" s="2"/>
      <c r="B299" s="69" t="s">
        <v>509</v>
      </c>
      <c r="C299" s="77"/>
      <c r="D299" s="16"/>
      <c r="E299" s="72"/>
      <c r="F299" s="70"/>
      <c r="G299" s="72"/>
      <c r="H299" s="24"/>
      <c r="J299" s="70"/>
      <c r="K299" s="72"/>
      <c r="L299" s="75"/>
      <c r="M299" s="75"/>
      <c r="N299" s="76"/>
      <c r="O299" s="70"/>
      <c r="P299" s="70"/>
      <c r="Q299" s="17"/>
      <c r="R299" s="16"/>
      <c r="S299" s="72"/>
      <c r="T299" s="77"/>
    </row>
    <row r="300" spans="1:20" ht="13.2">
      <c r="A300" s="2"/>
      <c r="B300" s="69" t="s">
        <v>510</v>
      </c>
      <c r="C300" s="77"/>
      <c r="D300" s="16"/>
      <c r="E300" s="72"/>
      <c r="F300" s="70"/>
      <c r="G300" s="72"/>
      <c r="H300" s="24"/>
      <c r="J300" s="70"/>
      <c r="K300" s="72"/>
      <c r="L300" s="75"/>
      <c r="M300" s="75"/>
      <c r="N300" s="76"/>
      <c r="O300" s="70"/>
      <c r="P300" s="70"/>
      <c r="Q300" s="17"/>
      <c r="R300" s="16"/>
      <c r="S300" s="72"/>
      <c r="T300" s="77"/>
    </row>
    <row r="301" spans="1:20" ht="13.2">
      <c r="A301" s="2"/>
      <c r="B301" s="69" t="s">
        <v>511</v>
      </c>
      <c r="C301" s="77"/>
      <c r="D301" s="16"/>
      <c r="E301" s="72"/>
      <c r="F301" s="70"/>
      <c r="G301" s="72"/>
      <c r="H301" s="24"/>
      <c r="J301" s="70"/>
      <c r="K301" s="72"/>
      <c r="L301" s="75"/>
      <c r="M301" s="75"/>
      <c r="N301" s="76"/>
      <c r="O301" s="70"/>
      <c r="P301" s="70"/>
      <c r="Q301" s="17"/>
      <c r="R301" s="16"/>
      <c r="S301" s="72"/>
      <c r="T301" s="77"/>
    </row>
    <row r="302" spans="1:20" ht="13.2">
      <c r="A302" s="2"/>
      <c r="B302" s="69" t="s">
        <v>512</v>
      </c>
      <c r="C302" s="77"/>
      <c r="D302" s="16"/>
      <c r="E302" s="72"/>
      <c r="F302" s="70"/>
      <c r="G302" s="72"/>
      <c r="H302" s="24"/>
      <c r="J302" s="70"/>
      <c r="K302" s="72"/>
      <c r="L302" s="75"/>
      <c r="M302" s="75"/>
      <c r="N302" s="76"/>
      <c r="O302" s="70"/>
      <c r="P302" s="70"/>
      <c r="Q302" s="17"/>
      <c r="R302" s="16"/>
      <c r="S302" s="72"/>
      <c r="T302" s="77"/>
    </row>
    <row r="303" spans="1:20" ht="13.2">
      <c r="A303" s="2"/>
      <c r="B303" s="69" t="s">
        <v>513</v>
      </c>
      <c r="C303" s="77"/>
      <c r="D303" s="16"/>
      <c r="E303" s="72"/>
      <c r="F303" s="70"/>
      <c r="G303" s="72"/>
      <c r="H303" s="24"/>
      <c r="J303" s="70"/>
      <c r="K303" s="72"/>
      <c r="L303" s="75"/>
      <c r="M303" s="75"/>
      <c r="N303" s="76"/>
      <c r="O303" s="70"/>
      <c r="P303" s="70"/>
      <c r="Q303" s="17"/>
      <c r="R303" s="16"/>
      <c r="S303" s="72"/>
      <c r="T303" s="77"/>
    </row>
    <row r="304" spans="1:20" ht="13.2">
      <c r="A304" s="2"/>
      <c r="B304" s="69" t="s">
        <v>514</v>
      </c>
      <c r="C304" s="77"/>
      <c r="D304" s="16"/>
      <c r="E304" s="72"/>
      <c r="F304" s="70"/>
      <c r="G304" s="72"/>
      <c r="H304" s="24"/>
      <c r="J304" s="70"/>
      <c r="K304" s="72"/>
      <c r="L304" s="75"/>
      <c r="M304" s="75"/>
      <c r="N304" s="76"/>
      <c r="O304" s="70"/>
      <c r="P304" s="70"/>
      <c r="Q304" s="17"/>
      <c r="R304" s="16"/>
      <c r="S304" s="72"/>
      <c r="T304" s="77"/>
    </row>
    <row r="305" spans="1:20" ht="13.2">
      <c r="A305" s="2"/>
      <c r="B305" s="69" t="s">
        <v>515</v>
      </c>
      <c r="C305" s="77"/>
      <c r="D305" s="16"/>
      <c r="E305" s="72"/>
      <c r="F305" s="70"/>
      <c r="G305" s="72"/>
      <c r="H305" s="24"/>
      <c r="J305" s="70"/>
      <c r="K305" s="72"/>
      <c r="L305" s="75"/>
      <c r="M305" s="75"/>
      <c r="N305" s="76"/>
      <c r="O305" s="70"/>
      <c r="P305" s="70"/>
      <c r="Q305" s="17"/>
      <c r="R305" s="16"/>
      <c r="S305" s="72"/>
      <c r="T305" s="77"/>
    </row>
    <row r="306" spans="1:20" ht="13.2">
      <c r="A306" s="2"/>
      <c r="B306" s="69" t="s">
        <v>516</v>
      </c>
      <c r="C306" s="77"/>
      <c r="D306" s="16"/>
      <c r="E306" s="72"/>
      <c r="F306" s="70"/>
      <c r="G306" s="72"/>
      <c r="H306" s="24"/>
      <c r="J306" s="70"/>
      <c r="K306" s="72"/>
      <c r="L306" s="75"/>
      <c r="M306" s="75"/>
      <c r="N306" s="76"/>
      <c r="O306" s="70"/>
      <c r="P306" s="70"/>
      <c r="Q306" s="17"/>
      <c r="R306" s="16"/>
      <c r="S306" s="72"/>
      <c r="T306" s="77"/>
    </row>
    <row r="307" spans="1:20" ht="13.2">
      <c r="A307" s="2"/>
      <c r="B307" s="69" t="s">
        <v>517</v>
      </c>
      <c r="C307" s="77"/>
      <c r="D307" s="16"/>
      <c r="E307" s="72"/>
      <c r="F307" s="70"/>
      <c r="G307" s="72"/>
      <c r="H307" s="24"/>
      <c r="J307" s="70"/>
      <c r="K307" s="72"/>
      <c r="L307" s="75"/>
      <c r="M307" s="75"/>
      <c r="N307" s="76"/>
      <c r="O307" s="70"/>
      <c r="P307" s="70"/>
      <c r="Q307" s="17"/>
      <c r="R307" s="16"/>
      <c r="S307" s="72"/>
      <c r="T307" s="77"/>
    </row>
    <row r="308" spans="1:20" ht="13.2">
      <c r="A308" s="2"/>
      <c r="B308" s="69" t="s">
        <v>518</v>
      </c>
      <c r="C308" s="77"/>
      <c r="D308" s="16"/>
      <c r="E308" s="72"/>
      <c r="F308" s="70"/>
      <c r="G308" s="72"/>
      <c r="H308" s="24"/>
      <c r="J308" s="70"/>
      <c r="K308" s="72"/>
      <c r="L308" s="75"/>
      <c r="M308" s="75"/>
      <c r="N308" s="76"/>
      <c r="O308" s="70"/>
      <c r="P308" s="70"/>
      <c r="Q308" s="17"/>
      <c r="R308" s="16"/>
      <c r="S308" s="72"/>
      <c r="T308" s="77"/>
    </row>
    <row r="309" spans="1:20" ht="13.2">
      <c r="A309" s="2"/>
      <c r="B309" s="69" t="s">
        <v>519</v>
      </c>
      <c r="C309" s="77"/>
      <c r="D309" s="16"/>
      <c r="E309" s="72"/>
      <c r="F309" s="70"/>
      <c r="G309" s="72"/>
      <c r="H309" s="24"/>
      <c r="J309" s="70"/>
      <c r="K309" s="72"/>
      <c r="L309" s="75"/>
      <c r="M309" s="75"/>
      <c r="N309" s="76"/>
      <c r="O309" s="70"/>
      <c r="P309" s="70"/>
      <c r="Q309" s="17"/>
      <c r="R309" s="16"/>
      <c r="S309" s="72"/>
      <c r="T309" s="77"/>
    </row>
    <row r="310" spans="1:20" ht="13.2">
      <c r="A310" s="2"/>
      <c r="B310" s="69" t="s">
        <v>520</v>
      </c>
      <c r="C310" s="77"/>
      <c r="D310" s="16"/>
      <c r="E310" s="72"/>
      <c r="F310" s="70"/>
      <c r="G310" s="72"/>
      <c r="H310" s="24"/>
      <c r="J310" s="70"/>
      <c r="K310" s="72"/>
      <c r="L310" s="75"/>
      <c r="M310" s="75"/>
      <c r="N310" s="76"/>
      <c r="O310" s="70"/>
      <c r="P310" s="70"/>
      <c r="Q310" s="17"/>
      <c r="R310" s="16"/>
      <c r="S310" s="72"/>
      <c r="T310" s="77"/>
    </row>
    <row r="311" spans="1:20" ht="13.2">
      <c r="A311" s="2"/>
      <c r="B311" s="69" t="s">
        <v>521</v>
      </c>
      <c r="C311" s="77"/>
      <c r="D311" s="16"/>
      <c r="E311" s="72"/>
      <c r="F311" s="70"/>
      <c r="G311" s="72"/>
      <c r="H311" s="24"/>
      <c r="J311" s="70"/>
      <c r="K311" s="72"/>
      <c r="L311" s="75"/>
      <c r="M311" s="75"/>
      <c r="N311" s="76"/>
      <c r="O311" s="70"/>
      <c r="P311" s="70"/>
      <c r="Q311" s="17"/>
      <c r="R311" s="16"/>
      <c r="S311" s="72"/>
      <c r="T311" s="77"/>
    </row>
    <row r="312" spans="1:20" ht="13.2">
      <c r="A312" s="2"/>
      <c r="B312" s="69" t="s">
        <v>522</v>
      </c>
      <c r="C312" s="77"/>
      <c r="D312" s="16"/>
      <c r="E312" s="72"/>
      <c r="F312" s="70"/>
      <c r="G312" s="72"/>
      <c r="H312" s="24"/>
      <c r="J312" s="70"/>
      <c r="K312" s="72"/>
      <c r="L312" s="75"/>
      <c r="M312" s="75"/>
      <c r="N312" s="76"/>
      <c r="O312" s="70"/>
      <c r="P312" s="70"/>
      <c r="Q312" s="17"/>
      <c r="R312" s="16"/>
      <c r="S312" s="72"/>
      <c r="T312" s="77"/>
    </row>
    <row r="313" spans="1:20" ht="13.2">
      <c r="A313" s="2"/>
      <c r="B313" s="69" t="s">
        <v>523</v>
      </c>
      <c r="C313" s="77"/>
      <c r="D313" s="16"/>
      <c r="E313" s="72"/>
      <c r="F313" s="70"/>
      <c r="G313" s="72"/>
      <c r="H313" s="24"/>
      <c r="J313" s="70"/>
      <c r="K313" s="72"/>
      <c r="L313" s="75"/>
      <c r="M313" s="75"/>
      <c r="N313" s="76"/>
      <c r="O313" s="70"/>
      <c r="P313" s="70"/>
      <c r="Q313" s="17"/>
      <c r="R313" s="16"/>
      <c r="S313" s="72"/>
      <c r="T313" s="77"/>
    </row>
    <row r="314" spans="1:20" ht="13.2">
      <c r="A314" s="2"/>
      <c r="B314" s="69" t="s">
        <v>325</v>
      </c>
      <c r="C314" s="77"/>
      <c r="D314" s="16"/>
      <c r="E314" s="72"/>
      <c r="F314" s="70"/>
      <c r="G314" s="72"/>
      <c r="H314" s="24"/>
      <c r="J314" s="70"/>
      <c r="K314" s="72"/>
      <c r="L314" s="75"/>
      <c r="M314" s="75"/>
      <c r="N314" s="76"/>
      <c r="O314" s="70"/>
      <c r="P314" s="70"/>
      <c r="Q314" s="17"/>
      <c r="R314" s="16"/>
      <c r="S314" s="72"/>
      <c r="T314" s="77"/>
    </row>
    <row r="315" spans="1:20" ht="13.2">
      <c r="A315" s="2"/>
      <c r="B315" s="69" t="s">
        <v>524</v>
      </c>
      <c r="C315" s="77"/>
      <c r="D315" s="16"/>
      <c r="E315" s="72"/>
      <c r="F315" s="70"/>
      <c r="G315" s="72"/>
      <c r="H315" s="24"/>
      <c r="J315" s="70"/>
      <c r="K315" s="72"/>
      <c r="L315" s="75"/>
      <c r="M315" s="75"/>
      <c r="N315" s="76"/>
      <c r="O315" s="70"/>
      <c r="P315" s="70"/>
      <c r="Q315" s="17"/>
      <c r="R315" s="16"/>
      <c r="S315" s="72"/>
      <c r="T315" s="77"/>
    </row>
    <row r="316" spans="1:20" ht="13.2">
      <c r="A316" s="2"/>
      <c r="B316" s="69" t="s">
        <v>525</v>
      </c>
      <c r="C316" s="77"/>
      <c r="D316" s="16"/>
      <c r="E316" s="72"/>
      <c r="F316" s="70"/>
      <c r="G316" s="72"/>
      <c r="H316" s="24"/>
      <c r="J316" s="70"/>
      <c r="K316" s="72"/>
      <c r="L316" s="75"/>
      <c r="M316" s="75"/>
      <c r="N316" s="76"/>
      <c r="O316" s="70"/>
      <c r="P316" s="70"/>
      <c r="Q316" s="17"/>
      <c r="R316" s="16"/>
      <c r="S316" s="72"/>
      <c r="T316" s="77"/>
    </row>
    <row r="317" spans="1:20" ht="13.2">
      <c r="A317" s="2"/>
      <c r="B317" s="69" t="s">
        <v>526</v>
      </c>
      <c r="C317" s="77"/>
      <c r="D317" s="16"/>
      <c r="E317" s="72"/>
      <c r="F317" s="70"/>
      <c r="G317" s="72"/>
      <c r="H317" s="24"/>
      <c r="J317" s="70"/>
      <c r="K317" s="72"/>
      <c r="L317" s="75"/>
      <c r="M317" s="75"/>
      <c r="N317" s="76"/>
      <c r="O317" s="70"/>
      <c r="P317" s="70"/>
      <c r="Q317" s="17"/>
      <c r="R317" s="16"/>
      <c r="S317" s="72"/>
      <c r="T317" s="77"/>
    </row>
    <row r="318" spans="1:20" ht="13.2">
      <c r="A318" s="2"/>
      <c r="B318" s="69" t="s">
        <v>527</v>
      </c>
      <c r="C318" s="77"/>
      <c r="D318" s="16"/>
      <c r="E318" s="72"/>
      <c r="F318" s="70"/>
      <c r="G318" s="72"/>
      <c r="H318" s="24"/>
      <c r="J318" s="70"/>
      <c r="K318" s="72"/>
      <c r="L318" s="75"/>
      <c r="M318" s="75"/>
      <c r="N318" s="76"/>
      <c r="O318" s="70"/>
      <c r="P318" s="70"/>
      <c r="Q318" s="17"/>
      <c r="R318" s="16"/>
      <c r="S318" s="72"/>
      <c r="T318" s="77"/>
    </row>
    <row r="319" spans="1:20" ht="13.2">
      <c r="A319" s="2"/>
      <c r="B319" s="69" t="s">
        <v>528</v>
      </c>
      <c r="C319" s="77"/>
      <c r="D319" s="16"/>
      <c r="E319" s="72"/>
      <c r="F319" s="70"/>
      <c r="G319" s="72"/>
      <c r="H319" s="24"/>
      <c r="J319" s="70"/>
      <c r="K319" s="72"/>
      <c r="L319" s="75"/>
      <c r="M319" s="75"/>
      <c r="N319" s="76"/>
      <c r="O319" s="70"/>
      <c r="P319" s="70"/>
      <c r="Q319" s="17"/>
      <c r="R319" s="16"/>
      <c r="S319" s="72"/>
      <c r="T319" s="77"/>
    </row>
    <row r="320" spans="1:20" ht="13.2">
      <c r="A320" s="2"/>
      <c r="B320" s="69" t="s">
        <v>529</v>
      </c>
      <c r="C320" s="77"/>
      <c r="D320" s="16"/>
      <c r="E320" s="72"/>
      <c r="F320" s="70"/>
      <c r="G320" s="72"/>
      <c r="H320" s="24"/>
      <c r="J320" s="70"/>
      <c r="K320" s="72"/>
      <c r="L320" s="75"/>
      <c r="M320" s="75"/>
      <c r="N320" s="76"/>
      <c r="O320" s="70"/>
      <c r="P320" s="70"/>
      <c r="Q320" s="17"/>
      <c r="R320" s="16"/>
      <c r="S320" s="72"/>
      <c r="T320" s="77"/>
    </row>
    <row r="321" spans="1:20" ht="13.2">
      <c r="A321" s="2"/>
      <c r="B321" s="69" t="s">
        <v>530</v>
      </c>
      <c r="C321" s="77"/>
      <c r="D321" s="16"/>
      <c r="E321" s="72"/>
      <c r="F321" s="70"/>
      <c r="G321" s="72"/>
      <c r="H321" s="24"/>
      <c r="J321" s="70"/>
      <c r="K321" s="72"/>
      <c r="L321" s="75"/>
      <c r="M321" s="75"/>
      <c r="N321" s="76"/>
      <c r="O321" s="70"/>
      <c r="P321" s="70"/>
      <c r="Q321" s="17"/>
      <c r="R321" s="16"/>
      <c r="S321" s="72"/>
      <c r="T321" s="77"/>
    </row>
    <row r="322" spans="1:20" ht="13.2">
      <c r="A322" s="2"/>
      <c r="B322" s="69" t="s">
        <v>531</v>
      </c>
      <c r="C322" s="77"/>
      <c r="D322" s="16"/>
      <c r="E322" s="72"/>
      <c r="F322" s="70"/>
      <c r="G322" s="72"/>
      <c r="H322" s="24"/>
      <c r="J322" s="70"/>
      <c r="K322" s="72"/>
      <c r="L322" s="75"/>
      <c r="M322" s="75"/>
      <c r="N322" s="76"/>
      <c r="O322" s="70"/>
      <c r="P322" s="70"/>
      <c r="Q322" s="17"/>
      <c r="R322" s="16"/>
      <c r="S322" s="72"/>
      <c r="T322" s="77"/>
    </row>
    <row r="323" spans="1:20" ht="13.2">
      <c r="A323" s="2"/>
      <c r="B323" s="69" t="s">
        <v>532</v>
      </c>
      <c r="C323" s="77"/>
      <c r="D323" s="16"/>
      <c r="E323" s="72"/>
      <c r="F323" s="70"/>
      <c r="G323" s="72"/>
      <c r="H323" s="24"/>
      <c r="J323" s="70"/>
      <c r="K323" s="72"/>
      <c r="L323" s="75"/>
      <c r="M323" s="75"/>
      <c r="N323" s="76"/>
      <c r="O323" s="70"/>
      <c r="P323" s="70"/>
      <c r="Q323" s="17"/>
      <c r="R323" s="16"/>
      <c r="S323" s="72"/>
      <c r="T323" s="77"/>
    </row>
    <row r="324" spans="1:20" ht="13.2">
      <c r="A324" s="2"/>
      <c r="B324" s="69" t="s">
        <v>533</v>
      </c>
      <c r="C324" s="77"/>
      <c r="D324" s="16"/>
      <c r="E324" s="72"/>
      <c r="F324" s="70"/>
      <c r="G324" s="72"/>
      <c r="H324" s="24"/>
      <c r="J324" s="70"/>
      <c r="K324" s="72"/>
      <c r="L324" s="75"/>
      <c r="M324" s="75"/>
      <c r="N324" s="76"/>
      <c r="O324" s="70"/>
      <c r="P324" s="70"/>
      <c r="Q324" s="17"/>
      <c r="R324" s="16"/>
      <c r="S324" s="72"/>
      <c r="T324" s="77"/>
    </row>
    <row r="325" spans="1:20" ht="13.2">
      <c r="A325" s="2"/>
      <c r="B325" s="69" t="s">
        <v>534</v>
      </c>
      <c r="C325" s="77"/>
      <c r="D325" s="16"/>
      <c r="E325" s="72"/>
      <c r="F325" s="70"/>
      <c r="G325" s="72"/>
      <c r="H325" s="24"/>
      <c r="J325" s="70"/>
      <c r="K325" s="72"/>
      <c r="L325" s="75"/>
      <c r="M325" s="75"/>
      <c r="N325" s="76"/>
      <c r="O325" s="70"/>
      <c r="P325" s="70"/>
      <c r="Q325" s="17"/>
      <c r="R325" s="16"/>
      <c r="S325" s="72"/>
      <c r="T325" s="77"/>
    </row>
    <row r="326" spans="1:20" ht="13.2">
      <c r="A326" s="2"/>
      <c r="B326" s="69" t="s">
        <v>535</v>
      </c>
      <c r="C326" s="77"/>
      <c r="D326" s="16"/>
      <c r="E326" s="72"/>
      <c r="F326" s="70"/>
      <c r="G326" s="72"/>
      <c r="H326" s="24"/>
      <c r="J326" s="70"/>
      <c r="K326" s="72"/>
      <c r="L326" s="75"/>
      <c r="M326" s="75"/>
      <c r="N326" s="76"/>
      <c r="O326" s="70"/>
      <c r="P326" s="70"/>
      <c r="Q326" s="17"/>
      <c r="R326" s="16"/>
      <c r="S326" s="72"/>
      <c r="T326" s="77"/>
    </row>
    <row r="327" spans="1:20" ht="13.2">
      <c r="A327" s="2"/>
      <c r="B327" s="69" t="s">
        <v>536</v>
      </c>
      <c r="C327" s="77"/>
      <c r="D327" s="16"/>
      <c r="E327" s="72"/>
      <c r="F327" s="70"/>
      <c r="G327" s="72"/>
      <c r="H327" s="24"/>
      <c r="J327" s="70"/>
      <c r="K327" s="72"/>
      <c r="L327" s="75"/>
      <c r="M327" s="75"/>
      <c r="N327" s="76"/>
      <c r="O327" s="70"/>
      <c r="P327" s="70"/>
      <c r="Q327" s="17"/>
      <c r="R327" s="16"/>
      <c r="S327" s="72"/>
      <c r="T327" s="77"/>
    </row>
    <row r="328" spans="1:20" ht="13.2">
      <c r="A328" s="2"/>
      <c r="B328" s="69" t="s">
        <v>537</v>
      </c>
      <c r="C328" s="77"/>
      <c r="D328" s="16"/>
      <c r="E328" s="72"/>
      <c r="F328" s="70"/>
      <c r="G328" s="72"/>
      <c r="H328" s="24"/>
      <c r="J328" s="70"/>
      <c r="K328" s="72"/>
      <c r="L328" s="75"/>
      <c r="M328" s="75"/>
      <c r="N328" s="76"/>
      <c r="O328" s="70"/>
      <c r="P328" s="70"/>
      <c r="Q328" s="17"/>
      <c r="R328" s="16"/>
      <c r="S328" s="72"/>
      <c r="T328" s="77"/>
    </row>
    <row r="329" spans="1:20" ht="13.2">
      <c r="A329" s="2"/>
      <c r="B329" s="69" t="s">
        <v>538</v>
      </c>
      <c r="C329" s="77"/>
      <c r="D329" s="16"/>
      <c r="E329" s="72"/>
      <c r="F329" s="70"/>
      <c r="G329" s="72"/>
      <c r="H329" s="24"/>
      <c r="J329" s="70"/>
      <c r="K329" s="72"/>
      <c r="L329" s="75"/>
      <c r="M329" s="75"/>
      <c r="N329" s="76"/>
      <c r="O329" s="70"/>
      <c r="P329" s="70"/>
      <c r="Q329" s="17"/>
      <c r="R329" s="16"/>
      <c r="S329" s="72"/>
      <c r="T329" s="77"/>
    </row>
    <row r="330" spans="1:20" ht="13.2">
      <c r="A330" s="2"/>
      <c r="B330" s="69" t="s">
        <v>539</v>
      </c>
      <c r="C330" s="77"/>
      <c r="D330" s="16"/>
      <c r="E330" s="72"/>
      <c r="F330" s="70"/>
      <c r="G330" s="72"/>
      <c r="H330" s="24"/>
      <c r="J330" s="70"/>
      <c r="K330" s="72"/>
      <c r="L330" s="75"/>
      <c r="M330" s="75"/>
      <c r="N330" s="76"/>
      <c r="O330" s="70"/>
      <c r="P330" s="70"/>
      <c r="Q330" s="17"/>
      <c r="R330" s="16"/>
      <c r="S330" s="72"/>
      <c r="T330" s="77"/>
    </row>
    <row r="331" spans="1:20" ht="13.2">
      <c r="A331" s="2"/>
      <c r="B331" s="69" t="s">
        <v>540</v>
      </c>
      <c r="C331" s="77"/>
      <c r="D331" s="16"/>
      <c r="E331" s="72"/>
      <c r="F331" s="70"/>
      <c r="G331" s="72"/>
      <c r="H331" s="24"/>
      <c r="J331" s="70"/>
      <c r="K331" s="72"/>
      <c r="L331" s="75"/>
      <c r="M331" s="75"/>
      <c r="N331" s="76"/>
      <c r="O331" s="70"/>
      <c r="P331" s="70"/>
      <c r="Q331" s="17"/>
      <c r="R331" s="16"/>
      <c r="S331" s="72"/>
      <c r="T331" s="77"/>
    </row>
    <row r="332" spans="1:20" ht="13.2">
      <c r="A332" s="2"/>
      <c r="B332" s="69" t="s">
        <v>541</v>
      </c>
      <c r="C332" s="77"/>
      <c r="D332" s="16"/>
      <c r="E332" s="72"/>
      <c r="F332" s="70"/>
      <c r="G332" s="72"/>
      <c r="H332" s="24"/>
      <c r="J332" s="70"/>
      <c r="K332" s="72"/>
      <c r="L332" s="75"/>
      <c r="M332" s="75"/>
      <c r="N332" s="76"/>
      <c r="O332" s="70"/>
      <c r="P332" s="70"/>
      <c r="Q332" s="17"/>
      <c r="R332" s="16"/>
      <c r="S332" s="72"/>
      <c r="T332" s="77"/>
    </row>
    <row r="333" spans="1:20" ht="13.2">
      <c r="A333" s="2"/>
      <c r="B333" s="69" t="s">
        <v>344</v>
      </c>
      <c r="C333" s="77"/>
      <c r="D333" s="16"/>
      <c r="E333" s="72"/>
      <c r="F333" s="70"/>
      <c r="G333" s="72"/>
      <c r="H333" s="24"/>
      <c r="J333" s="70"/>
      <c r="K333" s="72"/>
      <c r="L333" s="75"/>
      <c r="M333" s="75"/>
      <c r="N333" s="76"/>
      <c r="O333" s="70"/>
      <c r="P333" s="70"/>
      <c r="Q333" s="17"/>
      <c r="R333" s="16"/>
      <c r="S333" s="72"/>
      <c r="T333" s="77"/>
    </row>
    <row r="334" spans="1:20" ht="13.2">
      <c r="A334" s="2"/>
      <c r="B334" s="69" t="s">
        <v>542</v>
      </c>
      <c r="C334" s="77"/>
      <c r="D334" s="16"/>
      <c r="E334" s="72"/>
      <c r="F334" s="70"/>
      <c r="G334" s="72"/>
      <c r="H334" s="24"/>
      <c r="J334" s="70"/>
      <c r="K334" s="72"/>
      <c r="L334" s="75"/>
      <c r="M334" s="75"/>
      <c r="N334" s="76"/>
      <c r="O334" s="70"/>
      <c r="P334" s="70"/>
      <c r="Q334" s="17"/>
      <c r="R334" s="16"/>
      <c r="S334" s="72"/>
      <c r="T334" s="77"/>
    </row>
    <row r="335" spans="1:20" ht="13.2">
      <c r="A335" s="2"/>
      <c r="B335" s="69" t="s">
        <v>543</v>
      </c>
      <c r="C335" s="77"/>
      <c r="D335" s="16"/>
      <c r="E335" s="72"/>
      <c r="F335" s="70"/>
      <c r="G335" s="72"/>
      <c r="H335" s="24"/>
      <c r="J335" s="70"/>
      <c r="K335" s="72"/>
      <c r="L335" s="75"/>
      <c r="M335" s="75"/>
      <c r="N335" s="76"/>
      <c r="O335" s="70"/>
      <c r="P335" s="70"/>
      <c r="Q335" s="17"/>
      <c r="R335" s="16"/>
      <c r="S335" s="72"/>
      <c r="T335" s="77"/>
    </row>
    <row r="336" spans="1:20" ht="13.2">
      <c r="A336" s="2"/>
      <c r="B336" s="69" t="s">
        <v>544</v>
      </c>
      <c r="C336" s="77"/>
      <c r="D336" s="16"/>
      <c r="E336" s="72"/>
      <c r="F336" s="70"/>
      <c r="G336" s="72"/>
      <c r="H336" s="24"/>
      <c r="J336" s="70"/>
      <c r="K336" s="72"/>
      <c r="L336" s="75"/>
      <c r="M336" s="75"/>
      <c r="N336" s="76"/>
      <c r="O336" s="70"/>
      <c r="P336" s="70"/>
      <c r="Q336" s="17"/>
      <c r="R336" s="16"/>
      <c r="S336" s="72"/>
      <c r="T336" s="77"/>
    </row>
    <row r="337" spans="1:20" ht="13.2">
      <c r="A337" s="2"/>
      <c r="B337" s="69" t="s">
        <v>545</v>
      </c>
      <c r="C337" s="77"/>
      <c r="D337" s="16"/>
      <c r="E337" s="72"/>
      <c r="F337" s="70"/>
      <c r="G337" s="72"/>
      <c r="H337" s="24"/>
      <c r="J337" s="70"/>
      <c r="K337" s="72"/>
      <c r="L337" s="75"/>
      <c r="M337" s="75"/>
      <c r="N337" s="76"/>
      <c r="O337" s="70"/>
      <c r="P337" s="70"/>
      <c r="Q337" s="17"/>
      <c r="R337" s="16"/>
      <c r="S337" s="72"/>
      <c r="T337" s="77"/>
    </row>
    <row r="338" spans="1:20" ht="13.2">
      <c r="A338" s="2"/>
      <c r="B338" s="69" t="s">
        <v>546</v>
      </c>
      <c r="C338" s="77"/>
      <c r="D338" s="16"/>
      <c r="E338" s="72"/>
      <c r="F338" s="70"/>
      <c r="G338" s="72"/>
      <c r="H338" s="24"/>
      <c r="J338" s="70"/>
      <c r="K338" s="72"/>
      <c r="L338" s="75"/>
      <c r="M338" s="75"/>
      <c r="N338" s="76"/>
      <c r="O338" s="70"/>
      <c r="P338" s="70"/>
      <c r="Q338" s="17"/>
      <c r="R338" s="16"/>
      <c r="S338" s="72"/>
      <c r="T338" s="77"/>
    </row>
    <row r="339" spans="1:20" ht="13.2">
      <c r="A339" s="2"/>
      <c r="B339" s="69" t="s">
        <v>547</v>
      </c>
      <c r="C339" s="77"/>
      <c r="D339" s="16"/>
      <c r="E339" s="72"/>
      <c r="F339" s="70"/>
      <c r="G339" s="72"/>
      <c r="H339" s="24"/>
      <c r="J339" s="70"/>
      <c r="K339" s="72"/>
      <c r="L339" s="75"/>
      <c r="M339" s="75"/>
      <c r="N339" s="76"/>
      <c r="O339" s="70"/>
      <c r="P339" s="70"/>
      <c r="Q339" s="17"/>
      <c r="R339" s="16"/>
      <c r="S339" s="72"/>
      <c r="T339" s="77"/>
    </row>
    <row r="340" spans="1:20" ht="13.2">
      <c r="A340" s="2"/>
      <c r="B340" s="69" t="s">
        <v>548</v>
      </c>
      <c r="C340" s="77"/>
      <c r="D340" s="16"/>
      <c r="E340" s="72"/>
      <c r="F340" s="70"/>
      <c r="G340" s="72"/>
      <c r="H340" s="24"/>
      <c r="J340" s="70"/>
      <c r="K340" s="72"/>
      <c r="L340" s="75"/>
      <c r="M340" s="75"/>
      <c r="N340" s="76"/>
      <c r="O340" s="70"/>
      <c r="P340" s="70"/>
      <c r="Q340" s="17"/>
      <c r="R340" s="16"/>
      <c r="S340" s="72"/>
      <c r="T340" s="77"/>
    </row>
    <row r="341" spans="1:20" ht="13.2">
      <c r="A341" s="2"/>
      <c r="B341" s="69" t="s">
        <v>549</v>
      </c>
      <c r="C341" s="77"/>
      <c r="D341" s="16"/>
      <c r="E341" s="72"/>
      <c r="F341" s="70"/>
      <c r="G341" s="72"/>
      <c r="H341" s="24"/>
      <c r="J341" s="70"/>
      <c r="K341" s="72"/>
      <c r="L341" s="75"/>
      <c r="M341" s="75"/>
      <c r="N341" s="76"/>
      <c r="O341" s="70"/>
      <c r="P341" s="70"/>
      <c r="Q341" s="17"/>
      <c r="R341" s="16"/>
      <c r="S341" s="72"/>
      <c r="T341" s="77"/>
    </row>
    <row r="342" spans="1:20" ht="13.2">
      <c r="A342" s="2"/>
      <c r="B342" s="69" t="s">
        <v>550</v>
      </c>
      <c r="C342" s="77"/>
      <c r="D342" s="16"/>
      <c r="E342" s="72"/>
      <c r="F342" s="70"/>
      <c r="G342" s="72"/>
      <c r="H342" s="24"/>
      <c r="J342" s="70"/>
      <c r="K342" s="72"/>
      <c r="L342" s="75"/>
      <c r="M342" s="75"/>
      <c r="N342" s="76"/>
      <c r="O342" s="70"/>
      <c r="P342" s="70"/>
      <c r="Q342" s="17"/>
      <c r="R342" s="16"/>
      <c r="S342" s="72"/>
      <c r="T342" s="77"/>
    </row>
    <row r="343" spans="1:20" ht="13.2">
      <c r="A343" s="2"/>
      <c r="B343" s="69" t="s">
        <v>551</v>
      </c>
      <c r="C343" s="77"/>
      <c r="D343" s="16"/>
      <c r="E343" s="72"/>
      <c r="F343" s="70"/>
      <c r="G343" s="72"/>
      <c r="H343" s="24"/>
      <c r="J343" s="70"/>
      <c r="K343" s="72"/>
      <c r="L343" s="75"/>
      <c r="M343" s="75"/>
      <c r="N343" s="76"/>
      <c r="O343" s="70"/>
      <c r="P343" s="70"/>
      <c r="Q343" s="17"/>
      <c r="R343" s="16"/>
      <c r="S343" s="72"/>
      <c r="T343" s="77"/>
    </row>
    <row r="344" spans="1:20" ht="13.2">
      <c r="A344" s="2"/>
      <c r="B344" s="69" t="s">
        <v>552</v>
      </c>
      <c r="C344" s="77"/>
      <c r="D344" s="16"/>
      <c r="E344" s="72"/>
      <c r="F344" s="70"/>
      <c r="G344" s="72"/>
      <c r="H344" s="24"/>
      <c r="J344" s="70"/>
      <c r="K344" s="72"/>
      <c r="L344" s="75"/>
      <c r="M344" s="75"/>
      <c r="N344" s="76"/>
      <c r="O344" s="70"/>
      <c r="P344" s="70"/>
      <c r="Q344" s="17"/>
      <c r="R344" s="16"/>
      <c r="S344" s="72"/>
      <c r="T344" s="77"/>
    </row>
    <row r="345" spans="1:20" ht="13.2">
      <c r="A345" s="2"/>
      <c r="B345" s="69" t="s">
        <v>553</v>
      </c>
      <c r="C345" s="77"/>
      <c r="D345" s="16"/>
      <c r="E345" s="72"/>
      <c r="F345" s="70"/>
      <c r="G345" s="72"/>
      <c r="H345" s="24"/>
      <c r="J345" s="70"/>
      <c r="K345" s="72"/>
      <c r="L345" s="75"/>
      <c r="M345" s="75"/>
      <c r="N345" s="76"/>
      <c r="O345" s="70"/>
      <c r="P345" s="70"/>
      <c r="Q345" s="17"/>
      <c r="R345" s="16"/>
      <c r="S345" s="72"/>
      <c r="T345" s="77"/>
    </row>
    <row r="346" spans="1:20" ht="13.2">
      <c r="A346" s="2"/>
      <c r="B346" s="69" t="s">
        <v>554</v>
      </c>
      <c r="C346" s="77"/>
      <c r="D346" s="16"/>
      <c r="E346" s="72"/>
      <c r="F346" s="70"/>
      <c r="G346" s="72"/>
      <c r="H346" s="24"/>
      <c r="J346" s="70"/>
      <c r="K346" s="72"/>
      <c r="L346" s="75"/>
      <c r="M346" s="75"/>
      <c r="N346" s="76"/>
      <c r="O346" s="70"/>
      <c r="P346" s="70"/>
      <c r="Q346" s="17"/>
      <c r="R346" s="16"/>
      <c r="S346" s="72"/>
      <c r="T346" s="77"/>
    </row>
    <row r="347" spans="1:20" ht="13.2">
      <c r="A347" s="2"/>
      <c r="B347" s="69" t="s">
        <v>555</v>
      </c>
      <c r="C347" s="77"/>
      <c r="D347" s="16"/>
      <c r="E347" s="72"/>
      <c r="F347" s="70"/>
      <c r="G347" s="72"/>
      <c r="H347" s="24"/>
      <c r="J347" s="70"/>
      <c r="K347" s="72"/>
      <c r="L347" s="75"/>
      <c r="M347" s="75"/>
      <c r="N347" s="76"/>
      <c r="O347" s="70"/>
      <c r="P347" s="70"/>
      <c r="Q347" s="17"/>
      <c r="R347" s="16"/>
      <c r="S347" s="72"/>
      <c r="T347" s="77"/>
    </row>
    <row r="348" spans="1:20" ht="13.2">
      <c r="A348" s="2"/>
      <c r="B348" s="69" t="s">
        <v>556</v>
      </c>
      <c r="C348" s="77"/>
      <c r="D348" s="16"/>
      <c r="E348" s="72"/>
      <c r="F348" s="70"/>
      <c r="G348" s="72"/>
      <c r="H348" s="24"/>
      <c r="J348" s="70"/>
      <c r="K348" s="72"/>
      <c r="L348" s="75"/>
      <c r="M348" s="75"/>
      <c r="N348" s="76"/>
      <c r="O348" s="70"/>
      <c r="P348" s="70"/>
      <c r="Q348" s="17"/>
      <c r="R348" s="16"/>
      <c r="S348" s="72"/>
      <c r="T348" s="77"/>
    </row>
    <row r="349" spans="1:20" ht="13.2">
      <c r="A349" s="2"/>
      <c r="B349" s="69" t="s">
        <v>360</v>
      </c>
      <c r="C349" s="77"/>
      <c r="D349" s="16"/>
      <c r="E349" s="72"/>
      <c r="F349" s="70"/>
      <c r="G349" s="72"/>
      <c r="H349" s="24"/>
      <c r="J349" s="70"/>
      <c r="K349" s="72"/>
      <c r="L349" s="75"/>
      <c r="M349" s="75"/>
      <c r="N349" s="76"/>
      <c r="O349" s="70"/>
      <c r="P349" s="70"/>
      <c r="Q349" s="17"/>
      <c r="R349" s="16"/>
      <c r="S349" s="72"/>
      <c r="T349" s="77"/>
    </row>
    <row r="350" spans="1:20" ht="13.2">
      <c r="A350" s="2"/>
      <c r="B350" s="69" t="s">
        <v>557</v>
      </c>
      <c r="C350" s="77"/>
      <c r="D350" s="16"/>
      <c r="E350" s="72"/>
      <c r="F350" s="70"/>
      <c r="G350" s="72"/>
      <c r="H350" s="24"/>
      <c r="J350" s="70"/>
      <c r="K350" s="72"/>
      <c r="L350" s="75"/>
      <c r="M350" s="75"/>
      <c r="N350" s="76"/>
      <c r="O350" s="70"/>
      <c r="P350" s="70"/>
      <c r="Q350" s="17"/>
      <c r="R350" s="16"/>
      <c r="S350" s="72"/>
      <c r="T350" s="77"/>
    </row>
    <row r="351" spans="1:20" ht="13.2">
      <c r="A351" s="2"/>
      <c r="B351" s="69" t="s">
        <v>558</v>
      </c>
      <c r="C351" s="77"/>
      <c r="D351" s="16"/>
      <c r="E351" s="72"/>
      <c r="F351" s="70"/>
      <c r="G351" s="72"/>
      <c r="H351" s="24"/>
      <c r="J351" s="70"/>
      <c r="K351" s="72"/>
      <c r="L351" s="75"/>
      <c r="M351" s="75"/>
      <c r="N351" s="76"/>
      <c r="O351" s="70"/>
      <c r="P351" s="70"/>
      <c r="Q351" s="17"/>
      <c r="R351" s="16"/>
      <c r="S351" s="72"/>
      <c r="T351" s="77"/>
    </row>
    <row r="352" spans="1:20" ht="13.2">
      <c r="A352" s="2"/>
      <c r="B352" s="69" t="s">
        <v>559</v>
      </c>
      <c r="C352" s="77"/>
      <c r="D352" s="16"/>
      <c r="E352" s="72"/>
      <c r="F352" s="70"/>
      <c r="G352" s="72"/>
      <c r="H352" s="24"/>
      <c r="J352" s="70"/>
      <c r="K352" s="72"/>
      <c r="L352" s="75"/>
      <c r="M352" s="75"/>
      <c r="N352" s="76"/>
      <c r="O352" s="70"/>
      <c r="P352" s="70"/>
      <c r="Q352" s="17"/>
      <c r="R352" s="16"/>
      <c r="S352" s="72"/>
      <c r="T352" s="77"/>
    </row>
    <row r="353" spans="1:20" ht="13.2">
      <c r="A353" s="2"/>
      <c r="B353" s="69" t="s">
        <v>560</v>
      </c>
      <c r="C353" s="77"/>
      <c r="D353" s="16"/>
      <c r="E353" s="72"/>
      <c r="F353" s="70"/>
      <c r="G353" s="72"/>
      <c r="H353" s="24"/>
      <c r="J353" s="70"/>
      <c r="K353" s="72"/>
      <c r="L353" s="75"/>
      <c r="M353" s="75"/>
      <c r="N353" s="76"/>
      <c r="O353" s="70"/>
      <c r="P353" s="70"/>
      <c r="Q353" s="17"/>
      <c r="R353" s="16"/>
      <c r="S353" s="72"/>
      <c r="T353" s="77"/>
    </row>
    <row r="354" spans="1:20" ht="13.2">
      <c r="A354" s="2"/>
      <c r="B354" s="69" t="s">
        <v>561</v>
      </c>
      <c r="C354" s="77"/>
      <c r="D354" s="16"/>
      <c r="E354" s="72"/>
      <c r="F354" s="70"/>
      <c r="G354" s="72"/>
      <c r="H354" s="24"/>
      <c r="J354" s="70"/>
      <c r="K354" s="72"/>
      <c r="L354" s="75"/>
      <c r="M354" s="75"/>
      <c r="N354" s="76"/>
      <c r="O354" s="70"/>
      <c r="P354" s="70"/>
      <c r="Q354" s="17"/>
      <c r="R354" s="16"/>
      <c r="S354" s="72"/>
      <c r="T354" s="77"/>
    </row>
    <row r="355" spans="1:20" ht="13.2">
      <c r="A355" s="2"/>
      <c r="B355" s="69" t="s">
        <v>562</v>
      </c>
      <c r="C355" s="77"/>
      <c r="D355" s="16"/>
      <c r="E355" s="72"/>
      <c r="F355" s="70"/>
      <c r="G355" s="72"/>
      <c r="H355" s="24"/>
      <c r="J355" s="70"/>
      <c r="K355" s="72"/>
      <c r="L355" s="75"/>
      <c r="M355" s="75"/>
      <c r="N355" s="76"/>
      <c r="O355" s="70"/>
      <c r="P355" s="70"/>
      <c r="Q355" s="17"/>
      <c r="R355" s="16"/>
      <c r="S355" s="72"/>
      <c r="T355" s="77"/>
    </row>
    <row r="356" spans="1:20" ht="13.2">
      <c r="A356" s="2"/>
      <c r="B356" s="69" t="s">
        <v>563</v>
      </c>
      <c r="C356" s="77"/>
      <c r="D356" s="16"/>
      <c r="E356" s="72"/>
      <c r="F356" s="70"/>
      <c r="G356" s="72"/>
      <c r="H356" s="24"/>
      <c r="J356" s="70"/>
      <c r="K356" s="72"/>
      <c r="L356" s="75"/>
      <c r="M356" s="75"/>
      <c r="N356" s="76"/>
      <c r="O356" s="70"/>
      <c r="P356" s="70"/>
      <c r="Q356" s="17"/>
      <c r="R356" s="16"/>
      <c r="S356" s="72"/>
      <c r="T356" s="77"/>
    </row>
    <row r="357" spans="1:20" ht="13.2">
      <c r="A357" s="2"/>
      <c r="B357" s="69" t="s">
        <v>564</v>
      </c>
      <c r="C357" s="77"/>
      <c r="D357" s="16"/>
      <c r="E357" s="72"/>
      <c r="F357" s="70"/>
      <c r="G357" s="72"/>
      <c r="H357" s="24"/>
      <c r="J357" s="70"/>
      <c r="K357" s="72"/>
      <c r="L357" s="75"/>
      <c r="M357" s="75"/>
      <c r="N357" s="76"/>
      <c r="O357" s="70"/>
      <c r="P357" s="70"/>
      <c r="Q357" s="17"/>
      <c r="R357" s="16"/>
      <c r="S357" s="72"/>
      <c r="T357" s="77"/>
    </row>
    <row r="358" spans="1:20" ht="13.2">
      <c r="A358" s="2"/>
      <c r="B358" s="69" t="s">
        <v>565</v>
      </c>
      <c r="C358" s="77"/>
      <c r="D358" s="16"/>
      <c r="E358" s="72"/>
      <c r="F358" s="70"/>
      <c r="G358" s="72"/>
      <c r="H358" s="24"/>
      <c r="J358" s="70"/>
      <c r="K358" s="72"/>
      <c r="L358" s="75"/>
      <c r="M358" s="75"/>
      <c r="N358" s="76"/>
      <c r="O358" s="70"/>
      <c r="P358" s="70"/>
      <c r="Q358" s="17"/>
      <c r="R358" s="16"/>
      <c r="S358" s="72"/>
      <c r="T358" s="77"/>
    </row>
    <row r="359" spans="1:20" ht="13.2">
      <c r="A359" s="2"/>
      <c r="B359" s="69" t="s">
        <v>370</v>
      </c>
      <c r="C359" s="77"/>
      <c r="D359" s="16"/>
      <c r="E359" s="72"/>
      <c r="F359" s="70"/>
      <c r="G359" s="72"/>
      <c r="H359" s="24"/>
      <c r="J359" s="70"/>
      <c r="K359" s="72"/>
      <c r="L359" s="75"/>
      <c r="M359" s="75"/>
      <c r="N359" s="76"/>
      <c r="O359" s="70"/>
      <c r="P359" s="70"/>
      <c r="Q359" s="17"/>
      <c r="R359" s="16"/>
      <c r="S359" s="72"/>
      <c r="T359" s="77"/>
    </row>
    <row r="360" spans="1:20" ht="13.2">
      <c r="A360" s="2"/>
      <c r="B360" s="69" t="s">
        <v>566</v>
      </c>
      <c r="C360" s="77"/>
      <c r="D360" s="16"/>
      <c r="E360" s="72"/>
      <c r="F360" s="70"/>
      <c r="G360" s="72"/>
      <c r="H360" s="24"/>
      <c r="J360" s="70"/>
      <c r="K360" s="72"/>
      <c r="L360" s="75"/>
      <c r="M360" s="75"/>
      <c r="N360" s="76"/>
      <c r="O360" s="70"/>
      <c r="P360" s="70"/>
      <c r="Q360" s="17"/>
      <c r="R360" s="16"/>
      <c r="S360" s="72"/>
      <c r="T360" s="77"/>
    </row>
    <row r="361" spans="1:20" ht="13.2">
      <c r="A361" s="2"/>
      <c r="B361" s="69" t="s">
        <v>567</v>
      </c>
      <c r="C361" s="77"/>
      <c r="D361" s="16"/>
      <c r="E361" s="72"/>
      <c r="F361" s="70"/>
      <c r="G361" s="72"/>
      <c r="H361" s="24"/>
      <c r="J361" s="70"/>
      <c r="K361" s="72"/>
      <c r="L361" s="75"/>
      <c r="M361" s="75"/>
      <c r="N361" s="76"/>
      <c r="O361" s="70"/>
      <c r="P361" s="70"/>
      <c r="Q361" s="17"/>
      <c r="R361" s="16"/>
      <c r="S361" s="72"/>
      <c r="T361" s="77"/>
    </row>
    <row r="362" spans="1:20" ht="13.2">
      <c r="A362" s="2"/>
      <c r="B362" s="69" t="s">
        <v>568</v>
      </c>
      <c r="C362" s="77"/>
      <c r="D362" s="16"/>
      <c r="E362" s="72"/>
      <c r="F362" s="70"/>
      <c r="G362" s="72"/>
      <c r="H362" s="24"/>
      <c r="J362" s="70"/>
      <c r="K362" s="72"/>
      <c r="L362" s="75"/>
      <c r="M362" s="75"/>
      <c r="N362" s="76"/>
      <c r="O362" s="70"/>
      <c r="P362" s="70"/>
      <c r="Q362" s="17"/>
      <c r="R362" s="16"/>
      <c r="S362" s="72"/>
      <c r="T362" s="77"/>
    </row>
    <row r="363" spans="1:20" ht="13.2">
      <c r="A363" s="2"/>
      <c r="B363" s="69" t="s">
        <v>569</v>
      </c>
      <c r="C363" s="77"/>
      <c r="D363" s="16"/>
      <c r="E363" s="72"/>
      <c r="F363" s="70"/>
      <c r="G363" s="72"/>
      <c r="H363" s="24"/>
      <c r="J363" s="70"/>
      <c r="K363" s="72"/>
      <c r="L363" s="75"/>
      <c r="M363" s="75"/>
      <c r="N363" s="76"/>
      <c r="O363" s="70"/>
      <c r="P363" s="70"/>
      <c r="Q363" s="17"/>
      <c r="R363" s="16"/>
      <c r="S363" s="72"/>
      <c r="T363" s="77"/>
    </row>
    <row r="364" spans="1:20" ht="13.2">
      <c r="A364" s="2"/>
      <c r="B364" s="69" t="s">
        <v>570</v>
      </c>
      <c r="C364" s="77"/>
      <c r="D364" s="16"/>
      <c r="E364" s="72"/>
      <c r="F364" s="70"/>
      <c r="G364" s="72"/>
      <c r="H364" s="24"/>
      <c r="J364" s="70"/>
      <c r="K364" s="72"/>
      <c r="L364" s="75"/>
      <c r="M364" s="75"/>
      <c r="N364" s="76"/>
      <c r="O364" s="70"/>
      <c r="P364" s="70"/>
      <c r="Q364" s="17"/>
      <c r="R364" s="16"/>
      <c r="S364" s="72"/>
      <c r="T364" s="77"/>
    </row>
    <row r="365" spans="1:20" ht="13.2">
      <c r="A365" s="2"/>
      <c r="B365" s="69" t="s">
        <v>571</v>
      </c>
      <c r="C365" s="77"/>
      <c r="D365" s="16"/>
      <c r="E365" s="72"/>
      <c r="F365" s="70"/>
      <c r="G365" s="72"/>
      <c r="H365" s="24"/>
      <c r="J365" s="70"/>
      <c r="K365" s="72"/>
      <c r="L365" s="75"/>
      <c r="M365" s="75"/>
      <c r="N365" s="76"/>
      <c r="O365" s="70"/>
      <c r="P365" s="70"/>
      <c r="Q365" s="17"/>
      <c r="R365" s="16"/>
      <c r="S365" s="72"/>
      <c r="T365" s="77"/>
    </row>
    <row r="366" spans="1:20" ht="13.2">
      <c r="A366" s="2"/>
      <c r="B366" s="69" t="s">
        <v>572</v>
      </c>
      <c r="C366" s="77"/>
      <c r="D366" s="16"/>
      <c r="E366" s="72"/>
      <c r="F366" s="70"/>
      <c r="G366" s="72"/>
      <c r="H366" s="24"/>
      <c r="J366" s="70"/>
      <c r="K366" s="72"/>
      <c r="L366" s="75"/>
      <c r="M366" s="75"/>
      <c r="N366" s="76"/>
      <c r="O366" s="70"/>
      <c r="P366" s="70"/>
      <c r="Q366" s="17"/>
      <c r="R366" s="16"/>
      <c r="S366" s="72"/>
      <c r="T366" s="77"/>
    </row>
    <row r="367" spans="1:20" ht="13.2">
      <c r="A367" s="2"/>
      <c r="B367" s="69" t="s">
        <v>573</v>
      </c>
      <c r="C367" s="77"/>
      <c r="D367" s="16"/>
      <c r="E367" s="72"/>
      <c r="F367" s="70"/>
      <c r="G367" s="72"/>
      <c r="H367" s="24"/>
      <c r="J367" s="70"/>
      <c r="K367" s="72"/>
      <c r="L367" s="75"/>
      <c r="M367" s="75"/>
      <c r="N367" s="76"/>
      <c r="O367" s="70"/>
      <c r="P367" s="70"/>
      <c r="Q367" s="17"/>
      <c r="R367" s="16"/>
      <c r="S367" s="72"/>
      <c r="T367" s="77"/>
    </row>
    <row r="368" spans="1:20" ht="13.2">
      <c r="A368" s="2"/>
      <c r="B368" s="69" t="s">
        <v>574</v>
      </c>
      <c r="C368" s="77"/>
      <c r="D368" s="16"/>
      <c r="E368" s="72"/>
      <c r="F368" s="70"/>
      <c r="G368" s="72"/>
      <c r="H368" s="24"/>
      <c r="J368" s="70"/>
      <c r="K368" s="72"/>
      <c r="L368" s="75"/>
      <c r="M368" s="75"/>
      <c r="N368" s="76"/>
      <c r="O368" s="70"/>
      <c r="P368" s="70"/>
      <c r="Q368" s="17"/>
      <c r="R368" s="16"/>
      <c r="S368" s="72"/>
      <c r="T368" s="77"/>
    </row>
    <row r="369" spans="1:20" ht="13.2">
      <c r="A369" s="2"/>
      <c r="B369" s="69" t="s">
        <v>575</v>
      </c>
      <c r="C369" s="77"/>
      <c r="D369" s="16"/>
      <c r="E369" s="72"/>
      <c r="F369" s="70"/>
      <c r="G369" s="72"/>
      <c r="H369" s="24"/>
      <c r="J369" s="70"/>
      <c r="K369" s="72"/>
      <c r="L369" s="75"/>
      <c r="M369" s="75"/>
      <c r="N369" s="76"/>
      <c r="O369" s="70"/>
      <c r="P369" s="70"/>
      <c r="Q369" s="17"/>
      <c r="R369" s="16"/>
      <c r="S369" s="72"/>
      <c r="T369" s="77"/>
    </row>
    <row r="370" spans="1:20" ht="13.2">
      <c r="A370" s="2"/>
      <c r="B370" s="69" t="s">
        <v>576</v>
      </c>
      <c r="C370" s="77"/>
      <c r="D370" s="16"/>
      <c r="E370" s="72"/>
      <c r="F370" s="70"/>
      <c r="G370" s="72"/>
      <c r="H370" s="24"/>
      <c r="J370" s="70"/>
      <c r="K370" s="72"/>
      <c r="L370" s="75"/>
      <c r="M370" s="75"/>
      <c r="N370" s="76"/>
      <c r="O370" s="70"/>
      <c r="P370" s="70"/>
      <c r="Q370" s="17"/>
      <c r="R370" s="16"/>
      <c r="S370" s="72"/>
      <c r="T370" s="77"/>
    </row>
    <row r="371" spans="1:20" ht="13.2">
      <c r="A371" s="2"/>
      <c r="B371" s="69" t="s">
        <v>577</v>
      </c>
      <c r="C371" s="77"/>
      <c r="D371" s="16"/>
      <c r="E371" s="72"/>
      <c r="F371" s="70"/>
      <c r="G371" s="72"/>
      <c r="H371" s="24"/>
      <c r="J371" s="70"/>
      <c r="K371" s="72"/>
      <c r="L371" s="75"/>
      <c r="M371" s="75"/>
      <c r="N371" s="76"/>
      <c r="O371" s="70"/>
      <c r="P371" s="70"/>
      <c r="Q371" s="17"/>
      <c r="R371" s="16"/>
      <c r="S371" s="72"/>
      <c r="T371" s="77"/>
    </row>
    <row r="372" spans="1:20" ht="13.2">
      <c r="A372" s="2"/>
      <c r="B372" s="69" t="s">
        <v>578</v>
      </c>
      <c r="C372" s="77"/>
      <c r="D372" s="16"/>
      <c r="E372" s="72"/>
      <c r="F372" s="70"/>
      <c r="G372" s="72"/>
      <c r="H372" s="24"/>
      <c r="J372" s="70"/>
      <c r="K372" s="72"/>
      <c r="L372" s="75"/>
      <c r="M372" s="75"/>
      <c r="N372" s="76"/>
      <c r="O372" s="70"/>
      <c r="P372" s="70"/>
      <c r="Q372" s="17"/>
      <c r="R372" s="16"/>
      <c r="S372" s="72"/>
      <c r="T372" s="77"/>
    </row>
    <row r="373" spans="1:20" ht="13.2">
      <c r="A373" s="2"/>
      <c r="B373" s="69" t="s">
        <v>579</v>
      </c>
      <c r="C373" s="77"/>
      <c r="D373" s="16"/>
      <c r="E373" s="72"/>
      <c r="F373" s="70"/>
      <c r="G373" s="72"/>
      <c r="H373" s="24"/>
      <c r="J373" s="70"/>
      <c r="K373" s="72"/>
      <c r="L373" s="75"/>
      <c r="M373" s="75"/>
      <c r="N373" s="76"/>
      <c r="O373" s="70"/>
      <c r="P373" s="70"/>
      <c r="Q373" s="17"/>
      <c r="R373" s="16"/>
      <c r="S373" s="72"/>
      <c r="T373" s="77"/>
    </row>
    <row r="374" spans="1:20" ht="13.2">
      <c r="A374" s="2"/>
      <c r="B374" s="69" t="s">
        <v>580</v>
      </c>
      <c r="C374" s="77"/>
      <c r="D374" s="16"/>
      <c r="E374" s="72"/>
      <c r="F374" s="70"/>
      <c r="G374" s="72"/>
      <c r="H374" s="24"/>
      <c r="J374" s="70"/>
      <c r="K374" s="72"/>
      <c r="L374" s="75"/>
      <c r="M374" s="75"/>
      <c r="N374" s="76"/>
      <c r="O374" s="70"/>
      <c r="P374" s="70"/>
      <c r="Q374" s="17"/>
      <c r="R374" s="16"/>
      <c r="S374" s="72"/>
      <c r="T374" s="77"/>
    </row>
    <row r="375" spans="1:20" ht="13.2">
      <c r="A375" s="2"/>
      <c r="B375" s="69" t="s">
        <v>581</v>
      </c>
      <c r="C375" s="77"/>
      <c r="D375" s="16"/>
      <c r="E375" s="72"/>
      <c r="F375" s="70"/>
      <c r="G375" s="72"/>
      <c r="H375" s="24"/>
      <c r="J375" s="70"/>
      <c r="K375" s="72"/>
      <c r="L375" s="75"/>
      <c r="M375" s="75"/>
      <c r="N375" s="76"/>
      <c r="O375" s="70"/>
      <c r="P375" s="70"/>
      <c r="Q375" s="17"/>
      <c r="R375" s="16"/>
      <c r="S375" s="72"/>
      <c r="T375" s="77"/>
    </row>
    <row r="376" spans="1:20" ht="13.2">
      <c r="A376" s="2"/>
      <c r="B376" s="69" t="s">
        <v>582</v>
      </c>
      <c r="C376" s="77"/>
      <c r="D376" s="16"/>
      <c r="E376" s="72"/>
      <c r="F376" s="70"/>
      <c r="G376" s="72"/>
      <c r="H376" s="24"/>
      <c r="J376" s="70"/>
      <c r="K376" s="72"/>
      <c r="L376" s="75"/>
      <c r="M376" s="75"/>
      <c r="N376" s="76"/>
      <c r="O376" s="70"/>
      <c r="P376" s="70"/>
      <c r="Q376" s="17"/>
      <c r="R376" s="16"/>
      <c r="S376" s="72"/>
      <c r="T376" s="77"/>
    </row>
    <row r="377" spans="1:20" ht="13.2">
      <c r="A377" s="2"/>
      <c r="B377" s="69" t="s">
        <v>583</v>
      </c>
      <c r="C377" s="77"/>
      <c r="D377" s="16"/>
      <c r="E377" s="72"/>
      <c r="F377" s="70"/>
      <c r="G377" s="72"/>
      <c r="H377" s="24"/>
      <c r="J377" s="70"/>
      <c r="K377" s="72"/>
      <c r="L377" s="75"/>
      <c r="M377" s="75"/>
      <c r="N377" s="76"/>
      <c r="O377" s="70"/>
      <c r="P377" s="70"/>
      <c r="Q377" s="17"/>
      <c r="R377" s="16"/>
      <c r="S377" s="72"/>
      <c r="T377" s="77"/>
    </row>
    <row r="378" spans="1:20" ht="13.2">
      <c r="A378" s="2"/>
      <c r="B378" s="69" t="s">
        <v>584</v>
      </c>
      <c r="C378" s="77"/>
      <c r="D378" s="16"/>
      <c r="E378" s="72"/>
      <c r="F378" s="70"/>
      <c r="G378" s="72"/>
      <c r="H378" s="24"/>
      <c r="J378" s="70"/>
      <c r="K378" s="72"/>
      <c r="L378" s="75"/>
      <c r="M378" s="75"/>
      <c r="N378" s="76"/>
      <c r="O378" s="70"/>
      <c r="P378" s="70"/>
      <c r="Q378" s="17"/>
      <c r="R378" s="16"/>
      <c r="S378" s="72"/>
      <c r="T378" s="77"/>
    </row>
    <row r="379" spans="1:20" ht="13.2">
      <c r="A379" s="2"/>
      <c r="B379" s="69" t="s">
        <v>585</v>
      </c>
      <c r="C379" s="77"/>
      <c r="D379" s="16"/>
      <c r="E379" s="72"/>
      <c r="F379" s="70"/>
      <c r="G379" s="72"/>
      <c r="H379" s="24"/>
      <c r="J379" s="70"/>
      <c r="K379" s="72"/>
      <c r="L379" s="75"/>
      <c r="M379" s="75"/>
      <c r="N379" s="76"/>
      <c r="O379" s="70"/>
      <c r="P379" s="70"/>
      <c r="Q379" s="17"/>
      <c r="R379" s="16"/>
      <c r="S379" s="72"/>
      <c r="T379" s="77"/>
    </row>
    <row r="380" spans="1:20" ht="13.2">
      <c r="A380" s="2"/>
      <c r="B380" s="69" t="s">
        <v>586</v>
      </c>
      <c r="C380" s="77"/>
      <c r="D380" s="16"/>
      <c r="E380" s="72"/>
      <c r="F380" s="70"/>
      <c r="G380" s="72"/>
      <c r="H380" s="24"/>
      <c r="J380" s="70"/>
      <c r="K380" s="72"/>
      <c r="L380" s="75"/>
      <c r="M380" s="75"/>
      <c r="N380" s="76"/>
      <c r="O380" s="70"/>
      <c r="P380" s="70"/>
      <c r="Q380" s="17"/>
      <c r="R380" s="16"/>
      <c r="S380" s="72"/>
      <c r="T380" s="77"/>
    </row>
    <row r="381" spans="1:20" ht="13.2">
      <c r="A381" s="2"/>
      <c r="B381" s="69" t="s">
        <v>587</v>
      </c>
      <c r="C381" s="77"/>
      <c r="D381" s="16"/>
      <c r="E381" s="72"/>
      <c r="F381" s="70"/>
      <c r="G381" s="72"/>
      <c r="H381" s="24"/>
      <c r="J381" s="70"/>
      <c r="K381" s="72"/>
      <c r="L381" s="75"/>
      <c r="M381" s="75"/>
      <c r="N381" s="76"/>
      <c r="O381" s="70"/>
      <c r="P381" s="70"/>
      <c r="Q381" s="17"/>
      <c r="R381" s="16"/>
      <c r="S381" s="72"/>
      <c r="T381" s="77"/>
    </row>
    <row r="382" spans="1:20" ht="13.2">
      <c r="A382" s="2"/>
      <c r="B382" s="69" t="s">
        <v>588</v>
      </c>
      <c r="C382" s="77"/>
      <c r="D382" s="16"/>
      <c r="E382" s="72"/>
      <c r="F382" s="70"/>
      <c r="G382" s="72"/>
      <c r="H382" s="24"/>
      <c r="J382" s="70"/>
      <c r="K382" s="72"/>
      <c r="L382" s="75"/>
      <c r="M382" s="75"/>
      <c r="N382" s="76"/>
      <c r="O382" s="70"/>
      <c r="P382" s="70"/>
      <c r="Q382" s="17"/>
      <c r="R382" s="16"/>
      <c r="S382" s="72"/>
      <c r="T382" s="77"/>
    </row>
    <row r="383" spans="1:20" ht="13.2">
      <c r="A383" s="2"/>
      <c r="B383" s="69" t="s">
        <v>394</v>
      </c>
      <c r="C383" s="77"/>
      <c r="D383" s="16"/>
      <c r="E383" s="72"/>
      <c r="F383" s="70"/>
      <c r="G383" s="72"/>
      <c r="H383" s="24"/>
      <c r="J383" s="70"/>
      <c r="K383" s="72"/>
      <c r="L383" s="75"/>
      <c r="M383" s="75"/>
      <c r="N383" s="76"/>
      <c r="O383" s="70"/>
      <c r="P383" s="70"/>
      <c r="Q383" s="17"/>
      <c r="R383" s="16"/>
      <c r="S383" s="72"/>
      <c r="T383" s="77"/>
    </row>
    <row r="384" spans="1:20" ht="13.2">
      <c r="A384" s="2"/>
      <c r="B384" s="69" t="s">
        <v>589</v>
      </c>
      <c r="C384" s="77"/>
      <c r="D384" s="16"/>
      <c r="E384" s="72"/>
      <c r="F384" s="70"/>
      <c r="G384" s="72"/>
      <c r="H384" s="24"/>
      <c r="J384" s="70"/>
      <c r="K384" s="72"/>
      <c r="L384" s="75"/>
      <c r="M384" s="75"/>
      <c r="N384" s="76"/>
      <c r="O384" s="70"/>
      <c r="P384" s="70"/>
      <c r="Q384" s="17"/>
      <c r="R384" s="16"/>
      <c r="S384" s="72"/>
      <c r="T384" s="77"/>
    </row>
    <row r="385" spans="1:20" ht="13.2">
      <c r="A385" s="2"/>
      <c r="B385" s="69" t="s">
        <v>590</v>
      </c>
      <c r="C385" s="77"/>
      <c r="D385" s="16"/>
      <c r="E385" s="72"/>
      <c r="F385" s="70"/>
      <c r="G385" s="72"/>
      <c r="H385" s="24"/>
      <c r="J385" s="70"/>
      <c r="K385" s="72"/>
      <c r="L385" s="75"/>
      <c r="M385" s="75"/>
      <c r="N385" s="76"/>
      <c r="O385" s="70"/>
      <c r="P385" s="70"/>
      <c r="Q385" s="17"/>
      <c r="R385" s="16"/>
      <c r="S385" s="72"/>
      <c r="T385" s="77"/>
    </row>
    <row r="386" spans="1:20" ht="13.2">
      <c r="A386" s="2"/>
      <c r="B386" s="69" t="s">
        <v>591</v>
      </c>
      <c r="C386" s="77"/>
      <c r="D386" s="16"/>
      <c r="E386" s="72"/>
      <c r="F386" s="70"/>
      <c r="G386" s="72"/>
      <c r="H386" s="24"/>
      <c r="J386" s="70"/>
      <c r="K386" s="72"/>
      <c r="L386" s="75"/>
      <c r="M386" s="75"/>
      <c r="N386" s="76"/>
      <c r="O386" s="70"/>
      <c r="P386" s="70"/>
      <c r="Q386" s="17"/>
      <c r="R386" s="16"/>
      <c r="S386" s="72"/>
      <c r="T386" s="77"/>
    </row>
    <row r="387" spans="1:20" ht="13.2">
      <c r="A387" s="2"/>
      <c r="B387" s="69" t="s">
        <v>592</v>
      </c>
      <c r="C387" s="77"/>
      <c r="D387" s="16"/>
      <c r="E387" s="72"/>
      <c r="F387" s="70"/>
      <c r="G387" s="72"/>
      <c r="H387" s="24"/>
      <c r="J387" s="70"/>
      <c r="K387" s="72"/>
      <c r="L387" s="75"/>
      <c r="M387" s="75"/>
      <c r="N387" s="76"/>
      <c r="O387" s="70"/>
      <c r="P387" s="70"/>
      <c r="Q387" s="17"/>
      <c r="R387" s="16"/>
      <c r="S387" s="72"/>
      <c r="T387" s="77"/>
    </row>
    <row r="388" spans="1:20" ht="13.2">
      <c r="A388" s="2"/>
      <c r="B388" s="69" t="s">
        <v>593</v>
      </c>
      <c r="C388" s="77"/>
      <c r="D388" s="16"/>
      <c r="E388" s="72"/>
      <c r="F388" s="70"/>
      <c r="G388" s="72"/>
      <c r="H388" s="24"/>
      <c r="J388" s="70"/>
      <c r="K388" s="72"/>
      <c r="L388" s="75"/>
      <c r="M388" s="75"/>
      <c r="N388" s="76"/>
      <c r="O388" s="70"/>
      <c r="P388" s="70"/>
      <c r="Q388" s="17"/>
      <c r="R388" s="16"/>
      <c r="S388" s="72"/>
      <c r="T388" s="77"/>
    </row>
    <row r="389" spans="1:20" ht="13.2">
      <c r="A389" s="2"/>
      <c r="B389" s="69" t="s">
        <v>594</v>
      </c>
      <c r="C389" s="77"/>
      <c r="D389" s="16"/>
      <c r="E389" s="72"/>
      <c r="F389" s="70"/>
      <c r="G389" s="72"/>
      <c r="H389" s="24"/>
      <c r="J389" s="70"/>
      <c r="K389" s="72"/>
      <c r="L389" s="75"/>
      <c r="M389" s="75"/>
      <c r="N389" s="76"/>
      <c r="O389" s="70"/>
      <c r="P389" s="70"/>
      <c r="Q389" s="17"/>
      <c r="R389" s="16"/>
      <c r="S389" s="72"/>
      <c r="T389" s="77"/>
    </row>
    <row r="390" spans="1:20" ht="13.2">
      <c r="A390" s="2"/>
      <c r="B390" s="69" t="s">
        <v>595</v>
      </c>
      <c r="C390" s="77"/>
      <c r="D390" s="16"/>
      <c r="E390" s="72"/>
      <c r="F390" s="70"/>
      <c r="G390" s="72"/>
      <c r="H390" s="24"/>
      <c r="J390" s="70"/>
      <c r="K390" s="72"/>
      <c r="L390" s="75"/>
      <c r="M390" s="75"/>
      <c r="N390" s="76"/>
      <c r="O390" s="70"/>
      <c r="P390" s="70"/>
      <c r="Q390" s="17"/>
      <c r="R390" s="16"/>
      <c r="S390" s="72"/>
      <c r="T390" s="77"/>
    </row>
    <row r="391" spans="1:20" ht="13.2">
      <c r="A391" s="2"/>
      <c r="B391" s="69" t="s">
        <v>596</v>
      </c>
      <c r="C391" s="77"/>
      <c r="D391" s="16"/>
      <c r="E391" s="72"/>
      <c r="F391" s="70"/>
      <c r="G391" s="72"/>
      <c r="H391" s="24"/>
      <c r="J391" s="70"/>
      <c r="K391" s="72"/>
      <c r="L391" s="75"/>
      <c r="M391" s="75"/>
      <c r="N391" s="76"/>
      <c r="O391" s="70"/>
      <c r="P391" s="70"/>
      <c r="Q391" s="17"/>
      <c r="R391" s="16"/>
      <c r="S391" s="72"/>
      <c r="T391" s="77"/>
    </row>
    <row r="392" spans="1:20" ht="13.2">
      <c r="A392" s="2"/>
      <c r="B392" s="69" t="s">
        <v>597</v>
      </c>
      <c r="C392" s="77"/>
      <c r="D392" s="16"/>
      <c r="E392" s="72"/>
      <c r="F392" s="70"/>
      <c r="G392" s="72"/>
      <c r="H392" s="24"/>
      <c r="J392" s="70"/>
      <c r="K392" s="72"/>
      <c r="L392" s="75"/>
      <c r="M392" s="75"/>
      <c r="N392" s="76"/>
      <c r="O392" s="70"/>
      <c r="P392" s="70"/>
      <c r="Q392" s="17"/>
      <c r="R392" s="16"/>
      <c r="S392" s="72"/>
      <c r="T392" s="77"/>
    </row>
    <row r="393" spans="1:20" ht="13.2">
      <c r="A393" s="2"/>
      <c r="B393" s="69" t="s">
        <v>598</v>
      </c>
      <c r="C393" s="77"/>
      <c r="D393" s="16"/>
      <c r="E393" s="72"/>
      <c r="F393" s="70"/>
      <c r="G393" s="72"/>
      <c r="H393" s="24"/>
      <c r="J393" s="70"/>
      <c r="K393" s="72"/>
      <c r="L393" s="75"/>
      <c r="M393" s="75"/>
      <c r="N393" s="76"/>
      <c r="O393" s="70"/>
      <c r="P393" s="70"/>
      <c r="Q393" s="17"/>
      <c r="R393" s="16"/>
      <c r="S393" s="72"/>
      <c r="T393" s="77"/>
    </row>
    <row r="394" spans="1:20" ht="13.2">
      <c r="A394" s="2"/>
      <c r="B394" s="69" t="s">
        <v>599</v>
      </c>
      <c r="C394" s="77"/>
      <c r="D394" s="16"/>
      <c r="E394" s="72"/>
      <c r="F394" s="70"/>
      <c r="G394" s="72"/>
      <c r="H394" s="24"/>
      <c r="J394" s="70"/>
      <c r="K394" s="72"/>
      <c r="L394" s="75"/>
      <c r="M394" s="75"/>
      <c r="N394" s="76"/>
      <c r="O394" s="70"/>
      <c r="P394" s="70"/>
      <c r="Q394" s="17"/>
      <c r="R394" s="16"/>
      <c r="S394" s="72"/>
      <c r="T394" s="77"/>
    </row>
    <row r="395" spans="1:20" ht="13.2">
      <c r="A395" s="2"/>
      <c r="B395" s="69" t="s">
        <v>600</v>
      </c>
      <c r="C395" s="77"/>
      <c r="D395" s="16"/>
      <c r="E395" s="72"/>
      <c r="F395" s="70"/>
      <c r="G395" s="72"/>
      <c r="H395" s="24"/>
      <c r="J395" s="70"/>
      <c r="K395" s="72"/>
      <c r="L395" s="75"/>
      <c r="M395" s="75"/>
      <c r="N395" s="76"/>
      <c r="O395" s="70"/>
      <c r="P395" s="70"/>
      <c r="Q395" s="17"/>
      <c r="R395" s="16"/>
      <c r="S395" s="72"/>
      <c r="T395" s="77"/>
    </row>
    <row r="396" spans="1:20" ht="13.2">
      <c r="A396" s="2"/>
      <c r="B396" s="69" t="s">
        <v>601</v>
      </c>
      <c r="C396" s="77"/>
      <c r="D396" s="16"/>
      <c r="E396" s="72"/>
      <c r="F396" s="70"/>
      <c r="G396" s="72"/>
      <c r="H396" s="24"/>
      <c r="J396" s="70"/>
      <c r="K396" s="72"/>
      <c r="L396" s="75"/>
      <c r="M396" s="75"/>
      <c r="N396" s="76"/>
      <c r="O396" s="70"/>
      <c r="P396" s="70"/>
      <c r="Q396" s="17"/>
      <c r="R396" s="16"/>
      <c r="S396" s="72"/>
      <c r="T396" s="77"/>
    </row>
    <row r="397" spans="1:20" ht="13.2">
      <c r="A397" s="2"/>
      <c r="B397" s="69" t="s">
        <v>602</v>
      </c>
      <c r="C397" s="77"/>
      <c r="D397" s="16"/>
      <c r="E397" s="72"/>
      <c r="F397" s="70"/>
      <c r="G397" s="72"/>
      <c r="H397" s="24"/>
      <c r="J397" s="70"/>
      <c r="K397" s="72"/>
      <c r="L397" s="75"/>
      <c r="M397" s="75"/>
      <c r="N397" s="76"/>
      <c r="O397" s="70"/>
      <c r="P397" s="70"/>
      <c r="Q397" s="17"/>
      <c r="R397" s="16"/>
      <c r="S397" s="72"/>
      <c r="T397" s="77"/>
    </row>
    <row r="398" spans="1:20" ht="13.2">
      <c r="A398" s="2"/>
      <c r="B398" s="69" t="s">
        <v>603</v>
      </c>
      <c r="C398" s="77"/>
      <c r="D398" s="16"/>
      <c r="E398" s="72"/>
      <c r="F398" s="70"/>
      <c r="G398" s="72"/>
      <c r="H398" s="24"/>
      <c r="J398" s="70"/>
      <c r="K398" s="72"/>
      <c r="L398" s="75"/>
      <c r="M398" s="75"/>
      <c r="N398" s="76"/>
      <c r="O398" s="70"/>
      <c r="P398" s="70"/>
      <c r="Q398" s="17"/>
      <c r="R398" s="16"/>
      <c r="S398" s="72"/>
      <c r="T398" s="77"/>
    </row>
    <row r="399" spans="1:20" ht="13.2">
      <c r="A399" s="2"/>
      <c r="B399" s="69" t="s">
        <v>604</v>
      </c>
      <c r="C399" s="77"/>
      <c r="D399" s="16"/>
      <c r="E399" s="72"/>
      <c r="F399" s="70"/>
      <c r="G399" s="72"/>
      <c r="H399" s="24"/>
      <c r="J399" s="70"/>
      <c r="K399" s="72"/>
      <c r="L399" s="75"/>
      <c r="M399" s="75"/>
      <c r="N399" s="76"/>
      <c r="O399" s="70"/>
      <c r="P399" s="70"/>
      <c r="Q399" s="17"/>
      <c r="R399" s="16"/>
      <c r="S399" s="72"/>
      <c r="T399" s="77"/>
    </row>
    <row r="400" spans="1:20" ht="13.2">
      <c r="A400" s="2"/>
      <c r="B400" s="69" t="s">
        <v>605</v>
      </c>
      <c r="C400" s="77"/>
      <c r="D400" s="16"/>
      <c r="E400" s="72"/>
      <c r="F400" s="70"/>
      <c r="G400" s="72"/>
      <c r="H400" s="24"/>
      <c r="J400" s="70"/>
      <c r="K400" s="72"/>
      <c r="L400" s="75"/>
      <c r="M400" s="75"/>
      <c r="N400" s="76"/>
      <c r="O400" s="70"/>
      <c r="P400" s="70"/>
      <c r="Q400" s="17"/>
      <c r="R400" s="16"/>
      <c r="S400" s="72"/>
      <c r="T400" s="77"/>
    </row>
    <row r="401" spans="1:20" ht="13.2">
      <c r="A401" s="2"/>
      <c r="B401" s="69" t="s">
        <v>606</v>
      </c>
      <c r="C401" s="77"/>
      <c r="D401" s="16"/>
      <c r="E401" s="72"/>
      <c r="F401" s="70"/>
      <c r="G401" s="72"/>
      <c r="H401" s="24"/>
      <c r="J401" s="70"/>
      <c r="K401" s="72"/>
      <c r="L401" s="75"/>
      <c r="M401" s="75"/>
      <c r="N401" s="76"/>
      <c r="O401" s="70"/>
      <c r="P401" s="70"/>
      <c r="Q401" s="17"/>
      <c r="R401" s="16"/>
      <c r="S401" s="72"/>
      <c r="T401" s="77"/>
    </row>
    <row r="402" spans="1:20" ht="13.2">
      <c r="A402" s="2"/>
      <c r="B402" s="69" t="s">
        <v>607</v>
      </c>
      <c r="C402" s="77"/>
      <c r="D402" s="16"/>
      <c r="E402" s="72"/>
      <c r="F402" s="70"/>
      <c r="G402" s="72"/>
      <c r="H402" s="24"/>
      <c r="J402" s="70"/>
      <c r="K402" s="72"/>
      <c r="L402" s="75"/>
      <c r="M402" s="75"/>
      <c r="N402" s="76"/>
      <c r="O402" s="70"/>
      <c r="P402" s="70"/>
      <c r="Q402" s="17"/>
      <c r="R402" s="16"/>
      <c r="S402" s="72"/>
      <c r="T402" s="77"/>
    </row>
    <row r="403" spans="1:20" ht="13.2">
      <c r="A403" s="2"/>
      <c r="B403" s="69" t="s">
        <v>608</v>
      </c>
      <c r="C403" s="77"/>
      <c r="D403" s="16"/>
      <c r="E403" s="72"/>
      <c r="F403" s="70"/>
      <c r="G403" s="72"/>
      <c r="H403" s="24"/>
      <c r="J403" s="70"/>
      <c r="K403" s="72"/>
      <c r="L403" s="75"/>
      <c r="M403" s="75"/>
      <c r="N403" s="76"/>
      <c r="O403" s="70"/>
      <c r="P403" s="70"/>
      <c r="Q403" s="17"/>
      <c r="R403" s="16"/>
      <c r="S403" s="72"/>
      <c r="T403" s="77"/>
    </row>
    <row r="404" spans="1:20" ht="13.2">
      <c r="A404" s="2"/>
      <c r="B404" s="69" t="s">
        <v>609</v>
      </c>
      <c r="C404" s="77"/>
      <c r="D404" s="16"/>
      <c r="E404" s="72"/>
      <c r="F404" s="70"/>
      <c r="G404" s="72"/>
      <c r="H404" s="24"/>
      <c r="J404" s="70"/>
      <c r="K404" s="72"/>
      <c r="L404" s="75"/>
      <c r="M404" s="75"/>
      <c r="N404" s="76"/>
      <c r="O404" s="70"/>
      <c r="P404" s="70"/>
      <c r="Q404" s="17"/>
      <c r="R404" s="16"/>
      <c r="S404" s="72"/>
      <c r="T404" s="77"/>
    </row>
    <row r="405" spans="1:20" ht="13.2">
      <c r="A405" s="2"/>
      <c r="B405" s="69" t="s">
        <v>610</v>
      </c>
      <c r="C405" s="77"/>
      <c r="D405" s="16"/>
      <c r="E405" s="72"/>
      <c r="F405" s="70"/>
      <c r="G405" s="72"/>
      <c r="H405" s="24"/>
      <c r="J405" s="70"/>
      <c r="K405" s="72"/>
      <c r="L405" s="75"/>
      <c r="M405" s="75"/>
      <c r="N405" s="76"/>
      <c r="O405" s="70"/>
      <c r="P405" s="70"/>
      <c r="Q405" s="17"/>
      <c r="R405" s="16"/>
      <c r="S405" s="72"/>
      <c r="T405" s="77"/>
    </row>
    <row r="406" spans="1:20" ht="13.2">
      <c r="A406" s="2"/>
      <c r="B406" s="69" t="s">
        <v>611</v>
      </c>
      <c r="C406" s="77"/>
      <c r="D406" s="16"/>
      <c r="E406" s="72"/>
      <c r="F406" s="70"/>
      <c r="G406" s="72"/>
      <c r="H406" s="24"/>
      <c r="J406" s="70"/>
      <c r="K406" s="72"/>
      <c r="L406" s="75"/>
      <c r="M406" s="75"/>
      <c r="N406" s="76"/>
      <c r="O406" s="70"/>
      <c r="P406" s="70"/>
      <c r="Q406" s="17"/>
      <c r="R406" s="16"/>
      <c r="S406" s="72"/>
      <c r="T406" s="77"/>
    </row>
    <row r="407" spans="1:20" ht="13.2">
      <c r="A407" s="2"/>
      <c r="B407" s="69" t="s">
        <v>612</v>
      </c>
      <c r="C407" s="77"/>
      <c r="D407" s="16"/>
      <c r="E407" s="72"/>
      <c r="F407" s="70"/>
      <c r="G407" s="72"/>
      <c r="H407" s="24"/>
      <c r="J407" s="70"/>
      <c r="K407" s="72"/>
      <c r="L407" s="75"/>
      <c r="M407" s="75"/>
      <c r="N407" s="76"/>
      <c r="O407" s="70"/>
      <c r="P407" s="70"/>
      <c r="Q407" s="17"/>
      <c r="R407" s="16"/>
      <c r="S407" s="72"/>
      <c r="T407" s="77"/>
    </row>
    <row r="408" spans="1:20" ht="13.2">
      <c r="A408" s="2"/>
      <c r="B408" s="69" t="s">
        <v>613</v>
      </c>
      <c r="C408" s="77"/>
      <c r="D408" s="16"/>
      <c r="E408" s="72"/>
      <c r="F408" s="70"/>
      <c r="G408" s="72"/>
      <c r="H408" s="24"/>
      <c r="J408" s="70"/>
      <c r="K408" s="72"/>
      <c r="L408" s="75"/>
      <c r="M408" s="75"/>
      <c r="N408" s="76"/>
      <c r="O408" s="70"/>
      <c r="P408" s="70"/>
      <c r="Q408" s="17"/>
      <c r="R408" s="16"/>
      <c r="S408" s="72"/>
      <c r="T408" s="77"/>
    </row>
    <row r="409" spans="1:20" ht="13.2">
      <c r="A409" s="2"/>
      <c r="B409" s="69" t="s">
        <v>614</v>
      </c>
      <c r="C409" s="77"/>
      <c r="D409" s="16"/>
      <c r="E409" s="72"/>
      <c r="F409" s="70"/>
      <c r="G409" s="72"/>
      <c r="H409" s="24"/>
      <c r="J409" s="70"/>
      <c r="K409" s="72"/>
      <c r="L409" s="75"/>
      <c r="M409" s="75"/>
      <c r="N409" s="76"/>
      <c r="O409" s="70"/>
      <c r="P409" s="70"/>
      <c r="Q409" s="17"/>
      <c r="R409" s="16"/>
      <c r="S409" s="72"/>
      <c r="T409" s="77"/>
    </row>
    <row r="410" spans="1:20" ht="13.2">
      <c r="A410" s="2"/>
      <c r="B410" s="69" t="s">
        <v>615</v>
      </c>
      <c r="C410" s="77"/>
      <c r="D410" s="16"/>
      <c r="E410" s="72"/>
      <c r="F410" s="70"/>
      <c r="G410" s="72"/>
      <c r="H410" s="24"/>
      <c r="J410" s="70"/>
      <c r="K410" s="72"/>
      <c r="L410" s="75"/>
      <c r="M410" s="75"/>
      <c r="N410" s="76"/>
      <c r="O410" s="70"/>
      <c r="P410" s="70"/>
      <c r="Q410" s="17"/>
      <c r="R410" s="16"/>
      <c r="S410" s="72"/>
      <c r="T410" s="77"/>
    </row>
    <row r="411" spans="1:20" ht="13.2">
      <c r="A411" s="2"/>
      <c r="B411" s="69" t="s">
        <v>616</v>
      </c>
      <c r="C411" s="77"/>
      <c r="D411" s="16"/>
      <c r="E411" s="72"/>
      <c r="F411" s="70"/>
      <c r="G411" s="72"/>
      <c r="H411" s="24"/>
      <c r="J411" s="70"/>
      <c r="K411" s="72"/>
      <c r="L411" s="75"/>
      <c r="M411" s="75"/>
      <c r="N411" s="76"/>
      <c r="O411" s="70"/>
      <c r="P411" s="70"/>
      <c r="Q411" s="17"/>
      <c r="R411" s="16"/>
      <c r="S411" s="72"/>
      <c r="T411" s="77"/>
    </row>
    <row r="412" spans="1:20" ht="13.2">
      <c r="A412" s="2"/>
      <c r="B412" s="69" t="s">
        <v>617</v>
      </c>
      <c r="C412" s="77"/>
      <c r="D412" s="16"/>
      <c r="E412" s="72"/>
      <c r="F412" s="70"/>
      <c r="G412" s="72"/>
      <c r="H412" s="24"/>
      <c r="J412" s="70"/>
      <c r="K412" s="72"/>
      <c r="L412" s="75"/>
      <c r="M412" s="75"/>
      <c r="N412" s="76"/>
      <c r="O412" s="70"/>
      <c r="P412" s="70"/>
      <c r="Q412" s="17"/>
      <c r="R412" s="16"/>
      <c r="S412" s="72"/>
      <c r="T412" s="77"/>
    </row>
    <row r="413" spans="1:20" ht="13.2">
      <c r="A413" s="2"/>
      <c r="B413" s="69" t="s">
        <v>618</v>
      </c>
      <c r="C413" s="77"/>
      <c r="D413" s="16"/>
      <c r="E413" s="72"/>
      <c r="F413" s="70"/>
      <c r="G413" s="72"/>
      <c r="H413" s="24"/>
      <c r="J413" s="70"/>
      <c r="K413" s="72"/>
      <c r="L413" s="75"/>
      <c r="M413" s="75"/>
      <c r="N413" s="76"/>
      <c r="O413" s="70"/>
      <c r="P413" s="70"/>
      <c r="Q413" s="17"/>
      <c r="R413" s="16"/>
      <c r="S413" s="72"/>
      <c r="T413" s="77"/>
    </row>
    <row r="414" spans="1:20" ht="13.2">
      <c r="A414" s="2"/>
      <c r="B414" s="69" t="s">
        <v>619</v>
      </c>
      <c r="C414" s="77"/>
      <c r="D414" s="16"/>
      <c r="E414" s="72"/>
      <c r="F414" s="70"/>
      <c r="G414" s="72"/>
      <c r="H414" s="24"/>
      <c r="J414" s="70"/>
      <c r="K414" s="72"/>
      <c r="L414" s="75"/>
      <c r="M414" s="75"/>
      <c r="N414" s="76"/>
      <c r="O414" s="70"/>
      <c r="P414" s="70"/>
      <c r="Q414" s="17"/>
      <c r="R414" s="16"/>
      <c r="S414" s="72"/>
      <c r="T414" s="77"/>
    </row>
    <row r="415" spans="1:20" ht="13.2">
      <c r="A415" s="2"/>
      <c r="B415" s="69" t="s">
        <v>620</v>
      </c>
      <c r="C415" s="77"/>
      <c r="D415" s="16"/>
      <c r="E415" s="72"/>
      <c r="F415" s="70"/>
      <c r="G415" s="72"/>
      <c r="H415" s="24"/>
      <c r="J415" s="70"/>
      <c r="K415" s="72"/>
      <c r="L415" s="75"/>
      <c r="M415" s="75"/>
      <c r="N415" s="76"/>
      <c r="O415" s="70"/>
      <c r="P415" s="70"/>
      <c r="Q415" s="17"/>
      <c r="R415" s="16"/>
      <c r="S415" s="72"/>
      <c r="T415" s="77"/>
    </row>
    <row r="416" spans="1:20" ht="13.2">
      <c r="A416" s="2"/>
      <c r="B416" s="69" t="s">
        <v>621</v>
      </c>
      <c r="C416" s="77"/>
      <c r="D416" s="16"/>
      <c r="E416" s="72"/>
      <c r="F416" s="70"/>
      <c r="G416" s="72"/>
      <c r="H416" s="24"/>
      <c r="J416" s="70"/>
      <c r="K416" s="72"/>
      <c r="L416" s="75"/>
      <c r="M416" s="75"/>
      <c r="N416" s="76"/>
      <c r="O416" s="70"/>
      <c r="P416" s="70"/>
      <c r="Q416" s="17"/>
      <c r="R416" s="16"/>
      <c r="S416" s="72"/>
      <c r="T416" s="77"/>
    </row>
    <row r="417" spans="1:20" ht="13.2">
      <c r="A417" s="2"/>
      <c r="B417" s="69" t="s">
        <v>622</v>
      </c>
      <c r="C417" s="77"/>
      <c r="D417" s="16"/>
      <c r="E417" s="72"/>
      <c r="F417" s="70"/>
      <c r="G417" s="72"/>
      <c r="H417" s="24"/>
      <c r="J417" s="70"/>
      <c r="K417" s="72"/>
      <c r="L417" s="75"/>
      <c r="M417" s="75"/>
      <c r="N417" s="76"/>
      <c r="O417" s="70"/>
      <c r="P417" s="70"/>
      <c r="Q417" s="17"/>
      <c r="R417" s="16"/>
      <c r="S417" s="72"/>
      <c r="T417" s="77"/>
    </row>
    <row r="418" spans="1:20" ht="13.2">
      <c r="A418" s="2"/>
      <c r="B418" s="69" t="s">
        <v>623</v>
      </c>
      <c r="C418" s="77"/>
      <c r="D418" s="16"/>
      <c r="E418" s="72"/>
      <c r="F418" s="70"/>
      <c r="G418" s="72"/>
      <c r="H418" s="24"/>
      <c r="J418" s="70"/>
      <c r="K418" s="72"/>
      <c r="L418" s="75"/>
      <c r="M418" s="75"/>
      <c r="N418" s="76"/>
      <c r="O418" s="70"/>
      <c r="P418" s="70"/>
      <c r="Q418" s="17"/>
      <c r="R418" s="16"/>
      <c r="S418" s="72"/>
      <c r="T418" s="77"/>
    </row>
    <row r="419" spans="1:20" ht="13.2">
      <c r="A419" s="2"/>
      <c r="B419" s="69" t="s">
        <v>624</v>
      </c>
      <c r="C419" s="77"/>
      <c r="D419" s="16"/>
      <c r="E419" s="72"/>
      <c r="F419" s="70"/>
      <c r="G419" s="72"/>
      <c r="H419" s="24"/>
      <c r="J419" s="70"/>
      <c r="K419" s="72"/>
      <c r="L419" s="75"/>
      <c r="M419" s="75"/>
      <c r="N419" s="76"/>
      <c r="O419" s="70"/>
      <c r="P419" s="70"/>
      <c r="Q419" s="17"/>
      <c r="R419" s="16"/>
      <c r="S419" s="72"/>
      <c r="T419" s="77"/>
    </row>
    <row r="420" spans="1:20" ht="13.2">
      <c r="A420" s="2"/>
      <c r="B420" s="69" t="s">
        <v>625</v>
      </c>
      <c r="C420" s="77"/>
      <c r="D420" s="16"/>
      <c r="E420" s="72"/>
      <c r="F420" s="70"/>
      <c r="G420" s="72"/>
      <c r="H420" s="24"/>
      <c r="J420" s="70"/>
      <c r="K420" s="72"/>
      <c r="L420" s="75"/>
      <c r="M420" s="75"/>
      <c r="N420" s="76"/>
      <c r="O420" s="70"/>
      <c r="P420" s="70"/>
      <c r="Q420" s="17"/>
      <c r="R420" s="16"/>
      <c r="S420" s="72"/>
      <c r="T420" s="77"/>
    </row>
    <row r="421" spans="1:20" ht="13.2">
      <c r="A421" s="2"/>
      <c r="B421" s="69" t="s">
        <v>206</v>
      </c>
      <c r="C421" s="77"/>
      <c r="D421" s="16"/>
      <c r="E421" s="72"/>
      <c r="F421" s="70"/>
      <c r="G421" s="72"/>
      <c r="H421" s="24"/>
      <c r="J421" s="70"/>
      <c r="K421" s="72"/>
      <c r="L421" s="75"/>
      <c r="M421" s="75"/>
      <c r="N421" s="76"/>
      <c r="O421" s="70"/>
      <c r="P421" s="70"/>
      <c r="Q421" s="17"/>
      <c r="R421" s="16"/>
      <c r="S421" s="72"/>
      <c r="T421" s="77"/>
    </row>
    <row r="422" spans="1:20" ht="13.2">
      <c r="A422" s="2"/>
      <c r="B422" s="69" t="s">
        <v>626</v>
      </c>
      <c r="C422" s="77"/>
      <c r="D422" s="16"/>
      <c r="E422" s="72"/>
      <c r="F422" s="70"/>
      <c r="G422" s="72"/>
      <c r="H422" s="24"/>
      <c r="J422" s="70"/>
      <c r="K422" s="72"/>
      <c r="L422" s="75"/>
      <c r="M422" s="75"/>
      <c r="N422" s="76"/>
      <c r="O422" s="70"/>
      <c r="P422" s="70"/>
      <c r="Q422" s="17"/>
      <c r="R422" s="16"/>
      <c r="S422" s="72"/>
      <c r="T422" s="77"/>
    </row>
    <row r="423" spans="1:20" ht="13.2">
      <c r="A423" s="2"/>
      <c r="B423" s="69" t="s">
        <v>627</v>
      </c>
      <c r="C423" s="77"/>
      <c r="D423" s="16"/>
      <c r="E423" s="72"/>
      <c r="F423" s="70"/>
      <c r="G423" s="72"/>
      <c r="H423" s="24"/>
      <c r="J423" s="70"/>
      <c r="K423" s="72"/>
      <c r="L423" s="75"/>
      <c r="M423" s="75"/>
      <c r="N423" s="76"/>
      <c r="O423" s="70"/>
      <c r="P423" s="70"/>
      <c r="Q423" s="17"/>
      <c r="R423" s="16"/>
      <c r="S423" s="72"/>
      <c r="T423" s="77"/>
    </row>
    <row r="424" spans="1:20" ht="13.2">
      <c r="A424" s="2"/>
      <c r="B424" s="69" t="s">
        <v>628</v>
      </c>
      <c r="C424" s="77"/>
      <c r="D424" s="16"/>
      <c r="E424" s="72"/>
      <c r="F424" s="70"/>
      <c r="G424" s="72"/>
      <c r="H424" s="24"/>
      <c r="J424" s="70"/>
      <c r="K424" s="72"/>
      <c r="L424" s="75"/>
      <c r="M424" s="75"/>
      <c r="N424" s="76"/>
      <c r="O424" s="70"/>
      <c r="P424" s="70"/>
      <c r="Q424" s="17"/>
      <c r="R424" s="16"/>
      <c r="S424" s="72"/>
      <c r="T424" s="77"/>
    </row>
    <row r="425" spans="1:20" ht="13.2">
      <c r="A425" s="2"/>
      <c r="B425" s="69" t="s">
        <v>629</v>
      </c>
      <c r="C425" s="77"/>
      <c r="D425" s="16"/>
      <c r="E425" s="72"/>
      <c r="F425" s="70"/>
      <c r="G425" s="72"/>
      <c r="H425" s="24"/>
      <c r="J425" s="70"/>
      <c r="K425" s="72"/>
      <c r="L425" s="75"/>
      <c r="M425" s="75"/>
      <c r="N425" s="76"/>
      <c r="O425" s="70"/>
      <c r="P425" s="70"/>
      <c r="Q425" s="17"/>
      <c r="R425" s="16"/>
      <c r="S425" s="72"/>
      <c r="T425" s="77"/>
    </row>
    <row r="426" spans="1:20" ht="13.2">
      <c r="A426" s="2"/>
      <c r="B426" s="69" t="s">
        <v>630</v>
      </c>
      <c r="C426" s="77"/>
      <c r="D426" s="16"/>
      <c r="E426" s="72"/>
      <c r="F426" s="70"/>
      <c r="G426" s="72"/>
      <c r="H426" s="24"/>
      <c r="J426" s="70"/>
      <c r="K426" s="72"/>
      <c r="L426" s="75"/>
      <c r="M426" s="75"/>
      <c r="N426" s="76"/>
      <c r="O426" s="70"/>
      <c r="P426" s="70"/>
      <c r="Q426" s="17"/>
      <c r="R426" s="16"/>
      <c r="S426" s="72"/>
      <c r="T426" s="77"/>
    </row>
    <row r="427" spans="1:20" ht="13.2">
      <c r="A427" s="2"/>
      <c r="B427" s="69" t="s">
        <v>631</v>
      </c>
      <c r="C427" s="77"/>
      <c r="D427" s="16"/>
      <c r="E427" s="72"/>
      <c r="F427" s="70"/>
      <c r="G427" s="72"/>
      <c r="H427" s="24"/>
      <c r="J427" s="70"/>
      <c r="K427" s="72"/>
      <c r="L427" s="75"/>
      <c r="M427" s="75"/>
      <c r="N427" s="76"/>
      <c r="O427" s="70"/>
      <c r="P427" s="70"/>
      <c r="Q427" s="17"/>
      <c r="R427" s="16"/>
      <c r="S427" s="72"/>
      <c r="T427" s="77"/>
    </row>
    <row r="428" spans="1:20" ht="13.2">
      <c r="A428" s="2"/>
      <c r="B428" s="69" t="s">
        <v>632</v>
      </c>
      <c r="C428" s="77"/>
      <c r="D428" s="16"/>
      <c r="E428" s="72"/>
      <c r="F428" s="70"/>
      <c r="G428" s="72"/>
      <c r="H428" s="24"/>
      <c r="J428" s="70"/>
      <c r="K428" s="72"/>
      <c r="L428" s="75"/>
      <c r="M428" s="75"/>
      <c r="N428" s="76"/>
      <c r="O428" s="70"/>
      <c r="P428" s="70"/>
      <c r="Q428" s="17"/>
      <c r="R428" s="16"/>
      <c r="S428" s="72"/>
      <c r="T428" s="77"/>
    </row>
    <row r="429" spans="1:20" ht="13.2">
      <c r="A429" s="2"/>
      <c r="B429" s="69" t="s">
        <v>633</v>
      </c>
      <c r="C429" s="77"/>
      <c r="D429" s="16"/>
      <c r="E429" s="72"/>
      <c r="F429" s="70"/>
      <c r="G429" s="72"/>
      <c r="H429" s="24"/>
      <c r="J429" s="70"/>
      <c r="K429" s="72"/>
      <c r="L429" s="75"/>
      <c r="M429" s="75"/>
      <c r="N429" s="76"/>
      <c r="O429" s="70"/>
      <c r="P429" s="70"/>
      <c r="Q429" s="17"/>
      <c r="R429" s="16"/>
      <c r="S429" s="72"/>
      <c r="T429" s="77"/>
    </row>
    <row r="430" spans="1:20" ht="13.2">
      <c r="A430" s="2"/>
      <c r="B430" s="69" t="s">
        <v>634</v>
      </c>
      <c r="C430" s="77"/>
      <c r="D430" s="16"/>
      <c r="E430" s="72"/>
      <c r="F430" s="70"/>
      <c r="G430" s="72"/>
      <c r="H430" s="24"/>
      <c r="J430" s="70"/>
      <c r="K430" s="72"/>
      <c r="L430" s="75"/>
      <c r="M430" s="75"/>
      <c r="N430" s="76"/>
      <c r="O430" s="70"/>
      <c r="P430" s="70"/>
      <c r="Q430" s="17"/>
      <c r="R430" s="16"/>
      <c r="S430" s="72"/>
      <c r="T430" s="77"/>
    </row>
    <row r="431" spans="1:20" ht="13.2">
      <c r="A431" s="2"/>
      <c r="B431" s="69" t="s">
        <v>635</v>
      </c>
      <c r="C431" s="77"/>
      <c r="D431" s="16"/>
      <c r="E431" s="72"/>
      <c r="F431" s="70"/>
      <c r="G431" s="72"/>
      <c r="H431" s="24"/>
      <c r="J431" s="70"/>
      <c r="K431" s="72"/>
      <c r="L431" s="75"/>
      <c r="M431" s="75"/>
      <c r="N431" s="76"/>
      <c r="O431" s="70"/>
      <c r="P431" s="70"/>
      <c r="Q431" s="17"/>
      <c r="R431" s="16"/>
      <c r="S431" s="72"/>
      <c r="T431" s="77"/>
    </row>
    <row r="432" spans="1:20" ht="13.2">
      <c r="A432" s="2"/>
      <c r="B432" s="69" t="s">
        <v>636</v>
      </c>
      <c r="C432" s="77"/>
      <c r="D432" s="16"/>
      <c r="E432" s="72"/>
      <c r="F432" s="70"/>
      <c r="G432" s="72"/>
      <c r="H432" s="24"/>
      <c r="J432" s="70"/>
      <c r="K432" s="72"/>
      <c r="L432" s="75"/>
      <c r="M432" s="75"/>
      <c r="N432" s="76"/>
      <c r="O432" s="70"/>
      <c r="P432" s="70"/>
      <c r="Q432" s="17"/>
      <c r="R432" s="16"/>
      <c r="S432" s="72"/>
      <c r="T432" s="77"/>
    </row>
    <row r="433" spans="1:20" ht="13.2">
      <c r="A433" s="2"/>
      <c r="B433" s="69" t="s">
        <v>637</v>
      </c>
      <c r="C433" s="77"/>
      <c r="D433" s="16"/>
      <c r="E433" s="72"/>
      <c r="F433" s="70"/>
      <c r="G433" s="72"/>
      <c r="H433" s="24"/>
      <c r="J433" s="70"/>
      <c r="K433" s="72"/>
      <c r="L433" s="75"/>
      <c r="M433" s="75"/>
      <c r="N433" s="76"/>
      <c r="O433" s="70"/>
      <c r="P433" s="70"/>
      <c r="Q433" s="17"/>
      <c r="R433" s="16"/>
      <c r="S433" s="72"/>
      <c r="T433" s="77"/>
    </row>
    <row r="434" spans="1:20" ht="13.2">
      <c r="A434" s="2"/>
      <c r="B434" s="69" t="s">
        <v>638</v>
      </c>
      <c r="C434" s="77"/>
      <c r="D434" s="16"/>
      <c r="E434" s="72"/>
      <c r="F434" s="70"/>
      <c r="G434" s="72"/>
      <c r="H434" s="24"/>
      <c r="J434" s="70"/>
      <c r="K434" s="72"/>
      <c r="L434" s="75"/>
      <c r="M434" s="75"/>
      <c r="N434" s="76"/>
      <c r="O434" s="70"/>
      <c r="P434" s="70"/>
      <c r="Q434" s="17"/>
      <c r="R434" s="16"/>
      <c r="S434" s="72"/>
      <c r="T434" s="77"/>
    </row>
    <row r="435" spans="1:20" ht="13.2">
      <c r="A435" s="2"/>
      <c r="B435" s="69" t="s">
        <v>639</v>
      </c>
      <c r="C435" s="77"/>
      <c r="D435" s="16"/>
      <c r="E435" s="72"/>
      <c r="F435" s="70"/>
      <c r="G435" s="72"/>
      <c r="H435" s="24"/>
      <c r="J435" s="70"/>
      <c r="K435" s="72"/>
      <c r="L435" s="75"/>
      <c r="M435" s="75"/>
      <c r="N435" s="76"/>
      <c r="O435" s="70"/>
      <c r="P435" s="70"/>
      <c r="Q435" s="17"/>
      <c r="R435" s="16"/>
      <c r="S435" s="72"/>
      <c r="T435" s="77"/>
    </row>
    <row r="436" spans="1:20" ht="13.2">
      <c r="A436" s="2"/>
      <c r="B436" s="69" t="s">
        <v>640</v>
      </c>
      <c r="C436" s="77"/>
      <c r="D436" s="16"/>
      <c r="E436" s="72"/>
      <c r="F436" s="70"/>
      <c r="G436" s="72"/>
      <c r="H436" s="24"/>
      <c r="J436" s="70"/>
      <c r="K436" s="72"/>
      <c r="L436" s="75"/>
      <c r="M436" s="75"/>
      <c r="N436" s="76"/>
      <c r="O436" s="70"/>
      <c r="P436" s="70"/>
      <c r="Q436" s="17"/>
      <c r="R436" s="16"/>
      <c r="S436" s="72"/>
      <c r="T436" s="77"/>
    </row>
    <row r="437" spans="1:20" ht="13.2">
      <c r="A437" s="2"/>
      <c r="B437" s="69" t="s">
        <v>641</v>
      </c>
      <c r="C437" s="77"/>
      <c r="D437" s="16"/>
      <c r="E437" s="72"/>
      <c r="F437" s="70"/>
      <c r="G437" s="72"/>
      <c r="H437" s="24"/>
      <c r="J437" s="70"/>
      <c r="K437" s="72"/>
      <c r="L437" s="75"/>
      <c r="M437" s="75"/>
      <c r="N437" s="76"/>
      <c r="O437" s="70"/>
      <c r="P437" s="70"/>
      <c r="Q437" s="17"/>
      <c r="R437" s="16"/>
      <c r="S437" s="72"/>
      <c r="T437" s="77"/>
    </row>
    <row r="438" spans="1:20" ht="13.2">
      <c r="A438" s="2"/>
      <c r="B438" s="69" t="s">
        <v>642</v>
      </c>
      <c r="C438" s="77"/>
      <c r="D438" s="16"/>
      <c r="E438" s="72"/>
      <c r="F438" s="70"/>
      <c r="G438" s="72"/>
      <c r="H438" s="24"/>
      <c r="J438" s="70"/>
      <c r="K438" s="72"/>
      <c r="L438" s="75"/>
      <c r="M438" s="75"/>
      <c r="N438" s="76"/>
      <c r="O438" s="70"/>
      <c r="P438" s="70"/>
      <c r="Q438" s="17"/>
      <c r="R438" s="16"/>
      <c r="S438" s="72"/>
      <c r="T438" s="77"/>
    </row>
    <row r="439" spans="1:20" ht="13.2">
      <c r="A439" s="2"/>
      <c r="B439" s="69" t="s">
        <v>643</v>
      </c>
      <c r="C439" s="77"/>
      <c r="D439" s="16"/>
      <c r="E439" s="72"/>
      <c r="F439" s="70"/>
      <c r="G439" s="72"/>
      <c r="H439" s="24"/>
      <c r="J439" s="70"/>
      <c r="K439" s="72"/>
      <c r="L439" s="75"/>
      <c r="M439" s="75"/>
      <c r="N439" s="76"/>
      <c r="O439" s="70"/>
      <c r="P439" s="70"/>
      <c r="Q439" s="17"/>
      <c r="R439" s="16"/>
      <c r="S439" s="72"/>
      <c r="T439" s="77"/>
    </row>
    <row r="440" spans="1:20" ht="13.2">
      <c r="A440" s="2"/>
      <c r="B440" s="69" t="s">
        <v>644</v>
      </c>
      <c r="C440" s="77"/>
      <c r="D440" s="16"/>
      <c r="E440" s="72"/>
      <c r="F440" s="70"/>
      <c r="G440" s="72"/>
      <c r="H440" s="24"/>
      <c r="J440" s="70"/>
      <c r="K440" s="72"/>
      <c r="L440" s="75"/>
      <c r="M440" s="75"/>
      <c r="N440" s="76"/>
      <c r="O440" s="70"/>
      <c r="P440" s="70"/>
      <c r="Q440" s="17"/>
      <c r="R440" s="16"/>
      <c r="S440" s="72"/>
      <c r="T440" s="77"/>
    </row>
    <row r="441" spans="1:20" ht="13.2">
      <c r="A441" s="2"/>
      <c r="B441" s="69" t="s">
        <v>645</v>
      </c>
      <c r="C441" s="77"/>
      <c r="D441" s="16"/>
      <c r="E441" s="72"/>
      <c r="F441" s="70"/>
      <c r="G441" s="72"/>
      <c r="H441" s="24"/>
      <c r="J441" s="70"/>
      <c r="K441" s="72"/>
      <c r="L441" s="75"/>
      <c r="M441" s="75"/>
      <c r="N441" s="76"/>
      <c r="O441" s="70"/>
      <c r="P441" s="70"/>
      <c r="Q441" s="17"/>
      <c r="R441" s="16"/>
      <c r="S441" s="72"/>
      <c r="T441" s="77"/>
    </row>
    <row r="442" spans="1:20" ht="13.2">
      <c r="A442" s="2"/>
      <c r="B442" s="69" t="s">
        <v>646</v>
      </c>
      <c r="C442" s="77"/>
      <c r="D442" s="16"/>
      <c r="E442" s="72"/>
      <c r="F442" s="70"/>
      <c r="G442" s="72"/>
      <c r="H442" s="24"/>
      <c r="J442" s="70"/>
      <c r="K442" s="72"/>
      <c r="L442" s="75"/>
      <c r="M442" s="75"/>
      <c r="N442" s="76"/>
      <c r="O442" s="70"/>
      <c r="P442" s="70"/>
      <c r="Q442" s="17"/>
      <c r="R442" s="16"/>
      <c r="S442" s="72"/>
      <c r="T442" s="77"/>
    </row>
    <row r="443" spans="1:20" ht="13.2">
      <c r="A443" s="2"/>
      <c r="B443" s="69" t="s">
        <v>647</v>
      </c>
      <c r="C443" s="77"/>
      <c r="D443" s="16"/>
      <c r="E443" s="72"/>
      <c r="F443" s="70"/>
      <c r="G443" s="72"/>
      <c r="H443" s="24"/>
      <c r="J443" s="70"/>
      <c r="K443" s="72"/>
      <c r="L443" s="75"/>
      <c r="M443" s="75"/>
      <c r="N443" s="76"/>
      <c r="O443" s="70"/>
      <c r="P443" s="70"/>
      <c r="Q443" s="17"/>
      <c r="R443" s="16"/>
      <c r="S443" s="72"/>
      <c r="T443" s="77"/>
    </row>
    <row r="444" spans="1:20" ht="13.2">
      <c r="A444" s="2"/>
      <c r="B444" s="69" t="s">
        <v>648</v>
      </c>
      <c r="C444" s="77"/>
      <c r="D444" s="16"/>
      <c r="E444" s="72"/>
      <c r="F444" s="70"/>
      <c r="G444" s="72"/>
      <c r="H444" s="24"/>
      <c r="J444" s="70"/>
      <c r="K444" s="72"/>
      <c r="L444" s="75"/>
      <c r="M444" s="75"/>
      <c r="N444" s="76"/>
      <c r="O444" s="70"/>
      <c r="P444" s="70"/>
      <c r="Q444" s="17"/>
      <c r="R444" s="16"/>
      <c r="S444" s="72"/>
      <c r="T444" s="77"/>
    </row>
    <row r="445" spans="1:20" ht="13.2">
      <c r="A445" s="2"/>
      <c r="B445" s="69" t="s">
        <v>253</v>
      </c>
      <c r="C445" s="77"/>
      <c r="D445" s="16"/>
      <c r="E445" s="72"/>
      <c r="F445" s="70"/>
      <c r="G445" s="72"/>
      <c r="H445" s="24"/>
      <c r="J445" s="70"/>
      <c r="K445" s="72"/>
      <c r="L445" s="75"/>
      <c r="M445" s="75"/>
      <c r="N445" s="76"/>
      <c r="O445" s="70"/>
      <c r="P445" s="70"/>
      <c r="Q445" s="17"/>
      <c r="R445" s="16"/>
      <c r="S445" s="72"/>
      <c r="T445" s="77"/>
    </row>
    <row r="446" spans="1:20" ht="13.2">
      <c r="A446" s="2"/>
      <c r="B446" s="69" t="s">
        <v>649</v>
      </c>
      <c r="C446" s="77"/>
      <c r="D446" s="16"/>
      <c r="E446" s="72"/>
      <c r="F446" s="70"/>
      <c r="G446" s="72"/>
      <c r="H446" s="24"/>
      <c r="J446" s="70"/>
      <c r="K446" s="72"/>
      <c r="L446" s="75"/>
      <c r="M446" s="75"/>
      <c r="N446" s="76"/>
      <c r="O446" s="70"/>
      <c r="P446" s="70"/>
      <c r="Q446" s="17"/>
      <c r="R446" s="16"/>
      <c r="S446" s="72"/>
      <c r="T446" s="77"/>
    </row>
    <row r="447" spans="1:20" ht="13.2">
      <c r="A447" s="2"/>
      <c r="B447" s="69" t="s">
        <v>650</v>
      </c>
      <c r="C447" s="77"/>
      <c r="D447" s="16"/>
      <c r="E447" s="72"/>
      <c r="F447" s="70"/>
      <c r="G447" s="72"/>
      <c r="H447" s="24"/>
      <c r="J447" s="70"/>
      <c r="K447" s="72"/>
      <c r="L447" s="75"/>
      <c r="M447" s="75"/>
      <c r="N447" s="76"/>
      <c r="O447" s="70"/>
      <c r="P447" s="70"/>
      <c r="Q447" s="17"/>
      <c r="R447" s="16"/>
      <c r="S447" s="72"/>
      <c r="T447" s="77"/>
    </row>
    <row r="448" spans="1:20" ht="13.2">
      <c r="A448" s="2"/>
      <c r="B448" s="69" t="s">
        <v>651</v>
      </c>
      <c r="C448" s="77"/>
      <c r="D448" s="16"/>
      <c r="E448" s="72"/>
      <c r="F448" s="70"/>
      <c r="G448" s="72"/>
      <c r="H448" s="24"/>
      <c r="J448" s="70"/>
      <c r="K448" s="72"/>
      <c r="L448" s="75"/>
      <c r="M448" s="75"/>
      <c r="N448" s="76"/>
      <c r="O448" s="70"/>
      <c r="P448" s="70"/>
      <c r="Q448" s="17"/>
      <c r="R448" s="16"/>
      <c r="S448" s="72"/>
      <c r="T448" s="77"/>
    </row>
    <row r="449" spans="1:20" ht="13.2">
      <c r="A449" s="2"/>
      <c r="B449" s="69" t="s">
        <v>652</v>
      </c>
      <c r="C449" s="77"/>
      <c r="D449" s="16"/>
      <c r="E449" s="72"/>
      <c r="F449" s="70"/>
      <c r="G449" s="72"/>
      <c r="H449" s="24"/>
      <c r="J449" s="70"/>
      <c r="K449" s="72"/>
      <c r="L449" s="75"/>
      <c r="M449" s="75"/>
      <c r="N449" s="76"/>
      <c r="O449" s="70"/>
      <c r="P449" s="70"/>
      <c r="Q449" s="17"/>
      <c r="R449" s="16"/>
      <c r="S449" s="72"/>
      <c r="T449" s="77"/>
    </row>
    <row r="450" spans="1:20" ht="13.2">
      <c r="A450" s="2"/>
      <c r="B450" s="69" t="s">
        <v>653</v>
      </c>
      <c r="C450" s="77"/>
      <c r="D450" s="16"/>
      <c r="E450" s="72"/>
      <c r="F450" s="70"/>
      <c r="G450" s="72"/>
      <c r="H450" s="24"/>
      <c r="J450" s="70"/>
      <c r="K450" s="72"/>
      <c r="L450" s="75"/>
      <c r="M450" s="75"/>
      <c r="N450" s="76"/>
      <c r="O450" s="70"/>
      <c r="P450" s="70"/>
      <c r="Q450" s="17"/>
      <c r="R450" s="16"/>
      <c r="S450" s="72"/>
      <c r="T450" s="77"/>
    </row>
    <row r="451" spans="1:20" ht="13.2">
      <c r="A451" s="2"/>
      <c r="B451" s="69" t="s">
        <v>654</v>
      </c>
      <c r="C451" s="77"/>
      <c r="D451" s="16"/>
      <c r="E451" s="72"/>
      <c r="F451" s="70"/>
      <c r="G451" s="72"/>
      <c r="H451" s="24"/>
      <c r="J451" s="70"/>
      <c r="K451" s="72"/>
      <c r="L451" s="75"/>
      <c r="M451" s="75"/>
      <c r="N451" s="76"/>
      <c r="O451" s="70"/>
      <c r="P451" s="70"/>
      <c r="Q451" s="17"/>
      <c r="R451" s="16"/>
      <c r="S451" s="72"/>
      <c r="T451" s="77"/>
    </row>
    <row r="452" spans="1:20" ht="13.2">
      <c r="A452" s="2"/>
      <c r="B452" s="69" t="s">
        <v>655</v>
      </c>
      <c r="C452" s="77"/>
      <c r="D452" s="16"/>
      <c r="E452" s="72"/>
      <c r="F452" s="70"/>
      <c r="G452" s="72"/>
      <c r="H452" s="24"/>
      <c r="J452" s="70"/>
      <c r="K452" s="72"/>
      <c r="L452" s="75"/>
      <c r="M452" s="75"/>
      <c r="N452" s="76"/>
      <c r="O452" s="70"/>
      <c r="P452" s="70"/>
      <c r="Q452" s="17"/>
      <c r="R452" s="16"/>
      <c r="S452" s="72"/>
      <c r="T452" s="77"/>
    </row>
    <row r="453" spans="1:20" ht="13.2">
      <c r="A453" s="2"/>
      <c r="B453" s="69" t="s">
        <v>656</v>
      </c>
      <c r="C453" s="77"/>
      <c r="D453" s="16"/>
      <c r="E453" s="72"/>
      <c r="F453" s="70"/>
      <c r="G453" s="72"/>
      <c r="H453" s="24"/>
      <c r="J453" s="70"/>
      <c r="K453" s="72"/>
      <c r="L453" s="75"/>
      <c r="M453" s="75"/>
      <c r="N453" s="76"/>
      <c r="O453" s="70"/>
      <c r="P453" s="70"/>
      <c r="Q453" s="17"/>
      <c r="R453" s="16"/>
      <c r="S453" s="72"/>
      <c r="T453" s="77"/>
    </row>
    <row r="454" spans="1:20" ht="13.2">
      <c r="A454" s="2"/>
      <c r="B454" s="69" t="s">
        <v>657</v>
      </c>
      <c r="C454" s="77"/>
      <c r="D454" s="16"/>
      <c r="E454" s="72"/>
      <c r="F454" s="70"/>
      <c r="G454" s="72"/>
      <c r="H454" s="24"/>
      <c r="J454" s="70"/>
      <c r="K454" s="72"/>
      <c r="L454" s="75"/>
      <c r="M454" s="75"/>
      <c r="N454" s="76"/>
      <c r="O454" s="70"/>
      <c r="P454" s="70"/>
      <c r="Q454" s="17"/>
      <c r="R454" s="16"/>
      <c r="S454" s="72"/>
      <c r="T454" s="77"/>
    </row>
    <row r="455" spans="1:20" ht="13.2">
      <c r="A455" s="2"/>
      <c r="B455" s="69" t="s">
        <v>658</v>
      </c>
      <c r="C455" s="77"/>
      <c r="D455" s="16"/>
      <c r="E455" s="72"/>
      <c r="F455" s="70"/>
      <c r="G455" s="72"/>
      <c r="H455" s="24"/>
      <c r="J455" s="70"/>
      <c r="K455" s="72"/>
      <c r="L455" s="75"/>
      <c r="M455" s="75"/>
      <c r="N455" s="76"/>
      <c r="O455" s="70"/>
      <c r="P455" s="70"/>
      <c r="Q455" s="17"/>
      <c r="R455" s="16"/>
      <c r="S455" s="72"/>
      <c r="T455" s="77"/>
    </row>
    <row r="456" spans="1:20" ht="13.2">
      <c r="A456" s="2"/>
      <c r="B456" s="69" t="s">
        <v>659</v>
      </c>
      <c r="C456" s="77"/>
      <c r="D456" s="16"/>
      <c r="E456" s="72"/>
      <c r="F456" s="70"/>
      <c r="G456" s="72"/>
      <c r="H456" s="24"/>
      <c r="J456" s="70"/>
      <c r="K456" s="72"/>
      <c r="L456" s="75"/>
      <c r="M456" s="75"/>
      <c r="N456" s="76"/>
      <c r="O456" s="70"/>
      <c r="P456" s="70"/>
      <c r="Q456" s="17"/>
      <c r="R456" s="16"/>
      <c r="S456" s="72"/>
      <c r="T456" s="77"/>
    </row>
    <row r="457" spans="1:20" ht="13.2">
      <c r="A457" s="2"/>
      <c r="B457" s="69" t="s">
        <v>660</v>
      </c>
      <c r="C457" s="77"/>
      <c r="D457" s="16"/>
      <c r="E457" s="72"/>
      <c r="F457" s="70"/>
      <c r="G457" s="72"/>
      <c r="H457" s="24"/>
      <c r="J457" s="70"/>
      <c r="K457" s="72"/>
      <c r="L457" s="75"/>
      <c r="M457" s="75"/>
      <c r="N457" s="76"/>
      <c r="O457" s="70"/>
      <c r="P457" s="70"/>
      <c r="Q457" s="17"/>
      <c r="R457" s="16"/>
      <c r="S457" s="72"/>
      <c r="T457" s="77"/>
    </row>
    <row r="458" spans="1:20" ht="13.2">
      <c r="A458" s="2"/>
      <c r="B458" s="69" t="s">
        <v>661</v>
      </c>
      <c r="C458" s="77"/>
      <c r="D458" s="16"/>
      <c r="E458" s="72"/>
      <c r="F458" s="70"/>
      <c r="G458" s="72"/>
      <c r="H458" s="24"/>
      <c r="J458" s="70"/>
      <c r="K458" s="72"/>
      <c r="L458" s="75"/>
      <c r="M458" s="75"/>
      <c r="N458" s="76"/>
      <c r="O458" s="70"/>
      <c r="P458" s="70"/>
      <c r="Q458" s="17"/>
      <c r="R458" s="16"/>
      <c r="S458" s="72"/>
      <c r="T458" s="77"/>
    </row>
    <row r="459" spans="1:20" ht="13.2">
      <c r="A459" s="2"/>
      <c r="B459" s="69" t="s">
        <v>662</v>
      </c>
      <c r="C459" s="77"/>
      <c r="D459" s="16"/>
      <c r="E459" s="72"/>
      <c r="F459" s="70"/>
      <c r="G459" s="72"/>
      <c r="H459" s="24"/>
      <c r="J459" s="70"/>
      <c r="K459" s="72"/>
      <c r="L459" s="75"/>
      <c r="M459" s="75"/>
      <c r="N459" s="76"/>
      <c r="O459" s="70"/>
      <c r="P459" s="70"/>
      <c r="Q459" s="17"/>
      <c r="R459" s="16"/>
      <c r="S459" s="72"/>
      <c r="T459" s="77"/>
    </row>
    <row r="460" spans="1:20" ht="13.2">
      <c r="A460" s="2"/>
      <c r="B460" s="69" t="s">
        <v>469</v>
      </c>
      <c r="C460" s="77"/>
      <c r="D460" s="16"/>
      <c r="E460" s="72"/>
      <c r="F460" s="70"/>
      <c r="G460" s="72"/>
      <c r="H460" s="24"/>
      <c r="J460" s="70"/>
      <c r="K460" s="72"/>
      <c r="L460" s="75"/>
      <c r="M460" s="75"/>
      <c r="N460" s="76"/>
      <c r="O460" s="70"/>
      <c r="P460" s="70"/>
      <c r="Q460" s="17"/>
      <c r="R460" s="16"/>
      <c r="S460" s="72"/>
      <c r="T460" s="77"/>
    </row>
    <row r="461" spans="1:20" ht="13.2">
      <c r="A461" s="2"/>
      <c r="B461" s="69" t="s">
        <v>663</v>
      </c>
      <c r="C461" s="77"/>
      <c r="D461" s="16"/>
      <c r="E461" s="72"/>
      <c r="F461" s="70"/>
      <c r="G461" s="72"/>
      <c r="H461" s="24"/>
      <c r="J461" s="70"/>
      <c r="K461" s="72"/>
      <c r="L461" s="75"/>
      <c r="M461" s="75"/>
      <c r="N461" s="76"/>
      <c r="O461" s="70"/>
      <c r="P461" s="70"/>
      <c r="Q461" s="17"/>
      <c r="R461" s="16"/>
      <c r="S461" s="72"/>
      <c r="T461" s="77"/>
    </row>
    <row r="462" spans="1:20" ht="13.2">
      <c r="A462" s="2"/>
      <c r="B462" s="69" t="s">
        <v>664</v>
      </c>
      <c r="C462" s="77"/>
      <c r="D462" s="16"/>
      <c r="E462" s="72"/>
      <c r="F462" s="70"/>
      <c r="G462" s="72"/>
      <c r="H462" s="24"/>
      <c r="J462" s="70"/>
      <c r="K462" s="72"/>
      <c r="L462" s="75"/>
      <c r="M462" s="75"/>
      <c r="N462" s="76"/>
      <c r="O462" s="70"/>
      <c r="P462" s="70"/>
      <c r="Q462" s="17"/>
      <c r="R462" s="16"/>
      <c r="S462" s="72"/>
      <c r="T462" s="77"/>
    </row>
    <row r="463" spans="1:20" ht="13.2">
      <c r="A463" s="2"/>
      <c r="B463" s="69" t="s">
        <v>665</v>
      </c>
      <c r="C463" s="77"/>
      <c r="D463" s="16"/>
      <c r="E463" s="72"/>
      <c r="F463" s="70"/>
      <c r="G463" s="72"/>
      <c r="H463" s="24"/>
      <c r="J463" s="70"/>
      <c r="K463" s="72"/>
      <c r="L463" s="75"/>
      <c r="M463" s="75"/>
      <c r="N463" s="76"/>
      <c r="O463" s="70"/>
      <c r="P463" s="70"/>
      <c r="Q463" s="17"/>
      <c r="R463" s="16"/>
      <c r="S463" s="72"/>
      <c r="T463" s="77"/>
    </row>
    <row r="464" spans="1:20" ht="13.2">
      <c r="A464" s="2"/>
      <c r="B464" s="69" t="s">
        <v>666</v>
      </c>
      <c r="C464" s="77"/>
      <c r="D464" s="16"/>
      <c r="E464" s="72"/>
      <c r="F464" s="70"/>
      <c r="G464" s="72"/>
      <c r="H464" s="24"/>
      <c r="J464" s="70"/>
      <c r="K464" s="72"/>
      <c r="L464" s="75"/>
      <c r="M464" s="75"/>
      <c r="N464" s="76"/>
      <c r="O464" s="70"/>
      <c r="P464" s="70"/>
      <c r="Q464" s="17"/>
      <c r="R464" s="16"/>
      <c r="S464" s="72"/>
      <c r="T464" s="77"/>
    </row>
    <row r="465" spans="1:20" ht="13.2">
      <c r="A465" s="2"/>
      <c r="B465" s="69" t="s">
        <v>667</v>
      </c>
      <c r="C465" s="77"/>
      <c r="D465" s="16"/>
      <c r="E465" s="72"/>
      <c r="F465" s="70"/>
      <c r="G465" s="72"/>
      <c r="H465" s="24"/>
      <c r="J465" s="70"/>
      <c r="K465" s="72"/>
      <c r="L465" s="75"/>
      <c r="M465" s="75"/>
      <c r="N465" s="76"/>
      <c r="O465" s="70"/>
      <c r="P465" s="70"/>
      <c r="Q465" s="17"/>
      <c r="R465" s="16"/>
      <c r="S465" s="72"/>
      <c r="T465" s="77"/>
    </row>
    <row r="466" spans="1:20" ht="13.2">
      <c r="A466" s="2"/>
      <c r="B466" s="69" t="s">
        <v>668</v>
      </c>
      <c r="C466" s="77"/>
      <c r="D466" s="16"/>
      <c r="E466" s="72"/>
      <c r="F466" s="70"/>
      <c r="G466" s="72"/>
      <c r="H466" s="24"/>
      <c r="J466" s="70"/>
      <c r="K466" s="72"/>
      <c r="L466" s="75"/>
      <c r="M466" s="75"/>
      <c r="N466" s="76"/>
      <c r="O466" s="70"/>
      <c r="P466" s="70"/>
      <c r="Q466" s="17"/>
      <c r="R466" s="16"/>
      <c r="S466" s="72"/>
      <c r="T466" s="77"/>
    </row>
    <row r="467" spans="1:20" ht="13.2">
      <c r="A467" s="2"/>
      <c r="B467" s="69" t="s">
        <v>669</v>
      </c>
      <c r="C467" s="77"/>
      <c r="D467" s="16"/>
      <c r="E467" s="72"/>
      <c r="F467" s="70"/>
      <c r="G467" s="72"/>
      <c r="H467" s="24"/>
      <c r="J467" s="70"/>
      <c r="K467" s="72"/>
      <c r="L467" s="75"/>
      <c r="M467" s="75"/>
      <c r="N467" s="76"/>
      <c r="O467" s="70"/>
      <c r="P467" s="70"/>
      <c r="Q467" s="17"/>
      <c r="R467" s="16"/>
      <c r="S467" s="72"/>
      <c r="T467" s="77"/>
    </row>
    <row r="468" spans="1:20" ht="13.2">
      <c r="A468" s="2"/>
      <c r="B468" s="69" t="s">
        <v>670</v>
      </c>
      <c r="C468" s="77"/>
      <c r="D468" s="16"/>
      <c r="E468" s="72"/>
      <c r="F468" s="70"/>
      <c r="G468" s="72"/>
      <c r="H468" s="24"/>
      <c r="J468" s="70"/>
      <c r="K468" s="72"/>
      <c r="L468" s="75"/>
      <c r="M468" s="75"/>
      <c r="N468" s="76"/>
      <c r="O468" s="70"/>
      <c r="P468" s="70"/>
      <c r="Q468" s="17"/>
      <c r="R468" s="16"/>
      <c r="S468" s="72"/>
      <c r="T468" s="77"/>
    </row>
    <row r="469" spans="1:20" ht="13.2">
      <c r="A469" s="2"/>
      <c r="B469" s="69" t="s">
        <v>671</v>
      </c>
      <c r="C469" s="77"/>
      <c r="D469" s="16"/>
      <c r="E469" s="72"/>
      <c r="F469" s="70"/>
      <c r="G469" s="72"/>
      <c r="H469" s="24"/>
      <c r="J469" s="70"/>
      <c r="K469" s="72"/>
      <c r="L469" s="75"/>
      <c r="M469" s="75"/>
      <c r="N469" s="76"/>
      <c r="O469" s="70"/>
      <c r="P469" s="70"/>
      <c r="Q469" s="17"/>
      <c r="R469" s="16"/>
      <c r="S469" s="72"/>
      <c r="T469" s="77"/>
    </row>
    <row r="470" spans="1:20" ht="13.2">
      <c r="A470" s="2"/>
      <c r="B470" s="69" t="s">
        <v>278</v>
      </c>
      <c r="C470" s="77"/>
      <c r="D470" s="16"/>
      <c r="E470" s="72"/>
      <c r="F470" s="70"/>
      <c r="G470" s="72"/>
      <c r="H470" s="24"/>
      <c r="J470" s="70"/>
      <c r="K470" s="72"/>
      <c r="L470" s="75"/>
      <c r="M470" s="75"/>
      <c r="N470" s="76"/>
      <c r="O470" s="70"/>
      <c r="P470" s="70"/>
      <c r="Q470" s="17"/>
      <c r="R470" s="16"/>
      <c r="S470" s="72"/>
      <c r="T470" s="77"/>
    </row>
    <row r="471" spans="1:20" ht="13.2">
      <c r="A471" s="2"/>
      <c r="B471" s="69" t="s">
        <v>672</v>
      </c>
      <c r="C471" s="77"/>
      <c r="D471" s="16"/>
      <c r="E471" s="72"/>
      <c r="F471" s="70"/>
      <c r="G471" s="72"/>
      <c r="H471" s="24"/>
      <c r="J471" s="70"/>
      <c r="K471" s="72"/>
      <c r="L471" s="75"/>
      <c r="M471" s="75"/>
      <c r="N471" s="76"/>
      <c r="O471" s="70"/>
      <c r="P471" s="70"/>
      <c r="Q471" s="17"/>
      <c r="R471" s="16"/>
      <c r="S471" s="72"/>
      <c r="T471" s="77"/>
    </row>
    <row r="472" spans="1:20" ht="13.2">
      <c r="A472" s="2"/>
      <c r="B472" s="69" t="s">
        <v>673</v>
      </c>
      <c r="C472" s="77"/>
      <c r="D472" s="16"/>
      <c r="E472" s="72"/>
      <c r="F472" s="70"/>
      <c r="G472" s="72"/>
      <c r="H472" s="24"/>
      <c r="J472" s="70"/>
      <c r="K472" s="72"/>
      <c r="L472" s="75"/>
      <c r="M472" s="75"/>
      <c r="N472" s="76"/>
      <c r="O472" s="70"/>
      <c r="P472" s="70"/>
      <c r="Q472" s="17"/>
      <c r="R472" s="16"/>
      <c r="S472" s="72"/>
      <c r="T472" s="77"/>
    </row>
    <row r="473" spans="1:20" ht="13.2">
      <c r="A473" s="2"/>
      <c r="B473" s="69" t="s">
        <v>674</v>
      </c>
      <c r="C473" s="77"/>
      <c r="D473" s="16"/>
      <c r="E473" s="72"/>
      <c r="F473" s="70"/>
      <c r="G473" s="72"/>
      <c r="H473" s="24"/>
      <c r="J473" s="70"/>
      <c r="K473" s="72"/>
      <c r="L473" s="75"/>
      <c r="M473" s="75"/>
      <c r="N473" s="76"/>
      <c r="O473" s="70"/>
      <c r="P473" s="70"/>
      <c r="Q473" s="17"/>
      <c r="R473" s="16"/>
      <c r="S473" s="72"/>
      <c r="T473" s="77"/>
    </row>
    <row r="474" spans="1:20" ht="13.2">
      <c r="A474" s="2"/>
      <c r="B474" s="69" t="s">
        <v>675</v>
      </c>
      <c r="C474" s="77"/>
      <c r="D474" s="16"/>
      <c r="E474" s="72"/>
      <c r="F474" s="70"/>
      <c r="G474" s="72"/>
      <c r="H474" s="24"/>
      <c r="J474" s="70"/>
      <c r="K474" s="72"/>
      <c r="L474" s="75"/>
      <c r="M474" s="75"/>
      <c r="N474" s="76"/>
      <c r="O474" s="70"/>
      <c r="P474" s="70"/>
      <c r="Q474" s="17"/>
      <c r="R474" s="16"/>
      <c r="S474" s="72"/>
      <c r="T474" s="77"/>
    </row>
    <row r="475" spans="1:20" ht="13.2">
      <c r="A475" s="2"/>
      <c r="B475" s="69" t="s">
        <v>676</v>
      </c>
      <c r="C475" s="77"/>
      <c r="D475" s="16"/>
      <c r="E475" s="72"/>
      <c r="F475" s="70"/>
      <c r="G475" s="72"/>
      <c r="H475" s="24"/>
      <c r="J475" s="70"/>
      <c r="K475" s="72"/>
      <c r="L475" s="75"/>
      <c r="M475" s="75"/>
      <c r="N475" s="76"/>
      <c r="O475" s="70"/>
      <c r="P475" s="70"/>
      <c r="Q475" s="17"/>
      <c r="R475" s="16"/>
      <c r="S475" s="72"/>
      <c r="T475" s="77"/>
    </row>
    <row r="476" spans="1:20" ht="13.2">
      <c r="A476" s="2"/>
      <c r="B476" s="69" t="s">
        <v>284</v>
      </c>
      <c r="C476" s="77"/>
      <c r="D476" s="16"/>
      <c r="E476" s="72"/>
      <c r="F476" s="70"/>
      <c r="G476" s="72"/>
      <c r="H476" s="24"/>
      <c r="J476" s="70"/>
      <c r="K476" s="72"/>
      <c r="L476" s="75"/>
      <c r="M476" s="75"/>
      <c r="N476" s="76"/>
      <c r="O476" s="70"/>
      <c r="P476" s="70"/>
      <c r="Q476" s="17"/>
      <c r="R476" s="16"/>
      <c r="S476" s="72"/>
      <c r="T476" s="77"/>
    </row>
    <row r="477" spans="1:20" ht="13.2">
      <c r="A477" s="2"/>
      <c r="B477" s="69" t="s">
        <v>677</v>
      </c>
      <c r="C477" s="77"/>
      <c r="D477" s="16"/>
      <c r="E477" s="72"/>
      <c r="F477" s="70"/>
      <c r="G477" s="72"/>
      <c r="H477" s="24"/>
      <c r="J477" s="70"/>
      <c r="K477" s="72"/>
      <c r="L477" s="75"/>
      <c r="M477" s="75"/>
      <c r="N477" s="76"/>
      <c r="O477" s="70"/>
      <c r="P477" s="70"/>
      <c r="Q477" s="17"/>
      <c r="R477" s="16"/>
      <c r="S477" s="72"/>
      <c r="T477" s="77"/>
    </row>
    <row r="478" spans="1:20" ht="13.2">
      <c r="A478" s="2"/>
      <c r="B478" s="69" t="s">
        <v>678</v>
      </c>
      <c r="C478" s="77"/>
      <c r="D478" s="16"/>
      <c r="E478" s="72"/>
      <c r="F478" s="70"/>
      <c r="G478" s="72"/>
      <c r="H478" s="24"/>
      <c r="J478" s="70"/>
      <c r="K478" s="72"/>
      <c r="L478" s="75"/>
      <c r="M478" s="75"/>
      <c r="N478" s="76"/>
      <c r="O478" s="70"/>
      <c r="P478" s="70"/>
      <c r="Q478" s="17"/>
      <c r="R478" s="16"/>
      <c r="S478" s="72"/>
      <c r="T478" s="77"/>
    </row>
    <row r="479" spans="1:20" ht="13.2">
      <c r="A479" s="2"/>
      <c r="B479" s="69" t="s">
        <v>679</v>
      </c>
      <c r="C479" s="77"/>
      <c r="D479" s="16"/>
      <c r="E479" s="72"/>
      <c r="F479" s="70"/>
      <c r="G479" s="72"/>
      <c r="H479" s="24"/>
      <c r="J479" s="70"/>
      <c r="K479" s="72"/>
      <c r="L479" s="75"/>
      <c r="M479" s="75"/>
      <c r="N479" s="76"/>
      <c r="O479" s="70"/>
      <c r="P479" s="70"/>
      <c r="Q479" s="17"/>
      <c r="R479" s="16"/>
      <c r="S479" s="72"/>
      <c r="T479" s="77"/>
    </row>
    <row r="480" spans="1:20" ht="13.2">
      <c r="A480" s="2"/>
      <c r="B480" s="69" t="s">
        <v>680</v>
      </c>
      <c r="C480" s="77"/>
      <c r="D480" s="16"/>
      <c r="E480" s="72"/>
      <c r="F480" s="70"/>
      <c r="G480" s="72"/>
      <c r="H480" s="24"/>
      <c r="J480" s="70"/>
      <c r="K480" s="72"/>
      <c r="L480" s="75"/>
      <c r="M480" s="75"/>
      <c r="N480" s="76"/>
      <c r="O480" s="70"/>
      <c r="P480" s="70"/>
      <c r="Q480" s="17"/>
      <c r="R480" s="16"/>
      <c r="S480" s="72"/>
      <c r="T480" s="77"/>
    </row>
    <row r="481" spans="1:20" ht="13.2">
      <c r="A481" s="2"/>
      <c r="B481" s="69" t="s">
        <v>681</v>
      </c>
      <c r="C481" s="77"/>
      <c r="D481" s="16"/>
      <c r="E481" s="72"/>
      <c r="F481" s="70"/>
      <c r="G481" s="72"/>
      <c r="H481" s="24"/>
      <c r="J481" s="70"/>
      <c r="K481" s="72"/>
      <c r="L481" s="75"/>
      <c r="M481" s="75"/>
      <c r="N481" s="76"/>
      <c r="O481" s="70"/>
      <c r="P481" s="70"/>
      <c r="Q481" s="17"/>
      <c r="R481" s="16"/>
      <c r="S481" s="72"/>
      <c r="T481" s="77"/>
    </row>
    <row r="482" spans="1:20" ht="13.2">
      <c r="A482" s="2"/>
      <c r="B482" s="69" t="s">
        <v>682</v>
      </c>
      <c r="C482" s="77"/>
      <c r="D482" s="16"/>
      <c r="E482" s="72"/>
      <c r="F482" s="70"/>
      <c r="G482" s="72"/>
      <c r="H482" s="24"/>
      <c r="J482" s="70"/>
      <c r="K482" s="72"/>
      <c r="L482" s="75"/>
      <c r="M482" s="75"/>
      <c r="N482" s="76"/>
      <c r="O482" s="70"/>
      <c r="P482" s="70"/>
      <c r="Q482" s="17"/>
      <c r="R482" s="16"/>
      <c r="S482" s="72"/>
      <c r="T482" s="77"/>
    </row>
    <row r="483" spans="1:20" ht="13.2">
      <c r="A483" s="2"/>
      <c r="B483" s="69" t="s">
        <v>683</v>
      </c>
      <c r="C483" s="77"/>
      <c r="D483" s="16"/>
      <c r="E483" s="72"/>
      <c r="F483" s="70"/>
      <c r="G483" s="72"/>
      <c r="H483" s="24"/>
      <c r="J483" s="70"/>
      <c r="K483" s="72"/>
      <c r="L483" s="75"/>
      <c r="M483" s="75"/>
      <c r="N483" s="76"/>
      <c r="O483" s="70"/>
      <c r="P483" s="70"/>
      <c r="Q483" s="17"/>
      <c r="R483" s="16"/>
      <c r="S483" s="72"/>
      <c r="T483" s="77"/>
    </row>
    <row r="484" spans="1:20" ht="13.2">
      <c r="A484" s="2"/>
      <c r="B484" s="69" t="s">
        <v>684</v>
      </c>
      <c r="C484" s="77"/>
      <c r="D484" s="16"/>
      <c r="E484" s="72"/>
      <c r="F484" s="70"/>
      <c r="G484" s="72"/>
      <c r="H484" s="24"/>
      <c r="J484" s="70"/>
      <c r="K484" s="72"/>
      <c r="L484" s="75"/>
      <c r="M484" s="75"/>
      <c r="N484" s="76"/>
      <c r="O484" s="70"/>
      <c r="P484" s="70"/>
      <c r="Q484" s="17"/>
      <c r="R484" s="16"/>
      <c r="S484" s="72"/>
      <c r="T484" s="77"/>
    </row>
    <row r="485" spans="1:20" ht="13.2">
      <c r="A485" s="2"/>
      <c r="B485" s="69" t="s">
        <v>685</v>
      </c>
      <c r="C485" s="77"/>
      <c r="D485" s="16"/>
      <c r="E485" s="72"/>
      <c r="F485" s="70"/>
      <c r="G485" s="72"/>
      <c r="H485" s="24"/>
      <c r="J485" s="70"/>
      <c r="K485" s="72"/>
      <c r="L485" s="75"/>
      <c r="M485" s="75"/>
      <c r="N485" s="76"/>
      <c r="O485" s="70"/>
      <c r="P485" s="70"/>
      <c r="Q485" s="17"/>
      <c r="R485" s="16"/>
      <c r="S485" s="72"/>
      <c r="T485" s="77"/>
    </row>
    <row r="486" spans="1:20" ht="13.2">
      <c r="A486" s="2"/>
      <c r="B486" s="69" t="s">
        <v>294</v>
      </c>
      <c r="C486" s="77"/>
      <c r="D486" s="16"/>
      <c r="E486" s="72"/>
      <c r="F486" s="70"/>
      <c r="G486" s="72"/>
      <c r="H486" s="24"/>
      <c r="J486" s="70"/>
      <c r="K486" s="72"/>
      <c r="L486" s="75"/>
      <c r="M486" s="75"/>
      <c r="N486" s="76"/>
      <c r="O486" s="70"/>
      <c r="P486" s="70"/>
      <c r="Q486" s="17"/>
      <c r="R486" s="16"/>
      <c r="S486" s="72"/>
      <c r="T486" s="77"/>
    </row>
    <row r="487" spans="1:20" ht="13.2">
      <c r="A487" s="2"/>
      <c r="B487" s="69" t="s">
        <v>686</v>
      </c>
      <c r="C487" s="77"/>
      <c r="D487" s="16"/>
      <c r="E487" s="72"/>
      <c r="F487" s="70"/>
      <c r="G487" s="72"/>
      <c r="H487" s="24"/>
      <c r="J487" s="70"/>
      <c r="K487" s="72"/>
      <c r="L487" s="75"/>
      <c r="M487" s="75"/>
      <c r="N487" s="76"/>
      <c r="O487" s="70"/>
      <c r="P487" s="70"/>
      <c r="Q487" s="17"/>
      <c r="R487" s="16"/>
      <c r="S487" s="72"/>
      <c r="T487" s="77"/>
    </row>
    <row r="488" spans="1:20" ht="13.2">
      <c r="A488" s="2"/>
      <c r="B488" s="69" t="s">
        <v>687</v>
      </c>
      <c r="C488" s="77"/>
      <c r="D488" s="16"/>
      <c r="E488" s="72"/>
      <c r="F488" s="70"/>
      <c r="G488" s="72"/>
      <c r="H488" s="24"/>
      <c r="J488" s="70"/>
      <c r="K488" s="72"/>
      <c r="L488" s="75"/>
      <c r="M488" s="75"/>
      <c r="N488" s="76"/>
      <c r="O488" s="70"/>
      <c r="P488" s="70"/>
      <c r="Q488" s="17"/>
      <c r="R488" s="16"/>
      <c r="S488" s="72"/>
      <c r="T488" s="77"/>
    </row>
    <row r="489" spans="1:20" ht="13.2">
      <c r="A489" s="2"/>
      <c r="B489" s="69" t="s">
        <v>688</v>
      </c>
      <c r="C489" s="77"/>
      <c r="D489" s="16"/>
      <c r="E489" s="72"/>
      <c r="F489" s="70"/>
      <c r="G489" s="72"/>
      <c r="H489" s="24"/>
      <c r="J489" s="70"/>
      <c r="K489" s="72"/>
      <c r="L489" s="75"/>
      <c r="M489" s="75"/>
      <c r="N489" s="76"/>
      <c r="O489" s="70"/>
      <c r="P489" s="70"/>
      <c r="Q489" s="17"/>
      <c r="R489" s="16"/>
      <c r="S489" s="72"/>
      <c r="T489" s="77"/>
    </row>
    <row r="490" spans="1:20" ht="13.2">
      <c r="A490" s="2"/>
      <c r="B490" s="69" t="s">
        <v>689</v>
      </c>
      <c r="C490" s="77"/>
      <c r="D490" s="16"/>
      <c r="E490" s="72"/>
      <c r="F490" s="70"/>
      <c r="G490" s="72"/>
      <c r="H490" s="24"/>
      <c r="J490" s="70"/>
      <c r="K490" s="72"/>
      <c r="L490" s="75"/>
      <c r="M490" s="75"/>
      <c r="N490" s="76"/>
      <c r="O490" s="70"/>
      <c r="P490" s="70"/>
      <c r="Q490" s="17"/>
      <c r="R490" s="16"/>
      <c r="S490" s="72"/>
      <c r="T490" s="77"/>
    </row>
    <row r="491" spans="1:20" ht="13.2">
      <c r="A491" s="2"/>
      <c r="B491" s="69" t="s">
        <v>498</v>
      </c>
      <c r="C491" s="77"/>
      <c r="D491" s="16"/>
      <c r="E491" s="72"/>
      <c r="F491" s="70"/>
      <c r="G491" s="72"/>
      <c r="H491" s="24"/>
      <c r="J491" s="70"/>
      <c r="K491" s="72"/>
      <c r="L491" s="75"/>
      <c r="M491" s="75"/>
      <c r="N491" s="76"/>
      <c r="O491" s="70"/>
      <c r="P491" s="70"/>
      <c r="Q491" s="17"/>
      <c r="R491" s="16"/>
      <c r="S491" s="72"/>
      <c r="T491" s="77"/>
    </row>
    <row r="492" spans="1:20" ht="13.2">
      <c r="A492" s="2"/>
      <c r="B492" s="69" t="s">
        <v>690</v>
      </c>
      <c r="C492" s="77"/>
      <c r="D492" s="16"/>
      <c r="E492" s="72"/>
      <c r="F492" s="70"/>
      <c r="G492" s="72"/>
      <c r="H492" s="24"/>
      <c r="J492" s="70"/>
      <c r="K492" s="72"/>
      <c r="L492" s="75"/>
      <c r="M492" s="75"/>
      <c r="N492" s="76"/>
      <c r="O492" s="70"/>
      <c r="P492" s="70"/>
      <c r="Q492" s="17"/>
      <c r="R492" s="16"/>
      <c r="S492" s="72"/>
      <c r="T492" s="77"/>
    </row>
    <row r="493" spans="1:20" ht="13.2">
      <c r="A493" s="2"/>
      <c r="B493" s="69" t="s">
        <v>691</v>
      </c>
      <c r="C493" s="77"/>
      <c r="D493" s="16"/>
      <c r="E493" s="72"/>
      <c r="F493" s="70"/>
      <c r="G493" s="72"/>
      <c r="H493" s="24"/>
      <c r="J493" s="70"/>
      <c r="K493" s="72"/>
      <c r="L493" s="75"/>
      <c r="M493" s="75"/>
      <c r="N493" s="76"/>
      <c r="O493" s="70"/>
      <c r="P493" s="70"/>
      <c r="Q493" s="17"/>
      <c r="R493" s="16"/>
      <c r="S493" s="72"/>
      <c r="T493" s="77"/>
    </row>
    <row r="494" spans="1:20" ht="13.2">
      <c r="A494" s="2"/>
      <c r="B494" s="69" t="s">
        <v>692</v>
      </c>
      <c r="C494" s="77"/>
      <c r="D494" s="16"/>
      <c r="E494" s="72"/>
      <c r="F494" s="70"/>
      <c r="G494" s="72"/>
      <c r="H494" s="24"/>
      <c r="J494" s="70"/>
      <c r="K494" s="72"/>
      <c r="L494" s="75"/>
      <c r="M494" s="75"/>
      <c r="N494" s="76"/>
      <c r="O494" s="70"/>
      <c r="P494" s="70"/>
      <c r="Q494" s="17"/>
      <c r="R494" s="16"/>
      <c r="S494" s="72"/>
      <c r="T494" s="77"/>
    </row>
    <row r="495" spans="1:20" ht="13.2">
      <c r="A495" s="2"/>
      <c r="B495" s="69" t="s">
        <v>693</v>
      </c>
      <c r="C495" s="77"/>
      <c r="D495" s="16"/>
      <c r="E495" s="72"/>
      <c r="F495" s="70"/>
      <c r="G495" s="72"/>
      <c r="H495" s="24"/>
      <c r="J495" s="70"/>
      <c r="K495" s="72"/>
      <c r="L495" s="75"/>
      <c r="M495" s="75"/>
      <c r="N495" s="76"/>
      <c r="O495" s="70"/>
      <c r="P495" s="70"/>
      <c r="Q495" s="17"/>
      <c r="R495" s="16"/>
      <c r="S495" s="72"/>
      <c r="T495" s="77"/>
    </row>
    <row r="496" spans="1:20" ht="13.2">
      <c r="A496" s="2"/>
      <c r="B496" s="69" t="s">
        <v>694</v>
      </c>
      <c r="C496" s="77"/>
      <c r="D496" s="16"/>
      <c r="E496" s="72"/>
      <c r="F496" s="70"/>
      <c r="G496" s="72"/>
      <c r="H496" s="24"/>
      <c r="J496" s="70"/>
      <c r="K496" s="72"/>
      <c r="L496" s="75"/>
      <c r="M496" s="75"/>
      <c r="N496" s="76"/>
      <c r="O496" s="70"/>
      <c r="P496" s="70"/>
      <c r="Q496" s="17"/>
      <c r="R496" s="16"/>
      <c r="S496" s="72"/>
      <c r="T496" s="77"/>
    </row>
    <row r="497" spans="1:20" ht="13.2">
      <c r="A497" s="2"/>
      <c r="B497" s="69" t="s">
        <v>695</v>
      </c>
      <c r="C497" s="77"/>
      <c r="D497" s="16"/>
      <c r="E497" s="72"/>
      <c r="F497" s="70"/>
      <c r="G497" s="72"/>
      <c r="H497" s="24"/>
      <c r="J497" s="70"/>
      <c r="K497" s="72"/>
      <c r="L497" s="75"/>
      <c r="M497" s="75"/>
      <c r="N497" s="76"/>
      <c r="O497" s="70"/>
      <c r="P497" s="70"/>
      <c r="Q497" s="17"/>
      <c r="R497" s="16"/>
      <c r="S497" s="72"/>
      <c r="T497" s="77"/>
    </row>
    <row r="498" spans="1:20" ht="13.2">
      <c r="A498" s="2"/>
      <c r="B498" s="69" t="s">
        <v>696</v>
      </c>
      <c r="C498" s="77"/>
      <c r="D498" s="16"/>
      <c r="E498" s="72"/>
      <c r="F498" s="70"/>
      <c r="G498" s="72"/>
      <c r="H498" s="24"/>
      <c r="J498" s="70"/>
      <c r="K498" s="72"/>
      <c r="L498" s="75"/>
      <c r="M498" s="75"/>
      <c r="N498" s="76"/>
      <c r="O498" s="70"/>
      <c r="P498" s="70"/>
      <c r="Q498" s="17"/>
      <c r="R498" s="16"/>
      <c r="S498" s="72"/>
      <c r="T498" s="77"/>
    </row>
    <row r="499" spans="1:20" ht="13.2">
      <c r="A499" s="2"/>
      <c r="B499" s="69" t="s">
        <v>697</v>
      </c>
      <c r="C499" s="77"/>
      <c r="D499" s="16"/>
      <c r="E499" s="72"/>
      <c r="F499" s="70"/>
      <c r="G499" s="72"/>
      <c r="H499" s="24"/>
      <c r="J499" s="70"/>
      <c r="K499" s="72"/>
      <c r="L499" s="75"/>
      <c r="M499" s="75"/>
      <c r="N499" s="76"/>
      <c r="O499" s="70"/>
      <c r="P499" s="70"/>
      <c r="Q499" s="17"/>
      <c r="R499" s="16"/>
      <c r="S499" s="72"/>
      <c r="T499" s="77"/>
    </row>
    <row r="500" spans="1:20" ht="13.2">
      <c r="A500" s="2"/>
      <c r="B500" s="69" t="s">
        <v>698</v>
      </c>
      <c r="C500" s="77"/>
      <c r="D500" s="16"/>
      <c r="E500" s="72"/>
      <c r="F500" s="70"/>
      <c r="G500" s="72"/>
      <c r="H500" s="24"/>
      <c r="J500" s="70"/>
      <c r="K500" s="72"/>
      <c r="L500" s="75"/>
      <c r="M500" s="75"/>
      <c r="N500" s="76"/>
      <c r="O500" s="70"/>
      <c r="P500" s="70"/>
      <c r="Q500" s="17"/>
      <c r="R500" s="16"/>
      <c r="S500" s="72"/>
      <c r="T500" s="77"/>
    </row>
    <row r="501" spans="1:20" ht="13.2">
      <c r="A501" s="2"/>
      <c r="B501" s="69" t="s">
        <v>699</v>
      </c>
      <c r="C501" s="77"/>
      <c r="D501" s="16"/>
      <c r="E501" s="72"/>
      <c r="F501" s="70"/>
      <c r="G501" s="72"/>
      <c r="H501" s="24"/>
      <c r="J501" s="70"/>
      <c r="K501" s="72"/>
      <c r="L501" s="75"/>
      <c r="M501" s="75"/>
      <c r="N501" s="76"/>
      <c r="O501" s="70"/>
      <c r="P501" s="70"/>
      <c r="Q501" s="17"/>
      <c r="R501" s="16"/>
      <c r="S501" s="72"/>
      <c r="T501" s="77"/>
    </row>
    <row r="502" spans="1:20" ht="13.2">
      <c r="A502" s="2"/>
      <c r="B502" s="69" t="s">
        <v>509</v>
      </c>
      <c r="C502" s="77"/>
      <c r="D502" s="16"/>
      <c r="E502" s="72"/>
      <c r="F502" s="70"/>
      <c r="G502" s="72"/>
      <c r="H502" s="24"/>
      <c r="J502" s="70"/>
      <c r="K502" s="72"/>
      <c r="L502" s="75"/>
      <c r="M502" s="75"/>
      <c r="N502" s="76"/>
      <c r="O502" s="70"/>
      <c r="P502" s="70"/>
      <c r="Q502" s="17"/>
      <c r="R502" s="16"/>
      <c r="S502" s="72"/>
      <c r="T502" s="77"/>
    </row>
    <row r="503" spans="1:20" ht="13.2">
      <c r="A503" s="2"/>
      <c r="B503" s="69" t="s">
        <v>700</v>
      </c>
      <c r="C503" s="77"/>
      <c r="D503" s="16"/>
      <c r="E503" s="72"/>
      <c r="F503" s="70"/>
      <c r="G503" s="72"/>
      <c r="H503" s="24"/>
      <c r="J503" s="70"/>
      <c r="K503" s="72"/>
      <c r="L503" s="75"/>
      <c r="M503" s="75"/>
      <c r="N503" s="76"/>
      <c r="O503" s="70"/>
      <c r="P503" s="70"/>
      <c r="Q503" s="17"/>
      <c r="R503" s="16"/>
      <c r="S503" s="72"/>
      <c r="T503" s="77"/>
    </row>
    <row r="504" spans="1:20" ht="13.2">
      <c r="A504" s="2"/>
      <c r="B504" s="69" t="s">
        <v>701</v>
      </c>
      <c r="C504" s="77"/>
      <c r="D504" s="16"/>
      <c r="E504" s="72"/>
      <c r="F504" s="70"/>
      <c r="G504" s="72"/>
      <c r="H504" s="24"/>
      <c r="J504" s="70"/>
      <c r="K504" s="72"/>
      <c r="L504" s="75"/>
      <c r="M504" s="75"/>
      <c r="N504" s="76"/>
      <c r="O504" s="70"/>
      <c r="P504" s="70"/>
      <c r="Q504" s="17"/>
      <c r="R504" s="16"/>
      <c r="S504" s="72"/>
      <c r="T504" s="77"/>
    </row>
    <row r="505" spans="1:20" ht="13.2">
      <c r="A505" s="2"/>
      <c r="B505" s="69" t="s">
        <v>702</v>
      </c>
      <c r="C505" s="77"/>
      <c r="D505" s="16"/>
      <c r="E505" s="72"/>
      <c r="F505" s="70"/>
      <c r="G505" s="72"/>
      <c r="H505" s="24"/>
      <c r="J505" s="70"/>
      <c r="K505" s="72"/>
      <c r="L505" s="75"/>
      <c r="M505" s="75"/>
      <c r="N505" s="76"/>
      <c r="O505" s="70"/>
      <c r="P505" s="70"/>
      <c r="Q505" s="17"/>
      <c r="R505" s="16"/>
      <c r="S505" s="72"/>
      <c r="T505" s="77"/>
    </row>
    <row r="506" spans="1:20" ht="13.2">
      <c r="A506" s="2"/>
      <c r="B506" s="69" t="s">
        <v>703</v>
      </c>
      <c r="C506" s="77"/>
      <c r="D506" s="16"/>
      <c r="E506" s="72"/>
      <c r="F506" s="70"/>
      <c r="G506" s="72"/>
      <c r="H506" s="24"/>
      <c r="J506" s="70"/>
      <c r="K506" s="72"/>
      <c r="L506" s="75"/>
      <c r="M506" s="75"/>
      <c r="N506" s="76"/>
      <c r="O506" s="70"/>
      <c r="P506" s="70"/>
      <c r="Q506" s="17"/>
      <c r="R506" s="16"/>
      <c r="S506" s="72"/>
      <c r="T506" s="77"/>
    </row>
    <row r="507" spans="1:20" ht="13.2">
      <c r="A507" s="2"/>
      <c r="B507" s="69" t="s">
        <v>704</v>
      </c>
      <c r="C507" s="77"/>
      <c r="D507" s="16"/>
      <c r="E507" s="72"/>
      <c r="F507" s="70"/>
      <c r="G507" s="72"/>
      <c r="H507" s="24"/>
      <c r="J507" s="70"/>
      <c r="K507" s="72"/>
      <c r="L507" s="75"/>
      <c r="M507" s="75"/>
      <c r="N507" s="76"/>
      <c r="O507" s="70"/>
      <c r="P507" s="70"/>
      <c r="Q507" s="17"/>
      <c r="R507" s="16"/>
      <c r="S507" s="72"/>
      <c r="T507" s="77"/>
    </row>
    <row r="508" spans="1:20" ht="13.2">
      <c r="A508" s="2"/>
      <c r="B508" s="69" t="s">
        <v>705</v>
      </c>
      <c r="C508" s="77"/>
      <c r="D508" s="16"/>
      <c r="E508" s="72"/>
      <c r="F508" s="70"/>
      <c r="G508" s="72"/>
      <c r="H508" s="24"/>
      <c r="J508" s="70"/>
      <c r="K508" s="72"/>
      <c r="L508" s="75"/>
      <c r="M508" s="75"/>
      <c r="N508" s="76"/>
      <c r="O508" s="70"/>
      <c r="P508" s="70"/>
      <c r="Q508" s="17"/>
      <c r="R508" s="16"/>
      <c r="S508" s="72"/>
      <c r="T508" s="77"/>
    </row>
    <row r="509" spans="1:20" ht="13.2">
      <c r="A509" s="2"/>
      <c r="B509" s="69" t="s">
        <v>516</v>
      </c>
      <c r="C509" s="77"/>
      <c r="D509" s="16"/>
      <c r="E509" s="72"/>
      <c r="F509" s="70"/>
      <c r="G509" s="72"/>
      <c r="H509" s="24"/>
      <c r="J509" s="70"/>
      <c r="K509" s="72"/>
      <c r="L509" s="75"/>
      <c r="M509" s="75"/>
      <c r="N509" s="76"/>
      <c r="O509" s="70"/>
      <c r="P509" s="70"/>
      <c r="Q509" s="17"/>
      <c r="R509" s="16"/>
      <c r="S509" s="72"/>
      <c r="T509" s="77"/>
    </row>
    <row r="510" spans="1:20" ht="13.2">
      <c r="A510" s="2"/>
      <c r="B510" s="69" t="s">
        <v>706</v>
      </c>
      <c r="C510" s="77"/>
      <c r="D510" s="16"/>
      <c r="E510" s="72"/>
      <c r="F510" s="70"/>
      <c r="G510" s="72"/>
      <c r="H510" s="24"/>
      <c r="J510" s="70"/>
      <c r="K510" s="72"/>
      <c r="L510" s="75"/>
      <c r="M510" s="75"/>
      <c r="N510" s="76"/>
      <c r="O510" s="70"/>
      <c r="P510" s="70"/>
      <c r="Q510" s="17"/>
      <c r="R510" s="16"/>
      <c r="S510" s="72"/>
      <c r="T510" s="77"/>
    </row>
    <row r="511" spans="1:20" ht="13.2">
      <c r="A511" s="2"/>
      <c r="B511" s="69" t="s">
        <v>707</v>
      </c>
      <c r="C511" s="77"/>
      <c r="D511" s="16"/>
      <c r="E511" s="72"/>
      <c r="F511" s="70"/>
      <c r="G511" s="72"/>
      <c r="H511" s="24"/>
      <c r="J511" s="70"/>
      <c r="K511" s="72"/>
      <c r="L511" s="75"/>
      <c r="M511" s="75"/>
      <c r="N511" s="76"/>
      <c r="O511" s="70"/>
      <c r="P511" s="70"/>
      <c r="Q511" s="17"/>
      <c r="R511" s="16"/>
      <c r="S511" s="72"/>
      <c r="T511" s="77"/>
    </row>
    <row r="512" spans="1:20" ht="13.2">
      <c r="A512" s="2"/>
      <c r="B512" s="69" t="s">
        <v>708</v>
      </c>
      <c r="C512" s="77"/>
      <c r="D512" s="16"/>
      <c r="E512" s="72"/>
      <c r="F512" s="70"/>
      <c r="G512" s="72"/>
      <c r="H512" s="24"/>
      <c r="J512" s="70"/>
      <c r="K512" s="72"/>
      <c r="L512" s="75"/>
      <c r="M512" s="75"/>
      <c r="N512" s="76"/>
      <c r="O512" s="70"/>
      <c r="P512" s="70"/>
      <c r="Q512" s="17"/>
      <c r="R512" s="16"/>
      <c r="S512" s="72"/>
      <c r="T512" s="77"/>
    </row>
    <row r="513" spans="1:20" ht="13.2">
      <c r="A513" s="2"/>
      <c r="B513" s="69" t="s">
        <v>709</v>
      </c>
      <c r="C513" s="77"/>
      <c r="D513" s="16"/>
      <c r="E513" s="72"/>
      <c r="F513" s="70"/>
      <c r="G513" s="72"/>
      <c r="H513" s="24"/>
      <c r="J513" s="70"/>
      <c r="K513" s="72"/>
      <c r="L513" s="75"/>
      <c r="M513" s="75"/>
      <c r="N513" s="76"/>
      <c r="O513" s="70"/>
      <c r="P513" s="70"/>
      <c r="Q513" s="17"/>
      <c r="R513" s="16"/>
      <c r="S513" s="72"/>
      <c r="T513" s="77"/>
    </row>
    <row r="514" spans="1:20" ht="13.2">
      <c r="A514" s="2"/>
      <c r="B514" s="69" t="s">
        <v>710</v>
      </c>
      <c r="C514" s="77"/>
      <c r="D514" s="16"/>
      <c r="E514" s="72"/>
      <c r="F514" s="70"/>
      <c r="G514" s="72"/>
      <c r="H514" s="24"/>
      <c r="J514" s="70"/>
      <c r="K514" s="72"/>
      <c r="L514" s="75"/>
      <c r="M514" s="75"/>
      <c r="N514" s="76"/>
      <c r="O514" s="70"/>
      <c r="P514" s="70"/>
      <c r="Q514" s="17"/>
      <c r="R514" s="16"/>
      <c r="S514" s="72"/>
      <c r="T514" s="77"/>
    </row>
    <row r="515" spans="1:20" ht="13.2">
      <c r="A515" s="2"/>
      <c r="B515" s="69" t="s">
        <v>711</v>
      </c>
      <c r="C515" s="77"/>
      <c r="D515" s="16"/>
      <c r="E515" s="72"/>
      <c r="F515" s="70"/>
      <c r="G515" s="72"/>
      <c r="H515" s="24"/>
      <c r="J515" s="70"/>
      <c r="K515" s="72"/>
      <c r="L515" s="75"/>
      <c r="M515" s="75"/>
      <c r="N515" s="76"/>
      <c r="O515" s="70"/>
      <c r="P515" s="70"/>
      <c r="Q515" s="17"/>
      <c r="R515" s="16"/>
      <c r="S515" s="72"/>
      <c r="T515" s="77"/>
    </row>
    <row r="516" spans="1:20" ht="13.2">
      <c r="A516" s="2"/>
      <c r="B516" s="69" t="s">
        <v>712</v>
      </c>
      <c r="C516" s="77"/>
      <c r="D516" s="16"/>
      <c r="E516" s="72"/>
      <c r="F516" s="70"/>
      <c r="G516" s="72"/>
      <c r="H516" s="24"/>
      <c r="J516" s="70"/>
      <c r="K516" s="72"/>
      <c r="L516" s="75"/>
      <c r="M516" s="75"/>
      <c r="N516" s="76"/>
      <c r="O516" s="70"/>
      <c r="P516" s="70"/>
      <c r="Q516" s="17"/>
      <c r="R516" s="16"/>
      <c r="S516" s="72"/>
      <c r="T516" s="77"/>
    </row>
    <row r="517" spans="1:20" ht="13.2">
      <c r="A517" s="2"/>
      <c r="B517" s="69" t="s">
        <v>325</v>
      </c>
      <c r="C517" s="77"/>
      <c r="D517" s="16"/>
      <c r="E517" s="72"/>
      <c r="F517" s="70"/>
      <c r="G517" s="72"/>
      <c r="H517" s="24"/>
      <c r="J517" s="70"/>
      <c r="K517" s="72"/>
      <c r="L517" s="75"/>
      <c r="M517" s="75"/>
      <c r="N517" s="76"/>
      <c r="O517" s="70"/>
      <c r="P517" s="70"/>
      <c r="Q517" s="17"/>
      <c r="R517" s="16"/>
      <c r="S517" s="72"/>
      <c r="T517" s="77"/>
    </row>
    <row r="518" spans="1:20" ht="13.2">
      <c r="A518" s="2"/>
      <c r="B518" s="69" t="s">
        <v>713</v>
      </c>
      <c r="C518" s="77"/>
      <c r="D518" s="16"/>
      <c r="E518" s="72"/>
      <c r="F518" s="70"/>
      <c r="G518" s="72"/>
      <c r="H518" s="24"/>
      <c r="J518" s="70"/>
      <c r="K518" s="72"/>
      <c r="L518" s="75"/>
      <c r="M518" s="75"/>
      <c r="N518" s="76"/>
      <c r="O518" s="70"/>
      <c r="P518" s="70"/>
      <c r="Q518" s="17"/>
      <c r="R518" s="16"/>
      <c r="S518" s="72"/>
      <c r="T518" s="77"/>
    </row>
    <row r="519" spans="1:20" ht="13.2">
      <c r="A519" s="2"/>
      <c r="B519" s="69" t="s">
        <v>714</v>
      </c>
      <c r="C519" s="77"/>
      <c r="D519" s="16"/>
      <c r="E519" s="72"/>
      <c r="F519" s="70"/>
      <c r="G519" s="72"/>
      <c r="H519" s="24"/>
      <c r="J519" s="70"/>
      <c r="K519" s="72"/>
      <c r="L519" s="75"/>
      <c r="M519" s="75"/>
      <c r="N519" s="76"/>
      <c r="O519" s="70"/>
      <c r="P519" s="70"/>
      <c r="Q519" s="17"/>
      <c r="R519" s="16"/>
      <c r="S519" s="72"/>
      <c r="T519" s="77"/>
    </row>
    <row r="520" spans="1:20" ht="13.2">
      <c r="A520" s="2"/>
      <c r="B520" s="69" t="s">
        <v>715</v>
      </c>
      <c r="C520" s="77"/>
      <c r="D520" s="16"/>
      <c r="E520" s="72"/>
      <c r="F520" s="70"/>
      <c r="G520" s="72"/>
      <c r="H520" s="24"/>
      <c r="J520" s="70"/>
      <c r="K520" s="72"/>
      <c r="L520" s="75"/>
      <c r="M520" s="75"/>
      <c r="N520" s="76"/>
      <c r="O520" s="70"/>
      <c r="P520" s="70"/>
      <c r="Q520" s="17"/>
      <c r="R520" s="16"/>
      <c r="S520" s="72"/>
      <c r="T520" s="77"/>
    </row>
    <row r="521" spans="1:20" ht="13.2">
      <c r="A521" s="2"/>
      <c r="B521" s="69" t="s">
        <v>716</v>
      </c>
      <c r="C521" s="77"/>
      <c r="D521" s="16"/>
      <c r="E521" s="72"/>
      <c r="F521" s="70"/>
      <c r="G521" s="72"/>
      <c r="H521" s="24"/>
      <c r="J521" s="70"/>
      <c r="K521" s="72"/>
      <c r="L521" s="75"/>
      <c r="M521" s="75"/>
      <c r="N521" s="76"/>
      <c r="O521" s="70"/>
      <c r="P521" s="70"/>
      <c r="Q521" s="17"/>
      <c r="R521" s="16"/>
      <c r="S521" s="72"/>
      <c r="T521" s="77"/>
    </row>
    <row r="522" spans="1:20" ht="13.2">
      <c r="A522" s="2"/>
      <c r="B522" s="69" t="s">
        <v>717</v>
      </c>
      <c r="C522" s="77"/>
      <c r="D522" s="16"/>
      <c r="E522" s="72"/>
      <c r="F522" s="70"/>
      <c r="G522" s="72"/>
      <c r="H522" s="24"/>
      <c r="J522" s="70"/>
      <c r="K522" s="72"/>
      <c r="L522" s="75"/>
      <c r="M522" s="75"/>
      <c r="N522" s="76"/>
      <c r="O522" s="70"/>
      <c r="P522" s="70"/>
      <c r="Q522" s="17"/>
      <c r="R522" s="16"/>
      <c r="S522" s="72"/>
      <c r="T522" s="77"/>
    </row>
    <row r="523" spans="1:20" ht="13.2">
      <c r="A523" s="2"/>
      <c r="B523" s="69" t="s">
        <v>718</v>
      </c>
      <c r="C523" s="77"/>
      <c r="D523" s="16"/>
      <c r="E523" s="72"/>
      <c r="F523" s="70"/>
      <c r="G523" s="72"/>
      <c r="H523" s="24"/>
      <c r="J523" s="70"/>
      <c r="K523" s="72"/>
      <c r="L523" s="75"/>
      <c r="M523" s="75"/>
      <c r="N523" s="76"/>
      <c r="O523" s="70"/>
      <c r="P523" s="70"/>
      <c r="Q523" s="17"/>
      <c r="R523" s="16"/>
      <c r="S523" s="72"/>
      <c r="T523" s="77"/>
    </row>
    <row r="524" spans="1:20" ht="13.2">
      <c r="A524" s="2"/>
      <c r="B524" s="69" t="s">
        <v>719</v>
      </c>
      <c r="C524" s="77"/>
      <c r="D524" s="16"/>
      <c r="E524" s="72"/>
      <c r="F524" s="70"/>
      <c r="G524" s="72"/>
      <c r="H524" s="24"/>
      <c r="J524" s="70"/>
      <c r="K524" s="72"/>
      <c r="L524" s="75"/>
      <c r="M524" s="75"/>
      <c r="N524" s="76"/>
      <c r="O524" s="70"/>
      <c r="P524" s="70"/>
      <c r="Q524" s="17"/>
      <c r="R524" s="16"/>
      <c r="S524" s="72"/>
      <c r="T524" s="77"/>
    </row>
    <row r="525" spans="1:20" ht="13.2">
      <c r="A525" s="2"/>
      <c r="B525" s="69" t="s">
        <v>720</v>
      </c>
      <c r="C525" s="77"/>
      <c r="D525" s="16"/>
      <c r="E525" s="72"/>
      <c r="F525" s="70"/>
      <c r="G525" s="72"/>
      <c r="H525" s="24"/>
      <c r="J525" s="70"/>
      <c r="K525" s="72"/>
      <c r="L525" s="75"/>
      <c r="M525" s="75"/>
      <c r="N525" s="76"/>
      <c r="O525" s="70"/>
      <c r="P525" s="70"/>
      <c r="Q525" s="17"/>
      <c r="R525" s="16"/>
      <c r="S525" s="72"/>
      <c r="T525" s="77"/>
    </row>
    <row r="526" spans="1:20" ht="13.2">
      <c r="A526" s="2"/>
      <c r="B526" s="69" t="s">
        <v>721</v>
      </c>
      <c r="C526" s="77"/>
      <c r="D526" s="16"/>
      <c r="E526" s="72"/>
      <c r="F526" s="70"/>
      <c r="G526" s="72"/>
      <c r="H526" s="24"/>
      <c r="J526" s="70"/>
      <c r="K526" s="72"/>
      <c r="L526" s="75"/>
      <c r="M526" s="75"/>
      <c r="N526" s="76"/>
      <c r="O526" s="70"/>
      <c r="P526" s="70"/>
      <c r="Q526" s="17"/>
      <c r="R526" s="16"/>
      <c r="S526" s="72"/>
      <c r="T526" s="77"/>
    </row>
    <row r="527" spans="1:20" ht="13.2">
      <c r="A527" s="2"/>
      <c r="B527" s="69" t="s">
        <v>722</v>
      </c>
      <c r="C527" s="77"/>
      <c r="D527" s="16"/>
      <c r="E527" s="72"/>
      <c r="F527" s="70"/>
      <c r="G527" s="72"/>
      <c r="H527" s="24"/>
      <c r="J527" s="70"/>
      <c r="K527" s="72"/>
      <c r="L527" s="75"/>
      <c r="M527" s="75"/>
      <c r="N527" s="76"/>
      <c r="O527" s="70"/>
      <c r="P527" s="70"/>
      <c r="Q527" s="17"/>
      <c r="R527" s="16"/>
      <c r="S527" s="72"/>
      <c r="T527" s="77"/>
    </row>
    <row r="528" spans="1:20" ht="13.2">
      <c r="A528" s="2"/>
      <c r="B528" s="69" t="s">
        <v>723</v>
      </c>
      <c r="C528" s="77"/>
      <c r="D528" s="16"/>
      <c r="E528" s="72"/>
      <c r="F528" s="70"/>
      <c r="G528" s="72"/>
      <c r="H528" s="24"/>
      <c r="J528" s="70"/>
      <c r="K528" s="72"/>
      <c r="L528" s="75"/>
      <c r="M528" s="75"/>
      <c r="N528" s="76"/>
      <c r="O528" s="70"/>
      <c r="P528" s="70"/>
      <c r="Q528" s="17"/>
      <c r="R528" s="16"/>
      <c r="S528" s="72"/>
      <c r="T528" s="77"/>
    </row>
    <row r="529" spans="1:20" ht="13.2">
      <c r="A529" s="2"/>
      <c r="B529" s="69" t="s">
        <v>724</v>
      </c>
      <c r="C529" s="77"/>
      <c r="D529" s="16"/>
      <c r="E529" s="72"/>
      <c r="F529" s="70"/>
      <c r="G529" s="72"/>
      <c r="H529" s="24"/>
      <c r="J529" s="70"/>
      <c r="K529" s="72"/>
      <c r="L529" s="75"/>
      <c r="M529" s="75"/>
      <c r="N529" s="76"/>
      <c r="O529" s="70"/>
      <c r="P529" s="70"/>
      <c r="Q529" s="17"/>
      <c r="R529" s="16"/>
      <c r="S529" s="72"/>
      <c r="T529" s="77"/>
    </row>
    <row r="530" spans="1:20" ht="13.2">
      <c r="A530" s="2"/>
      <c r="B530" s="69" t="s">
        <v>536</v>
      </c>
      <c r="C530" s="77"/>
      <c r="D530" s="16"/>
      <c r="E530" s="72"/>
      <c r="F530" s="70"/>
      <c r="G530" s="72"/>
      <c r="H530" s="24"/>
      <c r="J530" s="70"/>
      <c r="K530" s="72"/>
      <c r="L530" s="75"/>
      <c r="M530" s="75"/>
      <c r="N530" s="76"/>
      <c r="O530" s="70"/>
      <c r="P530" s="70"/>
      <c r="Q530" s="17"/>
      <c r="R530" s="16"/>
      <c r="S530" s="72"/>
      <c r="T530" s="77"/>
    </row>
    <row r="531" spans="1:20" ht="13.2">
      <c r="A531" s="2"/>
      <c r="B531" s="69" t="s">
        <v>725</v>
      </c>
      <c r="C531" s="77"/>
      <c r="D531" s="16"/>
      <c r="E531" s="72"/>
      <c r="F531" s="70"/>
      <c r="G531" s="72"/>
      <c r="H531" s="24"/>
      <c r="J531" s="70"/>
      <c r="K531" s="72"/>
      <c r="L531" s="75"/>
      <c r="M531" s="75"/>
      <c r="N531" s="76"/>
      <c r="O531" s="70"/>
      <c r="P531" s="70"/>
      <c r="Q531" s="17"/>
      <c r="R531" s="16"/>
      <c r="S531" s="72"/>
      <c r="T531" s="77"/>
    </row>
    <row r="532" spans="1:20" ht="13.2">
      <c r="A532" s="2"/>
      <c r="B532" s="69" t="s">
        <v>726</v>
      </c>
      <c r="C532" s="77"/>
      <c r="D532" s="16"/>
      <c r="E532" s="72"/>
      <c r="F532" s="70"/>
      <c r="G532" s="72"/>
      <c r="H532" s="24"/>
      <c r="J532" s="70"/>
      <c r="K532" s="72"/>
      <c r="L532" s="75"/>
      <c r="M532" s="75"/>
      <c r="N532" s="76"/>
      <c r="O532" s="70"/>
      <c r="P532" s="70"/>
      <c r="Q532" s="17"/>
      <c r="R532" s="16"/>
      <c r="S532" s="72"/>
      <c r="T532" s="77"/>
    </row>
    <row r="533" spans="1:20" ht="13.2">
      <c r="A533" s="2"/>
      <c r="B533" s="69" t="s">
        <v>727</v>
      </c>
      <c r="C533" s="77"/>
      <c r="D533" s="16"/>
      <c r="E533" s="72"/>
      <c r="F533" s="70"/>
      <c r="G533" s="72"/>
      <c r="H533" s="24"/>
      <c r="J533" s="70"/>
      <c r="K533" s="72"/>
      <c r="L533" s="75"/>
      <c r="M533" s="75"/>
      <c r="N533" s="76"/>
      <c r="O533" s="70"/>
      <c r="P533" s="70"/>
      <c r="Q533" s="17"/>
      <c r="R533" s="16"/>
      <c r="S533" s="72"/>
      <c r="T533" s="77"/>
    </row>
    <row r="534" spans="1:20" ht="13.2">
      <c r="A534" s="2"/>
      <c r="B534" s="69" t="s">
        <v>728</v>
      </c>
      <c r="C534" s="77"/>
      <c r="D534" s="16"/>
      <c r="E534" s="72"/>
      <c r="F534" s="70"/>
      <c r="G534" s="72"/>
      <c r="H534" s="24"/>
      <c r="J534" s="70"/>
      <c r="K534" s="72"/>
      <c r="L534" s="75"/>
      <c r="M534" s="75"/>
      <c r="N534" s="76"/>
      <c r="O534" s="70"/>
      <c r="P534" s="70"/>
      <c r="Q534" s="17"/>
      <c r="R534" s="16"/>
      <c r="S534" s="72"/>
      <c r="T534" s="77"/>
    </row>
    <row r="535" spans="1:20" ht="13.2">
      <c r="A535" s="2"/>
      <c r="B535" s="69" t="s">
        <v>729</v>
      </c>
      <c r="C535" s="77"/>
      <c r="D535" s="16"/>
      <c r="E535" s="72"/>
      <c r="F535" s="70"/>
      <c r="G535" s="72"/>
      <c r="H535" s="24"/>
      <c r="J535" s="70"/>
      <c r="K535" s="72"/>
      <c r="L535" s="75"/>
      <c r="M535" s="75"/>
      <c r="N535" s="76"/>
      <c r="O535" s="70"/>
      <c r="P535" s="70"/>
      <c r="Q535" s="17"/>
      <c r="R535" s="16"/>
      <c r="S535" s="72"/>
      <c r="T535" s="77"/>
    </row>
    <row r="536" spans="1:20" ht="13.2">
      <c r="A536" s="2"/>
      <c r="B536" s="69" t="s">
        <v>344</v>
      </c>
      <c r="C536" s="77"/>
      <c r="D536" s="16"/>
      <c r="E536" s="72"/>
      <c r="F536" s="70"/>
      <c r="G536" s="72"/>
      <c r="H536" s="24"/>
      <c r="J536" s="70"/>
      <c r="K536" s="72"/>
      <c r="L536" s="75"/>
      <c r="M536" s="75"/>
      <c r="N536" s="76"/>
      <c r="O536" s="70"/>
      <c r="P536" s="70"/>
      <c r="Q536" s="17"/>
      <c r="R536" s="16"/>
      <c r="S536" s="72"/>
      <c r="T536" s="77"/>
    </row>
    <row r="537" spans="1:20" ht="13.2">
      <c r="A537" s="2"/>
      <c r="B537" s="69" t="s">
        <v>730</v>
      </c>
      <c r="C537" s="77"/>
      <c r="D537" s="16"/>
      <c r="E537" s="72"/>
      <c r="F537" s="70"/>
      <c r="G537" s="72"/>
      <c r="H537" s="24"/>
      <c r="J537" s="70"/>
      <c r="K537" s="72"/>
      <c r="L537" s="75"/>
      <c r="M537" s="75"/>
      <c r="N537" s="76"/>
      <c r="O537" s="70"/>
      <c r="P537" s="70"/>
      <c r="Q537" s="17"/>
      <c r="R537" s="16"/>
      <c r="S537" s="72"/>
      <c r="T537" s="77"/>
    </row>
    <row r="538" spans="1:20" ht="13.2">
      <c r="A538" s="2"/>
      <c r="B538" s="69" t="s">
        <v>731</v>
      </c>
      <c r="C538" s="77"/>
      <c r="D538" s="16"/>
      <c r="E538" s="72"/>
      <c r="F538" s="70"/>
      <c r="G538" s="72"/>
      <c r="H538" s="24"/>
      <c r="J538" s="70"/>
      <c r="K538" s="72"/>
      <c r="L538" s="75"/>
      <c r="M538" s="75"/>
      <c r="N538" s="76"/>
      <c r="O538" s="70"/>
      <c r="P538" s="70"/>
      <c r="Q538" s="17"/>
      <c r="R538" s="16"/>
      <c r="S538" s="72"/>
      <c r="T538" s="77"/>
    </row>
    <row r="539" spans="1:20" ht="13.2">
      <c r="A539" s="2"/>
      <c r="B539" s="69" t="s">
        <v>732</v>
      </c>
      <c r="C539" s="77"/>
      <c r="D539" s="16"/>
      <c r="E539" s="72"/>
      <c r="F539" s="70"/>
      <c r="G539" s="72"/>
      <c r="H539" s="24"/>
      <c r="J539" s="70"/>
      <c r="K539" s="72"/>
      <c r="L539" s="75"/>
      <c r="M539" s="75"/>
      <c r="N539" s="76"/>
      <c r="O539" s="70"/>
      <c r="P539" s="70"/>
      <c r="Q539" s="17"/>
      <c r="R539" s="16"/>
      <c r="S539" s="72"/>
      <c r="T539" s="77"/>
    </row>
    <row r="540" spans="1:20" ht="13.2">
      <c r="A540" s="2"/>
      <c r="B540" s="69" t="s">
        <v>733</v>
      </c>
      <c r="C540" s="77"/>
      <c r="D540" s="16"/>
      <c r="E540" s="72"/>
      <c r="F540" s="70"/>
      <c r="G540" s="72"/>
      <c r="H540" s="24"/>
      <c r="J540" s="70"/>
      <c r="K540" s="72"/>
      <c r="L540" s="75"/>
      <c r="M540" s="75"/>
      <c r="N540" s="76"/>
      <c r="O540" s="70"/>
      <c r="P540" s="70"/>
      <c r="Q540" s="17"/>
      <c r="R540" s="16"/>
      <c r="S540" s="72"/>
      <c r="T540" s="77"/>
    </row>
    <row r="541" spans="1:20" ht="13.2">
      <c r="A541" s="2"/>
      <c r="B541" s="69" t="s">
        <v>546</v>
      </c>
      <c r="C541" s="77"/>
      <c r="D541" s="16"/>
      <c r="E541" s="72"/>
      <c r="F541" s="70"/>
      <c r="G541" s="72"/>
      <c r="H541" s="24"/>
      <c r="J541" s="70"/>
      <c r="K541" s="72"/>
      <c r="L541" s="75"/>
      <c r="M541" s="75"/>
      <c r="N541" s="76"/>
      <c r="O541" s="70"/>
      <c r="P541" s="70"/>
      <c r="Q541" s="17"/>
      <c r="R541" s="16"/>
      <c r="S541" s="72"/>
      <c r="T541" s="77"/>
    </row>
    <row r="542" spans="1:20" ht="13.2">
      <c r="A542" s="2"/>
      <c r="B542" s="69" t="s">
        <v>734</v>
      </c>
      <c r="C542" s="77"/>
      <c r="D542" s="16"/>
      <c r="E542" s="72"/>
      <c r="F542" s="70"/>
      <c r="G542" s="72"/>
      <c r="H542" s="24"/>
      <c r="J542" s="70"/>
      <c r="K542" s="72"/>
      <c r="L542" s="75"/>
      <c r="M542" s="75"/>
      <c r="N542" s="76"/>
      <c r="O542" s="70"/>
      <c r="P542" s="70"/>
      <c r="Q542" s="17"/>
      <c r="R542" s="16"/>
      <c r="S542" s="72"/>
      <c r="T542" s="77"/>
    </row>
    <row r="543" spans="1:20" ht="13.2">
      <c r="A543" s="2"/>
      <c r="B543" s="69" t="s">
        <v>735</v>
      </c>
      <c r="C543" s="77"/>
      <c r="D543" s="16"/>
      <c r="E543" s="72"/>
      <c r="F543" s="70"/>
      <c r="G543" s="72"/>
      <c r="H543" s="24"/>
      <c r="J543" s="70"/>
      <c r="K543" s="72"/>
      <c r="L543" s="75"/>
      <c r="M543" s="75"/>
      <c r="N543" s="76"/>
      <c r="O543" s="70"/>
      <c r="P543" s="70"/>
      <c r="Q543" s="17"/>
      <c r="R543" s="16"/>
      <c r="S543" s="72"/>
      <c r="T543" s="77"/>
    </row>
    <row r="544" spans="1:20" ht="13.2">
      <c r="A544" s="2"/>
      <c r="B544" s="69" t="s">
        <v>736</v>
      </c>
      <c r="C544" s="77"/>
      <c r="D544" s="16"/>
      <c r="E544" s="72"/>
      <c r="F544" s="70"/>
      <c r="G544" s="72"/>
      <c r="H544" s="24"/>
      <c r="J544" s="70"/>
      <c r="K544" s="72"/>
      <c r="L544" s="75"/>
      <c r="M544" s="75"/>
      <c r="N544" s="76"/>
      <c r="O544" s="70"/>
      <c r="P544" s="70"/>
      <c r="Q544" s="17"/>
      <c r="R544" s="16"/>
      <c r="S544" s="72"/>
      <c r="T544" s="77"/>
    </row>
    <row r="545" spans="1:20" ht="13.2">
      <c r="A545" s="2"/>
      <c r="B545" s="69" t="s">
        <v>737</v>
      </c>
      <c r="C545" s="77"/>
      <c r="D545" s="16"/>
      <c r="E545" s="72"/>
      <c r="F545" s="70"/>
      <c r="G545" s="72"/>
      <c r="H545" s="24"/>
      <c r="J545" s="70"/>
      <c r="K545" s="72"/>
      <c r="L545" s="75"/>
      <c r="M545" s="75"/>
      <c r="N545" s="76"/>
      <c r="O545" s="70"/>
      <c r="P545" s="70"/>
      <c r="Q545" s="17"/>
      <c r="R545" s="16"/>
      <c r="S545" s="72"/>
      <c r="T545" s="77"/>
    </row>
    <row r="546" spans="1:20" ht="13.2">
      <c r="A546" s="2"/>
      <c r="B546" s="69" t="s">
        <v>738</v>
      </c>
      <c r="C546" s="77"/>
      <c r="D546" s="16"/>
      <c r="E546" s="72"/>
      <c r="F546" s="70"/>
      <c r="G546" s="72"/>
      <c r="H546" s="24"/>
      <c r="J546" s="70"/>
      <c r="K546" s="72"/>
      <c r="L546" s="75"/>
      <c r="M546" s="75"/>
      <c r="N546" s="76"/>
      <c r="O546" s="70"/>
      <c r="P546" s="70"/>
      <c r="Q546" s="17"/>
      <c r="R546" s="16"/>
      <c r="S546" s="72"/>
      <c r="T546" s="77"/>
    </row>
    <row r="547" spans="1:20" ht="13.2">
      <c r="A547" s="2"/>
      <c r="B547" s="69" t="s">
        <v>739</v>
      </c>
      <c r="C547" s="77"/>
      <c r="D547" s="16"/>
      <c r="E547" s="72"/>
      <c r="F547" s="70"/>
      <c r="G547" s="72"/>
      <c r="H547" s="24"/>
      <c r="J547" s="70"/>
      <c r="K547" s="72"/>
      <c r="L547" s="75"/>
      <c r="M547" s="75"/>
      <c r="N547" s="76"/>
      <c r="O547" s="70"/>
      <c r="P547" s="70"/>
      <c r="Q547" s="17"/>
      <c r="R547" s="16"/>
      <c r="S547" s="72"/>
      <c r="T547" s="77"/>
    </row>
    <row r="548" spans="1:20" ht="13.2">
      <c r="A548" s="2"/>
      <c r="B548" s="69" t="s">
        <v>740</v>
      </c>
      <c r="C548" s="77"/>
      <c r="D548" s="16"/>
      <c r="E548" s="72"/>
      <c r="F548" s="70"/>
      <c r="G548" s="72"/>
      <c r="H548" s="24"/>
      <c r="J548" s="70"/>
      <c r="K548" s="72"/>
      <c r="L548" s="75"/>
      <c r="M548" s="75"/>
      <c r="N548" s="76"/>
      <c r="O548" s="70"/>
      <c r="P548" s="70"/>
      <c r="Q548" s="17"/>
      <c r="R548" s="16"/>
      <c r="S548" s="72"/>
      <c r="T548" s="77"/>
    </row>
    <row r="549" spans="1:20" ht="13.2">
      <c r="A549" s="2"/>
      <c r="B549" s="69" t="s">
        <v>741</v>
      </c>
      <c r="C549" s="77"/>
      <c r="D549" s="16"/>
      <c r="E549" s="72"/>
      <c r="F549" s="70"/>
      <c r="G549" s="72"/>
      <c r="H549" s="24"/>
      <c r="J549" s="70"/>
      <c r="K549" s="72"/>
      <c r="L549" s="75"/>
      <c r="M549" s="75"/>
      <c r="N549" s="76"/>
      <c r="O549" s="70"/>
      <c r="P549" s="70"/>
      <c r="Q549" s="17"/>
      <c r="R549" s="16"/>
      <c r="S549" s="72"/>
      <c r="T549" s="77"/>
    </row>
    <row r="550" spans="1:20" ht="13.2">
      <c r="A550" s="2"/>
      <c r="B550" s="69" t="s">
        <v>742</v>
      </c>
      <c r="C550" s="77"/>
      <c r="D550" s="16"/>
      <c r="E550" s="72"/>
      <c r="F550" s="70"/>
      <c r="G550" s="72"/>
      <c r="H550" s="24"/>
      <c r="J550" s="70"/>
      <c r="K550" s="72"/>
      <c r="L550" s="75"/>
      <c r="M550" s="75"/>
      <c r="N550" s="76"/>
      <c r="O550" s="70"/>
      <c r="P550" s="70"/>
      <c r="Q550" s="17"/>
      <c r="R550" s="16"/>
      <c r="S550" s="72"/>
      <c r="T550" s="77"/>
    </row>
    <row r="551" spans="1:20" ht="13.2">
      <c r="A551" s="2"/>
      <c r="B551" s="69" t="s">
        <v>743</v>
      </c>
      <c r="C551" s="77"/>
      <c r="D551" s="16"/>
      <c r="E551" s="72"/>
      <c r="F551" s="70"/>
      <c r="G551" s="72"/>
      <c r="H551" s="24"/>
      <c r="J551" s="70"/>
      <c r="K551" s="72"/>
      <c r="L551" s="75"/>
      <c r="M551" s="75"/>
      <c r="N551" s="76"/>
      <c r="O551" s="70"/>
      <c r="P551" s="70"/>
      <c r="Q551" s="17"/>
      <c r="R551" s="16"/>
      <c r="S551" s="72"/>
      <c r="T551" s="77"/>
    </row>
    <row r="552" spans="1:20" ht="13.2">
      <c r="A552" s="2"/>
      <c r="B552" s="69" t="s">
        <v>360</v>
      </c>
      <c r="C552" s="77"/>
      <c r="D552" s="16"/>
      <c r="E552" s="72"/>
      <c r="F552" s="70"/>
      <c r="G552" s="72"/>
      <c r="H552" s="24"/>
      <c r="J552" s="70"/>
      <c r="K552" s="72"/>
      <c r="L552" s="75"/>
      <c r="M552" s="75"/>
      <c r="N552" s="76"/>
      <c r="O552" s="70"/>
      <c r="P552" s="70"/>
      <c r="Q552" s="17"/>
      <c r="R552" s="16"/>
      <c r="S552" s="72"/>
      <c r="T552" s="77"/>
    </row>
    <row r="553" spans="1:20" ht="13.2">
      <c r="A553" s="2"/>
      <c r="B553" s="69" t="s">
        <v>744</v>
      </c>
      <c r="C553" s="77"/>
      <c r="D553" s="16"/>
      <c r="E553" s="72"/>
      <c r="F553" s="70"/>
      <c r="G553" s="72"/>
      <c r="H553" s="24"/>
      <c r="J553" s="70"/>
      <c r="K553" s="72"/>
      <c r="L553" s="75"/>
      <c r="M553" s="75"/>
      <c r="N553" s="76"/>
      <c r="O553" s="70"/>
      <c r="P553" s="70"/>
      <c r="Q553" s="17"/>
      <c r="R553" s="16"/>
      <c r="S553" s="72"/>
      <c r="T553" s="77"/>
    </row>
    <row r="554" spans="1:20" ht="13.2">
      <c r="A554" s="2"/>
      <c r="B554" s="69" t="s">
        <v>745</v>
      </c>
      <c r="C554" s="77"/>
      <c r="D554" s="16"/>
      <c r="E554" s="72"/>
      <c r="F554" s="70"/>
      <c r="G554" s="72"/>
      <c r="H554" s="24"/>
      <c r="J554" s="70"/>
      <c r="K554" s="72"/>
      <c r="L554" s="75"/>
      <c r="M554" s="75"/>
      <c r="N554" s="76"/>
      <c r="O554" s="70"/>
      <c r="P554" s="70"/>
      <c r="Q554" s="17"/>
      <c r="R554" s="16"/>
      <c r="S554" s="72"/>
      <c r="T554" s="77"/>
    </row>
    <row r="555" spans="1:20" ht="13.2">
      <c r="A555" s="2"/>
      <c r="B555" s="69" t="s">
        <v>746</v>
      </c>
      <c r="C555" s="77"/>
      <c r="D555" s="16"/>
      <c r="E555" s="72"/>
      <c r="F555" s="70"/>
      <c r="G555" s="72"/>
      <c r="H555" s="24"/>
      <c r="J555" s="70"/>
      <c r="K555" s="72"/>
      <c r="L555" s="75"/>
      <c r="M555" s="75"/>
      <c r="N555" s="76"/>
      <c r="O555" s="70"/>
      <c r="P555" s="70"/>
      <c r="Q555" s="17"/>
      <c r="R555" s="16"/>
      <c r="S555" s="72"/>
      <c r="T555" s="77"/>
    </row>
    <row r="556" spans="1:20" ht="13.2">
      <c r="A556" s="2"/>
      <c r="B556" s="69" t="s">
        <v>747</v>
      </c>
      <c r="C556" s="77"/>
      <c r="D556" s="16"/>
      <c r="E556" s="72"/>
      <c r="F556" s="70"/>
      <c r="G556" s="72"/>
      <c r="H556" s="24"/>
      <c r="J556" s="70"/>
      <c r="K556" s="72"/>
      <c r="L556" s="75"/>
      <c r="M556" s="75"/>
      <c r="N556" s="76"/>
      <c r="O556" s="70"/>
      <c r="P556" s="70"/>
      <c r="Q556" s="17"/>
      <c r="R556" s="16"/>
      <c r="S556" s="72"/>
      <c r="T556" s="77"/>
    </row>
    <row r="557" spans="1:20" ht="13.2">
      <c r="A557" s="2"/>
      <c r="B557" s="69" t="s">
        <v>748</v>
      </c>
      <c r="C557" s="77"/>
      <c r="D557" s="16"/>
      <c r="E557" s="72"/>
      <c r="F557" s="70"/>
      <c r="G557" s="72"/>
      <c r="H557" s="24"/>
      <c r="J557" s="70"/>
      <c r="K557" s="72"/>
      <c r="L557" s="75"/>
      <c r="M557" s="75"/>
      <c r="N557" s="76"/>
      <c r="O557" s="70"/>
      <c r="P557" s="70"/>
      <c r="Q557" s="17"/>
      <c r="R557" s="16"/>
      <c r="S557" s="72"/>
      <c r="T557" s="77"/>
    </row>
    <row r="558" spans="1:20" ht="13.2">
      <c r="A558" s="2"/>
      <c r="B558" s="69" t="s">
        <v>749</v>
      </c>
      <c r="C558" s="77"/>
      <c r="D558" s="16"/>
      <c r="E558" s="72"/>
      <c r="F558" s="70"/>
      <c r="G558" s="72"/>
      <c r="H558" s="24"/>
      <c r="J558" s="70"/>
      <c r="K558" s="72"/>
      <c r="L558" s="75"/>
      <c r="M558" s="75"/>
      <c r="N558" s="76"/>
      <c r="O558" s="70"/>
      <c r="P558" s="70"/>
      <c r="Q558" s="17"/>
      <c r="R558" s="16"/>
      <c r="S558" s="72"/>
      <c r="T558" s="77"/>
    </row>
    <row r="559" spans="1:20" ht="13.2">
      <c r="A559" s="2"/>
      <c r="B559" s="69" t="s">
        <v>750</v>
      </c>
      <c r="C559" s="77"/>
      <c r="D559" s="16"/>
      <c r="E559" s="72"/>
      <c r="F559" s="70"/>
      <c r="G559" s="72"/>
      <c r="H559" s="24"/>
      <c r="J559" s="70"/>
      <c r="K559" s="72"/>
      <c r="L559" s="75"/>
      <c r="M559" s="75"/>
      <c r="N559" s="76"/>
      <c r="O559" s="70"/>
      <c r="P559" s="70"/>
      <c r="Q559" s="17"/>
      <c r="R559" s="16"/>
      <c r="S559" s="72"/>
      <c r="T559" s="77"/>
    </row>
    <row r="560" spans="1:20" ht="13.2">
      <c r="A560" s="2"/>
      <c r="B560" s="69" t="s">
        <v>564</v>
      </c>
      <c r="C560" s="77"/>
      <c r="D560" s="16"/>
      <c r="E560" s="72"/>
      <c r="F560" s="70"/>
      <c r="G560" s="72"/>
      <c r="H560" s="24"/>
      <c r="J560" s="70"/>
      <c r="K560" s="72"/>
      <c r="L560" s="75"/>
      <c r="M560" s="75"/>
      <c r="N560" s="76"/>
      <c r="O560" s="70"/>
      <c r="P560" s="70"/>
      <c r="Q560" s="17"/>
      <c r="R560" s="16"/>
      <c r="S560" s="72"/>
      <c r="T560" s="77"/>
    </row>
    <row r="561" spans="1:20" ht="13.2">
      <c r="A561" s="2"/>
      <c r="B561" s="69" t="s">
        <v>751</v>
      </c>
      <c r="C561" s="77"/>
      <c r="D561" s="16"/>
      <c r="E561" s="72"/>
      <c r="F561" s="70"/>
      <c r="G561" s="72"/>
      <c r="H561" s="24"/>
      <c r="J561" s="70"/>
      <c r="K561" s="72"/>
      <c r="L561" s="75"/>
      <c r="M561" s="75"/>
      <c r="N561" s="76"/>
      <c r="O561" s="70"/>
      <c r="P561" s="70"/>
      <c r="Q561" s="17"/>
      <c r="R561" s="16"/>
      <c r="S561" s="72"/>
      <c r="T561" s="77"/>
    </row>
    <row r="562" spans="1:20" ht="13.2">
      <c r="A562" s="2"/>
      <c r="B562" s="69" t="s">
        <v>370</v>
      </c>
      <c r="C562" s="77"/>
      <c r="D562" s="16"/>
      <c r="E562" s="72"/>
      <c r="F562" s="70"/>
      <c r="G562" s="72"/>
      <c r="H562" s="24"/>
      <c r="J562" s="70"/>
      <c r="K562" s="72"/>
      <c r="L562" s="75"/>
      <c r="M562" s="75"/>
      <c r="N562" s="76"/>
      <c r="O562" s="70"/>
      <c r="P562" s="70"/>
      <c r="Q562" s="17"/>
      <c r="R562" s="16"/>
      <c r="S562" s="72"/>
      <c r="T562" s="77"/>
    </row>
    <row r="563" spans="1:20" ht="13.2">
      <c r="A563" s="2"/>
      <c r="B563" s="69" t="s">
        <v>752</v>
      </c>
      <c r="C563" s="77"/>
      <c r="D563" s="16"/>
      <c r="E563" s="72"/>
      <c r="F563" s="70"/>
      <c r="G563" s="72"/>
      <c r="H563" s="24"/>
      <c r="J563" s="70"/>
      <c r="K563" s="72"/>
      <c r="L563" s="75"/>
      <c r="M563" s="75"/>
      <c r="N563" s="76"/>
      <c r="O563" s="70"/>
      <c r="P563" s="70"/>
      <c r="Q563" s="17"/>
      <c r="R563" s="16"/>
      <c r="S563" s="72"/>
      <c r="T563" s="77"/>
    </row>
    <row r="564" spans="1:20" ht="13.2">
      <c r="A564" s="2"/>
      <c r="B564" s="69" t="s">
        <v>753</v>
      </c>
      <c r="C564" s="77"/>
      <c r="D564" s="16"/>
      <c r="E564" s="72"/>
      <c r="F564" s="70"/>
      <c r="G564" s="72"/>
      <c r="H564" s="24"/>
      <c r="J564" s="70"/>
      <c r="K564" s="72"/>
      <c r="L564" s="75"/>
      <c r="M564" s="75"/>
      <c r="N564" s="76"/>
      <c r="O564" s="70"/>
      <c r="P564" s="70"/>
      <c r="Q564" s="17"/>
      <c r="R564" s="16"/>
      <c r="S564" s="72"/>
      <c r="T564" s="77"/>
    </row>
    <row r="565" spans="1:20" ht="13.2">
      <c r="A565" s="2"/>
      <c r="B565" s="69" t="s">
        <v>754</v>
      </c>
      <c r="C565" s="77"/>
      <c r="D565" s="16"/>
      <c r="E565" s="72"/>
      <c r="F565" s="70"/>
      <c r="G565" s="72"/>
      <c r="H565" s="24"/>
      <c r="J565" s="70"/>
      <c r="K565" s="72"/>
      <c r="L565" s="75"/>
      <c r="M565" s="75"/>
      <c r="N565" s="76"/>
      <c r="O565" s="70"/>
      <c r="P565" s="70"/>
      <c r="Q565" s="17"/>
      <c r="R565" s="16"/>
      <c r="S565" s="72"/>
      <c r="T565" s="77"/>
    </row>
    <row r="566" spans="1:20" ht="13.2">
      <c r="A566" s="2"/>
      <c r="B566" s="69" t="s">
        <v>755</v>
      </c>
      <c r="C566" s="77"/>
      <c r="D566" s="16"/>
      <c r="E566" s="72"/>
      <c r="F566" s="70"/>
      <c r="G566" s="72"/>
      <c r="H566" s="24"/>
      <c r="J566" s="70"/>
      <c r="K566" s="72"/>
      <c r="L566" s="75"/>
      <c r="M566" s="75"/>
      <c r="N566" s="76"/>
      <c r="O566" s="70"/>
      <c r="P566" s="70"/>
      <c r="Q566" s="17"/>
      <c r="R566" s="16"/>
      <c r="S566" s="72"/>
      <c r="T566" s="77"/>
    </row>
    <row r="567" spans="1:20" ht="13.2">
      <c r="A567" s="2"/>
      <c r="B567" s="69" t="s">
        <v>756</v>
      </c>
      <c r="C567" s="77"/>
      <c r="D567" s="16"/>
      <c r="E567" s="72"/>
      <c r="F567" s="70"/>
      <c r="G567" s="72"/>
      <c r="H567" s="24"/>
      <c r="J567" s="70"/>
      <c r="K567" s="72"/>
      <c r="L567" s="75"/>
      <c r="M567" s="75"/>
      <c r="N567" s="76"/>
      <c r="O567" s="70"/>
      <c r="P567" s="70"/>
      <c r="Q567" s="17"/>
      <c r="R567" s="16"/>
      <c r="S567" s="72"/>
      <c r="T567" s="77"/>
    </row>
    <row r="568" spans="1:20" ht="13.2">
      <c r="A568" s="2"/>
      <c r="B568" s="69" t="s">
        <v>757</v>
      </c>
      <c r="C568" s="77"/>
      <c r="D568" s="16"/>
      <c r="E568" s="72"/>
      <c r="F568" s="70"/>
      <c r="G568" s="72"/>
      <c r="H568" s="24"/>
      <c r="J568" s="70"/>
      <c r="K568" s="72"/>
      <c r="L568" s="75"/>
      <c r="M568" s="75"/>
      <c r="N568" s="76"/>
      <c r="O568" s="70"/>
      <c r="P568" s="70"/>
      <c r="Q568" s="17"/>
      <c r="R568" s="16"/>
      <c r="S568" s="72"/>
      <c r="T568" s="77"/>
    </row>
    <row r="569" spans="1:20" ht="13.2">
      <c r="A569" s="2"/>
      <c r="B569" s="69" t="s">
        <v>758</v>
      </c>
      <c r="C569" s="77"/>
      <c r="D569" s="16"/>
      <c r="E569" s="72"/>
      <c r="F569" s="70"/>
      <c r="G569" s="72"/>
      <c r="H569" s="24"/>
      <c r="J569" s="70"/>
      <c r="K569" s="72"/>
      <c r="L569" s="75"/>
      <c r="M569" s="75"/>
      <c r="N569" s="76"/>
      <c r="O569" s="70"/>
      <c r="P569" s="70"/>
      <c r="Q569" s="17"/>
      <c r="R569" s="16"/>
      <c r="S569" s="72"/>
      <c r="T569" s="77"/>
    </row>
    <row r="570" spans="1:20" ht="13.2">
      <c r="A570" s="2"/>
      <c r="B570" s="69" t="s">
        <v>759</v>
      </c>
      <c r="C570" s="77"/>
      <c r="D570" s="16"/>
      <c r="E570" s="72"/>
      <c r="F570" s="70"/>
      <c r="G570" s="72"/>
      <c r="H570" s="24"/>
      <c r="J570" s="70"/>
      <c r="K570" s="72"/>
      <c r="L570" s="75"/>
      <c r="M570" s="75"/>
      <c r="N570" s="76"/>
      <c r="O570" s="70"/>
      <c r="P570" s="70"/>
      <c r="Q570" s="17"/>
      <c r="R570" s="16"/>
      <c r="S570" s="72"/>
      <c r="T570" s="77"/>
    </row>
    <row r="571" spans="1:20" ht="13.2">
      <c r="A571" s="2"/>
      <c r="B571" s="69" t="s">
        <v>760</v>
      </c>
      <c r="C571" s="77"/>
      <c r="D571" s="16"/>
      <c r="E571" s="72"/>
      <c r="F571" s="70"/>
      <c r="G571" s="72"/>
      <c r="H571" s="24"/>
      <c r="J571" s="70"/>
      <c r="K571" s="72"/>
      <c r="L571" s="75"/>
      <c r="M571" s="75"/>
      <c r="N571" s="76"/>
      <c r="O571" s="70"/>
      <c r="P571" s="70"/>
      <c r="Q571" s="17"/>
      <c r="R571" s="16"/>
      <c r="S571" s="72"/>
      <c r="T571" s="77"/>
    </row>
    <row r="572" spans="1:20" ht="13.2">
      <c r="A572" s="2"/>
      <c r="B572" s="69" t="s">
        <v>761</v>
      </c>
      <c r="C572" s="77"/>
      <c r="D572" s="16"/>
      <c r="E572" s="72"/>
      <c r="F572" s="70"/>
      <c r="G572" s="72"/>
      <c r="H572" s="24"/>
      <c r="J572" s="70"/>
      <c r="K572" s="72"/>
      <c r="L572" s="75"/>
      <c r="M572" s="75"/>
      <c r="N572" s="76"/>
      <c r="O572" s="70"/>
      <c r="P572" s="70"/>
      <c r="Q572" s="17"/>
      <c r="R572" s="16"/>
      <c r="S572" s="72"/>
      <c r="T572" s="77"/>
    </row>
    <row r="573" spans="1:20" ht="13.2">
      <c r="A573" s="2"/>
      <c r="B573" s="69" t="s">
        <v>762</v>
      </c>
      <c r="C573" s="77"/>
      <c r="D573" s="16"/>
      <c r="E573" s="72"/>
      <c r="F573" s="70"/>
      <c r="G573" s="72"/>
      <c r="H573" s="24"/>
      <c r="J573" s="70"/>
      <c r="K573" s="72"/>
      <c r="L573" s="75"/>
      <c r="M573" s="75"/>
      <c r="N573" s="76"/>
      <c r="O573" s="70"/>
      <c r="P573" s="70"/>
      <c r="Q573" s="17"/>
      <c r="R573" s="16"/>
      <c r="S573" s="72"/>
      <c r="T573" s="77"/>
    </row>
    <row r="574" spans="1:20" ht="13.2">
      <c r="A574" s="2"/>
      <c r="B574" s="69" t="s">
        <v>763</v>
      </c>
      <c r="C574" s="77"/>
      <c r="D574" s="16"/>
      <c r="E574" s="72"/>
      <c r="F574" s="70"/>
      <c r="G574" s="72"/>
      <c r="H574" s="24"/>
      <c r="J574" s="70"/>
      <c r="K574" s="72"/>
      <c r="L574" s="75"/>
      <c r="M574" s="75"/>
      <c r="N574" s="76"/>
      <c r="O574" s="70"/>
      <c r="P574" s="70"/>
      <c r="Q574" s="17"/>
      <c r="R574" s="16"/>
      <c r="S574" s="72"/>
      <c r="T574" s="77"/>
    </row>
    <row r="575" spans="1:20" ht="13.2">
      <c r="A575" s="2"/>
      <c r="B575" s="69" t="s">
        <v>764</v>
      </c>
      <c r="C575" s="77"/>
      <c r="D575" s="16"/>
      <c r="E575" s="72"/>
      <c r="F575" s="70"/>
      <c r="G575" s="72"/>
      <c r="H575" s="24"/>
      <c r="J575" s="70"/>
      <c r="K575" s="72"/>
      <c r="L575" s="75"/>
      <c r="M575" s="75"/>
      <c r="N575" s="76"/>
      <c r="O575" s="70"/>
      <c r="P575" s="70"/>
      <c r="Q575" s="17"/>
      <c r="R575" s="16"/>
      <c r="S575" s="72"/>
      <c r="T575" s="77"/>
    </row>
    <row r="576" spans="1:20" ht="13.2">
      <c r="A576" s="2"/>
      <c r="B576" s="69" t="s">
        <v>579</v>
      </c>
      <c r="C576" s="77"/>
      <c r="D576" s="16"/>
      <c r="E576" s="72"/>
      <c r="F576" s="70"/>
      <c r="G576" s="72"/>
      <c r="H576" s="24"/>
      <c r="J576" s="70"/>
      <c r="K576" s="72"/>
      <c r="L576" s="75"/>
      <c r="M576" s="75"/>
      <c r="N576" s="76"/>
      <c r="O576" s="70"/>
      <c r="P576" s="70"/>
      <c r="Q576" s="17"/>
      <c r="R576" s="16"/>
      <c r="S576" s="72"/>
      <c r="T576" s="77"/>
    </row>
    <row r="577" spans="1:20" ht="13.2">
      <c r="A577" s="2"/>
      <c r="B577" s="69" t="s">
        <v>765</v>
      </c>
      <c r="C577" s="77"/>
      <c r="D577" s="16"/>
      <c r="E577" s="72"/>
      <c r="F577" s="70"/>
      <c r="G577" s="72"/>
      <c r="H577" s="24"/>
      <c r="J577" s="70"/>
      <c r="K577" s="72"/>
      <c r="L577" s="75"/>
      <c r="M577" s="75"/>
      <c r="N577" s="76"/>
      <c r="O577" s="70"/>
      <c r="P577" s="70"/>
      <c r="Q577" s="17"/>
      <c r="R577" s="16"/>
      <c r="S577" s="72"/>
      <c r="T577" s="77"/>
    </row>
    <row r="578" spans="1:20" ht="13.2">
      <c r="A578" s="2"/>
      <c r="B578" s="69" t="s">
        <v>766</v>
      </c>
      <c r="C578" s="77"/>
      <c r="D578" s="16"/>
      <c r="E578" s="72"/>
      <c r="F578" s="70"/>
      <c r="G578" s="72"/>
      <c r="H578" s="24"/>
      <c r="J578" s="70"/>
      <c r="K578" s="72"/>
      <c r="L578" s="75"/>
      <c r="M578" s="75"/>
      <c r="N578" s="76"/>
      <c r="O578" s="70"/>
      <c r="P578" s="70"/>
      <c r="Q578" s="17"/>
      <c r="R578" s="16"/>
      <c r="S578" s="72"/>
      <c r="T578" s="77"/>
    </row>
    <row r="579" spans="1:20" ht="13.2">
      <c r="A579" s="2"/>
      <c r="B579" s="69" t="s">
        <v>767</v>
      </c>
      <c r="C579" s="77"/>
      <c r="D579" s="16"/>
      <c r="E579" s="72"/>
      <c r="F579" s="70"/>
      <c r="G579" s="72"/>
      <c r="H579" s="24"/>
      <c r="J579" s="70"/>
      <c r="K579" s="72"/>
      <c r="L579" s="75"/>
      <c r="M579" s="75"/>
      <c r="N579" s="76"/>
      <c r="O579" s="70"/>
      <c r="P579" s="70"/>
      <c r="Q579" s="17"/>
      <c r="R579" s="16"/>
      <c r="S579" s="72"/>
      <c r="T579" s="77"/>
    </row>
    <row r="580" spans="1:20" ht="13.2">
      <c r="A580" s="2"/>
      <c r="B580" s="69" t="s">
        <v>768</v>
      </c>
      <c r="C580" s="77"/>
      <c r="D580" s="16"/>
      <c r="E580" s="72"/>
      <c r="F580" s="70"/>
      <c r="G580" s="72"/>
      <c r="H580" s="24"/>
      <c r="J580" s="70"/>
      <c r="K580" s="72"/>
      <c r="L580" s="75"/>
      <c r="M580" s="75"/>
      <c r="N580" s="76"/>
      <c r="O580" s="70"/>
      <c r="P580" s="70"/>
      <c r="Q580" s="17"/>
      <c r="R580" s="16"/>
      <c r="S580" s="72"/>
      <c r="T580" s="77"/>
    </row>
    <row r="581" spans="1:20" ht="13.2">
      <c r="A581" s="2"/>
      <c r="B581" s="69" t="s">
        <v>769</v>
      </c>
      <c r="C581" s="77"/>
      <c r="D581" s="16"/>
      <c r="E581" s="72"/>
      <c r="F581" s="70"/>
      <c r="G581" s="72"/>
      <c r="H581" s="24"/>
      <c r="J581" s="70"/>
      <c r="K581" s="72"/>
      <c r="L581" s="75"/>
      <c r="M581" s="75"/>
      <c r="N581" s="76"/>
      <c r="O581" s="70"/>
      <c r="P581" s="70"/>
      <c r="Q581" s="17"/>
      <c r="R581" s="16"/>
      <c r="S581" s="72"/>
      <c r="T581" s="77"/>
    </row>
    <row r="582" spans="1:20" ht="13.2">
      <c r="A582" s="2"/>
      <c r="B582" s="69" t="s">
        <v>770</v>
      </c>
      <c r="C582" s="77"/>
      <c r="D582" s="16"/>
      <c r="E582" s="72"/>
      <c r="F582" s="70"/>
      <c r="G582" s="72"/>
      <c r="H582" s="24"/>
      <c r="J582" s="70"/>
      <c r="K582" s="72"/>
      <c r="L582" s="75"/>
      <c r="M582" s="75"/>
      <c r="N582" s="76"/>
      <c r="O582" s="70"/>
      <c r="P582" s="70"/>
      <c r="Q582" s="17"/>
      <c r="R582" s="16"/>
      <c r="S582" s="72"/>
      <c r="T582" s="77"/>
    </row>
    <row r="583" spans="1:20" ht="13.2">
      <c r="A583" s="2"/>
      <c r="B583" s="69" t="s">
        <v>771</v>
      </c>
      <c r="C583" s="77"/>
      <c r="D583" s="16"/>
      <c r="E583" s="72"/>
      <c r="F583" s="70"/>
      <c r="G583" s="72"/>
      <c r="H583" s="24"/>
      <c r="J583" s="70"/>
      <c r="K583" s="72"/>
      <c r="L583" s="75"/>
      <c r="M583" s="75"/>
      <c r="N583" s="76"/>
      <c r="O583" s="70"/>
      <c r="P583" s="70"/>
      <c r="Q583" s="17"/>
      <c r="R583" s="16"/>
      <c r="S583" s="72"/>
      <c r="T583" s="77"/>
    </row>
    <row r="584" spans="1:20" ht="13.2">
      <c r="A584" s="2"/>
      <c r="B584" s="69" t="s">
        <v>772</v>
      </c>
      <c r="C584" s="77"/>
      <c r="D584" s="16"/>
      <c r="E584" s="72"/>
      <c r="F584" s="70"/>
      <c r="G584" s="72"/>
      <c r="H584" s="24"/>
      <c r="J584" s="70"/>
      <c r="K584" s="72"/>
      <c r="L584" s="75"/>
      <c r="M584" s="75"/>
      <c r="N584" s="76"/>
      <c r="O584" s="70"/>
      <c r="P584" s="70"/>
      <c r="Q584" s="17"/>
      <c r="R584" s="16"/>
      <c r="S584" s="72"/>
      <c r="T584" s="77"/>
    </row>
    <row r="585" spans="1:20" ht="13.2">
      <c r="A585" s="2"/>
      <c r="B585" s="69" t="s">
        <v>773</v>
      </c>
      <c r="C585" s="77"/>
      <c r="D585" s="16"/>
      <c r="E585" s="72"/>
      <c r="F585" s="70"/>
      <c r="G585" s="72"/>
      <c r="H585" s="24"/>
      <c r="J585" s="70"/>
      <c r="K585" s="72"/>
      <c r="L585" s="75"/>
      <c r="M585" s="75"/>
      <c r="N585" s="76"/>
      <c r="O585" s="70"/>
      <c r="P585" s="70"/>
      <c r="Q585" s="17"/>
      <c r="R585" s="16"/>
      <c r="S585" s="72"/>
      <c r="T585" s="77"/>
    </row>
    <row r="586" spans="1:20" ht="13.2">
      <c r="A586" s="2"/>
      <c r="B586" s="69" t="s">
        <v>394</v>
      </c>
      <c r="C586" s="77"/>
      <c r="D586" s="16"/>
      <c r="E586" s="72"/>
      <c r="F586" s="70"/>
      <c r="G586" s="72"/>
      <c r="H586" s="24"/>
      <c r="J586" s="70"/>
      <c r="K586" s="72"/>
      <c r="L586" s="75"/>
      <c r="M586" s="75"/>
      <c r="N586" s="76"/>
      <c r="O586" s="70"/>
      <c r="P586" s="70"/>
      <c r="Q586" s="17"/>
      <c r="R586" s="16"/>
      <c r="S586" s="72"/>
      <c r="T586" s="77"/>
    </row>
    <row r="587" spans="1:20" ht="13.2">
      <c r="A587" s="2"/>
      <c r="B587" s="69" t="s">
        <v>774</v>
      </c>
      <c r="C587" s="77"/>
      <c r="D587" s="16"/>
      <c r="E587" s="72"/>
      <c r="F587" s="70"/>
      <c r="G587" s="72"/>
      <c r="H587" s="24"/>
      <c r="J587" s="70"/>
      <c r="K587" s="72"/>
      <c r="L587" s="75"/>
      <c r="M587" s="75"/>
      <c r="N587" s="76"/>
      <c r="O587" s="70"/>
      <c r="P587" s="70"/>
      <c r="Q587" s="17"/>
      <c r="R587" s="16"/>
      <c r="S587" s="72"/>
      <c r="T587" s="77"/>
    </row>
    <row r="588" spans="1:20" ht="13.2">
      <c r="A588" s="2"/>
      <c r="B588" s="69" t="s">
        <v>775</v>
      </c>
      <c r="C588" s="77"/>
      <c r="D588" s="16"/>
      <c r="E588" s="72"/>
      <c r="F588" s="70"/>
      <c r="G588" s="72"/>
      <c r="H588" s="24"/>
      <c r="J588" s="70"/>
      <c r="K588" s="72"/>
      <c r="L588" s="75"/>
      <c r="M588" s="75"/>
      <c r="N588" s="76"/>
      <c r="O588" s="70"/>
      <c r="P588" s="70"/>
      <c r="Q588" s="17"/>
      <c r="R588" s="16"/>
      <c r="S588" s="72"/>
      <c r="T588" s="77"/>
    </row>
    <row r="589" spans="1:20" ht="13.2">
      <c r="A589" s="2"/>
      <c r="B589" s="69" t="s">
        <v>776</v>
      </c>
      <c r="C589" s="77"/>
      <c r="D589" s="16"/>
      <c r="E589" s="72"/>
      <c r="F589" s="70"/>
      <c r="G589" s="72"/>
      <c r="H589" s="24"/>
      <c r="J589" s="70"/>
      <c r="K589" s="72"/>
      <c r="L589" s="75"/>
      <c r="M589" s="75"/>
      <c r="N589" s="76"/>
      <c r="O589" s="70"/>
      <c r="P589" s="70"/>
      <c r="Q589" s="17"/>
      <c r="R589" s="16"/>
      <c r="S589" s="72"/>
      <c r="T589" s="77"/>
    </row>
    <row r="590" spans="1:20" ht="13.2">
      <c r="A590" s="2"/>
      <c r="B590" s="69" t="s">
        <v>777</v>
      </c>
      <c r="C590" s="77"/>
      <c r="D590" s="16"/>
      <c r="E590" s="72"/>
      <c r="F590" s="70"/>
      <c r="G590" s="72"/>
      <c r="H590" s="24"/>
      <c r="J590" s="70"/>
      <c r="K590" s="72"/>
      <c r="L590" s="75"/>
      <c r="M590" s="75"/>
      <c r="N590" s="76"/>
      <c r="O590" s="70"/>
      <c r="P590" s="70"/>
      <c r="Q590" s="17"/>
      <c r="R590" s="16"/>
      <c r="S590" s="72"/>
      <c r="T590" s="77"/>
    </row>
    <row r="591" spans="1:20" ht="13.2">
      <c r="A591" s="2"/>
      <c r="B591" s="69" t="s">
        <v>778</v>
      </c>
      <c r="C591" s="77"/>
      <c r="D591" s="16"/>
      <c r="E591" s="72"/>
      <c r="F591" s="70"/>
      <c r="G591" s="72"/>
      <c r="H591" s="24"/>
      <c r="J591" s="70"/>
      <c r="K591" s="72"/>
      <c r="L591" s="75"/>
      <c r="M591" s="75"/>
      <c r="N591" s="76"/>
      <c r="O591" s="70"/>
      <c r="P591" s="70"/>
      <c r="Q591" s="17"/>
      <c r="R591" s="16"/>
      <c r="S591" s="72"/>
      <c r="T591" s="77"/>
    </row>
    <row r="592" spans="1:20" ht="13.2">
      <c r="A592" s="2"/>
      <c r="B592" s="69" t="s">
        <v>779</v>
      </c>
      <c r="C592" s="77"/>
      <c r="D592" s="16"/>
      <c r="E592" s="72"/>
      <c r="F592" s="70"/>
      <c r="G592" s="72"/>
      <c r="H592" s="24"/>
      <c r="J592" s="70"/>
      <c r="K592" s="72"/>
      <c r="L592" s="75"/>
      <c r="M592" s="75"/>
      <c r="N592" s="76"/>
      <c r="O592" s="70"/>
      <c r="P592" s="70"/>
      <c r="Q592" s="17"/>
      <c r="R592" s="16"/>
      <c r="S592" s="72"/>
      <c r="T592" s="77"/>
    </row>
    <row r="593" spans="1:20" ht="13.2">
      <c r="A593" s="2"/>
      <c r="B593" s="69" t="s">
        <v>780</v>
      </c>
      <c r="C593" s="77"/>
      <c r="D593" s="16"/>
      <c r="E593" s="72"/>
      <c r="F593" s="70"/>
      <c r="G593" s="72"/>
      <c r="H593" s="24"/>
      <c r="J593" s="70"/>
      <c r="K593" s="72"/>
      <c r="L593" s="75"/>
      <c r="M593" s="75"/>
      <c r="N593" s="76"/>
      <c r="O593" s="70"/>
      <c r="P593" s="70"/>
      <c r="Q593" s="17"/>
      <c r="R593" s="16"/>
      <c r="S593" s="72"/>
      <c r="T593" s="77"/>
    </row>
    <row r="594" spans="1:20" ht="13.2">
      <c r="A594" s="2"/>
      <c r="B594" s="69" t="s">
        <v>781</v>
      </c>
      <c r="C594" s="77"/>
      <c r="D594" s="16"/>
      <c r="E594" s="72"/>
      <c r="F594" s="70"/>
      <c r="G594" s="72"/>
      <c r="H594" s="24"/>
      <c r="J594" s="70"/>
      <c r="K594" s="72"/>
      <c r="L594" s="75"/>
      <c r="M594" s="75"/>
      <c r="N594" s="76"/>
      <c r="O594" s="70"/>
      <c r="P594" s="70"/>
      <c r="Q594" s="17"/>
      <c r="R594" s="16"/>
      <c r="S594" s="72"/>
      <c r="T594" s="77"/>
    </row>
    <row r="595" spans="1:20" ht="13.2">
      <c r="A595" s="2"/>
      <c r="B595" s="69" t="s">
        <v>597</v>
      </c>
      <c r="C595" s="77"/>
      <c r="D595" s="16"/>
      <c r="E595" s="72"/>
      <c r="F595" s="70"/>
      <c r="G595" s="72"/>
      <c r="H595" s="24"/>
      <c r="J595" s="70"/>
      <c r="K595" s="72"/>
      <c r="L595" s="75"/>
      <c r="M595" s="75"/>
      <c r="N595" s="76"/>
      <c r="O595" s="70"/>
      <c r="P595" s="70"/>
      <c r="Q595" s="17"/>
      <c r="R595" s="16"/>
      <c r="S595" s="72"/>
      <c r="T595" s="77"/>
    </row>
    <row r="596" spans="1:20" ht="13.2">
      <c r="A596" s="2"/>
      <c r="B596" s="69" t="s">
        <v>782</v>
      </c>
      <c r="C596" s="77"/>
      <c r="D596" s="16"/>
      <c r="E596" s="72"/>
      <c r="F596" s="70"/>
      <c r="G596" s="72"/>
      <c r="H596" s="24"/>
      <c r="J596" s="70"/>
      <c r="K596" s="72"/>
      <c r="L596" s="75"/>
      <c r="M596" s="75"/>
      <c r="N596" s="76"/>
      <c r="O596" s="70"/>
      <c r="P596" s="70"/>
      <c r="Q596" s="17"/>
      <c r="R596" s="16"/>
      <c r="S596" s="72"/>
      <c r="T596" s="77"/>
    </row>
    <row r="597" spans="1:20" ht="13.2">
      <c r="A597" s="2"/>
      <c r="B597" s="69" t="s">
        <v>783</v>
      </c>
      <c r="C597" s="77"/>
      <c r="D597" s="16"/>
      <c r="E597" s="72"/>
      <c r="F597" s="70"/>
      <c r="G597" s="72"/>
      <c r="H597" s="24"/>
      <c r="J597" s="70"/>
      <c r="K597" s="72"/>
      <c r="L597" s="75"/>
      <c r="M597" s="75"/>
      <c r="N597" s="76"/>
      <c r="O597" s="70"/>
      <c r="P597" s="70"/>
      <c r="Q597" s="17"/>
      <c r="R597" s="16"/>
      <c r="S597" s="72"/>
      <c r="T597" s="77"/>
    </row>
    <row r="598" spans="1:20" ht="13.2">
      <c r="A598" s="2"/>
      <c r="B598" s="69" t="s">
        <v>784</v>
      </c>
      <c r="C598" s="77"/>
      <c r="D598" s="16"/>
      <c r="E598" s="72"/>
      <c r="F598" s="70"/>
      <c r="G598" s="72"/>
      <c r="H598" s="24"/>
      <c r="J598" s="70"/>
      <c r="K598" s="72"/>
      <c r="L598" s="75"/>
      <c r="M598" s="75"/>
      <c r="N598" s="76"/>
      <c r="O598" s="70"/>
      <c r="P598" s="70"/>
      <c r="Q598" s="17"/>
      <c r="R598" s="16"/>
      <c r="S598" s="72"/>
      <c r="T598" s="77"/>
    </row>
    <row r="599" spans="1:20" ht="13.2">
      <c r="A599" s="2"/>
      <c r="B599" s="69" t="s">
        <v>785</v>
      </c>
      <c r="C599" s="77"/>
      <c r="D599" s="16"/>
      <c r="E599" s="72"/>
      <c r="F599" s="70"/>
      <c r="G599" s="72"/>
      <c r="H599" s="24"/>
      <c r="J599" s="70"/>
      <c r="K599" s="72"/>
      <c r="L599" s="75"/>
      <c r="M599" s="75"/>
      <c r="N599" s="76"/>
      <c r="O599" s="70"/>
      <c r="P599" s="70"/>
      <c r="Q599" s="17"/>
      <c r="R599" s="16"/>
      <c r="S599" s="72"/>
      <c r="T599" s="77"/>
    </row>
    <row r="600" spans="1:20" ht="13.2">
      <c r="A600" s="2"/>
      <c r="B600" s="69" t="s">
        <v>786</v>
      </c>
      <c r="C600" s="77"/>
      <c r="D600" s="16"/>
      <c r="E600" s="72"/>
      <c r="F600" s="70"/>
      <c r="G600" s="72"/>
      <c r="H600" s="24"/>
      <c r="J600" s="70"/>
      <c r="K600" s="72"/>
      <c r="L600" s="75"/>
      <c r="M600" s="75"/>
      <c r="N600" s="76"/>
      <c r="O600" s="70"/>
      <c r="P600" s="70"/>
      <c r="Q600" s="17"/>
      <c r="R600" s="16"/>
      <c r="S600" s="72"/>
      <c r="T600" s="77"/>
    </row>
    <row r="601" spans="1:20" ht="13.2">
      <c r="A601" s="2"/>
      <c r="B601" s="69" t="s">
        <v>787</v>
      </c>
      <c r="C601" s="77"/>
      <c r="D601" s="16"/>
      <c r="E601" s="72"/>
      <c r="F601" s="70"/>
      <c r="G601" s="72"/>
      <c r="H601" s="24"/>
      <c r="J601" s="70"/>
      <c r="K601" s="72"/>
      <c r="L601" s="75"/>
      <c r="M601" s="75"/>
      <c r="N601" s="76"/>
      <c r="O601" s="70"/>
      <c r="P601" s="70"/>
      <c r="Q601" s="17"/>
      <c r="R601" s="16"/>
      <c r="S601" s="72"/>
      <c r="T601" s="77"/>
    </row>
    <row r="602" spans="1:20" ht="13.2">
      <c r="A602" s="2"/>
      <c r="B602" s="69" t="s">
        <v>788</v>
      </c>
      <c r="C602" s="77"/>
      <c r="D602" s="16"/>
      <c r="E602" s="72"/>
      <c r="F602" s="70"/>
      <c r="G602" s="72"/>
      <c r="H602" s="24"/>
      <c r="J602" s="70"/>
      <c r="K602" s="72"/>
      <c r="L602" s="75"/>
      <c r="M602" s="75"/>
      <c r="N602" s="76"/>
      <c r="O602" s="70"/>
      <c r="P602" s="70"/>
      <c r="Q602" s="17"/>
      <c r="R602" s="16"/>
      <c r="S602" s="72"/>
      <c r="T602" s="77"/>
    </row>
    <row r="603" spans="1:20" ht="13.2">
      <c r="A603" s="2"/>
      <c r="B603" s="69" t="s">
        <v>789</v>
      </c>
      <c r="C603" s="77"/>
      <c r="D603" s="16"/>
      <c r="E603" s="72"/>
      <c r="F603" s="70"/>
      <c r="G603" s="72"/>
      <c r="H603" s="24"/>
      <c r="J603" s="70"/>
      <c r="K603" s="72"/>
      <c r="L603" s="75"/>
      <c r="M603" s="75"/>
      <c r="N603" s="76"/>
      <c r="O603" s="70"/>
      <c r="P603" s="70"/>
      <c r="Q603" s="17"/>
      <c r="R603" s="16"/>
      <c r="S603" s="72"/>
      <c r="T603" s="77"/>
    </row>
    <row r="604" spans="1:20" ht="13.2">
      <c r="A604" s="2"/>
      <c r="B604" s="69" t="s">
        <v>790</v>
      </c>
      <c r="C604" s="77"/>
      <c r="D604" s="16"/>
      <c r="E604" s="72"/>
      <c r="F604" s="70"/>
      <c r="G604" s="72"/>
      <c r="H604" s="24"/>
      <c r="J604" s="70"/>
      <c r="K604" s="72"/>
      <c r="L604" s="75"/>
      <c r="M604" s="75"/>
      <c r="N604" s="76"/>
      <c r="O604" s="70"/>
      <c r="P604" s="70"/>
      <c r="Q604" s="17"/>
      <c r="R604" s="16"/>
      <c r="S604" s="72"/>
      <c r="T604" s="77"/>
    </row>
    <row r="605" spans="1:20" ht="13.2">
      <c r="A605" s="2"/>
      <c r="B605" s="69" t="s">
        <v>791</v>
      </c>
      <c r="C605" s="77"/>
      <c r="D605" s="16"/>
      <c r="E605" s="72"/>
      <c r="F605" s="70"/>
      <c r="G605" s="72"/>
      <c r="H605" s="24"/>
      <c r="J605" s="70"/>
      <c r="K605" s="72"/>
      <c r="L605" s="75"/>
      <c r="M605" s="75"/>
      <c r="N605" s="76"/>
      <c r="O605" s="70"/>
      <c r="P605" s="70"/>
      <c r="Q605" s="17"/>
      <c r="R605" s="16"/>
      <c r="S605" s="72"/>
      <c r="T605" s="77"/>
    </row>
    <row r="606" spans="1:20" ht="13.2">
      <c r="A606" s="2"/>
      <c r="B606" s="69" t="s">
        <v>792</v>
      </c>
      <c r="C606" s="77"/>
      <c r="D606" s="16"/>
      <c r="E606" s="72"/>
      <c r="F606" s="70"/>
      <c r="G606" s="72"/>
      <c r="H606" s="24"/>
      <c r="J606" s="70"/>
      <c r="K606" s="72"/>
      <c r="L606" s="75"/>
      <c r="M606" s="75"/>
      <c r="N606" s="76"/>
      <c r="O606" s="70"/>
      <c r="P606" s="70"/>
      <c r="Q606" s="17"/>
      <c r="R606" s="16"/>
      <c r="S606" s="72"/>
      <c r="T606" s="77"/>
    </row>
    <row r="607" spans="1:20" ht="13.2">
      <c r="A607" s="2"/>
      <c r="B607" s="69" t="s">
        <v>793</v>
      </c>
      <c r="C607" s="77"/>
      <c r="D607" s="16"/>
      <c r="E607" s="72"/>
      <c r="F607" s="70"/>
      <c r="G607" s="72"/>
      <c r="H607" s="24"/>
      <c r="J607" s="70"/>
      <c r="K607" s="72"/>
      <c r="L607" s="75"/>
      <c r="M607" s="75"/>
      <c r="N607" s="76"/>
      <c r="O607" s="70"/>
      <c r="P607" s="70"/>
      <c r="Q607" s="17"/>
      <c r="R607" s="16"/>
      <c r="S607" s="72"/>
      <c r="T607" s="77"/>
    </row>
    <row r="608" spans="1:20" ht="13.2">
      <c r="A608" s="2"/>
      <c r="B608" s="69" t="s">
        <v>794</v>
      </c>
      <c r="C608" s="77"/>
      <c r="D608" s="16"/>
      <c r="E608" s="72"/>
      <c r="F608" s="70"/>
      <c r="G608" s="72"/>
      <c r="H608" s="24"/>
      <c r="J608" s="70"/>
      <c r="K608" s="72"/>
      <c r="L608" s="75"/>
      <c r="M608" s="75"/>
      <c r="N608" s="76"/>
      <c r="O608" s="70"/>
      <c r="P608" s="70"/>
      <c r="Q608" s="17"/>
      <c r="R608" s="16"/>
      <c r="S608" s="72"/>
      <c r="T608" s="77"/>
    </row>
    <row r="609" spans="1:20" ht="13.2">
      <c r="A609" s="2"/>
      <c r="B609" s="69" t="s">
        <v>795</v>
      </c>
      <c r="C609" s="77"/>
      <c r="D609" s="16"/>
      <c r="E609" s="72"/>
      <c r="F609" s="70"/>
      <c r="G609" s="72"/>
      <c r="H609" s="24"/>
      <c r="J609" s="70"/>
      <c r="K609" s="72"/>
      <c r="L609" s="75"/>
      <c r="M609" s="75"/>
      <c r="N609" s="76"/>
      <c r="O609" s="70"/>
      <c r="P609" s="70"/>
      <c r="Q609" s="17"/>
      <c r="R609" s="16"/>
      <c r="S609" s="72"/>
      <c r="T609" s="77"/>
    </row>
    <row r="610" spans="1:20" ht="13.2">
      <c r="A610" s="2"/>
      <c r="B610" s="69" t="s">
        <v>796</v>
      </c>
      <c r="C610" s="77"/>
      <c r="D610" s="16"/>
      <c r="E610" s="72"/>
      <c r="F610" s="70"/>
      <c r="G610" s="72"/>
      <c r="H610" s="24"/>
      <c r="J610" s="70"/>
      <c r="K610" s="72"/>
      <c r="L610" s="75"/>
      <c r="M610" s="75"/>
      <c r="N610" s="76"/>
      <c r="O610" s="70"/>
      <c r="P610" s="70"/>
      <c r="Q610" s="17"/>
      <c r="R610" s="16"/>
      <c r="S610" s="72"/>
      <c r="T610" s="77"/>
    </row>
    <row r="611" spans="1:20" ht="13.2">
      <c r="A611" s="2"/>
      <c r="B611" s="72"/>
      <c r="C611" s="77"/>
      <c r="D611" s="16"/>
      <c r="E611" s="72"/>
      <c r="F611" s="70"/>
      <c r="G611" s="72"/>
      <c r="H611" s="24"/>
      <c r="J611" s="70"/>
      <c r="K611" s="72"/>
      <c r="L611" s="75"/>
      <c r="M611" s="75"/>
      <c r="N611" s="76"/>
      <c r="O611" s="70"/>
      <c r="P611" s="70"/>
      <c r="Q611" s="17"/>
      <c r="R611" s="16"/>
      <c r="S611" s="72"/>
      <c r="T611" s="77"/>
    </row>
    <row r="612" spans="1:20" ht="13.2">
      <c r="A612" s="2"/>
      <c r="B612" s="72"/>
      <c r="C612" s="77"/>
      <c r="D612" s="16"/>
      <c r="E612" s="72"/>
      <c r="F612" s="70"/>
      <c r="G612" s="72"/>
      <c r="H612" s="24"/>
      <c r="J612" s="70"/>
      <c r="K612" s="72"/>
      <c r="L612" s="75"/>
      <c r="M612" s="75"/>
      <c r="N612" s="76"/>
      <c r="O612" s="70"/>
      <c r="P612" s="70"/>
      <c r="Q612" s="17"/>
      <c r="R612" s="16"/>
      <c r="S612" s="72"/>
      <c r="T612" s="77"/>
    </row>
    <row r="613" spans="1:20" ht="13.2">
      <c r="A613" s="2"/>
      <c r="B613" s="72"/>
      <c r="C613" s="77"/>
      <c r="D613" s="16"/>
      <c r="E613" s="72"/>
      <c r="F613" s="70"/>
      <c r="G613" s="72"/>
      <c r="H613" s="24"/>
      <c r="J613" s="70"/>
      <c r="K613" s="72"/>
      <c r="L613" s="75"/>
      <c r="M613" s="75"/>
      <c r="N613" s="76"/>
      <c r="O613" s="70"/>
      <c r="P613" s="70"/>
      <c r="Q613" s="17"/>
      <c r="R613" s="16"/>
      <c r="S613" s="72"/>
      <c r="T613" s="77"/>
    </row>
    <row r="614" spans="1:20" ht="13.2">
      <c r="A614" s="2"/>
      <c r="B614" s="72"/>
      <c r="C614" s="77"/>
      <c r="D614" s="16"/>
      <c r="E614" s="72"/>
      <c r="F614" s="70"/>
      <c r="G614" s="72"/>
      <c r="H614" s="24"/>
      <c r="J614" s="70"/>
      <c r="K614" s="72"/>
      <c r="L614" s="75"/>
      <c r="M614" s="75"/>
      <c r="N614" s="76"/>
      <c r="O614" s="70"/>
      <c r="P614" s="70"/>
      <c r="Q614" s="17"/>
      <c r="R614" s="16"/>
      <c r="S614" s="72"/>
      <c r="T614" s="77"/>
    </row>
    <row r="615" spans="1:20" ht="13.2">
      <c r="A615" s="2"/>
      <c r="B615" s="72"/>
      <c r="C615" s="77"/>
      <c r="D615" s="16"/>
      <c r="E615" s="72"/>
      <c r="F615" s="70"/>
      <c r="G615" s="72"/>
      <c r="H615" s="24"/>
      <c r="J615" s="70"/>
      <c r="K615" s="72"/>
      <c r="L615" s="75"/>
      <c r="M615" s="75"/>
      <c r="N615" s="76"/>
      <c r="O615" s="70"/>
      <c r="P615" s="70"/>
      <c r="Q615" s="17"/>
      <c r="R615" s="16"/>
      <c r="S615" s="72"/>
      <c r="T615" s="77"/>
    </row>
    <row r="616" spans="1:20" ht="13.2">
      <c r="A616" s="2"/>
      <c r="B616" s="72"/>
      <c r="C616" s="77"/>
      <c r="D616" s="16"/>
      <c r="E616" s="72"/>
      <c r="F616" s="70"/>
      <c r="G616" s="72"/>
      <c r="H616" s="24"/>
      <c r="J616" s="70"/>
      <c r="K616" s="72"/>
      <c r="L616" s="75"/>
      <c r="M616" s="75"/>
      <c r="N616" s="76"/>
      <c r="O616" s="70"/>
      <c r="P616" s="70"/>
      <c r="Q616" s="17"/>
      <c r="R616" s="16"/>
      <c r="S616" s="72"/>
      <c r="T616" s="77"/>
    </row>
    <row r="617" spans="1:20" ht="13.2">
      <c r="A617" s="2"/>
      <c r="B617" s="72"/>
      <c r="C617" s="77"/>
      <c r="D617" s="16"/>
      <c r="E617" s="72"/>
      <c r="F617" s="70"/>
      <c r="G617" s="72"/>
      <c r="H617" s="24"/>
      <c r="J617" s="70"/>
      <c r="K617" s="72"/>
      <c r="L617" s="75"/>
      <c r="M617" s="75"/>
      <c r="N617" s="76"/>
      <c r="O617" s="70"/>
      <c r="P617" s="70"/>
      <c r="Q617" s="17"/>
      <c r="R617" s="16"/>
      <c r="S617" s="72"/>
      <c r="T617" s="77"/>
    </row>
    <row r="618" spans="1:20" ht="13.2">
      <c r="A618" s="2"/>
      <c r="B618" s="72"/>
      <c r="C618" s="77"/>
      <c r="D618" s="16"/>
      <c r="E618" s="72"/>
      <c r="F618" s="70"/>
      <c r="G618" s="72"/>
      <c r="H618" s="24"/>
      <c r="J618" s="70"/>
      <c r="K618" s="72"/>
      <c r="L618" s="75"/>
      <c r="M618" s="75"/>
      <c r="N618" s="76"/>
      <c r="O618" s="70"/>
      <c r="P618" s="70"/>
      <c r="Q618" s="17"/>
      <c r="R618" s="16"/>
      <c r="S618" s="72"/>
      <c r="T618" s="77"/>
    </row>
    <row r="619" spans="1:20" ht="13.2">
      <c r="A619" s="2"/>
      <c r="B619" s="72"/>
      <c r="C619" s="77"/>
      <c r="D619" s="16"/>
      <c r="E619" s="72"/>
      <c r="F619" s="70"/>
      <c r="G619" s="72"/>
      <c r="H619" s="24"/>
      <c r="J619" s="70"/>
      <c r="K619" s="72"/>
      <c r="L619" s="75"/>
      <c r="M619" s="75"/>
      <c r="N619" s="76"/>
      <c r="O619" s="70"/>
      <c r="P619" s="70"/>
      <c r="Q619" s="17"/>
      <c r="R619" s="16"/>
      <c r="S619" s="72"/>
      <c r="T619" s="77"/>
    </row>
    <row r="620" spans="1:20" ht="13.2">
      <c r="A620" s="2"/>
      <c r="B620" s="72"/>
      <c r="C620" s="77"/>
      <c r="D620" s="16"/>
      <c r="E620" s="72"/>
      <c r="F620" s="70"/>
      <c r="G620" s="72"/>
      <c r="H620" s="24"/>
      <c r="J620" s="70"/>
      <c r="K620" s="72"/>
      <c r="L620" s="75"/>
      <c r="M620" s="75"/>
      <c r="N620" s="76"/>
      <c r="O620" s="70"/>
      <c r="P620" s="70"/>
      <c r="Q620" s="17"/>
      <c r="R620" s="16"/>
      <c r="S620" s="72"/>
      <c r="T620" s="77"/>
    </row>
    <row r="621" spans="1:20" ht="13.2">
      <c r="A621" s="2"/>
      <c r="B621" s="72"/>
      <c r="C621" s="77"/>
      <c r="D621" s="16"/>
      <c r="E621" s="72"/>
      <c r="F621" s="70"/>
      <c r="G621" s="72"/>
      <c r="H621" s="24"/>
      <c r="J621" s="70"/>
      <c r="K621" s="72"/>
      <c r="L621" s="75"/>
      <c r="M621" s="75"/>
      <c r="N621" s="76"/>
      <c r="O621" s="70"/>
      <c r="P621" s="70"/>
      <c r="Q621" s="17"/>
      <c r="R621" s="16"/>
      <c r="S621" s="72"/>
      <c r="T621" s="77"/>
    </row>
    <row r="622" spans="1:20" ht="13.2">
      <c r="A622" s="2"/>
      <c r="B622" s="72"/>
      <c r="C622" s="77"/>
      <c r="D622" s="16"/>
      <c r="E622" s="72"/>
      <c r="F622" s="70"/>
      <c r="G622" s="72"/>
      <c r="H622" s="24"/>
      <c r="J622" s="70"/>
      <c r="K622" s="72"/>
      <c r="L622" s="75"/>
      <c r="M622" s="75"/>
      <c r="N622" s="76"/>
      <c r="O622" s="70"/>
      <c r="P622" s="70"/>
      <c r="Q622" s="17"/>
      <c r="R622" s="16"/>
      <c r="S622" s="72"/>
      <c r="T622" s="77"/>
    </row>
    <row r="623" spans="1:20" ht="13.2">
      <c r="A623" s="2"/>
      <c r="B623" s="72"/>
      <c r="C623" s="77"/>
      <c r="D623" s="16"/>
      <c r="E623" s="72"/>
      <c r="F623" s="70"/>
      <c r="G623" s="72"/>
      <c r="H623" s="24"/>
      <c r="J623" s="70"/>
      <c r="K623" s="72"/>
      <c r="L623" s="75"/>
      <c r="M623" s="75"/>
      <c r="N623" s="76"/>
      <c r="O623" s="70"/>
      <c r="P623" s="70"/>
      <c r="Q623" s="17"/>
      <c r="R623" s="16"/>
      <c r="S623" s="72"/>
      <c r="T623" s="77"/>
    </row>
    <row r="624" spans="1:20" ht="13.2">
      <c r="A624" s="2"/>
      <c r="B624" s="72"/>
      <c r="C624" s="77"/>
      <c r="D624" s="16"/>
      <c r="E624" s="72"/>
      <c r="F624" s="70"/>
      <c r="G624" s="72"/>
      <c r="H624" s="24"/>
      <c r="J624" s="70"/>
      <c r="K624" s="72"/>
      <c r="L624" s="75"/>
      <c r="M624" s="75"/>
      <c r="N624" s="76"/>
      <c r="O624" s="70"/>
      <c r="P624" s="70"/>
      <c r="Q624" s="17"/>
      <c r="R624" s="16"/>
      <c r="S624" s="72"/>
      <c r="T624" s="77"/>
    </row>
    <row r="625" spans="1:20" ht="13.2">
      <c r="A625" s="2"/>
      <c r="B625" s="72"/>
      <c r="C625" s="77"/>
      <c r="D625" s="16"/>
      <c r="E625" s="72"/>
      <c r="F625" s="70"/>
      <c r="G625" s="72"/>
      <c r="H625" s="24"/>
      <c r="J625" s="70"/>
      <c r="K625" s="72"/>
      <c r="L625" s="75"/>
      <c r="M625" s="75"/>
      <c r="N625" s="76"/>
      <c r="O625" s="70"/>
      <c r="P625" s="70"/>
      <c r="Q625" s="17"/>
      <c r="R625" s="16"/>
      <c r="S625" s="72"/>
      <c r="T625" s="77"/>
    </row>
    <row r="626" spans="1:20" ht="13.2">
      <c r="A626" s="2"/>
      <c r="B626" s="72"/>
      <c r="C626" s="77"/>
      <c r="D626" s="16"/>
      <c r="E626" s="72"/>
      <c r="F626" s="70"/>
      <c r="G626" s="72"/>
      <c r="H626" s="24"/>
      <c r="J626" s="70"/>
      <c r="K626" s="72"/>
      <c r="L626" s="75"/>
      <c r="M626" s="75"/>
      <c r="N626" s="76"/>
      <c r="O626" s="70"/>
      <c r="P626" s="70"/>
      <c r="Q626" s="17"/>
      <c r="R626" s="16"/>
      <c r="S626" s="72"/>
      <c r="T626" s="77"/>
    </row>
    <row r="627" spans="1:20" ht="13.2">
      <c r="A627" s="2"/>
      <c r="B627" s="72"/>
      <c r="C627" s="77"/>
      <c r="D627" s="16"/>
      <c r="E627" s="72"/>
      <c r="F627" s="70"/>
      <c r="G627" s="72"/>
      <c r="H627" s="24"/>
      <c r="J627" s="70"/>
      <c r="K627" s="72"/>
      <c r="L627" s="75"/>
      <c r="M627" s="75"/>
      <c r="N627" s="76"/>
      <c r="O627" s="70"/>
      <c r="P627" s="70"/>
      <c r="Q627" s="17"/>
      <c r="R627" s="16"/>
      <c r="S627" s="72"/>
      <c r="T627" s="77"/>
    </row>
    <row r="628" spans="1:20" ht="13.2">
      <c r="A628" s="2"/>
      <c r="B628" s="72"/>
      <c r="C628" s="77"/>
      <c r="D628" s="16"/>
      <c r="E628" s="72"/>
      <c r="F628" s="70"/>
      <c r="G628" s="72"/>
      <c r="H628" s="24"/>
      <c r="J628" s="70"/>
      <c r="K628" s="72"/>
      <c r="L628" s="75"/>
      <c r="M628" s="75"/>
      <c r="N628" s="76"/>
      <c r="O628" s="70"/>
      <c r="P628" s="70"/>
      <c r="Q628" s="17"/>
      <c r="R628" s="16"/>
      <c r="S628" s="72"/>
      <c r="T628" s="77"/>
    </row>
    <row r="629" spans="1:20" ht="13.2">
      <c r="A629" s="2"/>
      <c r="B629" s="72"/>
      <c r="C629" s="77"/>
      <c r="D629" s="16"/>
      <c r="E629" s="72"/>
      <c r="F629" s="70"/>
      <c r="G629" s="72"/>
      <c r="H629" s="24"/>
      <c r="J629" s="70"/>
      <c r="K629" s="72"/>
      <c r="L629" s="75"/>
      <c r="M629" s="75"/>
      <c r="N629" s="76"/>
      <c r="O629" s="70"/>
      <c r="P629" s="70"/>
      <c r="Q629" s="17"/>
      <c r="R629" s="16"/>
      <c r="S629" s="72"/>
      <c r="T629" s="77"/>
    </row>
    <row r="630" spans="1:20" ht="13.2">
      <c r="A630" s="2"/>
      <c r="B630" s="72"/>
      <c r="C630" s="77"/>
      <c r="D630" s="16"/>
      <c r="E630" s="72"/>
      <c r="F630" s="70"/>
      <c r="G630" s="72"/>
      <c r="H630" s="24"/>
      <c r="J630" s="70"/>
      <c r="K630" s="72"/>
      <c r="L630" s="75"/>
      <c r="M630" s="75"/>
      <c r="N630" s="76"/>
      <c r="O630" s="70"/>
      <c r="P630" s="70"/>
      <c r="Q630" s="17"/>
      <c r="R630" s="16"/>
      <c r="S630" s="72"/>
      <c r="T630" s="77"/>
    </row>
    <row r="631" spans="1:20" ht="13.2">
      <c r="A631" s="2"/>
      <c r="B631" s="72"/>
      <c r="C631" s="77"/>
      <c r="D631" s="16"/>
      <c r="E631" s="72"/>
      <c r="F631" s="70"/>
      <c r="G631" s="72"/>
      <c r="H631" s="24"/>
      <c r="J631" s="70"/>
      <c r="K631" s="72"/>
      <c r="L631" s="75"/>
      <c r="M631" s="75"/>
      <c r="N631" s="76"/>
      <c r="O631" s="70"/>
      <c r="P631" s="70"/>
      <c r="Q631" s="17"/>
      <c r="R631" s="16"/>
      <c r="S631" s="72"/>
      <c r="T631" s="77"/>
    </row>
    <row r="632" spans="1:20" ht="13.2">
      <c r="A632" s="2"/>
      <c r="B632" s="72"/>
      <c r="C632" s="77"/>
      <c r="D632" s="16"/>
      <c r="E632" s="72"/>
      <c r="F632" s="70"/>
      <c r="G632" s="72"/>
      <c r="H632" s="24"/>
      <c r="J632" s="70"/>
      <c r="K632" s="72"/>
      <c r="L632" s="75"/>
      <c r="M632" s="75"/>
      <c r="N632" s="76"/>
      <c r="O632" s="70"/>
      <c r="P632" s="70"/>
      <c r="Q632" s="17"/>
      <c r="R632" s="16"/>
      <c r="S632" s="72"/>
      <c r="T632" s="77"/>
    </row>
    <row r="633" spans="1:20" ht="13.2">
      <c r="A633" s="2"/>
      <c r="B633" s="72"/>
      <c r="C633" s="77"/>
      <c r="D633" s="16"/>
      <c r="E633" s="72"/>
      <c r="F633" s="70"/>
      <c r="G633" s="72"/>
      <c r="H633" s="24"/>
      <c r="J633" s="70"/>
      <c r="K633" s="72"/>
      <c r="L633" s="75"/>
      <c r="M633" s="75"/>
      <c r="N633" s="76"/>
      <c r="O633" s="70"/>
      <c r="P633" s="70"/>
      <c r="Q633" s="17"/>
      <c r="R633" s="16"/>
      <c r="S633" s="72"/>
      <c r="T633" s="77"/>
    </row>
    <row r="634" spans="1:20" ht="13.2">
      <c r="A634" s="2"/>
      <c r="B634" s="72"/>
      <c r="C634" s="77"/>
      <c r="D634" s="16"/>
      <c r="E634" s="72"/>
      <c r="F634" s="70"/>
      <c r="G634" s="72"/>
      <c r="H634" s="24"/>
      <c r="J634" s="70"/>
      <c r="K634" s="72"/>
      <c r="L634" s="75"/>
      <c r="M634" s="75"/>
      <c r="N634" s="76"/>
      <c r="O634" s="70"/>
      <c r="P634" s="70"/>
      <c r="Q634" s="17"/>
      <c r="R634" s="16"/>
      <c r="S634" s="72"/>
      <c r="T634" s="77"/>
    </row>
    <row r="635" spans="1:20" ht="13.2">
      <c r="A635" s="2"/>
      <c r="B635" s="72"/>
      <c r="C635" s="77"/>
      <c r="D635" s="16"/>
      <c r="E635" s="72"/>
      <c r="F635" s="70"/>
      <c r="G635" s="72"/>
      <c r="H635" s="24"/>
      <c r="J635" s="70"/>
      <c r="K635" s="72"/>
      <c r="L635" s="75"/>
      <c r="M635" s="75"/>
      <c r="N635" s="76"/>
      <c r="O635" s="70"/>
      <c r="P635" s="70"/>
      <c r="Q635" s="17"/>
      <c r="R635" s="16"/>
      <c r="S635" s="72"/>
      <c r="T635" s="77"/>
    </row>
    <row r="636" spans="1:20" ht="13.2">
      <c r="A636" s="2"/>
      <c r="B636" s="72"/>
      <c r="C636" s="77"/>
      <c r="D636" s="16"/>
      <c r="E636" s="72"/>
      <c r="F636" s="70"/>
      <c r="G636" s="72"/>
      <c r="H636" s="24"/>
      <c r="J636" s="70"/>
      <c r="K636" s="72"/>
      <c r="L636" s="75"/>
      <c r="M636" s="75"/>
      <c r="N636" s="76"/>
      <c r="O636" s="70"/>
      <c r="P636" s="70"/>
      <c r="Q636" s="17"/>
      <c r="R636" s="16"/>
      <c r="S636" s="72"/>
      <c r="T636" s="77"/>
    </row>
    <row r="637" spans="1:20" ht="13.2">
      <c r="A637" s="2"/>
      <c r="B637" s="72"/>
      <c r="C637" s="77"/>
      <c r="D637" s="16"/>
      <c r="E637" s="72"/>
      <c r="F637" s="70"/>
      <c r="G637" s="72"/>
      <c r="H637" s="24"/>
      <c r="J637" s="70"/>
      <c r="K637" s="72"/>
      <c r="L637" s="75"/>
      <c r="M637" s="75"/>
      <c r="N637" s="76"/>
      <c r="O637" s="70"/>
      <c r="P637" s="70"/>
      <c r="Q637" s="17"/>
      <c r="R637" s="16"/>
      <c r="S637" s="72"/>
      <c r="T637" s="77"/>
    </row>
    <row r="638" spans="1:20" ht="13.2">
      <c r="A638" s="2"/>
      <c r="B638" s="72"/>
      <c r="C638" s="77"/>
      <c r="D638" s="16"/>
      <c r="E638" s="72"/>
      <c r="F638" s="70"/>
      <c r="G638" s="72"/>
      <c r="H638" s="24"/>
      <c r="J638" s="70"/>
      <c r="K638" s="72"/>
      <c r="L638" s="75"/>
      <c r="M638" s="75"/>
      <c r="N638" s="76"/>
      <c r="O638" s="70"/>
      <c r="P638" s="70"/>
      <c r="Q638" s="17"/>
      <c r="R638" s="16"/>
      <c r="S638" s="72"/>
      <c r="T638" s="77"/>
    </row>
    <row r="639" spans="1:20" ht="13.2">
      <c r="A639" s="2"/>
      <c r="B639" s="72"/>
      <c r="C639" s="77"/>
      <c r="D639" s="16"/>
      <c r="E639" s="72"/>
      <c r="F639" s="70"/>
      <c r="G639" s="72"/>
      <c r="H639" s="24"/>
      <c r="J639" s="70"/>
      <c r="K639" s="72"/>
      <c r="L639" s="75"/>
      <c r="M639" s="75"/>
      <c r="N639" s="76"/>
      <c r="O639" s="70"/>
      <c r="P639" s="70"/>
      <c r="Q639" s="17"/>
      <c r="R639" s="16"/>
      <c r="S639" s="72"/>
      <c r="T639" s="77"/>
    </row>
    <row r="640" spans="1:20" ht="13.2">
      <c r="A640" s="2"/>
      <c r="B640" s="72"/>
      <c r="C640" s="77"/>
      <c r="D640" s="16"/>
      <c r="E640" s="72"/>
      <c r="F640" s="70"/>
      <c r="G640" s="72"/>
      <c r="H640" s="24"/>
      <c r="J640" s="70"/>
      <c r="K640" s="72"/>
      <c r="L640" s="75"/>
      <c r="M640" s="75"/>
      <c r="N640" s="76"/>
      <c r="O640" s="70"/>
      <c r="P640" s="70"/>
      <c r="Q640" s="17"/>
      <c r="R640" s="16"/>
      <c r="S640" s="72"/>
      <c r="T640" s="77"/>
    </row>
    <row r="641" spans="1:20" ht="13.2">
      <c r="A641" s="2"/>
      <c r="B641" s="72"/>
      <c r="C641" s="77"/>
      <c r="D641" s="16"/>
      <c r="E641" s="72"/>
      <c r="F641" s="70"/>
      <c r="G641" s="72"/>
      <c r="H641" s="24"/>
      <c r="J641" s="70"/>
      <c r="K641" s="72"/>
      <c r="L641" s="75"/>
      <c r="M641" s="75"/>
      <c r="N641" s="76"/>
      <c r="O641" s="70"/>
      <c r="P641" s="70"/>
      <c r="Q641" s="17"/>
      <c r="R641" s="16"/>
      <c r="S641" s="72"/>
      <c r="T641" s="77"/>
    </row>
    <row r="642" spans="1:20" ht="13.2">
      <c r="A642" s="2"/>
      <c r="B642" s="72"/>
      <c r="C642" s="77"/>
      <c r="D642" s="16"/>
      <c r="E642" s="72"/>
      <c r="F642" s="70"/>
      <c r="G642" s="72"/>
      <c r="H642" s="24"/>
      <c r="J642" s="70"/>
      <c r="K642" s="72"/>
      <c r="L642" s="75"/>
      <c r="M642" s="75"/>
      <c r="N642" s="76"/>
      <c r="O642" s="70"/>
      <c r="P642" s="70"/>
      <c r="Q642" s="17"/>
      <c r="R642" s="16"/>
      <c r="S642" s="72"/>
      <c r="T642" s="77"/>
    </row>
    <row r="643" spans="1:20" ht="13.2">
      <c r="A643" s="2"/>
      <c r="B643" s="72"/>
      <c r="C643" s="77"/>
      <c r="D643" s="16"/>
      <c r="E643" s="72"/>
      <c r="F643" s="70"/>
      <c r="G643" s="72"/>
      <c r="H643" s="24"/>
      <c r="J643" s="70"/>
      <c r="K643" s="72"/>
      <c r="L643" s="75"/>
      <c r="M643" s="75"/>
      <c r="N643" s="76"/>
      <c r="O643" s="70"/>
      <c r="P643" s="70"/>
      <c r="Q643" s="17"/>
      <c r="R643" s="16"/>
      <c r="S643" s="72"/>
      <c r="T643" s="77"/>
    </row>
    <row r="644" spans="1:20" ht="13.2">
      <c r="A644" s="2"/>
      <c r="B644" s="72"/>
      <c r="C644" s="77"/>
      <c r="D644" s="16"/>
      <c r="E644" s="72"/>
      <c r="F644" s="70"/>
      <c r="G644" s="72"/>
      <c r="H644" s="24"/>
      <c r="J644" s="70"/>
      <c r="K644" s="72"/>
      <c r="L644" s="75"/>
      <c r="M644" s="75"/>
      <c r="N644" s="76"/>
      <c r="O644" s="70"/>
      <c r="P644" s="70"/>
      <c r="Q644" s="17"/>
      <c r="R644" s="16"/>
      <c r="S644" s="72"/>
      <c r="T644" s="77"/>
    </row>
    <row r="645" spans="1:20" ht="13.2">
      <c r="A645" s="2"/>
      <c r="B645" s="72"/>
      <c r="C645" s="77"/>
      <c r="D645" s="16"/>
      <c r="E645" s="72"/>
      <c r="F645" s="70"/>
      <c r="G645" s="72"/>
      <c r="H645" s="24"/>
      <c r="J645" s="70"/>
      <c r="K645" s="72"/>
      <c r="L645" s="75"/>
      <c r="M645" s="75"/>
      <c r="N645" s="76"/>
      <c r="O645" s="70"/>
      <c r="P645" s="70"/>
      <c r="Q645" s="17"/>
      <c r="R645" s="16"/>
      <c r="S645" s="72"/>
      <c r="T645" s="77"/>
    </row>
    <row r="646" spans="1:20" ht="13.2">
      <c r="A646" s="2"/>
      <c r="B646" s="72"/>
      <c r="C646" s="77"/>
      <c r="D646" s="16"/>
      <c r="E646" s="72"/>
      <c r="F646" s="70"/>
      <c r="G646" s="72"/>
      <c r="H646" s="24"/>
      <c r="J646" s="70"/>
      <c r="K646" s="72"/>
      <c r="L646" s="75"/>
      <c r="M646" s="75"/>
      <c r="N646" s="76"/>
      <c r="O646" s="70"/>
      <c r="P646" s="70"/>
      <c r="Q646" s="17"/>
      <c r="R646" s="16"/>
      <c r="S646" s="72"/>
      <c r="T646" s="77"/>
    </row>
    <row r="647" spans="1:20" ht="13.2">
      <c r="A647" s="2"/>
      <c r="B647" s="72"/>
      <c r="C647" s="77"/>
      <c r="D647" s="16"/>
      <c r="E647" s="72"/>
      <c r="F647" s="70"/>
      <c r="G647" s="72"/>
      <c r="H647" s="24"/>
      <c r="J647" s="70"/>
      <c r="K647" s="72"/>
      <c r="L647" s="75"/>
      <c r="M647" s="75"/>
      <c r="N647" s="76"/>
      <c r="O647" s="70"/>
      <c r="P647" s="70"/>
      <c r="Q647" s="17"/>
      <c r="R647" s="16"/>
      <c r="S647" s="72"/>
      <c r="T647" s="77"/>
    </row>
    <row r="648" spans="1:20" ht="13.2">
      <c r="A648" s="2"/>
      <c r="B648" s="72"/>
      <c r="C648" s="77"/>
      <c r="D648" s="16"/>
      <c r="E648" s="72"/>
      <c r="F648" s="70"/>
      <c r="G648" s="72"/>
      <c r="H648" s="24"/>
      <c r="J648" s="70"/>
      <c r="K648" s="72"/>
      <c r="L648" s="75"/>
      <c r="M648" s="75"/>
      <c r="N648" s="76"/>
      <c r="O648" s="70"/>
      <c r="P648" s="70"/>
      <c r="Q648" s="17"/>
      <c r="R648" s="16"/>
      <c r="S648" s="72"/>
      <c r="T648" s="77"/>
    </row>
    <row r="649" spans="1:20" ht="13.2">
      <c r="A649" s="2"/>
      <c r="B649" s="72"/>
      <c r="C649" s="77"/>
      <c r="D649" s="16"/>
      <c r="E649" s="72"/>
      <c r="F649" s="70"/>
      <c r="G649" s="72"/>
      <c r="H649" s="24"/>
      <c r="J649" s="70"/>
      <c r="K649" s="72"/>
      <c r="L649" s="75"/>
      <c r="M649" s="75"/>
      <c r="N649" s="76"/>
      <c r="O649" s="70"/>
      <c r="P649" s="70"/>
      <c r="Q649" s="17"/>
      <c r="R649" s="16"/>
      <c r="S649" s="72"/>
      <c r="T649" s="77"/>
    </row>
    <row r="650" spans="1:20" ht="13.2">
      <c r="A650" s="2"/>
      <c r="B650" s="72"/>
      <c r="C650" s="77"/>
      <c r="D650" s="16"/>
      <c r="E650" s="72"/>
      <c r="F650" s="70"/>
      <c r="G650" s="72"/>
      <c r="H650" s="24"/>
      <c r="J650" s="70"/>
      <c r="K650" s="72"/>
      <c r="L650" s="75"/>
      <c r="M650" s="75"/>
      <c r="N650" s="76"/>
      <c r="O650" s="70"/>
      <c r="P650" s="70"/>
      <c r="Q650" s="17"/>
      <c r="R650" s="16"/>
      <c r="S650" s="72"/>
      <c r="T650" s="77"/>
    </row>
    <row r="651" spans="1:20" ht="13.2">
      <c r="A651" s="2"/>
      <c r="B651" s="72"/>
      <c r="C651" s="77"/>
      <c r="D651" s="16"/>
      <c r="E651" s="72"/>
      <c r="F651" s="70"/>
      <c r="G651" s="72"/>
      <c r="H651" s="24"/>
      <c r="J651" s="70"/>
      <c r="K651" s="72"/>
      <c r="L651" s="75"/>
      <c r="M651" s="75"/>
      <c r="N651" s="76"/>
      <c r="O651" s="70"/>
      <c r="P651" s="70"/>
      <c r="Q651" s="17"/>
      <c r="R651" s="16"/>
      <c r="S651" s="72"/>
      <c r="T651" s="77"/>
    </row>
    <row r="652" spans="1:20" ht="13.2">
      <c r="A652" s="2"/>
      <c r="B652" s="72"/>
      <c r="C652" s="77"/>
      <c r="D652" s="16"/>
      <c r="E652" s="72"/>
      <c r="F652" s="70"/>
      <c r="G652" s="72"/>
      <c r="H652" s="24"/>
      <c r="J652" s="70"/>
      <c r="K652" s="72"/>
      <c r="L652" s="75"/>
      <c r="M652" s="75"/>
      <c r="N652" s="76"/>
      <c r="O652" s="70"/>
      <c r="P652" s="70"/>
      <c r="Q652" s="17"/>
      <c r="R652" s="16"/>
      <c r="S652" s="72"/>
      <c r="T652" s="77"/>
    </row>
    <row r="653" spans="1:20" ht="13.2">
      <c r="A653" s="2"/>
      <c r="B653" s="72"/>
      <c r="C653" s="77"/>
      <c r="D653" s="16"/>
      <c r="E653" s="72"/>
      <c r="F653" s="70"/>
      <c r="G653" s="72"/>
      <c r="H653" s="24"/>
      <c r="J653" s="70"/>
      <c r="K653" s="72"/>
      <c r="L653" s="75"/>
      <c r="M653" s="75"/>
      <c r="N653" s="76"/>
      <c r="O653" s="70"/>
      <c r="P653" s="70"/>
      <c r="Q653" s="17"/>
      <c r="R653" s="16"/>
      <c r="S653" s="72"/>
      <c r="T653" s="77"/>
    </row>
    <row r="654" spans="1:20" ht="13.2">
      <c r="A654" s="2"/>
      <c r="B654" s="72"/>
      <c r="C654" s="77"/>
      <c r="D654" s="16"/>
      <c r="E654" s="72"/>
      <c r="F654" s="70"/>
      <c r="G654" s="72"/>
      <c r="H654" s="24"/>
      <c r="J654" s="70"/>
      <c r="K654" s="72"/>
      <c r="L654" s="75"/>
      <c r="M654" s="75"/>
      <c r="N654" s="76"/>
      <c r="O654" s="70"/>
      <c r="P654" s="70"/>
      <c r="Q654" s="17"/>
      <c r="R654" s="16"/>
      <c r="S654" s="72"/>
      <c r="T654" s="77"/>
    </row>
    <row r="655" spans="1:20" ht="13.2">
      <c r="A655" s="2"/>
      <c r="B655" s="72"/>
      <c r="C655" s="77"/>
      <c r="D655" s="16"/>
      <c r="E655" s="72"/>
      <c r="F655" s="70"/>
      <c r="G655" s="72"/>
      <c r="H655" s="24"/>
      <c r="J655" s="70"/>
      <c r="K655" s="72"/>
      <c r="L655" s="75"/>
      <c r="M655" s="75"/>
      <c r="N655" s="76"/>
      <c r="O655" s="70"/>
      <c r="P655" s="70"/>
      <c r="Q655" s="17"/>
      <c r="R655" s="16"/>
      <c r="S655" s="72"/>
      <c r="T655" s="77"/>
    </row>
    <row r="656" spans="1:20" ht="13.2">
      <c r="A656" s="2"/>
      <c r="B656" s="72"/>
      <c r="C656" s="77"/>
      <c r="D656" s="16"/>
      <c r="E656" s="72"/>
      <c r="F656" s="70"/>
      <c r="G656" s="72"/>
      <c r="H656" s="24"/>
      <c r="J656" s="70"/>
      <c r="K656" s="72"/>
      <c r="L656" s="75"/>
      <c r="M656" s="75"/>
      <c r="N656" s="76"/>
      <c r="O656" s="70"/>
      <c r="P656" s="70"/>
      <c r="Q656" s="17"/>
      <c r="R656" s="16"/>
      <c r="S656" s="72"/>
      <c r="T656" s="77"/>
    </row>
    <row r="657" spans="1:20" ht="13.2">
      <c r="A657" s="2"/>
      <c r="B657" s="72"/>
      <c r="C657" s="77"/>
      <c r="D657" s="16"/>
      <c r="E657" s="72"/>
      <c r="F657" s="70"/>
      <c r="G657" s="72"/>
      <c r="H657" s="24"/>
      <c r="J657" s="70"/>
      <c r="K657" s="72"/>
      <c r="L657" s="75"/>
      <c r="M657" s="75"/>
      <c r="N657" s="76"/>
      <c r="O657" s="70"/>
      <c r="P657" s="70"/>
      <c r="Q657" s="17"/>
      <c r="R657" s="16"/>
      <c r="S657" s="72"/>
      <c r="T657" s="77"/>
    </row>
    <row r="658" spans="1:20" ht="13.2">
      <c r="A658" s="2"/>
      <c r="B658" s="72"/>
      <c r="C658" s="77"/>
      <c r="D658" s="16"/>
      <c r="E658" s="72"/>
      <c r="F658" s="70"/>
      <c r="G658" s="72"/>
      <c r="H658" s="24"/>
      <c r="J658" s="70"/>
      <c r="K658" s="72"/>
      <c r="L658" s="75"/>
      <c r="M658" s="75"/>
      <c r="N658" s="76"/>
      <c r="O658" s="70"/>
      <c r="P658" s="70"/>
      <c r="Q658" s="17"/>
      <c r="R658" s="16"/>
      <c r="S658" s="72"/>
      <c r="T658" s="77"/>
    </row>
    <row r="659" spans="1:20" ht="13.2">
      <c r="A659" s="2"/>
      <c r="B659" s="72"/>
      <c r="C659" s="77"/>
      <c r="D659" s="16"/>
      <c r="E659" s="72"/>
      <c r="F659" s="70"/>
      <c r="G659" s="72"/>
      <c r="H659" s="24"/>
      <c r="J659" s="70"/>
      <c r="K659" s="72"/>
      <c r="L659" s="75"/>
      <c r="M659" s="75"/>
      <c r="N659" s="76"/>
      <c r="O659" s="70"/>
      <c r="P659" s="70"/>
      <c r="Q659" s="17"/>
      <c r="R659" s="16"/>
      <c r="S659" s="72"/>
      <c r="T659" s="77"/>
    </row>
    <row r="660" spans="1:20" ht="13.2">
      <c r="A660" s="2"/>
      <c r="B660" s="72"/>
      <c r="C660" s="77"/>
      <c r="D660" s="16"/>
      <c r="E660" s="72"/>
      <c r="F660" s="70"/>
      <c r="G660" s="72"/>
      <c r="H660" s="24"/>
      <c r="J660" s="70"/>
      <c r="K660" s="72"/>
      <c r="L660" s="75"/>
      <c r="M660" s="75"/>
      <c r="N660" s="76"/>
      <c r="O660" s="70"/>
      <c r="P660" s="70"/>
      <c r="Q660" s="17"/>
      <c r="R660" s="16"/>
      <c r="S660" s="72"/>
      <c r="T660" s="77"/>
    </row>
    <row r="661" spans="1:20" ht="13.2">
      <c r="A661" s="2"/>
      <c r="B661" s="72"/>
      <c r="C661" s="77"/>
      <c r="D661" s="16"/>
      <c r="E661" s="72"/>
      <c r="F661" s="70"/>
      <c r="G661" s="72"/>
      <c r="H661" s="24"/>
      <c r="J661" s="70"/>
      <c r="K661" s="72"/>
      <c r="L661" s="75"/>
      <c r="M661" s="75"/>
      <c r="N661" s="76"/>
      <c r="O661" s="70"/>
      <c r="P661" s="70"/>
      <c r="Q661" s="17"/>
      <c r="R661" s="16"/>
      <c r="S661" s="72"/>
      <c r="T661" s="77"/>
    </row>
    <row r="662" spans="1:20" ht="13.2">
      <c r="A662" s="2"/>
      <c r="B662" s="72"/>
      <c r="C662" s="77"/>
      <c r="D662" s="16"/>
      <c r="E662" s="72"/>
      <c r="F662" s="70"/>
      <c r="G662" s="72"/>
      <c r="H662" s="24"/>
      <c r="J662" s="70"/>
      <c r="K662" s="72"/>
      <c r="L662" s="75"/>
      <c r="M662" s="75"/>
      <c r="N662" s="76"/>
      <c r="O662" s="70"/>
      <c r="P662" s="70"/>
      <c r="Q662" s="17"/>
      <c r="R662" s="16"/>
      <c r="S662" s="72"/>
      <c r="T662" s="77"/>
    </row>
    <row r="663" spans="1:20" ht="13.2">
      <c r="A663" s="2"/>
      <c r="B663" s="72"/>
      <c r="C663" s="77"/>
      <c r="D663" s="16"/>
      <c r="E663" s="72"/>
      <c r="F663" s="70"/>
      <c r="G663" s="72"/>
      <c r="H663" s="24"/>
      <c r="J663" s="70"/>
      <c r="K663" s="72"/>
      <c r="L663" s="75"/>
      <c r="M663" s="75"/>
      <c r="N663" s="76"/>
      <c r="O663" s="70"/>
      <c r="P663" s="70"/>
      <c r="Q663" s="17"/>
      <c r="R663" s="16"/>
      <c r="S663" s="72"/>
      <c r="T663" s="77"/>
    </row>
    <row r="664" spans="1:20" ht="13.2">
      <c r="A664" s="2"/>
      <c r="B664" s="72"/>
      <c r="C664" s="77"/>
      <c r="D664" s="16"/>
      <c r="E664" s="72"/>
      <c r="F664" s="70"/>
      <c r="G664" s="72"/>
      <c r="H664" s="24"/>
      <c r="J664" s="70"/>
      <c r="K664" s="72"/>
      <c r="L664" s="75"/>
      <c r="M664" s="75"/>
      <c r="N664" s="76"/>
      <c r="O664" s="70"/>
      <c r="P664" s="70"/>
      <c r="Q664" s="17"/>
      <c r="R664" s="16"/>
      <c r="S664" s="72"/>
      <c r="T664" s="77"/>
    </row>
    <row r="665" spans="1:20" ht="13.2">
      <c r="A665" s="2"/>
      <c r="B665" s="72"/>
      <c r="C665" s="77"/>
      <c r="D665" s="16"/>
      <c r="E665" s="72"/>
      <c r="F665" s="70"/>
      <c r="G665" s="72"/>
      <c r="H665" s="24"/>
      <c r="J665" s="70"/>
      <c r="K665" s="72"/>
      <c r="L665" s="75"/>
      <c r="M665" s="75"/>
      <c r="N665" s="76"/>
      <c r="O665" s="70"/>
      <c r="P665" s="70"/>
      <c r="Q665" s="17"/>
      <c r="R665" s="16"/>
      <c r="S665" s="72"/>
      <c r="T665" s="77"/>
    </row>
    <row r="666" spans="1:20" ht="13.2">
      <c r="A666" s="2"/>
      <c r="B666" s="72"/>
      <c r="C666" s="77"/>
      <c r="D666" s="16"/>
      <c r="E666" s="72"/>
      <c r="F666" s="70"/>
      <c r="G666" s="72"/>
      <c r="H666" s="24"/>
      <c r="J666" s="70"/>
      <c r="K666" s="72"/>
      <c r="L666" s="75"/>
      <c r="M666" s="75"/>
      <c r="N666" s="76"/>
      <c r="O666" s="70"/>
      <c r="P666" s="70"/>
      <c r="Q666" s="17"/>
      <c r="R666" s="16"/>
      <c r="S666" s="72"/>
      <c r="T666" s="77"/>
    </row>
    <row r="667" spans="1:20" ht="13.2">
      <c r="A667" s="2"/>
      <c r="B667" s="72"/>
      <c r="C667" s="77"/>
      <c r="D667" s="16"/>
      <c r="E667" s="72"/>
      <c r="F667" s="70"/>
      <c r="G667" s="72"/>
      <c r="H667" s="24"/>
      <c r="J667" s="70"/>
      <c r="K667" s="72"/>
      <c r="L667" s="75"/>
      <c r="M667" s="75"/>
      <c r="N667" s="76"/>
      <c r="O667" s="70"/>
      <c r="P667" s="70"/>
      <c r="Q667" s="17"/>
      <c r="R667" s="16"/>
      <c r="S667" s="72"/>
      <c r="T667" s="77"/>
    </row>
    <row r="668" spans="1:20" ht="13.2">
      <c r="A668" s="2"/>
      <c r="B668" s="72"/>
      <c r="C668" s="77"/>
      <c r="D668" s="16"/>
      <c r="E668" s="72"/>
      <c r="F668" s="70"/>
      <c r="G668" s="72"/>
      <c r="H668" s="24"/>
      <c r="J668" s="70"/>
      <c r="K668" s="72"/>
      <c r="L668" s="75"/>
      <c r="M668" s="75"/>
      <c r="N668" s="76"/>
      <c r="O668" s="70"/>
      <c r="P668" s="70"/>
      <c r="Q668" s="17"/>
      <c r="R668" s="16"/>
      <c r="S668" s="72"/>
      <c r="T668" s="77"/>
    </row>
    <row r="669" spans="1:20" ht="13.2">
      <c r="A669" s="2"/>
      <c r="B669" s="72"/>
      <c r="C669" s="77"/>
      <c r="D669" s="16"/>
      <c r="E669" s="72"/>
      <c r="F669" s="70"/>
      <c r="G669" s="72"/>
      <c r="H669" s="24"/>
      <c r="J669" s="70"/>
      <c r="K669" s="72"/>
      <c r="L669" s="75"/>
      <c r="M669" s="75"/>
      <c r="N669" s="76"/>
      <c r="O669" s="70"/>
      <c r="P669" s="70"/>
      <c r="Q669" s="17"/>
      <c r="R669" s="16"/>
      <c r="S669" s="72"/>
      <c r="T669" s="77"/>
    </row>
    <row r="670" spans="1:20" ht="13.2">
      <c r="A670" s="2"/>
      <c r="B670" s="72"/>
      <c r="C670" s="77"/>
      <c r="D670" s="16"/>
      <c r="E670" s="72"/>
      <c r="F670" s="70"/>
      <c r="G670" s="72"/>
      <c r="H670" s="24"/>
      <c r="J670" s="70"/>
      <c r="K670" s="72"/>
      <c r="L670" s="75"/>
      <c r="M670" s="75"/>
      <c r="N670" s="76"/>
      <c r="O670" s="70"/>
      <c r="P670" s="70"/>
      <c r="Q670" s="17"/>
      <c r="R670" s="16"/>
      <c r="S670" s="72"/>
      <c r="T670" s="77"/>
    </row>
    <row r="671" spans="1:20" ht="13.2">
      <c r="A671" s="2"/>
      <c r="B671" s="72"/>
      <c r="C671" s="77"/>
      <c r="D671" s="16"/>
      <c r="E671" s="72"/>
      <c r="F671" s="70"/>
      <c r="G671" s="72"/>
      <c r="H671" s="24"/>
      <c r="J671" s="70"/>
      <c r="K671" s="72"/>
      <c r="L671" s="75"/>
      <c r="M671" s="75"/>
      <c r="N671" s="76"/>
      <c r="O671" s="70"/>
      <c r="P671" s="70"/>
      <c r="Q671" s="17"/>
      <c r="R671" s="16"/>
      <c r="S671" s="72"/>
      <c r="T671" s="77"/>
    </row>
    <row r="672" spans="1:20" ht="13.2">
      <c r="A672" s="2"/>
      <c r="B672" s="72"/>
      <c r="C672" s="77"/>
      <c r="D672" s="16"/>
      <c r="E672" s="72"/>
      <c r="F672" s="70"/>
      <c r="G672" s="72"/>
      <c r="H672" s="24"/>
      <c r="J672" s="70"/>
      <c r="K672" s="72"/>
      <c r="L672" s="75"/>
      <c r="M672" s="75"/>
      <c r="N672" s="76"/>
      <c r="O672" s="70"/>
      <c r="P672" s="70"/>
      <c r="Q672" s="17"/>
      <c r="R672" s="16"/>
      <c r="S672" s="72"/>
      <c r="T672" s="77"/>
    </row>
    <row r="673" spans="1:20" ht="13.2">
      <c r="A673" s="2"/>
      <c r="B673" s="72"/>
      <c r="C673" s="77"/>
      <c r="D673" s="16"/>
      <c r="E673" s="72"/>
      <c r="F673" s="70"/>
      <c r="G673" s="72"/>
      <c r="H673" s="24"/>
      <c r="J673" s="70"/>
      <c r="K673" s="72"/>
      <c r="L673" s="75"/>
      <c r="M673" s="75"/>
      <c r="N673" s="76"/>
      <c r="O673" s="70"/>
      <c r="P673" s="70"/>
      <c r="Q673" s="17"/>
      <c r="R673" s="16"/>
      <c r="S673" s="72"/>
      <c r="T673" s="77"/>
    </row>
    <row r="674" spans="1:20" ht="13.2">
      <c r="A674" s="2"/>
      <c r="B674" s="72"/>
      <c r="C674" s="77"/>
      <c r="D674" s="16"/>
      <c r="E674" s="72"/>
      <c r="F674" s="70"/>
      <c r="G674" s="72"/>
      <c r="H674" s="24"/>
      <c r="J674" s="70"/>
      <c r="K674" s="72"/>
      <c r="L674" s="75"/>
      <c r="M674" s="75"/>
      <c r="N674" s="76"/>
      <c r="O674" s="70"/>
      <c r="P674" s="70"/>
      <c r="Q674" s="17"/>
      <c r="R674" s="16"/>
      <c r="S674" s="72"/>
      <c r="T674" s="77"/>
    </row>
    <row r="675" spans="1:20" ht="13.2">
      <c r="A675" s="2"/>
      <c r="B675" s="72"/>
      <c r="C675" s="77"/>
      <c r="D675" s="16"/>
      <c r="E675" s="72"/>
      <c r="F675" s="70"/>
      <c r="G675" s="72"/>
      <c r="H675" s="24"/>
      <c r="J675" s="70"/>
      <c r="K675" s="72"/>
      <c r="L675" s="75"/>
      <c r="M675" s="75"/>
      <c r="N675" s="76"/>
      <c r="O675" s="70"/>
      <c r="P675" s="70"/>
      <c r="Q675" s="17"/>
      <c r="R675" s="16"/>
      <c r="S675" s="72"/>
      <c r="T675" s="77"/>
    </row>
    <row r="676" spans="1:20" ht="13.2">
      <c r="A676" s="2"/>
      <c r="B676" s="72"/>
      <c r="C676" s="77"/>
      <c r="D676" s="16"/>
      <c r="E676" s="72"/>
      <c r="F676" s="70"/>
      <c r="G676" s="72"/>
      <c r="H676" s="24"/>
      <c r="J676" s="70"/>
      <c r="K676" s="72"/>
      <c r="L676" s="75"/>
      <c r="M676" s="75"/>
      <c r="N676" s="76"/>
      <c r="O676" s="70"/>
      <c r="P676" s="70"/>
      <c r="Q676" s="17"/>
      <c r="R676" s="16"/>
      <c r="S676" s="72"/>
      <c r="T676" s="77"/>
    </row>
    <row r="677" spans="1:20" ht="13.2">
      <c r="A677" s="2"/>
      <c r="B677" s="72"/>
      <c r="C677" s="77"/>
      <c r="D677" s="16"/>
      <c r="E677" s="72"/>
      <c r="F677" s="70"/>
      <c r="G677" s="72"/>
      <c r="H677" s="24"/>
      <c r="J677" s="70"/>
      <c r="K677" s="72"/>
      <c r="L677" s="75"/>
      <c r="M677" s="75"/>
      <c r="N677" s="76"/>
      <c r="O677" s="70"/>
      <c r="P677" s="70"/>
      <c r="Q677" s="17"/>
      <c r="R677" s="16"/>
      <c r="S677" s="72"/>
      <c r="T677" s="77"/>
    </row>
    <row r="678" spans="1:20" ht="13.2">
      <c r="A678" s="2"/>
      <c r="B678" s="72"/>
      <c r="C678" s="77"/>
      <c r="D678" s="16"/>
      <c r="E678" s="72"/>
      <c r="F678" s="70"/>
      <c r="G678" s="72"/>
      <c r="H678" s="24"/>
      <c r="J678" s="70"/>
      <c r="K678" s="72"/>
      <c r="L678" s="75"/>
      <c r="M678" s="75"/>
      <c r="N678" s="76"/>
      <c r="O678" s="70"/>
      <c r="P678" s="70"/>
      <c r="Q678" s="17"/>
      <c r="R678" s="16"/>
      <c r="S678" s="72"/>
      <c r="T678" s="77"/>
    </row>
    <row r="679" spans="1:20" ht="13.2">
      <c r="A679" s="2"/>
      <c r="B679" s="72"/>
      <c r="C679" s="77"/>
      <c r="D679" s="16"/>
      <c r="E679" s="72"/>
      <c r="F679" s="70"/>
      <c r="G679" s="72"/>
      <c r="H679" s="24"/>
      <c r="J679" s="70"/>
      <c r="K679" s="72"/>
      <c r="L679" s="75"/>
      <c r="M679" s="75"/>
      <c r="N679" s="76"/>
      <c r="O679" s="70"/>
      <c r="P679" s="70"/>
      <c r="Q679" s="17"/>
      <c r="R679" s="16"/>
      <c r="S679" s="72"/>
      <c r="T679" s="77"/>
    </row>
    <row r="680" spans="1:20" ht="13.2">
      <c r="A680" s="2"/>
      <c r="B680" s="72"/>
      <c r="C680" s="77"/>
      <c r="D680" s="16"/>
      <c r="E680" s="72"/>
      <c r="F680" s="70"/>
      <c r="G680" s="72"/>
      <c r="H680" s="24"/>
      <c r="J680" s="70"/>
      <c r="K680" s="72"/>
      <c r="L680" s="75"/>
      <c r="M680" s="75"/>
      <c r="N680" s="76"/>
      <c r="O680" s="70"/>
      <c r="P680" s="70"/>
      <c r="Q680" s="17"/>
      <c r="R680" s="16"/>
      <c r="S680" s="72"/>
      <c r="T680" s="77"/>
    </row>
    <row r="681" spans="1:20" ht="13.2">
      <c r="A681" s="2"/>
      <c r="B681" s="72"/>
      <c r="C681" s="77"/>
      <c r="D681" s="16"/>
      <c r="E681" s="72"/>
      <c r="F681" s="70"/>
      <c r="G681" s="72"/>
      <c r="H681" s="24"/>
      <c r="J681" s="70"/>
      <c r="K681" s="72"/>
      <c r="L681" s="75"/>
      <c r="M681" s="75"/>
      <c r="N681" s="76"/>
      <c r="O681" s="70"/>
      <c r="P681" s="70"/>
      <c r="Q681" s="17"/>
      <c r="R681" s="16"/>
      <c r="S681" s="72"/>
      <c r="T681" s="77"/>
    </row>
    <row r="682" spans="1:20" ht="13.2">
      <c r="A682" s="2"/>
      <c r="B682" s="72"/>
      <c r="C682" s="77"/>
      <c r="D682" s="16"/>
      <c r="E682" s="72"/>
      <c r="F682" s="70"/>
      <c r="G682" s="72"/>
      <c r="H682" s="24"/>
      <c r="J682" s="70"/>
      <c r="K682" s="72"/>
      <c r="L682" s="75"/>
      <c r="M682" s="75"/>
      <c r="N682" s="76"/>
      <c r="O682" s="70"/>
      <c r="P682" s="70"/>
      <c r="Q682" s="17"/>
      <c r="R682" s="16"/>
      <c r="S682" s="72"/>
      <c r="T682" s="77"/>
    </row>
    <row r="683" spans="1:20" ht="13.2">
      <c r="A683" s="2"/>
      <c r="B683" s="72"/>
      <c r="C683" s="77"/>
      <c r="D683" s="16"/>
      <c r="E683" s="72"/>
      <c r="F683" s="70"/>
      <c r="G683" s="72"/>
      <c r="H683" s="24"/>
      <c r="J683" s="70"/>
      <c r="K683" s="72"/>
      <c r="L683" s="75"/>
      <c r="M683" s="75"/>
      <c r="N683" s="76"/>
      <c r="O683" s="70"/>
      <c r="P683" s="70"/>
      <c r="Q683" s="17"/>
      <c r="R683" s="16"/>
      <c r="S683" s="72"/>
      <c r="T683" s="77"/>
    </row>
    <row r="684" spans="1:20" ht="13.2">
      <c r="A684" s="2"/>
      <c r="B684" s="72"/>
      <c r="C684" s="77"/>
      <c r="D684" s="16"/>
      <c r="E684" s="72"/>
      <c r="F684" s="70"/>
      <c r="G684" s="72"/>
      <c r="H684" s="24"/>
      <c r="J684" s="70"/>
      <c r="K684" s="72"/>
      <c r="L684" s="75"/>
      <c r="M684" s="75"/>
      <c r="N684" s="76"/>
      <c r="O684" s="70"/>
      <c r="P684" s="70"/>
      <c r="Q684" s="17"/>
      <c r="R684" s="16"/>
      <c r="S684" s="72"/>
      <c r="T684" s="77"/>
    </row>
    <row r="685" spans="1:20" ht="13.2">
      <c r="A685" s="2"/>
      <c r="B685" s="72"/>
      <c r="C685" s="77"/>
      <c r="D685" s="16"/>
      <c r="E685" s="72"/>
      <c r="F685" s="70"/>
      <c r="G685" s="72"/>
      <c r="H685" s="24"/>
      <c r="J685" s="70"/>
      <c r="K685" s="72"/>
      <c r="L685" s="75"/>
      <c r="M685" s="75"/>
      <c r="N685" s="76"/>
      <c r="O685" s="70"/>
      <c r="P685" s="70"/>
      <c r="Q685" s="17"/>
      <c r="R685" s="16"/>
      <c r="S685" s="72"/>
      <c r="T685" s="77"/>
    </row>
    <row r="686" spans="1:20" ht="13.2">
      <c r="A686" s="2"/>
      <c r="B686" s="72"/>
      <c r="C686" s="77"/>
      <c r="D686" s="16"/>
      <c r="E686" s="72"/>
      <c r="F686" s="70"/>
      <c r="G686" s="72"/>
      <c r="H686" s="24"/>
      <c r="J686" s="70"/>
      <c r="K686" s="72"/>
      <c r="L686" s="75"/>
      <c r="M686" s="75"/>
      <c r="N686" s="76"/>
      <c r="O686" s="70"/>
      <c r="P686" s="70"/>
      <c r="Q686" s="17"/>
      <c r="R686" s="16"/>
      <c r="S686" s="72"/>
      <c r="T686" s="77"/>
    </row>
    <row r="687" spans="1:20" ht="13.2">
      <c r="A687" s="2"/>
      <c r="B687" s="72"/>
      <c r="C687" s="77"/>
      <c r="D687" s="16"/>
      <c r="E687" s="72"/>
      <c r="F687" s="70"/>
      <c r="G687" s="72"/>
      <c r="H687" s="24"/>
      <c r="J687" s="70"/>
      <c r="K687" s="72"/>
      <c r="L687" s="75"/>
      <c r="M687" s="75"/>
      <c r="N687" s="76"/>
      <c r="O687" s="70"/>
      <c r="P687" s="70"/>
      <c r="Q687" s="17"/>
      <c r="R687" s="16"/>
      <c r="S687" s="72"/>
      <c r="T687" s="77"/>
    </row>
    <row r="688" spans="1:20" ht="13.2">
      <c r="A688" s="2"/>
      <c r="B688" s="72"/>
      <c r="C688" s="77"/>
      <c r="D688" s="16"/>
      <c r="E688" s="72"/>
      <c r="F688" s="70"/>
      <c r="G688" s="72"/>
      <c r="H688" s="24"/>
      <c r="J688" s="70"/>
      <c r="K688" s="72"/>
      <c r="L688" s="75"/>
      <c r="M688" s="75"/>
      <c r="N688" s="76"/>
      <c r="O688" s="70"/>
      <c r="P688" s="70"/>
      <c r="Q688" s="17"/>
      <c r="R688" s="16"/>
      <c r="S688" s="72"/>
      <c r="T688" s="77"/>
    </row>
    <row r="689" spans="1:20" ht="13.2">
      <c r="A689" s="2"/>
      <c r="B689" s="72"/>
      <c r="C689" s="77"/>
      <c r="D689" s="16"/>
      <c r="E689" s="72"/>
      <c r="F689" s="70"/>
      <c r="G689" s="72"/>
      <c r="H689" s="24"/>
      <c r="J689" s="70"/>
      <c r="K689" s="72"/>
      <c r="L689" s="75"/>
      <c r="M689" s="75"/>
      <c r="N689" s="76"/>
      <c r="O689" s="70"/>
      <c r="P689" s="70"/>
      <c r="Q689" s="17"/>
      <c r="R689" s="16"/>
      <c r="S689" s="72"/>
      <c r="T689" s="77"/>
    </row>
    <row r="690" spans="1:20" ht="13.2">
      <c r="A690" s="2"/>
      <c r="B690" s="72"/>
      <c r="C690" s="77"/>
      <c r="D690" s="16"/>
      <c r="E690" s="72"/>
      <c r="F690" s="70"/>
      <c r="G690" s="72"/>
      <c r="H690" s="24"/>
      <c r="J690" s="70"/>
      <c r="K690" s="72"/>
      <c r="L690" s="75"/>
      <c r="M690" s="75"/>
      <c r="N690" s="76"/>
      <c r="O690" s="70"/>
      <c r="P690" s="70"/>
      <c r="Q690" s="17"/>
      <c r="R690" s="16"/>
      <c r="S690" s="72"/>
      <c r="T690" s="77"/>
    </row>
    <row r="691" spans="1:20" ht="13.2">
      <c r="A691" s="2"/>
      <c r="B691" s="72"/>
      <c r="C691" s="77"/>
      <c r="D691" s="16"/>
      <c r="E691" s="72"/>
      <c r="F691" s="70"/>
      <c r="G691" s="72"/>
      <c r="H691" s="24"/>
      <c r="J691" s="70"/>
      <c r="K691" s="72"/>
      <c r="L691" s="75"/>
      <c r="M691" s="75"/>
      <c r="N691" s="76"/>
      <c r="O691" s="70"/>
      <c r="P691" s="70"/>
      <c r="Q691" s="17"/>
      <c r="R691" s="16"/>
      <c r="S691" s="72"/>
      <c r="T691" s="77"/>
    </row>
    <row r="692" spans="1:20" ht="13.2">
      <c r="A692" s="2"/>
      <c r="B692" s="72"/>
      <c r="C692" s="77"/>
      <c r="D692" s="16"/>
      <c r="E692" s="72"/>
      <c r="F692" s="70"/>
      <c r="G692" s="72"/>
      <c r="H692" s="24"/>
      <c r="J692" s="70"/>
      <c r="K692" s="72"/>
      <c r="L692" s="75"/>
      <c r="M692" s="75"/>
      <c r="N692" s="76"/>
      <c r="O692" s="70"/>
      <c r="P692" s="70"/>
      <c r="Q692" s="17"/>
      <c r="R692" s="16"/>
      <c r="S692" s="72"/>
      <c r="T692" s="77"/>
    </row>
    <row r="693" spans="1:20" ht="13.2">
      <c r="A693" s="2"/>
      <c r="B693" s="72"/>
      <c r="C693" s="77"/>
      <c r="D693" s="16"/>
      <c r="E693" s="72"/>
      <c r="F693" s="70"/>
      <c r="G693" s="72"/>
      <c r="H693" s="24"/>
      <c r="J693" s="70"/>
      <c r="K693" s="72"/>
      <c r="L693" s="75"/>
      <c r="M693" s="75"/>
      <c r="N693" s="76"/>
      <c r="O693" s="70"/>
      <c r="P693" s="70"/>
      <c r="Q693" s="17"/>
      <c r="R693" s="16"/>
      <c r="S693" s="72"/>
      <c r="T693" s="77"/>
    </row>
    <row r="694" spans="1:20" ht="13.2">
      <c r="A694" s="2"/>
      <c r="B694" s="72"/>
      <c r="C694" s="77"/>
      <c r="D694" s="16"/>
      <c r="E694" s="72"/>
      <c r="F694" s="70"/>
      <c r="G694" s="72"/>
      <c r="H694" s="24"/>
      <c r="J694" s="70"/>
      <c r="K694" s="72"/>
      <c r="L694" s="75"/>
      <c r="M694" s="75"/>
      <c r="N694" s="76"/>
      <c r="O694" s="70"/>
      <c r="P694" s="70"/>
      <c r="Q694" s="17"/>
      <c r="R694" s="16"/>
      <c r="S694" s="72"/>
      <c r="T694" s="77"/>
    </row>
    <row r="695" spans="1:20" ht="13.2">
      <c r="A695" s="2"/>
      <c r="B695" s="72"/>
      <c r="C695" s="77"/>
      <c r="D695" s="16"/>
      <c r="E695" s="72"/>
      <c r="F695" s="70"/>
      <c r="G695" s="72"/>
      <c r="H695" s="24"/>
      <c r="J695" s="70"/>
      <c r="K695" s="72"/>
      <c r="L695" s="75"/>
      <c r="M695" s="75"/>
      <c r="N695" s="76"/>
      <c r="O695" s="70"/>
      <c r="P695" s="70"/>
      <c r="Q695" s="17"/>
      <c r="R695" s="16"/>
      <c r="S695" s="72"/>
      <c r="T695" s="77"/>
    </row>
    <row r="696" spans="1:20" ht="13.2">
      <c r="A696" s="2"/>
      <c r="B696" s="72"/>
      <c r="C696" s="77"/>
      <c r="D696" s="16"/>
      <c r="E696" s="72"/>
      <c r="F696" s="70"/>
      <c r="G696" s="72"/>
      <c r="H696" s="24"/>
      <c r="J696" s="70"/>
      <c r="K696" s="72"/>
      <c r="L696" s="75"/>
      <c r="M696" s="75"/>
      <c r="N696" s="76"/>
      <c r="O696" s="70"/>
      <c r="P696" s="70"/>
      <c r="Q696" s="17"/>
      <c r="R696" s="16"/>
      <c r="S696" s="72"/>
      <c r="T696" s="77"/>
    </row>
    <row r="697" spans="1:20" ht="13.2">
      <c r="A697" s="2"/>
      <c r="B697" s="72"/>
      <c r="C697" s="77"/>
      <c r="D697" s="16"/>
      <c r="E697" s="72"/>
      <c r="F697" s="70"/>
      <c r="G697" s="72"/>
      <c r="H697" s="24"/>
      <c r="J697" s="70"/>
      <c r="K697" s="72"/>
      <c r="L697" s="75"/>
      <c r="M697" s="75"/>
      <c r="N697" s="76"/>
      <c r="O697" s="70"/>
      <c r="P697" s="70"/>
      <c r="Q697" s="17"/>
      <c r="R697" s="16"/>
      <c r="S697" s="72"/>
      <c r="T697" s="77"/>
    </row>
    <row r="698" spans="1:20" ht="13.2">
      <c r="A698" s="2"/>
      <c r="B698" s="72"/>
      <c r="C698" s="77"/>
      <c r="D698" s="16"/>
      <c r="E698" s="72"/>
      <c r="F698" s="70"/>
      <c r="G698" s="72"/>
      <c r="H698" s="24"/>
      <c r="J698" s="70"/>
      <c r="K698" s="72"/>
      <c r="L698" s="75"/>
      <c r="M698" s="75"/>
      <c r="N698" s="76"/>
      <c r="O698" s="70"/>
      <c r="P698" s="70"/>
      <c r="Q698" s="17"/>
      <c r="R698" s="16"/>
      <c r="S698" s="72"/>
      <c r="T698" s="77"/>
    </row>
    <row r="699" spans="1:20" ht="13.2">
      <c r="A699" s="2"/>
      <c r="B699" s="72"/>
      <c r="C699" s="77"/>
      <c r="D699" s="16"/>
      <c r="E699" s="72"/>
      <c r="F699" s="70"/>
      <c r="G699" s="72"/>
      <c r="H699" s="24"/>
      <c r="J699" s="70"/>
      <c r="K699" s="72"/>
      <c r="L699" s="75"/>
      <c r="M699" s="75"/>
      <c r="N699" s="76"/>
      <c r="O699" s="70"/>
      <c r="P699" s="70"/>
      <c r="Q699" s="17"/>
      <c r="R699" s="16"/>
      <c r="S699" s="72"/>
      <c r="T699" s="77"/>
    </row>
    <row r="700" spans="1:20" ht="13.2">
      <c r="A700" s="2"/>
      <c r="B700" s="72"/>
      <c r="C700" s="77"/>
      <c r="D700" s="16"/>
      <c r="E700" s="72"/>
      <c r="F700" s="70"/>
      <c r="G700" s="72"/>
      <c r="H700" s="24"/>
      <c r="J700" s="70"/>
      <c r="K700" s="72"/>
      <c r="L700" s="75"/>
      <c r="M700" s="75"/>
      <c r="N700" s="76"/>
      <c r="O700" s="70"/>
      <c r="P700" s="70"/>
      <c r="Q700" s="17"/>
      <c r="R700" s="16"/>
      <c r="S700" s="72"/>
      <c r="T700" s="77"/>
    </row>
    <row r="701" spans="1:20" ht="13.2">
      <c r="A701" s="2"/>
      <c r="B701" s="72"/>
      <c r="C701" s="77"/>
      <c r="D701" s="16"/>
      <c r="E701" s="72"/>
      <c r="F701" s="70"/>
      <c r="G701" s="72"/>
      <c r="H701" s="24"/>
      <c r="J701" s="70"/>
      <c r="K701" s="72"/>
      <c r="L701" s="75"/>
      <c r="M701" s="75"/>
      <c r="N701" s="76"/>
      <c r="O701" s="70"/>
      <c r="P701" s="70"/>
      <c r="Q701" s="17"/>
      <c r="R701" s="16"/>
      <c r="S701" s="72"/>
      <c r="T701" s="77"/>
    </row>
    <row r="702" spans="1:20" ht="13.2">
      <c r="A702" s="2"/>
      <c r="B702" s="72"/>
      <c r="C702" s="77"/>
      <c r="D702" s="16"/>
      <c r="E702" s="72"/>
      <c r="F702" s="70"/>
      <c r="G702" s="72"/>
      <c r="H702" s="24"/>
      <c r="J702" s="70"/>
      <c r="K702" s="72"/>
      <c r="L702" s="75"/>
      <c r="M702" s="75"/>
      <c r="N702" s="76"/>
      <c r="O702" s="70"/>
      <c r="P702" s="70"/>
      <c r="Q702" s="17"/>
      <c r="R702" s="16"/>
      <c r="S702" s="72"/>
      <c r="T702" s="77"/>
    </row>
    <row r="703" spans="1:20" ht="13.2">
      <c r="A703" s="2"/>
      <c r="B703" s="72"/>
      <c r="C703" s="77"/>
      <c r="D703" s="16"/>
      <c r="E703" s="72"/>
      <c r="F703" s="70"/>
      <c r="G703" s="72"/>
      <c r="H703" s="24"/>
      <c r="J703" s="70"/>
      <c r="K703" s="72"/>
      <c r="L703" s="75"/>
      <c r="M703" s="75"/>
      <c r="N703" s="76"/>
      <c r="O703" s="70"/>
      <c r="P703" s="70"/>
      <c r="Q703" s="17"/>
      <c r="R703" s="16"/>
      <c r="S703" s="72"/>
      <c r="T703" s="77"/>
    </row>
    <row r="704" spans="1:20" ht="13.2">
      <c r="A704" s="2"/>
      <c r="B704" s="72"/>
      <c r="C704" s="77"/>
      <c r="D704" s="16"/>
      <c r="E704" s="72"/>
      <c r="F704" s="70"/>
      <c r="G704" s="72"/>
      <c r="H704" s="24"/>
      <c r="J704" s="70"/>
      <c r="K704" s="72"/>
      <c r="L704" s="75"/>
      <c r="M704" s="75"/>
      <c r="N704" s="76"/>
      <c r="O704" s="70"/>
      <c r="P704" s="70"/>
      <c r="Q704" s="17"/>
      <c r="R704" s="16"/>
      <c r="S704" s="72"/>
      <c r="T704" s="77"/>
    </row>
    <row r="705" spans="1:20" ht="13.2">
      <c r="A705" s="2"/>
      <c r="B705" s="72"/>
      <c r="C705" s="77"/>
      <c r="D705" s="16"/>
      <c r="E705" s="72"/>
      <c r="F705" s="70"/>
      <c r="G705" s="72"/>
      <c r="H705" s="24"/>
      <c r="J705" s="70"/>
      <c r="K705" s="72"/>
      <c r="L705" s="75"/>
      <c r="M705" s="75"/>
      <c r="N705" s="76"/>
      <c r="O705" s="70"/>
      <c r="P705" s="70"/>
      <c r="Q705" s="17"/>
      <c r="R705" s="16"/>
      <c r="S705" s="72"/>
      <c r="T705" s="77"/>
    </row>
    <row r="706" spans="1:20" ht="13.2">
      <c r="A706" s="2"/>
      <c r="B706" s="72"/>
      <c r="C706" s="77"/>
      <c r="D706" s="16"/>
      <c r="E706" s="72"/>
      <c r="F706" s="70"/>
      <c r="G706" s="72"/>
      <c r="H706" s="24"/>
      <c r="J706" s="70"/>
      <c r="K706" s="72"/>
      <c r="L706" s="75"/>
      <c r="M706" s="75"/>
      <c r="N706" s="76"/>
      <c r="O706" s="70"/>
      <c r="P706" s="70"/>
      <c r="Q706" s="17"/>
      <c r="R706" s="16"/>
      <c r="S706" s="72"/>
      <c r="T706" s="77"/>
    </row>
    <row r="707" spans="1:20" ht="13.2">
      <c r="A707" s="2"/>
      <c r="B707" s="72"/>
      <c r="C707" s="77"/>
      <c r="D707" s="16"/>
      <c r="E707" s="72"/>
      <c r="F707" s="70"/>
      <c r="G707" s="72"/>
      <c r="H707" s="24"/>
      <c r="J707" s="70"/>
      <c r="K707" s="72"/>
      <c r="L707" s="75"/>
      <c r="M707" s="75"/>
      <c r="N707" s="76"/>
      <c r="O707" s="70"/>
      <c r="P707" s="70"/>
      <c r="Q707" s="17"/>
      <c r="R707" s="16"/>
      <c r="S707" s="72"/>
      <c r="T707" s="77"/>
    </row>
    <row r="708" spans="1:20" ht="13.2">
      <c r="A708" s="2"/>
      <c r="B708" s="72"/>
      <c r="C708" s="77"/>
      <c r="D708" s="16"/>
      <c r="E708" s="72"/>
      <c r="F708" s="70"/>
      <c r="G708" s="72"/>
      <c r="H708" s="24"/>
      <c r="J708" s="70"/>
      <c r="K708" s="72"/>
      <c r="L708" s="75"/>
      <c r="M708" s="75"/>
      <c r="N708" s="76"/>
      <c r="O708" s="70"/>
      <c r="P708" s="70"/>
      <c r="Q708" s="17"/>
      <c r="R708" s="16"/>
      <c r="S708" s="72"/>
      <c r="T708" s="77"/>
    </row>
    <row r="709" spans="1:20" ht="13.2">
      <c r="A709" s="2"/>
      <c r="B709" s="72"/>
      <c r="C709" s="77"/>
      <c r="D709" s="16"/>
      <c r="E709" s="72"/>
      <c r="F709" s="70"/>
      <c r="G709" s="72"/>
      <c r="H709" s="24"/>
      <c r="J709" s="70"/>
      <c r="K709" s="72"/>
      <c r="L709" s="75"/>
      <c r="M709" s="75"/>
      <c r="N709" s="76"/>
      <c r="O709" s="70"/>
      <c r="P709" s="70"/>
      <c r="Q709" s="17"/>
      <c r="R709" s="16"/>
      <c r="S709" s="72"/>
      <c r="T709" s="77"/>
    </row>
    <row r="710" spans="1:20" ht="13.2">
      <c r="A710" s="2"/>
      <c r="B710" s="72"/>
      <c r="C710" s="77"/>
      <c r="D710" s="16"/>
      <c r="E710" s="72"/>
      <c r="F710" s="70"/>
      <c r="G710" s="72"/>
      <c r="H710" s="24"/>
      <c r="J710" s="70"/>
      <c r="K710" s="72"/>
      <c r="L710" s="75"/>
      <c r="M710" s="75"/>
      <c r="N710" s="76"/>
      <c r="O710" s="70"/>
      <c r="P710" s="70"/>
      <c r="Q710" s="17"/>
      <c r="R710" s="16"/>
      <c r="S710" s="72"/>
      <c r="T710" s="77"/>
    </row>
    <row r="711" spans="1:20" ht="13.2">
      <c r="A711" s="2"/>
      <c r="B711" s="72"/>
      <c r="C711" s="77"/>
      <c r="D711" s="16"/>
      <c r="E711" s="72"/>
      <c r="F711" s="70"/>
      <c r="G711" s="72"/>
      <c r="H711" s="24"/>
      <c r="J711" s="70"/>
      <c r="K711" s="72"/>
      <c r="L711" s="75"/>
      <c r="M711" s="75"/>
      <c r="N711" s="76"/>
      <c r="O711" s="70"/>
      <c r="P711" s="70"/>
      <c r="Q711" s="17"/>
      <c r="R711" s="16"/>
      <c r="S711" s="72"/>
      <c r="T711" s="77"/>
    </row>
    <row r="712" spans="1:20" ht="13.2">
      <c r="A712" s="2"/>
      <c r="B712" s="72"/>
      <c r="C712" s="77"/>
      <c r="D712" s="16"/>
      <c r="E712" s="72"/>
      <c r="F712" s="70"/>
      <c r="G712" s="72"/>
      <c r="H712" s="24"/>
      <c r="J712" s="70"/>
      <c r="K712" s="72"/>
      <c r="L712" s="75"/>
      <c r="M712" s="75"/>
      <c r="N712" s="76"/>
      <c r="O712" s="70"/>
      <c r="P712" s="70"/>
      <c r="Q712" s="17"/>
      <c r="R712" s="16"/>
      <c r="S712" s="72"/>
      <c r="T712" s="77"/>
    </row>
    <row r="713" spans="1:20" ht="13.2">
      <c r="A713" s="2"/>
      <c r="B713" s="72"/>
      <c r="C713" s="77"/>
      <c r="D713" s="16"/>
      <c r="E713" s="72"/>
      <c r="F713" s="70"/>
      <c r="G713" s="72"/>
      <c r="H713" s="24"/>
      <c r="J713" s="70"/>
      <c r="K713" s="72"/>
      <c r="L713" s="75"/>
      <c r="M713" s="75"/>
      <c r="N713" s="76"/>
      <c r="O713" s="70"/>
      <c r="P713" s="70"/>
      <c r="Q713" s="17"/>
      <c r="R713" s="16"/>
      <c r="S713" s="72"/>
      <c r="T713" s="77"/>
    </row>
    <row r="714" spans="1:20" ht="13.2">
      <c r="A714" s="2"/>
      <c r="B714" s="72"/>
      <c r="C714" s="77"/>
      <c r="D714" s="16"/>
      <c r="E714" s="72"/>
      <c r="F714" s="70"/>
      <c r="G714" s="72"/>
      <c r="H714" s="24"/>
      <c r="J714" s="70"/>
      <c r="K714" s="72"/>
      <c r="L714" s="75"/>
      <c r="M714" s="75"/>
      <c r="N714" s="76"/>
      <c r="O714" s="70"/>
      <c r="P714" s="70"/>
      <c r="Q714" s="17"/>
      <c r="R714" s="16"/>
      <c r="S714" s="72"/>
      <c r="T714" s="77"/>
    </row>
    <row r="715" spans="1:20" ht="13.2">
      <c r="A715" s="2"/>
      <c r="B715" s="72"/>
      <c r="C715" s="77"/>
      <c r="D715" s="16"/>
      <c r="E715" s="72"/>
      <c r="F715" s="70"/>
      <c r="G715" s="72"/>
      <c r="H715" s="24"/>
      <c r="J715" s="70"/>
      <c r="K715" s="72"/>
      <c r="L715" s="75"/>
      <c r="M715" s="75"/>
      <c r="N715" s="76"/>
      <c r="O715" s="70"/>
      <c r="P715" s="70"/>
      <c r="Q715" s="17"/>
      <c r="R715" s="16"/>
      <c r="S715" s="72"/>
      <c r="T715" s="77"/>
    </row>
    <row r="716" spans="1:20" ht="13.2">
      <c r="A716" s="2"/>
      <c r="B716" s="72"/>
      <c r="C716" s="77"/>
      <c r="D716" s="16"/>
      <c r="E716" s="72"/>
      <c r="F716" s="70"/>
      <c r="G716" s="72"/>
      <c r="H716" s="24"/>
      <c r="J716" s="70"/>
      <c r="K716" s="72"/>
      <c r="L716" s="75"/>
      <c r="M716" s="75"/>
      <c r="N716" s="76"/>
      <c r="O716" s="70"/>
      <c r="P716" s="70"/>
      <c r="Q716" s="17"/>
      <c r="R716" s="16"/>
      <c r="S716" s="72"/>
      <c r="T716" s="77"/>
    </row>
    <row r="717" spans="1:20" ht="13.2">
      <c r="A717" s="2"/>
      <c r="B717" s="72"/>
      <c r="C717" s="77"/>
      <c r="D717" s="16"/>
      <c r="E717" s="72"/>
      <c r="F717" s="70"/>
      <c r="G717" s="72"/>
      <c r="H717" s="24"/>
      <c r="J717" s="70"/>
      <c r="K717" s="72"/>
      <c r="L717" s="75"/>
      <c r="M717" s="75"/>
      <c r="N717" s="76"/>
      <c r="O717" s="70"/>
      <c r="P717" s="70"/>
      <c r="Q717" s="17"/>
      <c r="R717" s="16"/>
      <c r="S717" s="72"/>
      <c r="T717" s="77"/>
    </row>
    <row r="718" spans="1:20" ht="13.2">
      <c r="A718" s="2"/>
      <c r="B718" s="72"/>
      <c r="C718" s="77"/>
      <c r="D718" s="16"/>
      <c r="E718" s="72"/>
      <c r="F718" s="70"/>
      <c r="G718" s="72"/>
      <c r="H718" s="24"/>
      <c r="J718" s="70"/>
      <c r="K718" s="72"/>
      <c r="L718" s="75"/>
      <c r="M718" s="75"/>
      <c r="N718" s="76"/>
      <c r="O718" s="70"/>
      <c r="P718" s="70"/>
      <c r="Q718" s="17"/>
      <c r="R718" s="16"/>
      <c r="S718" s="72"/>
      <c r="T718" s="77"/>
    </row>
    <row r="719" spans="1:20" ht="13.2">
      <c r="A719" s="2"/>
      <c r="B719" s="72"/>
      <c r="C719" s="77"/>
      <c r="D719" s="16"/>
      <c r="E719" s="72"/>
      <c r="F719" s="70"/>
      <c r="G719" s="72"/>
      <c r="H719" s="24"/>
      <c r="J719" s="70"/>
      <c r="K719" s="72"/>
      <c r="L719" s="75"/>
      <c r="M719" s="75"/>
      <c r="N719" s="76"/>
      <c r="O719" s="70"/>
      <c r="P719" s="70"/>
      <c r="Q719" s="17"/>
      <c r="R719" s="16"/>
      <c r="S719" s="72"/>
      <c r="T719" s="77"/>
    </row>
    <row r="720" spans="1:20" ht="13.2">
      <c r="A720" s="2"/>
      <c r="B720" s="72"/>
      <c r="C720" s="77"/>
      <c r="D720" s="16"/>
      <c r="E720" s="72"/>
      <c r="F720" s="70"/>
      <c r="G720" s="72"/>
      <c r="H720" s="24"/>
      <c r="J720" s="70"/>
      <c r="K720" s="72"/>
      <c r="L720" s="75"/>
      <c r="M720" s="75"/>
      <c r="N720" s="76"/>
      <c r="O720" s="70"/>
      <c r="P720" s="70"/>
      <c r="Q720" s="17"/>
      <c r="R720" s="16"/>
      <c r="S720" s="72"/>
      <c r="T720" s="77"/>
    </row>
    <row r="721" spans="1:20" ht="13.2">
      <c r="A721" s="2"/>
      <c r="B721" s="72"/>
      <c r="C721" s="77"/>
      <c r="D721" s="16"/>
      <c r="E721" s="72"/>
      <c r="F721" s="70"/>
      <c r="G721" s="72"/>
      <c r="H721" s="24"/>
      <c r="J721" s="70"/>
      <c r="K721" s="72"/>
      <c r="L721" s="75"/>
      <c r="M721" s="75"/>
      <c r="N721" s="76"/>
      <c r="O721" s="70"/>
      <c r="P721" s="70"/>
      <c r="Q721" s="17"/>
      <c r="R721" s="16"/>
      <c r="S721" s="72"/>
      <c r="T721" s="77"/>
    </row>
    <row r="722" spans="1:20" ht="13.2">
      <c r="A722" s="2"/>
      <c r="B722" s="72"/>
      <c r="C722" s="77"/>
      <c r="D722" s="16"/>
      <c r="E722" s="72"/>
      <c r="F722" s="70"/>
      <c r="G722" s="72"/>
      <c r="H722" s="24"/>
      <c r="J722" s="70"/>
      <c r="K722" s="72"/>
      <c r="L722" s="75"/>
      <c r="M722" s="75"/>
      <c r="N722" s="76"/>
      <c r="O722" s="70"/>
      <c r="P722" s="70"/>
      <c r="Q722" s="17"/>
      <c r="R722" s="16"/>
      <c r="S722" s="72"/>
      <c r="T722" s="77"/>
    </row>
    <row r="723" spans="1:20" ht="13.2">
      <c r="A723" s="2"/>
      <c r="B723" s="72"/>
      <c r="C723" s="77"/>
      <c r="D723" s="16"/>
      <c r="E723" s="72"/>
      <c r="F723" s="70"/>
      <c r="G723" s="72"/>
      <c r="H723" s="24"/>
      <c r="J723" s="70"/>
      <c r="K723" s="72"/>
      <c r="L723" s="75"/>
      <c r="M723" s="75"/>
      <c r="N723" s="76"/>
      <c r="O723" s="70"/>
      <c r="P723" s="70"/>
      <c r="Q723" s="17"/>
      <c r="R723" s="16"/>
      <c r="S723" s="72"/>
      <c r="T723" s="77"/>
    </row>
    <row r="724" spans="1:20" ht="13.2">
      <c r="A724" s="2"/>
      <c r="B724" s="72"/>
      <c r="C724" s="77"/>
      <c r="D724" s="16"/>
      <c r="E724" s="72"/>
      <c r="F724" s="70"/>
      <c r="G724" s="72"/>
      <c r="H724" s="24"/>
      <c r="J724" s="70"/>
      <c r="K724" s="72"/>
      <c r="L724" s="75"/>
      <c r="M724" s="75"/>
      <c r="N724" s="76"/>
      <c r="O724" s="70"/>
      <c r="P724" s="70"/>
      <c r="Q724" s="17"/>
      <c r="R724" s="16"/>
      <c r="S724" s="72"/>
      <c r="T724" s="77"/>
    </row>
    <row r="725" spans="1:20" ht="13.2">
      <c r="A725" s="2"/>
      <c r="B725" s="72"/>
      <c r="C725" s="77"/>
      <c r="D725" s="16"/>
      <c r="E725" s="72"/>
      <c r="F725" s="70"/>
      <c r="G725" s="72"/>
      <c r="H725" s="24"/>
      <c r="J725" s="70"/>
      <c r="K725" s="72"/>
      <c r="L725" s="75"/>
      <c r="M725" s="75"/>
      <c r="N725" s="76"/>
      <c r="O725" s="70"/>
      <c r="P725" s="70"/>
      <c r="Q725" s="17"/>
      <c r="R725" s="16"/>
      <c r="S725" s="72"/>
      <c r="T725" s="77"/>
    </row>
    <row r="726" spans="1:20" ht="13.2">
      <c r="A726" s="2"/>
      <c r="B726" s="72"/>
      <c r="C726" s="77"/>
      <c r="D726" s="16"/>
      <c r="E726" s="72"/>
      <c r="F726" s="70"/>
      <c r="G726" s="72"/>
      <c r="H726" s="24"/>
      <c r="J726" s="70"/>
      <c r="K726" s="72"/>
      <c r="L726" s="75"/>
      <c r="M726" s="75"/>
      <c r="N726" s="76"/>
      <c r="O726" s="70"/>
      <c r="P726" s="70"/>
      <c r="Q726" s="17"/>
      <c r="R726" s="16"/>
      <c r="S726" s="72"/>
      <c r="T726" s="77"/>
    </row>
    <row r="727" spans="1:20" ht="13.2">
      <c r="A727" s="2"/>
      <c r="B727" s="72"/>
      <c r="C727" s="77"/>
      <c r="D727" s="16"/>
      <c r="E727" s="72"/>
      <c r="F727" s="70"/>
      <c r="G727" s="72"/>
      <c r="H727" s="24"/>
      <c r="J727" s="70"/>
      <c r="K727" s="72"/>
      <c r="L727" s="75"/>
      <c r="M727" s="75"/>
      <c r="N727" s="76"/>
      <c r="O727" s="70"/>
      <c r="P727" s="70"/>
      <c r="Q727" s="17"/>
      <c r="R727" s="16"/>
      <c r="S727" s="72"/>
      <c r="T727" s="77"/>
    </row>
    <row r="728" spans="1:20" ht="13.2">
      <c r="A728" s="2"/>
      <c r="B728" s="72"/>
      <c r="C728" s="77"/>
      <c r="D728" s="16"/>
      <c r="E728" s="72"/>
      <c r="F728" s="70"/>
      <c r="G728" s="72"/>
      <c r="H728" s="24"/>
      <c r="J728" s="70"/>
      <c r="K728" s="72"/>
      <c r="L728" s="75"/>
      <c r="M728" s="75"/>
      <c r="N728" s="76"/>
      <c r="O728" s="70"/>
      <c r="P728" s="70"/>
      <c r="Q728" s="17"/>
      <c r="R728" s="16"/>
      <c r="S728" s="72"/>
      <c r="T728" s="77"/>
    </row>
    <row r="729" spans="1:20" ht="13.2">
      <c r="A729" s="2"/>
      <c r="B729" s="72"/>
      <c r="C729" s="77"/>
      <c r="D729" s="16"/>
      <c r="E729" s="72"/>
      <c r="F729" s="70"/>
      <c r="G729" s="72"/>
      <c r="H729" s="24"/>
      <c r="J729" s="70"/>
      <c r="K729" s="72"/>
      <c r="L729" s="75"/>
      <c r="M729" s="75"/>
      <c r="N729" s="76"/>
      <c r="O729" s="70"/>
      <c r="P729" s="70"/>
      <c r="Q729" s="17"/>
      <c r="R729" s="16"/>
      <c r="S729" s="72"/>
      <c r="T729" s="77"/>
    </row>
    <row r="730" spans="1:20" ht="13.2">
      <c r="A730" s="2"/>
      <c r="B730" s="72"/>
      <c r="C730" s="77"/>
      <c r="D730" s="16"/>
      <c r="E730" s="72"/>
      <c r="F730" s="70"/>
      <c r="G730" s="72"/>
      <c r="H730" s="24"/>
      <c r="J730" s="70"/>
      <c r="K730" s="72"/>
      <c r="L730" s="75"/>
      <c r="M730" s="75"/>
      <c r="N730" s="76"/>
      <c r="O730" s="70"/>
      <c r="P730" s="70"/>
      <c r="Q730" s="17"/>
      <c r="R730" s="16"/>
      <c r="S730" s="72"/>
      <c r="T730" s="77"/>
    </row>
    <row r="731" spans="1:20" ht="13.2">
      <c r="A731" s="2"/>
      <c r="B731" s="72"/>
      <c r="C731" s="77"/>
      <c r="D731" s="16"/>
      <c r="E731" s="72"/>
      <c r="F731" s="70"/>
      <c r="G731" s="72"/>
      <c r="H731" s="24"/>
      <c r="J731" s="70"/>
      <c r="K731" s="72"/>
      <c r="L731" s="75"/>
      <c r="M731" s="75"/>
      <c r="N731" s="76"/>
      <c r="O731" s="70"/>
      <c r="P731" s="70"/>
      <c r="Q731" s="17"/>
      <c r="R731" s="16"/>
      <c r="S731" s="72"/>
      <c r="T731" s="77"/>
    </row>
    <row r="732" spans="1:20" ht="13.2">
      <c r="A732" s="2"/>
      <c r="B732" s="72"/>
      <c r="C732" s="77"/>
      <c r="D732" s="16"/>
      <c r="E732" s="72"/>
      <c r="F732" s="70"/>
      <c r="G732" s="72"/>
      <c r="H732" s="24"/>
      <c r="J732" s="70"/>
      <c r="K732" s="72"/>
      <c r="L732" s="75"/>
      <c r="M732" s="75"/>
      <c r="N732" s="76"/>
      <c r="O732" s="70"/>
      <c r="P732" s="70"/>
      <c r="Q732" s="17"/>
      <c r="R732" s="16"/>
      <c r="S732" s="72"/>
      <c r="T732" s="77"/>
    </row>
    <row r="733" spans="1:20" ht="13.2">
      <c r="A733" s="2"/>
      <c r="B733" s="72"/>
      <c r="C733" s="77"/>
      <c r="D733" s="16"/>
      <c r="E733" s="72"/>
      <c r="F733" s="70"/>
      <c r="G733" s="72"/>
      <c r="H733" s="24"/>
      <c r="J733" s="70"/>
      <c r="K733" s="72"/>
      <c r="L733" s="75"/>
      <c r="M733" s="75"/>
      <c r="N733" s="76"/>
      <c r="O733" s="70"/>
      <c r="P733" s="70"/>
      <c r="Q733" s="17"/>
      <c r="R733" s="16"/>
      <c r="S733" s="72"/>
      <c r="T733" s="77"/>
    </row>
    <row r="734" spans="1:20" ht="13.2">
      <c r="A734" s="2"/>
      <c r="B734" s="72"/>
      <c r="C734" s="77"/>
      <c r="D734" s="16"/>
      <c r="E734" s="72"/>
      <c r="F734" s="70"/>
      <c r="G734" s="72"/>
      <c r="H734" s="24"/>
      <c r="J734" s="70"/>
      <c r="K734" s="72"/>
      <c r="L734" s="75"/>
      <c r="M734" s="75"/>
      <c r="N734" s="76"/>
      <c r="O734" s="70"/>
      <c r="P734" s="70"/>
      <c r="Q734" s="17"/>
      <c r="R734" s="16"/>
      <c r="S734" s="72"/>
      <c r="T734" s="77"/>
    </row>
    <row r="735" spans="1:20" ht="13.2">
      <c r="A735" s="2"/>
      <c r="B735" s="72"/>
      <c r="C735" s="77"/>
      <c r="D735" s="16"/>
      <c r="E735" s="72"/>
      <c r="F735" s="70"/>
      <c r="G735" s="72"/>
      <c r="H735" s="24"/>
      <c r="J735" s="70"/>
      <c r="K735" s="72"/>
      <c r="L735" s="75"/>
      <c r="M735" s="75"/>
      <c r="N735" s="76"/>
      <c r="O735" s="70"/>
      <c r="P735" s="70"/>
      <c r="Q735" s="17"/>
      <c r="R735" s="16"/>
      <c r="S735" s="72"/>
      <c r="T735" s="77"/>
    </row>
    <row r="736" spans="1:20" ht="13.2">
      <c r="A736" s="2"/>
      <c r="B736" s="72"/>
      <c r="C736" s="77"/>
      <c r="D736" s="16"/>
      <c r="E736" s="72"/>
      <c r="F736" s="70"/>
      <c r="G736" s="72"/>
      <c r="H736" s="24"/>
      <c r="J736" s="70"/>
      <c r="K736" s="72"/>
      <c r="L736" s="75"/>
      <c r="M736" s="75"/>
      <c r="N736" s="76"/>
      <c r="O736" s="70"/>
      <c r="P736" s="70"/>
      <c r="Q736" s="17"/>
      <c r="R736" s="16"/>
      <c r="S736" s="72"/>
      <c r="T736" s="77"/>
    </row>
    <row r="737" spans="1:20" ht="13.2">
      <c r="A737" s="2"/>
      <c r="B737" s="72"/>
      <c r="C737" s="77"/>
      <c r="D737" s="16"/>
      <c r="E737" s="72"/>
      <c r="F737" s="70"/>
      <c r="G737" s="72"/>
      <c r="H737" s="24"/>
      <c r="J737" s="70"/>
      <c r="K737" s="72"/>
      <c r="L737" s="75"/>
      <c r="M737" s="75"/>
      <c r="N737" s="76"/>
      <c r="O737" s="70"/>
      <c r="P737" s="70"/>
      <c r="Q737" s="17"/>
      <c r="R737" s="16"/>
      <c r="S737" s="72"/>
      <c r="T737" s="77"/>
    </row>
    <row r="738" spans="1:20" ht="13.2">
      <c r="A738" s="2"/>
      <c r="B738" s="72"/>
      <c r="C738" s="77"/>
      <c r="D738" s="16"/>
      <c r="E738" s="72"/>
      <c r="F738" s="70"/>
      <c r="G738" s="72"/>
      <c r="H738" s="24"/>
      <c r="J738" s="70"/>
      <c r="K738" s="72"/>
      <c r="L738" s="75"/>
      <c r="M738" s="75"/>
      <c r="N738" s="76"/>
      <c r="O738" s="70"/>
      <c r="P738" s="70"/>
      <c r="Q738" s="17"/>
      <c r="R738" s="16"/>
      <c r="S738" s="72"/>
      <c r="T738" s="77"/>
    </row>
    <row r="739" spans="1:20" ht="13.2">
      <c r="A739" s="2"/>
      <c r="B739" s="72"/>
      <c r="C739" s="77"/>
      <c r="D739" s="16"/>
      <c r="E739" s="72"/>
      <c r="F739" s="70"/>
      <c r="G739" s="72"/>
      <c r="H739" s="24"/>
      <c r="J739" s="70"/>
      <c r="K739" s="72"/>
      <c r="L739" s="75"/>
      <c r="M739" s="75"/>
      <c r="N739" s="76"/>
      <c r="O739" s="70"/>
      <c r="P739" s="70"/>
      <c r="Q739" s="17"/>
      <c r="R739" s="16"/>
      <c r="S739" s="72"/>
      <c r="T739" s="77"/>
    </row>
    <row r="740" spans="1:20" ht="13.2">
      <c r="A740" s="2"/>
      <c r="B740" s="72"/>
      <c r="C740" s="77"/>
      <c r="D740" s="16"/>
      <c r="E740" s="72"/>
      <c r="F740" s="70"/>
      <c r="G740" s="72"/>
      <c r="H740" s="24"/>
      <c r="J740" s="70"/>
      <c r="K740" s="72"/>
      <c r="L740" s="75"/>
      <c r="M740" s="75"/>
      <c r="N740" s="76"/>
      <c r="O740" s="70"/>
      <c r="P740" s="70"/>
      <c r="Q740" s="17"/>
      <c r="R740" s="16"/>
      <c r="S740" s="72"/>
      <c r="T740" s="77"/>
    </row>
    <row r="741" spans="1:20" ht="13.2">
      <c r="A741" s="2"/>
      <c r="B741" s="72"/>
      <c r="C741" s="77"/>
      <c r="D741" s="16"/>
      <c r="E741" s="72"/>
      <c r="F741" s="70"/>
      <c r="G741" s="72"/>
      <c r="H741" s="24"/>
      <c r="J741" s="70"/>
      <c r="K741" s="72"/>
      <c r="L741" s="75"/>
      <c r="M741" s="75"/>
      <c r="N741" s="76"/>
      <c r="O741" s="70"/>
      <c r="P741" s="70"/>
      <c r="Q741" s="17"/>
      <c r="R741" s="16"/>
      <c r="S741" s="72"/>
      <c r="T741" s="77"/>
    </row>
    <row r="742" spans="1:20" ht="13.2">
      <c r="A742" s="2"/>
      <c r="B742" s="72"/>
      <c r="C742" s="77"/>
      <c r="D742" s="16"/>
      <c r="E742" s="72"/>
      <c r="F742" s="70"/>
      <c r="G742" s="72"/>
      <c r="H742" s="24"/>
      <c r="J742" s="70"/>
      <c r="K742" s="72"/>
      <c r="L742" s="75"/>
      <c r="M742" s="75"/>
      <c r="N742" s="76"/>
      <c r="O742" s="70"/>
      <c r="P742" s="70"/>
      <c r="Q742" s="17"/>
      <c r="R742" s="16"/>
      <c r="S742" s="72"/>
      <c r="T742" s="77"/>
    </row>
    <row r="743" spans="1:20" ht="13.2">
      <c r="A743" s="2"/>
      <c r="B743" s="72"/>
      <c r="C743" s="77"/>
      <c r="D743" s="16"/>
      <c r="E743" s="72"/>
      <c r="F743" s="70"/>
      <c r="G743" s="72"/>
      <c r="H743" s="24"/>
      <c r="J743" s="70"/>
      <c r="K743" s="72"/>
      <c r="L743" s="75"/>
      <c r="M743" s="75"/>
      <c r="N743" s="76"/>
      <c r="O743" s="70"/>
      <c r="P743" s="70"/>
      <c r="Q743" s="17"/>
      <c r="R743" s="16"/>
      <c r="S743" s="72"/>
      <c r="T743" s="77"/>
    </row>
    <row r="744" spans="1:20" ht="13.2">
      <c r="A744" s="2"/>
      <c r="B744" s="72"/>
      <c r="C744" s="77"/>
      <c r="D744" s="16"/>
      <c r="E744" s="72"/>
      <c r="F744" s="70"/>
      <c r="G744" s="72"/>
      <c r="H744" s="24"/>
      <c r="J744" s="70"/>
      <c r="K744" s="72"/>
      <c r="L744" s="75"/>
      <c r="M744" s="75"/>
      <c r="N744" s="76"/>
      <c r="O744" s="70"/>
      <c r="P744" s="70"/>
      <c r="Q744" s="17"/>
      <c r="R744" s="16"/>
      <c r="S744" s="72"/>
      <c r="T744" s="77"/>
    </row>
    <row r="745" spans="1:20" ht="13.2">
      <c r="A745" s="2"/>
      <c r="B745" s="72"/>
      <c r="C745" s="77"/>
      <c r="D745" s="16"/>
      <c r="E745" s="72"/>
      <c r="F745" s="70"/>
      <c r="G745" s="72"/>
      <c r="H745" s="24"/>
      <c r="J745" s="70"/>
      <c r="K745" s="72"/>
      <c r="L745" s="75"/>
      <c r="M745" s="75"/>
      <c r="N745" s="76"/>
      <c r="O745" s="70"/>
      <c r="P745" s="70"/>
      <c r="Q745" s="17"/>
      <c r="R745" s="16"/>
      <c r="S745" s="72"/>
      <c r="T745" s="77"/>
    </row>
    <row r="746" spans="1:20" ht="13.2">
      <c r="A746" s="2"/>
      <c r="B746" s="72"/>
      <c r="C746" s="77"/>
      <c r="D746" s="16"/>
      <c r="E746" s="72"/>
      <c r="F746" s="70"/>
      <c r="G746" s="72"/>
      <c r="H746" s="24"/>
      <c r="J746" s="70"/>
      <c r="K746" s="72"/>
      <c r="L746" s="75"/>
      <c r="M746" s="75"/>
      <c r="N746" s="76"/>
      <c r="O746" s="70"/>
      <c r="P746" s="70"/>
      <c r="Q746" s="17"/>
      <c r="R746" s="16"/>
      <c r="S746" s="72"/>
      <c r="T746" s="77"/>
    </row>
    <row r="747" spans="1:20" ht="13.2">
      <c r="A747" s="2"/>
      <c r="B747" s="72"/>
      <c r="C747" s="77"/>
      <c r="D747" s="16"/>
      <c r="E747" s="72"/>
      <c r="F747" s="70"/>
      <c r="G747" s="72"/>
      <c r="H747" s="24"/>
      <c r="J747" s="70"/>
      <c r="K747" s="72"/>
      <c r="L747" s="75"/>
      <c r="M747" s="75"/>
      <c r="N747" s="76"/>
      <c r="O747" s="70"/>
      <c r="P747" s="70"/>
      <c r="Q747" s="17"/>
      <c r="R747" s="16"/>
      <c r="S747" s="72"/>
      <c r="T747" s="77"/>
    </row>
    <row r="748" spans="1:20" ht="13.2">
      <c r="A748" s="2"/>
      <c r="B748" s="72"/>
      <c r="C748" s="77"/>
      <c r="D748" s="16"/>
      <c r="E748" s="72"/>
      <c r="F748" s="70"/>
      <c r="G748" s="72"/>
      <c r="H748" s="24"/>
      <c r="J748" s="70"/>
      <c r="K748" s="72"/>
      <c r="L748" s="75"/>
      <c r="M748" s="75"/>
      <c r="N748" s="76"/>
      <c r="O748" s="70"/>
      <c r="P748" s="70"/>
      <c r="Q748" s="17"/>
      <c r="R748" s="16"/>
      <c r="S748" s="72"/>
      <c r="T748" s="77"/>
    </row>
    <row r="749" spans="1:20" ht="13.2">
      <c r="A749" s="2"/>
      <c r="B749" s="72"/>
      <c r="C749" s="77"/>
      <c r="D749" s="16"/>
      <c r="E749" s="72"/>
      <c r="F749" s="70"/>
      <c r="G749" s="72"/>
      <c r="H749" s="24"/>
      <c r="J749" s="70"/>
      <c r="K749" s="72"/>
      <c r="L749" s="75"/>
      <c r="M749" s="75"/>
      <c r="N749" s="76"/>
      <c r="O749" s="70"/>
      <c r="P749" s="70"/>
      <c r="Q749" s="17"/>
      <c r="R749" s="16"/>
      <c r="S749" s="72"/>
      <c r="T749" s="77"/>
    </row>
    <row r="750" spans="1:20" ht="13.2">
      <c r="A750" s="2"/>
      <c r="B750" s="72"/>
      <c r="C750" s="77"/>
      <c r="D750" s="16"/>
      <c r="E750" s="72"/>
      <c r="F750" s="70"/>
      <c r="G750" s="72"/>
      <c r="H750" s="24"/>
      <c r="J750" s="70"/>
      <c r="K750" s="72"/>
      <c r="L750" s="75"/>
      <c r="M750" s="75"/>
      <c r="N750" s="76"/>
      <c r="O750" s="70"/>
      <c r="P750" s="70"/>
      <c r="Q750" s="17"/>
      <c r="R750" s="16"/>
      <c r="S750" s="72"/>
      <c r="T750" s="77"/>
    </row>
    <row r="751" spans="1:20" ht="13.2">
      <c r="A751" s="2"/>
      <c r="B751" s="72"/>
      <c r="C751" s="77"/>
      <c r="D751" s="16"/>
      <c r="E751" s="72"/>
      <c r="F751" s="70"/>
      <c r="G751" s="72"/>
      <c r="H751" s="24"/>
      <c r="J751" s="70"/>
      <c r="K751" s="72"/>
      <c r="L751" s="75"/>
      <c r="M751" s="75"/>
      <c r="N751" s="76"/>
      <c r="O751" s="70"/>
      <c r="P751" s="70"/>
      <c r="Q751" s="17"/>
      <c r="R751" s="16"/>
      <c r="S751" s="72"/>
      <c r="T751" s="77"/>
    </row>
    <row r="752" spans="1:20" ht="13.2">
      <c r="A752" s="2"/>
      <c r="B752" s="72"/>
      <c r="C752" s="77"/>
      <c r="D752" s="16"/>
      <c r="E752" s="72"/>
      <c r="F752" s="70"/>
      <c r="G752" s="72"/>
      <c r="H752" s="24"/>
      <c r="J752" s="70"/>
      <c r="K752" s="72"/>
      <c r="L752" s="75"/>
      <c r="M752" s="75"/>
      <c r="N752" s="76"/>
      <c r="O752" s="70"/>
      <c r="P752" s="70"/>
      <c r="Q752" s="17"/>
      <c r="R752" s="16"/>
      <c r="S752" s="72"/>
      <c r="T752" s="77"/>
    </row>
    <row r="753" spans="1:20" ht="13.2">
      <c r="A753" s="2"/>
      <c r="B753" s="72"/>
      <c r="C753" s="77"/>
      <c r="D753" s="16"/>
      <c r="E753" s="72"/>
      <c r="F753" s="70"/>
      <c r="G753" s="72"/>
      <c r="H753" s="24"/>
      <c r="J753" s="70"/>
      <c r="K753" s="72"/>
      <c r="L753" s="75"/>
      <c r="M753" s="75"/>
      <c r="N753" s="76"/>
      <c r="O753" s="70"/>
      <c r="P753" s="70"/>
      <c r="Q753" s="17"/>
      <c r="R753" s="16"/>
      <c r="S753" s="72"/>
      <c r="T753" s="77"/>
    </row>
    <row r="754" spans="1:20" ht="13.2">
      <c r="A754" s="2"/>
      <c r="B754" s="72"/>
      <c r="C754" s="77"/>
      <c r="D754" s="16"/>
      <c r="E754" s="72"/>
      <c r="F754" s="70"/>
      <c r="G754" s="72"/>
      <c r="H754" s="24"/>
      <c r="J754" s="70"/>
      <c r="K754" s="72"/>
      <c r="L754" s="75"/>
      <c r="M754" s="75"/>
      <c r="N754" s="76"/>
      <c r="O754" s="70"/>
      <c r="P754" s="70"/>
      <c r="Q754" s="17"/>
      <c r="R754" s="16"/>
      <c r="S754" s="72"/>
      <c r="T754" s="77"/>
    </row>
    <row r="755" spans="1:20" ht="13.2">
      <c r="A755" s="2"/>
      <c r="B755" s="72"/>
      <c r="C755" s="77"/>
      <c r="D755" s="16"/>
      <c r="E755" s="72"/>
      <c r="F755" s="70"/>
      <c r="G755" s="72"/>
      <c r="H755" s="24"/>
      <c r="J755" s="70"/>
      <c r="K755" s="72"/>
      <c r="L755" s="75"/>
      <c r="M755" s="75"/>
      <c r="N755" s="76"/>
      <c r="O755" s="70"/>
      <c r="P755" s="70"/>
      <c r="Q755" s="17"/>
      <c r="R755" s="16"/>
      <c r="S755" s="72"/>
      <c r="T755" s="77"/>
    </row>
    <row r="756" spans="1:20" ht="13.2">
      <c r="A756" s="2"/>
      <c r="B756" s="72"/>
      <c r="C756" s="77"/>
      <c r="D756" s="16"/>
      <c r="E756" s="72"/>
      <c r="F756" s="70"/>
      <c r="G756" s="72"/>
      <c r="H756" s="24"/>
      <c r="J756" s="70"/>
      <c r="K756" s="72"/>
      <c r="L756" s="75"/>
      <c r="M756" s="75"/>
      <c r="N756" s="76"/>
      <c r="O756" s="70"/>
      <c r="P756" s="70"/>
      <c r="Q756" s="17"/>
      <c r="R756" s="16"/>
      <c r="S756" s="72"/>
      <c r="T756" s="77"/>
    </row>
    <row r="757" spans="1:20" ht="13.2">
      <c r="A757" s="2"/>
      <c r="B757" s="72"/>
      <c r="C757" s="77"/>
      <c r="D757" s="16"/>
      <c r="E757" s="72"/>
      <c r="F757" s="70"/>
      <c r="G757" s="72"/>
      <c r="H757" s="24"/>
      <c r="J757" s="70"/>
      <c r="K757" s="72"/>
      <c r="L757" s="75"/>
      <c r="M757" s="75"/>
      <c r="N757" s="76"/>
      <c r="O757" s="70"/>
      <c r="P757" s="70"/>
      <c r="Q757" s="17"/>
      <c r="R757" s="16"/>
      <c r="S757" s="72"/>
      <c r="T757" s="77"/>
    </row>
    <row r="758" spans="1:20" ht="13.2">
      <c r="A758" s="2"/>
      <c r="B758" s="72"/>
      <c r="C758" s="77"/>
      <c r="D758" s="16"/>
      <c r="E758" s="72"/>
      <c r="F758" s="70"/>
      <c r="G758" s="72"/>
      <c r="H758" s="24"/>
      <c r="J758" s="70"/>
      <c r="K758" s="72"/>
      <c r="L758" s="75"/>
      <c r="M758" s="75"/>
      <c r="N758" s="76"/>
      <c r="O758" s="70"/>
      <c r="P758" s="70"/>
      <c r="Q758" s="17"/>
      <c r="R758" s="16"/>
      <c r="S758" s="72"/>
      <c r="T758" s="77"/>
    </row>
    <row r="759" spans="1:20" ht="13.2">
      <c r="A759" s="2"/>
      <c r="B759" s="72"/>
      <c r="C759" s="77"/>
      <c r="D759" s="16"/>
      <c r="E759" s="72"/>
      <c r="F759" s="70"/>
      <c r="G759" s="72"/>
      <c r="H759" s="24"/>
      <c r="J759" s="70"/>
      <c r="K759" s="72"/>
      <c r="L759" s="75"/>
      <c r="M759" s="75"/>
      <c r="N759" s="76"/>
      <c r="O759" s="70"/>
      <c r="P759" s="70"/>
      <c r="Q759" s="17"/>
      <c r="R759" s="16"/>
      <c r="S759" s="72"/>
      <c r="T759" s="77"/>
    </row>
    <row r="760" spans="1:20" ht="13.2">
      <c r="A760" s="2"/>
      <c r="B760" s="72"/>
      <c r="C760" s="77"/>
      <c r="D760" s="16"/>
      <c r="E760" s="72"/>
      <c r="F760" s="70"/>
      <c r="G760" s="72"/>
      <c r="H760" s="24"/>
      <c r="J760" s="70"/>
      <c r="K760" s="72"/>
      <c r="L760" s="75"/>
      <c r="M760" s="75"/>
      <c r="N760" s="76"/>
      <c r="O760" s="70"/>
      <c r="P760" s="70"/>
      <c r="Q760" s="17"/>
      <c r="R760" s="16"/>
      <c r="S760" s="72"/>
      <c r="T760" s="77"/>
    </row>
    <row r="761" spans="1:20" ht="13.2">
      <c r="A761" s="2"/>
      <c r="B761" s="72"/>
      <c r="C761" s="77"/>
      <c r="D761" s="16"/>
      <c r="E761" s="72"/>
      <c r="F761" s="70"/>
      <c r="G761" s="72"/>
      <c r="H761" s="24"/>
      <c r="J761" s="70"/>
      <c r="K761" s="72"/>
      <c r="L761" s="75"/>
      <c r="M761" s="75"/>
      <c r="N761" s="76"/>
      <c r="O761" s="70"/>
      <c r="P761" s="70"/>
      <c r="Q761" s="17"/>
      <c r="R761" s="16"/>
      <c r="S761" s="72"/>
      <c r="T761" s="77"/>
    </row>
    <row r="762" spans="1:20" ht="13.2">
      <c r="A762" s="2"/>
      <c r="B762" s="72"/>
      <c r="C762" s="77"/>
      <c r="D762" s="16"/>
      <c r="E762" s="72"/>
      <c r="F762" s="70"/>
      <c r="G762" s="72"/>
      <c r="H762" s="24"/>
      <c r="J762" s="70"/>
      <c r="K762" s="72"/>
      <c r="L762" s="75"/>
      <c r="M762" s="75"/>
      <c r="N762" s="76"/>
      <c r="O762" s="70"/>
      <c r="P762" s="70"/>
      <c r="Q762" s="17"/>
      <c r="R762" s="16"/>
      <c r="S762" s="72"/>
      <c r="T762" s="77"/>
    </row>
    <row r="763" spans="1:20" ht="13.2">
      <c r="A763" s="2"/>
      <c r="B763" s="72"/>
      <c r="C763" s="77"/>
      <c r="D763" s="16"/>
      <c r="E763" s="72"/>
      <c r="F763" s="70"/>
      <c r="G763" s="72"/>
      <c r="H763" s="24"/>
      <c r="J763" s="70"/>
      <c r="K763" s="72"/>
      <c r="L763" s="75"/>
      <c r="M763" s="75"/>
      <c r="N763" s="76"/>
      <c r="O763" s="70"/>
      <c r="P763" s="70"/>
      <c r="Q763" s="17"/>
      <c r="R763" s="16"/>
      <c r="S763" s="72"/>
      <c r="T763" s="77"/>
    </row>
    <row r="764" spans="1:20" ht="13.2">
      <c r="A764" s="2"/>
      <c r="B764" s="72"/>
      <c r="C764" s="77"/>
      <c r="D764" s="16"/>
      <c r="E764" s="72"/>
      <c r="F764" s="70"/>
      <c r="G764" s="72"/>
      <c r="H764" s="24"/>
      <c r="J764" s="70"/>
      <c r="K764" s="72"/>
      <c r="L764" s="75"/>
      <c r="M764" s="75"/>
      <c r="N764" s="76"/>
      <c r="O764" s="70"/>
      <c r="P764" s="70"/>
      <c r="Q764" s="17"/>
      <c r="R764" s="16"/>
      <c r="S764" s="72"/>
      <c r="T764" s="77"/>
    </row>
    <row r="765" spans="1:20" ht="13.2">
      <c r="A765" s="2"/>
      <c r="B765" s="72"/>
      <c r="C765" s="77"/>
      <c r="D765" s="16"/>
      <c r="E765" s="72"/>
      <c r="F765" s="70"/>
      <c r="G765" s="72"/>
      <c r="H765" s="24"/>
      <c r="J765" s="70"/>
      <c r="K765" s="72"/>
      <c r="L765" s="75"/>
      <c r="M765" s="75"/>
      <c r="N765" s="76"/>
      <c r="O765" s="70"/>
      <c r="P765" s="70"/>
      <c r="Q765" s="17"/>
      <c r="R765" s="16"/>
      <c r="S765" s="72"/>
      <c r="T765" s="77"/>
    </row>
    <row r="766" spans="1:20" ht="13.2">
      <c r="A766" s="2"/>
      <c r="B766" s="72"/>
      <c r="C766" s="77"/>
      <c r="D766" s="16"/>
      <c r="E766" s="72"/>
      <c r="F766" s="70"/>
      <c r="G766" s="72"/>
      <c r="H766" s="24"/>
      <c r="J766" s="70"/>
      <c r="K766" s="72"/>
      <c r="L766" s="75"/>
      <c r="M766" s="75"/>
      <c r="N766" s="76"/>
      <c r="O766" s="70"/>
      <c r="P766" s="70"/>
      <c r="Q766" s="17"/>
      <c r="R766" s="16"/>
      <c r="S766" s="72"/>
      <c r="T766" s="77"/>
    </row>
    <row r="767" spans="1:20" ht="13.2">
      <c r="A767" s="2"/>
      <c r="B767" s="72"/>
      <c r="C767" s="77"/>
      <c r="D767" s="16"/>
      <c r="E767" s="72"/>
      <c r="F767" s="70"/>
      <c r="G767" s="72"/>
      <c r="H767" s="24"/>
      <c r="J767" s="70"/>
      <c r="K767" s="72"/>
      <c r="L767" s="75"/>
      <c r="M767" s="75"/>
      <c r="N767" s="76"/>
      <c r="O767" s="70"/>
      <c r="P767" s="70"/>
      <c r="Q767" s="17"/>
      <c r="R767" s="16"/>
      <c r="S767" s="72"/>
      <c r="T767" s="77"/>
    </row>
    <row r="768" spans="1:20" ht="13.2">
      <c r="A768" s="2"/>
      <c r="B768" s="72"/>
      <c r="C768" s="77"/>
      <c r="D768" s="16"/>
      <c r="E768" s="72"/>
      <c r="F768" s="70"/>
      <c r="G768" s="72"/>
      <c r="H768" s="24"/>
      <c r="J768" s="70"/>
      <c r="K768" s="72"/>
      <c r="L768" s="75"/>
      <c r="M768" s="75"/>
      <c r="N768" s="76"/>
      <c r="O768" s="70"/>
      <c r="P768" s="70"/>
      <c r="Q768" s="17"/>
      <c r="R768" s="16"/>
      <c r="S768" s="72"/>
      <c r="T768" s="77"/>
    </row>
    <row r="769" spans="1:20" ht="13.2">
      <c r="A769" s="2"/>
      <c r="B769" s="72"/>
      <c r="C769" s="77"/>
      <c r="D769" s="16"/>
      <c r="E769" s="72"/>
      <c r="F769" s="70"/>
      <c r="G769" s="72"/>
      <c r="H769" s="24"/>
      <c r="J769" s="70"/>
      <c r="K769" s="72"/>
      <c r="L769" s="75"/>
      <c r="M769" s="75"/>
      <c r="N769" s="76"/>
      <c r="O769" s="70"/>
      <c r="P769" s="70"/>
      <c r="Q769" s="17"/>
      <c r="R769" s="16"/>
      <c r="S769" s="72"/>
      <c r="T769" s="77"/>
    </row>
    <row r="770" spans="1:20" ht="13.2">
      <c r="A770" s="2"/>
      <c r="B770" s="72"/>
      <c r="C770" s="77"/>
      <c r="D770" s="16"/>
      <c r="E770" s="72"/>
      <c r="F770" s="70"/>
      <c r="G770" s="72"/>
      <c r="H770" s="24"/>
      <c r="J770" s="70"/>
      <c r="K770" s="72"/>
      <c r="L770" s="75"/>
      <c r="M770" s="75"/>
      <c r="N770" s="76"/>
      <c r="O770" s="70"/>
      <c r="P770" s="70"/>
      <c r="Q770" s="17"/>
      <c r="R770" s="16"/>
      <c r="S770" s="72"/>
      <c r="T770" s="77"/>
    </row>
    <row r="771" spans="1:20" ht="13.2">
      <c r="A771" s="2"/>
      <c r="B771" s="72"/>
      <c r="C771" s="77"/>
      <c r="D771" s="16"/>
      <c r="E771" s="72"/>
      <c r="F771" s="70"/>
      <c r="G771" s="72"/>
      <c r="H771" s="24"/>
      <c r="J771" s="70"/>
      <c r="K771" s="72"/>
      <c r="L771" s="75"/>
      <c r="M771" s="75"/>
      <c r="N771" s="76"/>
      <c r="O771" s="70"/>
      <c r="P771" s="70"/>
      <c r="Q771" s="17"/>
      <c r="R771" s="16"/>
      <c r="S771" s="72"/>
      <c r="T771" s="77"/>
    </row>
    <row r="772" spans="1:20" ht="13.2">
      <c r="A772" s="2"/>
      <c r="B772" s="72"/>
      <c r="C772" s="77"/>
      <c r="D772" s="16"/>
      <c r="E772" s="72"/>
      <c r="F772" s="70"/>
      <c r="G772" s="72"/>
      <c r="H772" s="24"/>
      <c r="J772" s="70"/>
      <c r="K772" s="72"/>
      <c r="L772" s="75"/>
      <c r="M772" s="75"/>
      <c r="N772" s="76"/>
      <c r="O772" s="70"/>
      <c r="P772" s="70"/>
      <c r="Q772" s="17"/>
      <c r="R772" s="16"/>
      <c r="S772" s="72"/>
      <c r="T772" s="77"/>
    </row>
    <row r="773" spans="1:20" ht="13.2">
      <c r="A773" s="2"/>
      <c r="B773" s="72"/>
      <c r="C773" s="77"/>
      <c r="D773" s="16"/>
      <c r="E773" s="72"/>
      <c r="F773" s="70"/>
      <c r="G773" s="72"/>
      <c r="H773" s="24"/>
      <c r="J773" s="70"/>
      <c r="K773" s="72"/>
      <c r="L773" s="75"/>
      <c r="M773" s="75"/>
      <c r="N773" s="76"/>
      <c r="O773" s="70"/>
      <c r="P773" s="70"/>
      <c r="Q773" s="17"/>
      <c r="R773" s="16"/>
      <c r="S773" s="72"/>
      <c r="T773" s="77"/>
    </row>
    <row r="774" spans="1:20" ht="13.2">
      <c r="A774" s="2"/>
      <c r="B774" s="72"/>
      <c r="C774" s="77"/>
      <c r="D774" s="16"/>
      <c r="E774" s="72"/>
      <c r="F774" s="70"/>
      <c r="G774" s="72"/>
      <c r="H774" s="24"/>
      <c r="J774" s="70"/>
      <c r="K774" s="72"/>
      <c r="L774" s="75"/>
      <c r="M774" s="75"/>
      <c r="N774" s="76"/>
      <c r="O774" s="70"/>
      <c r="P774" s="70"/>
      <c r="Q774" s="17"/>
      <c r="R774" s="16"/>
      <c r="S774" s="72"/>
      <c r="T774" s="77"/>
    </row>
    <row r="775" spans="1:20" ht="13.2">
      <c r="A775" s="2"/>
      <c r="B775" s="72"/>
      <c r="C775" s="77"/>
      <c r="D775" s="16"/>
      <c r="E775" s="72"/>
      <c r="F775" s="70"/>
      <c r="G775" s="72"/>
      <c r="H775" s="24"/>
      <c r="J775" s="70"/>
      <c r="K775" s="72"/>
      <c r="L775" s="75"/>
      <c r="M775" s="75"/>
      <c r="N775" s="76"/>
      <c r="O775" s="70"/>
      <c r="P775" s="70"/>
      <c r="Q775" s="17"/>
      <c r="R775" s="16"/>
      <c r="S775" s="72"/>
      <c r="T775" s="77"/>
    </row>
    <row r="776" spans="1:20" ht="13.2">
      <c r="A776" s="2"/>
      <c r="B776" s="72"/>
      <c r="C776" s="77"/>
      <c r="D776" s="16"/>
      <c r="E776" s="72"/>
      <c r="F776" s="70"/>
      <c r="G776" s="72"/>
      <c r="H776" s="24"/>
      <c r="J776" s="70"/>
      <c r="K776" s="72"/>
      <c r="L776" s="75"/>
      <c r="M776" s="75"/>
      <c r="N776" s="76"/>
      <c r="O776" s="70"/>
      <c r="P776" s="70"/>
      <c r="Q776" s="17"/>
      <c r="R776" s="16"/>
      <c r="S776" s="72"/>
      <c r="T776" s="77"/>
    </row>
    <row r="777" spans="1:20" ht="13.2">
      <c r="A777" s="2"/>
      <c r="B777" s="72"/>
      <c r="C777" s="77"/>
      <c r="D777" s="16"/>
      <c r="E777" s="72"/>
      <c r="F777" s="70"/>
      <c r="G777" s="72"/>
      <c r="H777" s="24"/>
      <c r="J777" s="70"/>
      <c r="K777" s="72"/>
      <c r="L777" s="75"/>
      <c r="M777" s="75"/>
      <c r="N777" s="76"/>
      <c r="O777" s="70"/>
      <c r="P777" s="70"/>
      <c r="Q777" s="17"/>
      <c r="R777" s="16"/>
      <c r="S777" s="72"/>
      <c r="T777" s="77"/>
    </row>
    <row r="778" spans="1:20" ht="13.2">
      <c r="A778" s="2"/>
      <c r="B778" s="72"/>
      <c r="C778" s="77"/>
      <c r="D778" s="16"/>
      <c r="E778" s="72"/>
      <c r="F778" s="70"/>
      <c r="G778" s="72"/>
      <c r="H778" s="24"/>
      <c r="J778" s="70"/>
      <c r="K778" s="72"/>
      <c r="L778" s="75"/>
      <c r="M778" s="75"/>
      <c r="N778" s="76"/>
      <c r="O778" s="70"/>
      <c r="P778" s="70"/>
      <c r="Q778" s="17"/>
      <c r="R778" s="16"/>
      <c r="S778" s="72"/>
      <c r="T778" s="77"/>
    </row>
    <row r="779" spans="1:20" ht="13.2">
      <c r="A779" s="2"/>
      <c r="B779" s="72"/>
      <c r="C779" s="77"/>
      <c r="D779" s="16"/>
      <c r="E779" s="72"/>
      <c r="F779" s="70"/>
      <c r="G779" s="72"/>
      <c r="H779" s="24"/>
      <c r="J779" s="70"/>
      <c r="K779" s="72"/>
      <c r="L779" s="75"/>
      <c r="M779" s="75"/>
      <c r="N779" s="76"/>
      <c r="O779" s="70"/>
      <c r="P779" s="70"/>
      <c r="Q779" s="17"/>
      <c r="R779" s="16"/>
      <c r="S779" s="72"/>
      <c r="T779" s="77"/>
    </row>
    <row r="780" spans="1:20" ht="13.2">
      <c r="A780" s="2"/>
      <c r="B780" s="72"/>
      <c r="C780" s="77"/>
      <c r="D780" s="16"/>
      <c r="E780" s="72"/>
      <c r="F780" s="70"/>
      <c r="G780" s="72"/>
      <c r="H780" s="24"/>
      <c r="J780" s="70"/>
      <c r="K780" s="72"/>
      <c r="L780" s="75"/>
      <c r="M780" s="75"/>
      <c r="N780" s="76"/>
      <c r="O780" s="70"/>
      <c r="P780" s="70"/>
      <c r="Q780" s="17"/>
      <c r="R780" s="16"/>
      <c r="S780" s="72"/>
      <c r="T780" s="77"/>
    </row>
    <row r="781" spans="1:20" ht="13.2">
      <c r="A781" s="2"/>
      <c r="B781" s="72"/>
      <c r="C781" s="77"/>
      <c r="D781" s="16"/>
      <c r="E781" s="72"/>
      <c r="F781" s="70"/>
      <c r="G781" s="72"/>
      <c r="H781" s="24"/>
      <c r="J781" s="70"/>
      <c r="K781" s="72"/>
      <c r="L781" s="75"/>
      <c r="M781" s="75"/>
      <c r="N781" s="76"/>
      <c r="O781" s="70"/>
      <c r="P781" s="70"/>
      <c r="Q781" s="17"/>
      <c r="R781" s="16"/>
      <c r="S781" s="72"/>
      <c r="T781" s="77"/>
    </row>
    <row r="782" spans="1:20" ht="13.2">
      <c r="A782" s="2"/>
      <c r="B782" s="72"/>
      <c r="C782" s="77"/>
      <c r="D782" s="16"/>
      <c r="E782" s="72"/>
      <c r="F782" s="70"/>
      <c r="G782" s="72"/>
      <c r="H782" s="24"/>
      <c r="J782" s="70"/>
      <c r="K782" s="72"/>
      <c r="L782" s="75"/>
      <c r="M782" s="75"/>
      <c r="N782" s="76"/>
      <c r="O782" s="70"/>
      <c r="P782" s="70"/>
      <c r="Q782" s="17"/>
      <c r="R782" s="16"/>
      <c r="S782" s="72"/>
      <c r="T782" s="77"/>
    </row>
    <row r="783" spans="1:20" ht="13.2">
      <c r="A783" s="2"/>
      <c r="B783" s="72"/>
      <c r="C783" s="77"/>
      <c r="D783" s="16"/>
      <c r="E783" s="72"/>
      <c r="F783" s="70"/>
      <c r="G783" s="72"/>
      <c r="H783" s="24"/>
      <c r="J783" s="70"/>
      <c r="K783" s="72"/>
      <c r="L783" s="75"/>
      <c r="M783" s="75"/>
      <c r="N783" s="76"/>
      <c r="O783" s="70"/>
      <c r="P783" s="70"/>
      <c r="Q783" s="17"/>
      <c r="R783" s="16"/>
      <c r="S783" s="72"/>
      <c r="T783" s="77"/>
    </row>
    <row r="784" spans="1:20" ht="13.2">
      <c r="A784" s="2"/>
      <c r="B784" s="72"/>
      <c r="C784" s="77"/>
      <c r="D784" s="16"/>
      <c r="E784" s="72"/>
      <c r="F784" s="70"/>
      <c r="G784" s="72"/>
      <c r="H784" s="24"/>
      <c r="J784" s="70"/>
      <c r="K784" s="72"/>
      <c r="L784" s="75"/>
      <c r="M784" s="75"/>
      <c r="N784" s="76"/>
      <c r="O784" s="70"/>
      <c r="P784" s="70"/>
      <c r="Q784" s="17"/>
      <c r="R784" s="16"/>
      <c r="S784" s="72"/>
      <c r="T784" s="77"/>
    </row>
    <row r="785" spans="1:20" ht="13.2">
      <c r="A785" s="2"/>
      <c r="B785" s="72"/>
      <c r="C785" s="77"/>
      <c r="D785" s="16"/>
      <c r="E785" s="72"/>
      <c r="F785" s="70"/>
      <c r="G785" s="72"/>
      <c r="H785" s="24"/>
      <c r="J785" s="70"/>
      <c r="K785" s="72"/>
      <c r="L785" s="75"/>
      <c r="M785" s="75"/>
      <c r="N785" s="76"/>
      <c r="O785" s="70"/>
      <c r="P785" s="70"/>
      <c r="Q785" s="17"/>
      <c r="R785" s="16"/>
      <c r="S785" s="72"/>
      <c r="T785" s="77"/>
    </row>
    <row r="786" spans="1:20" ht="13.2">
      <c r="A786" s="2"/>
      <c r="B786" s="72"/>
      <c r="C786" s="77"/>
      <c r="D786" s="16"/>
      <c r="E786" s="72"/>
      <c r="F786" s="70"/>
      <c r="G786" s="72"/>
      <c r="H786" s="24"/>
      <c r="J786" s="70"/>
      <c r="K786" s="72"/>
      <c r="L786" s="75"/>
      <c r="M786" s="75"/>
      <c r="N786" s="76"/>
      <c r="O786" s="70"/>
      <c r="P786" s="70"/>
      <c r="Q786" s="17"/>
      <c r="R786" s="16"/>
      <c r="S786" s="72"/>
      <c r="T786" s="77"/>
    </row>
    <row r="787" spans="1:20" ht="13.2">
      <c r="A787" s="2"/>
      <c r="B787" s="72"/>
      <c r="C787" s="77"/>
      <c r="D787" s="16"/>
      <c r="E787" s="72"/>
      <c r="F787" s="70"/>
      <c r="G787" s="72"/>
      <c r="H787" s="24"/>
      <c r="J787" s="70"/>
      <c r="K787" s="72"/>
      <c r="L787" s="75"/>
      <c r="M787" s="75"/>
      <c r="N787" s="76"/>
      <c r="O787" s="70"/>
      <c r="P787" s="70"/>
      <c r="Q787" s="17"/>
      <c r="R787" s="16"/>
      <c r="S787" s="72"/>
      <c r="T787" s="77"/>
    </row>
    <row r="788" spans="1:20" ht="13.2">
      <c r="A788" s="2"/>
      <c r="B788" s="72"/>
      <c r="C788" s="77"/>
      <c r="D788" s="16"/>
      <c r="E788" s="72"/>
      <c r="F788" s="70"/>
      <c r="G788" s="72"/>
      <c r="H788" s="24"/>
      <c r="J788" s="70"/>
      <c r="K788" s="72"/>
      <c r="L788" s="75"/>
      <c r="M788" s="75"/>
      <c r="N788" s="76"/>
      <c r="O788" s="70"/>
      <c r="P788" s="70"/>
      <c r="Q788" s="17"/>
      <c r="R788" s="16"/>
      <c r="S788" s="72"/>
      <c r="T788" s="77"/>
    </row>
    <row r="789" spans="1:20" ht="13.2">
      <c r="A789" s="2"/>
      <c r="B789" s="72"/>
      <c r="C789" s="77"/>
      <c r="D789" s="16"/>
      <c r="E789" s="72"/>
      <c r="F789" s="70"/>
      <c r="G789" s="72"/>
      <c r="H789" s="24"/>
      <c r="J789" s="70"/>
      <c r="K789" s="72"/>
      <c r="L789" s="75"/>
      <c r="M789" s="75"/>
      <c r="N789" s="76"/>
      <c r="O789" s="70"/>
      <c r="P789" s="70"/>
      <c r="Q789" s="17"/>
      <c r="R789" s="16"/>
      <c r="S789" s="72"/>
      <c r="T789" s="77"/>
    </row>
    <row r="790" spans="1:20" ht="13.2">
      <c r="A790" s="2"/>
      <c r="B790" s="72"/>
      <c r="C790" s="77"/>
      <c r="D790" s="16"/>
      <c r="E790" s="72"/>
      <c r="F790" s="70"/>
      <c r="G790" s="72"/>
      <c r="H790" s="24"/>
      <c r="J790" s="70"/>
      <c r="K790" s="72"/>
      <c r="L790" s="75"/>
      <c r="M790" s="75"/>
      <c r="N790" s="76"/>
      <c r="O790" s="70"/>
      <c r="P790" s="70"/>
      <c r="Q790" s="17"/>
      <c r="R790" s="16"/>
      <c r="S790" s="72"/>
      <c r="T790" s="77"/>
    </row>
    <row r="791" spans="1:20" ht="13.2">
      <c r="A791" s="2"/>
      <c r="B791" s="72"/>
      <c r="C791" s="77"/>
      <c r="D791" s="16"/>
      <c r="E791" s="72"/>
      <c r="F791" s="70"/>
      <c r="G791" s="72"/>
      <c r="H791" s="24"/>
      <c r="J791" s="70"/>
      <c r="K791" s="72"/>
      <c r="L791" s="75"/>
      <c r="M791" s="75"/>
      <c r="N791" s="76"/>
      <c r="O791" s="70"/>
      <c r="P791" s="70"/>
      <c r="Q791" s="17"/>
      <c r="R791" s="16"/>
      <c r="S791" s="72"/>
      <c r="T791" s="77"/>
    </row>
    <row r="792" spans="1:20" ht="13.2">
      <c r="A792" s="2"/>
      <c r="B792" s="72"/>
      <c r="C792" s="77"/>
      <c r="D792" s="16"/>
      <c r="E792" s="72"/>
      <c r="F792" s="70"/>
      <c r="G792" s="72"/>
      <c r="H792" s="24"/>
      <c r="J792" s="70"/>
      <c r="K792" s="72"/>
      <c r="L792" s="75"/>
      <c r="M792" s="75"/>
      <c r="N792" s="76"/>
      <c r="O792" s="70"/>
      <c r="P792" s="70"/>
      <c r="Q792" s="17"/>
      <c r="R792" s="16"/>
      <c r="S792" s="72"/>
      <c r="T792" s="77"/>
    </row>
    <row r="793" spans="1:20" ht="13.2">
      <c r="A793" s="2"/>
      <c r="B793" s="72"/>
      <c r="C793" s="77"/>
      <c r="D793" s="16"/>
      <c r="E793" s="72"/>
      <c r="F793" s="70"/>
      <c r="G793" s="72"/>
      <c r="H793" s="24"/>
      <c r="J793" s="70"/>
      <c r="K793" s="72"/>
      <c r="L793" s="75"/>
      <c r="M793" s="75"/>
      <c r="N793" s="76"/>
      <c r="O793" s="70"/>
      <c r="P793" s="70"/>
      <c r="Q793" s="17"/>
      <c r="R793" s="16"/>
      <c r="S793" s="72"/>
      <c r="T793" s="77"/>
    </row>
    <row r="794" spans="1:20" ht="13.2">
      <c r="A794" s="2"/>
      <c r="B794" s="72"/>
      <c r="C794" s="77"/>
      <c r="D794" s="16"/>
      <c r="E794" s="72"/>
      <c r="F794" s="70"/>
      <c r="G794" s="72"/>
      <c r="H794" s="24"/>
      <c r="J794" s="70"/>
      <c r="K794" s="72"/>
      <c r="L794" s="75"/>
      <c r="M794" s="75"/>
      <c r="N794" s="76"/>
      <c r="O794" s="70"/>
      <c r="P794" s="70"/>
      <c r="Q794" s="17"/>
      <c r="R794" s="16"/>
      <c r="S794" s="72"/>
      <c r="T794" s="77"/>
    </row>
    <row r="795" spans="1:20" ht="13.2">
      <c r="A795" s="2"/>
      <c r="B795" s="72"/>
      <c r="C795" s="77"/>
      <c r="D795" s="16"/>
      <c r="E795" s="72"/>
      <c r="F795" s="70"/>
      <c r="G795" s="72"/>
      <c r="H795" s="24"/>
      <c r="J795" s="70"/>
      <c r="K795" s="72"/>
      <c r="L795" s="75"/>
      <c r="M795" s="75"/>
      <c r="N795" s="76"/>
      <c r="O795" s="70"/>
      <c r="P795" s="70"/>
      <c r="Q795" s="17"/>
      <c r="R795" s="16"/>
      <c r="S795" s="72"/>
      <c r="T795" s="77"/>
    </row>
    <row r="796" spans="1:20" ht="13.2">
      <c r="A796" s="2"/>
      <c r="B796" s="72"/>
      <c r="C796" s="77"/>
      <c r="D796" s="16"/>
      <c r="E796" s="72"/>
      <c r="F796" s="70"/>
      <c r="G796" s="72"/>
      <c r="H796" s="24"/>
      <c r="J796" s="70"/>
      <c r="K796" s="72"/>
      <c r="L796" s="75"/>
      <c r="M796" s="75"/>
      <c r="N796" s="76"/>
      <c r="O796" s="70"/>
      <c r="P796" s="70"/>
      <c r="Q796" s="17"/>
      <c r="R796" s="16"/>
      <c r="S796" s="72"/>
      <c r="T796" s="77"/>
    </row>
    <row r="797" spans="1:20" ht="13.2">
      <c r="A797" s="2"/>
      <c r="B797" s="72"/>
      <c r="C797" s="77"/>
      <c r="D797" s="16"/>
      <c r="E797" s="72"/>
      <c r="F797" s="70"/>
      <c r="G797" s="72"/>
      <c r="H797" s="24"/>
      <c r="J797" s="70"/>
      <c r="K797" s="72"/>
      <c r="L797" s="75"/>
      <c r="M797" s="75"/>
      <c r="N797" s="76"/>
      <c r="O797" s="70"/>
      <c r="P797" s="70"/>
      <c r="Q797" s="17"/>
      <c r="R797" s="16"/>
      <c r="S797" s="72"/>
      <c r="T797" s="77"/>
    </row>
    <row r="798" spans="1:20" ht="13.2">
      <c r="A798" s="2"/>
      <c r="B798" s="72"/>
      <c r="C798" s="77"/>
      <c r="D798" s="16"/>
      <c r="E798" s="72"/>
      <c r="F798" s="70"/>
      <c r="G798" s="72"/>
      <c r="H798" s="24"/>
      <c r="J798" s="70"/>
      <c r="K798" s="72"/>
      <c r="L798" s="75"/>
      <c r="M798" s="75"/>
      <c r="N798" s="76"/>
      <c r="O798" s="70"/>
      <c r="P798" s="70"/>
      <c r="Q798" s="17"/>
      <c r="R798" s="16"/>
      <c r="S798" s="72"/>
      <c r="T798" s="77"/>
    </row>
    <row r="799" spans="1:20" ht="13.2">
      <c r="A799" s="2"/>
      <c r="B799" s="72"/>
      <c r="C799" s="77"/>
      <c r="D799" s="16"/>
      <c r="E799" s="72"/>
      <c r="F799" s="70"/>
      <c r="G799" s="72"/>
      <c r="H799" s="24"/>
      <c r="J799" s="70"/>
      <c r="K799" s="72"/>
      <c r="L799" s="75"/>
      <c r="M799" s="75"/>
      <c r="N799" s="76"/>
      <c r="O799" s="70"/>
      <c r="P799" s="70"/>
      <c r="Q799" s="17"/>
      <c r="R799" s="16"/>
      <c r="S799" s="72"/>
      <c r="T799" s="77"/>
    </row>
    <row r="800" spans="1:20" ht="13.2">
      <c r="A800" s="2"/>
      <c r="B800" s="72"/>
      <c r="C800" s="77"/>
      <c r="D800" s="16"/>
      <c r="E800" s="72"/>
      <c r="F800" s="70"/>
      <c r="G800" s="72"/>
      <c r="H800" s="24"/>
      <c r="J800" s="70"/>
      <c r="K800" s="72"/>
      <c r="L800" s="75"/>
      <c r="M800" s="75"/>
      <c r="N800" s="76"/>
      <c r="O800" s="70"/>
      <c r="P800" s="70"/>
      <c r="Q800" s="17"/>
      <c r="R800" s="16"/>
      <c r="S800" s="72"/>
      <c r="T800" s="77"/>
    </row>
    <row r="801" spans="1:20" ht="13.2">
      <c r="A801" s="2"/>
      <c r="B801" s="72"/>
      <c r="C801" s="77"/>
      <c r="D801" s="16"/>
      <c r="E801" s="72"/>
      <c r="F801" s="70"/>
      <c r="G801" s="72"/>
      <c r="H801" s="24"/>
      <c r="J801" s="70"/>
      <c r="K801" s="72"/>
      <c r="L801" s="75"/>
      <c r="M801" s="75"/>
      <c r="N801" s="76"/>
      <c r="O801" s="70"/>
      <c r="P801" s="70"/>
      <c r="Q801" s="17"/>
      <c r="R801" s="16"/>
      <c r="S801" s="72"/>
      <c r="T801" s="77"/>
    </row>
    <row r="802" spans="1:20" ht="13.2">
      <c r="A802" s="2"/>
      <c r="B802" s="72"/>
      <c r="C802" s="77"/>
      <c r="D802" s="16"/>
      <c r="E802" s="72"/>
      <c r="F802" s="70"/>
      <c r="G802" s="72"/>
      <c r="H802" s="24"/>
      <c r="J802" s="70"/>
      <c r="K802" s="72"/>
      <c r="L802" s="75"/>
      <c r="M802" s="75"/>
      <c r="N802" s="76"/>
      <c r="O802" s="70"/>
      <c r="P802" s="70"/>
      <c r="Q802" s="17"/>
      <c r="R802" s="16"/>
      <c r="S802" s="72"/>
      <c r="T802" s="77"/>
    </row>
    <row r="803" spans="1:20" ht="13.2">
      <c r="A803" s="2"/>
      <c r="B803" s="72"/>
      <c r="C803" s="77"/>
      <c r="D803" s="16"/>
      <c r="E803" s="72"/>
      <c r="F803" s="70"/>
      <c r="G803" s="72"/>
      <c r="H803" s="24"/>
      <c r="J803" s="70"/>
      <c r="K803" s="72"/>
      <c r="L803" s="75"/>
      <c r="M803" s="75"/>
      <c r="N803" s="76"/>
      <c r="O803" s="70"/>
      <c r="P803" s="70"/>
      <c r="Q803" s="17"/>
      <c r="R803" s="16"/>
      <c r="S803" s="72"/>
      <c r="T803" s="77"/>
    </row>
    <row r="804" spans="1:20" ht="13.2">
      <c r="A804" s="2"/>
      <c r="B804" s="72"/>
      <c r="C804" s="77"/>
      <c r="D804" s="16"/>
      <c r="E804" s="72"/>
      <c r="F804" s="70"/>
      <c r="G804" s="72"/>
      <c r="H804" s="24"/>
      <c r="J804" s="70"/>
      <c r="K804" s="72"/>
      <c r="L804" s="75"/>
      <c r="M804" s="75"/>
      <c r="N804" s="76"/>
      <c r="O804" s="70"/>
      <c r="P804" s="70"/>
      <c r="Q804" s="17"/>
      <c r="R804" s="16"/>
      <c r="S804" s="72"/>
      <c r="T804" s="77"/>
    </row>
    <row r="805" spans="1:20" ht="13.2">
      <c r="A805" s="2"/>
      <c r="B805" s="72"/>
      <c r="C805" s="77"/>
      <c r="D805" s="16"/>
      <c r="E805" s="72"/>
      <c r="F805" s="70"/>
      <c r="G805" s="72"/>
      <c r="H805" s="24"/>
      <c r="J805" s="70"/>
      <c r="K805" s="72"/>
      <c r="L805" s="75"/>
      <c r="M805" s="75"/>
      <c r="N805" s="76"/>
      <c r="O805" s="70"/>
      <c r="P805" s="70"/>
      <c r="Q805" s="17"/>
      <c r="R805" s="16"/>
      <c r="S805" s="72"/>
      <c r="T805" s="77"/>
    </row>
    <row r="806" spans="1:20" ht="13.2">
      <c r="A806" s="2"/>
      <c r="B806" s="72"/>
      <c r="C806" s="77"/>
      <c r="D806" s="16"/>
      <c r="E806" s="72"/>
      <c r="F806" s="70"/>
      <c r="G806" s="72"/>
      <c r="H806" s="24"/>
      <c r="J806" s="70"/>
      <c r="K806" s="72"/>
      <c r="L806" s="75"/>
      <c r="M806" s="75"/>
      <c r="N806" s="76"/>
      <c r="O806" s="70"/>
      <c r="P806" s="70"/>
      <c r="Q806" s="17"/>
      <c r="R806" s="16"/>
      <c r="S806" s="72"/>
      <c r="T806" s="77"/>
    </row>
    <row r="807" spans="1:20" ht="13.2">
      <c r="A807" s="2"/>
      <c r="B807" s="72"/>
      <c r="C807" s="77"/>
      <c r="D807" s="16"/>
      <c r="E807" s="72"/>
      <c r="F807" s="70"/>
      <c r="G807" s="72"/>
      <c r="H807" s="24"/>
      <c r="J807" s="70"/>
      <c r="K807" s="72"/>
      <c r="L807" s="75"/>
      <c r="M807" s="75"/>
      <c r="N807" s="76"/>
      <c r="O807" s="70"/>
      <c r="P807" s="70"/>
      <c r="Q807" s="17"/>
      <c r="R807" s="16"/>
      <c r="S807" s="72"/>
      <c r="T807" s="77"/>
    </row>
    <row r="808" spans="1:20" ht="13.2">
      <c r="A808" s="2"/>
      <c r="B808" s="72"/>
      <c r="C808" s="77"/>
      <c r="D808" s="16"/>
      <c r="E808" s="72"/>
      <c r="F808" s="70"/>
      <c r="G808" s="72"/>
      <c r="H808" s="24"/>
      <c r="J808" s="70"/>
      <c r="K808" s="72"/>
      <c r="L808" s="75"/>
      <c r="M808" s="75"/>
      <c r="N808" s="76"/>
      <c r="O808" s="70"/>
      <c r="P808" s="70"/>
      <c r="Q808" s="17"/>
      <c r="R808" s="16"/>
      <c r="S808" s="72"/>
      <c r="T808" s="77"/>
    </row>
    <row r="809" spans="1:20" ht="13.2">
      <c r="A809" s="2"/>
      <c r="B809" s="72"/>
      <c r="C809" s="77"/>
      <c r="D809" s="16"/>
      <c r="E809" s="72"/>
      <c r="F809" s="70"/>
      <c r="G809" s="72"/>
      <c r="H809" s="24"/>
      <c r="J809" s="70"/>
      <c r="K809" s="72"/>
      <c r="L809" s="75"/>
      <c r="M809" s="75"/>
      <c r="N809" s="76"/>
      <c r="O809" s="70"/>
      <c r="P809" s="70"/>
      <c r="Q809" s="17"/>
      <c r="R809" s="16"/>
      <c r="S809" s="72"/>
      <c r="T809" s="77"/>
    </row>
    <row r="810" spans="1:20" ht="13.2">
      <c r="A810" s="2"/>
      <c r="B810" s="72"/>
      <c r="C810" s="77"/>
      <c r="D810" s="16"/>
      <c r="E810" s="72"/>
      <c r="F810" s="70"/>
      <c r="G810" s="72"/>
      <c r="H810" s="24"/>
      <c r="J810" s="70"/>
      <c r="K810" s="72"/>
      <c r="L810" s="75"/>
      <c r="M810" s="75"/>
      <c r="N810" s="76"/>
      <c r="O810" s="70"/>
      <c r="P810" s="70"/>
      <c r="Q810" s="17"/>
      <c r="R810" s="16"/>
      <c r="S810" s="72"/>
      <c r="T810" s="77"/>
    </row>
    <row r="811" spans="1:20" ht="13.2">
      <c r="A811" s="2"/>
      <c r="B811" s="72"/>
      <c r="C811" s="77"/>
      <c r="D811" s="16"/>
      <c r="E811" s="72"/>
      <c r="F811" s="70"/>
      <c r="G811" s="72"/>
      <c r="H811" s="24"/>
      <c r="J811" s="70"/>
      <c r="K811" s="72"/>
      <c r="L811" s="75"/>
      <c r="M811" s="75"/>
      <c r="N811" s="76"/>
      <c r="O811" s="70"/>
      <c r="P811" s="70"/>
      <c r="Q811" s="17"/>
      <c r="R811" s="16"/>
      <c r="S811" s="72"/>
      <c r="T811" s="77"/>
    </row>
    <row r="812" spans="1:20" ht="13.2">
      <c r="A812" s="2"/>
      <c r="B812" s="72"/>
      <c r="C812" s="77"/>
      <c r="D812" s="16"/>
      <c r="E812" s="72"/>
      <c r="F812" s="70"/>
      <c r="G812" s="72"/>
      <c r="H812" s="24"/>
      <c r="J812" s="70"/>
      <c r="K812" s="72"/>
      <c r="L812" s="75"/>
      <c r="M812" s="75"/>
      <c r="N812" s="76"/>
      <c r="O812" s="70"/>
      <c r="P812" s="70"/>
      <c r="Q812" s="17"/>
      <c r="R812" s="16"/>
      <c r="S812" s="72"/>
      <c r="T812" s="77"/>
    </row>
    <row r="813" spans="1:20" ht="13.2">
      <c r="A813" s="2"/>
      <c r="B813" s="72"/>
      <c r="C813" s="77"/>
      <c r="D813" s="16"/>
      <c r="E813" s="72"/>
      <c r="F813" s="70"/>
      <c r="G813" s="72"/>
      <c r="H813" s="24"/>
      <c r="J813" s="70"/>
      <c r="K813" s="72"/>
      <c r="L813" s="75"/>
      <c r="M813" s="75"/>
      <c r="N813" s="76"/>
      <c r="O813" s="70"/>
      <c r="P813" s="70"/>
      <c r="Q813" s="17"/>
      <c r="R813" s="16"/>
      <c r="S813" s="72"/>
      <c r="T813" s="77"/>
    </row>
    <row r="814" spans="1:20" ht="13.2">
      <c r="A814" s="2"/>
      <c r="B814" s="72"/>
      <c r="C814" s="77"/>
      <c r="D814" s="16"/>
      <c r="E814" s="72"/>
      <c r="F814" s="70"/>
      <c r="G814" s="72"/>
      <c r="H814" s="24"/>
      <c r="J814" s="70"/>
      <c r="K814" s="72"/>
      <c r="L814" s="75"/>
      <c r="M814" s="75"/>
      <c r="N814" s="76"/>
      <c r="O814" s="70"/>
      <c r="P814" s="70"/>
      <c r="Q814" s="17"/>
      <c r="R814" s="16"/>
      <c r="S814" s="72"/>
      <c r="T814" s="77"/>
    </row>
    <row r="815" spans="1:20" ht="13.2">
      <c r="A815" s="2"/>
      <c r="B815" s="72"/>
      <c r="C815" s="77"/>
      <c r="D815" s="16"/>
      <c r="E815" s="72"/>
      <c r="F815" s="70"/>
      <c r="G815" s="72"/>
      <c r="H815" s="24"/>
      <c r="J815" s="70"/>
      <c r="K815" s="72"/>
      <c r="L815" s="75"/>
      <c r="M815" s="75"/>
      <c r="N815" s="76"/>
      <c r="O815" s="70"/>
      <c r="P815" s="70"/>
      <c r="Q815" s="17"/>
      <c r="R815" s="16"/>
      <c r="S815" s="72"/>
      <c r="T815" s="77"/>
    </row>
    <row r="816" spans="1:20" ht="13.2">
      <c r="A816" s="2"/>
      <c r="B816" s="72"/>
      <c r="C816" s="77"/>
      <c r="D816" s="16"/>
      <c r="E816" s="72"/>
      <c r="F816" s="70"/>
      <c r="G816" s="72"/>
      <c r="H816" s="24"/>
      <c r="J816" s="70"/>
      <c r="K816" s="72"/>
      <c r="L816" s="75"/>
      <c r="M816" s="75"/>
      <c r="N816" s="76"/>
      <c r="O816" s="70"/>
      <c r="P816" s="70"/>
      <c r="Q816" s="17"/>
      <c r="R816" s="16"/>
      <c r="S816" s="72"/>
      <c r="T816" s="77"/>
    </row>
    <row r="817" spans="1:20" ht="13.2">
      <c r="A817" s="2"/>
      <c r="B817" s="72"/>
      <c r="C817" s="77"/>
      <c r="D817" s="16"/>
      <c r="E817" s="72"/>
      <c r="F817" s="70"/>
      <c r="G817" s="72"/>
      <c r="H817" s="24"/>
      <c r="J817" s="70"/>
      <c r="K817" s="72"/>
      <c r="L817" s="75"/>
      <c r="M817" s="75"/>
      <c r="N817" s="76"/>
      <c r="O817" s="70"/>
      <c r="P817" s="70"/>
      <c r="Q817" s="17"/>
      <c r="R817" s="16"/>
      <c r="S817" s="72"/>
      <c r="T817" s="77"/>
    </row>
    <row r="818" spans="1:20" ht="13.2">
      <c r="A818" s="2"/>
      <c r="B818" s="72"/>
      <c r="C818" s="77"/>
      <c r="D818" s="16"/>
      <c r="E818" s="72"/>
      <c r="F818" s="70"/>
      <c r="G818" s="72"/>
      <c r="H818" s="24"/>
      <c r="J818" s="70"/>
      <c r="K818" s="72"/>
      <c r="L818" s="75"/>
      <c r="M818" s="75"/>
      <c r="N818" s="76"/>
      <c r="O818" s="70"/>
      <c r="P818" s="70"/>
      <c r="Q818" s="17"/>
      <c r="R818" s="16"/>
      <c r="S818" s="72"/>
      <c r="T818" s="77"/>
    </row>
    <row r="819" spans="1:20" ht="13.2">
      <c r="A819" s="2"/>
      <c r="B819" s="72"/>
      <c r="C819" s="77"/>
      <c r="D819" s="16"/>
      <c r="E819" s="72"/>
      <c r="F819" s="70"/>
      <c r="G819" s="72"/>
      <c r="H819" s="24"/>
      <c r="J819" s="70"/>
      <c r="K819" s="72"/>
      <c r="L819" s="75"/>
      <c r="M819" s="75"/>
      <c r="N819" s="76"/>
      <c r="O819" s="70"/>
      <c r="P819" s="70"/>
      <c r="Q819" s="17"/>
      <c r="R819" s="16"/>
      <c r="S819" s="72"/>
      <c r="T819" s="77"/>
    </row>
    <row r="820" spans="1:20" ht="13.2">
      <c r="A820" s="2"/>
      <c r="B820" s="72"/>
      <c r="C820" s="77"/>
      <c r="D820" s="16"/>
      <c r="E820" s="72"/>
      <c r="F820" s="70"/>
      <c r="G820" s="72"/>
      <c r="H820" s="24"/>
      <c r="J820" s="70"/>
      <c r="K820" s="72"/>
      <c r="L820" s="75"/>
      <c r="M820" s="75"/>
      <c r="N820" s="76"/>
      <c r="O820" s="70"/>
      <c r="P820" s="70"/>
      <c r="Q820" s="17"/>
      <c r="R820" s="16"/>
      <c r="S820" s="72"/>
      <c r="T820" s="77"/>
    </row>
    <row r="821" spans="1:20" ht="13.2">
      <c r="A821" s="2"/>
      <c r="B821" s="72"/>
      <c r="C821" s="77"/>
      <c r="D821" s="16"/>
      <c r="E821" s="72"/>
      <c r="F821" s="70"/>
      <c r="G821" s="72"/>
      <c r="H821" s="24"/>
      <c r="J821" s="70"/>
      <c r="K821" s="72"/>
      <c r="L821" s="75"/>
      <c r="M821" s="75"/>
      <c r="N821" s="76"/>
      <c r="O821" s="70"/>
      <c r="P821" s="70"/>
      <c r="Q821" s="17"/>
      <c r="R821" s="16"/>
      <c r="S821" s="72"/>
      <c r="T821" s="77"/>
    </row>
    <row r="822" spans="1:20" ht="13.2">
      <c r="A822" s="2"/>
      <c r="B822" s="72"/>
      <c r="C822" s="77"/>
      <c r="D822" s="16"/>
      <c r="E822" s="72"/>
      <c r="F822" s="70"/>
      <c r="G822" s="72"/>
      <c r="H822" s="24"/>
      <c r="J822" s="70"/>
      <c r="K822" s="72"/>
      <c r="L822" s="75"/>
      <c r="M822" s="75"/>
      <c r="N822" s="76"/>
      <c r="O822" s="70"/>
      <c r="P822" s="70"/>
      <c r="Q822" s="17"/>
      <c r="R822" s="16"/>
      <c r="S822" s="72"/>
      <c r="T822" s="77"/>
    </row>
    <row r="823" spans="1:20" ht="13.2">
      <c r="A823" s="2"/>
      <c r="B823" s="72"/>
      <c r="C823" s="77"/>
      <c r="D823" s="16"/>
      <c r="E823" s="72"/>
      <c r="F823" s="70"/>
      <c r="G823" s="72"/>
      <c r="H823" s="24"/>
      <c r="J823" s="70"/>
      <c r="K823" s="72"/>
      <c r="L823" s="75"/>
      <c r="M823" s="75"/>
      <c r="N823" s="76"/>
      <c r="O823" s="70"/>
      <c r="P823" s="70"/>
      <c r="Q823" s="17"/>
      <c r="R823" s="16"/>
      <c r="S823" s="72"/>
      <c r="T823" s="77"/>
    </row>
    <row r="824" spans="1:20" ht="13.2">
      <c r="A824" s="2"/>
      <c r="B824" s="72"/>
      <c r="C824" s="77"/>
      <c r="D824" s="16"/>
      <c r="E824" s="72"/>
      <c r="F824" s="70"/>
      <c r="G824" s="72"/>
      <c r="H824" s="24"/>
      <c r="J824" s="70"/>
      <c r="K824" s="72"/>
      <c r="L824" s="75"/>
      <c r="M824" s="75"/>
      <c r="N824" s="76"/>
      <c r="O824" s="70"/>
      <c r="P824" s="70"/>
      <c r="Q824" s="17"/>
      <c r="R824" s="16"/>
      <c r="S824" s="72"/>
      <c r="T824" s="77"/>
    </row>
    <row r="825" spans="1:20" ht="13.2">
      <c r="A825" s="2"/>
      <c r="B825" s="72"/>
      <c r="C825" s="77"/>
      <c r="D825" s="16"/>
      <c r="E825" s="72"/>
      <c r="F825" s="70"/>
      <c r="G825" s="72"/>
      <c r="H825" s="24"/>
      <c r="J825" s="70"/>
      <c r="K825" s="72"/>
      <c r="L825" s="75"/>
      <c r="M825" s="75"/>
      <c r="N825" s="76"/>
      <c r="O825" s="70"/>
      <c r="P825" s="70"/>
      <c r="Q825" s="17"/>
      <c r="R825" s="16"/>
      <c r="S825" s="72"/>
      <c r="T825" s="77"/>
    </row>
    <row r="826" spans="1:20" ht="13.2">
      <c r="A826" s="2"/>
      <c r="B826" s="72"/>
      <c r="C826" s="77"/>
      <c r="D826" s="16"/>
      <c r="E826" s="72"/>
      <c r="F826" s="70"/>
      <c r="G826" s="72"/>
      <c r="H826" s="24"/>
      <c r="J826" s="70"/>
      <c r="K826" s="72"/>
      <c r="L826" s="75"/>
      <c r="M826" s="75"/>
      <c r="N826" s="76"/>
      <c r="O826" s="70"/>
      <c r="P826" s="70"/>
      <c r="Q826" s="17"/>
      <c r="R826" s="16"/>
      <c r="S826" s="72"/>
      <c r="T826" s="77"/>
    </row>
    <row r="827" spans="1:20" ht="13.2">
      <c r="A827" s="2"/>
      <c r="B827" s="72"/>
      <c r="C827" s="77"/>
      <c r="D827" s="16"/>
      <c r="E827" s="72"/>
      <c r="F827" s="70"/>
      <c r="G827" s="72"/>
      <c r="H827" s="24"/>
      <c r="J827" s="70"/>
      <c r="K827" s="72"/>
      <c r="L827" s="75"/>
      <c r="M827" s="75"/>
      <c r="N827" s="76"/>
      <c r="O827" s="70"/>
      <c r="P827" s="70"/>
      <c r="Q827" s="17"/>
      <c r="R827" s="16"/>
      <c r="S827" s="72"/>
      <c r="T827" s="77"/>
    </row>
    <row r="828" spans="1:20" ht="13.2">
      <c r="A828" s="2"/>
      <c r="B828" s="72"/>
      <c r="C828" s="77"/>
      <c r="D828" s="16"/>
      <c r="E828" s="72"/>
      <c r="F828" s="70"/>
      <c r="G828" s="72"/>
      <c r="H828" s="24"/>
      <c r="J828" s="70"/>
      <c r="K828" s="72"/>
      <c r="L828" s="75"/>
      <c r="M828" s="75"/>
      <c r="N828" s="76"/>
      <c r="O828" s="70"/>
      <c r="P828" s="70"/>
      <c r="Q828" s="17"/>
      <c r="R828" s="16"/>
      <c r="S828" s="72"/>
      <c r="T828" s="77"/>
    </row>
    <row r="829" spans="1:20" ht="13.2">
      <c r="A829" s="2"/>
      <c r="B829" s="72"/>
      <c r="C829" s="77"/>
      <c r="D829" s="16"/>
      <c r="E829" s="72"/>
      <c r="F829" s="70"/>
      <c r="G829" s="72"/>
      <c r="H829" s="24"/>
      <c r="J829" s="70"/>
      <c r="K829" s="72"/>
      <c r="L829" s="75"/>
      <c r="M829" s="75"/>
      <c r="N829" s="76"/>
      <c r="O829" s="70"/>
      <c r="P829" s="70"/>
      <c r="Q829" s="17"/>
      <c r="R829" s="16"/>
      <c r="S829" s="72"/>
      <c r="T829" s="77"/>
    </row>
    <row r="830" spans="1:20" ht="13.2">
      <c r="A830" s="2"/>
      <c r="B830" s="72"/>
      <c r="C830" s="77"/>
      <c r="D830" s="16"/>
      <c r="E830" s="72"/>
      <c r="F830" s="70"/>
      <c r="G830" s="72"/>
      <c r="H830" s="24"/>
      <c r="J830" s="70"/>
      <c r="K830" s="72"/>
      <c r="L830" s="75"/>
      <c r="M830" s="75"/>
      <c r="N830" s="76"/>
      <c r="O830" s="70"/>
      <c r="P830" s="70"/>
      <c r="Q830" s="17"/>
      <c r="R830" s="16"/>
      <c r="S830" s="72"/>
      <c r="T830" s="77"/>
    </row>
    <row r="831" spans="1:20" ht="13.2">
      <c r="A831" s="2"/>
      <c r="B831" s="72"/>
      <c r="C831" s="77"/>
      <c r="D831" s="16"/>
      <c r="E831" s="72"/>
      <c r="F831" s="70"/>
      <c r="G831" s="72"/>
      <c r="H831" s="24"/>
      <c r="J831" s="70"/>
      <c r="K831" s="72"/>
      <c r="L831" s="75"/>
      <c r="M831" s="75"/>
      <c r="N831" s="76"/>
      <c r="O831" s="70"/>
      <c r="P831" s="70"/>
      <c r="Q831" s="17"/>
      <c r="R831" s="16"/>
      <c r="S831" s="72"/>
      <c r="T831" s="77"/>
    </row>
    <row r="832" spans="1:20" ht="13.2">
      <c r="A832" s="2"/>
      <c r="B832" s="72"/>
      <c r="C832" s="77"/>
      <c r="D832" s="16"/>
      <c r="E832" s="72"/>
      <c r="F832" s="70"/>
      <c r="G832" s="72"/>
      <c r="H832" s="24"/>
      <c r="J832" s="70"/>
      <c r="K832" s="72"/>
      <c r="L832" s="75"/>
      <c r="M832" s="75"/>
      <c r="N832" s="76"/>
      <c r="O832" s="70"/>
      <c r="P832" s="70"/>
      <c r="Q832" s="17"/>
      <c r="R832" s="16"/>
      <c r="S832" s="72"/>
      <c r="T832" s="77"/>
    </row>
    <row r="833" spans="1:20" ht="13.2">
      <c r="A833" s="2"/>
      <c r="B833" s="72"/>
      <c r="C833" s="77"/>
      <c r="D833" s="16"/>
      <c r="E833" s="72"/>
      <c r="F833" s="70"/>
      <c r="G833" s="72"/>
      <c r="H833" s="24"/>
      <c r="J833" s="70"/>
      <c r="K833" s="72"/>
      <c r="L833" s="75"/>
      <c r="M833" s="75"/>
      <c r="N833" s="76"/>
      <c r="O833" s="70"/>
      <c r="P833" s="70"/>
      <c r="Q833" s="17"/>
      <c r="R833" s="16"/>
      <c r="S833" s="72"/>
      <c r="T833" s="77"/>
    </row>
    <row r="834" spans="1:20" ht="13.2">
      <c r="A834" s="2"/>
      <c r="B834" s="72"/>
      <c r="C834" s="77"/>
      <c r="D834" s="16"/>
      <c r="E834" s="72"/>
      <c r="F834" s="70"/>
      <c r="G834" s="72"/>
      <c r="H834" s="24"/>
      <c r="J834" s="70"/>
      <c r="K834" s="72"/>
      <c r="L834" s="75"/>
      <c r="M834" s="75"/>
      <c r="N834" s="76"/>
      <c r="O834" s="70"/>
      <c r="P834" s="70"/>
      <c r="Q834" s="17"/>
      <c r="R834" s="16"/>
      <c r="S834" s="72"/>
      <c r="T834" s="77"/>
    </row>
    <row r="835" spans="1:20" ht="13.2">
      <c r="A835" s="2"/>
      <c r="B835" s="72"/>
      <c r="C835" s="77"/>
      <c r="D835" s="16"/>
      <c r="E835" s="72"/>
      <c r="F835" s="70"/>
      <c r="G835" s="72"/>
      <c r="H835" s="24"/>
      <c r="J835" s="70"/>
      <c r="K835" s="72"/>
      <c r="L835" s="75"/>
      <c r="M835" s="75"/>
      <c r="N835" s="76"/>
      <c r="O835" s="70"/>
      <c r="P835" s="70"/>
      <c r="Q835" s="17"/>
      <c r="R835" s="16"/>
      <c r="S835" s="72"/>
      <c r="T835" s="77"/>
    </row>
    <row r="836" spans="1:20" ht="13.2">
      <c r="A836" s="2"/>
      <c r="B836" s="72"/>
      <c r="C836" s="77"/>
      <c r="D836" s="16"/>
      <c r="E836" s="72"/>
      <c r="F836" s="70"/>
      <c r="G836" s="72"/>
      <c r="H836" s="24"/>
      <c r="J836" s="70"/>
      <c r="K836" s="72"/>
      <c r="L836" s="75"/>
      <c r="M836" s="75"/>
      <c r="N836" s="76"/>
      <c r="O836" s="70"/>
      <c r="P836" s="70"/>
      <c r="Q836" s="17"/>
      <c r="R836" s="16"/>
      <c r="S836" s="72"/>
      <c r="T836" s="77"/>
    </row>
    <row r="837" spans="1:20" ht="13.2">
      <c r="A837" s="2"/>
      <c r="B837" s="72"/>
      <c r="C837" s="77"/>
      <c r="D837" s="16"/>
      <c r="E837" s="72"/>
      <c r="F837" s="70"/>
      <c r="G837" s="72"/>
      <c r="H837" s="24"/>
      <c r="J837" s="70"/>
      <c r="K837" s="72"/>
      <c r="L837" s="75"/>
      <c r="M837" s="75"/>
      <c r="N837" s="76"/>
      <c r="O837" s="70"/>
      <c r="P837" s="70"/>
      <c r="Q837" s="17"/>
      <c r="R837" s="16"/>
      <c r="S837" s="72"/>
      <c r="T837" s="77"/>
    </row>
    <row r="838" spans="1:20" ht="13.2">
      <c r="A838" s="2"/>
      <c r="B838" s="72"/>
      <c r="C838" s="77"/>
      <c r="D838" s="16"/>
      <c r="E838" s="72"/>
      <c r="F838" s="70"/>
      <c r="G838" s="72"/>
      <c r="H838" s="24"/>
      <c r="J838" s="70"/>
      <c r="K838" s="72"/>
      <c r="L838" s="75"/>
      <c r="M838" s="75"/>
      <c r="N838" s="76"/>
      <c r="O838" s="70"/>
      <c r="P838" s="70"/>
      <c r="Q838" s="17"/>
      <c r="R838" s="16"/>
      <c r="S838" s="72"/>
      <c r="T838" s="77"/>
    </row>
    <row r="839" spans="1:20" ht="13.2">
      <c r="A839" s="2"/>
      <c r="B839" s="72"/>
      <c r="C839" s="77"/>
      <c r="D839" s="16"/>
      <c r="E839" s="72"/>
      <c r="F839" s="70"/>
      <c r="G839" s="72"/>
      <c r="H839" s="24"/>
      <c r="J839" s="70"/>
      <c r="K839" s="72"/>
      <c r="L839" s="75"/>
      <c r="M839" s="75"/>
      <c r="N839" s="76"/>
      <c r="O839" s="70"/>
      <c r="P839" s="70"/>
      <c r="Q839" s="17"/>
      <c r="R839" s="16"/>
      <c r="S839" s="72"/>
      <c r="T839" s="77"/>
    </row>
    <row r="840" spans="1:20" ht="13.2">
      <c r="A840" s="2"/>
      <c r="B840" s="72"/>
      <c r="C840" s="77"/>
      <c r="D840" s="16"/>
      <c r="E840" s="72"/>
      <c r="F840" s="70"/>
      <c r="G840" s="72"/>
      <c r="H840" s="24"/>
      <c r="J840" s="70"/>
      <c r="K840" s="72"/>
      <c r="L840" s="75"/>
      <c r="M840" s="75"/>
      <c r="N840" s="76"/>
      <c r="O840" s="70"/>
      <c r="P840" s="70"/>
      <c r="Q840" s="17"/>
      <c r="R840" s="16"/>
      <c r="S840" s="72"/>
      <c r="T840" s="77"/>
    </row>
    <row r="841" spans="1:20" ht="13.2">
      <c r="A841" s="2"/>
      <c r="B841" s="72"/>
      <c r="C841" s="77"/>
      <c r="D841" s="16"/>
      <c r="E841" s="72"/>
      <c r="F841" s="70"/>
      <c r="G841" s="72"/>
      <c r="H841" s="24"/>
      <c r="J841" s="70"/>
      <c r="K841" s="72"/>
      <c r="L841" s="75"/>
      <c r="M841" s="75"/>
      <c r="N841" s="76"/>
      <c r="O841" s="70"/>
      <c r="P841" s="70"/>
      <c r="Q841" s="17"/>
      <c r="R841" s="16"/>
      <c r="S841" s="72"/>
      <c r="T841" s="77"/>
    </row>
    <row r="842" spans="1:20" ht="13.2">
      <c r="A842" s="2"/>
      <c r="B842" s="72"/>
      <c r="C842" s="77"/>
      <c r="D842" s="16"/>
      <c r="E842" s="72"/>
      <c r="F842" s="70"/>
      <c r="G842" s="72"/>
      <c r="H842" s="24"/>
      <c r="J842" s="70"/>
      <c r="K842" s="72"/>
      <c r="L842" s="75"/>
      <c r="M842" s="75"/>
      <c r="N842" s="76"/>
      <c r="O842" s="70"/>
      <c r="P842" s="70"/>
      <c r="Q842" s="17"/>
      <c r="R842" s="16"/>
      <c r="S842" s="72"/>
      <c r="T842" s="77"/>
    </row>
    <row r="843" spans="1:20" ht="13.2">
      <c r="A843" s="2"/>
      <c r="B843" s="72"/>
      <c r="C843" s="77"/>
      <c r="D843" s="16"/>
      <c r="E843" s="72"/>
      <c r="F843" s="70"/>
      <c r="G843" s="72"/>
      <c r="H843" s="24"/>
      <c r="J843" s="70"/>
      <c r="K843" s="72"/>
      <c r="L843" s="75"/>
      <c r="M843" s="75"/>
      <c r="N843" s="76"/>
      <c r="O843" s="70"/>
      <c r="P843" s="70"/>
      <c r="Q843" s="17"/>
      <c r="R843" s="16"/>
      <c r="S843" s="72"/>
      <c r="T843" s="77"/>
    </row>
    <row r="844" spans="1:20" ht="13.2">
      <c r="A844" s="2"/>
      <c r="B844" s="72"/>
      <c r="C844" s="77"/>
      <c r="D844" s="16"/>
      <c r="E844" s="72"/>
      <c r="F844" s="70"/>
      <c r="G844" s="72"/>
      <c r="H844" s="24"/>
      <c r="J844" s="70"/>
      <c r="K844" s="72"/>
      <c r="L844" s="75"/>
      <c r="M844" s="75"/>
      <c r="N844" s="76"/>
      <c r="O844" s="70"/>
      <c r="P844" s="70"/>
      <c r="Q844" s="17"/>
      <c r="R844" s="16"/>
      <c r="S844" s="72"/>
      <c r="T844" s="77"/>
    </row>
    <row r="845" spans="1:20" ht="13.2">
      <c r="A845" s="2"/>
      <c r="B845" s="72"/>
      <c r="C845" s="77"/>
      <c r="D845" s="16"/>
      <c r="E845" s="72"/>
      <c r="F845" s="70"/>
      <c r="G845" s="72"/>
      <c r="H845" s="24"/>
      <c r="J845" s="70"/>
      <c r="K845" s="72"/>
      <c r="L845" s="75"/>
      <c r="M845" s="75"/>
      <c r="N845" s="76"/>
      <c r="O845" s="70"/>
      <c r="P845" s="70"/>
      <c r="Q845" s="17"/>
      <c r="R845" s="16"/>
      <c r="S845" s="72"/>
      <c r="T845" s="77"/>
    </row>
    <row r="846" spans="1:20" ht="13.2">
      <c r="A846" s="2"/>
      <c r="B846" s="72"/>
      <c r="C846" s="77"/>
      <c r="D846" s="16"/>
      <c r="E846" s="72"/>
      <c r="F846" s="70"/>
      <c r="G846" s="72"/>
      <c r="H846" s="24"/>
      <c r="J846" s="70"/>
      <c r="K846" s="72"/>
      <c r="L846" s="75"/>
      <c r="M846" s="75"/>
      <c r="N846" s="76"/>
      <c r="O846" s="70"/>
      <c r="P846" s="70"/>
      <c r="Q846" s="17"/>
      <c r="R846" s="16"/>
      <c r="S846" s="72"/>
      <c r="T846" s="77"/>
    </row>
    <row r="847" spans="1:20" ht="13.2">
      <c r="A847" s="2"/>
      <c r="B847" s="72"/>
      <c r="C847" s="77"/>
      <c r="D847" s="16"/>
      <c r="E847" s="72"/>
      <c r="F847" s="70"/>
      <c r="G847" s="72"/>
      <c r="H847" s="24"/>
      <c r="J847" s="70"/>
      <c r="K847" s="72"/>
      <c r="L847" s="75"/>
      <c r="M847" s="75"/>
      <c r="N847" s="76"/>
      <c r="O847" s="70"/>
      <c r="P847" s="70"/>
      <c r="Q847" s="17"/>
      <c r="R847" s="16"/>
      <c r="S847" s="72"/>
      <c r="T847" s="77"/>
    </row>
    <row r="848" spans="1:20" ht="13.2">
      <c r="A848" s="2"/>
      <c r="B848" s="72"/>
      <c r="C848" s="77"/>
      <c r="D848" s="16"/>
      <c r="E848" s="72"/>
      <c r="F848" s="70"/>
      <c r="G848" s="72"/>
      <c r="H848" s="24"/>
      <c r="J848" s="70"/>
      <c r="K848" s="72"/>
      <c r="L848" s="75"/>
      <c r="M848" s="75"/>
      <c r="N848" s="76"/>
      <c r="O848" s="70"/>
      <c r="P848" s="70"/>
      <c r="Q848" s="17"/>
      <c r="R848" s="16"/>
      <c r="S848" s="72"/>
      <c r="T848" s="77"/>
    </row>
    <row r="849" spans="1:20" ht="13.2">
      <c r="A849" s="2"/>
      <c r="B849" s="72"/>
      <c r="C849" s="77"/>
      <c r="D849" s="16"/>
      <c r="E849" s="72"/>
      <c r="F849" s="70"/>
      <c r="G849" s="72"/>
      <c r="H849" s="24"/>
      <c r="J849" s="70"/>
      <c r="K849" s="72"/>
      <c r="L849" s="75"/>
      <c r="M849" s="75"/>
      <c r="N849" s="76"/>
      <c r="O849" s="70"/>
      <c r="P849" s="70"/>
      <c r="Q849" s="17"/>
      <c r="R849" s="16"/>
      <c r="S849" s="72"/>
      <c r="T849" s="77"/>
    </row>
    <row r="850" spans="1:20" ht="13.2">
      <c r="A850" s="2"/>
      <c r="B850" s="72"/>
      <c r="C850" s="77"/>
      <c r="D850" s="16"/>
      <c r="E850" s="72"/>
      <c r="F850" s="70"/>
      <c r="G850" s="72"/>
      <c r="H850" s="24"/>
      <c r="J850" s="70"/>
      <c r="K850" s="72"/>
      <c r="L850" s="75"/>
      <c r="M850" s="75"/>
      <c r="N850" s="76"/>
      <c r="O850" s="70"/>
      <c r="P850" s="70"/>
      <c r="Q850" s="17"/>
      <c r="R850" s="16"/>
      <c r="S850" s="72"/>
      <c r="T850" s="77"/>
    </row>
    <row r="851" spans="1:20" ht="13.2">
      <c r="A851" s="2"/>
      <c r="B851" s="72"/>
      <c r="C851" s="77"/>
      <c r="D851" s="16"/>
      <c r="E851" s="72"/>
      <c r="F851" s="70"/>
      <c r="G851" s="72"/>
      <c r="H851" s="24"/>
      <c r="J851" s="70"/>
      <c r="K851" s="72"/>
      <c r="L851" s="75"/>
      <c r="M851" s="75"/>
      <c r="N851" s="76"/>
      <c r="O851" s="70"/>
      <c r="P851" s="70"/>
      <c r="Q851" s="17"/>
      <c r="R851" s="16"/>
      <c r="S851" s="72"/>
      <c r="T851" s="77"/>
    </row>
    <row r="852" spans="1:20" ht="13.2">
      <c r="A852" s="2"/>
      <c r="B852" s="72"/>
      <c r="C852" s="77"/>
      <c r="D852" s="16"/>
      <c r="E852" s="72"/>
      <c r="F852" s="70"/>
      <c r="G852" s="72"/>
      <c r="H852" s="24"/>
      <c r="J852" s="70"/>
      <c r="K852" s="72"/>
      <c r="L852" s="75"/>
      <c r="M852" s="75"/>
      <c r="N852" s="76"/>
      <c r="O852" s="70"/>
      <c r="P852" s="70"/>
      <c r="Q852" s="17"/>
      <c r="R852" s="16"/>
      <c r="S852" s="72"/>
      <c r="T852" s="77"/>
    </row>
    <row r="853" spans="1:20" ht="13.2">
      <c r="A853" s="2"/>
      <c r="B853" s="72"/>
      <c r="C853" s="77"/>
      <c r="D853" s="16"/>
      <c r="E853" s="72"/>
      <c r="F853" s="70"/>
      <c r="G853" s="72"/>
      <c r="H853" s="24"/>
      <c r="J853" s="70"/>
      <c r="K853" s="72"/>
      <c r="L853" s="75"/>
      <c r="M853" s="75"/>
      <c r="N853" s="76"/>
      <c r="O853" s="70"/>
      <c r="P853" s="70"/>
      <c r="Q853" s="17"/>
      <c r="R853" s="16"/>
      <c r="S853" s="72"/>
      <c r="T853" s="77"/>
    </row>
    <row r="854" spans="1:20" ht="13.2">
      <c r="A854" s="2"/>
      <c r="B854" s="72"/>
      <c r="C854" s="77"/>
      <c r="D854" s="16"/>
      <c r="E854" s="72"/>
      <c r="F854" s="70"/>
      <c r="G854" s="72"/>
      <c r="H854" s="24"/>
      <c r="J854" s="70"/>
      <c r="K854" s="72"/>
      <c r="L854" s="75"/>
      <c r="M854" s="75"/>
      <c r="N854" s="76"/>
      <c r="O854" s="70"/>
      <c r="P854" s="70"/>
      <c r="Q854" s="17"/>
      <c r="R854" s="16"/>
      <c r="S854" s="72"/>
      <c r="T854" s="77"/>
    </row>
    <row r="855" spans="1:20" ht="13.2">
      <c r="A855" s="2"/>
      <c r="B855" s="72"/>
      <c r="C855" s="77"/>
      <c r="D855" s="16"/>
      <c r="E855" s="72"/>
      <c r="F855" s="70"/>
      <c r="G855" s="72"/>
      <c r="H855" s="24"/>
      <c r="J855" s="70"/>
      <c r="K855" s="72"/>
      <c r="L855" s="75"/>
      <c r="M855" s="75"/>
      <c r="N855" s="76"/>
      <c r="O855" s="70"/>
      <c r="P855" s="70"/>
      <c r="Q855" s="17"/>
      <c r="R855" s="16"/>
      <c r="S855" s="72"/>
      <c r="T855" s="77"/>
    </row>
    <row r="856" spans="1:20" ht="13.2">
      <c r="A856" s="2"/>
      <c r="B856" s="72"/>
      <c r="C856" s="77"/>
      <c r="D856" s="16"/>
      <c r="E856" s="72"/>
      <c r="F856" s="70"/>
      <c r="G856" s="72"/>
      <c r="H856" s="24"/>
      <c r="J856" s="70"/>
      <c r="K856" s="72"/>
      <c r="L856" s="75"/>
      <c r="M856" s="75"/>
      <c r="N856" s="76"/>
      <c r="O856" s="70"/>
      <c r="P856" s="70"/>
      <c r="Q856" s="17"/>
      <c r="R856" s="16"/>
      <c r="S856" s="72"/>
      <c r="T856" s="77"/>
    </row>
    <row r="857" spans="1:20" ht="13.2">
      <c r="A857" s="2"/>
      <c r="B857" s="72"/>
      <c r="C857" s="77"/>
      <c r="D857" s="16"/>
      <c r="E857" s="72"/>
      <c r="F857" s="70"/>
      <c r="G857" s="72"/>
      <c r="H857" s="24"/>
      <c r="J857" s="70"/>
      <c r="K857" s="72"/>
      <c r="L857" s="75"/>
      <c r="M857" s="75"/>
      <c r="N857" s="76"/>
      <c r="O857" s="70"/>
      <c r="P857" s="70"/>
      <c r="Q857" s="17"/>
      <c r="R857" s="16"/>
      <c r="S857" s="72"/>
      <c r="T857" s="77"/>
    </row>
    <row r="858" spans="1:20" ht="13.2">
      <c r="A858" s="2"/>
      <c r="B858" s="72"/>
      <c r="C858" s="77"/>
      <c r="D858" s="16"/>
      <c r="E858" s="72"/>
      <c r="F858" s="70"/>
      <c r="G858" s="72"/>
      <c r="H858" s="24"/>
      <c r="J858" s="70"/>
      <c r="K858" s="72"/>
      <c r="L858" s="75"/>
      <c r="M858" s="75"/>
      <c r="N858" s="76"/>
      <c r="O858" s="70"/>
      <c r="P858" s="70"/>
      <c r="Q858" s="17"/>
      <c r="R858" s="16"/>
      <c r="S858" s="72"/>
      <c r="T858" s="77"/>
    </row>
    <row r="859" spans="1:20" ht="13.2">
      <c r="A859" s="2"/>
      <c r="B859" s="72"/>
      <c r="C859" s="77"/>
      <c r="D859" s="16"/>
      <c r="E859" s="72"/>
      <c r="F859" s="70"/>
      <c r="G859" s="72"/>
      <c r="H859" s="24"/>
      <c r="J859" s="70"/>
      <c r="K859" s="72"/>
      <c r="L859" s="75"/>
      <c r="M859" s="75"/>
      <c r="N859" s="76"/>
      <c r="O859" s="70"/>
      <c r="P859" s="70"/>
      <c r="Q859" s="17"/>
      <c r="R859" s="16"/>
      <c r="S859" s="72"/>
      <c r="T859" s="77"/>
    </row>
    <row r="860" spans="1:20" ht="13.2">
      <c r="A860" s="2"/>
      <c r="B860" s="72"/>
      <c r="C860" s="77"/>
      <c r="D860" s="16"/>
      <c r="E860" s="72"/>
      <c r="F860" s="70"/>
      <c r="G860" s="72"/>
      <c r="H860" s="24"/>
      <c r="J860" s="70"/>
      <c r="K860" s="72"/>
      <c r="L860" s="75"/>
      <c r="M860" s="75"/>
      <c r="N860" s="76"/>
      <c r="O860" s="70"/>
      <c r="P860" s="70"/>
      <c r="Q860" s="17"/>
      <c r="R860" s="16"/>
      <c r="S860" s="72"/>
      <c r="T860" s="77"/>
    </row>
    <row r="861" spans="1:20" ht="13.2">
      <c r="A861" s="2"/>
      <c r="B861" s="72"/>
      <c r="C861" s="77"/>
      <c r="D861" s="16"/>
      <c r="E861" s="72"/>
      <c r="F861" s="70"/>
      <c r="G861" s="72"/>
      <c r="H861" s="24"/>
      <c r="J861" s="70"/>
      <c r="K861" s="72"/>
      <c r="L861" s="75"/>
      <c r="M861" s="75"/>
      <c r="N861" s="76"/>
      <c r="O861" s="70"/>
      <c r="P861" s="70"/>
      <c r="Q861" s="17"/>
      <c r="R861" s="16"/>
      <c r="S861" s="72"/>
      <c r="T861" s="77"/>
    </row>
    <row r="862" spans="1:20" ht="13.2">
      <c r="A862" s="2"/>
      <c r="B862" s="72"/>
      <c r="C862" s="77"/>
      <c r="D862" s="16"/>
      <c r="E862" s="72"/>
      <c r="F862" s="70"/>
      <c r="G862" s="72"/>
      <c r="H862" s="24"/>
      <c r="J862" s="70"/>
      <c r="K862" s="72"/>
      <c r="L862" s="75"/>
      <c r="M862" s="75"/>
      <c r="N862" s="76"/>
      <c r="O862" s="70"/>
      <c r="P862" s="70"/>
      <c r="Q862" s="17"/>
      <c r="R862" s="16"/>
      <c r="S862" s="72"/>
      <c r="T862" s="77"/>
    </row>
    <row r="863" spans="1:20" ht="13.2">
      <c r="A863" s="2"/>
      <c r="B863" s="72"/>
      <c r="C863" s="77"/>
      <c r="D863" s="16"/>
      <c r="E863" s="72"/>
      <c r="F863" s="70"/>
      <c r="G863" s="72"/>
      <c r="H863" s="24"/>
      <c r="J863" s="70"/>
      <c r="K863" s="72"/>
      <c r="L863" s="75"/>
      <c r="M863" s="75"/>
      <c r="N863" s="76"/>
      <c r="O863" s="70"/>
      <c r="P863" s="70"/>
      <c r="Q863" s="17"/>
      <c r="R863" s="16"/>
      <c r="S863" s="72"/>
      <c r="T863" s="77"/>
    </row>
    <row r="864" spans="1:20" ht="13.2">
      <c r="A864" s="2"/>
      <c r="B864" s="72"/>
      <c r="C864" s="77"/>
      <c r="D864" s="16"/>
      <c r="E864" s="72"/>
      <c r="F864" s="70"/>
      <c r="G864" s="72"/>
      <c r="H864" s="24"/>
      <c r="J864" s="70"/>
      <c r="K864" s="72"/>
      <c r="L864" s="75"/>
      <c r="M864" s="75"/>
      <c r="N864" s="76"/>
      <c r="O864" s="70"/>
      <c r="P864" s="70"/>
      <c r="Q864" s="17"/>
      <c r="R864" s="16"/>
      <c r="S864" s="72"/>
      <c r="T864" s="77"/>
    </row>
    <row r="865" spans="1:20" ht="13.2">
      <c r="A865" s="2"/>
      <c r="B865" s="72"/>
      <c r="C865" s="77"/>
      <c r="D865" s="16"/>
      <c r="E865" s="72"/>
      <c r="F865" s="70"/>
      <c r="G865" s="72"/>
      <c r="H865" s="24"/>
      <c r="J865" s="70"/>
      <c r="K865" s="72"/>
      <c r="L865" s="75"/>
      <c r="M865" s="75"/>
      <c r="N865" s="76"/>
      <c r="O865" s="70"/>
      <c r="P865" s="70"/>
      <c r="Q865" s="17"/>
      <c r="R865" s="16"/>
      <c r="S865" s="72"/>
      <c r="T865" s="77"/>
    </row>
    <row r="866" spans="1:20" ht="13.2">
      <c r="A866" s="2"/>
      <c r="B866" s="72"/>
      <c r="C866" s="77"/>
      <c r="D866" s="16"/>
      <c r="E866" s="72"/>
      <c r="F866" s="70"/>
      <c r="G866" s="72"/>
      <c r="H866" s="24"/>
      <c r="J866" s="70"/>
      <c r="K866" s="72"/>
      <c r="L866" s="75"/>
      <c r="M866" s="75"/>
      <c r="N866" s="76"/>
      <c r="O866" s="70"/>
      <c r="P866" s="70"/>
      <c r="Q866" s="17"/>
      <c r="R866" s="16"/>
      <c r="S866" s="72"/>
      <c r="T866" s="77"/>
    </row>
    <row r="867" spans="1:20" ht="13.2">
      <c r="A867" s="2"/>
      <c r="B867" s="72"/>
      <c r="C867" s="77"/>
      <c r="D867" s="16"/>
      <c r="E867" s="72"/>
      <c r="F867" s="70"/>
      <c r="G867" s="72"/>
      <c r="H867" s="24"/>
      <c r="J867" s="70"/>
      <c r="K867" s="72"/>
      <c r="L867" s="75"/>
      <c r="M867" s="75"/>
      <c r="N867" s="76"/>
      <c r="O867" s="70"/>
      <c r="P867" s="70"/>
      <c r="Q867" s="17"/>
      <c r="R867" s="16"/>
      <c r="S867" s="72"/>
      <c r="T867" s="77"/>
    </row>
    <row r="868" spans="1:20" ht="13.2">
      <c r="A868" s="2"/>
      <c r="B868" s="72"/>
      <c r="C868" s="77"/>
      <c r="D868" s="16"/>
      <c r="E868" s="72"/>
      <c r="F868" s="70"/>
      <c r="G868" s="72"/>
      <c r="H868" s="24"/>
      <c r="J868" s="70"/>
      <c r="K868" s="72"/>
      <c r="L868" s="75"/>
      <c r="M868" s="75"/>
      <c r="N868" s="76"/>
      <c r="O868" s="70"/>
      <c r="P868" s="70"/>
      <c r="Q868" s="17"/>
      <c r="R868" s="16"/>
      <c r="S868" s="72"/>
      <c r="T868" s="77"/>
    </row>
    <row r="869" spans="1:20" ht="13.2">
      <c r="A869" s="2"/>
      <c r="B869" s="72"/>
      <c r="C869" s="77"/>
      <c r="D869" s="16"/>
      <c r="E869" s="72"/>
      <c r="F869" s="70"/>
      <c r="G869" s="72"/>
      <c r="H869" s="24"/>
      <c r="J869" s="70"/>
      <c r="K869" s="72"/>
      <c r="L869" s="75"/>
      <c r="M869" s="75"/>
      <c r="N869" s="76"/>
      <c r="O869" s="70"/>
      <c r="P869" s="70"/>
      <c r="Q869" s="17"/>
      <c r="R869" s="16"/>
      <c r="S869" s="72"/>
      <c r="T869" s="77"/>
    </row>
    <row r="870" spans="1:20" ht="13.2">
      <c r="A870" s="2"/>
      <c r="B870" s="72"/>
      <c r="C870" s="77"/>
      <c r="D870" s="16"/>
      <c r="E870" s="72"/>
      <c r="F870" s="70"/>
      <c r="G870" s="72"/>
      <c r="H870" s="24"/>
      <c r="J870" s="70"/>
      <c r="K870" s="72"/>
      <c r="L870" s="75"/>
      <c r="M870" s="75"/>
      <c r="N870" s="76"/>
      <c r="O870" s="70"/>
      <c r="P870" s="70"/>
      <c r="Q870" s="17"/>
      <c r="R870" s="16"/>
      <c r="S870" s="72"/>
      <c r="T870" s="77"/>
    </row>
    <row r="871" spans="1:20" ht="13.2">
      <c r="A871" s="2"/>
      <c r="B871" s="72"/>
      <c r="C871" s="77"/>
      <c r="D871" s="16"/>
      <c r="E871" s="72"/>
      <c r="F871" s="70"/>
      <c r="G871" s="72"/>
      <c r="H871" s="24"/>
      <c r="J871" s="70"/>
      <c r="K871" s="72"/>
      <c r="L871" s="75"/>
      <c r="M871" s="75"/>
      <c r="N871" s="76"/>
      <c r="O871" s="70"/>
      <c r="P871" s="70"/>
      <c r="Q871" s="17"/>
      <c r="R871" s="16"/>
      <c r="S871" s="72"/>
      <c r="T871" s="77"/>
    </row>
    <row r="872" spans="1:20" ht="13.2">
      <c r="A872" s="2"/>
      <c r="B872" s="72"/>
      <c r="C872" s="77"/>
      <c r="D872" s="16"/>
      <c r="E872" s="72"/>
      <c r="F872" s="70"/>
      <c r="G872" s="72"/>
      <c r="H872" s="24"/>
      <c r="J872" s="70"/>
      <c r="K872" s="72"/>
      <c r="L872" s="75"/>
      <c r="M872" s="75"/>
      <c r="N872" s="76"/>
      <c r="O872" s="70"/>
      <c r="P872" s="70"/>
      <c r="Q872" s="17"/>
      <c r="R872" s="16"/>
      <c r="S872" s="72"/>
      <c r="T872" s="77"/>
    </row>
    <row r="873" spans="1:20" ht="13.2">
      <c r="A873" s="2"/>
      <c r="B873" s="72"/>
      <c r="C873" s="77"/>
      <c r="D873" s="16"/>
      <c r="E873" s="72"/>
      <c r="F873" s="70"/>
      <c r="G873" s="72"/>
      <c r="H873" s="24"/>
      <c r="J873" s="70"/>
      <c r="K873" s="72"/>
      <c r="L873" s="75"/>
      <c r="M873" s="75"/>
      <c r="N873" s="76"/>
      <c r="O873" s="70"/>
      <c r="P873" s="70"/>
      <c r="Q873" s="17"/>
      <c r="R873" s="16"/>
      <c r="S873" s="72"/>
      <c r="T873" s="77"/>
    </row>
    <row r="874" spans="1:20" ht="13.2">
      <c r="A874" s="2"/>
      <c r="B874" s="72"/>
      <c r="C874" s="77"/>
      <c r="D874" s="16"/>
      <c r="E874" s="72"/>
      <c r="F874" s="70"/>
      <c r="G874" s="72"/>
      <c r="H874" s="24"/>
      <c r="J874" s="70"/>
      <c r="K874" s="72"/>
      <c r="L874" s="75"/>
      <c r="M874" s="75"/>
      <c r="N874" s="76"/>
      <c r="O874" s="70"/>
      <c r="P874" s="70"/>
      <c r="Q874" s="17"/>
      <c r="R874" s="16"/>
      <c r="S874" s="72"/>
      <c r="T874" s="77"/>
    </row>
    <row r="875" spans="1:20" ht="13.2">
      <c r="A875" s="2"/>
      <c r="B875" s="72"/>
      <c r="C875" s="77"/>
      <c r="D875" s="16"/>
      <c r="E875" s="72"/>
      <c r="F875" s="70"/>
      <c r="G875" s="72"/>
      <c r="H875" s="24"/>
      <c r="J875" s="70"/>
      <c r="K875" s="72"/>
      <c r="L875" s="75"/>
      <c r="M875" s="75"/>
      <c r="N875" s="76"/>
      <c r="O875" s="70"/>
      <c r="P875" s="70"/>
      <c r="Q875" s="17"/>
      <c r="R875" s="16"/>
      <c r="S875" s="72"/>
      <c r="T875" s="77"/>
    </row>
    <row r="876" spans="1:20" ht="13.2">
      <c r="A876" s="2"/>
      <c r="B876" s="72"/>
      <c r="C876" s="77"/>
      <c r="D876" s="16"/>
      <c r="E876" s="72"/>
      <c r="F876" s="70"/>
      <c r="G876" s="72"/>
      <c r="H876" s="24"/>
      <c r="J876" s="70"/>
      <c r="K876" s="72"/>
      <c r="L876" s="75"/>
      <c r="M876" s="75"/>
      <c r="N876" s="76"/>
      <c r="O876" s="70"/>
      <c r="P876" s="70"/>
      <c r="Q876" s="17"/>
      <c r="R876" s="16"/>
      <c r="S876" s="72"/>
      <c r="T876" s="77"/>
    </row>
    <row r="877" spans="1:20" ht="13.2">
      <c r="A877" s="2"/>
      <c r="B877" s="72"/>
      <c r="C877" s="77"/>
      <c r="D877" s="16"/>
      <c r="E877" s="72"/>
      <c r="F877" s="70"/>
      <c r="G877" s="72"/>
      <c r="H877" s="24"/>
      <c r="J877" s="70"/>
      <c r="K877" s="72"/>
      <c r="L877" s="75"/>
      <c r="M877" s="75"/>
      <c r="N877" s="76"/>
      <c r="O877" s="70"/>
      <c r="P877" s="70"/>
      <c r="Q877" s="17"/>
      <c r="R877" s="16"/>
      <c r="S877" s="72"/>
      <c r="T877" s="77"/>
    </row>
    <row r="878" spans="1:20" ht="13.2">
      <c r="A878" s="2"/>
      <c r="B878" s="72"/>
      <c r="C878" s="77"/>
      <c r="D878" s="16"/>
      <c r="E878" s="72"/>
      <c r="F878" s="70"/>
      <c r="G878" s="72"/>
      <c r="H878" s="24"/>
      <c r="J878" s="70"/>
      <c r="K878" s="72"/>
      <c r="L878" s="75"/>
      <c r="M878" s="75"/>
      <c r="N878" s="76"/>
      <c r="O878" s="70"/>
      <c r="P878" s="70"/>
      <c r="Q878" s="17"/>
      <c r="R878" s="16"/>
      <c r="S878" s="72"/>
      <c r="T878" s="77"/>
    </row>
    <row r="879" spans="1:20" ht="13.2">
      <c r="A879" s="2"/>
      <c r="B879" s="72"/>
      <c r="C879" s="77"/>
      <c r="D879" s="16"/>
      <c r="E879" s="72"/>
      <c r="F879" s="70"/>
      <c r="G879" s="72"/>
      <c r="H879" s="24"/>
      <c r="J879" s="70"/>
      <c r="K879" s="72"/>
      <c r="L879" s="75"/>
      <c r="M879" s="75"/>
      <c r="N879" s="76"/>
      <c r="O879" s="70"/>
      <c r="P879" s="70"/>
      <c r="Q879" s="17"/>
      <c r="R879" s="16"/>
      <c r="S879" s="72"/>
      <c r="T879" s="77"/>
    </row>
    <row r="880" spans="1:20" ht="13.2">
      <c r="A880" s="2"/>
      <c r="B880" s="72"/>
      <c r="C880" s="77"/>
      <c r="D880" s="16"/>
      <c r="E880" s="72"/>
      <c r="F880" s="70"/>
      <c r="G880" s="72"/>
      <c r="H880" s="24"/>
      <c r="J880" s="70"/>
      <c r="K880" s="72"/>
      <c r="L880" s="75"/>
      <c r="M880" s="75"/>
      <c r="N880" s="76"/>
      <c r="O880" s="70"/>
      <c r="P880" s="70"/>
      <c r="Q880" s="17"/>
      <c r="R880" s="16"/>
      <c r="S880" s="72"/>
      <c r="T880" s="77"/>
    </row>
    <row r="881" spans="1:20" ht="13.2">
      <c r="A881" s="2"/>
      <c r="B881" s="72"/>
      <c r="C881" s="77"/>
      <c r="D881" s="16"/>
      <c r="E881" s="72"/>
      <c r="F881" s="70"/>
      <c r="G881" s="72"/>
      <c r="H881" s="24"/>
      <c r="J881" s="70"/>
      <c r="K881" s="72"/>
      <c r="L881" s="75"/>
      <c r="M881" s="75"/>
      <c r="N881" s="76"/>
      <c r="O881" s="70"/>
      <c r="P881" s="70"/>
      <c r="Q881" s="17"/>
      <c r="R881" s="16"/>
      <c r="S881" s="72"/>
      <c r="T881" s="77"/>
    </row>
    <row r="882" spans="1:20" ht="13.2">
      <c r="A882" s="2"/>
      <c r="B882" s="72"/>
      <c r="C882" s="77"/>
      <c r="D882" s="16"/>
      <c r="E882" s="72"/>
      <c r="F882" s="70"/>
      <c r="G882" s="72"/>
      <c r="H882" s="24"/>
      <c r="J882" s="70"/>
      <c r="K882" s="72"/>
      <c r="L882" s="75"/>
      <c r="M882" s="75"/>
      <c r="N882" s="76"/>
      <c r="O882" s="70"/>
      <c r="P882" s="70"/>
      <c r="Q882" s="17"/>
      <c r="R882" s="16"/>
      <c r="S882" s="72"/>
      <c r="T882" s="77"/>
    </row>
    <row r="883" spans="1:20" ht="13.2">
      <c r="A883" s="2"/>
      <c r="B883" s="72"/>
      <c r="C883" s="77"/>
      <c r="D883" s="16"/>
      <c r="E883" s="72"/>
      <c r="F883" s="70"/>
      <c r="G883" s="72"/>
      <c r="H883" s="24"/>
      <c r="J883" s="70"/>
      <c r="K883" s="72"/>
      <c r="L883" s="75"/>
      <c r="M883" s="75"/>
      <c r="N883" s="76"/>
      <c r="O883" s="70"/>
      <c r="P883" s="70"/>
      <c r="Q883" s="17"/>
      <c r="R883" s="16"/>
      <c r="S883" s="72"/>
      <c r="T883" s="77"/>
    </row>
    <row r="884" spans="1:20" ht="13.2">
      <c r="A884" s="2"/>
      <c r="B884" s="72"/>
      <c r="C884" s="77"/>
      <c r="D884" s="16"/>
      <c r="E884" s="72"/>
      <c r="F884" s="70"/>
      <c r="G884" s="72"/>
      <c r="H884" s="24"/>
      <c r="J884" s="70"/>
      <c r="K884" s="72"/>
      <c r="L884" s="75"/>
      <c r="M884" s="75"/>
      <c r="N884" s="76"/>
      <c r="O884" s="70"/>
      <c r="P884" s="70"/>
      <c r="Q884" s="17"/>
      <c r="R884" s="16"/>
      <c r="S884" s="72"/>
      <c r="T884" s="77"/>
    </row>
    <row r="885" spans="1:20" ht="13.2">
      <c r="A885" s="2"/>
      <c r="B885" s="72"/>
      <c r="C885" s="77"/>
      <c r="D885" s="16"/>
      <c r="E885" s="72"/>
      <c r="F885" s="70"/>
      <c r="G885" s="72"/>
      <c r="H885" s="24"/>
      <c r="J885" s="70"/>
      <c r="K885" s="72"/>
      <c r="L885" s="75"/>
      <c r="M885" s="75"/>
      <c r="N885" s="76"/>
      <c r="O885" s="70"/>
      <c r="P885" s="70"/>
      <c r="Q885" s="17"/>
      <c r="R885" s="16"/>
      <c r="S885" s="72"/>
      <c r="T885" s="77"/>
    </row>
    <row r="886" spans="1:20" ht="13.2">
      <c r="A886" s="2"/>
      <c r="B886" s="72"/>
      <c r="C886" s="77"/>
      <c r="D886" s="16"/>
      <c r="E886" s="72"/>
      <c r="F886" s="70"/>
      <c r="G886" s="72"/>
      <c r="H886" s="24"/>
      <c r="J886" s="70"/>
      <c r="K886" s="72"/>
      <c r="L886" s="75"/>
      <c r="M886" s="75"/>
      <c r="N886" s="76"/>
      <c r="O886" s="70"/>
      <c r="P886" s="70"/>
      <c r="Q886" s="17"/>
      <c r="R886" s="16"/>
      <c r="S886" s="72"/>
      <c r="T886" s="77"/>
    </row>
    <row r="887" spans="1:20" ht="13.2">
      <c r="A887" s="2"/>
      <c r="B887" s="72"/>
      <c r="C887" s="77"/>
      <c r="D887" s="16"/>
      <c r="E887" s="72"/>
      <c r="F887" s="70"/>
      <c r="G887" s="72"/>
      <c r="H887" s="24"/>
      <c r="J887" s="70"/>
      <c r="K887" s="72"/>
      <c r="L887" s="75"/>
      <c r="M887" s="75"/>
      <c r="N887" s="76"/>
      <c r="O887" s="70"/>
      <c r="P887" s="70"/>
      <c r="Q887" s="17"/>
      <c r="R887" s="16"/>
      <c r="S887" s="72"/>
      <c r="T887" s="77"/>
    </row>
    <row r="888" spans="1:20" ht="13.2">
      <c r="A888" s="2"/>
      <c r="B888" s="72"/>
      <c r="C888" s="77"/>
      <c r="D888" s="16"/>
      <c r="E888" s="72"/>
      <c r="F888" s="70"/>
      <c r="G888" s="72"/>
      <c r="H888" s="24"/>
      <c r="J888" s="70"/>
      <c r="K888" s="72"/>
      <c r="L888" s="75"/>
      <c r="M888" s="75"/>
      <c r="N888" s="76"/>
      <c r="O888" s="70"/>
      <c r="P888" s="70"/>
      <c r="Q888" s="17"/>
      <c r="R888" s="16"/>
      <c r="S888" s="72"/>
      <c r="T888" s="77"/>
    </row>
    <row r="889" spans="1:20" ht="13.2">
      <c r="A889" s="2"/>
      <c r="B889" s="72"/>
      <c r="C889" s="77"/>
      <c r="D889" s="16"/>
      <c r="E889" s="72"/>
      <c r="F889" s="70"/>
      <c r="G889" s="72"/>
      <c r="H889" s="24"/>
      <c r="J889" s="70"/>
      <c r="K889" s="72"/>
      <c r="L889" s="75"/>
      <c r="M889" s="75"/>
      <c r="N889" s="76"/>
      <c r="O889" s="70"/>
      <c r="P889" s="70"/>
      <c r="Q889" s="17"/>
      <c r="R889" s="16"/>
      <c r="S889" s="72"/>
      <c r="T889" s="77"/>
    </row>
    <row r="890" spans="1:20" ht="13.2">
      <c r="A890" s="2"/>
      <c r="B890" s="72"/>
      <c r="C890" s="77"/>
      <c r="D890" s="16"/>
      <c r="E890" s="72"/>
      <c r="F890" s="70"/>
      <c r="G890" s="72"/>
      <c r="H890" s="24"/>
      <c r="J890" s="70"/>
      <c r="K890" s="72"/>
      <c r="L890" s="75"/>
      <c r="M890" s="75"/>
      <c r="N890" s="76"/>
      <c r="O890" s="70"/>
      <c r="P890" s="70"/>
      <c r="Q890" s="17"/>
      <c r="R890" s="16"/>
      <c r="S890" s="72"/>
      <c r="T890" s="77"/>
    </row>
    <row r="891" spans="1:20" ht="13.2">
      <c r="A891" s="2"/>
      <c r="B891" s="72"/>
      <c r="C891" s="77"/>
      <c r="D891" s="16"/>
      <c r="E891" s="72"/>
      <c r="F891" s="70"/>
      <c r="G891" s="72"/>
      <c r="H891" s="24"/>
      <c r="J891" s="70"/>
      <c r="K891" s="72"/>
      <c r="L891" s="75"/>
      <c r="M891" s="75"/>
      <c r="N891" s="76"/>
      <c r="O891" s="70"/>
      <c r="P891" s="70"/>
      <c r="Q891" s="17"/>
      <c r="R891" s="16"/>
      <c r="S891" s="72"/>
      <c r="T891" s="77"/>
    </row>
    <row r="892" spans="1:20" ht="13.2">
      <c r="A892" s="2"/>
      <c r="B892" s="72"/>
      <c r="C892" s="77"/>
      <c r="D892" s="16"/>
      <c r="E892" s="72"/>
      <c r="F892" s="70"/>
      <c r="G892" s="72"/>
      <c r="H892" s="24"/>
      <c r="J892" s="70"/>
      <c r="K892" s="72"/>
      <c r="L892" s="75"/>
      <c r="M892" s="75"/>
      <c r="N892" s="76"/>
      <c r="O892" s="70"/>
      <c r="P892" s="70"/>
      <c r="Q892" s="17"/>
      <c r="R892" s="16"/>
      <c r="S892" s="72"/>
      <c r="T892" s="77"/>
    </row>
    <row r="893" spans="1:20" ht="13.2">
      <c r="A893" s="2"/>
      <c r="B893" s="72"/>
      <c r="C893" s="77"/>
      <c r="D893" s="16"/>
      <c r="E893" s="72"/>
      <c r="F893" s="70"/>
      <c r="G893" s="72"/>
      <c r="H893" s="24"/>
      <c r="J893" s="70"/>
      <c r="K893" s="72"/>
      <c r="L893" s="75"/>
      <c r="M893" s="75"/>
      <c r="N893" s="76"/>
      <c r="O893" s="70"/>
      <c r="P893" s="70"/>
      <c r="Q893" s="17"/>
      <c r="R893" s="16"/>
      <c r="S893" s="72"/>
      <c r="T893" s="77"/>
    </row>
    <row r="894" spans="1:20" ht="13.2">
      <c r="A894" s="2"/>
      <c r="B894" s="72"/>
      <c r="C894" s="77"/>
      <c r="D894" s="16"/>
      <c r="E894" s="72"/>
      <c r="F894" s="70"/>
      <c r="G894" s="72"/>
      <c r="H894" s="24"/>
      <c r="J894" s="70"/>
      <c r="K894" s="72"/>
      <c r="L894" s="75"/>
      <c r="M894" s="75"/>
      <c r="N894" s="76"/>
      <c r="O894" s="70"/>
      <c r="P894" s="70"/>
      <c r="Q894" s="17"/>
      <c r="R894" s="16"/>
      <c r="S894" s="72"/>
      <c r="T894" s="77"/>
    </row>
    <row r="895" spans="1:20" ht="13.2">
      <c r="A895" s="2"/>
      <c r="B895" s="72"/>
      <c r="C895" s="77"/>
      <c r="D895" s="16"/>
      <c r="E895" s="72"/>
      <c r="F895" s="70"/>
      <c r="G895" s="72"/>
      <c r="H895" s="24"/>
      <c r="J895" s="70"/>
      <c r="K895" s="72"/>
      <c r="L895" s="75"/>
      <c r="M895" s="75"/>
      <c r="N895" s="76"/>
      <c r="O895" s="70"/>
      <c r="P895" s="70"/>
      <c r="Q895" s="17"/>
      <c r="R895" s="16"/>
      <c r="S895" s="72"/>
      <c r="T895" s="77"/>
    </row>
    <row r="896" spans="1:20" ht="13.2">
      <c r="A896" s="2"/>
      <c r="B896" s="72"/>
      <c r="C896" s="77"/>
      <c r="D896" s="16"/>
      <c r="E896" s="72"/>
      <c r="F896" s="70"/>
      <c r="G896" s="72"/>
      <c r="H896" s="24"/>
      <c r="J896" s="70"/>
      <c r="K896" s="72"/>
      <c r="L896" s="75"/>
      <c r="M896" s="75"/>
      <c r="N896" s="76"/>
      <c r="O896" s="70"/>
      <c r="P896" s="70"/>
      <c r="Q896" s="17"/>
      <c r="R896" s="16"/>
      <c r="S896" s="72"/>
      <c r="T896" s="77"/>
    </row>
    <row r="897" spans="1:20" ht="13.2">
      <c r="A897" s="2"/>
      <c r="B897" s="72"/>
      <c r="C897" s="77"/>
      <c r="D897" s="16"/>
      <c r="E897" s="72"/>
      <c r="F897" s="70"/>
      <c r="G897" s="72"/>
      <c r="H897" s="24"/>
      <c r="J897" s="70"/>
      <c r="K897" s="72"/>
      <c r="L897" s="75"/>
      <c r="M897" s="75"/>
      <c r="N897" s="76"/>
      <c r="O897" s="70"/>
      <c r="P897" s="70"/>
      <c r="Q897" s="17"/>
      <c r="R897" s="16"/>
      <c r="S897" s="72"/>
      <c r="T897" s="77"/>
    </row>
    <row r="898" spans="1:20" ht="13.2">
      <c r="A898" s="2"/>
      <c r="B898" s="72"/>
      <c r="C898" s="77"/>
      <c r="D898" s="16"/>
      <c r="E898" s="72"/>
      <c r="F898" s="70"/>
      <c r="G898" s="72"/>
      <c r="H898" s="24"/>
      <c r="J898" s="70"/>
      <c r="K898" s="72"/>
      <c r="L898" s="75"/>
      <c r="M898" s="75"/>
      <c r="N898" s="76"/>
      <c r="O898" s="70"/>
      <c r="P898" s="70"/>
      <c r="Q898" s="17"/>
      <c r="R898" s="16"/>
      <c r="S898" s="72"/>
      <c r="T898" s="77"/>
    </row>
    <row r="899" spans="1:20" ht="13.2">
      <c r="A899" s="2"/>
      <c r="B899" s="72"/>
      <c r="C899" s="77"/>
      <c r="D899" s="16"/>
      <c r="E899" s="72"/>
      <c r="F899" s="70"/>
      <c r="G899" s="72"/>
      <c r="H899" s="24"/>
      <c r="J899" s="70"/>
      <c r="K899" s="72"/>
      <c r="L899" s="75"/>
      <c r="M899" s="75"/>
      <c r="N899" s="76"/>
      <c r="O899" s="70"/>
      <c r="P899" s="70"/>
      <c r="Q899" s="17"/>
      <c r="R899" s="16"/>
      <c r="S899" s="72"/>
      <c r="T899" s="77"/>
    </row>
    <row r="900" spans="1:20" ht="13.2">
      <c r="A900" s="2"/>
      <c r="B900" s="72"/>
      <c r="C900" s="77"/>
      <c r="D900" s="16"/>
      <c r="E900" s="72"/>
      <c r="F900" s="70"/>
      <c r="G900" s="72"/>
      <c r="H900" s="24"/>
      <c r="J900" s="70"/>
      <c r="K900" s="72"/>
      <c r="L900" s="75"/>
      <c r="M900" s="75"/>
      <c r="N900" s="76"/>
      <c r="O900" s="70"/>
      <c r="P900" s="70"/>
      <c r="Q900" s="17"/>
      <c r="R900" s="16"/>
      <c r="S900" s="72"/>
      <c r="T900" s="77"/>
    </row>
    <row r="901" spans="1:20" ht="13.2">
      <c r="A901" s="2"/>
      <c r="B901" s="72"/>
      <c r="C901" s="77"/>
      <c r="D901" s="16"/>
      <c r="E901" s="72"/>
      <c r="F901" s="70"/>
      <c r="G901" s="72"/>
      <c r="H901" s="24"/>
      <c r="J901" s="70"/>
      <c r="K901" s="72"/>
      <c r="L901" s="75"/>
      <c r="M901" s="75"/>
      <c r="N901" s="76"/>
      <c r="O901" s="70"/>
      <c r="P901" s="70"/>
      <c r="Q901" s="17"/>
      <c r="R901" s="16"/>
      <c r="S901" s="72"/>
      <c r="T901" s="77"/>
    </row>
    <row r="902" spans="1:20" ht="13.2">
      <c r="A902" s="2"/>
      <c r="B902" s="72"/>
      <c r="C902" s="77"/>
      <c r="D902" s="16"/>
      <c r="E902" s="72"/>
      <c r="F902" s="70"/>
      <c r="G902" s="72"/>
      <c r="H902" s="24"/>
      <c r="J902" s="70"/>
      <c r="K902" s="72"/>
      <c r="L902" s="75"/>
      <c r="M902" s="75"/>
      <c r="N902" s="76"/>
      <c r="O902" s="70"/>
      <c r="P902" s="70"/>
      <c r="Q902" s="17"/>
      <c r="R902" s="16"/>
      <c r="S902" s="72"/>
      <c r="T902" s="77"/>
    </row>
    <row r="903" spans="1:20" ht="13.2">
      <c r="A903" s="2"/>
      <c r="B903" s="72"/>
      <c r="C903" s="77"/>
      <c r="D903" s="16"/>
      <c r="E903" s="72"/>
      <c r="F903" s="70"/>
      <c r="G903" s="72"/>
      <c r="H903" s="24"/>
      <c r="J903" s="70"/>
      <c r="K903" s="72"/>
      <c r="L903" s="75"/>
      <c r="M903" s="75"/>
      <c r="N903" s="76"/>
      <c r="O903" s="70"/>
      <c r="P903" s="70"/>
      <c r="Q903" s="17"/>
      <c r="R903" s="16"/>
      <c r="S903" s="72"/>
      <c r="T903" s="77"/>
    </row>
    <row r="904" spans="1:20" ht="13.2">
      <c r="A904" s="2"/>
      <c r="B904" s="72"/>
      <c r="C904" s="77"/>
      <c r="D904" s="16"/>
      <c r="E904" s="72"/>
      <c r="F904" s="70"/>
      <c r="G904" s="72"/>
      <c r="H904" s="24"/>
      <c r="J904" s="70"/>
      <c r="K904" s="72"/>
      <c r="L904" s="75"/>
      <c r="M904" s="75"/>
      <c r="N904" s="76"/>
      <c r="O904" s="70"/>
      <c r="P904" s="70"/>
      <c r="Q904" s="17"/>
      <c r="R904" s="16"/>
      <c r="S904" s="72"/>
      <c r="T904" s="77"/>
    </row>
    <row r="905" spans="1:20" ht="13.2">
      <c r="A905" s="2"/>
      <c r="B905" s="72"/>
      <c r="C905" s="77"/>
      <c r="D905" s="16"/>
      <c r="E905" s="72"/>
      <c r="F905" s="70"/>
      <c r="G905" s="72"/>
      <c r="H905" s="24"/>
      <c r="J905" s="70"/>
      <c r="K905" s="72"/>
      <c r="L905" s="75"/>
      <c r="M905" s="75"/>
      <c r="N905" s="76"/>
      <c r="O905" s="70"/>
      <c r="P905" s="70"/>
      <c r="Q905" s="17"/>
      <c r="R905" s="16"/>
      <c r="S905" s="72"/>
      <c r="T905" s="77"/>
    </row>
    <row r="906" spans="1:20" ht="13.2">
      <c r="A906" s="2"/>
      <c r="B906" s="72"/>
      <c r="C906" s="77"/>
      <c r="D906" s="16"/>
      <c r="E906" s="72"/>
      <c r="F906" s="70"/>
      <c r="G906" s="72"/>
      <c r="H906" s="24"/>
      <c r="J906" s="70"/>
      <c r="K906" s="72"/>
      <c r="L906" s="75"/>
      <c r="M906" s="75"/>
      <c r="N906" s="76"/>
      <c r="O906" s="70"/>
      <c r="P906" s="70"/>
      <c r="Q906" s="17"/>
      <c r="R906" s="16"/>
      <c r="S906" s="72"/>
      <c r="T906" s="77"/>
    </row>
    <row r="907" spans="1:20" ht="13.2">
      <c r="A907" s="2"/>
      <c r="B907" s="72"/>
      <c r="C907" s="77"/>
      <c r="D907" s="16"/>
      <c r="E907" s="72"/>
      <c r="F907" s="70"/>
      <c r="G907" s="72"/>
      <c r="H907" s="24"/>
      <c r="J907" s="70"/>
      <c r="K907" s="72"/>
      <c r="L907" s="75"/>
      <c r="M907" s="75"/>
      <c r="N907" s="76"/>
      <c r="O907" s="70"/>
      <c r="P907" s="70"/>
      <c r="Q907" s="17"/>
      <c r="R907" s="16"/>
      <c r="S907" s="72"/>
      <c r="T907" s="77"/>
    </row>
    <row r="908" spans="1:20" ht="13.2">
      <c r="A908" s="2"/>
      <c r="B908" s="72"/>
      <c r="C908" s="77"/>
      <c r="D908" s="16"/>
      <c r="E908" s="72"/>
      <c r="F908" s="70"/>
      <c r="G908" s="72"/>
      <c r="H908" s="24"/>
      <c r="J908" s="70"/>
      <c r="K908" s="72"/>
      <c r="L908" s="75"/>
      <c r="M908" s="75"/>
      <c r="N908" s="76"/>
      <c r="O908" s="70"/>
      <c r="P908" s="70"/>
      <c r="Q908" s="17"/>
      <c r="R908" s="16"/>
      <c r="S908" s="72"/>
      <c r="T908" s="77"/>
    </row>
    <row r="909" spans="1:20" ht="13.2">
      <c r="A909" s="2"/>
      <c r="B909" s="72"/>
      <c r="C909" s="77"/>
      <c r="D909" s="16"/>
      <c r="E909" s="72"/>
      <c r="F909" s="70"/>
      <c r="G909" s="72"/>
      <c r="H909" s="24"/>
      <c r="J909" s="70"/>
      <c r="K909" s="72"/>
      <c r="L909" s="75"/>
      <c r="M909" s="75"/>
      <c r="N909" s="76"/>
      <c r="O909" s="70"/>
      <c r="P909" s="70"/>
      <c r="Q909" s="17"/>
      <c r="R909" s="16"/>
      <c r="S909" s="72"/>
      <c r="T909" s="77"/>
    </row>
    <row r="910" spans="1:20" ht="13.2">
      <c r="A910" s="2"/>
      <c r="B910" s="72"/>
      <c r="C910" s="77"/>
      <c r="D910" s="16"/>
      <c r="E910" s="72"/>
      <c r="F910" s="70"/>
      <c r="G910" s="72"/>
      <c r="H910" s="24"/>
      <c r="J910" s="70"/>
      <c r="K910" s="72"/>
      <c r="L910" s="75"/>
      <c r="M910" s="75"/>
      <c r="N910" s="76"/>
      <c r="O910" s="70"/>
      <c r="P910" s="70"/>
      <c r="Q910" s="17"/>
      <c r="R910" s="16"/>
      <c r="S910" s="72"/>
      <c r="T910" s="77"/>
    </row>
    <row r="911" spans="1:20" ht="13.2">
      <c r="A911" s="2"/>
      <c r="B911" s="72"/>
      <c r="C911" s="77"/>
      <c r="D911" s="16"/>
      <c r="E911" s="72"/>
      <c r="F911" s="70"/>
      <c r="G911" s="72"/>
      <c r="H911" s="24"/>
      <c r="J911" s="70"/>
      <c r="K911" s="72"/>
      <c r="L911" s="75"/>
      <c r="M911" s="75"/>
      <c r="N911" s="76"/>
      <c r="O911" s="70"/>
      <c r="P911" s="70"/>
      <c r="Q911" s="17"/>
      <c r="R911" s="16"/>
      <c r="S911" s="72"/>
      <c r="T911" s="77"/>
    </row>
    <row r="912" spans="1:20" ht="13.2">
      <c r="A912" s="2"/>
      <c r="B912" s="72"/>
      <c r="C912" s="77"/>
      <c r="D912" s="16"/>
      <c r="E912" s="72"/>
      <c r="F912" s="70"/>
      <c r="G912" s="72"/>
      <c r="H912" s="24"/>
      <c r="J912" s="70"/>
      <c r="K912" s="72"/>
      <c r="L912" s="75"/>
      <c r="M912" s="75"/>
      <c r="N912" s="76"/>
      <c r="O912" s="70"/>
      <c r="P912" s="70"/>
      <c r="Q912" s="17"/>
      <c r="R912" s="16"/>
      <c r="S912" s="72"/>
      <c r="T912" s="77"/>
    </row>
    <row r="913" spans="1:20" ht="13.2">
      <c r="A913" s="2"/>
      <c r="B913" s="72"/>
      <c r="C913" s="77"/>
      <c r="D913" s="16"/>
      <c r="E913" s="72"/>
      <c r="F913" s="70"/>
      <c r="G913" s="72"/>
      <c r="H913" s="24"/>
      <c r="J913" s="70"/>
      <c r="K913" s="72"/>
      <c r="L913" s="75"/>
      <c r="M913" s="75"/>
      <c r="N913" s="76"/>
      <c r="O913" s="70"/>
      <c r="P913" s="70"/>
      <c r="Q913" s="17"/>
      <c r="R913" s="16"/>
      <c r="S913" s="72"/>
      <c r="T913" s="77"/>
    </row>
    <row r="914" spans="1:20" ht="13.2">
      <c r="A914" s="2"/>
      <c r="B914" s="72"/>
      <c r="C914" s="77"/>
      <c r="D914" s="16"/>
      <c r="E914" s="72"/>
      <c r="F914" s="70"/>
      <c r="G914" s="72"/>
      <c r="H914" s="24"/>
      <c r="J914" s="70"/>
      <c r="K914" s="72"/>
      <c r="L914" s="75"/>
      <c r="M914" s="75"/>
      <c r="N914" s="76"/>
      <c r="O914" s="70"/>
      <c r="P914" s="70"/>
      <c r="Q914" s="17"/>
      <c r="R914" s="16"/>
      <c r="S914" s="72"/>
      <c r="T914" s="77"/>
    </row>
    <row r="915" spans="1:20" ht="13.2">
      <c r="A915" s="2"/>
      <c r="B915" s="72"/>
      <c r="C915" s="77"/>
      <c r="D915" s="16"/>
      <c r="E915" s="72"/>
      <c r="F915" s="70"/>
      <c r="G915" s="72"/>
      <c r="H915" s="24"/>
      <c r="J915" s="70"/>
      <c r="K915" s="72"/>
      <c r="L915" s="75"/>
      <c r="M915" s="75"/>
      <c r="N915" s="76"/>
      <c r="O915" s="70"/>
      <c r="P915" s="70"/>
      <c r="Q915" s="17"/>
      <c r="R915" s="16"/>
      <c r="S915" s="72"/>
      <c r="T915" s="77"/>
    </row>
    <row r="916" spans="1:20" ht="13.2">
      <c r="A916" s="2"/>
      <c r="B916" s="72"/>
      <c r="C916" s="77"/>
      <c r="D916" s="16"/>
      <c r="E916" s="72"/>
      <c r="F916" s="70"/>
      <c r="G916" s="72"/>
      <c r="H916" s="24"/>
      <c r="J916" s="70"/>
      <c r="K916" s="72"/>
      <c r="L916" s="75"/>
      <c r="M916" s="75"/>
      <c r="N916" s="76"/>
      <c r="O916" s="70"/>
      <c r="P916" s="70"/>
      <c r="Q916" s="17"/>
      <c r="R916" s="16"/>
      <c r="S916" s="72"/>
      <c r="T916" s="77"/>
    </row>
    <row r="917" spans="1:20" ht="13.2">
      <c r="A917" s="2"/>
      <c r="B917" s="72"/>
      <c r="C917" s="77"/>
      <c r="D917" s="16"/>
      <c r="E917" s="72"/>
      <c r="F917" s="70"/>
      <c r="G917" s="72"/>
      <c r="H917" s="24"/>
      <c r="J917" s="70"/>
      <c r="K917" s="72"/>
      <c r="L917" s="75"/>
      <c r="M917" s="75"/>
      <c r="N917" s="76"/>
      <c r="O917" s="70"/>
      <c r="P917" s="70"/>
      <c r="Q917" s="17"/>
      <c r="R917" s="16"/>
      <c r="S917" s="72"/>
      <c r="T917" s="77"/>
    </row>
    <row r="918" spans="1:20" ht="13.2">
      <c r="A918" s="2"/>
      <c r="B918" s="72"/>
      <c r="C918" s="77"/>
      <c r="D918" s="16"/>
      <c r="E918" s="72"/>
      <c r="F918" s="70"/>
      <c r="G918" s="72"/>
      <c r="H918" s="24"/>
      <c r="J918" s="70"/>
      <c r="K918" s="72"/>
      <c r="L918" s="75"/>
      <c r="M918" s="75"/>
      <c r="N918" s="76"/>
      <c r="O918" s="70"/>
      <c r="P918" s="70"/>
      <c r="Q918" s="17"/>
      <c r="R918" s="16"/>
      <c r="S918" s="72"/>
      <c r="T918" s="77"/>
    </row>
    <row r="919" spans="1:20" ht="13.2">
      <c r="A919" s="2"/>
      <c r="B919" s="72"/>
      <c r="C919" s="77"/>
      <c r="D919" s="16"/>
      <c r="E919" s="72"/>
      <c r="F919" s="70"/>
      <c r="G919" s="72"/>
      <c r="H919" s="24"/>
      <c r="J919" s="70"/>
      <c r="K919" s="72"/>
      <c r="L919" s="75"/>
      <c r="M919" s="75"/>
      <c r="N919" s="76"/>
      <c r="O919" s="70"/>
      <c r="P919" s="70"/>
      <c r="Q919" s="17"/>
      <c r="R919" s="16"/>
      <c r="S919" s="72"/>
      <c r="T919" s="77"/>
    </row>
    <row r="920" spans="1:20" ht="13.2">
      <c r="A920" s="2"/>
      <c r="B920" s="72"/>
      <c r="C920" s="77"/>
      <c r="D920" s="16"/>
      <c r="E920" s="72"/>
      <c r="F920" s="70"/>
      <c r="G920" s="72"/>
      <c r="H920" s="24"/>
      <c r="J920" s="70"/>
      <c r="K920" s="72"/>
      <c r="L920" s="75"/>
      <c r="M920" s="75"/>
      <c r="N920" s="76"/>
      <c r="O920" s="70"/>
      <c r="P920" s="70"/>
      <c r="Q920" s="17"/>
      <c r="R920" s="16"/>
      <c r="S920" s="72"/>
      <c r="T920" s="77"/>
    </row>
    <row r="921" spans="1:20" ht="13.2">
      <c r="A921" s="2"/>
      <c r="B921" s="72"/>
      <c r="C921" s="77"/>
      <c r="D921" s="16"/>
      <c r="E921" s="72"/>
      <c r="F921" s="70"/>
      <c r="G921" s="72"/>
      <c r="H921" s="24"/>
      <c r="J921" s="70"/>
      <c r="K921" s="72"/>
      <c r="L921" s="75"/>
      <c r="M921" s="75"/>
      <c r="N921" s="76"/>
      <c r="O921" s="70"/>
      <c r="P921" s="70"/>
      <c r="Q921" s="17"/>
      <c r="R921" s="16"/>
      <c r="S921" s="72"/>
      <c r="T921" s="77"/>
    </row>
    <row r="922" spans="1:20" ht="13.2">
      <c r="A922" s="2"/>
      <c r="B922" s="72"/>
      <c r="C922" s="77"/>
      <c r="D922" s="16"/>
      <c r="E922" s="72"/>
      <c r="F922" s="70"/>
      <c r="G922" s="72"/>
      <c r="H922" s="24"/>
      <c r="J922" s="70"/>
      <c r="K922" s="72"/>
      <c r="L922" s="75"/>
      <c r="M922" s="75"/>
      <c r="N922" s="76"/>
      <c r="O922" s="70"/>
      <c r="P922" s="70"/>
      <c r="Q922" s="17"/>
      <c r="R922" s="16"/>
      <c r="S922" s="72"/>
      <c r="T922" s="77"/>
    </row>
    <row r="923" spans="1:20" ht="13.2">
      <c r="A923" s="2"/>
      <c r="B923" s="72"/>
      <c r="C923" s="77"/>
      <c r="D923" s="16"/>
      <c r="E923" s="72"/>
      <c r="F923" s="70"/>
      <c r="G923" s="72"/>
      <c r="H923" s="24"/>
      <c r="J923" s="70"/>
      <c r="K923" s="72"/>
      <c r="L923" s="75"/>
      <c r="M923" s="75"/>
      <c r="N923" s="76"/>
      <c r="O923" s="70"/>
      <c r="P923" s="70"/>
      <c r="Q923" s="17"/>
      <c r="R923" s="16"/>
      <c r="S923" s="72"/>
      <c r="T923" s="77"/>
    </row>
    <row r="924" spans="1:20" ht="13.2">
      <c r="A924" s="2"/>
      <c r="B924" s="72"/>
      <c r="C924" s="77"/>
      <c r="D924" s="16"/>
      <c r="E924" s="72"/>
      <c r="F924" s="70"/>
      <c r="G924" s="72"/>
      <c r="H924" s="24"/>
      <c r="J924" s="70"/>
      <c r="K924" s="72"/>
      <c r="L924" s="75"/>
      <c r="M924" s="75"/>
      <c r="N924" s="76"/>
      <c r="O924" s="70"/>
      <c r="P924" s="70"/>
      <c r="Q924" s="17"/>
      <c r="R924" s="16"/>
      <c r="S924" s="72"/>
      <c r="T924" s="77"/>
    </row>
    <row r="925" spans="1:20" ht="13.2">
      <c r="A925" s="2"/>
      <c r="B925" s="72"/>
      <c r="C925" s="77"/>
      <c r="D925" s="16"/>
      <c r="E925" s="72"/>
      <c r="F925" s="70"/>
      <c r="G925" s="72"/>
      <c r="H925" s="24"/>
      <c r="J925" s="70"/>
      <c r="K925" s="72"/>
      <c r="L925" s="75"/>
      <c r="M925" s="75"/>
      <c r="N925" s="76"/>
      <c r="O925" s="70"/>
      <c r="P925" s="70"/>
      <c r="Q925" s="17"/>
      <c r="R925" s="16"/>
      <c r="S925" s="72"/>
      <c r="T925" s="77"/>
    </row>
    <row r="926" spans="1:20" ht="13.2">
      <c r="A926" s="2"/>
      <c r="B926" s="72"/>
      <c r="C926" s="77"/>
      <c r="D926" s="16"/>
      <c r="E926" s="72"/>
      <c r="F926" s="70"/>
      <c r="G926" s="72"/>
      <c r="H926" s="24"/>
      <c r="J926" s="70"/>
      <c r="K926" s="72"/>
      <c r="L926" s="75"/>
      <c r="M926" s="75"/>
      <c r="N926" s="76"/>
      <c r="O926" s="70"/>
      <c r="P926" s="70"/>
      <c r="Q926" s="17"/>
      <c r="R926" s="16"/>
      <c r="S926" s="72"/>
      <c r="T926" s="77"/>
    </row>
    <row r="927" spans="1:20" ht="13.2">
      <c r="A927" s="2"/>
      <c r="B927" s="72"/>
      <c r="C927" s="77"/>
      <c r="D927" s="16"/>
      <c r="E927" s="72"/>
      <c r="F927" s="70"/>
      <c r="G927" s="72"/>
      <c r="H927" s="24"/>
      <c r="J927" s="70"/>
      <c r="K927" s="72"/>
      <c r="L927" s="75"/>
      <c r="M927" s="75"/>
      <c r="N927" s="76"/>
      <c r="O927" s="70"/>
      <c r="P927" s="70"/>
      <c r="Q927" s="17"/>
      <c r="R927" s="16"/>
      <c r="S927" s="72"/>
      <c r="T927" s="77"/>
    </row>
    <row r="928" spans="1:20" ht="13.2">
      <c r="A928" s="2"/>
      <c r="B928" s="72"/>
      <c r="C928" s="77"/>
      <c r="D928" s="16"/>
      <c r="E928" s="72"/>
      <c r="F928" s="70"/>
      <c r="G928" s="72"/>
      <c r="H928" s="24"/>
      <c r="J928" s="70"/>
      <c r="K928" s="72"/>
      <c r="L928" s="75"/>
      <c r="M928" s="75"/>
      <c r="N928" s="76"/>
      <c r="O928" s="70"/>
      <c r="P928" s="70"/>
      <c r="Q928" s="17"/>
      <c r="R928" s="16"/>
      <c r="S928" s="72"/>
      <c r="T928" s="77"/>
    </row>
    <row r="929" spans="1:20" ht="13.2">
      <c r="A929" s="2"/>
      <c r="B929" s="72"/>
      <c r="C929" s="77"/>
      <c r="D929" s="16"/>
      <c r="E929" s="72"/>
      <c r="F929" s="70"/>
      <c r="G929" s="72"/>
      <c r="H929" s="24"/>
      <c r="J929" s="70"/>
      <c r="K929" s="72"/>
      <c r="L929" s="75"/>
      <c r="M929" s="75"/>
      <c r="N929" s="76"/>
      <c r="O929" s="70"/>
      <c r="P929" s="70"/>
      <c r="Q929" s="17"/>
      <c r="R929" s="16"/>
      <c r="S929" s="72"/>
      <c r="T929" s="77"/>
    </row>
    <row r="930" spans="1:20" ht="13.2">
      <c r="A930" s="2"/>
      <c r="B930" s="72"/>
      <c r="C930" s="77"/>
      <c r="D930" s="16"/>
      <c r="E930" s="72"/>
      <c r="F930" s="70"/>
      <c r="G930" s="72"/>
      <c r="H930" s="24"/>
      <c r="J930" s="70"/>
      <c r="K930" s="72"/>
      <c r="L930" s="75"/>
      <c r="M930" s="75"/>
      <c r="N930" s="76"/>
      <c r="O930" s="70"/>
      <c r="P930" s="70"/>
      <c r="Q930" s="17"/>
      <c r="R930" s="16"/>
      <c r="S930" s="72"/>
      <c r="T930" s="77"/>
    </row>
    <row r="931" spans="1:20" ht="13.2">
      <c r="A931" s="2"/>
      <c r="B931" s="72"/>
      <c r="C931" s="77"/>
      <c r="D931" s="16"/>
      <c r="E931" s="72"/>
      <c r="F931" s="70"/>
      <c r="G931" s="72"/>
      <c r="H931" s="24"/>
      <c r="J931" s="70"/>
      <c r="K931" s="72"/>
      <c r="L931" s="75"/>
      <c r="M931" s="75"/>
      <c r="N931" s="76"/>
      <c r="O931" s="70"/>
      <c r="P931" s="70"/>
      <c r="Q931" s="17"/>
      <c r="R931" s="16"/>
      <c r="S931" s="72"/>
      <c r="T931" s="77"/>
    </row>
    <row r="932" spans="1:20" ht="13.2">
      <c r="A932" s="2"/>
      <c r="B932" s="72"/>
      <c r="C932" s="77"/>
      <c r="D932" s="16"/>
      <c r="E932" s="72"/>
      <c r="F932" s="70"/>
      <c r="G932" s="72"/>
      <c r="H932" s="24"/>
      <c r="J932" s="70"/>
      <c r="K932" s="72"/>
      <c r="L932" s="75"/>
      <c r="M932" s="75"/>
      <c r="N932" s="76"/>
      <c r="O932" s="70"/>
      <c r="P932" s="70"/>
      <c r="Q932" s="17"/>
      <c r="R932" s="16"/>
      <c r="S932" s="72"/>
      <c r="T932" s="77"/>
    </row>
    <row r="933" spans="1:20" ht="13.2">
      <c r="A933" s="2"/>
      <c r="B933" s="72"/>
      <c r="C933" s="77"/>
      <c r="D933" s="16"/>
      <c r="E933" s="72"/>
      <c r="F933" s="70"/>
      <c r="G933" s="72"/>
      <c r="H933" s="24"/>
      <c r="J933" s="70"/>
      <c r="K933" s="72"/>
      <c r="L933" s="75"/>
      <c r="M933" s="75"/>
      <c r="N933" s="76"/>
      <c r="O933" s="70"/>
      <c r="P933" s="70"/>
      <c r="Q933" s="17"/>
      <c r="R933" s="16"/>
      <c r="S933" s="72"/>
      <c r="T933" s="77"/>
    </row>
    <row r="934" spans="1:20" ht="13.2">
      <c r="A934" s="2"/>
      <c r="B934" s="72"/>
      <c r="C934" s="77"/>
      <c r="D934" s="16"/>
      <c r="E934" s="72"/>
      <c r="F934" s="70"/>
      <c r="G934" s="72"/>
      <c r="H934" s="24"/>
      <c r="J934" s="70"/>
      <c r="K934" s="72"/>
      <c r="L934" s="75"/>
      <c r="M934" s="75"/>
      <c r="N934" s="76"/>
      <c r="O934" s="70"/>
      <c r="P934" s="70"/>
      <c r="Q934" s="17"/>
      <c r="R934" s="16"/>
      <c r="S934" s="72"/>
      <c r="T934" s="77"/>
    </row>
    <row r="935" spans="1:20" ht="13.2">
      <c r="A935" s="2"/>
      <c r="B935" s="72"/>
      <c r="C935" s="77"/>
      <c r="D935" s="16"/>
      <c r="E935" s="72"/>
      <c r="F935" s="70"/>
      <c r="G935" s="72"/>
      <c r="H935" s="24"/>
      <c r="J935" s="70"/>
      <c r="K935" s="72"/>
      <c r="L935" s="75"/>
      <c r="M935" s="75"/>
      <c r="N935" s="76"/>
      <c r="O935" s="70"/>
      <c r="P935" s="70"/>
      <c r="Q935" s="17"/>
      <c r="R935" s="16"/>
      <c r="S935" s="72"/>
      <c r="T935" s="77"/>
    </row>
    <row r="936" spans="1:20" ht="13.2">
      <c r="A936" s="2"/>
      <c r="B936" s="72"/>
      <c r="C936" s="77"/>
      <c r="D936" s="16"/>
      <c r="E936" s="72"/>
      <c r="F936" s="70"/>
      <c r="G936" s="72"/>
      <c r="H936" s="24"/>
      <c r="J936" s="70"/>
      <c r="K936" s="72"/>
      <c r="L936" s="75"/>
      <c r="M936" s="75"/>
      <c r="N936" s="76"/>
      <c r="O936" s="70"/>
      <c r="P936" s="70"/>
      <c r="Q936" s="17"/>
      <c r="R936" s="16"/>
      <c r="S936" s="72"/>
      <c r="T936" s="77"/>
    </row>
    <row r="937" spans="1:20" ht="13.2">
      <c r="A937" s="2"/>
      <c r="B937" s="72"/>
      <c r="C937" s="77"/>
      <c r="D937" s="16"/>
      <c r="E937" s="72"/>
      <c r="F937" s="70"/>
      <c r="G937" s="72"/>
      <c r="H937" s="24"/>
      <c r="J937" s="70"/>
      <c r="K937" s="72"/>
      <c r="L937" s="75"/>
      <c r="M937" s="75"/>
      <c r="N937" s="76"/>
      <c r="O937" s="70"/>
      <c r="P937" s="70"/>
      <c r="Q937" s="17"/>
      <c r="R937" s="16"/>
      <c r="S937" s="72"/>
      <c r="T937" s="77"/>
    </row>
    <row r="938" spans="1:20" ht="13.2">
      <c r="A938" s="2"/>
      <c r="B938" s="72"/>
      <c r="C938" s="77"/>
      <c r="D938" s="16"/>
      <c r="E938" s="72"/>
      <c r="F938" s="70"/>
      <c r="G938" s="72"/>
      <c r="H938" s="24"/>
      <c r="J938" s="70"/>
      <c r="K938" s="72"/>
      <c r="L938" s="75"/>
      <c r="M938" s="75"/>
      <c r="N938" s="76"/>
      <c r="O938" s="70"/>
      <c r="P938" s="70"/>
      <c r="Q938" s="17"/>
      <c r="R938" s="16"/>
      <c r="S938" s="72"/>
      <c r="T938" s="77"/>
    </row>
    <row r="939" spans="1:20" ht="13.2">
      <c r="A939" s="2"/>
      <c r="B939" s="72"/>
      <c r="C939" s="77"/>
      <c r="D939" s="16"/>
      <c r="E939" s="72"/>
      <c r="F939" s="70"/>
      <c r="G939" s="72"/>
      <c r="H939" s="24"/>
      <c r="J939" s="70"/>
      <c r="K939" s="72"/>
      <c r="L939" s="75"/>
      <c r="M939" s="75"/>
      <c r="N939" s="76"/>
      <c r="O939" s="70"/>
      <c r="P939" s="70"/>
      <c r="Q939" s="17"/>
      <c r="R939" s="16"/>
      <c r="S939" s="72"/>
      <c r="T939" s="77"/>
    </row>
    <row r="940" spans="1:20" ht="13.2">
      <c r="A940" s="2"/>
      <c r="B940" s="72"/>
      <c r="C940" s="77"/>
      <c r="D940" s="16"/>
      <c r="E940" s="72"/>
      <c r="F940" s="70"/>
      <c r="G940" s="72"/>
      <c r="H940" s="24"/>
      <c r="J940" s="70"/>
      <c r="K940" s="72"/>
      <c r="L940" s="75"/>
      <c r="M940" s="75"/>
      <c r="N940" s="76"/>
      <c r="O940" s="70"/>
      <c r="P940" s="70"/>
      <c r="Q940" s="17"/>
      <c r="R940" s="16"/>
      <c r="S940" s="72"/>
      <c r="T940" s="77"/>
    </row>
    <row r="941" spans="1:20" ht="13.2">
      <c r="A941" s="2"/>
      <c r="B941" s="72"/>
      <c r="C941" s="77"/>
      <c r="D941" s="16"/>
      <c r="E941" s="72"/>
      <c r="F941" s="70"/>
      <c r="G941" s="72"/>
      <c r="H941" s="24"/>
      <c r="J941" s="70"/>
      <c r="K941" s="72"/>
      <c r="L941" s="75"/>
      <c r="M941" s="75"/>
      <c r="N941" s="76"/>
      <c r="O941" s="70"/>
      <c r="P941" s="70"/>
      <c r="Q941" s="17"/>
      <c r="R941" s="16"/>
      <c r="S941" s="72"/>
      <c r="T941" s="77"/>
    </row>
    <row r="942" spans="1:20" ht="13.2">
      <c r="A942" s="2"/>
      <c r="B942" s="72"/>
      <c r="C942" s="77"/>
      <c r="D942" s="16"/>
      <c r="E942" s="72"/>
      <c r="F942" s="70"/>
      <c r="G942" s="72"/>
      <c r="H942" s="24"/>
      <c r="J942" s="70"/>
      <c r="K942" s="72"/>
      <c r="L942" s="75"/>
      <c r="M942" s="75"/>
      <c r="N942" s="76"/>
      <c r="O942" s="70"/>
      <c r="P942" s="70"/>
      <c r="Q942" s="17"/>
      <c r="R942" s="16"/>
      <c r="S942" s="72"/>
      <c r="T942" s="77"/>
    </row>
    <row r="943" spans="1:20" ht="13.2">
      <c r="A943" s="2"/>
      <c r="B943" s="72"/>
      <c r="C943" s="77"/>
      <c r="D943" s="16"/>
      <c r="E943" s="72"/>
      <c r="F943" s="70"/>
      <c r="G943" s="72"/>
      <c r="H943" s="24"/>
      <c r="J943" s="70"/>
      <c r="K943" s="72"/>
      <c r="L943" s="75"/>
      <c r="M943" s="75"/>
      <c r="N943" s="76"/>
      <c r="O943" s="70"/>
      <c r="P943" s="70"/>
      <c r="Q943" s="17"/>
      <c r="R943" s="16"/>
      <c r="S943" s="72"/>
      <c r="T943" s="77"/>
    </row>
    <row r="944" spans="1:20" ht="13.2">
      <c r="A944" s="2"/>
      <c r="B944" s="72"/>
      <c r="C944" s="77"/>
      <c r="D944" s="16"/>
      <c r="E944" s="72"/>
      <c r="F944" s="70"/>
      <c r="G944" s="72"/>
      <c r="H944" s="24"/>
      <c r="J944" s="70"/>
      <c r="K944" s="72"/>
      <c r="L944" s="75"/>
      <c r="M944" s="75"/>
      <c r="N944" s="76"/>
      <c r="O944" s="70"/>
      <c r="P944" s="70"/>
      <c r="Q944" s="17"/>
      <c r="R944" s="16"/>
      <c r="S944" s="72"/>
      <c r="T944" s="77"/>
    </row>
    <row r="945" spans="1:20" ht="13.2">
      <c r="A945" s="2"/>
      <c r="B945" s="72"/>
      <c r="C945" s="77"/>
      <c r="D945" s="16"/>
      <c r="E945" s="72"/>
      <c r="F945" s="70"/>
      <c r="G945" s="72"/>
      <c r="H945" s="24"/>
      <c r="J945" s="70"/>
      <c r="K945" s="72"/>
      <c r="L945" s="75"/>
      <c r="M945" s="75"/>
      <c r="N945" s="76"/>
      <c r="O945" s="70"/>
      <c r="P945" s="70"/>
      <c r="Q945" s="17"/>
      <c r="R945" s="16"/>
      <c r="S945" s="72"/>
      <c r="T945" s="77"/>
    </row>
    <row r="946" spans="1:20" ht="13.2">
      <c r="A946" s="2"/>
      <c r="B946" s="72"/>
      <c r="C946" s="77"/>
      <c r="D946" s="16"/>
      <c r="E946" s="72"/>
      <c r="F946" s="70"/>
      <c r="G946" s="72"/>
      <c r="H946" s="24"/>
      <c r="J946" s="70"/>
      <c r="K946" s="72"/>
      <c r="L946" s="75"/>
      <c r="M946" s="75"/>
      <c r="N946" s="76"/>
      <c r="O946" s="70"/>
      <c r="P946" s="70"/>
      <c r="Q946" s="17"/>
      <c r="R946" s="16"/>
      <c r="S946" s="72"/>
      <c r="T946" s="77"/>
    </row>
    <row r="947" spans="1:20" ht="13.2">
      <c r="A947" s="2"/>
      <c r="B947" s="72"/>
      <c r="C947" s="77"/>
      <c r="D947" s="16"/>
      <c r="E947" s="72"/>
      <c r="F947" s="70"/>
      <c r="G947" s="72"/>
      <c r="H947" s="24"/>
      <c r="J947" s="70"/>
      <c r="K947" s="72"/>
      <c r="L947" s="75"/>
      <c r="M947" s="75"/>
      <c r="N947" s="76"/>
      <c r="O947" s="70"/>
      <c r="P947" s="70"/>
      <c r="Q947" s="17"/>
      <c r="R947" s="16"/>
      <c r="S947" s="72"/>
      <c r="T947" s="77"/>
    </row>
    <row r="948" spans="1:20" ht="13.2">
      <c r="A948" s="2"/>
      <c r="B948" s="72"/>
      <c r="C948" s="77"/>
      <c r="D948" s="16"/>
      <c r="E948" s="72"/>
      <c r="F948" s="70"/>
      <c r="G948" s="72"/>
      <c r="H948" s="24"/>
      <c r="J948" s="70"/>
      <c r="K948" s="72"/>
      <c r="L948" s="75"/>
      <c r="M948" s="75"/>
      <c r="N948" s="76"/>
      <c r="O948" s="70"/>
      <c r="P948" s="70"/>
      <c r="Q948" s="17"/>
      <c r="R948" s="16"/>
      <c r="S948" s="72"/>
      <c r="T948" s="77"/>
    </row>
    <row r="949" spans="1:20" ht="13.2">
      <c r="A949" s="2"/>
      <c r="B949" s="72"/>
      <c r="C949" s="77"/>
      <c r="D949" s="16"/>
      <c r="E949" s="72"/>
      <c r="F949" s="70"/>
      <c r="G949" s="72"/>
      <c r="H949" s="24"/>
      <c r="J949" s="70"/>
      <c r="K949" s="72"/>
      <c r="L949" s="75"/>
      <c r="M949" s="75"/>
      <c r="N949" s="76"/>
      <c r="O949" s="70"/>
      <c r="P949" s="70"/>
      <c r="Q949" s="17"/>
      <c r="R949" s="16"/>
      <c r="S949" s="72"/>
      <c r="T949" s="77"/>
    </row>
    <row r="950" spans="1:20" ht="13.2">
      <c r="A950" s="2"/>
      <c r="B950" s="72"/>
      <c r="C950" s="77"/>
      <c r="D950" s="16"/>
      <c r="E950" s="72"/>
      <c r="F950" s="70"/>
      <c r="G950" s="72"/>
      <c r="H950" s="24"/>
      <c r="J950" s="70"/>
      <c r="K950" s="72"/>
      <c r="L950" s="75"/>
      <c r="M950" s="75"/>
      <c r="N950" s="76"/>
      <c r="O950" s="70"/>
      <c r="P950" s="70"/>
      <c r="Q950" s="17"/>
      <c r="R950" s="16"/>
      <c r="S950" s="72"/>
      <c r="T950" s="77"/>
    </row>
    <row r="951" spans="1:20" ht="13.2">
      <c r="A951" s="2"/>
      <c r="B951" s="72"/>
      <c r="C951" s="77"/>
      <c r="D951" s="16"/>
      <c r="E951" s="72"/>
      <c r="F951" s="70"/>
      <c r="G951" s="72"/>
      <c r="H951" s="24"/>
      <c r="J951" s="70"/>
      <c r="K951" s="72"/>
      <c r="L951" s="75"/>
      <c r="M951" s="75"/>
      <c r="N951" s="76"/>
      <c r="O951" s="70"/>
      <c r="P951" s="70"/>
      <c r="Q951" s="17"/>
      <c r="R951" s="16"/>
      <c r="S951" s="72"/>
      <c r="T951" s="77"/>
    </row>
    <row r="952" spans="1:20" ht="13.2">
      <c r="A952" s="2"/>
      <c r="B952" s="72"/>
      <c r="C952" s="77"/>
      <c r="D952" s="16"/>
      <c r="E952" s="72"/>
      <c r="F952" s="70"/>
      <c r="G952" s="72"/>
      <c r="H952" s="24"/>
      <c r="J952" s="70"/>
      <c r="K952" s="72"/>
      <c r="L952" s="75"/>
      <c r="M952" s="75"/>
      <c r="N952" s="76"/>
      <c r="O952" s="70"/>
      <c r="P952" s="70"/>
      <c r="Q952" s="17"/>
      <c r="R952" s="16"/>
      <c r="S952" s="72"/>
      <c r="T952" s="77"/>
    </row>
    <row r="953" spans="1:20" ht="13.2">
      <c r="A953" s="2"/>
      <c r="B953" s="72"/>
      <c r="C953" s="77"/>
      <c r="D953" s="16"/>
      <c r="E953" s="72"/>
      <c r="F953" s="70"/>
      <c r="G953" s="72"/>
      <c r="H953" s="24"/>
      <c r="J953" s="70"/>
      <c r="K953" s="72"/>
      <c r="L953" s="75"/>
      <c r="M953" s="75"/>
      <c r="N953" s="76"/>
      <c r="O953" s="70"/>
      <c r="P953" s="70"/>
      <c r="Q953" s="17"/>
      <c r="R953" s="16"/>
      <c r="S953" s="72"/>
      <c r="T953" s="77"/>
    </row>
    <row r="954" spans="1:20" ht="13.2">
      <c r="A954" s="2"/>
      <c r="B954" s="72"/>
      <c r="C954" s="77"/>
      <c r="D954" s="16"/>
      <c r="E954" s="72"/>
      <c r="F954" s="70"/>
      <c r="G954" s="72"/>
      <c r="H954" s="24"/>
      <c r="J954" s="70"/>
      <c r="K954" s="72"/>
      <c r="L954" s="75"/>
      <c r="M954" s="75"/>
      <c r="N954" s="76"/>
      <c r="O954" s="70"/>
      <c r="P954" s="70"/>
      <c r="Q954" s="17"/>
      <c r="R954" s="16"/>
      <c r="S954" s="72"/>
      <c r="T954" s="77"/>
    </row>
    <row r="955" spans="1:20" ht="13.2">
      <c r="A955" s="2"/>
      <c r="B955" s="72"/>
      <c r="C955" s="77"/>
      <c r="D955" s="16"/>
      <c r="E955" s="72"/>
      <c r="F955" s="70"/>
      <c r="G955" s="72"/>
      <c r="H955" s="24"/>
      <c r="J955" s="70"/>
      <c r="K955" s="72"/>
      <c r="L955" s="75"/>
      <c r="M955" s="75"/>
      <c r="N955" s="76"/>
      <c r="O955" s="70"/>
      <c r="P955" s="70"/>
      <c r="Q955" s="17"/>
      <c r="R955" s="16"/>
      <c r="S955" s="72"/>
      <c r="T955" s="77"/>
    </row>
    <row r="956" spans="1:20" ht="13.2">
      <c r="A956" s="2"/>
      <c r="B956" s="72"/>
      <c r="C956" s="77"/>
      <c r="D956" s="16"/>
      <c r="E956" s="72"/>
      <c r="F956" s="70"/>
      <c r="G956" s="72"/>
      <c r="H956" s="24"/>
      <c r="J956" s="70"/>
      <c r="K956" s="72"/>
      <c r="L956" s="75"/>
      <c r="M956" s="75"/>
      <c r="N956" s="76"/>
      <c r="O956" s="70"/>
      <c r="P956" s="70"/>
      <c r="Q956" s="17"/>
      <c r="R956" s="16"/>
      <c r="S956" s="72"/>
      <c r="T956" s="77"/>
    </row>
    <row r="957" spans="1:20" ht="13.2">
      <c r="A957" s="2"/>
      <c r="B957" s="72"/>
      <c r="C957" s="77"/>
      <c r="D957" s="16"/>
      <c r="E957" s="72"/>
      <c r="F957" s="70"/>
      <c r="G957" s="72"/>
      <c r="H957" s="24"/>
      <c r="J957" s="70"/>
      <c r="K957" s="72"/>
      <c r="L957" s="75"/>
      <c r="M957" s="75"/>
      <c r="N957" s="76"/>
      <c r="O957" s="70"/>
      <c r="P957" s="70"/>
      <c r="Q957" s="17"/>
      <c r="R957" s="16"/>
      <c r="S957" s="72"/>
      <c r="T957" s="77"/>
    </row>
    <row r="958" spans="1:20" ht="13.2">
      <c r="A958" s="2"/>
      <c r="B958" s="72"/>
      <c r="C958" s="77"/>
      <c r="D958" s="16"/>
      <c r="E958" s="72"/>
      <c r="F958" s="70"/>
      <c r="G958" s="72"/>
      <c r="H958" s="24"/>
      <c r="J958" s="70"/>
      <c r="K958" s="72"/>
      <c r="L958" s="75"/>
      <c r="M958" s="75"/>
      <c r="N958" s="76"/>
      <c r="O958" s="70"/>
      <c r="P958" s="70"/>
      <c r="Q958" s="17"/>
      <c r="R958" s="16"/>
      <c r="S958" s="72"/>
      <c r="T958" s="77"/>
    </row>
    <row r="959" spans="1:20" ht="13.2">
      <c r="A959" s="2"/>
      <c r="B959" s="72"/>
      <c r="C959" s="77"/>
      <c r="D959" s="16"/>
      <c r="E959" s="72"/>
      <c r="F959" s="70"/>
      <c r="G959" s="72"/>
      <c r="H959" s="24"/>
      <c r="J959" s="70"/>
      <c r="K959" s="72"/>
      <c r="L959" s="75"/>
      <c r="M959" s="75"/>
      <c r="N959" s="76"/>
      <c r="O959" s="70"/>
      <c r="P959" s="70"/>
      <c r="Q959" s="17"/>
      <c r="R959" s="16"/>
      <c r="S959" s="72"/>
      <c r="T959" s="77"/>
    </row>
    <row r="960" spans="1:20" ht="13.2">
      <c r="A960" s="2"/>
      <c r="B960" s="72"/>
      <c r="C960" s="77"/>
      <c r="D960" s="16"/>
      <c r="E960" s="72"/>
      <c r="F960" s="70"/>
      <c r="G960" s="72"/>
      <c r="H960" s="24"/>
      <c r="J960" s="70"/>
      <c r="K960" s="72"/>
      <c r="L960" s="75"/>
      <c r="M960" s="75"/>
      <c r="N960" s="76"/>
      <c r="O960" s="70"/>
      <c r="P960" s="70"/>
      <c r="Q960" s="17"/>
      <c r="R960" s="16"/>
      <c r="S960" s="72"/>
      <c r="T960" s="77"/>
    </row>
    <row r="961" spans="1:20" ht="13.2">
      <c r="A961" s="2"/>
      <c r="B961" s="72"/>
      <c r="C961" s="77"/>
      <c r="D961" s="16"/>
      <c r="E961" s="72"/>
      <c r="F961" s="70"/>
      <c r="G961" s="72"/>
      <c r="H961" s="24"/>
      <c r="J961" s="70"/>
      <c r="K961" s="72"/>
      <c r="L961" s="75"/>
      <c r="M961" s="75"/>
      <c r="N961" s="76"/>
      <c r="O961" s="70"/>
      <c r="P961" s="70"/>
      <c r="Q961" s="17"/>
      <c r="R961" s="16"/>
      <c r="S961" s="72"/>
      <c r="T961" s="77"/>
    </row>
    <row r="962" spans="1:20" ht="13.2">
      <c r="A962" s="2"/>
      <c r="B962" s="72"/>
      <c r="C962" s="77"/>
      <c r="D962" s="16"/>
      <c r="E962" s="72"/>
      <c r="F962" s="70"/>
      <c r="G962" s="72"/>
      <c r="H962" s="24"/>
      <c r="J962" s="70"/>
      <c r="K962" s="72"/>
      <c r="L962" s="75"/>
      <c r="M962" s="75"/>
      <c r="N962" s="76"/>
      <c r="O962" s="70"/>
      <c r="P962" s="70"/>
      <c r="Q962" s="17"/>
      <c r="R962" s="16"/>
      <c r="S962" s="72"/>
      <c r="T962" s="77"/>
    </row>
    <row r="963" spans="1:20" ht="13.2">
      <c r="A963" s="2"/>
      <c r="B963" s="72"/>
      <c r="C963" s="77"/>
      <c r="D963" s="16"/>
      <c r="E963" s="72"/>
      <c r="F963" s="70"/>
      <c r="G963" s="72"/>
      <c r="H963" s="24"/>
      <c r="J963" s="70"/>
      <c r="K963" s="72"/>
      <c r="L963" s="75"/>
      <c r="M963" s="75"/>
      <c r="N963" s="76"/>
      <c r="O963" s="70"/>
      <c r="P963" s="70"/>
      <c r="Q963" s="17"/>
      <c r="R963" s="16"/>
      <c r="S963" s="72"/>
      <c r="T963" s="77"/>
    </row>
    <row r="964" spans="1:20" ht="13.2">
      <c r="A964" s="2"/>
      <c r="B964" s="72"/>
      <c r="C964" s="77"/>
      <c r="D964" s="16"/>
      <c r="E964" s="72"/>
      <c r="F964" s="70"/>
      <c r="G964" s="72"/>
      <c r="H964" s="24"/>
      <c r="J964" s="70"/>
      <c r="K964" s="72"/>
      <c r="L964" s="75"/>
      <c r="M964" s="75"/>
      <c r="N964" s="76"/>
      <c r="O964" s="70"/>
      <c r="P964" s="70"/>
      <c r="Q964" s="17"/>
      <c r="R964" s="16"/>
      <c r="S964" s="72"/>
      <c r="T964" s="77"/>
    </row>
    <row r="965" spans="1:20" ht="13.2">
      <c r="A965" s="2"/>
      <c r="B965" s="72"/>
      <c r="C965" s="77"/>
      <c r="D965" s="16"/>
      <c r="E965" s="72"/>
      <c r="F965" s="70"/>
      <c r="G965" s="72"/>
      <c r="H965" s="24"/>
      <c r="J965" s="70"/>
      <c r="K965" s="72"/>
      <c r="L965" s="75"/>
      <c r="M965" s="75"/>
      <c r="N965" s="76"/>
      <c r="O965" s="70"/>
      <c r="P965" s="70"/>
      <c r="Q965" s="17"/>
      <c r="R965" s="16"/>
      <c r="S965" s="72"/>
      <c r="T965" s="77"/>
    </row>
    <row r="966" spans="1:20" ht="13.2">
      <c r="A966" s="2"/>
      <c r="B966" s="72"/>
      <c r="C966" s="77"/>
      <c r="D966" s="16"/>
      <c r="E966" s="72"/>
      <c r="F966" s="70"/>
      <c r="G966" s="72"/>
      <c r="H966" s="24"/>
      <c r="J966" s="70"/>
      <c r="K966" s="72"/>
      <c r="L966" s="75"/>
      <c r="M966" s="75"/>
      <c r="N966" s="76"/>
      <c r="O966" s="70"/>
      <c r="P966" s="70"/>
      <c r="Q966" s="17"/>
      <c r="R966" s="16"/>
      <c r="S966" s="72"/>
      <c r="T966" s="77"/>
    </row>
    <row r="967" spans="1:20" ht="13.2">
      <c r="A967" s="2"/>
      <c r="B967" s="72"/>
      <c r="C967" s="77"/>
      <c r="D967" s="16"/>
      <c r="E967" s="72"/>
      <c r="F967" s="70"/>
      <c r="G967" s="72"/>
      <c r="H967" s="24"/>
      <c r="J967" s="70"/>
      <c r="K967" s="72"/>
      <c r="L967" s="75"/>
      <c r="M967" s="75"/>
      <c r="N967" s="76"/>
      <c r="O967" s="70"/>
      <c r="P967" s="70"/>
      <c r="Q967" s="17"/>
      <c r="R967" s="16"/>
      <c r="S967" s="72"/>
      <c r="T967" s="77"/>
    </row>
    <row r="968" spans="1:20" ht="13.2">
      <c r="A968" s="2"/>
      <c r="B968" s="72"/>
      <c r="C968" s="77"/>
      <c r="D968" s="16"/>
      <c r="E968" s="72"/>
      <c r="F968" s="70"/>
      <c r="G968" s="72"/>
      <c r="H968" s="24"/>
      <c r="J968" s="70"/>
      <c r="K968" s="72"/>
      <c r="L968" s="75"/>
      <c r="M968" s="75"/>
      <c r="N968" s="76"/>
      <c r="O968" s="70"/>
      <c r="P968" s="70"/>
      <c r="Q968" s="17"/>
      <c r="R968" s="16"/>
      <c r="S968" s="72"/>
      <c r="T968" s="77"/>
    </row>
    <row r="969" spans="1:20" ht="13.2">
      <c r="A969" s="2"/>
      <c r="B969" s="72"/>
      <c r="C969" s="77"/>
      <c r="D969" s="16"/>
      <c r="E969" s="72"/>
      <c r="F969" s="70"/>
      <c r="G969" s="72"/>
      <c r="H969" s="24"/>
      <c r="J969" s="70"/>
      <c r="K969" s="72"/>
      <c r="L969" s="75"/>
      <c r="M969" s="75"/>
      <c r="N969" s="76"/>
      <c r="O969" s="70"/>
      <c r="P969" s="70"/>
      <c r="Q969" s="17"/>
      <c r="R969" s="16"/>
      <c r="S969" s="72"/>
      <c r="T969" s="77"/>
    </row>
    <row r="970" spans="1:20" ht="13.2">
      <c r="A970" s="2"/>
      <c r="B970" s="72"/>
      <c r="C970" s="77"/>
      <c r="D970" s="16"/>
      <c r="E970" s="72"/>
      <c r="F970" s="70"/>
      <c r="G970" s="72"/>
      <c r="H970" s="24"/>
      <c r="J970" s="70"/>
      <c r="K970" s="72"/>
      <c r="L970" s="75"/>
      <c r="M970" s="75"/>
      <c r="N970" s="76"/>
      <c r="O970" s="70"/>
      <c r="P970" s="70"/>
      <c r="Q970" s="17"/>
      <c r="R970" s="16"/>
      <c r="S970" s="72"/>
      <c r="T970" s="77"/>
    </row>
    <row r="971" spans="1:20" ht="13.2">
      <c r="A971" s="2"/>
      <c r="B971" s="72"/>
      <c r="C971" s="77"/>
      <c r="D971" s="16"/>
      <c r="E971" s="72"/>
      <c r="F971" s="70"/>
      <c r="G971" s="72"/>
      <c r="H971" s="24"/>
      <c r="J971" s="70"/>
      <c r="K971" s="72"/>
      <c r="L971" s="75"/>
      <c r="M971" s="75"/>
      <c r="N971" s="76"/>
      <c r="O971" s="70"/>
      <c r="P971" s="70"/>
      <c r="Q971" s="17"/>
      <c r="R971" s="16"/>
      <c r="S971" s="72"/>
      <c r="T971" s="77"/>
    </row>
    <row r="972" spans="1:20" ht="13.2">
      <c r="A972" s="2"/>
      <c r="B972" s="72"/>
      <c r="C972" s="77"/>
      <c r="D972" s="16"/>
      <c r="E972" s="72"/>
      <c r="F972" s="70"/>
      <c r="G972" s="72"/>
      <c r="H972" s="24"/>
      <c r="J972" s="70"/>
      <c r="K972" s="72"/>
      <c r="L972" s="75"/>
      <c r="M972" s="75"/>
      <c r="N972" s="76"/>
      <c r="O972" s="70"/>
      <c r="P972" s="70"/>
      <c r="Q972" s="17"/>
      <c r="R972" s="16"/>
      <c r="S972" s="72"/>
      <c r="T972" s="77"/>
    </row>
    <row r="973" spans="1:20" ht="13.2">
      <c r="A973" s="2"/>
      <c r="B973" s="72"/>
      <c r="C973" s="77"/>
      <c r="D973" s="16"/>
      <c r="E973" s="72"/>
      <c r="F973" s="70"/>
      <c r="G973" s="72"/>
      <c r="H973" s="24"/>
      <c r="J973" s="70"/>
      <c r="K973" s="72"/>
      <c r="L973" s="75"/>
      <c r="M973" s="75"/>
      <c r="N973" s="76"/>
      <c r="O973" s="70"/>
      <c r="P973" s="70"/>
      <c r="Q973" s="17"/>
      <c r="R973" s="16"/>
      <c r="S973" s="72"/>
      <c r="T973" s="77"/>
    </row>
    <row r="974" spans="1:20" ht="13.2">
      <c r="A974" s="2"/>
      <c r="B974" s="72"/>
      <c r="C974" s="77"/>
      <c r="D974" s="16"/>
      <c r="E974" s="72"/>
      <c r="F974" s="70"/>
      <c r="G974" s="72"/>
      <c r="H974" s="24"/>
      <c r="J974" s="70"/>
      <c r="K974" s="72"/>
      <c r="L974" s="75"/>
      <c r="M974" s="75"/>
      <c r="N974" s="76"/>
      <c r="O974" s="70"/>
      <c r="P974" s="70"/>
      <c r="Q974" s="17"/>
      <c r="R974" s="16"/>
      <c r="S974" s="72"/>
      <c r="T974" s="77"/>
    </row>
    <row r="975" spans="1:20" ht="13.2">
      <c r="A975" s="2"/>
      <c r="B975" s="72"/>
      <c r="C975" s="77"/>
      <c r="D975" s="16"/>
      <c r="E975" s="72"/>
      <c r="F975" s="70"/>
      <c r="G975" s="72"/>
      <c r="H975" s="24"/>
      <c r="J975" s="70"/>
      <c r="K975" s="72"/>
      <c r="L975" s="75"/>
      <c r="M975" s="75"/>
      <c r="N975" s="76"/>
      <c r="O975" s="70"/>
      <c r="P975" s="70"/>
      <c r="Q975" s="17"/>
      <c r="R975" s="16"/>
      <c r="S975" s="72"/>
      <c r="T975" s="77"/>
    </row>
    <row r="976" spans="1:20" ht="13.2">
      <c r="A976" s="2"/>
      <c r="B976" s="72"/>
      <c r="C976" s="77"/>
      <c r="D976" s="16"/>
      <c r="E976" s="72"/>
      <c r="F976" s="70"/>
      <c r="G976" s="72"/>
      <c r="H976" s="24"/>
      <c r="J976" s="70"/>
      <c r="K976" s="72"/>
      <c r="L976" s="75"/>
      <c r="M976" s="75"/>
      <c r="N976" s="76"/>
      <c r="O976" s="70"/>
      <c r="P976" s="70"/>
      <c r="Q976" s="17"/>
      <c r="R976" s="16"/>
      <c r="S976" s="72"/>
      <c r="T976" s="77"/>
    </row>
    <row r="977" spans="1:20" ht="13.2">
      <c r="A977" s="2"/>
      <c r="B977" s="72"/>
      <c r="C977" s="77"/>
      <c r="D977" s="16"/>
      <c r="E977" s="72"/>
      <c r="F977" s="70"/>
      <c r="G977" s="72"/>
      <c r="H977" s="24"/>
      <c r="J977" s="70"/>
      <c r="K977" s="72"/>
      <c r="L977" s="75"/>
      <c r="M977" s="75"/>
      <c r="N977" s="76"/>
      <c r="O977" s="70"/>
      <c r="P977" s="70"/>
      <c r="Q977" s="17"/>
      <c r="R977" s="16"/>
      <c r="S977" s="72"/>
      <c r="T977" s="77"/>
    </row>
    <row r="978" spans="1:20" ht="13.2">
      <c r="A978" s="2"/>
      <c r="B978" s="72"/>
      <c r="C978" s="77"/>
      <c r="D978" s="16"/>
      <c r="E978" s="72"/>
      <c r="F978" s="70"/>
      <c r="G978" s="72"/>
      <c r="H978" s="24"/>
      <c r="J978" s="70"/>
      <c r="K978" s="72"/>
      <c r="L978" s="75"/>
      <c r="M978" s="75"/>
      <c r="N978" s="76"/>
      <c r="O978" s="70"/>
      <c r="P978" s="70"/>
      <c r="Q978" s="17"/>
      <c r="R978" s="16"/>
      <c r="S978" s="72"/>
      <c r="T978" s="77"/>
    </row>
    <row r="979" spans="1:20" ht="13.2">
      <c r="A979" s="2"/>
      <c r="B979" s="72"/>
      <c r="C979" s="77"/>
      <c r="D979" s="16"/>
      <c r="E979" s="72"/>
      <c r="F979" s="70"/>
      <c r="G979" s="72"/>
      <c r="H979" s="24"/>
      <c r="J979" s="70"/>
      <c r="K979" s="72"/>
      <c r="L979" s="75"/>
      <c r="M979" s="75"/>
      <c r="N979" s="76"/>
      <c r="O979" s="70"/>
      <c r="P979" s="70"/>
      <c r="Q979" s="17"/>
      <c r="R979" s="16"/>
      <c r="S979" s="72"/>
      <c r="T979" s="77"/>
    </row>
    <row r="980" spans="1:20" ht="13.2">
      <c r="A980" s="2"/>
      <c r="B980" s="72"/>
      <c r="C980" s="77"/>
      <c r="D980" s="16"/>
      <c r="E980" s="72"/>
      <c r="F980" s="70"/>
      <c r="G980" s="72"/>
      <c r="H980" s="24"/>
      <c r="J980" s="70"/>
      <c r="K980" s="72"/>
      <c r="L980" s="75"/>
      <c r="M980" s="75"/>
      <c r="N980" s="76"/>
      <c r="O980" s="70"/>
      <c r="P980" s="70"/>
      <c r="Q980" s="17"/>
      <c r="R980" s="16"/>
      <c r="S980" s="72"/>
      <c r="T980" s="77"/>
    </row>
    <row r="981" spans="1:20" ht="13.2">
      <c r="A981" s="2"/>
      <c r="B981" s="72"/>
      <c r="C981" s="77"/>
      <c r="D981" s="16"/>
      <c r="E981" s="72"/>
      <c r="F981" s="70"/>
      <c r="G981" s="72"/>
      <c r="H981" s="24"/>
      <c r="J981" s="70"/>
      <c r="K981" s="72"/>
      <c r="L981" s="75"/>
      <c r="M981" s="75"/>
      <c r="N981" s="76"/>
      <c r="O981" s="70"/>
      <c r="P981" s="70"/>
      <c r="Q981" s="17"/>
      <c r="R981" s="16"/>
      <c r="S981" s="72"/>
      <c r="T981" s="77"/>
    </row>
    <row r="982" spans="1:20" ht="13.2">
      <c r="A982" s="2"/>
      <c r="B982" s="72"/>
      <c r="C982" s="77"/>
      <c r="D982" s="16"/>
      <c r="E982" s="72"/>
      <c r="F982" s="70"/>
      <c r="G982" s="72"/>
      <c r="H982" s="24"/>
      <c r="J982" s="70"/>
      <c r="K982" s="72"/>
      <c r="L982" s="75"/>
      <c r="M982" s="75"/>
      <c r="N982" s="76"/>
      <c r="O982" s="70"/>
      <c r="P982" s="70"/>
      <c r="Q982" s="17"/>
      <c r="R982" s="16"/>
      <c r="S982" s="72"/>
      <c r="T982" s="77"/>
    </row>
    <row r="983" spans="1:20" ht="13.2">
      <c r="A983" s="2"/>
      <c r="B983" s="72"/>
      <c r="C983" s="77"/>
      <c r="D983" s="16"/>
      <c r="E983" s="72"/>
      <c r="F983" s="70"/>
      <c r="G983" s="72"/>
      <c r="H983" s="24"/>
      <c r="J983" s="70"/>
      <c r="K983" s="72"/>
      <c r="L983" s="75"/>
      <c r="M983" s="75"/>
      <c r="N983" s="76"/>
      <c r="O983" s="70"/>
      <c r="P983" s="70"/>
      <c r="Q983" s="17"/>
      <c r="R983" s="16"/>
      <c r="S983" s="72"/>
      <c r="T983" s="77"/>
    </row>
    <row r="984" spans="1:20" ht="13.2">
      <c r="A984" s="2"/>
      <c r="B984" s="72"/>
      <c r="C984" s="77"/>
      <c r="D984" s="16"/>
      <c r="E984" s="72"/>
      <c r="F984" s="70"/>
      <c r="G984" s="72"/>
      <c r="H984" s="24"/>
      <c r="J984" s="70"/>
      <c r="K984" s="72"/>
      <c r="L984" s="75"/>
      <c r="M984" s="75"/>
      <c r="N984" s="76"/>
      <c r="O984" s="70"/>
      <c r="P984" s="70"/>
      <c r="Q984" s="17"/>
      <c r="R984" s="16"/>
      <c r="S984" s="72"/>
      <c r="T984" s="77"/>
    </row>
    <row r="985" spans="1:20" ht="13.2">
      <c r="A985" s="2"/>
      <c r="B985" s="72"/>
      <c r="C985" s="77"/>
      <c r="D985" s="16"/>
      <c r="E985" s="72"/>
      <c r="F985" s="70"/>
      <c r="G985" s="72"/>
      <c r="H985" s="24"/>
      <c r="J985" s="70"/>
      <c r="K985" s="72"/>
      <c r="L985" s="75"/>
      <c r="M985" s="75"/>
      <c r="N985" s="76"/>
      <c r="O985" s="70"/>
      <c r="P985" s="70"/>
      <c r="Q985" s="17"/>
      <c r="R985" s="16"/>
      <c r="S985" s="72"/>
      <c r="T985" s="77"/>
    </row>
    <row r="986" spans="1:20" ht="13.2">
      <c r="A986" s="2"/>
      <c r="B986" s="72"/>
      <c r="C986" s="77"/>
      <c r="D986" s="16"/>
      <c r="E986" s="72"/>
      <c r="F986" s="70"/>
      <c r="G986" s="72"/>
      <c r="H986" s="24"/>
      <c r="J986" s="70"/>
      <c r="K986" s="72"/>
      <c r="L986" s="75"/>
      <c r="M986" s="75"/>
      <c r="N986" s="76"/>
      <c r="O986" s="70"/>
      <c r="P986" s="70"/>
      <c r="Q986" s="17"/>
      <c r="R986" s="16"/>
      <c r="S986" s="72"/>
      <c r="T986" s="77"/>
    </row>
    <row r="987" spans="1:20" ht="13.2">
      <c r="A987" s="2"/>
      <c r="B987" s="72"/>
      <c r="C987" s="77"/>
      <c r="D987" s="16"/>
      <c r="E987" s="72"/>
      <c r="F987" s="70"/>
      <c r="G987" s="72"/>
      <c r="H987" s="24"/>
      <c r="J987" s="70"/>
      <c r="K987" s="72"/>
      <c r="L987" s="75"/>
      <c r="M987" s="75"/>
      <c r="N987" s="76"/>
      <c r="O987" s="70"/>
      <c r="P987" s="70"/>
      <c r="Q987" s="17"/>
      <c r="R987" s="16"/>
      <c r="S987" s="72"/>
      <c r="T987" s="77"/>
    </row>
    <row r="988" spans="1:20" ht="13.2">
      <c r="A988" s="2"/>
      <c r="B988" s="72"/>
      <c r="C988" s="77"/>
      <c r="D988" s="16"/>
      <c r="E988" s="72"/>
      <c r="F988" s="70"/>
      <c r="G988" s="72"/>
      <c r="H988" s="24"/>
      <c r="J988" s="70"/>
      <c r="K988" s="72"/>
      <c r="L988" s="75"/>
      <c r="M988" s="75"/>
      <c r="N988" s="76"/>
      <c r="O988" s="70"/>
      <c r="P988" s="70"/>
      <c r="Q988" s="17"/>
      <c r="R988" s="16"/>
      <c r="S988" s="72"/>
      <c r="T988" s="77"/>
    </row>
    <row r="989" spans="1:20" ht="13.2">
      <c r="A989" s="2"/>
      <c r="B989" s="72"/>
      <c r="C989" s="77"/>
      <c r="D989" s="16"/>
      <c r="E989" s="72"/>
      <c r="F989" s="70"/>
      <c r="G989" s="72"/>
      <c r="H989" s="24"/>
      <c r="J989" s="70"/>
      <c r="K989" s="72"/>
      <c r="L989" s="75"/>
      <c r="M989" s="75"/>
      <c r="N989" s="76"/>
      <c r="O989" s="70"/>
      <c r="P989" s="70"/>
      <c r="Q989" s="17"/>
      <c r="R989" s="16"/>
      <c r="S989" s="72"/>
      <c r="T989" s="77"/>
    </row>
    <row r="990" spans="1:20" ht="13.2">
      <c r="A990" s="2"/>
      <c r="B990" s="72"/>
      <c r="C990" s="77"/>
      <c r="D990" s="16"/>
      <c r="E990" s="72"/>
      <c r="F990" s="70"/>
      <c r="G990" s="72"/>
      <c r="H990" s="24"/>
      <c r="J990" s="70"/>
      <c r="K990" s="72"/>
      <c r="L990" s="75"/>
      <c r="M990" s="75"/>
      <c r="N990" s="76"/>
      <c r="O990" s="70"/>
      <c r="P990" s="70"/>
      <c r="Q990" s="17"/>
      <c r="R990" s="16"/>
      <c r="S990" s="72"/>
      <c r="T990" s="77"/>
    </row>
    <row r="991" spans="1:20" ht="13.2">
      <c r="A991" s="2"/>
      <c r="B991" s="72"/>
      <c r="C991" s="77"/>
      <c r="D991" s="16"/>
      <c r="E991" s="72"/>
      <c r="F991" s="70"/>
      <c r="G991" s="72"/>
      <c r="H991" s="24"/>
      <c r="J991" s="70"/>
      <c r="K991" s="72"/>
      <c r="L991" s="75"/>
      <c r="M991" s="75"/>
      <c r="N991" s="76"/>
      <c r="O991" s="70"/>
      <c r="P991" s="70"/>
      <c r="Q991" s="17"/>
      <c r="R991" s="16"/>
      <c r="S991" s="72"/>
      <c r="T991" s="77"/>
    </row>
    <row r="992" spans="1:20" ht="13.2">
      <c r="A992" s="2"/>
      <c r="B992" s="72"/>
      <c r="C992" s="77"/>
      <c r="D992" s="16"/>
      <c r="E992" s="72"/>
      <c r="F992" s="70"/>
      <c r="G992" s="72"/>
      <c r="H992" s="24"/>
      <c r="J992" s="70"/>
      <c r="K992" s="72"/>
      <c r="L992" s="75"/>
      <c r="M992" s="75"/>
      <c r="N992" s="76"/>
      <c r="O992" s="70"/>
      <c r="P992" s="70"/>
      <c r="Q992" s="17"/>
      <c r="R992" s="16"/>
      <c r="S992" s="72"/>
      <c r="T992" s="77"/>
    </row>
    <row r="993" spans="1:20" ht="13.2">
      <c r="A993" s="2"/>
      <c r="B993" s="72"/>
      <c r="C993" s="77"/>
      <c r="D993" s="16"/>
      <c r="E993" s="72"/>
      <c r="F993" s="70"/>
      <c r="G993" s="72"/>
      <c r="H993" s="24"/>
      <c r="J993" s="70"/>
      <c r="K993" s="72"/>
      <c r="L993" s="75"/>
      <c r="M993" s="75"/>
      <c r="N993" s="76"/>
      <c r="O993" s="70"/>
      <c r="P993" s="70"/>
      <c r="Q993" s="17"/>
      <c r="R993" s="16"/>
      <c r="S993" s="72"/>
      <c r="T993" s="77"/>
    </row>
    <row r="994" spans="1:20" ht="13.2">
      <c r="A994" s="2"/>
      <c r="B994" s="72"/>
      <c r="C994" s="77"/>
      <c r="D994" s="16"/>
      <c r="E994" s="72"/>
      <c r="F994" s="70"/>
      <c r="G994" s="72"/>
      <c r="H994" s="24"/>
      <c r="J994" s="70"/>
      <c r="K994" s="72"/>
      <c r="L994" s="75"/>
      <c r="M994" s="75"/>
      <c r="N994" s="76"/>
      <c r="O994" s="70"/>
      <c r="P994" s="70"/>
      <c r="Q994" s="17"/>
      <c r="R994" s="16"/>
      <c r="S994" s="72"/>
      <c r="T994" s="77"/>
    </row>
    <row r="995" spans="1:20" ht="13.2">
      <c r="A995" s="2"/>
      <c r="B995" s="72"/>
      <c r="C995" s="77"/>
      <c r="D995" s="16"/>
      <c r="E995" s="72"/>
      <c r="F995" s="70"/>
      <c r="G995" s="72"/>
      <c r="H995" s="24"/>
      <c r="J995" s="70"/>
      <c r="K995" s="72"/>
      <c r="L995" s="75"/>
      <c r="M995" s="75"/>
      <c r="N995" s="76"/>
      <c r="O995" s="70"/>
      <c r="P995" s="70"/>
      <c r="Q995" s="17"/>
      <c r="R995" s="16"/>
      <c r="S995" s="72"/>
      <c r="T995" s="77"/>
    </row>
    <row r="996" spans="1:20" ht="13.2">
      <c r="A996" s="2"/>
      <c r="B996" s="72"/>
      <c r="C996" s="77"/>
      <c r="D996" s="16"/>
      <c r="E996" s="72"/>
      <c r="F996" s="70"/>
      <c r="G996" s="72"/>
      <c r="H996" s="24"/>
      <c r="J996" s="70"/>
      <c r="K996" s="72"/>
      <c r="L996" s="75"/>
      <c r="M996" s="75"/>
      <c r="N996" s="76"/>
      <c r="O996" s="70"/>
      <c r="P996" s="70"/>
      <c r="Q996" s="17"/>
      <c r="R996" s="16"/>
      <c r="S996" s="72"/>
      <c r="T996" s="77"/>
    </row>
    <row r="997" spans="1:20" ht="13.2">
      <c r="A997" s="2"/>
      <c r="B997" s="72"/>
      <c r="C997" s="77"/>
      <c r="D997" s="16"/>
      <c r="E997" s="72"/>
      <c r="F997" s="70"/>
      <c r="G997" s="72"/>
      <c r="H997" s="24"/>
      <c r="J997" s="70"/>
      <c r="K997" s="72"/>
      <c r="L997" s="75"/>
      <c r="M997" s="75"/>
      <c r="N997" s="76"/>
      <c r="O997" s="70"/>
      <c r="P997" s="70"/>
      <c r="Q997" s="17"/>
      <c r="R997" s="16"/>
      <c r="S997" s="72"/>
      <c r="T997" s="77"/>
    </row>
    <row r="998" spans="1:20" ht="13.2">
      <c r="A998" s="2"/>
      <c r="B998" s="72"/>
      <c r="C998" s="77"/>
      <c r="D998" s="16"/>
      <c r="E998" s="72"/>
      <c r="F998" s="70"/>
      <c r="G998" s="72"/>
      <c r="H998" s="24"/>
      <c r="J998" s="70"/>
      <c r="K998" s="72"/>
      <c r="L998" s="75"/>
      <c r="M998" s="75"/>
      <c r="N998" s="76"/>
      <c r="O998" s="70"/>
      <c r="P998" s="70"/>
      <c r="Q998" s="17"/>
      <c r="R998" s="16"/>
      <c r="S998" s="72"/>
      <c r="T998" s="77"/>
    </row>
    <row r="999" spans="1:20" ht="13.2">
      <c r="A999" s="2"/>
      <c r="B999" s="72"/>
      <c r="C999" s="77"/>
      <c r="D999" s="16"/>
      <c r="E999" s="72"/>
      <c r="F999" s="70"/>
      <c r="G999" s="72"/>
      <c r="H999" s="24"/>
      <c r="J999" s="70"/>
      <c r="K999" s="72"/>
      <c r="L999" s="75"/>
      <c r="M999" s="75"/>
      <c r="N999" s="76"/>
      <c r="O999" s="70"/>
      <c r="P999" s="70"/>
      <c r="Q999" s="17"/>
      <c r="R999" s="16"/>
      <c r="S999" s="72"/>
      <c r="T999" s="77"/>
    </row>
    <row r="1000" spans="1:20" ht="13.2">
      <c r="A1000" s="2"/>
      <c r="B1000" s="81"/>
      <c r="C1000" s="82"/>
      <c r="D1000" s="83"/>
      <c r="E1000" s="81"/>
      <c r="F1000" s="84"/>
      <c r="G1000" s="81"/>
      <c r="H1000" s="24"/>
      <c r="J1000" s="84"/>
      <c r="K1000" s="81"/>
      <c r="L1000" s="85"/>
      <c r="M1000" s="85"/>
      <c r="N1000" s="86"/>
      <c r="O1000" s="84"/>
      <c r="P1000" s="84"/>
      <c r="Q1000" s="17"/>
      <c r="R1000" s="16"/>
      <c r="S1000" s="81"/>
      <c r="T1000" s="82"/>
    </row>
  </sheetData>
  <hyperlinks>
    <hyperlink ref="I9" r:id="rId1" xr:uid="{00000000-0004-0000-0200-000000000000}"/>
    <hyperlink ref="I10" r:id="rId2" xr:uid="{00000000-0004-0000-0200-000001000000}"/>
    <hyperlink ref="I11" r:id="rId3" xr:uid="{00000000-0004-0000-0200-000002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
  <sheetViews>
    <sheetView workbookViewId="0"/>
  </sheetViews>
  <sheetFormatPr defaultColWidth="12.6640625" defaultRowHeight="15.7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R1003"/>
  <sheetViews>
    <sheetView workbookViewId="0"/>
  </sheetViews>
  <sheetFormatPr defaultColWidth="12.6640625" defaultRowHeight="15.75" customHeight="1"/>
  <sheetData>
    <row r="1" spans="1:44" ht="15.75" customHeight="1">
      <c r="A1" s="35">
        <f>TRUNC(1+(COUNTA(NPCColor))*(TRUNC(MOD((ROW(I11)*1103515245 +12345)/ 65536, 32768),0)/32768),0)</f>
        <v>4</v>
      </c>
      <c r="B1" s="87"/>
      <c r="C1" s="2"/>
      <c r="D1" s="87"/>
      <c r="E1" s="2"/>
      <c r="F1" s="2"/>
      <c r="G1" s="2"/>
      <c r="H1" s="2"/>
      <c r="I1" s="2"/>
      <c r="J1" s="2"/>
      <c r="K1" s="2"/>
      <c r="L1" s="2"/>
      <c r="M1" s="2"/>
      <c r="N1" s="2"/>
      <c r="O1" s="2"/>
      <c r="P1" s="2"/>
      <c r="Q1" s="2"/>
      <c r="R1" s="88"/>
      <c r="S1" s="2"/>
      <c r="T1" s="2"/>
      <c r="U1" s="2"/>
      <c r="V1" s="2"/>
      <c r="W1" s="2"/>
      <c r="X1" s="2"/>
      <c r="Y1" s="2"/>
      <c r="Z1" s="2"/>
      <c r="AA1" s="2"/>
      <c r="AB1" s="2"/>
      <c r="AC1" s="2"/>
      <c r="AD1" s="2"/>
      <c r="AE1" s="2"/>
      <c r="AF1" s="2"/>
      <c r="AG1" s="2"/>
      <c r="AH1" s="2"/>
      <c r="AI1" s="2"/>
      <c r="AJ1" s="2"/>
      <c r="AK1" s="2"/>
      <c r="AL1" s="2"/>
      <c r="AM1" s="2"/>
      <c r="AN1" s="2"/>
      <c r="AO1" s="2"/>
      <c r="AP1" s="2"/>
      <c r="AQ1" s="2"/>
      <c r="AR1" s="2"/>
    </row>
    <row r="2" spans="1:44" ht="15.75" customHeight="1">
      <c r="A2" s="55" t="s">
        <v>72</v>
      </c>
      <c r="B2" s="89" t="s">
        <v>797</v>
      </c>
      <c r="C2" s="90" t="s">
        <v>798</v>
      </c>
      <c r="D2" s="91" t="s">
        <v>799</v>
      </c>
      <c r="E2" s="92" t="s">
        <v>1</v>
      </c>
      <c r="F2" s="93" t="s">
        <v>3</v>
      </c>
      <c r="G2" s="94" t="s">
        <v>800</v>
      </c>
      <c r="H2" s="95" t="s">
        <v>801</v>
      </c>
      <c r="I2" s="95" t="s">
        <v>802</v>
      </c>
      <c r="J2" s="95" t="s">
        <v>801</v>
      </c>
      <c r="K2" s="95" t="s">
        <v>803</v>
      </c>
      <c r="L2" s="95" t="s">
        <v>801</v>
      </c>
      <c r="M2" s="95" t="s">
        <v>804</v>
      </c>
      <c r="N2" s="95" t="s">
        <v>801</v>
      </c>
      <c r="O2" s="95" t="s">
        <v>805</v>
      </c>
      <c r="P2" s="95" t="s">
        <v>801</v>
      </c>
      <c r="Q2" s="96" t="s">
        <v>806</v>
      </c>
      <c r="R2" s="96" t="s">
        <v>801</v>
      </c>
      <c r="S2" s="97" t="s">
        <v>807</v>
      </c>
      <c r="T2" s="96" t="s">
        <v>808</v>
      </c>
      <c r="U2" s="96" t="s">
        <v>809</v>
      </c>
      <c r="V2" s="98" t="s">
        <v>810</v>
      </c>
      <c r="W2" s="99" t="s">
        <v>811</v>
      </c>
      <c r="X2" s="100" t="s">
        <v>812</v>
      </c>
      <c r="Y2" s="93" t="s">
        <v>2</v>
      </c>
      <c r="Z2" s="96" t="s">
        <v>41</v>
      </c>
      <c r="AA2" s="96" t="s">
        <v>8</v>
      </c>
      <c r="AB2" s="96" t="s">
        <v>813</v>
      </c>
      <c r="AC2" s="98" t="s">
        <v>17</v>
      </c>
      <c r="AD2" s="96" t="s">
        <v>814</v>
      </c>
      <c r="AE2" s="96" t="s">
        <v>815</v>
      </c>
      <c r="AF2" s="98" t="s">
        <v>816</v>
      </c>
      <c r="AG2" s="93" t="s">
        <v>817</v>
      </c>
      <c r="AH2" s="101" t="s">
        <v>818</v>
      </c>
      <c r="AI2" s="92" t="s">
        <v>819</v>
      </c>
      <c r="AJ2" s="102" t="s">
        <v>820</v>
      </c>
      <c r="AK2" s="103"/>
      <c r="AL2" s="226" t="s">
        <v>821</v>
      </c>
      <c r="AM2" s="173"/>
      <c r="AN2" s="173"/>
      <c r="AO2" s="173"/>
      <c r="AP2" s="173"/>
      <c r="AQ2" s="173"/>
      <c r="AR2" s="173"/>
    </row>
    <row r="3" spans="1:44" ht="15.75" customHeight="1">
      <c r="A3" s="83">
        <v>1</v>
      </c>
      <c r="B3" s="104">
        <v>1.8557591968176701</v>
      </c>
      <c r="C3" s="81" t="str">
        <f t="array" ref="C3">INDEX(NPCFName,TRUNC(1+(COUNTA(NPCFName))*(TRUNC(MOD((ROW($A3)*1103515245 +12345)/ 65536, 32768),0)/32768),0))</f>
        <v>Noford</v>
      </c>
      <c r="D3" s="83" t="str">
        <f t="array" ref="D3">INDEX(NPCLName,TRUNC(1+(COUNTA(NPCLName))*(TRUNC(MOD(($B3*1103515245 +12345)/ 65536, 32768),0)/32768),0))</f>
        <v>Marblearm</v>
      </c>
      <c r="E3" s="83" t="str">
        <f t="array" ref="E3">INDEX(NPCClass,TRUNC(1+(COUNTA(NPCClass))*(TRUNC(MOD(($B3*1103515245 +12345)/ 65536, 32768),0)/32768),0))</f>
        <v>Wizard</v>
      </c>
      <c r="F3" s="82"/>
      <c r="G3" s="105"/>
      <c r="H3" s="12"/>
      <c r="I3" s="12"/>
      <c r="J3" s="12"/>
      <c r="K3" s="12"/>
      <c r="L3" s="12"/>
      <c r="M3" s="12"/>
      <c r="N3" s="12"/>
      <c r="O3" s="12"/>
      <c r="P3" s="12"/>
      <c r="Q3" s="12"/>
      <c r="R3" s="14"/>
      <c r="S3" s="32"/>
      <c r="T3" s="12"/>
      <c r="U3" s="12"/>
      <c r="V3" s="106">
        <f ca="1">IFERROR(__xludf.DUMMYFUNCTION("if(W3=""Middle Age"",QUERY(NPCVar!$K$2:$N1003, ""Select L where K = '""&amp;AA3&amp;""'""),if(W3=""Old"",QUERY(NPCVar!$K$2:$N1003, ""Select M where K = '""&amp;AA3&amp;""'""),if(W3=""Venerable"",QUERY(NPCVar!$K$2:$N1003, ""Select N where K = '""&amp;AA3&amp;""'""),false)))*X3"),45)</f>
        <v>45</v>
      </c>
      <c r="W3" s="85" t="str">
        <f t="array" aca="1" ref="W3" ca="1">INDEX(NPCAgeType,RANDBETWEEN(1,3))</f>
        <v>Middle Age</v>
      </c>
      <c r="X3" s="107">
        <f ca="1">RANDBETWEEN(5,15)/10</f>
        <v>0.8</v>
      </c>
      <c r="Y3" s="12"/>
      <c r="Z3" s="16" t="str">
        <f t="array" aca="1" ref="Z3" ca="1">INDEX(NPCGender,RANDBETWEEN(1,3))</f>
        <v>Female</v>
      </c>
      <c r="AA3" s="83" t="str">
        <f t="array" ref="AA3">INDEX(NPCRace,TRUNC(1+(COUNTA(NPCRace))*(TRUNC(MOD((B3*1103515245 +12345)/ 65536, 32768),0)/32768),0))</f>
        <v>Goliath</v>
      </c>
      <c r="AB3" s="12"/>
      <c r="AC3" s="32" t="str">
        <f ca="1">IFERROR(__xludf.DUMMYFUNCTION("if(V2&lt;15,D2,if((TRUNC(1+10)*(TRUNC(MOD((ROW(H2)*1103515245 +12345)/ 65536, 32768),0)/32768)/10) &gt; 0.85,INDEX(NPCFaction,TRUNC(1+(counta(NPCFaction)-1)*(TRUNC(MOD((ROW(B2)*1103515245 +12345)/ 65536, 32768),0)/32768),0)),QUERY(NPCVar!C:D,""Select D WHERE C "&amp;"= '""&amp;D2&amp;""'"")))"),"#N/A")</f>
        <v>#N/A</v>
      </c>
      <c r="AD3" s="108">
        <f>TRUNC(1+(10-1)*(TRUNC(MOD((ROW(A2)*1103515245 +12345)/ 65536, 32768),0)/32768),0)/10</f>
        <v>0.1</v>
      </c>
      <c r="AE3" s="109">
        <f ca="1">IFERROR(__xludf.DUMMYFUNCTION("AD3*(V3 / QUERY(NPCVar!$K$2:$N$12, ""Select N WHERE K='""&amp;AA3&amp;""'""))*TRUNC(1+10)*(TRUNC(MOD((row(A2)*1103515245 +12345)/ 65536, 32768),0)/32768)"),0.0114303588867187)</f>
        <v>1.14303588867187E-2</v>
      </c>
      <c r="AF3" s="32"/>
      <c r="AG3" s="14"/>
      <c r="AH3" s="110"/>
      <c r="AI3" s="12"/>
      <c r="AJ3" s="12"/>
      <c r="AK3" s="12"/>
      <c r="AL3" s="12"/>
      <c r="AM3" s="12"/>
      <c r="AN3" s="12"/>
      <c r="AO3" s="12"/>
      <c r="AP3" s="12"/>
      <c r="AQ3" s="12"/>
      <c r="AR3" s="12"/>
    </row>
    <row r="4" spans="1:44" ht="15.75" customHeight="1">
      <c r="B4" s="193"/>
      <c r="C4" s="173"/>
      <c r="D4" s="173"/>
      <c r="R4" s="111"/>
    </row>
    <row r="5" spans="1:44" ht="15.75" customHeight="1">
      <c r="B5" s="227" t="s">
        <v>822</v>
      </c>
      <c r="C5" s="169"/>
      <c r="D5" s="169"/>
      <c r="E5" s="170"/>
      <c r="G5" s="227" t="s">
        <v>41</v>
      </c>
      <c r="H5" s="170"/>
      <c r="J5" s="112" t="s">
        <v>823</v>
      </c>
      <c r="K5" s="113"/>
      <c r="M5" s="35">
        <f>(TRUNC(MOD((ROW(I11)*1103515245 +12345)/ 65536, 32768),0)/32768)</f>
        <v>0.652496337890625</v>
      </c>
      <c r="R5" s="111"/>
    </row>
    <row r="6" spans="1:44" ht="15.75" customHeight="1">
      <c r="A6" s="35"/>
      <c r="B6" s="185" t="str">
        <f t="array" ref="B6">INDEX(NPCFName,TRUNC(1+(COUNTA(NPCFName))*(TRUNC(MOD((ROW($A6)*1103515245 +12345)/ 65536, 32768),0)/32768),0))</f>
        <v>Dryn</v>
      </c>
      <c r="C6" s="182"/>
      <c r="D6" s="185" t="str">
        <f t="array" ref="D6">INDEX(NPCLName,TRUNC(1+(COUNTA(NPCLName))*(TRUNC(MOD((ROW($A6)*1103515245 +12345)/ 65536, 32768),0)/32768),0))</f>
        <v>Autumnorb</v>
      </c>
      <c r="E6" s="182"/>
      <c r="G6" s="185" t="str">
        <f t="array" ref="G6">INDEX(NPCGender,TRUNC(1+(COUNTA(NPCGender))*(TRUNC(MOD((ROW($A6)*1103515245 +12345)/ 65536, 32768),0)/32768),0))</f>
        <v>Male</v>
      </c>
      <c r="H6" s="182"/>
      <c r="J6" s="16">
        <f>CEILING(20*(TRUNC(1+(10-1)*(TRUNC(MOD((ROW(I6)*1103515245 +12345)/ 65536, 32768),0)/32768),0)/10),1)</f>
        <v>2</v>
      </c>
      <c r="K6" s="17"/>
      <c r="R6" s="111"/>
    </row>
    <row r="7" spans="1:44" ht="15.75" customHeight="1">
      <c r="B7" s="185"/>
      <c r="C7" s="182"/>
      <c r="D7" s="16"/>
      <c r="J7" s="35"/>
      <c r="R7" s="111"/>
    </row>
    <row r="8" spans="1:44" ht="15.75" customHeight="1">
      <c r="B8" s="16"/>
      <c r="D8" s="16"/>
      <c r="R8" s="111"/>
    </row>
    <row r="9" spans="1:44" ht="15.75" customHeight="1">
      <c r="B9" s="227" t="s">
        <v>824</v>
      </c>
      <c r="C9" s="170"/>
      <c r="D9" s="16"/>
      <c r="E9" s="228" t="s">
        <v>810</v>
      </c>
      <c r="F9" s="230" t="s">
        <v>825</v>
      </c>
      <c r="G9" s="169"/>
      <c r="H9" s="169"/>
      <c r="I9" s="170"/>
      <c r="R9" s="111"/>
    </row>
    <row r="10" spans="1:44" ht="15.75" customHeight="1">
      <c r="B10" s="185" t="str">
        <f t="array" ref="B10">INDEX(NPCAL,TRUNC(1+(COUNTA(NPCAL))*(TRUNC(MOD((ROW($A10)*1103515245 +12345)/ 65536, 32768),0)/32768),0))</f>
        <v>CE</v>
      </c>
      <c r="C10" s="182"/>
      <c r="D10" s="16"/>
      <c r="E10" s="229"/>
      <c r="F10" s="115" t="s">
        <v>8</v>
      </c>
      <c r="G10" s="115" t="s">
        <v>1</v>
      </c>
      <c r="H10" s="99" t="s">
        <v>811</v>
      </c>
      <c r="I10" s="100" t="s">
        <v>812</v>
      </c>
      <c r="R10" s="111"/>
    </row>
    <row r="11" spans="1:44" ht="15.75" customHeight="1">
      <c r="B11" s="16"/>
      <c r="D11" s="16"/>
      <c r="E11" s="116">
        <f ca="1">IFERROR(__xludf.DUMMYFUNCTION("if(H11=""Middle Age"",QUERY(NPCVar!$K$2:$N1003, ""Select L where K = '""&amp;F11&amp;""'""),if(H11=""Old"",QUERY(NPCVar!$K$2:$N1003, ""Select M where K = '""&amp;F11&amp;""'""),if(H11=""Versitile"",QUERY(NPCVar!$K$2:$N1003, ""Select N where K = '""&amp;F11&amp;""'""),false)))*I1"&amp;"1"),10)</f>
        <v>10</v>
      </c>
      <c r="F11" s="83" t="str">
        <f t="array" ref="F11">INDEX(NPCRace,TRUNC(1+(COUNTA(NPCRace))*(TRUNC(MOD((ROW(B6)*1103515245 +12345)/ 65536, 32768),0)/32768),0))</f>
        <v>Dragonborn</v>
      </c>
      <c r="G11" s="83" t="str">
        <f t="array" ref="G11">INDEX(NPCClass,TRUNC(1+(COUNTA(NPCClass))*(TRUNC(MOD((LEN(B6)*1103515245 +12345)/ 65536, 32768),0)/32768),0))</f>
        <v>Barbarian</v>
      </c>
      <c r="H11" s="85" t="str">
        <f t="array" ref="H11">INDEX(NPCAgeType,TRUNC(1+(3-1)*(TRUNC(MOD((LEN(B6)*1103515245 +12345)/ 65536, 32768),0)/32768),0))</f>
        <v>Middle Age</v>
      </c>
      <c r="I11" s="117">
        <f>TRUNC(5+(15-5)*(TRUNC(MOD((LEN(B6)*1103515245 +12345)/ 65536, 32768),0)/32768),0)/10</f>
        <v>0.5</v>
      </c>
      <c r="K11" s="35"/>
      <c r="R11" s="111"/>
    </row>
    <row r="12" spans="1:44" ht="15.75" customHeight="1">
      <c r="B12" s="227" t="s">
        <v>826</v>
      </c>
      <c r="C12" s="170"/>
      <c r="D12" s="16"/>
      <c r="H12" s="16"/>
      <c r="I12" s="13"/>
      <c r="K12" s="35"/>
      <c r="R12" s="111"/>
    </row>
    <row r="13" spans="1:44" ht="15.75" customHeight="1">
      <c r="B13" s="185" t="str">
        <f t="array" ref="B13">INDEX(NPCClass,TRUNC(1+(COUNTA(NPCClass))*(TRUNC(MOD((LEN(B6)*1103515245 +12345)/ 65536, 32768),0)/32768),0))</f>
        <v>Barbarian</v>
      </c>
      <c r="C13" s="182"/>
      <c r="D13" s="16"/>
      <c r="G13" s="13"/>
      <c r="H13" s="16"/>
      <c r="J13" s="13"/>
      <c r="K13" s="13"/>
      <c r="R13" s="111"/>
    </row>
    <row r="14" spans="1:44" ht="15.75" customHeight="1">
      <c r="B14" s="16"/>
      <c r="D14" s="16"/>
      <c r="H14" s="16"/>
      <c r="I14" s="13"/>
      <c r="J14" s="13"/>
      <c r="K14" s="13"/>
      <c r="R14" s="111"/>
    </row>
    <row r="15" spans="1:44" ht="15.75" customHeight="1">
      <c r="B15" s="227" t="s">
        <v>827</v>
      </c>
      <c r="C15" s="170"/>
      <c r="D15" s="16"/>
      <c r="E15" s="231" t="s">
        <v>828</v>
      </c>
      <c r="F15" s="173"/>
      <c r="G15" s="35"/>
      <c r="H15" s="231" t="s">
        <v>829</v>
      </c>
      <c r="I15" s="173"/>
      <c r="J15" s="13"/>
      <c r="K15" s="227"/>
      <c r="L15" s="170"/>
      <c r="R15" s="111"/>
    </row>
    <row r="16" spans="1:44" ht="15.75" customHeight="1">
      <c r="B16" s="185" t="str">
        <f t="array" ref="B16">INDEX(NPCJobs,TRUNC(1+(COUNTA(NPCJobs))*(TRUNC(MOD((LEN(B6)*1103515245 +12345)/ 65536, 32768),0)/32768),0))</f>
        <v>Tavern Keep</v>
      </c>
      <c r="C16" s="182"/>
      <c r="D16" s="16"/>
      <c r="E16" s="185" t="str">
        <f t="array" ref="E16">INDEX(NPCColor,TRUNC(1+(COUNTA(NPCColor))*(TRUNC(MOD((LEN(B6)*1103515245 +12345)/ 65536, 32768),0)/32768),0))</f>
        <v>Red</v>
      </c>
      <c r="F16" s="182"/>
      <c r="H16" s="185" t="str">
        <f t="array" ref="H16">INDEX(NPCColor,TRUNC(1+(COUNTA(NPCColor))*(TRUNC(MOD((LEN(B6)*1103515245 +12345)/ 65536, 32768),0)/32768),0))</f>
        <v>Red</v>
      </c>
      <c r="I16" s="182"/>
      <c r="J16" s="13"/>
      <c r="K16" s="232"/>
      <c r="L16" s="167"/>
      <c r="R16" s="111"/>
    </row>
    <row r="17" spans="2:18" ht="15.75" customHeight="1">
      <c r="B17" s="16"/>
      <c r="D17" s="16"/>
      <c r="H17" s="16"/>
      <c r="K17" s="13"/>
      <c r="R17" s="111"/>
    </row>
    <row r="18" spans="2:18" ht="15.75" customHeight="1">
      <c r="B18" s="227" t="s">
        <v>830</v>
      </c>
      <c r="C18" s="170"/>
      <c r="D18" s="16"/>
      <c r="E18" s="227" t="s">
        <v>831</v>
      </c>
      <c r="F18" s="170"/>
      <c r="H18" s="227" t="s">
        <v>832</v>
      </c>
      <c r="I18" s="170"/>
      <c r="K18" s="227" t="s">
        <v>833</v>
      </c>
      <c r="L18" s="169"/>
      <c r="M18" s="236" t="s">
        <v>78</v>
      </c>
      <c r="N18" s="169"/>
      <c r="O18" s="236" t="s">
        <v>834</v>
      </c>
      <c r="P18" s="170"/>
      <c r="R18" s="111"/>
    </row>
    <row r="19" spans="2:18" ht="15.75" customHeight="1">
      <c r="B19" s="185" t="str">
        <f t="array" ref="B19">INDEX(NPCFaction,TRUNC(1+(COUNTA(NPCFaction))*(TRUNC(MOD((LEN(B6)*1103515245 +12345)/ 65536, 32768),0)/32768),0))</f>
        <v>Royalty</v>
      </c>
      <c r="C19" s="182"/>
      <c r="D19" s="16"/>
      <c r="E19" s="233">
        <f>TRUNC(1+(10-1)*(TRUNC(MOD((LEN(B6)*1103515245 +12345)/ 65536, 32768),0)/32768),0)/10</f>
        <v>0.1</v>
      </c>
      <c r="F19" s="182"/>
      <c r="H19" s="237">
        <f ca="1">IFERROR(__xludf.DUMMYFUNCTION("E19*(E11 / QUERY(NPCVar!K2:N12, ""Select N WHERE K='""&amp;F11&amp;""'""))*TRUNC(1+10)*(TRUNC(MOD((ROW(I11)*1103515245 +12345)/ 65536, 32768),0)/32768)"),0.0897182464599609)</f>
        <v>8.9718246459960904E-2</v>
      </c>
      <c r="I19" s="182"/>
      <c r="K19" s="234" t="str">
        <f ca="1">IF(E11&lt;15,M19,IF((TRUNC(1+10)*(TRUNC(MOD((ROW(H19)*1103515245 +12345)/ 65536, 32768),0)/32768)/10) &gt; 0.85,TRUE,FALSE))</f>
        <v>Royalty</v>
      </c>
      <c r="L19" s="166"/>
      <c r="M19" s="235" t="str">
        <f ca="1">IFERROR(__xludf.DUMMYFUNCTION("QUERY(NPCVar!C:D,""Select D WHERE C = '""&amp;O19&amp;""'"")"),"Royalty")</f>
        <v>Royalty</v>
      </c>
      <c r="N19" s="166"/>
      <c r="O19" s="235" t="str">
        <f>D6</f>
        <v>Autumnorb</v>
      </c>
      <c r="P19" s="167"/>
      <c r="Q19" s="118"/>
      <c r="R19" s="111"/>
    </row>
    <row r="20" spans="2:18" ht="15.75" customHeight="1">
      <c r="B20" s="16"/>
      <c r="C20" s="13"/>
      <c r="D20" s="16"/>
      <c r="F20" s="35"/>
      <c r="H20" s="16"/>
      <c r="Q20" s="118"/>
      <c r="R20" s="111"/>
    </row>
    <row r="21" spans="2:18" ht="15.75" customHeight="1">
      <c r="B21" s="16"/>
      <c r="C21" s="13"/>
      <c r="D21" s="16"/>
      <c r="F21" s="13"/>
      <c r="K21" s="111"/>
      <c r="L21" s="111"/>
      <c r="Q21" s="118"/>
      <c r="R21" s="111"/>
    </row>
    <row r="22" spans="2:18" ht="15.75" customHeight="1">
      <c r="B22" s="16"/>
      <c r="D22" s="16"/>
      <c r="E22" s="13"/>
      <c r="K22" s="111"/>
      <c r="L22" s="111"/>
      <c r="M22" s="119"/>
      <c r="N22" s="119"/>
      <c r="Q22" s="118"/>
      <c r="R22" s="111"/>
    </row>
    <row r="23" spans="2:18" ht="15.75" customHeight="1">
      <c r="B23" s="231" t="s">
        <v>835</v>
      </c>
      <c r="C23" s="173"/>
      <c r="D23" s="173"/>
      <c r="E23" s="173"/>
      <c r="F23" s="173"/>
      <c r="K23" s="120" t="s">
        <v>836</v>
      </c>
      <c r="L23" s="111"/>
      <c r="M23" s="119"/>
      <c r="N23" s="119"/>
      <c r="Q23" s="118"/>
      <c r="R23" s="111"/>
    </row>
    <row r="24" spans="2:18" ht="15.75" customHeight="1">
      <c r="B24" s="121" t="s">
        <v>48</v>
      </c>
      <c r="C24" s="121" t="s">
        <v>810</v>
      </c>
      <c r="D24" s="121" t="s">
        <v>41</v>
      </c>
      <c r="E24" s="121" t="s">
        <v>837</v>
      </c>
      <c r="F24" s="121" t="s">
        <v>838</v>
      </c>
      <c r="K24" s="122" t="s">
        <v>839</v>
      </c>
      <c r="L24" s="111"/>
      <c r="M24" s="119"/>
      <c r="N24" s="119"/>
      <c r="Q24" s="118"/>
      <c r="R24" s="111"/>
    </row>
    <row r="25" spans="2:18" ht="15.75" customHeight="1">
      <c r="B25" s="16" t="str">
        <f ca="1">IFERROR(__xludf.DUMMYFUNCTION("query('NPC List'!C:D, ""Select C where D = '""&amp;D6&amp;""'"")"),"Duran")</f>
        <v>Duran</v>
      </c>
      <c r="C25" s="123">
        <f ca="1">IFERROR(__xludf.DUMMYFUNCTION("QUERY('NPC List'!C2:AA1003, ""Select V,Z Where D = '""&amp;D6&amp;""'"")"),6)</f>
        <v>6</v>
      </c>
      <c r="D25" s="118">
        <f ca="1">IFERROR(__xludf.DUMMYFUNCTION("""COMPUTED_VALUE"""),0.09)</f>
        <v>0.09</v>
      </c>
      <c r="E25" s="16" t="str">
        <f ca="1">IFERROR(__xludf.DUMMYFUNCTION("if(counta(QUERY($B$25:$D$58, ""Select B Where C &gt; ""&amp; C25 +20 &amp;"" AND D = 'Female'"")) = 1,QUERY($B$25:$D$58, ""Select B Where C &gt; ""&amp; C25 +20 &amp;"" AND D = 'Neutral' LIMIT 1""),QUERY($B$25:$D$58, ""Select B Where C &gt; ""&amp; C25 +20 &amp;"" AND D = 'Female'  ORDER"&amp;" BY C LIMIT 1""))"),"#N/A")</f>
        <v>#N/A</v>
      </c>
      <c r="F25" s="16" t="str">
        <f ca="1">IFERROR(__xludf.DUMMYFUNCTION("if(counta(QUERY($B$25:$D$58, ""Select B Where C &gt; ""&amp; C25 +20 &amp;"" AND D = 'male'"")) = 1,QUERY($B$25:$D$58, ""Select B Where C &gt; ""&amp; C25 +20 &amp;"" AND D = 'Neutral' LIMIT 1""),QUERY($B$25:$D$58, ""Select B Where C &gt; ""&amp; C25 +20 &amp;"" AND D = 'male'  ORDER BY "&amp;"C LIMIT 1""))"),"#N/A")</f>
        <v>#N/A</v>
      </c>
      <c r="G25" s="13"/>
      <c r="K25" s="111"/>
      <c r="L25" s="111"/>
      <c r="M25" s="119"/>
      <c r="N25" s="119"/>
      <c r="Q25" s="118"/>
      <c r="R25" s="111"/>
    </row>
    <row r="26" spans="2:18" ht="15.75" customHeight="1">
      <c r="B26" s="16" t="str">
        <f ca="1">IFERROR(__xludf.DUMMYFUNCTION("""COMPUTED_VALUE"""),"Darmor")</f>
        <v>Darmor</v>
      </c>
      <c r="C26" s="123">
        <f ca="1">IFERROR(__xludf.DUMMYFUNCTION("""COMPUTED_VALUE"""),4)</f>
        <v>4</v>
      </c>
      <c r="D26" s="118">
        <f ca="1">IFERROR(__xludf.DUMMYFUNCTION("""COMPUTED_VALUE"""),0.07)</f>
        <v>7.0000000000000007E-2</v>
      </c>
      <c r="E26" s="16" t="str">
        <f ca="1">IFERROR(__xludf.DUMMYFUNCTION("if(counta(QUERY($B$25:$D$58, ""Select B Where C &gt; ""&amp; C26 +20 &amp;"" AND D = 'Female'"")) = 1,QUERY($B$25:$D$58, ""Select B Where C &gt; ""&amp; C26 +20 &amp;"" AND D = 'Neutral' LIMIT 1""),QUERY($B$25:$D$58, ""Select B Where C &gt; ""&amp; C26 +20 &amp;"" AND D = 'Female'  ORDER"&amp;" BY C LIMIT 1""))"),"#N/A")</f>
        <v>#N/A</v>
      </c>
      <c r="F26" s="16" t="str">
        <f ca="1">IFERROR(__xludf.DUMMYFUNCTION("if(counta(QUERY($B$25:$D$58, ""Select B Where C &gt; ""&amp; C26 +20 &amp;"" AND D = 'male'"")) = 1,QUERY($B$25:$D$58, ""Select B Where C &gt; ""&amp; C26 +20 &amp;"" AND D = 'Neutral' LIMIT 1""),QUERY($B$25:$D$58, ""Select B Where C &gt; ""&amp; C26 +20 &amp;"" AND D = 'male'  ORDER BY "&amp;"C LIMIT 1""))"),"#N/A")</f>
        <v>#N/A</v>
      </c>
      <c r="G26" s="13"/>
      <c r="K26" s="111"/>
      <c r="L26" s="111"/>
      <c r="M26" s="119"/>
      <c r="N26" s="119"/>
      <c r="Q26" s="118"/>
      <c r="R26" s="111"/>
    </row>
    <row r="27" spans="2:18" ht="15.75" customHeight="1">
      <c r="B27" s="16" t="str">
        <f ca="1">IFERROR(__xludf.DUMMYFUNCTION("""COMPUTED_VALUE"""),"Eard")</f>
        <v>Eard</v>
      </c>
      <c r="C27" s="123">
        <f ca="1">IFERROR(__xludf.DUMMYFUNCTION("""COMPUTED_VALUE"""),6)</f>
        <v>6</v>
      </c>
      <c r="D27" s="118">
        <f ca="1">IFERROR(__xludf.DUMMYFUNCTION("""COMPUTED_VALUE"""),0.09)</f>
        <v>0.09</v>
      </c>
      <c r="E27" s="16" t="str">
        <f ca="1">IFERROR(__xludf.DUMMYFUNCTION("if(counta(QUERY($B$25:$D$58, ""Select B Where C &gt; ""&amp; C27 +20 &amp;"" AND D = 'Female'"")) = 1,QUERY($B$25:$D$58, ""Select B Where C &gt; ""&amp; C27 +20 &amp;"" AND D = 'Neutral' LIMIT 1""),QUERY($B$25:$D$58, ""Select B Where C &gt; ""&amp; C27 +20 &amp;"" AND D = 'Female'  ORDER"&amp;" BY C LIMIT 1""))"),"#N/A")</f>
        <v>#N/A</v>
      </c>
      <c r="F27" s="16" t="str">
        <f ca="1">IFERROR(__xludf.DUMMYFUNCTION("if(counta(QUERY($B$25:$D$58, ""Select B Where C &gt; ""&amp; C27 +20 &amp;"" AND D = 'male'"")) = 1,QUERY($B$25:$D$58, ""Select B Where C &gt; ""&amp; C27 +20 &amp;"" AND D = 'Neutral' LIMIT 1""),QUERY($B$25:$D$58, ""Select B Where C &gt; ""&amp; C27 +20 &amp;"" AND D = 'male'  ORDER BY "&amp;"C LIMIT 1""))"),"#N/A")</f>
        <v>#N/A</v>
      </c>
      <c r="G27" s="13"/>
      <c r="K27" s="111"/>
      <c r="L27" s="111"/>
      <c r="M27" s="119"/>
      <c r="N27" s="119"/>
      <c r="Q27" s="118"/>
      <c r="R27" s="111"/>
    </row>
    <row r="28" spans="2:18" ht="13.2">
      <c r="B28" s="16" t="str">
        <f ca="1">IFERROR(__xludf.DUMMYFUNCTION("""COMPUTED_VALUE"""),"Derik")</f>
        <v>Derik</v>
      </c>
      <c r="C28" s="123">
        <f ca="1">IFERROR(__xludf.DUMMYFUNCTION("""COMPUTED_VALUE"""),4)</f>
        <v>4</v>
      </c>
      <c r="D28" s="118">
        <f ca="1">IFERROR(__xludf.DUMMYFUNCTION("""COMPUTED_VALUE"""),0.08)</f>
        <v>0.08</v>
      </c>
      <c r="E28" s="16" t="str">
        <f ca="1">IFERROR(__xludf.DUMMYFUNCTION("if(counta(QUERY($B$25:$D$58, ""Select B Where C &gt; ""&amp; C28 +20 &amp;"" AND D = 'Female'"")) = 1,QUERY($B$25:$D$58, ""Select B Where C &gt; ""&amp; C28 +20 &amp;"" AND D = 'Neutral' LIMIT 1""),QUERY($B$25:$D$58, ""Select B Where C &gt; ""&amp; C28 +20 &amp;"" AND D = 'Female'  ORDER"&amp;" BY C LIMIT 1""))"),"#N/A")</f>
        <v>#N/A</v>
      </c>
      <c r="F28" s="16" t="str">
        <f ca="1">IFERROR(__xludf.DUMMYFUNCTION("if(counta(QUERY($B$25:$D$58, ""Select B Where C &gt; ""&amp; C28 +20 &amp;"" AND D = 'male'"")) = 1,QUERY($B$25:$D$58, ""Select B Where C &gt; ""&amp; C28 +20 &amp;"" AND D = 'Neutral' LIMIT 1""),QUERY($B$25:$D$58, ""Select B Where C &gt; ""&amp; C28 +20 &amp;"" AND D = 'male'  ORDER BY "&amp;"C LIMIT 1""))"),"#N/A")</f>
        <v>#N/A</v>
      </c>
      <c r="G28" s="13"/>
      <c r="K28" s="111"/>
      <c r="L28" s="111"/>
      <c r="M28" s="119"/>
      <c r="N28" s="119"/>
      <c r="Q28" s="118"/>
      <c r="R28" s="111"/>
    </row>
    <row r="29" spans="2:18" ht="13.2">
      <c r="B29" s="16" t="str">
        <f ca="1">IFERROR(__xludf.DUMMYFUNCTION("""COMPUTED_VALUE"""),"Endor")</f>
        <v>Endor</v>
      </c>
      <c r="C29" s="123">
        <f ca="1">IFERROR(__xludf.DUMMYFUNCTION("""COMPUTED_VALUE"""),24)</f>
        <v>24</v>
      </c>
      <c r="D29" s="118">
        <f ca="1">IFERROR(__xludf.DUMMYFUNCTION("""COMPUTED_VALUE"""),0.1)</f>
        <v>0.1</v>
      </c>
      <c r="E29" s="16" t="str">
        <f ca="1">IFERROR(__xludf.DUMMYFUNCTION("if(counta(QUERY($B$25:$D$58, ""Select B Where C &gt; ""&amp; C29 +20 &amp;"" AND D = 'Female'"")) = 1,QUERY($B$25:$D$58, ""Select B Where C &gt; ""&amp; C29 +20 &amp;"" AND D = 'Neutral' LIMIT 1""),QUERY($B$25:$D$58, ""Select B Where C &gt; ""&amp; C29 +20 &amp;"" AND D = 'Female'  ORDER"&amp;" BY C LIMIT 1""))"),"#N/A")</f>
        <v>#N/A</v>
      </c>
      <c r="F29" s="16" t="str">
        <f ca="1">IFERROR(__xludf.DUMMYFUNCTION("if(counta(QUERY($B$25:$D$58, ""Select B Where C &gt; ""&amp; C29 +20 &amp;"" AND D = 'male'"")) = 1,QUERY($B$25:$D$58, ""Select B Where C &gt; ""&amp; C29 +20 &amp;"" AND D = 'Neutral' LIMIT 1""),QUERY($B$25:$D$58, ""Select B Where C &gt; ""&amp; C29 +20 &amp;"" AND D = 'male'  ORDER BY "&amp;"C LIMIT 1""))"),"#N/A")</f>
        <v>#N/A</v>
      </c>
      <c r="G29" s="13"/>
      <c r="K29" s="111"/>
      <c r="L29" s="111"/>
      <c r="M29" s="119"/>
      <c r="N29" s="119"/>
      <c r="Q29" s="118"/>
      <c r="R29" s="111"/>
    </row>
    <row r="30" spans="2:18" ht="13.2">
      <c r="B30" s="16" t="str">
        <f ca="1">IFERROR(__xludf.DUMMYFUNCTION("""COMPUTED_VALUE"""),"Drakone")</f>
        <v>Drakone</v>
      </c>
      <c r="C30" s="123">
        <f ca="1">IFERROR(__xludf.DUMMYFUNCTION("""COMPUTED_VALUE"""),4)</f>
        <v>4</v>
      </c>
      <c r="D30" s="118">
        <f ca="1">IFERROR(__xludf.DUMMYFUNCTION("""COMPUTED_VALUE"""),0.08)</f>
        <v>0.08</v>
      </c>
      <c r="E30" s="16" t="str">
        <f ca="1">IFERROR(__xludf.DUMMYFUNCTION("if(counta(QUERY($B$25:$D$58, ""Select B Where C &gt; ""&amp; C30 +20 &amp;"" AND D = 'Female'"")) = 1,QUERY($B$25:$D$58, ""Select B Where C &gt; ""&amp; C30 +20 &amp;"" AND D = 'Neutral' LIMIT 1""),QUERY($B$25:$D$58, ""Select B Where C &gt; ""&amp; C30 +20 &amp;"" AND D = 'Female'  ORDER"&amp;" BY C LIMIT 1""))"),"#N/A")</f>
        <v>#N/A</v>
      </c>
      <c r="F30" s="16" t="str">
        <f ca="1">IFERROR(__xludf.DUMMYFUNCTION("if(counta(QUERY($B$25:$D$58, ""Select B Where C &gt; ""&amp; C30 +20 &amp;"" AND D = 'male'"")) = 1,QUERY($B$25:$D$58, ""Select B Where C &gt; ""&amp; C30 +20 &amp;"" AND D = 'Neutral' LIMIT 1""),QUERY($B$25:$D$58, ""Select B Where C &gt; ""&amp; C30 +20 &amp;"" AND D = 'male'  ORDER BY "&amp;"C LIMIT 1""))"),"#N/A")</f>
        <v>#N/A</v>
      </c>
      <c r="K30" s="111"/>
      <c r="L30" s="111"/>
      <c r="M30" s="119"/>
      <c r="N30" s="119"/>
      <c r="Q30" s="118"/>
      <c r="R30" s="111"/>
    </row>
    <row r="31" spans="2:18" ht="13.2">
      <c r="B31" s="16" t="str">
        <f ca="1">IFERROR(__xludf.DUMMYFUNCTION("""COMPUTED_VALUE"""),"Eritai")</f>
        <v>Eritai</v>
      </c>
      <c r="C31" s="123">
        <f ca="1">IFERROR(__xludf.DUMMYFUNCTION("""COMPUTED_VALUE"""),24)</f>
        <v>24</v>
      </c>
      <c r="D31" s="118">
        <f ca="1">IFERROR(__xludf.DUMMYFUNCTION("""COMPUTED_VALUE"""),0.1)</f>
        <v>0.1</v>
      </c>
      <c r="E31" s="16" t="str">
        <f ca="1">IFERROR(__xludf.DUMMYFUNCTION("if(counta(QUERY($B$25:$D$58, ""Select B Where C &gt; ""&amp; C31 +20 &amp;"" AND D = 'Female'"")) = 1,QUERY($B$25:$D$58, ""Select B Where C &gt; ""&amp; C31 +20 &amp;"" AND D = 'Neutral' LIMIT 1""),QUERY($B$25:$D$58, ""Select B Where C &gt; ""&amp; C31 +20 &amp;"" AND D = 'Female'  ORDER"&amp;" BY C LIMIT 1""))"),"#N/A")</f>
        <v>#N/A</v>
      </c>
      <c r="F31" s="16" t="str">
        <f ca="1">IFERROR(__xludf.DUMMYFUNCTION("if(counta(QUERY($B$25:$D$58, ""Select B Where C &gt; ""&amp; C31 +20 &amp;"" AND D = 'male'"")) = 1,QUERY($B$25:$D$58, ""Select B Where C &gt; ""&amp; C31 +20 &amp;"" AND D = 'Neutral' LIMIT 1""),QUERY($B$25:$D$58, ""Select B Where C &gt; ""&amp; C31 +20 &amp;"" AND D = 'male'  ORDER BY "&amp;"C LIMIT 1""))"),"#N/A")</f>
        <v>#N/A</v>
      </c>
      <c r="M31" s="119"/>
      <c r="N31" s="119"/>
      <c r="R31" s="111"/>
    </row>
    <row r="32" spans="2:18" ht="13.2">
      <c r="B32" s="16" t="str">
        <f ca="1">IFERROR(__xludf.DUMMYFUNCTION("""COMPUTED_VALUE"""),"Dryn")</f>
        <v>Dryn</v>
      </c>
      <c r="C32" s="123">
        <f ca="1">IFERROR(__xludf.DUMMYFUNCTION("""COMPUTED_VALUE"""),4)</f>
        <v>4</v>
      </c>
      <c r="D32" s="118">
        <f ca="1">IFERROR(__xludf.DUMMYFUNCTION("""COMPUTED_VALUE"""),0.09)</f>
        <v>0.09</v>
      </c>
      <c r="E32" s="16" t="str">
        <f ca="1">IFERROR(__xludf.DUMMYFUNCTION("if(counta(QUERY($B$25:$D$58, ""Select B Where C &gt; ""&amp; C32 +20 &amp;"" AND D = 'Female'"")) = 1,QUERY($B$25:$D$58, ""Select B Where C &gt; ""&amp; C32 +20 &amp;"" AND D = 'Neutral' LIMIT 1""),QUERY($B$25:$D$58, ""Select B Where C &gt; ""&amp; C32 +20 &amp;"" AND D = 'Female'  ORDER"&amp;" BY C LIMIT 1""))"),"#N/A")</f>
        <v>#N/A</v>
      </c>
      <c r="F32" s="16" t="str">
        <f ca="1">IFERROR(__xludf.DUMMYFUNCTION("if(counta(QUERY($B$25:$D$58, ""Select B Where C &gt; ""&amp; C32 +20 &amp;"" AND D = 'male'"")) = 1,QUERY($B$25:$D$58, ""Select B Where C &gt; ""&amp; C32 +20 &amp;"" AND D = 'Neutral' LIMIT 1""),QUERY($B$25:$D$58, ""Select B Where C &gt; ""&amp; C32 +20 &amp;"" AND D = 'male'  ORDER BY "&amp;"C LIMIT 1""))"),"#N/A")</f>
        <v>#N/A</v>
      </c>
      <c r="M32" s="119"/>
      <c r="N32" s="119"/>
      <c r="Q32" s="111"/>
      <c r="R32" s="111"/>
    </row>
    <row r="33" spans="2:18" ht="13.2">
      <c r="B33" s="16" t="str">
        <f ca="1">IFERROR(__xludf.DUMMYFUNCTION("""COMPUTED_VALUE"""),"Darkkon")</f>
        <v>Darkkon</v>
      </c>
      <c r="C33" s="123">
        <f ca="1">IFERROR(__xludf.DUMMYFUNCTION("""COMPUTED_VALUE"""),4)</f>
        <v>4</v>
      </c>
      <c r="D33" s="118">
        <f ca="1">IFERROR(__xludf.DUMMYFUNCTION("""COMPUTED_VALUE"""),0.07)</f>
        <v>7.0000000000000007E-2</v>
      </c>
      <c r="E33" s="16" t="str">
        <f ca="1">IFERROR(__xludf.DUMMYFUNCTION("if(counta(QUERY($B$25:$D$58, ""Select B Where C &gt; ""&amp; C33 +20 &amp;"" AND D = 'Female'"")) = 1,QUERY($B$25:$D$58, ""Select B Where C &gt; ""&amp; C33 +20 &amp;"" AND D = 'Neutral' LIMIT 1""),QUERY($B$25:$D$58, ""Select B Where C &gt; ""&amp; C33 +20 &amp;"" AND D = 'Female'  ORDER"&amp;" BY C LIMIT 1""))"),"#N/A")</f>
        <v>#N/A</v>
      </c>
      <c r="F33" s="16" t="str">
        <f ca="1">IFERROR(__xludf.DUMMYFUNCTION("if(counta(QUERY($B$25:$D$58, ""Select B Where C &gt; ""&amp; C33 +20 &amp;"" AND D = 'male'"")) = 1,QUERY($B$25:$D$58, ""Select B Where C &gt; ""&amp; C33 +20 &amp;"" AND D = 'Neutral' LIMIT 1""),QUERY($B$25:$D$58, ""Select B Where C &gt; ""&amp; C33 +20 &amp;"" AND D = 'male'  ORDER BY "&amp;"C LIMIT 1""))"),"#N/A")</f>
        <v>#N/A</v>
      </c>
      <c r="M33" s="119"/>
      <c r="N33" s="119"/>
      <c r="R33" s="111"/>
    </row>
    <row r="34" spans="2:18" ht="13.2">
      <c r="B34" s="16" t="str">
        <f ca="1">IFERROR(__xludf.DUMMYFUNCTION("""COMPUTED_VALUE"""),"Efar")</f>
        <v>Efar</v>
      </c>
      <c r="C34" s="123">
        <f ca="1">IFERROR(__xludf.DUMMYFUNCTION("""COMPUTED_VALUE"""),6)</f>
        <v>6</v>
      </c>
      <c r="D34" s="118">
        <f ca="1">IFERROR(__xludf.DUMMYFUNCTION("""COMPUTED_VALUE"""),0.09)</f>
        <v>0.09</v>
      </c>
      <c r="E34" s="16" t="str">
        <f ca="1">IFERROR(__xludf.DUMMYFUNCTION("if(counta(QUERY($B$25:$D$58, ""Select B Where C &gt; ""&amp; C34 +20 &amp;"" AND D = 'Female'"")) = 1,QUERY($B$25:$D$58, ""Select B Where C &gt; ""&amp; C34 +20 &amp;"" AND D = 'Neutral' LIMIT 1""),QUERY($B$25:$D$58, ""Select B Where C &gt; ""&amp; C34 +20 &amp;"" AND D = 'Female'  ORDER"&amp;" BY C LIMIT 1""))"),"#N/A")</f>
        <v>#N/A</v>
      </c>
      <c r="F34" s="16" t="str">
        <f ca="1">IFERROR(__xludf.DUMMYFUNCTION("if(counta(QUERY($B$25:$D$58, ""Select B Where C &gt; ""&amp; C34 +20 &amp;"" AND D = 'male'"")) = 1,QUERY($B$25:$D$58, ""Select B Where C &gt; ""&amp; C34 +20 &amp;"" AND D = 'Neutral' LIMIT 1""),QUERY($B$25:$D$58, ""Select B Where C &gt; ""&amp; C34 +20 &amp;"" AND D = 'male'  ORDER BY "&amp;"C LIMIT 1""))"),"#N/A")</f>
        <v>#N/A</v>
      </c>
      <c r="M34" s="119"/>
      <c r="N34" s="119"/>
      <c r="R34" s="111"/>
    </row>
    <row r="35" spans="2:18" ht="13.2">
      <c r="B35" s="16" t="str">
        <f ca="1">IFERROR(__xludf.DUMMYFUNCTION("""COMPUTED_VALUE"""),"Dessfar")</f>
        <v>Dessfar</v>
      </c>
      <c r="C35" s="123">
        <f ca="1">IFERROR(__xludf.DUMMYFUNCTION("""COMPUTED_VALUE"""),4)</f>
        <v>4</v>
      </c>
      <c r="D35" s="118">
        <f ca="1">IFERROR(__xludf.DUMMYFUNCTION("""COMPUTED_VALUE"""),0.08)</f>
        <v>0.08</v>
      </c>
      <c r="E35" s="16" t="str">
        <f ca="1">IFERROR(__xludf.DUMMYFUNCTION("if(counta(QUERY($B$25:$D$58, ""Select B Where C &gt; ""&amp; C35 +20 &amp;"" AND D = 'Female'"")) = 1,QUERY($B$25:$D$58, ""Select B Where C &gt; ""&amp; C35 +20 &amp;"" AND D = 'Neutral' LIMIT 1""),QUERY($B$25:$D$58, ""Select B Where C &gt; ""&amp; C35 +20 &amp;"" AND D = 'Female'  ORDER"&amp;" BY C LIMIT 1""))"),"#N/A")</f>
        <v>#N/A</v>
      </c>
      <c r="F35" s="16" t="str">
        <f ca="1">IFERROR(__xludf.DUMMYFUNCTION("if(counta(QUERY($B$25:$D$58, ""Select B Where C &gt; ""&amp; C35 +20 &amp;"" AND D = 'male'"")) = 1,QUERY($B$25:$D$58, ""Select B Where C &gt; ""&amp; C35 +20 &amp;"" AND D = 'Neutral' LIMIT 1""),QUERY($B$25:$D$58, ""Select B Where C &gt; ""&amp; C35 +20 &amp;"" AND D = 'male'  ORDER BY "&amp;"C LIMIT 1""))"),"#N/A")</f>
        <v>#N/A</v>
      </c>
      <c r="M35" s="119"/>
      <c r="N35" s="119"/>
      <c r="R35" s="111"/>
    </row>
    <row r="36" spans="2:18" ht="13.2">
      <c r="B36" s="16" t="str">
        <f ca="1">IFERROR(__xludf.DUMMYFUNCTION("""COMPUTED_VALUE"""),"Elson")</f>
        <v>Elson</v>
      </c>
      <c r="C36" s="123">
        <f ca="1">IFERROR(__xludf.DUMMYFUNCTION("""COMPUTED_VALUE"""),24)</f>
        <v>24</v>
      </c>
      <c r="D36" s="118">
        <f ca="1">IFERROR(__xludf.DUMMYFUNCTION("""COMPUTED_VALUE"""),0.1)</f>
        <v>0.1</v>
      </c>
      <c r="E36" s="16" t="str">
        <f ca="1">IFERROR(__xludf.DUMMYFUNCTION("if(counta(QUERY($B$25:$D$58, ""Select B Where C &gt; ""&amp; C36 +20 &amp;"" AND D = 'Female'"")) = 1,QUERY($B$25:$D$58, ""Select B Where C &gt; ""&amp; C36 +20 &amp;"" AND D = 'Neutral' LIMIT 1""),QUERY($B$25:$D$58, ""Select B Where C &gt; ""&amp; C36 +20 &amp;"" AND D = 'Female'  ORDER"&amp;" BY C LIMIT 1""))"),"#N/A")</f>
        <v>#N/A</v>
      </c>
      <c r="F36" s="16" t="str">
        <f ca="1">IFERROR(__xludf.DUMMYFUNCTION("if(counta(QUERY($B$25:$D$58, ""Select B Where C &gt; ""&amp; C36 +20 &amp;"" AND D = 'male'"")) = 1,QUERY($B$25:$D$58, ""Select B Where C &gt; ""&amp; C36 +20 &amp;"" AND D = 'Neutral' LIMIT 1""),QUERY($B$25:$D$58, ""Select B Where C &gt; ""&amp; C36 +20 &amp;"" AND D = 'male'  ORDER BY "&amp;"C LIMIT 1""))"),"#N/A")</f>
        <v>#N/A</v>
      </c>
      <c r="M36" s="119"/>
      <c r="N36" s="119"/>
      <c r="R36" s="111"/>
    </row>
    <row r="37" spans="2:18" ht="13.2">
      <c r="B37" s="16" t="str">
        <f ca="1">IFERROR(__xludf.DUMMYFUNCTION("""COMPUTED_VALUE"""),"Dorn")</f>
        <v>Dorn</v>
      </c>
      <c r="C37" s="123">
        <f ca="1">IFERROR(__xludf.DUMMYFUNCTION("""COMPUTED_VALUE"""),4)</f>
        <v>4</v>
      </c>
      <c r="D37" s="118">
        <f ca="1">IFERROR(__xludf.DUMMYFUNCTION("""COMPUTED_VALUE"""),0.08)</f>
        <v>0.08</v>
      </c>
      <c r="E37" s="16" t="str">
        <f ca="1">IFERROR(__xludf.DUMMYFUNCTION("if(counta(QUERY($B$25:$D$58, ""Select B Where C &gt; ""&amp; C37 +20 &amp;"" AND D = 'Female'"")) = 1,QUERY($B$25:$D$58, ""Select B Where C &gt; ""&amp; C37 +20 &amp;"" AND D = 'Neutral' LIMIT 1""),QUERY($B$25:$D$58, ""Select B Where C &gt; ""&amp; C37 +20 &amp;"" AND D = 'Female'  ORDER"&amp;" BY C LIMIT 1""))"),"#N/A")</f>
        <v>#N/A</v>
      </c>
      <c r="F37" s="16" t="str">
        <f ca="1">IFERROR(__xludf.DUMMYFUNCTION("if(counta(QUERY($B$25:$D$58, ""Select B Where C &gt; ""&amp; C37 +20 &amp;"" AND D = 'male'"")) = 1,QUERY($B$25:$D$58, ""Select B Where C &gt; ""&amp; C37 +20 &amp;"" AND D = 'Neutral' LIMIT 1""),QUERY($B$25:$D$58, ""Select B Where C &gt; ""&amp; C37 +20 &amp;"" AND D = 'male'  ORDER BY "&amp;"C LIMIT 1""))"),"#N/A")</f>
        <v>#N/A</v>
      </c>
      <c r="M37" s="119"/>
      <c r="N37" s="119"/>
      <c r="R37" s="111"/>
    </row>
    <row r="38" spans="2:18" ht="13.2">
      <c r="B38" s="16" t="str">
        <f ca="1">IFERROR(__xludf.DUMMYFUNCTION("""COMPUTED_VALUE"""),"Etar")</f>
        <v>Etar</v>
      </c>
      <c r="C38" s="123">
        <f ca="1">IFERROR(__xludf.DUMMYFUNCTION("""COMPUTED_VALUE"""),24)</f>
        <v>24</v>
      </c>
      <c r="D38" s="118">
        <f ca="1">IFERROR(__xludf.DUMMYFUNCTION("""COMPUTED_VALUE"""),0.1)</f>
        <v>0.1</v>
      </c>
      <c r="E38" s="16" t="str">
        <f ca="1">IFERROR(__xludf.DUMMYFUNCTION("if(counta(QUERY($B$25:$D$58, ""Select B Where C &gt; ""&amp; C38 +20 &amp;"" AND D = 'Female'"")) = 1,QUERY($B$25:$D$58, ""Select B Where C &gt; ""&amp; C38 +20 &amp;"" AND D = 'Neutral' LIMIT 1""),QUERY($B$25:$D$58, ""Select B Where C &gt; ""&amp; C38 +20 &amp;"" AND D = 'Female'  ORDER"&amp;" BY C LIMIT 1""))"),"#N/A")</f>
        <v>#N/A</v>
      </c>
      <c r="F38" s="16" t="str">
        <f ca="1">IFERROR(__xludf.DUMMYFUNCTION("if(counta(QUERY($B$25:$D$58, ""Select B Where C &gt; ""&amp; C38 +20 &amp;"" AND D = 'male'"")) = 1,QUERY($B$25:$D$58, ""Select B Where C &gt; ""&amp; C38 +20 &amp;"" AND D = 'Neutral' LIMIT 1""),QUERY($B$25:$D$58, ""Select B Where C &gt; ""&amp; C38 +20 &amp;"" AND D = 'male'  ORDER BY "&amp;"C LIMIT 1""))"),"#N/A")</f>
        <v>#N/A</v>
      </c>
      <c r="M38" s="119"/>
      <c r="N38" s="119"/>
      <c r="R38" s="111"/>
    </row>
    <row r="39" spans="2:18" ht="13.2">
      <c r="B39" s="16" t="str">
        <f ca="1">IFERROR(__xludf.DUMMYFUNCTION("""COMPUTED_VALUE"""),"Duran")</f>
        <v>Duran</v>
      </c>
      <c r="C39" s="123">
        <f ca="1">IFERROR(__xludf.DUMMYFUNCTION("""COMPUTED_VALUE"""),6)</f>
        <v>6</v>
      </c>
      <c r="D39" s="118">
        <f ca="1">IFERROR(__xludf.DUMMYFUNCTION("""COMPUTED_VALUE"""),0.09)</f>
        <v>0.09</v>
      </c>
      <c r="E39" s="16" t="str">
        <f ca="1">IFERROR(__xludf.DUMMYFUNCTION("if(counta(QUERY($B$25:$D$58, ""Select B Where C &gt; ""&amp; C39 +20 &amp;"" AND D = 'Female'"")) = 1,QUERY($B$25:$D$58, ""Select B Where C &gt; ""&amp; C39 +20 &amp;"" AND D = 'Neutral' LIMIT 1""),QUERY($B$25:$D$58, ""Select B Where C &gt; ""&amp; C39 +20 &amp;"" AND D = 'Female'  ORDER"&amp;" BY C LIMIT 1""))"),"#N/A")</f>
        <v>#N/A</v>
      </c>
      <c r="F39" s="16" t="str">
        <f ca="1">IFERROR(__xludf.DUMMYFUNCTION("if(counta(QUERY($B$25:$D$58, ""Select B Where C &gt; ""&amp; C39 +20 &amp;"" AND D = 'male'"")) = 1,QUERY($B$25:$D$58, ""Select B Where C &gt; ""&amp; C39 +20 &amp;"" AND D = 'Neutral' LIMIT 1""),QUERY($B$25:$D$58, ""Select B Where C &gt; ""&amp; C39 +20 &amp;"" AND D = 'male'  ORDER BY "&amp;"C LIMIT 1""))"),"#N/A")</f>
        <v>#N/A</v>
      </c>
      <c r="M39" s="119"/>
      <c r="N39" s="119"/>
      <c r="R39" s="111"/>
    </row>
    <row r="40" spans="2:18" ht="13.2">
      <c r="B40" s="16" t="str">
        <f ca="1">IFERROR(__xludf.DUMMYFUNCTION("""COMPUTED_VALUE"""),"Darkkon")</f>
        <v>Darkkon</v>
      </c>
      <c r="C40" s="123">
        <f ca="1">IFERROR(__xludf.DUMMYFUNCTION("""COMPUTED_VALUE"""),4)</f>
        <v>4</v>
      </c>
      <c r="D40" s="118">
        <f ca="1">IFERROR(__xludf.DUMMYFUNCTION("""COMPUTED_VALUE"""),0.07)</f>
        <v>7.0000000000000007E-2</v>
      </c>
      <c r="E40" s="16" t="str">
        <f ca="1">IFERROR(__xludf.DUMMYFUNCTION("if(counta(QUERY($B$25:$D$58, ""Select B Where C &gt; ""&amp; C40 +20 &amp;"" AND D = 'Female'"")) = 1,QUERY($B$25:$D$58, ""Select B Where C &gt; ""&amp; C40 +20 &amp;"" AND D = 'Neutral' LIMIT 1""),QUERY($B$25:$D$58, ""Select B Where C &gt; ""&amp; C40 +20 &amp;"" AND D = 'Female'  ORDER"&amp;" BY C LIMIT 1""))"),"#N/A")</f>
        <v>#N/A</v>
      </c>
      <c r="F40" s="16" t="str">
        <f ca="1">IFERROR(__xludf.DUMMYFUNCTION("if(counta(QUERY($B$25:$D$58, ""Select B Where C &gt; ""&amp; C40 +20 &amp;"" AND D = 'male'"")) = 1,QUERY($B$25:$D$58, ""Select B Where C &gt; ""&amp; C40 +20 &amp;"" AND D = 'Neutral' LIMIT 1""),QUERY($B$25:$D$58, ""Select B Where C &gt; ""&amp; C40 +20 &amp;"" AND D = 'male'  ORDER BY "&amp;"C LIMIT 1""))"),"#N/A")</f>
        <v>#N/A</v>
      </c>
      <c r="M40" s="119"/>
      <c r="N40" s="119"/>
      <c r="R40" s="111"/>
    </row>
    <row r="41" spans="2:18" ht="13.2">
      <c r="B41" s="16" t="str">
        <f ca="1">IFERROR(__xludf.DUMMYFUNCTION("""COMPUTED_VALUE"""),"Eard")</f>
        <v>Eard</v>
      </c>
      <c r="C41" s="123">
        <f ca="1">IFERROR(__xludf.DUMMYFUNCTION("""COMPUTED_VALUE"""),6)</f>
        <v>6</v>
      </c>
      <c r="D41" s="118">
        <f ca="1">IFERROR(__xludf.DUMMYFUNCTION("""COMPUTED_VALUE"""),0.09)</f>
        <v>0.09</v>
      </c>
      <c r="E41" s="16" t="str">
        <f ca="1">IFERROR(__xludf.DUMMYFUNCTION("if(counta(QUERY($B$25:$D$58, ""Select B Where C &gt; ""&amp; C41 +20 &amp;"" AND D = 'Female'"")) = 1,QUERY($B$25:$D$58, ""Select B Where C &gt; ""&amp; C41 +20 &amp;"" AND D = 'Neutral' LIMIT 1""),QUERY($B$25:$D$58, ""Select B Where C &gt; ""&amp; C41 +20 &amp;"" AND D = 'Female'  ORDER"&amp;" BY C LIMIT 1""))"),"#N/A")</f>
        <v>#N/A</v>
      </c>
      <c r="F41" s="16" t="str">
        <f ca="1">IFERROR(__xludf.DUMMYFUNCTION("if(counta(QUERY($B$25:$D$58, ""Select B Where C &gt; ""&amp; C41 +20 &amp;"" AND D = 'male'"")) = 1,QUERY($B$25:$D$58, ""Select B Where C &gt; ""&amp; C41 +20 &amp;"" AND D = 'Neutral' LIMIT 1""),QUERY($B$25:$D$58, ""Select B Where C &gt; ""&amp; C41 +20 &amp;"" AND D = 'male'  ORDER BY "&amp;"C LIMIT 1""))"),"#N/A")</f>
        <v>#N/A</v>
      </c>
      <c r="M41" s="119"/>
      <c r="N41" s="119"/>
      <c r="R41" s="111"/>
    </row>
    <row r="42" spans="2:18" ht="13.2">
      <c r="B42" s="16" t="str">
        <f ca="1">IFERROR(__xludf.DUMMYFUNCTION("""COMPUTED_VALUE"""),"Derik")</f>
        <v>Derik</v>
      </c>
      <c r="C42" s="123">
        <f ca="1">IFERROR(__xludf.DUMMYFUNCTION("""COMPUTED_VALUE"""),4)</f>
        <v>4</v>
      </c>
      <c r="D42" s="118">
        <f ca="1">IFERROR(__xludf.DUMMYFUNCTION("""COMPUTED_VALUE"""),0.08)</f>
        <v>0.08</v>
      </c>
      <c r="E42" s="16" t="str">
        <f ca="1">IFERROR(__xludf.DUMMYFUNCTION("if(counta(QUERY($B$25:$D$58, ""Select B Where C &gt; ""&amp; C42 +20 &amp;"" AND D = 'Female'"")) = 1,QUERY($B$25:$D$58, ""Select B Where C &gt; ""&amp; C42 +20 &amp;"" AND D = 'Neutral' LIMIT 1""),QUERY($B$25:$D$58, ""Select B Where C &gt; ""&amp; C42 +20 &amp;"" AND D = 'Female'  ORDER"&amp;" BY C LIMIT 1""))"),"#N/A")</f>
        <v>#N/A</v>
      </c>
      <c r="F42" s="16" t="str">
        <f ca="1">IFERROR(__xludf.DUMMYFUNCTION("if(counta(QUERY($B$25:$D$58, ""Select B Where C &gt; ""&amp; C42 +20 &amp;"" AND D = 'male'"")) = 1,QUERY($B$25:$D$58, ""Select B Where C &gt; ""&amp; C42 +20 &amp;"" AND D = 'Neutral' LIMIT 1""),QUERY($B$25:$D$58, ""Select B Where C &gt; ""&amp; C42 +20 &amp;"" AND D = 'male'  ORDER BY "&amp;"C LIMIT 1""))"),"#N/A")</f>
        <v>#N/A</v>
      </c>
      <c r="M42" s="119"/>
      <c r="N42" s="119"/>
      <c r="R42" s="111"/>
    </row>
    <row r="43" spans="2:18" ht="13.2">
      <c r="B43" s="16" t="str">
        <f ca="1">IFERROR(__xludf.DUMMYFUNCTION("""COMPUTED_VALUE"""),"Elson")</f>
        <v>Elson</v>
      </c>
      <c r="C43" s="123">
        <f ca="1">IFERROR(__xludf.DUMMYFUNCTION("""COMPUTED_VALUE"""),24)</f>
        <v>24</v>
      </c>
      <c r="D43" s="118">
        <f ca="1">IFERROR(__xludf.DUMMYFUNCTION("""COMPUTED_VALUE"""),0.1)</f>
        <v>0.1</v>
      </c>
      <c r="E43" s="16" t="str">
        <f ca="1">IFERROR(__xludf.DUMMYFUNCTION("if(counta(QUERY($B$25:$D$58, ""Select B Where C &gt; ""&amp; C43 +20 &amp;"" AND D = 'Female'"")) = 1,QUERY($B$25:$D$58, ""Select B Where C &gt; ""&amp; C43 +20 &amp;"" AND D = 'Neutral' LIMIT 1""),QUERY($B$25:$D$58, ""Select B Where C &gt; ""&amp; C43 +20 &amp;"" AND D = 'Female'  ORDER"&amp;" BY C LIMIT 1""))"),"#N/A")</f>
        <v>#N/A</v>
      </c>
      <c r="F43" s="16" t="str">
        <f ca="1">IFERROR(__xludf.DUMMYFUNCTION("if(counta(QUERY($B$25:$D$58, ""Select B Where C &gt; ""&amp; C43 +20 &amp;"" AND D = 'male'"")) = 1,QUERY($B$25:$D$58, ""Select B Where C &gt; ""&amp; C43 +20 &amp;"" AND D = 'Neutral' LIMIT 1""),QUERY($B$25:$D$58, ""Select B Where C &gt; ""&amp; C43 +20 &amp;"" AND D = 'male'  ORDER BY "&amp;"C LIMIT 1""))"),"#N/A")</f>
        <v>#N/A</v>
      </c>
      <c r="M43" s="119"/>
      <c r="N43" s="119"/>
      <c r="R43" s="111"/>
    </row>
    <row r="44" spans="2:18" ht="13.2">
      <c r="B44" s="16" t="str">
        <f ca="1">IFERROR(__xludf.DUMMYFUNCTION("""COMPUTED_VALUE"""),"Dorn")</f>
        <v>Dorn</v>
      </c>
      <c r="C44" s="123">
        <f ca="1">IFERROR(__xludf.DUMMYFUNCTION("""COMPUTED_VALUE"""),4)</f>
        <v>4</v>
      </c>
      <c r="D44" s="118">
        <f ca="1">IFERROR(__xludf.DUMMYFUNCTION("""COMPUTED_VALUE"""),0.08)</f>
        <v>0.08</v>
      </c>
      <c r="E44" s="16" t="str">
        <f ca="1">IFERROR(__xludf.DUMMYFUNCTION("if(counta(QUERY($B$25:$D$58, ""Select B Where C &gt; ""&amp; C44 +20 &amp;"" AND D = 'Female'"")) = 1,QUERY($B$25:$D$58, ""Select B Where C &gt; ""&amp; C44 +20 &amp;"" AND D = 'Neutral' LIMIT 1""),QUERY($B$25:$D$58, ""Select B Where C &gt; ""&amp; C44 +20 &amp;"" AND D = 'Female'  ORDER"&amp;" BY C LIMIT 1""))"),"#N/A")</f>
        <v>#N/A</v>
      </c>
      <c r="F44" s="16" t="str">
        <f ca="1">IFERROR(__xludf.DUMMYFUNCTION("if(counta(QUERY($B$25:$D$58, ""Select B Where C &gt; ""&amp; C44 +20 &amp;"" AND D = 'male'"")) = 1,QUERY($B$25:$D$58, ""Select B Where C &gt; ""&amp; C44 +20 &amp;"" AND D = 'Neutral' LIMIT 1""),QUERY($B$25:$D$58, ""Select B Where C &gt; ""&amp; C44 +20 &amp;"" AND D = 'male'  ORDER BY "&amp;"C LIMIT 1""))"),"#N/A")</f>
        <v>#N/A</v>
      </c>
      <c r="R44" s="111"/>
    </row>
    <row r="45" spans="2:18" ht="13.2">
      <c r="B45" s="16" t="str">
        <f ca="1">IFERROR(__xludf.DUMMYFUNCTION("""COMPUTED_VALUE"""),"Eritai")</f>
        <v>Eritai</v>
      </c>
      <c r="C45" s="123">
        <f ca="1">IFERROR(__xludf.DUMMYFUNCTION("""COMPUTED_VALUE"""),24)</f>
        <v>24</v>
      </c>
      <c r="D45" s="118">
        <f ca="1">IFERROR(__xludf.DUMMYFUNCTION("""COMPUTED_VALUE"""),0.1)</f>
        <v>0.1</v>
      </c>
      <c r="E45" s="16" t="str">
        <f ca="1">IFERROR(__xludf.DUMMYFUNCTION("if(counta(QUERY($B$25:$D$58, ""Select B Where C &gt; ""&amp; C45 +20 &amp;"" AND D = 'Female'"")) = 1,QUERY($B$25:$D$58, ""Select B Where C &gt; ""&amp; C45 +20 &amp;"" AND D = 'Neutral' LIMIT 1""),QUERY($B$25:$D$58, ""Select B Where C &gt; ""&amp; C45 +20 &amp;"" AND D = 'Female'  ORDER"&amp;" BY C LIMIT 1""))"),"#N/A")</f>
        <v>#N/A</v>
      </c>
      <c r="F45" s="16" t="str">
        <f ca="1">IFERROR(__xludf.DUMMYFUNCTION("if(counta(QUERY($B$25:$D$58, ""Select B Where C &gt; ""&amp; C45 +20 &amp;"" AND D = 'male'"")) = 1,QUERY($B$25:$D$58, ""Select B Where C &gt; ""&amp; C45 +20 &amp;"" AND D = 'Neutral' LIMIT 1""),QUERY($B$25:$D$58, ""Select B Where C &gt; ""&amp; C45 +20 &amp;"" AND D = 'male'  ORDER BY "&amp;"C LIMIT 1""))"),"#N/A")</f>
        <v>#N/A</v>
      </c>
      <c r="R45" s="111"/>
    </row>
    <row r="46" spans="2:18" ht="13.2">
      <c r="B46" s="16" t="str">
        <f ca="1">IFERROR(__xludf.DUMMYFUNCTION("""COMPUTED_VALUE"""),"Dritz")</f>
        <v>Dritz</v>
      </c>
      <c r="C46" s="123">
        <f ca="1">IFERROR(__xludf.DUMMYFUNCTION("""COMPUTED_VALUE"""),4)</f>
        <v>4</v>
      </c>
      <c r="D46" s="118">
        <f ca="1">IFERROR(__xludf.DUMMYFUNCTION("""COMPUTED_VALUE"""),0.09)</f>
        <v>0.09</v>
      </c>
      <c r="E46" s="16" t="str">
        <f ca="1">IFERROR(__xludf.DUMMYFUNCTION("if(counta(QUERY($B$25:$D$58, ""Select B Where C &gt; ""&amp; C46 +20 &amp;"" AND D = 'Female'"")) = 1,QUERY($B$25:$D$58, ""Select B Where C &gt; ""&amp; C46 +20 &amp;"" AND D = 'Neutral' LIMIT 1""),QUERY($B$25:$D$58, ""Select B Where C &gt; ""&amp; C46 +20 &amp;"" AND D = 'Female'  ORDER"&amp;" BY C LIMIT 1""))"),"#N/A")</f>
        <v>#N/A</v>
      </c>
      <c r="F46" s="16" t="str">
        <f ca="1">IFERROR(__xludf.DUMMYFUNCTION("if(counta(QUERY($B$25:$D$58, ""Select B Where C &gt; ""&amp; C46 +20 &amp;"" AND D = 'male'"")) = 1,QUERY($B$25:$D$58, ""Select B Where C &gt; ""&amp; C46 +20 &amp;"" AND D = 'Neutral' LIMIT 1""),QUERY($B$25:$D$58, ""Select B Where C &gt; ""&amp; C46 +20 &amp;"" AND D = 'male'  ORDER BY "&amp;"C LIMIT 1""))"),"#N/A")</f>
        <v>#N/A</v>
      </c>
      <c r="R46" s="111"/>
    </row>
    <row r="47" spans="2:18" ht="13.2">
      <c r="B47" s="16" t="str">
        <f ca="1">IFERROR(__xludf.DUMMYFUNCTION("""COMPUTED_VALUE"""),"Dalmarn")</f>
        <v>Dalmarn</v>
      </c>
      <c r="C47" s="123">
        <f ca="1">IFERROR(__xludf.DUMMYFUNCTION("""COMPUTED_VALUE"""),4)</f>
        <v>4</v>
      </c>
      <c r="D47" s="118">
        <f ca="1">IFERROR(__xludf.DUMMYFUNCTION("""COMPUTED_VALUE"""),0.07)</f>
        <v>7.0000000000000007E-2</v>
      </c>
      <c r="E47" s="16" t="str">
        <f ca="1">IFERROR(__xludf.DUMMYFUNCTION("if(counta(QUERY($B$25:$D$58, ""Select B Where C &gt; ""&amp; C47 +20 &amp;"" AND D = 'Female'"")) = 1,QUERY($B$25:$D$58, ""Select B Where C &gt; ""&amp; C47 +20 &amp;"" AND D = 'Neutral' LIMIT 1""),QUERY($B$25:$D$58, ""Select B Where C &gt; ""&amp; C47 +20 &amp;"" AND D = 'Female'  ORDER"&amp;" BY C LIMIT 1""))"),"#N/A")</f>
        <v>#N/A</v>
      </c>
      <c r="F47" s="16" t="str">
        <f ca="1">IFERROR(__xludf.DUMMYFUNCTION("if(counta(QUERY($B$25:$D$58, ""Select B Where C &gt; ""&amp; C47 +20 &amp;"" AND D = 'male'"")) = 1,QUERY($B$25:$D$58, ""Select B Where C &gt; ""&amp; C47 +20 &amp;"" AND D = 'Neutral' LIMIT 1""),QUERY($B$25:$D$58, ""Select B Where C &gt; ""&amp; C47 +20 &amp;"" AND D = 'male'  ORDER BY "&amp;"C LIMIT 1""))"),"#N/A")</f>
        <v>#N/A</v>
      </c>
      <c r="R47" s="111"/>
    </row>
    <row r="48" spans="2:18" ht="13.2">
      <c r="B48" s="16" t="str">
        <f ca="1">IFERROR(__xludf.DUMMYFUNCTION("""COMPUTED_VALUE"""),"Eard")</f>
        <v>Eard</v>
      </c>
      <c r="C48" s="123">
        <f ca="1">IFERROR(__xludf.DUMMYFUNCTION("""COMPUTED_VALUE"""),6)</f>
        <v>6</v>
      </c>
      <c r="D48" s="118">
        <f ca="1">IFERROR(__xludf.DUMMYFUNCTION("""COMPUTED_VALUE"""),0.09)</f>
        <v>0.09</v>
      </c>
      <c r="E48" s="16" t="str">
        <f ca="1">IFERROR(__xludf.DUMMYFUNCTION("if(counta(QUERY($B$25:$D$58, ""Select B Where C &gt; ""&amp; C48 +20 &amp;"" AND D = 'Female'"")) = 1,QUERY($B$25:$D$58, ""Select B Where C &gt; ""&amp; C48 +20 &amp;"" AND D = 'Neutral' LIMIT 1""),QUERY($B$25:$D$58, ""Select B Where C &gt; ""&amp; C48 +20 &amp;"" AND D = 'Female'  ORDER"&amp;" BY C LIMIT 1""))"),"#N/A")</f>
        <v>#N/A</v>
      </c>
      <c r="F48" s="16" t="str">
        <f ca="1">IFERROR(__xludf.DUMMYFUNCTION("if(counta(QUERY($B$25:$D$58, ""Select B Where C &gt; ""&amp; C48 +20 &amp;"" AND D = 'male'"")) = 1,QUERY($B$25:$D$58, ""Select B Where C &gt; ""&amp; C48 +20 &amp;"" AND D = 'Neutral' LIMIT 1""),QUERY($B$25:$D$58, ""Select B Where C &gt; ""&amp; C48 +20 &amp;"" AND D = 'male'  ORDER BY "&amp;"C LIMIT 1""))"),"#N/A")</f>
        <v>#N/A</v>
      </c>
      <c r="R48" s="111"/>
    </row>
    <row r="49" spans="2:18" ht="13.2">
      <c r="B49" s="16" t="str">
        <f ca="1">IFERROR(__xludf.DUMMYFUNCTION("""COMPUTED_VALUE"""),"Derik")</f>
        <v>Derik</v>
      </c>
      <c r="C49" s="123">
        <f ca="1">IFERROR(__xludf.DUMMYFUNCTION("""COMPUTED_VALUE"""),4)</f>
        <v>4</v>
      </c>
      <c r="D49" s="118">
        <f ca="1">IFERROR(__xludf.DUMMYFUNCTION("""COMPUTED_VALUE"""),0.08)</f>
        <v>0.08</v>
      </c>
      <c r="E49" s="16" t="str">
        <f ca="1">IFERROR(__xludf.DUMMYFUNCTION("if(counta(QUERY($B$25:$D$58, ""Select B Where C &gt; ""&amp; C49 +20 &amp;"" AND D = 'Female'"")) = 1,QUERY($B$25:$D$58, ""Select B Where C &gt; ""&amp; C49 +20 &amp;"" AND D = 'Neutral' LIMIT 1""),QUERY($B$25:$D$58, ""Select B Where C &gt; ""&amp; C49 +20 &amp;"" AND D = 'Female'  ORDER"&amp;" BY C LIMIT 1""))"),"#N/A")</f>
        <v>#N/A</v>
      </c>
      <c r="F49" s="16" t="str">
        <f ca="1">IFERROR(__xludf.DUMMYFUNCTION("if(counta(QUERY($B$25:$D$58, ""Select B Where C &gt; ""&amp; C49 +20 &amp;"" AND D = 'male'"")) = 1,QUERY($B$25:$D$58, ""Select B Where C &gt; ""&amp; C49 +20 &amp;"" AND D = 'Neutral' LIMIT 1""),QUERY($B$25:$D$58, ""Select B Where C &gt; ""&amp; C49 +20 &amp;"" AND D = 'male'  ORDER BY "&amp;"C LIMIT 1""))"),"#N/A")</f>
        <v>#N/A</v>
      </c>
      <c r="R49" s="111"/>
    </row>
    <row r="50" spans="2:18" ht="13.2">
      <c r="B50" s="16" t="str">
        <f ca="1">IFERROR(__xludf.DUMMYFUNCTION("""COMPUTED_VALUE"""),"Ekgamut")</f>
        <v>Ekgamut</v>
      </c>
      <c r="C50" s="123">
        <f ca="1">IFERROR(__xludf.DUMMYFUNCTION("""COMPUTED_VALUE"""),24)</f>
        <v>24</v>
      </c>
      <c r="D50" s="118">
        <f ca="1">IFERROR(__xludf.DUMMYFUNCTION("""COMPUTED_VALUE"""),0.1)</f>
        <v>0.1</v>
      </c>
      <c r="E50" s="16" t="str">
        <f ca="1">IFERROR(__xludf.DUMMYFUNCTION("if(counta(QUERY($B$25:$D$58, ""Select B Where C &gt; ""&amp; C50 +20 &amp;"" AND D = 'Female'"")) = 1,QUERY($B$25:$D$58, ""Select B Where C &gt; ""&amp; C50 +20 &amp;"" AND D = 'Neutral' LIMIT 1""),QUERY($B$25:$D$58, ""Select B Where C &gt; ""&amp; C50 +20 &amp;"" AND D = 'Female'  ORDER"&amp;" BY C LIMIT 1""))"),"#N/A")</f>
        <v>#N/A</v>
      </c>
      <c r="F50" s="16" t="str">
        <f ca="1">IFERROR(__xludf.DUMMYFUNCTION("if(counta(QUERY($B$25:$D$58, ""Select B Where C &gt; ""&amp; C50 +20 &amp;"" AND D = 'male'"")) = 1,QUERY($B$25:$D$58, ""Select B Where C &gt; ""&amp; C50 +20 &amp;"" AND D = 'Neutral' LIMIT 1""),QUERY($B$25:$D$58, ""Select B Where C &gt; ""&amp; C50 +20 &amp;"" AND D = 'male'  ORDER BY "&amp;"C LIMIT 1""))"),"#N/A")</f>
        <v>#N/A</v>
      </c>
      <c r="R50" s="111"/>
    </row>
    <row r="51" spans="2:18" ht="13.2">
      <c r="B51" s="16" t="str">
        <f ca="1">IFERROR(__xludf.DUMMYFUNCTION("""COMPUTED_VALUE"""),"Doceon")</f>
        <v>Doceon</v>
      </c>
      <c r="C51" s="123">
        <f ca="1">IFERROR(__xludf.DUMMYFUNCTION("""COMPUTED_VALUE"""),4)</f>
        <v>4</v>
      </c>
      <c r="D51" s="118">
        <f ca="1">IFERROR(__xludf.DUMMYFUNCTION("""COMPUTED_VALUE"""),0.08)</f>
        <v>0.08</v>
      </c>
      <c r="E51" s="16" t="str">
        <f ca="1">IFERROR(__xludf.DUMMYFUNCTION("if(counta(QUERY($B$25:$D$58, ""Select B Where C &gt; ""&amp; C51 +20 &amp;"" AND D = 'Female'"")) = 1,QUERY($B$25:$D$58, ""Select B Where C &gt; ""&amp; C51 +20 &amp;"" AND D = 'Neutral' LIMIT 1""),QUERY($B$25:$D$58, ""Select B Where C &gt; ""&amp; C51 +20 &amp;"" AND D = 'Female'  ORDER"&amp;" BY C LIMIT 1""))"),"#N/A")</f>
        <v>#N/A</v>
      </c>
      <c r="F51" s="16" t="str">
        <f ca="1">IFERROR(__xludf.DUMMYFUNCTION("if(counta(QUERY($B$25:$D$58, ""Select B Where C &gt; ""&amp; C51 +20 &amp;"" AND D = 'male'"")) = 1,QUERY($B$25:$D$58, ""Select B Where C &gt; ""&amp; C51 +20 &amp;"" AND D = 'Neutral' LIMIT 1""),QUERY($B$25:$D$58, ""Select B Where C &gt; ""&amp; C51 +20 &amp;"" AND D = 'male'  ORDER BY "&amp;"C LIMIT 1""))"),"#N/A")</f>
        <v>#N/A</v>
      </c>
      <c r="R51" s="111"/>
    </row>
    <row r="52" spans="2:18" ht="13.2">
      <c r="B52" s="16" t="str">
        <f ca="1">IFERROR(__xludf.DUMMYFUNCTION("""COMPUTED_VALUE"""),"Eritai")</f>
        <v>Eritai</v>
      </c>
      <c r="C52" s="123">
        <f ca="1">IFERROR(__xludf.DUMMYFUNCTION("""COMPUTED_VALUE"""),24)</f>
        <v>24</v>
      </c>
      <c r="D52" s="118">
        <f ca="1">IFERROR(__xludf.DUMMYFUNCTION("""COMPUTED_VALUE"""),0.1)</f>
        <v>0.1</v>
      </c>
      <c r="E52" s="16" t="str">
        <f ca="1">IFERROR(__xludf.DUMMYFUNCTION("if(counta(QUERY($B$25:$D$58, ""Select B Where C &gt; ""&amp; C52 +20 &amp;"" AND D = 'Female'"")) = 1,QUERY($B$25:$D$58, ""Select B Where C &gt; ""&amp; C52 +20 &amp;"" AND D = 'Neutral' LIMIT 1""),QUERY($B$25:$D$58, ""Select B Where C &gt; ""&amp; C52 +20 &amp;"" AND D = 'Female'  ORDER"&amp;" BY C LIMIT 1""))"),"#N/A")</f>
        <v>#N/A</v>
      </c>
      <c r="F52" s="16" t="str">
        <f ca="1">IFERROR(__xludf.DUMMYFUNCTION("if(counta(QUERY($B$25:$D$58, ""Select B Where C &gt; ""&amp; C52 +20 &amp;"" AND D = 'male'"")) = 1,QUERY($B$25:$D$58, ""Select B Where C &gt; ""&amp; C52 +20 &amp;"" AND D = 'Neutral' LIMIT 1""),QUERY($B$25:$D$58, ""Select B Where C &gt; ""&amp; C52 +20 &amp;"" AND D = 'male'  ORDER BY "&amp;"C LIMIT 1""))"),"#N/A")</f>
        <v>#N/A</v>
      </c>
      <c r="R52" s="111"/>
    </row>
    <row r="53" spans="2:18" ht="13.2">
      <c r="B53" s="16" t="str">
        <f ca="1">IFERROR(__xludf.DUMMYFUNCTION("""COMPUTED_VALUE"""),"Dryn")</f>
        <v>Dryn</v>
      </c>
      <c r="C53" s="123">
        <f ca="1">IFERROR(__xludf.DUMMYFUNCTION("""COMPUTED_VALUE"""),4)</f>
        <v>4</v>
      </c>
      <c r="D53" s="118">
        <f ca="1">IFERROR(__xludf.DUMMYFUNCTION("""COMPUTED_VALUE"""),0.09)</f>
        <v>0.09</v>
      </c>
      <c r="E53" s="16" t="str">
        <f ca="1">IFERROR(__xludf.DUMMYFUNCTION("if(counta(QUERY($B$25:$D$58, ""Select B Where C &gt; ""&amp; C53 +20 &amp;"" AND D = 'Female'"")) = 1,QUERY($B$25:$D$58, ""Select B Where C &gt; ""&amp; C53 +20 &amp;"" AND D = 'Neutral' LIMIT 1""),QUERY($B$25:$D$58, ""Select B Where C &gt; ""&amp; C53 +20 &amp;"" AND D = 'Female'  ORDER"&amp;" BY C LIMIT 1""))"),"#N/A")</f>
        <v>#N/A</v>
      </c>
      <c r="F53" s="16" t="str">
        <f ca="1">IFERROR(__xludf.DUMMYFUNCTION("if(counta(QUERY($B$25:$D$58, ""Select B Where C &gt; ""&amp; C53 +20 &amp;"" AND D = 'male'"")) = 1,QUERY($B$25:$D$58, ""Select B Where C &gt; ""&amp; C53 +20 &amp;"" AND D = 'Neutral' LIMIT 1""),QUERY($B$25:$D$58, ""Select B Where C &gt; ""&amp; C53 +20 &amp;"" AND D = 'male'  ORDER BY "&amp;"C LIMIT 1""))"),"#N/A")</f>
        <v>#N/A</v>
      </c>
      <c r="R53" s="111"/>
    </row>
    <row r="54" spans="2:18" ht="13.2">
      <c r="B54" s="16" t="str">
        <f ca="1">IFERROR(__xludf.DUMMYFUNCTION("""COMPUTED_VALUE"""),"Darkkon")</f>
        <v>Darkkon</v>
      </c>
      <c r="C54" s="123">
        <f ca="1">IFERROR(__xludf.DUMMYFUNCTION("""COMPUTED_VALUE"""),4)</f>
        <v>4</v>
      </c>
      <c r="D54" s="118">
        <f ca="1">IFERROR(__xludf.DUMMYFUNCTION("""COMPUTED_VALUE"""),0.07)</f>
        <v>7.0000000000000007E-2</v>
      </c>
      <c r="E54" s="16" t="str">
        <f ca="1">IFERROR(__xludf.DUMMYFUNCTION("if(counta(QUERY($B$25:$D$58, ""Select B Where C &gt; ""&amp; C54 +20 &amp;"" AND D = 'Female'"")) = 1,QUERY($B$25:$D$58, ""Select B Where C &gt; ""&amp; C54 +20 &amp;"" AND D = 'Neutral' LIMIT 1""),QUERY($B$25:$D$58, ""Select B Where C &gt; ""&amp; C54 +20 &amp;"" AND D = 'Female'  ORDER"&amp;" BY C LIMIT 1""))"),"#N/A")</f>
        <v>#N/A</v>
      </c>
      <c r="F54" s="16" t="str">
        <f ca="1">IFERROR(__xludf.DUMMYFUNCTION("if(counta(QUERY($B$25:$D$58, ""Select B Where C &gt; ""&amp; C54 +20 &amp;"" AND D = 'male'"")) = 1,QUERY($B$25:$D$58, ""Select B Where C &gt; ""&amp; C54 +20 &amp;"" AND D = 'Neutral' LIMIT 1""),QUERY($B$25:$D$58, ""Select B Where C &gt; ""&amp; C54 +20 &amp;"" AND D = 'male'  ORDER BY "&amp;"C LIMIT 1""))"),"#N/A")</f>
        <v>#N/A</v>
      </c>
      <c r="R54" s="111"/>
    </row>
    <row r="55" spans="2:18" ht="13.2">
      <c r="B55" s="16" t="str">
        <f ca="1">IFERROR(__xludf.DUMMYFUNCTION("""COMPUTED_VALUE"""),"Dyfar")</f>
        <v>Dyfar</v>
      </c>
      <c r="C55" s="123">
        <f ca="1">IFERROR(__xludf.DUMMYFUNCTION("""COMPUTED_VALUE"""),6)</f>
        <v>6</v>
      </c>
      <c r="D55" s="118">
        <f ca="1">IFERROR(__xludf.DUMMYFUNCTION("""COMPUTED_VALUE"""),0.09)</f>
        <v>0.09</v>
      </c>
      <c r="E55" s="16" t="str">
        <f ca="1">IFERROR(__xludf.DUMMYFUNCTION("if(counta(QUERY($B$25:$D$58, ""Select B Where C &gt; ""&amp; C55 +20 &amp;"" AND D = 'Female'"")) = 1,QUERY($B$25:$D$58, ""Select B Where C &gt; ""&amp; C55 +20 &amp;"" AND D = 'Neutral' LIMIT 1""),QUERY($B$25:$D$58, ""Select B Where C &gt; ""&amp; C55 +20 &amp;"" AND D = 'Female'  ORDER"&amp;" BY C LIMIT 1""))"),"#N/A")</f>
        <v>#N/A</v>
      </c>
      <c r="F55" s="16" t="str">
        <f ca="1">IFERROR(__xludf.DUMMYFUNCTION("if(counta(QUERY($B$25:$D$58, ""Select B Where C &gt; ""&amp; C55 +20 &amp;"" AND D = 'male'"")) = 1,QUERY($B$25:$D$58, ""Select B Where C &gt; ""&amp; C55 +20 &amp;"" AND D = 'Neutral' LIMIT 1""),QUERY($B$25:$D$58, ""Select B Where C &gt; ""&amp; C55 +20 &amp;"" AND D = 'male'  ORDER BY "&amp;"C LIMIT 1""))"),"#N/A")</f>
        <v>#N/A</v>
      </c>
      <c r="R55" s="111"/>
    </row>
    <row r="56" spans="2:18" ht="13.2">
      <c r="B56" s="16" t="str">
        <f ca="1">IFERROR(__xludf.DUMMYFUNCTION("""COMPUTED_VALUE"""),"Dask")</f>
        <v>Dask</v>
      </c>
      <c r="C56" s="123">
        <f ca="1">IFERROR(__xludf.DUMMYFUNCTION("""COMPUTED_VALUE"""),4)</f>
        <v>4</v>
      </c>
      <c r="D56" s="118">
        <f ca="1">IFERROR(__xludf.DUMMYFUNCTION("""COMPUTED_VALUE"""),0.08)</f>
        <v>0.08</v>
      </c>
      <c r="E56" s="16" t="str">
        <f ca="1">IFERROR(__xludf.DUMMYFUNCTION("if(counta(QUERY($B$25:$D$58, ""Select B Where C &gt; ""&amp; C56 +20 &amp;"" AND D = 'Female'"")) = 1,QUERY($B$25:$D$58, ""Select B Where C &gt; ""&amp; C56 +20 &amp;"" AND D = 'Neutral' LIMIT 1""),QUERY($B$25:$D$58, ""Select B Where C &gt; ""&amp; C56 +20 &amp;"" AND D = 'Female'  ORDER"&amp;" BY C LIMIT 1""))"),"#N/A")</f>
        <v>#N/A</v>
      </c>
      <c r="F56" s="16" t="str">
        <f ca="1">IFERROR(__xludf.DUMMYFUNCTION("if(counta(QUERY($B$25:$D$58, ""Select B Where C &gt; ""&amp; C56 +20 &amp;"" AND D = 'male'"")) = 1,QUERY($B$25:$D$58, ""Select B Where C &gt; ""&amp; C56 +20 &amp;"" AND D = 'Neutral' LIMIT 1""),QUERY($B$25:$D$58, ""Select B Where C &gt; ""&amp; C56 +20 &amp;"" AND D = 'male'  ORDER BY "&amp;"C LIMIT 1""))"),"#N/A")</f>
        <v>#N/A</v>
      </c>
      <c r="R56" s="111"/>
    </row>
    <row r="57" spans="2:18" ht="13.2">
      <c r="B57" s="16" t="str">
        <f ca="1">IFERROR(__xludf.DUMMYFUNCTION("""COMPUTED_VALUE"""),"Elson")</f>
        <v>Elson</v>
      </c>
      <c r="C57" s="123">
        <f ca="1">IFERROR(__xludf.DUMMYFUNCTION("""COMPUTED_VALUE"""),24)</f>
        <v>24</v>
      </c>
      <c r="D57" s="118">
        <f ca="1">IFERROR(__xludf.DUMMYFUNCTION("""COMPUTED_VALUE"""),0.1)</f>
        <v>0.1</v>
      </c>
      <c r="E57" s="16" t="str">
        <f ca="1">IFERROR(__xludf.DUMMYFUNCTION("if(counta(QUERY($B$25:$D$58, ""Select B Where C &gt; ""&amp; C57 +20 &amp;"" AND D = 'Female'"")) = 1,QUERY($B$25:$D$58, ""Select B Where C &gt; ""&amp; C57 +20 &amp;"" AND D = 'Neutral' LIMIT 1""),QUERY($B$25:$D$58, ""Select B Where C &gt; ""&amp; C57 +20 &amp;"" AND D = 'Female'  ORDER"&amp;" BY C LIMIT 1""))"),"#N/A")</f>
        <v>#N/A</v>
      </c>
      <c r="F57" s="16" t="str">
        <f ca="1">IFERROR(__xludf.DUMMYFUNCTION("if(counta(QUERY($B$25:$D$58, ""Select B Where C &gt; ""&amp; C57 +20 &amp;"" AND D = 'male'"")) = 1,QUERY($B$25:$D$58, ""Select B Where C &gt; ""&amp; C57 +20 &amp;"" AND D = 'Neutral' LIMIT 1""),QUERY($B$25:$D$58, ""Select B Where C &gt; ""&amp; C57 +20 &amp;"" AND D = 'male'  ORDER BY "&amp;"C LIMIT 1""))"),"#N/A")</f>
        <v>#N/A</v>
      </c>
      <c r="R57" s="111"/>
    </row>
    <row r="58" spans="2:18" ht="13.2">
      <c r="B58" s="16" t="str">
        <f ca="1">IFERROR(__xludf.DUMMYFUNCTION("""COMPUTED_VALUE"""),"Dorn")</f>
        <v>Dorn</v>
      </c>
      <c r="C58" s="123">
        <f ca="1">IFERROR(__xludf.DUMMYFUNCTION("""COMPUTED_VALUE"""),4)</f>
        <v>4</v>
      </c>
      <c r="D58" s="118">
        <f ca="1">IFERROR(__xludf.DUMMYFUNCTION("""COMPUTED_VALUE"""),0.08)</f>
        <v>0.08</v>
      </c>
      <c r="E58" s="16" t="str">
        <f ca="1">IFERROR(__xludf.DUMMYFUNCTION("if(counta(QUERY($B$25:$D$58, ""Select B Where C &gt; ""&amp; C58 +20 &amp;"" AND D = 'Female'"")) = 1,QUERY($B$25:$D$58, ""Select B Where C &gt; ""&amp; C58 +20 &amp;"" AND D = 'Neutral' LIMIT 1""),QUERY($B$25:$D$58, ""Select B Where C &gt; ""&amp; C58 +20 &amp;"" AND D = 'Female'  ORDER"&amp;" BY C LIMIT 1""))"),"#N/A")</f>
        <v>#N/A</v>
      </c>
      <c r="F58" s="16" t="str">
        <f ca="1">IFERROR(__xludf.DUMMYFUNCTION("if(counta(QUERY($B$25:$D$58, ""Select B Where C &gt; ""&amp; C58 +20 &amp;"" AND D = 'male'"")) = 1,QUERY($B$25:$D$58, ""Select B Where C &gt; ""&amp; C58 +20 &amp;"" AND D = 'Neutral' LIMIT 1""),QUERY($B$25:$D$58, ""Select B Where C &gt; ""&amp; C58 +20 &amp;"" AND D = 'male'  ORDER BY "&amp;"C LIMIT 1""))"),"#N/A")</f>
        <v>#N/A</v>
      </c>
      <c r="R58" s="111"/>
    </row>
    <row r="59" spans="2:18" ht="13.2">
      <c r="B59" s="16" t="str">
        <f ca="1">IFERROR(__xludf.DUMMYFUNCTION("""COMPUTED_VALUE"""),"Enro")</f>
        <v>Enro</v>
      </c>
      <c r="C59" s="123">
        <f ca="1">IFERROR(__xludf.DUMMYFUNCTION("""COMPUTED_VALUE"""),24)</f>
        <v>24</v>
      </c>
      <c r="D59" s="118">
        <f ca="1">IFERROR(__xludf.DUMMYFUNCTION("""COMPUTED_VALUE"""),0.1)</f>
        <v>0.1</v>
      </c>
      <c r="R59" s="111"/>
    </row>
    <row r="60" spans="2:18" ht="13.2">
      <c r="B60" s="16" t="str">
        <f ca="1">IFERROR(__xludf.DUMMYFUNCTION("""COMPUTED_VALUE"""),"Dritz")</f>
        <v>Dritz</v>
      </c>
      <c r="C60" s="124">
        <f ca="1">IFERROR(__xludf.DUMMYFUNCTION("""COMPUTED_VALUE"""),4)</f>
        <v>4</v>
      </c>
      <c r="D60" s="118">
        <f ca="1">IFERROR(__xludf.DUMMYFUNCTION("""COMPUTED_VALUE"""),0.08)</f>
        <v>0.08</v>
      </c>
      <c r="R60" s="111"/>
    </row>
    <row r="61" spans="2:18" ht="13.2">
      <c r="B61" s="16" t="str">
        <f ca="1">IFERROR(__xludf.DUMMYFUNCTION("""COMPUTED_VALUE"""),"Dyfar")</f>
        <v>Dyfar</v>
      </c>
      <c r="C61" s="124">
        <f ca="1">IFERROR(__xludf.DUMMYFUNCTION("""COMPUTED_VALUE"""),6)</f>
        <v>6</v>
      </c>
      <c r="D61" s="118">
        <f ca="1">IFERROR(__xludf.DUMMYFUNCTION("""COMPUTED_VALUE"""),0.09)</f>
        <v>0.09</v>
      </c>
      <c r="R61" s="111"/>
    </row>
    <row r="62" spans="2:18" ht="13.2">
      <c r="B62" s="16" t="str">
        <f ca="1">IFERROR(__xludf.DUMMYFUNCTION("""COMPUTED_VALUE"""),"Dask")</f>
        <v>Dask</v>
      </c>
      <c r="C62" s="124">
        <f ca="1">IFERROR(__xludf.DUMMYFUNCTION("""COMPUTED_VALUE"""),4)</f>
        <v>4</v>
      </c>
      <c r="D62" s="118">
        <f ca="1">IFERROR(__xludf.DUMMYFUNCTION("""COMPUTED_VALUE"""),0.08)</f>
        <v>0.08</v>
      </c>
      <c r="R62" s="111"/>
    </row>
    <row r="63" spans="2:18" ht="13.2">
      <c r="B63" s="16" t="str">
        <f ca="1">IFERROR(__xludf.DUMMYFUNCTION("""COMPUTED_VALUE"""),"Ekgamut")</f>
        <v>Ekgamut</v>
      </c>
      <c r="C63" s="124">
        <f ca="1">IFERROR(__xludf.DUMMYFUNCTION("""COMPUTED_VALUE"""),6)</f>
        <v>6</v>
      </c>
      <c r="D63" s="118">
        <f ca="1">IFERROR(__xludf.DUMMYFUNCTION("""COMPUTED_VALUE"""),0.09)</f>
        <v>0.09</v>
      </c>
      <c r="R63" s="111"/>
    </row>
    <row r="64" spans="2:18" ht="13.2">
      <c r="B64" s="16" t="str">
        <f ca="1">IFERROR(__xludf.DUMMYFUNCTION("""COMPUTED_VALUE"""),"Dessfar")</f>
        <v>Dessfar</v>
      </c>
      <c r="C64" s="124">
        <f ca="1">IFERROR(__xludf.DUMMYFUNCTION("""COMPUTED_VALUE"""),4)</f>
        <v>4</v>
      </c>
      <c r="D64" s="118">
        <f ca="1">IFERROR(__xludf.DUMMYFUNCTION("""COMPUTED_VALUE"""),0.08)</f>
        <v>0.08</v>
      </c>
      <c r="R64" s="111"/>
    </row>
    <row r="65" spans="2:18" ht="13.2">
      <c r="B65" s="16" t="str">
        <f ca="1">IFERROR(__xludf.DUMMYFUNCTION("""COMPUTED_VALUE"""),"Enro")</f>
        <v>Enro</v>
      </c>
      <c r="C65" s="124">
        <f ca="1">IFERROR(__xludf.DUMMYFUNCTION("""COMPUTED_VALUE"""),24)</f>
        <v>24</v>
      </c>
      <c r="D65" s="118">
        <f ca="1">IFERROR(__xludf.DUMMYFUNCTION("""COMPUTED_VALUE"""),0.1)</f>
        <v>0.1</v>
      </c>
      <c r="R65" s="111"/>
    </row>
    <row r="66" spans="2:18" ht="13.2">
      <c r="B66" s="16" t="str">
        <f ca="1">IFERROR(__xludf.DUMMYFUNCTION("""COMPUTED_VALUE"""),"Dritz")</f>
        <v>Dritz</v>
      </c>
      <c r="C66" s="124">
        <f ca="1">IFERROR(__xludf.DUMMYFUNCTION("""COMPUTED_VALUE"""),4)</f>
        <v>4</v>
      </c>
      <c r="D66" s="118">
        <f ca="1">IFERROR(__xludf.DUMMYFUNCTION("""COMPUTED_VALUE"""),0.09)</f>
        <v>0.09</v>
      </c>
      <c r="R66" s="111"/>
    </row>
    <row r="67" spans="2:18" ht="13.2">
      <c r="B67" s="16" t="str">
        <f ca="1">IFERROR(__xludf.DUMMYFUNCTION("""COMPUTED_VALUE"""),"Duran")</f>
        <v>Duran</v>
      </c>
      <c r="C67" s="124">
        <f ca="1">IFERROR(__xludf.DUMMYFUNCTION("""COMPUTED_VALUE"""),6)</f>
        <v>6</v>
      </c>
      <c r="D67" s="118">
        <f ca="1">IFERROR(__xludf.DUMMYFUNCTION("""COMPUTED_VALUE"""),0.09)</f>
        <v>0.09</v>
      </c>
      <c r="R67" s="111"/>
    </row>
    <row r="68" spans="2:18" ht="13.2">
      <c r="B68" s="16" t="str">
        <f ca="1">IFERROR(__xludf.DUMMYFUNCTION("""COMPUTED_VALUE"""),"Darmor")</f>
        <v>Darmor</v>
      </c>
      <c r="C68" s="124">
        <f ca="1">IFERROR(__xludf.DUMMYFUNCTION("""COMPUTED_VALUE"""),4)</f>
        <v>4</v>
      </c>
      <c r="D68" s="118">
        <f ca="1">IFERROR(__xludf.DUMMYFUNCTION("""COMPUTED_VALUE"""),0.07)</f>
        <v>7.0000000000000007E-2</v>
      </c>
      <c r="R68" s="111"/>
    </row>
    <row r="69" spans="2:18" ht="13.2">
      <c r="B69" s="16" t="str">
        <f ca="1">IFERROR(__xludf.DUMMYFUNCTION("""COMPUTED_VALUE"""),"Ekgamut")</f>
        <v>Ekgamut</v>
      </c>
      <c r="C69" s="124">
        <f ca="1">IFERROR(__xludf.DUMMYFUNCTION("""COMPUTED_VALUE"""),24)</f>
        <v>24</v>
      </c>
      <c r="D69" s="118">
        <f ca="1">IFERROR(__xludf.DUMMYFUNCTION("""COMPUTED_VALUE"""),0.1)</f>
        <v>0.1</v>
      </c>
      <c r="R69" s="111"/>
    </row>
    <row r="70" spans="2:18" ht="13.2">
      <c r="B70" s="16" t="str">
        <f ca="1">IFERROR(__xludf.DUMMYFUNCTION("""COMPUTED_VALUE"""),"Doceon")</f>
        <v>Doceon</v>
      </c>
      <c r="C70" s="124">
        <f ca="1">IFERROR(__xludf.DUMMYFUNCTION("""COMPUTED_VALUE"""),4)</f>
        <v>4</v>
      </c>
      <c r="D70" s="118">
        <f ca="1">IFERROR(__xludf.DUMMYFUNCTION("""COMPUTED_VALUE"""),0.08)</f>
        <v>0.08</v>
      </c>
      <c r="R70" s="111"/>
    </row>
    <row r="71" spans="2:18" ht="13.2">
      <c r="B71" s="16" t="str">
        <f ca="1">IFERROR(__xludf.DUMMYFUNCTION("""COMPUTED_VALUE"""),"Endor")</f>
        <v>Endor</v>
      </c>
      <c r="C71" s="124">
        <f ca="1">IFERROR(__xludf.DUMMYFUNCTION("""COMPUTED_VALUE"""),24)</f>
        <v>24</v>
      </c>
      <c r="D71" s="118">
        <f ca="1">IFERROR(__xludf.DUMMYFUNCTION("""COMPUTED_VALUE"""),0.1)</f>
        <v>0.1</v>
      </c>
      <c r="R71" s="111"/>
    </row>
    <row r="72" spans="2:18" ht="13.2">
      <c r="B72" s="16" t="str">
        <f ca="1">IFERROR(__xludf.DUMMYFUNCTION("""COMPUTED_VALUE"""),"Drakone")</f>
        <v>Drakone</v>
      </c>
      <c r="C72" s="124">
        <f ca="1">IFERROR(__xludf.DUMMYFUNCTION("""COMPUTED_VALUE"""),4)</f>
        <v>4</v>
      </c>
      <c r="D72" s="118">
        <f ca="1">IFERROR(__xludf.DUMMYFUNCTION("""COMPUTED_VALUE"""),0.08)</f>
        <v>0.08</v>
      </c>
      <c r="R72" s="111"/>
    </row>
    <row r="73" spans="2:18" ht="13.2">
      <c r="B73" s="16" t="str">
        <f ca="1">IFERROR(__xludf.DUMMYFUNCTION("""COMPUTED_VALUE"""),"Dyfar")</f>
        <v>Dyfar</v>
      </c>
      <c r="C73" s="124">
        <f ca="1">IFERROR(__xludf.DUMMYFUNCTION("""COMPUTED_VALUE"""),6)</f>
        <v>6</v>
      </c>
      <c r="D73" s="118">
        <f ca="1">IFERROR(__xludf.DUMMYFUNCTION("""COMPUTED_VALUE"""),0.09)</f>
        <v>0.09</v>
      </c>
      <c r="R73" s="111"/>
    </row>
    <row r="74" spans="2:18" ht="13.2">
      <c r="B74" s="16" t="str">
        <f ca="1">IFERROR(__xludf.DUMMYFUNCTION("""COMPUTED_VALUE"""),"Darmor")</f>
        <v>Darmor</v>
      </c>
      <c r="C74" s="124">
        <f ca="1">IFERROR(__xludf.DUMMYFUNCTION("""COMPUTED_VALUE"""),4)</f>
        <v>4</v>
      </c>
      <c r="D74" s="118">
        <f ca="1">IFERROR(__xludf.DUMMYFUNCTION("""COMPUTED_VALUE"""),0.07)</f>
        <v>7.0000000000000007E-2</v>
      </c>
      <c r="R74" s="111"/>
    </row>
    <row r="75" spans="2:18" ht="13.2">
      <c r="B75" s="16"/>
      <c r="D75" s="16"/>
      <c r="R75" s="111"/>
    </row>
    <row r="76" spans="2:18" ht="13.2">
      <c r="B76" s="16"/>
      <c r="D76" s="16"/>
      <c r="R76" s="111"/>
    </row>
    <row r="77" spans="2:18" ht="13.2">
      <c r="B77" s="16"/>
      <c r="D77" s="16"/>
      <c r="R77" s="111"/>
    </row>
    <row r="78" spans="2:18" ht="13.2">
      <c r="B78" s="16"/>
      <c r="D78" s="16"/>
      <c r="R78" s="111"/>
    </row>
    <row r="79" spans="2:18" ht="13.2">
      <c r="B79" s="16"/>
      <c r="D79" s="16"/>
      <c r="R79" s="111"/>
    </row>
    <row r="80" spans="2:18" ht="13.2">
      <c r="B80" s="16"/>
      <c r="D80" s="16"/>
      <c r="R80" s="111"/>
    </row>
    <row r="81" spans="2:18" ht="13.2">
      <c r="B81" s="16"/>
      <c r="D81" s="16"/>
      <c r="R81" s="111"/>
    </row>
    <row r="82" spans="2:18" ht="13.2">
      <c r="B82" s="16"/>
      <c r="D82" s="16"/>
      <c r="R82" s="111"/>
    </row>
    <row r="83" spans="2:18" ht="13.2">
      <c r="B83" s="16"/>
      <c r="D83" s="16"/>
      <c r="R83" s="111"/>
    </row>
    <row r="84" spans="2:18" ht="13.2">
      <c r="B84" s="16"/>
      <c r="D84" s="16"/>
      <c r="R84" s="111"/>
    </row>
    <row r="85" spans="2:18" ht="13.2">
      <c r="B85" s="16"/>
      <c r="D85" s="16"/>
      <c r="R85" s="111"/>
    </row>
    <row r="86" spans="2:18" ht="13.2">
      <c r="B86" s="16"/>
      <c r="D86" s="16"/>
      <c r="R86" s="111"/>
    </row>
    <row r="87" spans="2:18" ht="13.2">
      <c r="B87" s="16"/>
      <c r="D87" s="16"/>
      <c r="R87" s="111"/>
    </row>
    <row r="88" spans="2:18" ht="13.2">
      <c r="B88" s="16"/>
      <c r="D88" s="16"/>
      <c r="R88" s="111"/>
    </row>
    <row r="89" spans="2:18" ht="13.2">
      <c r="B89" s="16"/>
      <c r="D89" s="16"/>
      <c r="R89" s="111"/>
    </row>
    <row r="90" spans="2:18" ht="13.2">
      <c r="B90" s="16"/>
      <c r="D90" s="16"/>
      <c r="R90" s="111"/>
    </row>
    <row r="91" spans="2:18" ht="13.2">
      <c r="B91" s="16"/>
      <c r="D91" s="16"/>
      <c r="R91" s="111"/>
    </row>
    <row r="92" spans="2:18" ht="13.2">
      <c r="B92" s="16"/>
      <c r="D92" s="16"/>
      <c r="R92" s="111"/>
    </row>
    <row r="93" spans="2:18" ht="13.2">
      <c r="B93" s="16"/>
      <c r="D93" s="16"/>
      <c r="R93" s="111"/>
    </row>
    <row r="94" spans="2:18" ht="13.2">
      <c r="B94" s="16"/>
      <c r="D94" s="16"/>
      <c r="R94" s="111"/>
    </row>
    <row r="95" spans="2:18" ht="13.2">
      <c r="B95" s="16"/>
      <c r="D95" s="16"/>
      <c r="R95" s="111"/>
    </row>
    <row r="96" spans="2:18" ht="13.2">
      <c r="B96" s="16"/>
      <c r="D96" s="16"/>
      <c r="R96" s="111"/>
    </row>
    <row r="97" spans="2:18" ht="13.2">
      <c r="B97" s="16"/>
      <c r="D97" s="16"/>
      <c r="R97" s="111"/>
    </row>
    <row r="98" spans="2:18" ht="13.2">
      <c r="B98" s="16"/>
      <c r="D98" s="16"/>
      <c r="R98" s="111"/>
    </row>
    <row r="99" spans="2:18" ht="13.2">
      <c r="B99" s="16"/>
      <c r="D99" s="16"/>
      <c r="R99" s="111"/>
    </row>
    <row r="100" spans="2:18" ht="13.2">
      <c r="B100" s="16"/>
      <c r="D100" s="16"/>
      <c r="R100" s="111"/>
    </row>
    <row r="101" spans="2:18" ht="13.2">
      <c r="B101" s="16"/>
      <c r="D101" s="16"/>
      <c r="R101" s="111"/>
    </row>
    <row r="102" spans="2:18" ht="13.2">
      <c r="B102" s="16"/>
      <c r="D102" s="16"/>
      <c r="R102" s="111"/>
    </row>
    <row r="103" spans="2:18" ht="13.2">
      <c r="B103" s="16"/>
      <c r="D103" s="16"/>
      <c r="R103" s="111"/>
    </row>
    <row r="104" spans="2:18" ht="13.2">
      <c r="B104" s="16"/>
      <c r="D104" s="16"/>
      <c r="R104" s="111"/>
    </row>
    <row r="105" spans="2:18" ht="13.2">
      <c r="B105" s="16"/>
      <c r="D105" s="16"/>
      <c r="R105" s="111"/>
    </row>
    <row r="106" spans="2:18" ht="13.2">
      <c r="B106" s="16"/>
      <c r="D106" s="16"/>
      <c r="R106" s="111"/>
    </row>
    <row r="107" spans="2:18" ht="13.2">
      <c r="B107" s="16"/>
      <c r="D107" s="16"/>
      <c r="R107" s="111"/>
    </row>
    <row r="108" spans="2:18" ht="13.2">
      <c r="B108" s="16"/>
      <c r="D108" s="16"/>
      <c r="R108" s="111"/>
    </row>
    <row r="109" spans="2:18" ht="13.2">
      <c r="B109" s="16"/>
      <c r="D109" s="16"/>
      <c r="R109" s="111"/>
    </row>
    <row r="110" spans="2:18" ht="13.2">
      <c r="B110" s="16"/>
      <c r="D110" s="16"/>
      <c r="R110" s="111"/>
    </row>
    <row r="111" spans="2:18" ht="13.2">
      <c r="B111" s="16"/>
      <c r="D111" s="16"/>
      <c r="R111" s="111"/>
    </row>
    <row r="112" spans="2:18" ht="13.2">
      <c r="B112" s="16"/>
      <c r="D112" s="16"/>
      <c r="R112" s="111"/>
    </row>
    <row r="113" spans="2:18" ht="13.2">
      <c r="B113" s="16"/>
      <c r="D113" s="16"/>
      <c r="R113" s="111"/>
    </row>
    <row r="114" spans="2:18" ht="13.2">
      <c r="B114" s="16"/>
      <c r="D114" s="16"/>
      <c r="R114" s="111"/>
    </row>
    <row r="115" spans="2:18" ht="13.2">
      <c r="B115" s="16"/>
      <c r="D115" s="16"/>
      <c r="R115" s="111"/>
    </row>
    <row r="116" spans="2:18" ht="13.2">
      <c r="B116" s="16"/>
      <c r="D116" s="16"/>
      <c r="R116" s="111"/>
    </row>
    <row r="117" spans="2:18" ht="13.2">
      <c r="B117" s="16"/>
      <c r="D117" s="16"/>
      <c r="R117" s="111"/>
    </row>
    <row r="118" spans="2:18" ht="13.2">
      <c r="B118" s="16"/>
      <c r="D118" s="16"/>
      <c r="R118" s="111"/>
    </row>
    <row r="119" spans="2:18" ht="13.2">
      <c r="B119" s="16"/>
      <c r="D119" s="16"/>
      <c r="R119" s="111"/>
    </row>
    <row r="120" spans="2:18" ht="13.2">
      <c r="B120" s="16"/>
      <c r="D120" s="16"/>
      <c r="R120" s="111"/>
    </row>
    <row r="121" spans="2:18" ht="13.2">
      <c r="B121" s="16"/>
      <c r="D121" s="16"/>
      <c r="R121" s="111"/>
    </row>
    <row r="122" spans="2:18" ht="13.2">
      <c r="B122" s="16"/>
      <c r="D122" s="16"/>
      <c r="R122" s="111"/>
    </row>
    <row r="123" spans="2:18" ht="13.2">
      <c r="B123" s="16"/>
      <c r="D123" s="16"/>
      <c r="R123" s="111"/>
    </row>
    <row r="124" spans="2:18" ht="13.2">
      <c r="B124" s="16"/>
      <c r="D124" s="16"/>
      <c r="R124" s="111"/>
    </row>
    <row r="125" spans="2:18" ht="13.2">
      <c r="B125" s="16"/>
      <c r="D125" s="16"/>
      <c r="R125" s="111"/>
    </row>
    <row r="126" spans="2:18" ht="13.2">
      <c r="B126" s="16"/>
      <c r="D126" s="16"/>
      <c r="R126" s="111"/>
    </row>
    <row r="127" spans="2:18" ht="13.2">
      <c r="B127" s="16"/>
      <c r="D127" s="16"/>
      <c r="R127" s="111"/>
    </row>
    <row r="128" spans="2:18" ht="13.2">
      <c r="B128" s="16"/>
      <c r="D128" s="16"/>
      <c r="R128" s="111"/>
    </row>
    <row r="129" spans="2:18" ht="13.2">
      <c r="B129" s="16"/>
      <c r="D129" s="16"/>
      <c r="R129" s="111"/>
    </row>
    <row r="130" spans="2:18" ht="13.2">
      <c r="B130" s="16"/>
      <c r="D130" s="16"/>
      <c r="R130" s="111"/>
    </row>
    <row r="131" spans="2:18" ht="13.2">
      <c r="B131" s="16"/>
      <c r="D131" s="16"/>
      <c r="R131" s="111"/>
    </row>
    <row r="132" spans="2:18" ht="13.2">
      <c r="B132" s="16"/>
      <c r="D132" s="16"/>
      <c r="R132" s="111"/>
    </row>
    <row r="133" spans="2:18" ht="13.2">
      <c r="B133" s="16"/>
      <c r="D133" s="16"/>
      <c r="R133" s="111"/>
    </row>
    <row r="134" spans="2:18" ht="13.2">
      <c r="B134" s="16"/>
      <c r="D134" s="16"/>
      <c r="R134" s="111"/>
    </row>
    <row r="135" spans="2:18" ht="13.2">
      <c r="B135" s="16"/>
      <c r="D135" s="16"/>
      <c r="R135" s="111"/>
    </row>
    <row r="136" spans="2:18" ht="13.2">
      <c r="B136" s="16"/>
      <c r="D136" s="16"/>
      <c r="R136" s="111"/>
    </row>
    <row r="137" spans="2:18" ht="13.2">
      <c r="B137" s="16"/>
      <c r="D137" s="16"/>
      <c r="R137" s="111"/>
    </row>
    <row r="138" spans="2:18" ht="13.2">
      <c r="B138" s="16"/>
      <c r="D138" s="16"/>
      <c r="R138" s="111"/>
    </row>
    <row r="139" spans="2:18" ht="13.2">
      <c r="B139" s="16"/>
      <c r="D139" s="16"/>
      <c r="R139" s="111"/>
    </row>
    <row r="140" spans="2:18" ht="13.2">
      <c r="B140" s="16"/>
      <c r="D140" s="16"/>
      <c r="R140" s="111"/>
    </row>
    <row r="141" spans="2:18" ht="13.2">
      <c r="B141" s="16"/>
      <c r="D141" s="16"/>
      <c r="R141" s="111"/>
    </row>
    <row r="142" spans="2:18" ht="13.2">
      <c r="B142" s="16"/>
      <c r="D142" s="16"/>
      <c r="R142" s="111"/>
    </row>
    <row r="143" spans="2:18" ht="13.2">
      <c r="B143" s="16"/>
      <c r="D143" s="16"/>
      <c r="R143" s="111"/>
    </row>
    <row r="144" spans="2:18" ht="13.2">
      <c r="B144" s="16"/>
      <c r="D144" s="16"/>
      <c r="R144" s="111"/>
    </row>
    <row r="145" spans="2:18" ht="13.2">
      <c r="B145" s="16"/>
      <c r="D145" s="16"/>
      <c r="R145" s="111"/>
    </row>
    <row r="146" spans="2:18" ht="13.2">
      <c r="B146" s="16"/>
      <c r="D146" s="16"/>
      <c r="R146" s="111"/>
    </row>
    <row r="147" spans="2:18" ht="13.2">
      <c r="B147" s="16"/>
      <c r="D147" s="16"/>
      <c r="R147" s="111"/>
    </row>
    <row r="148" spans="2:18" ht="13.2">
      <c r="B148" s="16"/>
      <c r="D148" s="16"/>
      <c r="R148" s="111"/>
    </row>
    <row r="149" spans="2:18" ht="13.2">
      <c r="B149" s="16"/>
      <c r="D149" s="16"/>
      <c r="R149" s="111"/>
    </row>
    <row r="150" spans="2:18" ht="13.2">
      <c r="B150" s="16"/>
      <c r="D150" s="16"/>
      <c r="R150" s="111"/>
    </row>
    <row r="151" spans="2:18" ht="13.2">
      <c r="B151" s="16"/>
      <c r="D151" s="16"/>
      <c r="R151" s="111"/>
    </row>
    <row r="152" spans="2:18" ht="13.2">
      <c r="B152" s="16"/>
      <c r="D152" s="16"/>
      <c r="R152" s="111"/>
    </row>
    <row r="153" spans="2:18" ht="13.2">
      <c r="B153" s="16"/>
      <c r="D153" s="16"/>
      <c r="R153" s="111"/>
    </row>
    <row r="154" spans="2:18" ht="13.2">
      <c r="B154" s="16"/>
      <c r="D154" s="16"/>
      <c r="R154" s="111"/>
    </row>
    <row r="155" spans="2:18" ht="13.2">
      <c r="B155" s="16"/>
      <c r="D155" s="16"/>
      <c r="R155" s="111"/>
    </row>
    <row r="156" spans="2:18" ht="13.2">
      <c r="B156" s="16"/>
      <c r="D156" s="16"/>
      <c r="R156" s="111"/>
    </row>
    <row r="157" spans="2:18" ht="13.2">
      <c r="B157" s="16"/>
      <c r="D157" s="16"/>
      <c r="R157" s="111"/>
    </row>
    <row r="158" spans="2:18" ht="13.2">
      <c r="B158" s="16"/>
      <c r="D158" s="16"/>
      <c r="R158" s="111"/>
    </row>
    <row r="159" spans="2:18" ht="13.2">
      <c r="B159" s="16"/>
      <c r="D159" s="16"/>
      <c r="R159" s="111"/>
    </row>
    <row r="160" spans="2:18" ht="13.2">
      <c r="B160" s="16"/>
      <c r="D160" s="16"/>
      <c r="R160" s="111"/>
    </row>
    <row r="161" spans="2:18" ht="13.2">
      <c r="B161" s="16"/>
      <c r="D161" s="16"/>
      <c r="R161" s="111"/>
    </row>
    <row r="162" spans="2:18" ht="13.2">
      <c r="B162" s="16"/>
      <c r="D162" s="16"/>
      <c r="R162" s="111"/>
    </row>
    <row r="163" spans="2:18" ht="13.2">
      <c r="B163" s="16"/>
      <c r="D163" s="16"/>
      <c r="R163" s="111"/>
    </row>
    <row r="164" spans="2:18" ht="13.2">
      <c r="B164" s="16"/>
      <c r="D164" s="16"/>
      <c r="R164" s="111"/>
    </row>
    <row r="165" spans="2:18" ht="13.2">
      <c r="B165" s="16"/>
      <c r="D165" s="16"/>
      <c r="R165" s="111"/>
    </row>
    <row r="166" spans="2:18" ht="13.2">
      <c r="B166" s="16"/>
      <c r="D166" s="16"/>
      <c r="R166" s="111"/>
    </row>
    <row r="167" spans="2:18" ht="13.2">
      <c r="B167" s="16"/>
      <c r="D167" s="16"/>
      <c r="R167" s="111"/>
    </row>
    <row r="168" spans="2:18" ht="13.2">
      <c r="B168" s="16"/>
      <c r="D168" s="16"/>
      <c r="R168" s="111"/>
    </row>
    <row r="169" spans="2:18" ht="13.2">
      <c r="B169" s="16"/>
      <c r="D169" s="16"/>
      <c r="R169" s="111"/>
    </row>
    <row r="170" spans="2:18" ht="13.2">
      <c r="B170" s="16"/>
      <c r="D170" s="16"/>
      <c r="R170" s="111"/>
    </row>
    <row r="171" spans="2:18" ht="13.2">
      <c r="B171" s="16"/>
      <c r="D171" s="16"/>
      <c r="R171" s="111"/>
    </row>
    <row r="172" spans="2:18" ht="13.2">
      <c r="B172" s="16"/>
      <c r="D172" s="16"/>
      <c r="R172" s="111"/>
    </row>
    <row r="173" spans="2:18" ht="13.2">
      <c r="B173" s="16"/>
      <c r="D173" s="16"/>
      <c r="R173" s="111"/>
    </row>
    <row r="174" spans="2:18" ht="13.2">
      <c r="B174" s="16"/>
      <c r="D174" s="16"/>
      <c r="R174" s="111"/>
    </row>
    <row r="175" spans="2:18" ht="13.2">
      <c r="B175" s="16"/>
      <c r="D175" s="16"/>
      <c r="R175" s="111"/>
    </row>
    <row r="176" spans="2:18" ht="13.2">
      <c r="B176" s="16"/>
      <c r="D176" s="16"/>
      <c r="R176" s="111"/>
    </row>
    <row r="177" spans="2:18" ht="13.2">
      <c r="B177" s="16"/>
      <c r="D177" s="16"/>
      <c r="R177" s="111"/>
    </row>
    <row r="178" spans="2:18" ht="13.2">
      <c r="B178" s="16"/>
      <c r="D178" s="16"/>
      <c r="R178" s="111"/>
    </row>
    <row r="179" spans="2:18" ht="13.2">
      <c r="B179" s="16"/>
      <c r="D179" s="16"/>
      <c r="R179" s="111"/>
    </row>
    <row r="180" spans="2:18" ht="13.2">
      <c r="B180" s="16"/>
      <c r="D180" s="16"/>
      <c r="R180" s="111"/>
    </row>
    <row r="181" spans="2:18" ht="13.2">
      <c r="B181" s="16"/>
      <c r="D181" s="16"/>
      <c r="R181" s="111"/>
    </row>
    <row r="182" spans="2:18" ht="13.2">
      <c r="B182" s="16"/>
      <c r="D182" s="16"/>
      <c r="R182" s="111"/>
    </row>
    <row r="183" spans="2:18" ht="13.2">
      <c r="B183" s="16"/>
      <c r="D183" s="16"/>
      <c r="R183" s="111"/>
    </row>
    <row r="184" spans="2:18" ht="13.2">
      <c r="B184" s="16"/>
      <c r="D184" s="16"/>
      <c r="R184" s="111"/>
    </row>
    <row r="185" spans="2:18" ht="13.2">
      <c r="B185" s="16"/>
      <c r="D185" s="16"/>
      <c r="R185" s="111"/>
    </row>
    <row r="186" spans="2:18" ht="13.2">
      <c r="B186" s="16"/>
      <c r="D186" s="16"/>
      <c r="R186" s="111"/>
    </row>
    <row r="187" spans="2:18" ht="13.2">
      <c r="B187" s="16"/>
      <c r="D187" s="16"/>
      <c r="R187" s="111"/>
    </row>
    <row r="188" spans="2:18" ht="13.2">
      <c r="B188" s="16"/>
      <c r="D188" s="16"/>
      <c r="R188" s="111"/>
    </row>
    <row r="189" spans="2:18" ht="13.2">
      <c r="B189" s="16"/>
      <c r="D189" s="16"/>
      <c r="R189" s="111"/>
    </row>
    <row r="190" spans="2:18" ht="13.2">
      <c r="B190" s="16"/>
      <c r="D190" s="16"/>
      <c r="R190" s="111"/>
    </row>
    <row r="191" spans="2:18" ht="13.2">
      <c r="B191" s="16"/>
      <c r="D191" s="16"/>
      <c r="R191" s="111"/>
    </row>
    <row r="192" spans="2:18" ht="13.2">
      <c r="B192" s="16"/>
      <c r="D192" s="16"/>
      <c r="R192" s="111"/>
    </row>
    <row r="193" spans="2:18" ht="13.2">
      <c r="B193" s="16"/>
      <c r="D193" s="16"/>
      <c r="R193" s="111"/>
    </row>
    <row r="194" spans="2:18" ht="13.2">
      <c r="B194" s="16"/>
      <c r="D194" s="16"/>
      <c r="R194" s="111"/>
    </row>
    <row r="195" spans="2:18" ht="13.2">
      <c r="B195" s="16"/>
      <c r="D195" s="16"/>
      <c r="R195" s="111"/>
    </row>
    <row r="196" spans="2:18" ht="13.2">
      <c r="B196" s="16"/>
      <c r="D196" s="16"/>
      <c r="R196" s="111"/>
    </row>
    <row r="197" spans="2:18" ht="13.2">
      <c r="B197" s="16"/>
      <c r="D197" s="16"/>
      <c r="R197" s="111"/>
    </row>
    <row r="198" spans="2:18" ht="13.2">
      <c r="B198" s="16"/>
      <c r="D198" s="16"/>
      <c r="R198" s="111"/>
    </row>
    <row r="199" spans="2:18" ht="13.2">
      <c r="B199" s="16"/>
      <c r="D199" s="16"/>
      <c r="R199" s="111"/>
    </row>
    <row r="200" spans="2:18" ht="13.2">
      <c r="B200" s="16"/>
      <c r="D200" s="16"/>
      <c r="R200" s="111"/>
    </row>
    <row r="201" spans="2:18" ht="13.2">
      <c r="B201" s="16"/>
      <c r="D201" s="16"/>
      <c r="R201" s="111"/>
    </row>
    <row r="202" spans="2:18" ht="13.2">
      <c r="B202" s="16"/>
      <c r="D202" s="16"/>
      <c r="R202" s="111"/>
    </row>
    <row r="203" spans="2:18" ht="13.2">
      <c r="B203" s="16"/>
      <c r="D203" s="16"/>
      <c r="R203" s="111"/>
    </row>
    <row r="204" spans="2:18" ht="13.2">
      <c r="B204" s="16"/>
      <c r="D204" s="16"/>
      <c r="R204" s="111"/>
    </row>
    <row r="205" spans="2:18" ht="13.2">
      <c r="B205" s="16"/>
      <c r="D205" s="16"/>
      <c r="R205" s="111"/>
    </row>
    <row r="206" spans="2:18" ht="13.2">
      <c r="B206" s="16"/>
      <c r="D206" s="16"/>
      <c r="R206" s="111"/>
    </row>
    <row r="207" spans="2:18" ht="13.2">
      <c r="B207" s="16"/>
      <c r="D207" s="16"/>
      <c r="R207" s="111"/>
    </row>
    <row r="208" spans="2:18" ht="13.2">
      <c r="B208" s="16"/>
      <c r="D208" s="16"/>
      <c r="R208" s="111"/>
    </row>
    <row r="209" spans="2:18" ht="13.2">
      <c r="B209" s="16"/>
      <c r="D209" s="16"/>
      <c r="R209" s="111"/>
    </row>
    <row r="210" spans="2:18" ht="13.2">
      <c r="B210" s="16"/>
      <c r="D210" s="16"/>
      <c r="R210" s="111"/>
    </row>
    <row r="211" spans="2:18" ht="13.2">
      <c r="B211" s="16"/>
      <c r="D211" s="16"/>
      <c r="R211" s="111"/>
    </row>
    <row r="212" spans="2:18" ht="13.2">
      <c r="B212" s="16"/>
      <c r="D212" s="16"/>
      <c r="R212" s="111"/>
    </row>
    <row r="213" spans="2:18" ht="13.2">
      <c r="B213" s="16"/>
      <c r="D213" s="16"/>
      <c r="R213" s="111"/>
    </row>
    <row r="214" spans="2:18" ht="13.2">
      <c r="B214" s="16"/>
      <c r="D214" s="16"/>
      <c r="R214" s="111"/>
    </row>
    <row r="215" spans="2:18" ht="13.2">
      <c r="B215" s="16"/>
      <c r="D215" s="16"/>
      <c r="R215" s="111"/>
    </row>
    <row r="216" spans="2:18" ht="13.2">
      <c r="B216" s="16"/>
      <c r="D216" s="16"/>
      <c r="R216" s="111"/>
    </row>
    <row r="217" spans="2:18" ht="13.2">
      <c r="B217" s="16"/>
      <c r="D217" s="16"/>
      <c r="R217" s="111"/>
    </row>
    <row r="218" spans="2:18" ht="13.2">
      <c r="B218" s="16"/>
      <c r="D218" s="16"/>
      <c r="R218" s="111"/>
    </row>
    <row r="219" spans="2:18" ht="13.2">
      <c r="B219" s="16"/>
      <c r="D219" s="16"/>
      <c r="R219" s="111"/>
    </row>
    <row r="220" spans="2:18" ht="13.2">
      <c r="B220" s="16"/>
      <c r="D220" s="16"/>
      <c r="R220" s="111"/>
    </row>
    <row r="221" spans="2:18" ht="13.2">
      <c r="B221" s="16"/>
      <c r="D221" s="16"/>
      <c r="R221" s="111"/>
    </row>
    <row r="222" spans="2:18" ht="13.2">
      <c r="B222" s="16"/>
      <c r="D222" s="16"/>
      <c r="R222" s="111"/>
    </row>
    <row r="223" spans="2:18" ht="13.2">
      <c r="B223" s="16"/>
      <c r="D223" s="16"/>
      <c r="R223" s="111"/>
    </row>
    <row r="224" spans="2:18" ht="13.2">
      <c r="B224" s="16"/>
      <c r="D224" s="16"/>
      <c r="R224" s="111"/>
    </row>
    <row r="225" spans="2:18" ht="13.2">
      <c r="B225" s="16"/>
      <c r="D225" s="16"/>
      <c r="R225" s="111"/>
    </row>
    <row r="226" spans="2:18" ht="13.2">
      <c r="B226" s="16"/>
      <c r="D226" s="16"/>
      <c r="R226" s="111"/>
    </row>
    <row r="227" spans="2:18" ht="13.2">
      <c r="B227" s="16"/>
      <c r="D227" s="16"/>
      <c r="R227" s="111"/>
    </row>
    <row r="228" spans="2:18" ht="13.2">
      <c r="B228" s="16"/>
      <c r="D228" s="16"/>
      <c r="R228" s="111"/>
    </row>
    <row r="229" spans="2:18" ht="13.2">
      <c r="B229" s="16"/>
      <c r="D229" s="16"/>
      <c r="R229" s="111"/>
    </row>
    <row r="230" spans="2:18" ht="13.2">
      <c r="B230" s="16"/>
      <c r="D230" s="16"/>
      <c r="R230" s="111"/>
    </row>
    <row r="231" spans="2:18" ht="13.2">
      <c r="B231" s="16"/>
      <c r="D231" s="16"/>
      <c r="R231" s="111"/>
    </row>
    <row r="232" spans="2:18" ht="13.2">
      <c r="B232" s="16"/>
      <c r="D232" s="16"/>
      <c r="R232" s="111"/>
    </row>
    <row r="233" spans="2:18" ht="13.2">
      <c r="B233" s="16"/>
      <c r="D233" s="16"/>
      <c r="R233" s="111"/>
    </row>
    <row r="234" spans="2:18" ht="13.2">
      <c r="B234" s="16"/>
      <c r="D234" s="16"/>
      <c r="R234" s="111"/>
    </row>
    <row r="235" spans="2:18" ht="13.2">
      <c r="B235" s="16"/>
      <c r="D235" s="16"/>
      <c r="R235" s="111"/>
    </row>
    <row r="236" spans="2:18" ht="13.2">
      <c r="B236" s="16"/>
      <c r="D236" s="16"/>
      <c r="R236" s="111"/>
    </row>
    <row r="237" spans="2:18" ht="13.2">
      <c r="B237" s="16"/>
      <c r="D237" s="16"/>
      <c r="R237" s="111"/>
    </row>
    <row r="238" spans="2:18" ht="13.2">
      <c r="B238" s="16"/>
      <c r="D238" s="16"/>
      <c r="R238" s="111"/>
    </row>
    <row r="239" spans="2:18" ht="13.2">
      <c r="B239" s="16"/>
      <c r="D239" s="16"/>
      <c r="R239" s="111"/>
    </row>
    <row r="240" spans="2:18" ht="13.2">
      <c r="B240" s="16"/>
      <c r="D240" s="16"/>
      <c r="R240" s="111"/>
    </row>
    <row r="241" spans="2:18" ht="13.2">
      <c r="B241" s="16"/>
      <c r="D241" s="16"/>
      <c r="R241" s="111"/>
    </row>
    <row r="242" spans="2:18" ht="13.2">
      <c r="B242" s="16"/>
      <c r="D242" s="16"/>
      <c r="R242" s="111"/>
    </row>
    <row r="243" spans="2:18" ht="13.2">
      <c r="B243" s="16"/>
      <c r="D243" s="16"/>
      <c r="R243" s="111"/>
    </row>
    <row r="244" spans="2:18" ht="13.2">
      <c r="B244" s="16"/>
      <c r="D244" s="16"/>
      <c r="R244" s="111"/>
    </row>
    <row r="245" spans="2:18" ht="13.2">
      <c r="B245" s="16"/>
      <c r="D245" s="16"/>
      <c r="R245" s="111"/>
    </row>
    <row r="246" spans="2:18" ht="13.2">
      <c r="B246" s="16"/>
      <c r="D246" s="16"/>
      <c r="R246" s="111"/>
    </row>
    <row r="247" spans="2:18" ht="13.2">
      <c r="B247" s="16"/>
      <c r="D247" s="16"/>
      <c r="R247" s="111"/>
    </row>
    <row r="248" spans="2:18" ht="13.2">
      <c r="B248" s="16"/>
      <c r="D248" s="16"/>
      <c r="R248" s="111"/>
    </row>
    <row r="249" spans="2:18" ht="13.2">
      <c r="B249" s="16"/>
      <c r="D249" s="16"/>
      <c r="R249" s="111"/>
    </row>
    <row r="250" spans="2:18" ht="13.2">
      <c r="B250" s="16"/>
      <c r="D250" s="16"/>
      <c r="R250" s="111"/>
    </row>
    <row r="251" spans="2:18" ht="13.2">
      <c r="B251" s="16"/>
      <c r="D251" s="16"/>
      <c r="R251" s="111"/>
    </row>
    <row r="252" spans="2:18" ht="13.2">
      <c r="B252" s="16"/>
      <c r="D252" s="16"/>
      <c r="R252" s="111"/>
    </row>
    <row r="253" spans="2:18" ht="13.2">
      <c r="B253" s="16"/>
      <c r="D253" s="16"/>
      <c r="R253" s="111"/>
    </row>
    <row r="254" spans="2:18" ht="13.2">
      <c r="B254" s="16"/>
      <c r="D254" s="16"/>
      <c r="R254" s="111"/>
    </row>
    <row r="255" spans="2:18" ht="13.2">
      <c r="B255" s="16"/>
      <c r="D255" s="16"/>
      <c r="R255" s="111"/>
    </row>
    <row r="256" spans="2:18" ht="13.2">
      <c r="B256" s="16"/>
      <c r="D256" s="16"/>
      <c r="R256" s="111"/>
    </row>
    <row r="257" spans="2:18" ht="13.2">
      <c r="B257" s="16"/>
      <c r="D257" s="16"/>
      <c r="R257" s="111"/>
    </row>
    <row r="258" spans="2:18" ht="13.2">
      <c r="B258" s="16"/>
      <c r="D258" s="16"/>
      <c r="R258" s="111"/>
    </row>
    <row r="259" spans="2:18" ht="13.2">
      <c r="B259" s="16"/>
      <c r="D259" s="16"/>
      <c r="R259" s="111"/>
    </row>
    <row r="260" spans="2:18" ht="13.2">
      <c r="B260" s="16"/>
      <c r="D260" s="16"/>
      <c r="R260" s="111"/>
    </row>
    <row r="261" spans="2:18" ht="13.2">
      <c r="B261" s="16"/>
      <c r="D261" s="16"/>
      <c r="R261" s="111"/>
    </row>
    <row r="262" spans="2:18" ht="13.2">
      <c r="B262" s="16"/>
      <c r="D262" s="16"/>
      <c r="R262" s="111"/>
    </row>
    <row r="263" spans="2:18" ht="13.2">
      <c r="B263" s="16"/>
      <c r="D263" s="16"/>
      <c r="R263" s="111"/>
    </row>
    <row r="264" spans="2:18" ht="13.2">
      <c r="B264" s="16"/>
      <c r="D264" s="16"/>
      <c r="R264" s="111"/>
    </row>
    <row r="265" spans="2:18" ht="13.2">
      <c r="B265" s="16"/>
      <c r="D265" s="16"/>
      <c r="R265" s="111"/>
    </row>
    <row r="266" spans="2:18" ht="13.2">
      <c r="B266" s="16"/>
      <c r="D266" s="16"/>
      <c r="R266" s="111"/>
    </row>
    <row r="267" spans="2:18" ht="13.2">
      <c r="B267" s="16"/>
      <c r="D267" s="16"/>
      <c r="R267" s="111"/>
    </row>
    <row r="268" spans="2:18" ht="13.2">
      <c r="B268" s="16"/>
      <c r="D268" s="16"/>
      <c r="R268" s="111"/>
    </row>
    <row r="269" spans="2:18" ht="13.2">
      <c r="B269" s="16"/>
      <c r="D269" s="16"/>
      <c r="R269" s="111"/>
    </row>
    <row r="270" spans="2:18" ht="13.2">
      <c r="B270" s="16"/>
      <c r="D270" s="16"/>
      <c r="R270" s="111"/>
    </row>
    <row r="271" spans="2:18" ht="13.2">
      <c r="B271" s="16"/>
      <c r="D271" s="16"/>
      <c r="R271" s="111"/>
    </row>
    <row r="272" spans="2:18" ht="13.2">
      <c r="B272" s="16"/>
      <c r="D272" s="16"/>
      <c r="R272" s="111"/>
    </row>
    <row r="273" spans="2:18" ht="13.2">
      <c r="B273" s="16"/>
      <c r="D273" s="16"/>
      <c r="R273" s="111"/>
    </row>
    <row r="274" spans="2:18" ht="13.2">
      <c r="B274" s="16"/>
      <c r="D274" s="16"/>
      <c r="R274" s="111"/>
    </row>
    <row r="275" spans="2:18" ht="13.2">
      <c r="B275" s="16"/>
      <c r="D275" s="16"/>
      <c r="R275" s="111"/>
    </row>
    <row r="276" spans="2:18" ht="13.2">
      <c r="B276" s="16"/>
      <c r="D276" s="16"/>
      <c r="R276" s="111"/>
    </row>
    <row r="277" spans="2:18" ht="13.2">
      <c r="B277" s="16"/>
      <c r="D277" s="16"/>
      <c r="R277" s="111"/>
    </row>
    <row r="278" spans="2:18" ht="13.2">
      <c r="B278" s="16"/>
      <c r="D278" s="16"/>
      <c r="R278" s="111"/>
    </row>
    <row r="279" spans="2:18" ht="13.2">
      <c r="B279" s="16"/>
      <c r="D279" s="16"/>
      <c r="R279" s="111"/>
    </row>
    <row r="280" spans="2:18" ht="13.2">
      <c r="B280" s="16"/>
      <c r="D280" s="16"/>
      <c r="R280" s="111"/>
    </row>
    <row r="281" spans="2:18" ht="13.2">
      <c r="B281" s="16"/>
      <c r="D281" s="16"/>
      <c r="R281" s="111"/>
    </row>
    <row r="282" spans="2:18" ht="13.2">
      <c r="B282" s="16"/>
      <c r="D282" s="16"/>
      <c r="R282" s="111"/>
    </row>
    <row r="283" spans="2:18" ht="13.2">
      <c r="B283" s="16"/>
      <c r="D283" s="16"/>
      <c r="R283" s="111"/>
    </row>
    <row r="284" spans="2:18" ht="13.2">
      <c r="B284" s="16"/>
      <c r="D284" s="16"/>
      <c r="R284" s="111"/>
    </row>
    <row r="285" spans="2:18" ht="13.2">
      <c r="B285" s="16"/>
      <c r="D285" s="16"/>
      <c r="R285" s="111"/>
    </row>
    <row r="286" spans="2:18" ht="13.2">
      <c r="B286" s="16"/>
      <c r="D286" s="16"/>
      <c r="R286" s="111"/>
    </row>
    <row r="287" spans="2:18" ht="13.2">
      <c r="B287" s="16"/>
      <c r="D287" s="16"/>
      <c r="R287" s="111"/>
    </row>
    <row r="288" spans="2:18" ht="13.2">
      <c r="B288" s="16"/>
      <c r="D288" s="16"/>
      <c r="R288" s="111"/>
    </row>
    <row r="289" spans="2:18" ht="13.2">
      <c r="B289" s="16"/>
      <c r="D289" s="16"/>
      <c r="R289" s="111"/>
    </row>
    <row r="290" spans="2:18" ht="13.2">
      <c r="B290" s="16"/>
      <c r="D290" s="16"/>
      <c r="R290" s="111"/>
    </row>
    <row r="291" spans="2:18" ht="13.2">
      <c r="B291" s="16"/>
      <c r="D291" s="16"/>
      <c r="R291" s="111"/>
    </row>
    <row r="292" spans="2:18" ht="13.2">
      <c r="B292" s="16"/>
      <c r="D292" s="16"/>
      <c r="R292" s="111"/>
    </row>
    <row r="293" spans="2:18" ht="13.2">
      <c r="B293" s="16"/>
      <c r="D293" s="16"/>
      <c r="R293" s="111"/>
    </row>
    <row r="294" spans="2:18" ht="13.2">
      <c r="B294" s="16"/>
      <c r="D294" s="16"/>
      <c r="R294" s="111"/>
    </row>
    <row r="295" spans="2:18" ht="13.2">
      <c r="B295" s="16"/>
      <c r="D295" s="16"/>
      <c r="R295" s="111"/>
    </row>
    <row r="296" spans="2:18" ht="13.2">
      <c r="B296" s="16"/>
      <c r="D296" s="16"/>
      <c r="R296" s="111"/>
    </row>
    <row r="297" spans="2:18" ht="13.2">
      <c r="B297" s="16"/>
      <c r="D297" s="16"/>
      <c r="R297" s="111"/>
    </row>
    <row r="298" spans="2:18" ht="13.2">
      <c r="B298" s="16"/>
      <c r="D298" s="16"/>
      <c r="R298" s="111"/>
    </row>
    <row r="299" spans="2:18" ht="13.2">
      <c r="B299" s="16"/>
      <c r="D299" s="16"/>
      <c r="R299" s="111"/>
    </row>
    <row r="300" spans="2:18" ht="13.2">
      <c r="B300" s="16"/>
      <c r="D300" s="16"/>
      <c r="R300" s="111"/>
    </row>
    <row r="301" spans="2:18" ht="13.2">
      <c r="B301" s="16"/>
      <c r="D301" s="16"/>
      <c r="R301" s="111"/>
    </row>
    <row r="302" spans="2:18" ht="13.2">
      <c r="B302" s="16"/>
      <c r="D302" s="16"/>
      <c r="R302" s="111"/>
    </row>
    <row r="303" spans="2:18" ht="13.2">
      <c r="B303" s="16"/>
      <c r="D303" s="16"/>
      <c r="R303" s="111"/>
    </row>
    <row r="304" spans="2:18" ht="13.2">
      <c r="B304" s="16"/>
      <c r="D304" s="16"/>
      <c r="R304" s="111"/>
    </row>
    <row r="305" spans="2:18" ht="13.2">
      <c r="B305" s="16"/>
      <c r="D305" s="16"/>
      <c r="R305" s="111"/>
    </row>
    <row r="306" spans="2:18" ht="13.2">
      <c r="B306" s="16"/>
      <c r="D306" s="16"/>
      <c r="R306" s="111"/>
    </row>
    <row r="307" spans="2:18" ht="13.2">
      <c r="B307" s="16"/>
      <c r="D307" s="16"/>
      <c r="R307" s="111"/>
    </row>
    <row r="308" spans="2:18" ht="13.2">
      <c r="B308" s="16"/>
      <c r="D308" s="16"/>
      <c r="R308" s="111"/>
    </row>
    <row r="309" spans="2:18" ht="13.2">
      <c r="B309" s="16"/>
      <c r="D309" s="16"/>
      <c r="R309" s="111"/>
    </row>
    <row r="310" spans="2:18" ht="13.2">
      <c r="B310" s="16"/>
      <c r="D310" s="16"/>
      <c r="R310" s="111"/>
    </row>
    <row r="311" spans="2:18" ht="13.2">
      <c r="B311" s="16"/>
      <c r="D311" s="16"/>
      <c r="R311" s="111"/>
    </row>
    <row r="312" spans="2:18" ht="13.2">
      <c r="B312" s="16"/>
      <c r="D312" s="16"/>
      <c r="R312" s="111"/>
    </row>
    <row r="313" spans="2:18" ht="13.2">
      <c r="B313" s="16"/>
      <c r="D313" s="16"/>
      <c r="R313" s="111"/>
    </row>
    <row r="314" spans="2:18" ht="13.2">
      <c r="B314" s="16"/>
      <c r="D314" s="16"/>
      <c r="R314" s="111"/>
    </row>
    <row r="315" spans="2:18" ht="13.2">
      <c r="B315" s="16"/>
      <c r="D315" s="16"/>
      <c r="R315" s="111"/>
    </row>
    <row r="316" spans="2:18" ht="13.2">
      <c r="B316" s="16"/>
      <c r="D316" s="16"/>
      <c r="R316" s="111"/>
    </row>
    <row r="317" spans="2:18" ht="13.2">
      <c r="B317" s="16"/>
      <c r="D317" s="16"/>
      <c r="R317" s="111"/>
    </row>
    <row r="318" spans="2:18" ht="13.2">
      <c r="B318" s="16"/>
      <c r="D318" s="16"/>
      <c r="R318" s="111"/>
    </row>
    <row r="319" spans="2:18" ht="13.2">
      <c r="B319" s="16"/>
      <c r="D319" s="16"/>
      <c r="R319" s="111"/>
    </row>
    <row r="320" spans="2:18" ht="13.2">
      <c r="B320" s="16"/>
      <c r="D320" s="16"/>
      <c r="R320" s="111"/>
    </row>
    <row r="321" spans="2:18" ht="13.2">
      <c r="B321" s="16"/>
      <c r="D321" s="16"/>
      <c r="R321" s="111"/>
    </row>
    <row r="322" spans="2:18" ht="13.2">
      <c r="B322" s="16"/>
      <c r="D322" s="16"/>
      <c r="R322" s="111"/>
    </row>
    <row r="323" spans="2:18" ht="13.2">
      <c r="B323" s="16"/>
      <c r="D323" s="16"/>
      <c r="R323" s="111"/>
    </row>
    <row r="324" spans="2:18" ht="13.2">
      <c r="B324" s="16"/>
      <c r="D324" s="16"/>
      <c r="R324" s="111"/>
    </row>
    <row r="325" spans="2:18" ht="13.2">
      <c r="B325" s="16"/>
      <c r="D325" s="16"/>
      <c r="R325" s="111"/>
    </row>
    <row r="326" spans="2:18" ht="13.2">
      <c r="B326" s="16"/>
      <c r="D326" s="16"/>
      <c r="R326" s="111"/>
    </row>
    <row r="327" spans="2:18" ht="13.2">
      <c r="B327" s="16"/>
      <c r="D327" s="16"/>
      <c r="R327" s="111"/>
    </row>
    <row r="328" spans="2:18" ht="13.2">
      <c r="B328" s="16"/>
      <c r="D328" s="16"/>
      <c r="R328" s="111"/>
    </row>
    <row r="329" spans="2:18" ht="13.2">
      <c r="B329" s="16"/>
      <c r="D329" s="16"/>
      <c r="R329" s="111"/>
    </row>
    <row r="330" spans="2:18" ht="13.2">
      <c r="B330" s="16"/>
      <c r="D330" s="16"/>
      <c r="R330" s="111"/>
    </row>
    <row r="331" spans="2:18" ht="13.2">
      <c r="B331" s="16"/>
      <c r="D331" s="16"/>
      <c r="R331" s="111"/>
    </row>
    <row r="332" spans="2:18" ht="13.2">
      <c r="B332" s="16"/>
      <c r="D332" s="16"/>
      <c r="R332" s="111"/>
    </row>
    <row r="333" spans="2:18" ht="13.2">
      <c r="B333" s="16"/>
      <c r="D333" s="16"/>
      <c r="R333" s="111"/>
    </row>
    <row r="334" spans="2:18" ht="13.2">
      <c r="B334" s="16"/>
      <c r="D334" s="16"/>
      <c r="R334" s="111"/>
    </row>
    <row r="335" spans="2:18" ht="13.2">
      <c r="B335" s="16"/>
      <c r="D335" s="16"/>
      <c r="R335" s="111"/>
    </row>
    <row r="336" spans="2:18" ht="13.2">
      <c r="B336" s="16"/>
      <c r="D336" s="16"/>
      <c r="R336" s="111"/>
    </row>
    <row r="337" spans="2:18" ht="13.2">
      <c r="B337" s="16"/>
      <c r="D337" s="16"/>
      <c r="R337" s="111"/>
    </row>
    <row r="338" spans="2:18" ht="13.2">
      <c r="B338" s="16"/>
      <c r="D338" s="16"/>
      <c r="R338" s="111"/>
    </row>
    <row r="339" spans="2:18" ht="13.2">
      <c r="B339" s="16"/>
      <c r="D339" s="16"/>
      <c r="R339" s="111"/>
    </row>
    <row r="340" spans="2:18" ht="13.2">
      <c r="B340" s="16"/>
      <c r="D340" s="16"/>
      <c r="R340" s="111"/>
    </row>
    <row r="341" spans="2:18" ht="13.2">
      <c r="B341" s="16"/>
      <c r="D341" s="16"/>
      <c r="R341" s="111"/>
    </row>
    <row r="342" spans="2:18" ht="13.2">
      <c r="B342" s="16"/>
      <c r="D342" s="16"/>
      <c r="R342" s="111"/>
    </row>
    <row r="343" spans="2:18" ht="13.2">
      <c r="B343" s="16"/>
      <c r="D343" s="16"/>
      <c r="R343" s="111"/>
    </row>
    <row r="344" spans="2:18" ht="13.2">
      <c r="B344" s="16"/>
      <c r="D344" s="16"/>
      <c r="R344" s="111"/>
    </row>
    <row r="345" spans="2:18" ht="13.2">
      <c r="B345" s="16"/>
      <c r="D345" s="16"/>
      <c r="R345" s="111"/>
    </row>
    <row r="346" spans="2:18" ht="13.2">
      <c r="B346" s="16"/>
      <c r="D346" s="16"/>
      <c r="R346" s="111"/>
    </row>
    <row r="347" spans="2:18" ht="13.2">
      <c r="B347" s="16"/>
      <c r="D347" s="16"/>
      <c r="R347" s="111"/>
    </row>
    <row r="348" spans="2:18" ht="13.2">
      <c r="B348" s="16"/>
      <c r="D348" s="16"/>
      <c r="R348" s="111"/>
    </row>
    <row r="349" spans="2:18" ht="13.2">
      <c r="B349" s="16"/>
      <c r="D349" s="16"/>
      <c r="R349" s="111"/>
    </row>
    <row r="350" spans="2:18" ht="13.2">
      <c r="B350" s="16"/>
      <c r="D350" s="16"/>
      <c r="R350" s="111"/>
    </row>
    <row r="351" spans="2:18" ht="13.2">
      <c r="B351" s="16"/>
      <c r="D351" s="16"/>
      <c r="R351" s="111"/>
    </row>
    <row r="352" spans="2:18" ht="13.2">
      <c r="B352" s="16"/>
      <c r="D352" s="16"/>
      <c r="R352" s="111"/>
    </row>
    <row r="353" spans="2:18" ht="13.2">
      <c r="B353" s="16"/>
      <c r="D353" s="16"/>
      <c r="R353" s="111"/>
    </row>
    <row r="354" spans="2:18" ht="13.2">
      <c r="B354" s="16"/>
      <c r="D354" s="16"/>
      <c r="R354" s="111"/>
    </row>
    <row r="355" spans="2:18" ht="13.2">
      <c r="B355" s="16"/>
      <c r="D355" s="16"/>
      <c r="R355" s="111"/>
    </row>
    <row r="356" spans="2:18" ht="13.2">
      <c r="B356" s="16"/>
      <c r="D356" s="16"/>
      <c r="R356" s="111"/>
    </row>
    <row r="357" spans="2:18" ht="13.2">
      <c r="B357" s="16"/>
      <c r="D357" s="16"/>
      <c r="R357" s="111"/>
    </row>
    <row r="358" spans="2:18" ht="13.2">
      <c r="B358" s="16"/>
      <c r="D358" s="16"/>
      <c r="R358" s="111"/>
    </row>
    <row r="359" spans="2:18" ht="13.2">
      <c r="B359" s="16"/>
      <c r="D359" s="16"/>
      <c r="R359" s="111"/>
    </row>
    <row r="360" spans="2:18" ht="13.2">
      <c r="B360" s="16"/>
      <c r="D360" s="16"/>
      <c r="R360" s="111"/>
    </row>
    <row r="361" spans="2:18" ht="13.2">
      <c r="B361" s="16"/>
      <c r="D361" s="16"/>
      <c r="R361" s="111"/>
    </row>
    <row r="362" spans="2:18" ht="13.2">
      <c r="B362" s="16"/>
      <c r="D362" s="16"/>
      <c r="R362" s="111"/>
    </row>
    <row r="363" spans="2:18" ht="13.2">
      <c r="B363" s="16"/>
      <c r="D363" s="16"/>
      <c r="R363" s="111"/>
    </row>
    <row r="364" spans="2:18" ht="13.2">
      <c r="B364" s="16"/>
      <c r="D364" s="16"/>
      <c r="R364" s="111"/>
    </row>
    <row r="365" spans="2:18" ht="13.2">
      <c r="B365" s="16"/>
      <c r="D365" s="16"/>
      <c r="R365" s="111"/>
    </row>
    <row r="366" spans="2:18" ht="13.2">
      <c r="B366" s="16"/>
      <c r="D366" s="16"/>
      <c r="R366" s="111"/>
    </row>
    <row r="367" spans="2:18" ht="13.2">
      <c r="B367" s="16"/>
      <c r="D367" s="16"/>
      <c r="R367" s="111"/>
    </row>
    <row r="368" spans="2:18" ht="13.2">
      <c r="B368" s="16"/>
      <c r="D368" s="16"/>
      <c r="R368" s="111"/>
    </row>
    <row r="369" spans="2:18" ht="13.2">
      <c r="B369" s="16"/>
      <c r="D369" s="16"/>
      <c r="R369" s="111"/>
    </row>
    <row r="370" spans="2:18" ht="13.2">
      <c r="B370" s="16"/>
      <c r="D370" s="16"/>
      <c r="R370" s="111"/>
    </row>
    <row r="371" spans="2:18" ht="13.2">
      <c r="B371" s="16"/>
      <c r="D371" s="16"/>
      <c r="R371" s="111"/>
    </row>
    <row r="372" spans="2:18" ht="13.2">
      <c r="B372" s="16"/>
      <c r="D372" s="16"/>
      <c r="R372" s="111"/>
    </row>
    <row r="373" spans="2:18" ht="13.2">
      <c r="B373" s="16"/>
      <c r="D373" s="16"/>
      <c r="R373" s="111"/>
    </row>
    <row r="374" spans="2:18" ht="13.2">
      <c r="B374" s="16"/>
      <c r="D374" s="16"/>
      <c r="R374" s="111"/>
    </row>
    <row r="375" spans="2:18" ht="13.2">
      <c r="B375" s="16"/>
      <c r="D375" s="16"/>
      <c r="R375" s="111"/>
    </row>
    <row r="376" spans="2:18" ht="13.2">
      <c r="B376" s="16"/>
      <c r="D376" s="16"/>
      <c r="R376" s="111"/>
    </row>
    <row r="377" spans="2:18" ht="13.2">
      <c r="B377" s="16"/>
      <c r="D377" s="16"/>
      <c r="R377" s="111"/>
    </row>
    <row r="378" spans="2:18" ht="13.2">
      <c r="B378" s="16"/>
      <c r="D378" s="16"/>
      <c r="R378" s="111"/>
    </row>
    <row r="379" spans="2:18" ht="13.2">
      <c r="B379" s="16"/>
      <c r="D379" s="16"/>
      <c r="R379" s="111"/>
    </row>
    <row r="380" spans="2:18" ht="13.2">
      <c r="B380" s="16"/>
      <c r="D380" s="16"/>
      <c r="R380" s="111"/>
    </row>
    <row r="381" spans="2:18" ht="13.2">
      <c r="B381" s="16"/>
      <c r="D381" s="16"/>
      <c r="R381" s="111"/>
    </row>
    <row r="382" spans="2:18" ht="13.2">
      <c r="B382" s="16"/>
      <c r="D382" s="16"/>
      <c r="R382" s="111"/>
    </row>
    <row r="383" spans="2:18" ht="13.2">
      <c r="B383" s="16"/>
      <c r="D383" s="16"/>
      <c r="R383" s="111"/>
    </row>
    <row r="384" spans="2:18" ht="13.2">
      <c r="B384" s="16"/>
      <c r="D384" s="16"/>
      <c r="R384" s="111"/>
    </row>
    <row r="385" spans="2:18" ht="13.2">
      <c r="B385" s="16"/>
      <c r="D385" s="16"/>
      <c r="R385" s="111"/>
    </row>
    <row r="386" spans="2:18" ht="13.2">
      <c r="B386" s="16"/>
      <c r="D386" s="16"/>
      <c r="R386" s="111"/>
    </row>
    <row r="387" spans="2:18" ht="13.2">
      <c r="B387" s="16"/>
      <c r="D387" s="16"/>
      <c r="R387" s="111"/>
    </row>
    <row r="388" spans="2:18" ht="13.2">
      <c r="B388" s="16"/>
      <c r="D388" s="16"/>
      <c r="R388" s="111"/>
    </row>
    <row r="389" spans="2:18" ht="13.2">
      <c r="B389" s="16"/>
      <c r="D389" s="16"/>
      <c r="R389" s="111"/>
    </row>
    <row r="390" spans="2:18" ht="13.2">
      <c r="B390" s="16"/>
      <c r="D390" s="16"/>
      <c r="R390" s="111"/>
    </row>
    <row r="391" spans="2:18" ht="13.2">
      <c r="B391" s="16"/>
      <c r="D391" s="16"/>
      <c r="R391" s="111"/>
    </row>
    <row r="392" spans="2:18" ht="13.2">
      <c r="B392" s="16"/>
      <c r="D392" s="16"/>
      <c r="R392" s="111"/>
    </row>
    <row r="393" spans="2:18" ht="13.2">
      <c r="B393" s="16"/>
      <c r="D393" s="16"/>
      <c r="R393" s="111"/>
    </row>
    <row r="394" spans="2:18" ht="13.2">
      <c r="B394" s="16"/>
      <c r="D394" s="16"/>
      <c r="R394" s="111"/>
    </row>
    <row r="395" spans="2:18" ht="13.2">
      <c r="B395" s="16"/>
      <c r="D395" s="16"/>
      <c r="R395" s="111"/>
    </row>
    <row r="396" spans="2:18" ht="13.2">
      <c r="B396" s="16"/>
      <c r="D396" s="16"/>
      <c r="R396" s="111"/>
    </row>
    <row r="397" spans="2:18" ht="13.2">
      <c r="B397" s="16"/>
      <c r="D397" s="16"/>
      <c r="R397" s="111"/>
    </row>
    <row r="398" spans="2:18" ht="13.2">
      <c r="B398" s="16"/>
      <c r="D398" s="16"/>
      <c r="R398" s="111"/>
    </row>
    <row r="399" spans="2:18" ht="13.2">
      <c r="B399" s="16"/>
      <c r="D399" s="16"/>
      <c r="R399" s="111"/>
    </row>
    <row r="400" spans="2:18" ht="13.2">
      <c r="B400" s="16"/>
      <c r="D400" s="16"/>
      <c r="R400" s="111"/>
    </row>
    <row r="401" spans="2:18" ht="13.2">
      <c r="B401" s="16"/>
      <c r="D401" s="16"/>
      <c r="R401" s="111"/>
    </row>
    <row r="402" spans="2:18" ht="13.2">
      <c r="B402" s="16"/>
      <c r="D402" s="16"/>
      <c r="R402" s="111"/>
    </row>
    <row r="403" spans="2:18" ht="13.2">
      <c r="B403" s="16"/>
      <c r="D403" s="16"/>
      <c r="R403" s="111"/>
    </row>
    <row r="404" spans="2:18" ht="13.2">
      <c r="B404" s="16"/>
      <c r="D404" s="16"/>
      <c r="R404" s="111"/>
    </row>
    <row r="405" spans="2:18" ht="13.2">
      <c r="B405" s="16"/>
      <c r="D405" s="16"/>
      <c r="R405" s="111"/>
    </row>
    <row r="406" spans="2:18" ht="13.2">
      <c r="B406" s="16"/>
      <c r="D406" s="16"/>
      <c r="R406" s="111"/>
    </row>
    <row r="407" spans="2:18" ht="13.2">
      <c r="B407" s="16"/>
      <c r="D407" s="16"/>
      <c r="R407" s="111"/>
    </row>
    <row r="408" spans="2:18" ht="13.2">
      <c r="B408" s="16"/>
      <c r="D408" s="16"/>
      <c r="R408" s="111"/>
    </row>
    <row r="409" spans="2:18" ht="13.2">
      <c r="B409" s="16"/>
      <c r="D409" s="16"/>
      <c r="R409" s="111"/>
    </row>
    <row r="410" spans="2:18" ht="13.2">
      <c r="B410" s="16"/>
      <c r="D410" s="16"/>
      <c r="R410" s="111"/>
    </row>
    <row r="411" spans="2:18" ht="13.2">
      <c r="B411" s="16"/>
      <c r="D411" s="16"/>
      <c r="R411" s="111"/>
    </row>
    <row r="412" spans="2:18" ht="13.2">
      <c r="B412" s="16"/>
      <c r="D412" s="16"/>
      <c r="R412" s="111"/>
    </row>
    <row r="413" spans="2:18" ht="13.2">
      <c r="B413" s="16"/>
      <c r="D413" s="16"/>
      <c r="R413" s="111"/>
    </row>
    <row r="414" spans="2:18" ht="13.2">
      <c r="B414" s="16"/>
      <c r="D414" s="16"/>
      <c r="R414" s="111"/>
    </row>
    <row r="415" spans="2:18" ht="13.2">
      <c r="B415" s="16"/>
      <c r="D415" s="16"/>
      <c r="R415" s="111"/>
    </row>
    <row r="416" spans="2:18" ht="13.2">
      <c r="B416" s="16"/>
      <c r="D416" s="16"/>
      <c r="R416" s="111"/>
    </row>
    <row r="417" spans="2:18" ht="13.2">
      <c r="B417" s="16"/>
      <c r="D417" s="16"/>
      <c r="R417" s="111"/>
    </row>
    <row r="418" spans="2:18" ht="13.2">
      <c r="B418" s="16"/>
      <c r="D418" s="16"/>
      <c r="R418" s="111"/>
    </row>
    <row r="419" spans="2:18" ht="13.2">
      <c r="B419" s="16"/>
      <c r="D419" s="16"/>
      <c r="R419" s="111"/>
    </row>
    <row r="420" spans="2:18" ht="13.2">
      <c r="B420" s="16"/>
      <c r="D420" s="16"/>
      <c r="R420" s="111"/>
    </row>
    <row r="421" spans="2:18" ht="13.2">
      <c r="B421" s="16"/>
      <c r="D421" s="16"/>
      <c r="R421" s="111"/>
    </row>
    <row r="422" spans="2:18" ht="13.2">
      <c r="B422" s="16"/>
      <c r="D422" s="16"/>
      <c r="R422" s="111"/>
    </row>
    <row r="423" spans="2:18" ht="13.2">
      <c r="B423" s="16"/>
      <c r="D423" s="16"/>
      <c r="R423" s="111"/>
    </row>
    <row r="424" spans="2:18" ht="13.2">
      <c r="B424" s="16"/>
      <c r="D424" s="16"/>
      <c r="R424" s="111"/>
    </row>
    <row r="425" spans="2:18" ht="13.2">
      <c r="B425" s="16"/>
      <c r="D425" s="16"/>
      <c r="R425" s="111"/>
    </row>
    <row r="426" spans="2:18" ht="13.2">
      <c r="B426" s="16"/>
      <c r="D426" s="16"/>
      <c r="R426" s="111"/>
    </row>
    <row r="427" spans="2:18" ht="13.2">
      <c r="B427" s="16"/>
      <c r="D427" s="16"/>
      <c r="R427" s="111"/>
    </row>
    <row r="428" spans="2:18" ht="13.2">
      <c r="B428" s="16"/>
      <c r="D428" s="16"/>
      <c r="R428" s="111"/>
    </row>
    <row r="429" spans="2:18" ht="13.2">
      <c r="B429" s="16"/>
      <c r="D429" s="16"/>
      <c r="R429" s="111"/>
    </row>
    <row r="430" spans="2:18" ht="13.2">
      <c r="B430" s="16"/>
      <c r="D430" s="16"/>
      <c r="R430" s="111"/>
    </row>
    <row r="431" spans="2:18" ht="13.2">
      <c r="B431" s="16"/>
      <c r="D431" s="16"/>
      <c r="R431" s="111"/>
    </row>
    <row r="432" spans="2:18" ht="13.2">
      <c r="B432" s="16"/>
      <c r="D432" s="16"/>
      <c r="R432" s="111"/>
    </row>
    <row r="433" spans="2:18" ht="13.2">
      <c r="B433" s="16"/>
      <c r="D433" s="16"/>
      <c r="R433" s="111"/>
    </row>
    <row r="434" spans="2:18" ht="13.2">
      <c r="B434" s="16"/>
      <c r="D434" s="16"/>
      <c r="R434" s="111"/>
    </row>
    <row r="435" spans="2:18" ht="13.2">
      <c r="B435" s="16"/>
      <c r="D435" s="16"/>
      <c r="R435" s="111"/>
    </row>
    <row r="436" spans="2:18" ht="13.2">
      <c r="B436" s="16"/>
      <c r="D436" s="16"/>
      <c r="R436" s="111"/>
    </row>
    <row r="437" spans="2:18" ht="13.2">
      <c r="B437" s="16"/>
      <c r="D437" s="16"/>
      <c r="R437" s="111"/>
    </row>
    <row r="438" spans="2:18" ht="13.2">
      <c r="B438" s="16"/>
      <c r="D438" s="16"/>
      <c r="R438" s="111"/>
    </row>
    <row r="439" spans="2:18" ht="13.2">
      <c r="B439" s="16"/>
      <c r="D439" s="16"/>
      <c r="R439" s="111"/>
    </row>
    <row r="440" spans="2:18" ht="13.2">
      <c r="B440" s="16"/>
      <c r="D440" s="16"/>
      <c r="R440" s="111"/>
    </row>
    <row r="441" spans="2:18" ht="13.2">
      <c r="B441" s="16"/>
      <c r="D441" s="16"/>
      <c r="R441" s="111"/>
    </row>
    <row r="442" spans="2:18" ht="13.2">
      <c r="B442" s="16"/>
      <c r="D442" s="16"/>
      <c r="R442" s="111"/>
    </row>
    <row r="443" spans="2:18" ht="13.2">
      <c r="B443" s="16"/>
      <c r="D443" s="16"/>
      <c r="R443" s="111"/>
    </row>
    <row r="444" spans="2:18" ht="13.2">
      <c r="B444" s="16"/>
      <c r="D444" s="16"/>
      <c r="R444" s="111"/>
    </row>
    <row r="445" spans="2:18" ht="13.2">
      <c r="B445" s="16"/>
      <c r="D445" s="16"/>
      <c r="R445" s="111"/>
    </row>
    <row r="446" spans="2:18" ht="13.2">
      <c r="B446" s="16"/>
      <c r="D446" s="16"/>
      <c r="R446" s="111"/>
    </row>
    <row r="447" spans="2:18" ht="13.2">
      <c r="B447" s="16"/>
      <c r="D447" s="16"/>
      <c r="R447" s="111"/>
    </row>
    <row r="448" spans="2:18" ht="13.2">
      <c r="B448" s="16"/>
      <c r="D448" s="16"/>
      <c r="R448" s="111"/>
    </row>
    <row r="449" spans="2:18" ht="13.2">
      <c r="B449" s="16"/>
      <c r="D449" s="16"/>
      <c r="R449" s="111"/>
    </row>
    <row r="450" spans="2:18" ht="13.2">
      <c r="B450" s="16"/>
      <c r="D450" s="16"/>
      <c r="R450" s="111"/>
    </row>
    <row r="451" spans="2:18" ht="13.2">
      <c r="B451" s="16"/>
      <c r="D451" s="16"/>
      <c r="R451" s="111"/>
    </row>
    <row r="452" spans="2:18" ht="13.2">
      <c r="B452" s="16"/>
      <c r="D452" s="16"/>
      <c r="R452" s="111"/>
    </row>
    <row r="453" spans="2:18" ht="13.2">
      <c r="B453" s="16"/>
      <c r="D453" s="16"/>
      <c r="R453" s="111"/>
    </row>
    <row r="454" spans="2:18" ht="13.2">
      <c r="B454" s="16"/>
      <c r="D454" s="16"/>
      <c r="R454" s="111"/>
    </row>
    <row r="455" spans="2:18" ht="13.2">
      <c r="B455" s="16"/>
      <c r="D455" s="16"/>
      <c r="R455" s="111"/>
    </row>
    <row r="456" spans="2:18" ht="13.2">
      <c r="B456" s="16"/>
      <c r="D456" s="16"/>
      <c r="R456" s="111"/>
    </row>
    <row r="457" spans="2:18" ht="13.2">
      <c r="B457" s="16"/>
      <c r="D457" s="16"/>
      <c r="R457" s="111"/>
    </row>
    <row r="458" spans="2:18" ht="13.2">
      <c r="B458" s="16"/>
      <c r="D458" s="16"/>
      <c r="R458" s="111"/>
    </row>
    <row r="459" spans="2:18" ht="13.2">
      <c r="B459" s="16"/>
      <c r="D459" s="16"/>
      <c r="R459" s="111"/>
    </row>
    <row r="460" spans="2:18" ht="13.2">
      <c r="B460" s="16"/>
      <c r="D460" s="16"/>
      <c r="R460" s="111"/>
    </row>
    <row r="461" spans="2:18" ht="13.2">
      <c r="B461" s="16"/>
      <c r="D461" s="16"/>
      <c r="R461" s="111"/>
    </row>
    <row r="462" spans="2:18" ht="13.2">
      <c r="B462" s="16"/>
      <c r="D462" s="16"/>
      <c r="R462" s="111"/>
    </row>
    <row r="463" spans="2:18" ht="13.2">
      <c r="B463" s="16"/>
      <c r="D463" s="16"/>
      <c r="R463" s="111"/>
    </row>
    <row r="464" spans="2:18" ht="13.2">
      <c r="B464" s="16"/>
      <c r="D464" s="16"/>
      <c r="R464" s="111"/>
    </row>
    <row r="465" spans="2:18" ht="13.2">
      <c r="B465" s="16"/>
      <c r="D465" s="16"/>
      <c r="R465" s="111"/>
    </row>
    <row r="466" spans="2:18" ht="13.2">
      <c r="B466" s="16"/>
      <c r="D466" s="16"/>
      <c r="R466" s="111"/>
    </row>
    <row r="467" spans="2:18" ht="13.2">
      <c r="B467" s="16"/>
      <c r="D467" s="16"/>
      <c r="R467" s="111"/>
    </row>
    <row r="468" spans="2:18" ht="13.2">
      <c r="B468" s="16"/>
      <c r="D468" s="16"/>
      <c r="R468" s="111"/>
    </row>
    <row r="469" spans="2:18" ht="13.2">
      <c r="B469" s="16"/>
      <c r="D469" s="16"/>
      <c r="R469" s="111"/>
    </row>
    <row r="470" spans="2:18" ht="13.2">
      <c r="B470" s="16"/>
      <c r="D470" s="16"/>
      <c r="R470" s="111"/>
    </row>
    <row r="471" spans="2:18" ht="13.2">
      <c r="B471" s="16"/>
      <c r="D471" s="16"/>
      <c r="R471" s="111"/>
    </row>
    <row r="472" spans="2:18" ht="13.2">
      <c r="B472" s="16"/>
      <c r="D472" s="16"/>
      <c r="R472" s="111"/>
    </row>
    <row r="473" spans="2:18" ht="13.2">
      <c r="B473" s="16"/>
      <c r="D473" s="16"/>
      <c r="R473" s="111"/>
    </row>
    <row r="474" spans="2:18" ht="13.2">
      <c r="B474" s="16"/>
      <c r="D474" s="16"/>
      <c r="R474" s="111"/>
    </row>
    <row r="475" spans="2:18" ht="13.2">
      <c r="B475" s="16"/>
      <c r="D475" s="16"/>
      <c r="R475" s="111"/>
    </row>
    <row r="476" spans="2:18" ht="13.2">
      <c r="B476" s="16"/>
      <c r="D476" s="16"/>
      <c r="R476" s="111"/>
    </row>
    <row r="477" spans="2:18" ht="13.2">
      <c r="B477" s="16"/>
      <c r="D477" s="16"/>
      <c r="R477" s="111"/>
    </row>
    <row r="478" spans="2:18" ht="13.2">
      <c r="B478" s="16"/>
      <c r="D478" s="16"/>
      <c r="R478" s="111"/>
    </row>
    <row r="479" spans="2:18" ht="13.2">
      <c r="B479" s="16"/>
      <c r="D479" s="16"/>
      <c r="R479" s="111"/>
    </row>
    <row r="480" spans="2:18" ht="13.2">
      <c r="B480" s="16"/>
      <c r="D480" s="16"/>
      <c r="R480" s="111"/>
    </row>
    <row r="481" spans="2:18" ht="13.2">
      <c r="B481" s="16"/>
      <c r="D481" s="16"/>
      <c r="R481" s="111"/>
    </row>
    <row r="482" spans="2:18" ht="13.2">
      <c r="B482" s="16"/>
      <c r="D482" s="16"/>
      <c r="R482" s="111"/>
    </row>
    <row r="483" spans="2:18" ht="13.2">
      <c r="B483" s="16"/>
      <c r="D483" s="16"/>
      <c r="R483" s="111"/>
    </row>
    <row r="484" spans="2:18" ht="13.2">
      <c r="B484" s="16"/>
      <c r="D484" s="16"/>
      <c r="R484" s="111"/>
    </row>
    <row r="485" spans="2:18" ht="13.2">
      <c r="B485" s="16"/>
      <c r="D485" s="16"/>
      <c r="R485" s="111"/>
    </row>
    <row r="486" spans="2:18" ht="13.2">
      <c r="B486" s="16"/>
      <c r="D486" s="16"/>
      <c r="R486" s="111"/>
    </row>
    <row r="487" spans="2:18" ht="13.2">
      <c r="B487" s="16"/>
      <c r="D487" s="16"/>
      <c r="R487" s="111"/>
    </row>
    <row r="488" spans="2:18" ht="13.2">
      <c r="B488" s="16"/>
      <c r="D488" s="16"/>
      <c r="R488" s="111"/>
    </row>
    <row r="489" spans="2:18" ht="13.2">
      <c r="B489" s="16"/>
      <c r="D489" s="16"/>
      <c r="R489" s="111"/>
    </row>
    <row r="490" spans="2:18" ht="13.2">
      <c r="B490" s="16"/>
      <c r="D490" s="16"/>
      <c r="R490" s="111"/>
    </row>
    <row r="491" spans="2:18" ht="13.2">
      <c r="B491" s="16"/>
      <c r="D491" s="16"/>
      <c r="R491" s="111"/>
    </row>
    <row r="492" spans="2:18" ht="13.2">
      <c r="B492" s="16"/>
      <c r="D492" s="16"/>
      <c r="R492" s="111"/>
    </row>
    <row r="493" spans="2:18" ht="13.2">
      <c r="B493" s="16"/>
      <c r="D493" s="16"/>
      <c r="R493" s="111"/>
    </row>
    <row r="494" spans="2:18" ht="13.2">
      <c r="B494" s="16"/>
      <c r="D494" s="16"/>
      <c r="R494" s="111"/>
    </row>
    <row r="495" spans="2:18" ht="13.2">
      <c r="B495" s="16"/>
      <c r="D495" s="16"/>
      <c r="R495" s="111"/>
    </row>
    <row r="496" spans="2:18" ht="13.2">
      <c r="B496" s="16"/>
      <c r="D496" s="16"/>
      <c r="R496" s="111"/>
    </row>
    <row r="497" spans="2:18" ht="13.2">
      <c r="B497" s="16"/>
      <c r="D497" s="16"/>
      <c r="R497" s="111"/>
    </row>
    <row r="498" spans="2:18" ht="13.2">
      <c r="B498" s="16"/>
      <c r="D498" s="16"/>
      <c r="R498" s="111"/>
    </row>
    <row r="499" spans="2:18" ht="13.2">
      <c r="B499" s="16"/>
      <c r="D499" s="16"/>
      <c r="R499" s="111"/>
    </row>
    <row r="500" spans="2:18" ht="13.2">
      <c r="B500" s="16"/>
      <c r="D500" s="16"/>
      <c r="R500" s="111"/>
    </row>
    <row r="501" spans="2:18" ht="13.2">
      <c r="B501" s="16"/>
      <c r="D501" s="16"/>
      <c r="R501" s="111"/>
    </row>
    <row r="502" spans="2:18" ht="13.2">
      <c r="B502" s="16"/>
      <c r="D502" s="16"/>
      <c r="R502" s="111"/>
    </row>
    <row r="503" spans="2:18" ht="13.2">
      <c r="B503" s="16"/>
      <c r="D503" s="16"/>
      <c r="R503" s="111"/>
    </row>
    <row r="504" spans="2:18" ht="13.2">
      <c r="B504" s="16"/>
      <c r="D504" s="16"/>
      <c r="R504" s="111"/>
    </row>
    <row r="505" spans="2:18" ht="13.2">
      <c r="B505" s="16"/>
      <c r="D505" s="16"/>
      <c r="R505" s="111"/>
    </row>
    <row r="506" spans="2:18" ht="13.2">
      <c r="B506" s="16"/>
      <c r="D506" s="16"/>
      <c r="R506" s="111"/>
    </row>
    <row r="507" spans="2:18" ht="13.2">
      <c r="B507" s="16"/>
      <c r="D507" s="16"/>
      <c r="R507" s="111"/>
    </row>
    <row r="508" spans="2:18" ht="13.2">
      <c r="B508" s="16"/>
      <c r="D508" s="16"/>
      <c r="R508" s="111"/>
    </row>
    <row r="509" spans="2:18" ht="13.2">
      <c r="B509" s="16"/>
      <c r="D509" s="16"/>
      <c r="R509" s="111"/>
    </row>
    <row r="510" spans="2:18" ht="13.2">
      <c r="B510" s="16"/>
      <c r="D510" s="16"/>
      <c r="R510" s="111"/>
    </row>
    <row r="511" spans="2:18" ht="13.2">
      <c r="B511" s="16"/>
      <c r="D511" s="16"/>
      <c r="R511" s="111"/>
    </row>
    <row r="512" spans="2:18" ht="13.2">
      <c r="B512" s="16"/>
      <c r="D512" s="16"/>
      <c r="R512" s="111"/>
    </row>
    <row r="513" spans="2:18" ht="13.2">
      <c r="B513" s="16"/>
      <c r="D513" s="16"/>
      <c r="R513" s="111"/>
    </row>
    <row r="514" spans="2:18" ht="13.2">
      <c r="B514" s="16"/>
      <c r="D514" s="16"/>
      <c r="R514" s="111"/>
    </row>
    <row r="515" spans="2:18" ht="13.2">
      <c r="B515" s="16"/>
      <c r="D515" s="16"/>
      <c r="R515" s="111"/>
    </row>
    <row r="516" spans="2:18" ht="13.2">
      <c r="B516" s="16"/>
      <c r="D516" s="16"/>
      <c r="R516" s="111"/>
    </row>
    <row r="517" spans="2:18" ht="13.2">
      <c r="B517" s="16"/>
      <c r="D517" s="16"/>
      <c r="R517" s="111"/>
    </row>
    <row r="518" spans="2:18" ht="13.2">
      <c r="B518" s="16"/>
      <c r="D518" s="16"/>
      <c r="R518" s="111"/>
    </row>
    <row r="519" spans="2:18" ht="13.2">
      <c r="B519" s="16"/>
      <c r="D519" s="16"/>
      <c r="R519" s="111"/>
    </row>
    <row r="520" spans="2:18" ht="13.2">
      <c r="B520" s="16"/>
      <c r="D520" s="16"/>
      <c r="R520" s="111"/>
    </row>
    <row r="521" spans="2:18" ht="13.2">
      <c r="B521" s="16"/>
      <c r="D521" s="16"/>
      <c r="R521" s="111"/>
    </row>
    <row r="522" spans="2:18" ht="13.2">
      <c r="B522" s="16"/>
      <c r="D522" s="16"/>
      <c r="R522" s="111"/>
    </row>
    <row r="523" spans="2:18" ht="13.2">
      <c r="B523" s="16"/>
      <c r="D523" s="16"/>
      <c r="R523" s="111"/>
    </row>
    <row r="524" spans="2:18" ht="13.2">
      <c r="B524" s="16"/>
      <c r="D524" s="16"/>
      <c r="R524" s="111"/>
    </row>
    <row r="525" spans="2:18" ht="13.2">
      <c r="B525" s="16"/>
      <c r="D525" s="16"/>
      <c r="R525" s="111"/>
    </row>
    <row r="526" spans="2:18" ht="13.2">
      <c r="B526" s="16"/>
      <c r="D526" s="16"/>
      <c r="R526" s="111"/>
    </row>
    <row r="527" spans="2:18" ht="13.2">
      <c r="B527" s="16"/>
      <c r="D527" s="16"/>
      <c r="R527" s="111"/>
    </row>
    <row r="528" spans="2:18" ht="13.2">
      <c r="B528" s="16"/>
      <c r="D528" s="16"/>
      <c r="R528" s="111"/>
    </row>
    <row r="529" spans="2:18" ht="13.2">
      <c r="B529" s="16"/>
      <c r="D529" s="16"/>
      <c r="R529" s="111"/>
    </row>
    <row r="530" spans="2:18" ht="13.2">
      <c r="B530" s="16"/>
      <c r="D530" s="16"/>
      <c r="R530" s="111"/>
    </row>
    <row r="531" spans="2:18" ht="13.2">
      <c r="B531" s="16"/>
      <c r="D531" s="16"/>
      <c r="R531" s="111"/>
    </row>
    <row r="532" spans="2:18" ht="13.2">
      <c r="B532" s="16"/>
      <c r="D532" s="16"/>
      <c r="R532" s="111"/>
    </row>
    <row r="533" spans="2:18" ht="13.2">
      <c r="B533" s="16"/>
      <c r="D533" s="16"/>
      <c r="R533" s="111"/>
    </row>
    <row r="534" spans="2:18" ht="13.2">
      <c r="B534" s="16"/>
      <c r="D534" s="16"/>
      <c r="R534" s="111"/>
    </row>
    <row r="535" spans="2:18" ht="13.2">
      <c r="B535" s="16"/>
      <c r="D535" s="16"/>
      <c r="R535" s="111"/>
    </row>
    <row r="536" spans="2:18" ht="13.2">
      <c r="B536" s="16"/>
      <c r="D536" s="16"/>
      <c r="R536" s="111"/>
    </row>
    <row r="537" spans="2:18" ht="13.2">
      <c r="B537" s="16"/>
      <c r="D537" s="16"/>
      <c r="R537" s="111"/>
    </row>
    <row r="538" spans="2:18" ht="13.2">
      <c r="B538" s="16"/>
      <c r="D538" s="16"/>
      <c r="R538" s="111"/>
    </row>
    <row r="539" spans="2:18" ht="13.2">
      <c r="B539" s="16"/>
      <c r="D539" s="16"/>
      <c r="R539" s="111"/>
    </row>
    <row r="540" spans="2:18" ht="13.2">
      <c r="B540" s="16"/>
      <c r="D540" s="16"/>
      <c r="R540" s="111"/>
    </row>
    <row r="541" spans="2:18" ht="13.2">
      <c r="B541" s="16"/>
      <c r="D541" s="16"/>
      <c r="R541" s="111"/>
    </row>
    <row r="542" spans="2:18" ht="13.2">
      <c r="B542" s="16"/>
      <c r="D542" s="16"/>
      <c r="R542" s="111"/>
    </row>
    <row r="543" spans="2:18" ht="13.2">
      <c r="B543" s="16"/>
      <c r="D543" s="16"/>
      <c r="R543" s="111"/>
    </row>
    <row r="544" spans="2:18" ht="13.2">
      <c r="B544" s="16"/>
      <c r="D544" s="16"/>
      <c r="R544" s="111"/>
    </row>
    <row r="545" spans="2:18" ht="13.2">
      <c r="B545" s="16"/>
      <c r="D545" s="16"/>
      <c r="R545" s="111"/>
    </row>
    <row r="546" spans="2:18" ht="13.2">
      <c r="B546" s="16"/>
      <c r="D546" s="16"/>
      <c r="R546" s="111"/>
    </row>
    <row r="547" spans="2:18" ht="13.2">
      <c r="B547" s="16"/>
      <c r="D547" s="16"/>
      <c r="R547" s="111"/>
    </row>
    <row r="548" spans="2:18" ht="13.2">
      <c r="B548" s="16"/>
      <c r="D548" s="16"/>
      <c r="R548" s="111"/>
    </row>
    <row r="549" spans="2:18" ht="13.2">
      <c r="B549" s="16"/>
      <c r="D549" s="16"/>
      <c r="R549" s="111"/>
    </row>
    <row r="550" spans="2:18" ht="13.2">
      <c r="B550" s="16"/>
      <c r="D550" s="16"/>
      <c r="R550" s="111"/>
    </row>
    <row r="551" spans="2:18" ht="13.2">
      <c r="B551" s="16"/>
      <c r="D551" s="16"/>
      <c r="R551" s="111"/>
    </row>
    <row r="552" spans="2:18" ht="13.2">
      <c r="B552" s="16"/>
      <c r="D552" s="16"/>
      <c r="R552" s="111"/>
    </row>
    <row r="553" spans="2:18" ht="13.2">
      <c r="B553" s="16"/>
      <c r="D553" s="16"/>
      <c r="R553" s="111"/>
    </row>
    <row r="554" spans="2:18" ht="13.2">
      <c r="B554" s="16"/>
      <c r="D554" s="16"/>
      <c r="R554" s="111"/>
    </row>
    <row r="555" spans="2:18" ht="13.2">
      <c r="B555" s="16"/>
      <c r="D555" s="16"/>
      <c r="R555" s="111"/>
    </row>
    <row r="556" spans="2:18" ht="13.2">
      <c r="B556" s="16"/>
      <c r="D556" s="16"/>
      <c r="R556" s="111"/>
    </row>
    <row r="557" spans="2:18" ht="13.2">
      <c r="B557" s="16"/>
      <c r="D557" s="16"/>
      <c r="R557" s="111"/>
    </row>
    <row r="558" spans="2:18" ht="13.2">
      <c r="B558" s="16"/>
      <c r="D558" s="16"/>
      <c r="R558" s="111"/>
    </row>
    <row r="559" spans="2:18" ht="13.2">
      <c r="B559" s="16"/>
      <c r="D559" s="16"/>
      <c r="R559" s="111"/>
    </row>
    <row r="560" spans="2:18" ht="13.2">
      <c r="B560" s="16"/>
      <c r="D560" s="16"/>
      <c r="R560" s="111"/>
    </row>
    <row r="561" spans="2:18" ht="13.2">
      <c r="B561" s="16"/>
      <c r="D561" s="16"/>
      <c r="R561" s="111"/>
    </row>
    <row r="562" spans="2:18" ht="13.2">
      <c r="B562" s="16"/>
      <c r="D562" s="16"/>
      <c r="R562" s="111"/>
    </row>
    <row r="563" spans="2:18" ht="13.2">
      <c r="B563" s="16"/>
      <c r="D563" s="16"/>
      <c r="R563" s="111"/>
    </row>
    <row r="564" spans="2:18" ht="13.2">
      <c r="B564" s="16"/>
      <c r="D564" s="16"/>
      <c r="R564" s="111"/>
    </row>
    <row r="565" spans="2:18" ht="13.2">
      <c r="B565" s="16"/>
      <c r="D565" s="16"/>
      <c r="R565" s="111"/>
    </row>
    <row r="566" spans="2:18" ht="13.2">
      <c r="B566" s="16"/>
      <c r="D566" s="16"/>
      <c r="R566" s="111"/>
    </row>
    <row r="567" spans="2:18" ht="13.2">
      <c r="B567" s="16"/>
      <c r="D567" s="16"/>
      <c r="R567" s="111"/>
    </row>
    <row r="568" spans="2:18" ht="13.2">
      <c r="B568" s="16"/>
      <c r="D568" s="16"/>
      <c r="R568" s="111"/>
    </row>
    <row r="569" spans="2:18" ht="13.2">
      <c r="B569" s="16"/>
      <c r="D569" s="16"/>
      <c r="R569" s="111"/>
    </row>
    <row r="570" spans="2:18" ht="13.2">
      <c r="B570" s="16"/>
      <c r="D570" s="16"/>
      <c r="R570" s="111"/>
    </row>
    <row r="571" spans="2:18" ht="13.2">
      <c r="B571" s="16"/>
      <c r="D571" s="16"/>
      <c r="R571" s="111"/>
    </row>
    <row r="572" spans="2:18" ht="13.2">
      <c r="B572" s="16"/>
      <c r="D572" s="16"/>
      <c r="R572" s="111"/>
    </row>
    <row r="573" spans="2:18" ht="13.2">
      <c r="B573" s="16"/>
      <c r="D573" s="16"/>
      <c r="R573" s="111"/>
    </row>
    <row r="574" spans="2:18" ht="13.2">
      <c r="B574" s="16"/>
      <c r="D574" s="16"/>
      <c r="R574" s="111"/>
    </row>
    <row r="575" spans="2:18" ht="13.2">
      <c r="B575" s="16"/>
      <c r="D575" s="16"/>
      <c r="R575" s="111"/>
    </row>
    <row r="576" spans="2:18" ht="13.2">
      <c r="B576" s="16"/>
      <c r="D576" s="16"/>
      <c r="R576" s="111"/>
    </row>
    <row r="577" spans="2:18" ht="13.2">
      <c r="B577" s="16"/>
      <c r="D577" s="16"/>
      <c r="R577" s="111"/>
    </row>
    <row r="578" spans="2:18" ht="13.2">
      <c r="B578" s="16"/>
      <c r="D578" s="16"/>
      <c r="R578" s="111"/>
    </row>
    <row r="579" spans="2:18" ht="13.2">
      <c r="B579" s="16"/>
      <c r="D579" s="16"/>
      <c r="R579" s="111"/>
    </row>
    <row r="580" spans="2:18" ht="13.2">
      <c r="B580" s="16"/>
      <c r="D580" s="16"/>
      <c r="R580" s="111"/>
    </row>
    <row r="581" spans="2:18" ht="13.2">
      <c r="B581" s="16"/>
      <c r="D581" s="16"/>
      <c r="R581" s="111"/>
    </row>
    <row r="582" spans="2:18" ht="13.2">
      <c r="B582" s="16"/>
      <c r="D582" s="16"/>
      <c r="R582" s="111"/>
    </row>
    <row r="583" spans="2:18" ht="13.2">
      <c r="B583" s="16"/>
      <c r="D583" s="16"/>
      <c r="R583" s="111"/>
    </row>
    <row r="584" spans="2:18" ht="13.2">
      <c r="B584" s="16"/>
      <c r="D584" s="16"/>
      <c r="R584" s="111"/>
    </row>
    <row r="585" spans="2:18" ht="13.2">
      <c r="B585" s="16"/>
      <c r="D585" s="16"/>
      <c r="R585" s="111"/>
    </row>
    <row r="586" spans="2:18" ht="13.2">
      <c r="B586" s="16"/>
      <c r="D586" s="16"/>
      <c r="R586" s="111"/>
    </row>
    <row r="587" spans="2:18" ht="13.2">
      <c r="B587" s="16"/>
      <c r="D587" s="16"/>
      <c r="R587" s="111"/>
    </row>
    <row r="588" spans="2:18" ht="13.2">
      <c r="B588" s="16"/>
      <c r="D588" s="16"/>
      <c r="R588" s="111"/>
    </row>
    <row r="589" spans="2:18" ht="13.2">
      <c r="B589" s="16"/>
      <c r="D589" s="16"/>
      <c r="R589" s="111"/>
    </row>
    <row r="590" spans="2:18" ht="13.2">
      <c r="B590" s="16"/>
      <c r="D590" s="16"/>
      <c r="R590" s="111"/>
    </row>
    <row r="591" spans="2:18" ht="13.2">
      <c r="B591" s="16"/>
      <c r="D591" s="16"/>
      <c r="R591" s="111"/>
    </row>
    <row r="592" spans="2:18" ht="13.2">
      <c r="B592" s="16"/>
      <c r="D592" s="16"/>
      <c r="R592" s="111"/>
    </row>
    <row r="593" spans="2:18" ht="13.2">
      <c r="B593" s="16"/>
      <c r="D593" s="16"/>
      <c r="R593" s="111"/>
    </row>
    <row r="594" spans="2:18" ht="13.2">
      <c r="B594" s="16"/>
      <c r="D594" s="16"/>
      <c r="R594" s="111"/>
    </row>
    <row r="595" spans="2:18" ht="13.2">
      <c r="B595" s="16"/>
      <c r="D595" s="16"/>
      <c r="R595" s="111"/>
    </row>
    <row r="596" spans="2:18" ht="13.2">
      <c r="B596" s="16"/>
      <c r="D596" s="16"/>
      <c r="R596" s="111"/>
    </row>
    <row r="597" spans="2:18" ht="13.2">
      <c r="B597" s="16"/>
      <c r="D597" s="16"/>
      <c r="R597" s="111"/>
    </row>
    <row r="598" spans="2:18" ht="13.2">
      <c r="B598" s="16"/>
      <c r="D598" s="16"/>
      <c r="R598" s="111"/>
    </row>
    <row r="599" spans="2:18" ht="13.2">
      <c r="B599" s="16"/>
      <c r="D599" s="16"/>
      <c r="R599" s="111"/>
    </row>
    <row r="600" spans="2:18" ht="13.2">
      <c r="B600" s="16"/>
      <c r="D600" s="16"/>
      <c r="R600" s="111"/>
    </row>
    <row r="601" spans="2:18" ht="13.2">
      <c r="B601" s="16"/>
      <c r="D601" s="16"/>
      <c r="R601" s="111"/>
    </row>
    <row r="602" spans="2:18" ht="13.2">
      <c r="B602" s="16"/>
      <c r="D602" s="16"/>
      <c r="R602" s="111"/>
    </row>
    <row r="603" spans="2:18" ht="13.2">
      <c r="B603" s="16"/>
      <c r="D603" s="16"/>
      <c r="R603" s="111"/>
    </row>
    <row r="604" spans="2:18" ht="13.2">
      <c r="B604" s="16"/>
      <c r="D604" s="16"/>
      <c r="R604" s="111"/>
    </row>
    <row r="605" spans="2:18" ht="13.2">
      <c r="B605" s="16"/>
      <c r="D605" s="16"/>
      <c r="R605" s="111"/>
    </row>
    <row r="606" spans="2:18" ht="13.2">
      <c r="B606" s="16"/>
      <c r="D606" s="16"/>
      <c r="R606" s="111"/>
    </row>
    <row r="607" spans="2:18" ht="13.2">
      <c r="B607" s="16"/>
      <c r="D607" s="16"/>
      <c r="R607" s="111"/>
    </row>
    <row r="608" spans="2:18" ht="13.2">
      <c r="B608" s="16"/>
      <c r="D608" s="16"/>
      <c r="R608" s="111"/>
    </row>
    <row r="609" spans="2:18" ht="13.2">
      <c r="B609" s="16"/>
      <c r="D609" s="16"/>
      <c r="R609" s="111"/>
    </row>
    <row r="610" spans="2:18" ht="13.2">
      <c r="B610" s="16"/>
      <c r="D610" s="16"/>
      <c r="R610" s="111"/>
    </row>
    <row r="611" spans="2:18" ht="13.2">
      <c r="B611" s="16"/>
      <c r="D611" s="16"/>
      <c r="R611" s="111"/>
    </row>
    <row r="612" spans="2:18" ht="13.2">
      <c r="B612" s="16"/>
      <c r="D612" s="16"/>
      <c r="R612" s="111"/>
    </row>
    <row r="613" spans="2:18" ht="13.2">
      <c r="B613" s="16"/>
      <c r="D613" s="16"/>
      <c r="R613" s="111"/>
    </row>
    <row r="614" spans="2:18" ht="13.2">
      <c r="B614" s="16"/>
      <c r="D614" s="16"/>
      <c r="R614" s="111"/>
    </row>
    <row r="615" spans="2:18" ht="13.2">
      <c r="B615" s="16"/>
      <c r="D615" s="16"/>
      <c r="R615" s="111"/>
    </row>
    <row r="616" spans="2:18" ht="13.2">
      <c r="B616" s="16"/>
      <c r="D616" s="16"/>
      <c r="R616" s="111"/>
    </row>
    <row r="617" spans="2:18" ht="13.2">
      <c r="B617" s="16"/>
      <c r="D617" s="16"/>
      <c r="R617" s="111"/>
    </row>
    <row r="618" spans="2:18" ht="13.2">
      <c r="B618" s="16"/>
      <c r="D618" s="16"/>
      <c r="R618" s="111"/>
    </row>
    <row r="619" spans="2:18" ht="13.2">
      <c r="B619" s="16"/>
      <c r="D619" s="16"/>
      <c r="R619" s="111"/>
    </row>
    <row r="620" spans="2:18" ht="13.2">
      <c r="B620" s="16"/>
      <c r="D620" s="16"/>
      <c r="R620" s="111"/>
    </row>
    <row r="621" spans="2:18" ht="13.2">
      <c r="B621" s="16"/>
      <c r="D621" s="16"/>
      <c r="R621" s="111"/>
    </row>
    <row r="622" spans="2:18" ht="13.2">
      <c r="B622" s="16"/>
      <c r="D622" s="16"/>
      <c r="R622" s="111"/>
    </row>
    <row r="623" spans="2:18" ht="13.2">
      <c r="B623" s="16"/>
      <c r="D623" s="16"/>
      <c r="R623" s="111"/>
    </row>
    <row r="624" spans="2:18" ht="13.2">
      <c r="B624" s="16"/>
      <c r="D624" s="16"/>
      <c r="R624" s="111"/>
    </row>
    <row r="625" spans="2:18" ht="13.2">
      <c r="B625" s="16"/>
      <c r="D625" s="16"/>
      <c r="R625" s="111"/>
    </row>
    <row r="626" spans="2:18" ht="13.2">
      <c r="B626" s="16"/>
      <c r="D626" s="16"/>
      <c r="R626" s="111"/>
    </row>
    <row r="627" spans="2:18" ht="13.2">
      <c r="B627" s="16"/>
      <c r="D627" s="16"/>
      <c r="R627" s="111"/>
    </row>
    <row r="628" spans="2:18" ht="13.2">
      <c r="B628" s="16"/>
      <c r="D628" s="16"/>
      <c r="R628" s="111"/>
    </row>
    <row r="629" spans="2:18" ht="13.2">
      <c r="B629" s="16"/>
      <c r="D629" s="16"/>
      <c r="R629" s="111"/>
    </row>
    <row r="630" spans="2:18" ht="13.2">
      <c r="B630" s="16"/>
      <c r="D630" s="16"/>
      <c r="R630" s="111"/>
    </row>
    <row r="631" spans="2:18" ht="13.2">
      <c r="B631" s="16"/>
      <c r="D631" s="16"/>
      <c r="R631" s="111"/>
    </row>
    <row r="632" spans="2:18" ht="13.2">
      <c r="B632" s="16"/>
      <c r="D632" s="16"/>
      <c r="R632" s="111"/>
    </row>
    <row r="633" spans="2:18" ht="13.2">
      <c r="B633" s="16"/>
      <c r="D633" s="16"/>
      <c r="R633" s="111"/>
    </row>
    <row r="634" spans="2:18" ht="13.2">
      <c r="B634" s="16"/>
      <c r="D634" s="16"/>
      <c r="R634" s="111"/>
    </row>
    <row r="635" spans="2:18" ht="13.2">
      <c r="B635" s="16"/>
      <c r="D635" s="16"/>
      <c r="R635" s="111"/>
    </row>
    <row r="636" spans="2:18" ht="13.2">
      <c r="B636" s="16"/>
      <c r="D636" s="16"/>
      <c r="R636" s="111"/>
    </row>
    <row r="637" spans="2:18" ht="13.2">
      <c r="B637" s="16"/>
      <c r="D637" s="16"/>
      <c r="R637" s="111"/>
    </row>
    <row r="638" spans="2:18" ht="13.2">
      <c r="B638" s="16"/>
      <c r="D638" s="16"/>
      <c r="R638" s="111"/>
    </row>
    <row r="639" spans="2:18" ht="13.2">
      <c r="B639" s="16"/>
      <c r="D639" s="16"/>
      <c r="R639" s="111"/>
    </row>
    <row r="640" spans="2:18" ht="13.2">
      <c r="B640" s="16"/>
      <c r="D640" s="16"/>
      <c r="R640" s="111"/>
    </row>
    <row r="641" spans="2:18" ht="13.2">
      <c r="B641" s="16"/>
      <c r="D641" s="16"/>
      <c r="R641" s="111"/>
    </row>
    <row r="642" spans="2:18" ht="13.2">
      <c r="B642" s="16"/>
      <c r="D642" s="16"/>
      <c r="R642" s="111"/>
    </row>
    <row r="643" spans="2:18" ht="13.2">
      <c r="B643" s="16"/>
      <c r="D643" s="16"/>
      <c r="R643" s="111"/>
    </row>
    <row r="644" spans="2:18" ht="13.2">
      <c r="B644" s="16"/>
      <c r="D644" s="16"/>
      <c r="R644" s="111"/>
    </row>
    <row r="645" spans="2:18" ht="13.2">
      <c r="B645" s="16"/>
      <c r="D645" s="16"/>
      <c r="R645" s="111"/>
    </row>
    <row r="646" spans="2:18" ht="13.2">
      <c r="B646" s="16"/>
      <c r="D646" s="16"/>
      <c r="R646" s="111"/>
    </row>
    <row r="647" spans="2:18" ht="13.2">
      <c r="B647" s="16"/>
      <c r="D647" s="16"/>
      <c r="R647" s="111"/>
    </row>
    <row r="648" spans="2:18" ht="13.2">
      <c r="B648" s="16"/>
      <c r="D648" s="16"/>
      <c r="R648" s="111"/>
    </row>
    <row r="649" spans="2:18" ht="13.2">
      <c r="B649" s="16"/>
      <c r="D649" s="16"/>
      <c r="R649" s="111"/>
    </row>
    <row r="650" spans="2:18" ht="13.2">
      <c r="B650" s="16"/>
      <c r="D650" s="16"/>
      <c r="R650" s="111"/>
    </row>
    <row r="651" spans="2:18" ht="13.2">
      <c r="B651" s="16"/>
      <c r="D651" s="16"/>
      <c r="R651" s="111"/>
    </row>
    <row r="652" spans="2:18" ht="13.2">
      <c r="B652" s="16"/>
      <c r="D652" s="16"/>
      <c r="R652" s="111"/>
    </row>
    <row r="653" spans="2:18" ht="13.2">
      <c r="B653" s="16"/>
      <c r="D653" s="16"/>
      <c r="R653" s="111"/>
    </row>
    <row r="654" spans="2:18" ht="13.2">
      <c r="B654" s="16"/>
      <c r="D654" s="16"/>
      <c r="R654" s="111"/>
    </row>
    <row r="655" spans="2:18" ht="13.2">
      <c r="B655" s="16"/>
      <c r="D655" s="16"/>
      <c r="R655" s="111"/>
    </row>
    <row r="656" spans="2:18" ht="13.2">
      <c r="B656" s="16"/>
      <c r="D656" s="16"/>
      <c r="R656" s="111"/>
    </row>
    <row r="657" spans="2:18" ht="13.2">
      <c r="B657" s="16"/>
      <c r="D657" s="16"/>
      <c r="R657" s="111"/>
    </row>
    <row r="658" spans="2:18" ht="13.2">
      <c r="B658" s="16"/>
      <c r="D658" s="16"/>
      <c r="R658" s="111"/>
    </row>
    <row r="659" spans="2:18" ht="13.2">
      <c r="B659" s="16"/>
      <c r="D659" s="16"/>
      <c r="R659" s="111"/>
    </row>
    <row r="660" spans="2:18" ht="13.2">
      <c r="B660" s="16"/>
      <c r="D660" s="16"/>
      <c r="R660" s="111"/>
    </row>
    <row r="661" spans="2:18" ht="13.2">
      <c r="B661" s="16"/>
      <c r="D661" s="16"/>
      <c r="R661" s="111"/>
    </row>
    <row r="662" spans="2:18" ht="13.2">
      <c r="B662" s="16"/>
      <c r="D662" s="16"/>
      <c r="R662" s="111"/>
    </row>
    <row r="663" spans="2:18" ht="13.2">
      <c r="B663" s="16"/>
      <c r="D663" s="16"/>
      <c r="R663" s="111"/>
    </row>
    <row r="664" spans="2:18" ht="13.2">
      <c r="B664" s="16"/>
      <c r="D664" s="16"/>
      <c r="R664" s="111"/>
    </row>
    <row r="665" spans="2:18" ht="13.2">
      <c r="B665" s="16"/>
      <c r="D665" s="16"/>
      <c r="R665" s="111"/>
    </row>
    <row r="666" spans="2:18" ht="13.2">
      <c r="B666" s="16"/>
      <c r="D666" s="16"/>
      <c r="R666" s="111"/>
    </row>
    <row r="667" spans="2:18" ht="13.2">
      <c r="B667" s="16"/>
      <c r="D667" s="16"/>
      <c r="R667" s="111"/>
    </row>
    <row r="668" spans="2:18" ht="13.2">
      <c r="B668" s="16"/>
      <c r="D668" s="16"/>
      <c r="R668" s="111"/>
    </row>
    <row r="669" spans="2:18" ht="13.2">
      <c r="B669" s="16"/>
      <c r="D669" s="16"/>
      <c r="R669" s="111"/>
    </row>
    <row r="670" spans="2:18" ht="13.2">
      <c r="B670" s="16"/>
      <c r="D670" s="16"/>
      <c r="R670" s="111"/>
    </row>
    <row r="671" spans="2:18" ht="13.2">
      <c r="B671" s="16"/>
      <c r="D671" s="16"/>
      <c r="R671" s="111"/>
    </row>
    <row r="672" spans="2:18" ht="13.2">
      <c r="B672" s="16"/>
      <c r="D672" s="16"/>
      <c r="R672" s="111"/>
    </row>
    <row r="673" spans="2:18" ht="13.2">
      <c r="B673" s="16"/>
      <c r="D673" s="16"/>
      <c r="R673" s="111"/>
    </row>
    <row r="674" spans="2:18" ht="13.2">
      <c r="B674" s="16"/>
      <c r="D674" s="16"/>
      <c r="R674" s="111"/>
    </row>
    <row r="675" spans="2:18" ht="13.2">
      <c r="B675" s="16"/>
      <c r="D675" s="16"/>
      <c r="R675" s="111"/>
    </row>
    <row r="676" spans="2:18" ht="13.2">
      <c r="B676" s="16"/>
      <c r="D676" s="16"/>
      <c r="R676" s="111"/>
    </row>
    <row r="677" spans="2:18" ht="13.2">
      <c r="B677" s="16"/>
      <c r="D677" s="16"/>
      <c r="R677" s="111"/>
    </row>
    <row r="678" spans="2:18" ht="13.2">
      <c r="B678" s="16"/>
      <c r="D678" s="16"/>
      <c r="R678" s="111"/>
    </row>
    <row r="679" spans="2:18" ht="13.2">
      <c r="B679" s="16"/>
      <c r="D679" s="16"/>
      <c r="R679" s="111"/>
    </row>
    <row r="680" spans="2:18" ht="13.2">
      <c r="B680" s="16"/>
      <c r="D680" s="16"/>
      <c r="R680" s="111"/>
    </row>
    <row r="681" spans="2:18" ht="13.2">
      <c r="B681" s="16"/>
      <c r="D681" s="16"/>
      <c r="R681" s="111"/>
    </row>
    <row r="682" spans="2:18" ht="13.2">
      <c r="B682" s="16"/>
      <c r="D682" s="16"/>
      <c r="R682" s="111"/>
    </row>
    <row r="683" spans="2:18" ht="13.2">
      <c r="B683" s="16"/>
      <c r="D683" s="16"/>
      <c r="R683" s="111"/>
    </row>
    <row r="684" spans="2:18" ht="13.2">
      <c r="B684" s="16"/>
      <c r="D684" s="16"/>
      <c r="R684" s="111"/>
    </row>
    <row r="685" spans="2:18" ht="13.2">
      <c r="B685" s="16"/>
      <c r="D685" s="16"/>
      <c r="R685" s="111"/>
    </row>
    <row r="686" spans="2:18" ht="13.2">
      <c r="B686" s="16"/>
      <c r="D686" s="16"/>
      <c r="R686" s="111"/>
    </row>
    <row r="687" spans="2:18" ht="13.2">
      <c r="B687" s="16"/>
      <c r="D687" s="16"/>
      <c r="R687" s="111"/>
    </row>
    <row r="688" spans="2:18" ht="13.2">
      <c r="B688" s="16"/>
      <c r="D688" s="16"/>
      <c r="R688" s="111"/>
    </row>
    <row r="689" spans="2:18" ht="13.2">
      <c r="B689" s="16"/>
      <c r="D689" s="16"/>
      <c r="R689" s="111"/>
    </row>
    <row r="690" spans="2:18" ht="13.2">
      <c r="B690" s="16"/>
      <c r="D690" s="16"/>
      <c r="R690" s="111"/>
    </row>
    <row r="691" spans="2:18" ht="13.2">
      <c r="B691" s="16"/>
      <c r="D691" s="16"/>
      <c r="R691" s="111"/>
    </row>
    <row r="692" spans="2:18" ht="13.2">
      <c r="B692" s="16"/>
      <c r="D692" s="16"/>
      <c r="R692" s="111"/>
    </row>
    <row r="693" spans="2:18" ht="13.2">
      <c r="B693" s="16"/>
      <c r="D693" s="16"/>
      <c r="R693" s="111"/>
    </row>
    <row r="694" spans="2:18" ht="13.2">
      <c r="B694" s="16"/>
      <c r="D694" s="16"/>
      <c r="R694" s="111"/>
    </row>
    <row r="695" spans="2:18" ht="13.2">
      <c r="B695" s="16"/>
      <c r="D695" s="16"/>
      <c r="R695" s="111"/>
    </row>
    <row r="696" spans="2:18" ht="13.2">
      <c r="B696" s="16"/>
      <c r="D696" s="16"/>
      <c r="R696" s="111"/>
    </row>
    <row r="697" spans="2:18" ht="13.2">
      <c r="B697" s="16"/>
      <c r="D697" s="16"/>
      <c r="R697" s="111"/>
    </row>
    <row r="698" spans="2:18" ht="13.2">
      <c r="B698" s="16"/>
      <c r="D698" s="16"/>
      <c r="R698" s="111"/>
    </row>
    <row r="699" spans="2:18" ht="13.2">
      <c r="B699" s="16"/>
      <c r="D699" s="16"/>
      <c r="R699" s="111"/>
    </row>
    <row r="700" spans="2:18" ht="13.2">
      <c r="B700" s="16"/>
      <c r="D700" s="16"/>
      <c r="R700" s="111"/>
    </row>
    <row r="701" spans="2:18" ht="13.2">
      <c r="B701" s="16"/>
      <c r="D701" s="16"/>
      <c r="R701" s="111"/>
    </row>
    <row r="702" spans="2:18" ht="13.2">
      <c r="B702" s="16"/>
      <c r="D702" s="16"/>
      <c r="R702" s="111"/>
    </row>
    <row r="703" spans="2:18" ht="13.2">
      <c r="B703" s="16"/>
      <c r="D703" s="16"/>
      <c r="R703" s="111"/>
    </row>
    <row r="704" spans="2:18" ht="13.2">
      <c r="B704" s="16"/>
      <c r="D704" s="16"/>
      <c r="R704" s="111"/>
    </row>
    <row r="705" spans="2:18" ht="13.2">
      <c r="B705" s="16"/>
      <c r="D705" s="16"/>
      <c r="R705" s="111"/>
    </row>
    <row r="706" spans="2:18" ht="13.2">
      <c r="B706" s="16"/>
      <c r="D706" s="16"/>
      <c r="R706" s="111"/>
    </row>
    <row r="707" spans="2:18" ht="13.2">
      <c r="B707" s="16"/>
      <c r="D707" s="16"/>
      <c r="R707" s="111"/>
    </row>
    <row r="708" spans="2:18" ht="13.2">
      <c r="B708" s="16"/>
      <c r="D708" s="16"/>
      <c r="R708" s="111"/>
    </row>
    <row r="709" spans="2:18" ht="13.2">
      <c r="B709" s="16"/>
      <c r="D709" s="16"/>
      <c r="R709" s="111"/>
    </row>
    <row r="710" spans="2:18" ht="13.2">
      <c r="B710" s="16"/>
      <c r="D710" s="16"/>
      <c r="R710" s="111"/>
    </row>
    <row r="711" spans="2:18" ht="13.2">
      <c r="B711" s="16"/>
      <c r="D711" s="16"/>
      <c r="R711" s="111"/>
    </row>
    <row r="712" spans="2:18" ht="13.2">
      <c r="B712" s="16"/>
      <c r="D712" s="16"/>
      <c r="R712" s="111"/>
    </row>
    <row r="713" spans="2:18" ht="13.2">
      <c r="B713" s="16"/>
      <c r="D713" s="16"/>
      <c r="R713" s="111"/>
    </row>
    <row r="714" spans="2:18" ht="13.2">
      <c r="B714" s="16"/>
      <c r="D714" s="16"/>
      <c r="R714" s="111"/>
    </row>
    <row r="715" spans="2:18" ht="13.2">
      <c r="B715" s="16"/>
      <c r="D715" s="16"/>
      <c r="R715" s="111"/>
    </row>
    <row r="716" spans="2:18" ht="13.2">
      <c r="B716" s="16"/>
      <c r="D716" s="16"/>
      <c r="R716" s="111"/>
    </row>
    <row r="717" spans="2:18" ht="13.2">
      <c r="B717" s="16"/>
      <c r="D717" s="16"/>
      <c r="R717" s="111"/>
    </row>
    <row r="718" spans="2:18" ht="13.2">
      <c r="B718" s="16"/>
      <c r="D718" s="16"/>
      <c r="R718" s="111"/>
    </row>
    <row r="719" spans="2:18" ht="13.2">
      <c r="B719" s="16"/>
      <c r="D719" s="16"/>
      <c r="R719" s="111"/>
    </row>
    <row r="720" spans="2:18" ht="13.2">
      <c r="B720" s="16"/>
      <c r="D720" s="16"/>
      <c r="R720" s="111"/>
    </row>
    <row r="721" spans="2:18" ht="13.2">
      <c r="B721" s="16"/>
      <c r="D721" s="16"/>
      <c r="R721" s="111"/>
    </row>
    <row r="722" spans="2:18" ht="13.2">
      <c r="B722" s="16"/>
      <c r="D722" s="16"/>
      <c r="R722" s="111"/>
    </row>
    <row r="723" spans="2:18" ht="13.2">
      <c r="B723" s="16"/>
      <c r="D723" s="16"/>
      <c r="R723" s="111"/>
    </row>
    <row r="724" spans="2:18" ht="13.2">
      <c r="B724" s="16"/>
      <c r="D724" s="16"/>
      <c r="R724" s="111"/>
    </row>
    <row r="725" spans="2:18" ht="13.2">
      <c r="B725" s="16"/>
      <c r="D725" s="16"/>
      <c r="R725" s="111"/>
    </row>
    <row r="726" spans="2:18" ht="13.2">
      <c r="B726" s="16"/>
      <c r="D726" s="16"/>
      <c r="R726" s="111"/>
    </row>
    <row r="727" spans="2:18" ht="13.2">
      <c r="B727" s="16"/>
      <c r="D727" s="16"/>
      <c r="R727" s="111"/>
    </row>
    <row r="728" spans="2:18" ht="13.2">
      <c r="B728" s="16"/>
      <c r="D728" s="16"/>
      <c r="R728" s="111"/>
    </row>
    <row r="729" spans="2:18" ht="13.2">
      <c r="B729" s="16"/>
      <c r="D729" s="16"/>
      <c r="R729" s="111"/>
    </row>
    <row r="730" spans="2:18" ht="13.2">
      <c r="B730" s="16"/>
      <c r="D730" s="16"/>
      <c r="R730" s="111"/>
    </row>
    <row r="731" spans="2:18" ht="13.2">
      <c r="B731" s="16"/>
      <c r="D731" s="16"/>
      <c r="R731" s="111"/>
    </row>
    <row r="732" spans="2:18" ht="13.2">
      <c r="B732" s="16"/>
      <c r="D732" s="16"/>
      <c r="R732" s="111"/>
    </row>
    <row r="733" spans="2:18" ht="13.2">
      <c r="B733" s="16"/>
      <c r="D733" s="16"/>
      <c r="R733" s="111"/>
    </row>
    <row r="734" spans="2:18" ht="13.2">
      <c r="B734" s="16"/>
      <c r="D734" s="16"/>
      <c r="R734" s="111"/>
    </row>
    <row r="735" spans="2:18" ht="13.2">
      <c r="B735" s="16"/>
      <c r="D735" s="16"/>
      <c r="R735" s="111"/>
    </row>
    <row r="736" spans="2:18" ht="13.2">
      <c r="B736" s="16"/>
      <c r="D736" s="16"/>
      <c r="R736" s="111"/>
    </row>
    <row r="737" spans="2:18" ht="13.2">
      <c r="B737" s="16"/>
      <c r="D737" s="16"/>
      <c r="R737" s="111"/>
    </row>
    <row r="738" spans="2:18" ht="13.2">
      <c r="B738" s="16"/>
      <c r="D738" s="16"/>
      <c r="R738" s="111"/>
    </row>
    <row r="739" spans="2:18" ht="13.2">
      <c r="B739" s="16"/>
      <c r="D739" s="16"/>
      <c r="R739" s="111"/>
    </row>
    <row r="740" spans="2:18" ht="13.2">
      <c r="B740" s="16"/>
      <c r="D740" s="16"/>
      <c r="R740" s="111"/>
    </row>
    <row r="741" spans="2:18" ht="13.2">
      <c r="B741" s="16"/>
      <c r="D741" s="16"/>
      <c r="R741" s="111"/>
    </row>
    <row r="742" spans="2:18" ht="13.2">
      <c r="B742" s="16"/>
      <c r="D742" s="16"/>
      <c r="R742" s="111"/>
    </row>
    <row r="743" spans="2:18" ht="13.2">
      <c r="B743" s="16"/>
      <c r="D743" s="16"/>
      <c r="R743" s="111"/>
    </row>
    <row r="744" spans="2:18" ht="13.2">
      <c r="B744" s="16"/>
      <c r="D744" s="16"/>
      <c r="R744" s="111"/>
    </row>
    <row r="745" spans="2:18" ht="13.2">
      <c r="B745" s="16"/>
      <c r="D745" s="16"/>
      <c r="R745" s="111"/>
    </row>
    <row r="746" spans="2:18" ht="13.2">
      <c r="B746" s="16"/>
      <c r="D746" s="16"/>
      <c r="R746" s="111"/>
    </row>
    <row r="747" spans="2:18" ht="13.2">
      <c r="B747" s="16"/>
      <c r="D747" s="16"/>
      <c r="R747" s="111"/>
    </row>
    <row r="748" spans="2:18" ht="13.2">
      <c r="B748" s="16"/>
      <c r="D748" s="16"/>
      <c r="R748" s="111"/>
    </row>
    <row r="749" spans="2:18" ht="13.2">
      <c r="B749" s="16"/>
      <c r="D749" s="16"/>
      <c r="R749" s="111"/>
    </row>
    <row r="750" spans="2:18" ht="13.2">
      <c r="B750" s="16"/>
      <c r="D750" s="16"/>
      <c r="R750" s="111"/>
    </row>
    <row r="751" spans="2:18" ht="13.2">
      <c r="B751" s="16"/>
      <c r="D751" s="16"/>
      <c r="R751" s="111"/>
    </row>
    <row r="752" spans="2:18" ht="13.2">
      <c r="B752" s="16"/>
      <c r="D752" s="16"/>
      <c r="R752" s="111"/>
    </row>
    <row r="753" spans="2:18" ht="13.2">
      <c r="B753" s="16"/>
      <c r="D753" s="16"/>
      <c r="R753" s="111"/>
    </row>
    <row r="754" spans="2:18" ht="13.2">
      <c r="B754" s="16"/>
      <c r="D754" s="16"/>
      <c r="R754" s="111"/>
    </row>
    <row r="755" spans="2:18" ht="13.2">
      <c r="B755" s="16"/>
      <c r="D755" s="16"/>
      <c r="R755" s="111"/>
    </row>
    <row r="756" spans="2:18" ht="13.2">
      <c r="B756" s="16"/>
      <c r="D756" s="16"/>
      <c r="R756" s="111"/>
    </row>
    <row r="757" spans="2:18" ht="13.2">
      <c r="B757" s="16"/>
      <c r="D757" s="16"/>
      <c r="R757" s="111"/>
    </row>
    <row r="758" spans="2:18" ht="13.2">
      <c r="B758" s="16"/>
      <c r="D758" s="16"/>
      <c r="R758" s="111"/>
    </row>
    <row r="759" spans="2:18" ht="13.2">
      <c r="B759" s="16"/>
      <c r="D759" s="16"/>
      <c r="R759" s="111"/>
    </row>
    <row r="760" spans="2:18" ht="13.2">
      <c r="B760" s="16"/>
      <c r="D760" s="16"/>
      <c r="R760" s="111"/>
    </row>
    <row r="761" spans="2:18" ht="13.2">
      <c r="B761" s="16"/>
      <c r="D761" s="16"/>
      <c r="R761" s="111"/>
    </row>
    <row r="762" spans="2:18" ht="13.2">
      <c r="B762" s="16"/>
      <c r="D762" s="16"/>
      <c r="R762" s="111"/>
    </row>
    <row r="763" spans="2:18" ht="13.2">
      <c r="B763" s="16"/>
      <c r="D763" s="16"/>
      <c r="R763" s="111"/>
    </row>
    <row r="764" spans="2:18" ht="13.2">
      <c r="B764" s="16"/>
      <c r="D764" s="16"/>
      <c r="R764" s="111"/>
    </row>
    <row r="765" spans="2:18" ht="13.2">
      <c r="B765" s="16"/>
      <c r="D765" s="16"/>
      <c r="R765" s="111"/>
    </row>
    <row r="766" spans="2:18" ht="13.2">
      <c r="B766" s="16"/>
      <c r="D766" s="16"/>
      <c r="R766" s="111"/>
    </row>
    <row r="767" spans="2:18" ht="13.2">
      <c r="B767" s="16"/>
      <c r="D767" s="16"/>
      <c r="R767" s="111"/>
    </row>
    <row r="768" spans="2:18" ht="13.2">
      <c r="B768" s="16"/>
      <c r="D768" s="16"/>
      <c r="R768" s="111"/>
    </row>
    <row r="769" spans="2:18" ht="13.2">
      <c r="B769" s="16"/>
      <c r="D769" s="16"/>
      <c r="R769" s="111"/>
    </row>
    <row r="770" spans="2:18" ht="13.2">
      <c r="B770" s="16"/>
      <c r="D770" s="16"/>
      <c r="R770" s="111"/>
    </row>
    <row r="771" spans="2:18" ht="13.2">
      <c r="B771" s="16"/>
      <c r="D771" s="16"/>
      <c r="R771" s="111"/>
    </row>
    <row r="772" spans="2:18" ht="13.2">
      <c r="B772" s="16"/>
      <c r="D772" s="16"/>
      <c r="R772" s="111"/>
    </row>
    <row r="773" spans="2:18" ht="13.2">
      <c r="B773" s="16"/>
      <c r="D773" s="16"/>
      <c r="R773" s="111"/>
    </row>
    <row r="774" spans="2:18" ht="13.2">
      <c r="B774" s="16"/>
      <c r="D774" s="16"/>
      <c r="R774" s="111"/>
    </row>
    <row r="775" spans="2:18" ht="13.2">
      <c r="B775" s="16"/>
      <c r="D775" s="16"/>
      <c r="R775" s="111"/>
    </row>
    <row r="776" spans="2:18" ht="13.2">
      <c r="B776" s="16"/>
      <c r="D776" s="16"/>
      <c r="R776" s="111"/>
    </row>
    <row r="777" spans="2:18" ht="13.2">
      <c r="B777" s="16"/>
      <c r="D777" s="16"/>
      <c r="R777" s="111"/>
    </row>
    <row r="778" spans="2:18" ht="13.2">
      <c r="B778" s="16"/>
      <c r="D778" s="16"/>
      <c r="R778" s="111"/>
    </row>
    <row r="779" spans="2:18" ht="13.2">
      <c r="B779" s="16"/>
      <c r="D779" s="16"/>
      <c r="R779" s="111"/>
    </row>
    <row r="780" spans="2:18" ht="13.2">
      <c r="B780" s="16"/>
      <c r="D780" s="16"/>
      <c r="R780" s="111"/>
    </row>
    <row r="781" spans="2:18" ht="13.2">
      <c r="B781" s="16"/>
      <c r="D781" s="16"/>
      <c r="R781" s="111"/>
    </row>
    <row r="782" spans="2:18" ht="13.2">
      <c r="B782" s="16"/>
      <c r="D782" s="16"/>
      <c r="R782" s="111"/>
    </row>
    <row r="783" spans="2:18" ht="13.2">
      <c r="B783" s="16"/>
      <c r="D783" s="16"/>
      <c r="R783" s="111"/>
    </row>
    <row r="784" spans="2:18" ht="13.2">
      <c r="B784" s="16"/>
      <c r="D784" s="16"/>
      <c r="R784" s="111"/>
    </row>
    <row r="785" spans="2:18" ht="13.2">
      <c r="B785" s="16"/>
      <c r="D785" s="16"/>
      <c r="R785" s="111"/>
    </row>
    <row r="786" spans="2:18" ht="13.2">
      <c r="B786" s="16"/>
      <c r="D786" s="16"/>
      <c r="R786" s="111"/>
    </row>
    <row r="787" spans="2:18" ht="13.2">
      <c r="B787" s="16"/>
      <c r="D787" s="16"/>
      <c r="R787" s="111"/>
    </row>
    <row r="788" spans="2:18" ht="13.2">
      <c r="B788" s="16"/>
      <c r="D788" s="16"/>
      <c r="R788" s="111"/>
    </row>
    <row r="789" spans="2:18" ht="13.2">
      <c r="B789" s="16"/>
      <c r="D789" s="16"/>
      <c r="R789" s="111"/>
    </row>
    <row r="790" spans="2:18" ht="13.2">
      <c r="B790" s="16"/>
      <c r="D790" s="16"/>
      <c r="R790" s="111"/>
    </row>
    <row r="791" spans="2:18" ht="13.2">
      <c r="B791" s="16"/>
      <c r="D791" s="16"/>
      <c r="R791" s="111"/>
    </row>
    <row r="792" spans="2:18" ht="13.2">
      <c r="B792" s="16"/>
      <c r="D792" s="16"/>
      <c r="R792" s="111"/>
    </row>
    <row r="793" spans="2:18" ht="13.2">
      <c r="B793" s="16"/>
      <c r="D793" s="16"/>
      <c r="R793" s="111"/>
    </row>
    <row r="794" spans="2:18" ht="13.2">
      <c r="B794" s="16"/>
      <c r="D794" s="16"/>
      <c r="R794" s="111"/>
    </row>
    <row r="795" spans="2:18" ht="13.2">
      <c r="B795" s="16"/>
      <c r="D795" s="16"/>
      <c r="R795" s="111"/>
    </row>
    <row r="796" spans="2:18" ht="13.2">
      <c r="B796" s="16"/>
      <c r="D796" s="16"/>
      <c r="R796" s="111"/>
    </row>
    <row r="797" spans="2:18" ht="13.2">
      <c r="B797" s="16"/>
      <c r="D797" s="16"/>
      <c r="R797" s="111"/>
    </row>
    <row r="798" spans="2:18" ht="13.2">
      <c r="B798" s="16"/>
      <c r="D798" s="16"/>
      <c r="R798" s="111"/>
    </row>
    <row r="799" spans="2:18" ht="13.2">
      <c r="B799" s="16"/>
      <c r="D799" s="16"/>
      <c r="R799" s="111"/>
    </row>
    <row r="800" spans="2:18" ht="13.2">
      <c r="B800" s="16"/>
      <c r="D800" s="16"/>
      <c r="R800" s="111"/>
    </row>
    <row r="801" spans="2:18" ht="13.2">
      <c r="B801" s="16"/>
      <c r="D801" s="16"/>
      <c r="R801" s="111"/>
    </row>
    <row r="802" spans="2:18" ht="13.2">
      <c r="B802" s="16"/>
      <c r="D802" s="16"/>
      <c r="R802" s="111"/>
    </row>
    <row r="803" spans="2:18" ht="13.2">
      <c r="B803" s="16"/>
      <c r="D803" s="16"/>
      <c r="R803" s="111"/>
    </row>
    <row r="804" spans="2:18" ht="13.2">
      <c r="B804" s="16"/>
      <c r="D804" s="16"/>
      <c r="R804" s="111"/>
    </row>
    <row r="805" spans="2:18" ht="13.2">
      <c r="B805" s="16"/>
      <c r="D805" s="16"/>
      <c r="R805" s="111"/>
    </row>
    <row r="806" spans="2:18" ht="13.2">
      <c r="B806" s="16"/>
      <c r="D806" s="16"/>
      <c r="R806" s="111"/>
    </row>
    <row r="807" spans="2:18" ht="13.2">
      <c r="B807" s="16"/>
      <c r="D807" s="16"/>
      <c r="R807" s="111"/>
    </row>
    <row r="808" spans="2:18" ht="13.2">
      <c r="B808" s="16"/>
      <c r="D808" s="16"/>
      <c r="R808" s="111"/>
    </row>
    <row r="809" spans="2:18" ht="13.2">
      <c r="B809" s="16"/>
      <c r="D809" s="16"/>
      <c r="R809" s="111"/>
    </row>
    <row r="810" spans="2:18" ht="13.2">
      <c r="B810" s="16"/>
      <c r="D810" s="16"/>
      <c r="R810" s="111"/>
    </row>
    <row r="811" spans="2:18" ht="13.2">
      <c r="B811" s="16"/>
      <c r="D811" s="16"/>
      <c r="R811" s="111"/>
    </row>
    <row r="812" spans="2:18" ht="13.2">
      <c r="B812" s="16"/>
      <c r="D812" s="16"/>
      <c r="R812" s="111"/>
    </row>
    <row r="813" spans="2:18" ht="13.2">
      <c r="B813" s="16"/>
      <c r="D813" s="16"/>
      <c r="R813" s="111"/>
    </row>
    <row r="814" spans="2:18" ht="13.2">
      <c r="B814" s="16"/>
      <c r="D814" s="16"/>
      <c r="R814" s="111"/>
    </row>
    <row r="815" spans="2:18" ht="13.2">
      <c r="B815" s="16"/>
      <c r="D815" s="16"/>
      <c r="R815" s="111"/>
    </row>
    <row r="816" spans="2:18" ht="13.2">
      <c r="B816" s="16"/>
      <c r="D816" s="16"/>
      <c r="R816" s="111"/>
    </row>
    <row r="817" spans="2:18" ht="13.2">
      <c r="B817" s="16"/>
      <c r="D817" s="16"/>
      <c r="R817" s="111"/>
    </row>
    <row r="818" spans="2:18" ht="13.2">
      <c r="B818" s="16"/>
      <c r="D818" s="16"/>
      <c r="R818" s="111"/>
    </row>
    <row r="819" spans="2:18" ht="13.2">
      <c r="B819" s="16"/>
      <c r="D819" s="16"/>
      <c r="R819" s="111"/>
    </row>
    <row r="820" spans="2:18" ht="13.2">
      <c r="B820" s="16"/>
      <c r="D820" s="16"/>
      <c r="R820" s="111"/>
    </row>
    <row r="821" spans="2:18" ht="13.2">
      <c r="B821" s="16"/>
      <c r="D821" s="16"/>
      <c r="R821" s="111"/>
    </row>
    <row r="822" spans="2:18" ht="13.2">
      <c r="B822" s="16"/>
      <c r="D822" s="16"/>
      <c r="R822" s="111"/>
    </row>
    <row r="823" spans="2:18" ht="13.2">
      <c r="B823" s="16"/>
      <c r="D823" s="16"/>
      <c r="R823" s="111"/>
    </row>
    <row r="824" spans="2:18" ht="13.2">
      <c r="B824" s="16"/>
      <c r="D824" s="16"/>
      <c r="R824" s="111"/>
    </row>
    <row r="825" spans="2:18" ht="13.2">
      <c r="B825" s="16"/>
      <c r="D825" s="16"/>
      <c r="R825" s="111"/>
    </row>
    <row r="826" spans="2:18" ht="13.2">
      <c r="B826" s="16"/>
      <c r="D826" s="16"/>
      <c r="R826" s="111"/>
    </row>
    <row r="827" spans="2:18" ht="13.2">
      <c r="B827" s="16"/>
      <c r="D827" s="16"/>
      <c r="R827" s="111"/>
    </row>
    <row r="828" spans="2:18" ht="13.2">
      <c r="B828" s="16"/>
      <c r="D828" s="16"/>
      <c r="R828" s="111"/>
    </row>
    <row r="829" spans="2:18" ht="13.2">
      <c r="B829" s="16"/>
      <c r="D829" s="16"/>
      <c r="R829" s="111"/>
    </row>
    <row r="830" spans="2:18" ht="13.2">
      <c r="B830" s="16"/>
      <c r="D830" s="16"/>
      <c r="R830" s="111"/>
    </row>
    <row r="831" spans="2:18" ht="13.2">
      <c r="B831" s="16"/>
      <c r="D831" s="16"/>
      <c r="R831" s="111"/>
    </row>
    <row r="832" spans="2:18" ht="13.2">
      <c r="B832" s="16"/>
      <c r="D832" s="16"/>
      <c r="R832" s="111"/>
    </row>
    <row r="833" spans="2:18" ht="13.2">
      <c r="B833" s="16"/>
      <c r="D833" s="16"/>
      <c r="R833" s="111"/>
    </row>
    <row r="834" spans="2:18" ht="13.2">
      <c r="B834" s="16"/>
      <c r="D834" s="16"/>
      <c r="R834" s="111"/>
    </row>
    <row r="835" spans="2:18" ht="13.2">
      <c r="B835" s="16"/>
      <c r="D835" s="16"/>
      <c r="R835" s="111"/>
    </row>
    <row r="836" spans="2:18" ht="13.2">
      <c r="B836" s="16"/>
      <c r="D836" s="16"/>
      <c r="R836" s="111"/>
    </row>
    <row r="837" spans="2:18" ht="13.2">
      <c r="B837" s="16"/>
      <c r="D837" s="16"/>
      <c r="R837" s="111"/>
    </row>
    <row r="838" spans="2:18" ht="13.2">
      <c r="B838" s="16"/>
      <c r="D838" s="16"/>
      <c r="R838" s="111"/>
    </row>
    <row r="839" spans="2:18" ht="13.2">
      <c r="B839" s="16"/>
      <c r="D839" s="16"/>
      <c r="R839" s="111"/>
    </row>
    <row r="840" spans="2:18" ht="13.2">
      <c r="B840" s="16"/>
      <c r="D840" s="16"/>
      <c r="R840" s="111"/>
    </row>
    <row r="841" spans="2:18" ht="13.2">
      <c r="B841" s="16"/>
      <c r="D841" s="16"/>
      <c r="R841" s="111"/>
    </row>
    <row r="842" spans="2:18" ht="13.2">
      <c r="B842" s="16"/>
      <c r="D842" s="16"/>
      <c r="R842" s="111"/>
    </row>
    <row r="843" spans="2:18" ht="13.2">
      <c r="B843" s="16"/>
      <c r="D843" s="16"/>
      <c r="R843" s="111"/>
    </row>
    <row r="844" spans="2:18" ht="13.2">
      <c r="B844" s="16"/>
      <c r="D844" s="16"/>
      <c r="R844" s="111"/>
    </row>
    <row r="845" spans="2:18" ht="13.2">
      <c r="B845" s="16"/>
      <c r="D845" s="16"/>
      <c r="R845" s="111"/>
    </row>
    <row r="846" spans="2:18" ht="13.2">
      <c r="B846" s="16"/>
      <c r="D846" s="16"/>
      <c r="R846" s="111"/>
    </row>
    <row r="847" spans="2:18" ht="13.2">
      <c r="B847" s="16"/>
      <c r="D847" s="16"/>
      <c r="R847" s="111"/>
    </row>
    <row r="848" spans="2:18" ht="13.2">
      <c r="B848" s="16"/>
      <c r="D848" s="16"/>
      <c r="R848" s="111"/>
    </row>
    <row r="849" spans="2:18" ht="13.2">
      <c r="B849" s="16"/>
      <c r="D849" s="16"/>
      <c r="R849" s="111"/>
    </row>
    <row r="850" spans="2:18" ht="13.2">
      <c r="B850" s="16"/>
      <c r="D850" s="16"/>
      <c r="R850" s="111"/>
    </row>
    <row r="851" spans="2:18" ht="13.2">
      <c r="B851" s="16"/>
      <c r="D851" s="16"/>
      <c r="R851" s="111"/>
    </row>
    <row r="852" spans="2:18" ht="13.2">
      <c r="B852" s="16"/>
      <c r="D852" s="16"/>
      <c r="R852" s="111"/>
    </row>
    <row r="853" spans="2:18" ht="13.2">
      <c r="B853" s="16"/>
      <c r="D853" s="16"/>
      <c r="R853" s="111"/>
    </row>
    <row r="854" spans="2:18" ht="13.2">
      <c r="B854" s="16"/>
      <c r="D854" s="16"/>
      <c r="R854" s="111"/>
    </row>
    <row r="855" spans="2:18" ht="13.2">
      <c r="B855" s="16"/>
      <c r="D855" s="16"/>
      <c r="R855" s="111"/>
    </row>
    <row r="856" spans="2:18" ht="13.2">
      <c r="B856" s="16"/>
      <c r="D856" s="16"/>
      <c r="R856" s="111"/>
    </row>
    <row r="857" spans="2:18" ht="13.2">
      <c r="B857" s="16"/>
      <c r="D857" s="16"/>
      <c r="R857" s="111"/>
    </row>
    <row r="858" spans="2:18" ht="13.2">
      <c r="B858" s="16"/>
      <c r="D858" s="16"/>
      <c r="R858" s="111"/>
    </row>
    <row r="859" spans="2:18" ht="13.2">
      <c r="B859" s="16"/>
      <c r="D859" s="16"/>
      <c r="R859" s="111"/>
    </row>
    <row r="860" spans="2:18" ht="13.2">
      <c r="B860" s="16"/>
      <c r="D860" s="16"/>
      <c r="R860" s="111"/>
    </row>
    <row r="861" spans="2:18" ht="13.2">
      <c r="B861" s="16"/>
      <c r="D861" s="16"/>
      <c r="R861" s="111"/>
    </row>
    <row r="862" spans="2:18" ht="13.2">
      <c r="B862" s="16"/>
      <c r="D862" s="16"/>
      <c r="R862" s="111"/>
    </row>
    <row r="863" spans="2:18" ht="13.2">
      <c r="B863" s="16"/>
      <c r="D863" s="16"/>
      <c r="R863" s="111"/>
    </row>
    <row r="864" spans="2:18" ht="13.2">
      <c r="B864" s="16"/>
      <c r="D864" s="16"/>
      <c r="R864" s="111"/>
    </row>
    <row r="865" spans="2:18" ht="13.2">
      <c r="B865" s="16"/>
      <c r="D865" s="16"/>
      <c r="R865" s="111"/>
    </row>
    <row r="866" spans="2:18" ht="13.2">
      <c r="B866" s="16"/>
      <c r="D866" s="16"/>
      <c r="R866" s="111"/>
    </row>
    <row r="867" spans="2:18" ht="13.2">
      <c r="B867" s="16"/>
      <c r="D867" s="16"/>
      <c r="R867" s="111"/>
    </row>
    <row r="868" spans="2:18" ht="13.2">
      <c r="B868" s="16"/>
      <c r="D868" s="16"/>
      <c r="R868" s="111"/>
    </row>
    <row r="869" spans="2:18" ht="13.2">
      <c r="B869" s="16"/>
      <c r="D869" s="16"/>
      <c r="R869" s="111"/>
    </row>
    <row r="870" spans="2:18" ht="13.2">
      <c r="B870" s="16"/>
      <c r="D870" s="16"/>
      <c r="R870" s="111"/>
    </row>
    <row r="871" spans="2:18" ht="13.2">
      <c r="B871" s="16"/>
      <c r="D871" s="16"/>
      <c r="R871" s="111"/>
    </row>
    <row r="872" spans="2:18" ht="13.2">
      <c r="B872" s="16"/>
      <c r="D872" s="16"/>
      <c r="R872" s="111"/>
    </row>
    <row r="873" spans="2:18" ht="13.2">
      <c r="B873" s="16"/>
      <c r="D873" s="16"/>
      <c r="R873" s="111"/>
    </row>
    <row r="874" spans="2:18" ht="13.2">
      <c r="B874" s="16"/>
      <c r="D874" s="16"/>
      <c r="R874" s="111"/>
    </row>
    <row r="875" spans="2:18" ht="13.2">
      <c r="B875" s="16"/>
      <c r="D875" s="16"/>
      <c r="R875" s="111"/>
    </row>
    <row r="876" spans="2:18" ht="13.2">
      <c r="B876" s="16"/>
      <c r="D876" s="16"/>
      <c r="R876" s="111"/>
    </row>
    <row r="877" spans="2:18" ht="13.2">
      <c r="B877" s="16"/>
      <c r="D877" s="16"/>
      <c r="R877" s="111"/>
    </row>
    <row r="878" spans="2:18" ht="13.2">
      <c r="B878" s="16"/>
      <c r="D878" s="16"/>
      <c r="R878" s="111"/>
    </row>
    <row r="879" spans="2:18" ht="13.2">
      <c r="B879" s="16"/>
      <c r="D879" s="16"/>
      <c r="R879" s="111"/>
    </row>
    <row r="880" spans="2:18" ht="13.2">
      <c r="B880" s="16"/>
      <c r="D880" s="16"/>
      <c r="R880" s="111"/>
    </row>
    <row r="881" spans="2:18" ht="13.2">
      <c r="B881" s="16"/>
      <c r="D881" s="16"/>
      <c r="R881" s="111"/>
    </row>
    <row r="882" spans="2:18" ht="13.2">
      <c r="B882" s="16"/>
      <c r="D882" s="16"/>
      <c r="R882" s="111"/>
    </row>
    <row r="883" spans="2:18" ht="13.2">
      <c r="B883" s="16"/>
      <c r="D883" s="16"/>
      <c r="R883" s="111"/>
    </row>
    <row r="884" spans="2:18" ht="13.2">
      <c r="B884" s="16"/>
      <c r="D884" s="16"/>
      <c r="R884" s="111"/>
    </row>
    <row r="885" spans="2:18" ht="13.2">
      <c r="B885" s="16"/>
      <c r="D885" s="16"/>
      <c r="R885" s="111"/>
    </row>
    <row r="886" spans="2:18" ht="13.2">
      <c r="B886" s="16"/>
      <c r="D886" s="16"/>
      <c r="R886" s="111"/>
    </row>
    <row r="887" spans="2:18" ht="13.2">
      <c r="B887" s="16"/>
      <c r="D887" s="16"/>
      <c r="R887" s="111"/>
    </row>
    <row r="888" spans="2:18" ht="13.2">
      <c r="B888" s="16"/>
      <c r="D888" s="16"/>
      <c r="R888" s="111"/>
    </row>
    <row r="889" spans="2:18" ht="13.2">
      <c r="B889" s="16"/>
      <c r="D889" s="16"/>
      <c r="R889" s="111"/>
    </row>
    <row r="890" spans="2:18" ht="13.2">
      <c r="B890" s="16"/>
      <c r="D890" s="16"/>
      <c r="R890" s="111"/>
    </row>
    <row r="891" spans="2:18" ht="13.2">
      <c r="B891" s="16"/>
      <c r="D891" s="16"/>
      <c r="R891" s="111"/>
    </row>
    <row r="892" spans="2:18" ht="13.2">
      <c r="B892" s="16"/>
      <c r="D892" s="16"/>
      <c r="R892" s="111"/>
    </row>
    <row r="893" spans="2:18" ht="13.2">
      <c r="B893" s="16"/>
      <c r="D893" s="16"/>
      <c r="R893" s="111"/>
    </row>
    <row r="894" spans="2:18" ht="13.2">
      <c r="B894" s="16"/>
      <c r="D894" s="16"/>
      <c r="R894" s="111"/>
    </row>
    <row r="895" spans="2:18" ht="13.2">
      <c r="B895" s="16"/>
      <c r="D895" s="16"/>
      <c r="R895" s="111"/>
    </row>
    <row r="896" spans="2:18" ht="13.2">
      <c r="B896" s="16"/>
      <c r="D896" s="16"/>
      <c r="R896" s="111"/>
    </row>
    <row r="897" spans="2:18" ht="13.2">
      <c r="B897" s="16"/>
      <c r="D897" s="16"/>
      <c r="R897" s="111"/>
    </row>
    <row r="898" spans="2:18" ht="13.2">
      <c r="B898" s="16"/>
      <c r="D898" s="16"/>
      <c r="R898" s="111"/>
    </row>
    <row r="899" spans="2:18" ht="13.2">
      <c r="B899" s="16"/>
      <c r="D899" s="16"/>
      <c r="R899" s="111"/>
    </row>
    <row r="900" spans="2:18" ht="13.2">
      <c r="B900" s="16"/>
      <c r="D900" s="16"/>
      <c r="R900" s="111"/>
    </row>
    <row r="901" spans="2:18" ht="13.2">
      <c r="B901" s="16"/>
      <c r="D901" s="16"/>
      <c r="R901" s="111"/>
    </row>
    <row r="902" spans="2:18" ht="13.2">
      <c r="B902" s="16"/>
      <c r="D902" s="16"/>
      <c r="R902" s="111"/>
    </row>
    <row r="903" spans="2:18" ht="13.2">
      <c r="B903" s="16"/>
      <c r="D903" s="16"/>
      <c r="R903" s="111"/>
    </row>
    <row r="904" spans="2:18" ht="13.2">
      <c r="B904" s="16"/>
      <c r="D904" s="16"/>
      <c r="R904" s="111"/>
    </row>
    <row r="905" spans="2:18" ht="13.2">
      <c r="B905" s="16"/>
      <c r="D905" s="16"/>
      <c r="R905" s="111"/>
    </row>
    <row r="906" spans="2:18" ht="13.2">
      <c r="B906" s="16"/>
      <c r="D906" s="16"/>
      <c r="R906" s="111"/>
    </row>
    <row r="907" spans="2:18" ht="13.2">
      <c r="B907" s="16"/>
      <c r="D907" s="16"/>
      <c r="R907" s="111"/>
    </row>
    <row r="908" spans="2:18" ht="13.2">
      <c r="B908" s="16"/>
      <c r="D908" s="16"/>
      <c r="R908" s="111"/>
    </row>
    <row r="909" spans="2:18" ht="13.2">
      <c r="B909" s="16"/>
      <c r="D909" s="16"/>
      <c r="R909" s="111"/>
    </row>
    <row r="910" spans="2:18" ht="13.2">
      <c r="B910" s="16"/>
      <c r="D910" s="16"/>
      <c r="R910" s="111"/>
    </row>
    <row r="911" spans="2:18" ht="13.2">
      <c r="B911" s="16"/>
      <c r="D911" s="16"/>
      <c r="R911" s="111"/>
    </row>
    <row r="912" spans="2:18" ht="13.2">
      <c r="B912" s="16"/>
      <c r="D912" s="16"/>
      <c r="R912" s="111"/>
    </row>
    <row r="913" spans="2:18" ht="13.2">
      <c r="B913" s="16"/>
      <c r="D913" s="16"/>
      <c r="R913" s="111"/>
    </row>
    <row r="914" spans="2:18" ht="13.2">
      <c r="B914" s="16"/>
      <c r="D914" s="16"/>
      <c r="R914" s="111"/>
    </row>
    <row r="915" spans="2:18" ht="13.2">
      <c r="B915" s="16"/>
      <c r="D915" s="16"/>
      <c r="R915" s="111"/>
    </row>
    <row r="916" spans="2:18" ht="13.2">
      <c r="B916" s="16"/>
      <c r="D916" s="16"/>
      <c r="R916" s="111"/>
    </row>
    <row r="917" spans="2:18" ht="13.2">
      <c r="B917" s="16"/>
      <c r="D917" s="16"/>
      <c r="R917" s="111"/>
    </row>
    <row r="918" spans="2:18" ht="13.2">
      <c r="B918" s="16"/>
      <c r="D918" s="16"/>
      <c r="R918" s="111"/>
    </row>
    <row r="919" spans="2:18" ht="13.2">
      <c r="B919" s="16"/>
      <c r="D919" s="16"/>
      <c r="R919" s="111"/>
    </row>
    <row r="920" spans="2:18" ht="13.2">
      <c r="B920" s="16"/>
      <c r="D920" s="16"/>
      <c r="R920" s="111"/>
    </row>
    <row r="921" spans="2:18" ht="13.2">
      <c r="B921" s="16"/>
      <c r="D921" s="16"/>
      <c r="R921" s="111"/>
    </row>
    <row r="922" spans="2:18" ht="13.2">
      <c r="B922" s="16"/>
      <c r="D922" s="16"/>
      <c r="R922" s="111"/>
    </row>
    <row r="923" spans="2:18" ht="13.2">
      <c r="B923" s="16"/>
      <c r="D923" s="16"/>
      <c r="R923" s="111"/>
    </row>
    <row r="924" spans="2:18" ht="13.2">
      <c r="B924" s="16"/>
      <c r="D924" s="16"/>
      <c r="R924" s="111"/>
    </row>
    <row r="925" spans="2:18" ht="13.2">
      <c r="B925" s="16"/>
      <c r="D925" s="16"/>
      <c r="R925" s="111"/>
    </row>
    <row r="926" spans="2:18" ht="13.2">
      <c r="B926" s="16"/>
      <c r="D926" s="16"/>
      <c r="R926" s="111"/>
    </row>
    <row r="927" spans="2:18" ht="13.2">
      <c r="B927" s="16"/>
      <c r="D927" s="16"/>
      <c r="R927" s="111"/>
    </row>
    <row r="928" spans="2:18" ht="13.2">
      <c r="B928" s="16"/>
      <c r="D928" s="16"/>
      <c r="R928" s="111"/>
    </row>
    <row r="929" spans="2:18" ht="13.2">
      <c r="B929" s="16"/>
      <c r="D929" s="16"/>
      <c r="R929" s="111"/>
    </row>
    <row r="930" spans="2:18" ht="13.2">
      <c r="B930" s="16"/>
      <c r="D930" s="16"/>
      <c r="R930" s="111"/>
    </row>
    <row r="931" spans="2:18" ht="13.2">
      <c r="B931" s="16"/>
      <c r="D931" s="16"/>
      <c r="R931" s="111"/>
    </row>
    <row r="932" spans="2:18" ht="13.2">
      <c r="B932" s="16"/>
      <c r="D932" s="16"/>
      <c r="R932" s="111"/>
    </row>
    <row r="933" spans="2:18" ht="13.2">
      <c r="B933" s="16"/>
      <c r="D933" s="16"/>
      <c r="R933" s="111"/>
    </row>
    <row r="934" spans="2:18" ht="13.2">
      <c r="B934" s="16"/>
      <c r="D934" s="16"/>
      <c r="R934" s="111"/>
    </row>
    <row r="935" spans="2:18" ht="13.2">
      <c r="B935" s="16"/>
      <c r="D935" s="16"/>
      <c r="R935" s="111"/>
    </row>
    <row r="936" spans="2:18" ht="13.2">
      <c r="B936" s="16"/>
      <c r="D936" s="16"/>
      <c r="R936" s="111"/>
    </row>
    <row r="937" spans="2:18" ht="13.2">
      <c r="B937" s="16"/>
      <c r="D937" s="16"/>
      <c r="R937" s="111"/>
    </row>
    <row r="938" spans="2:18" ht="13.2">
      <c r="B938" s="16"/>
      <c r="D938" s="16"/>
      <c r="R938" s="111"/>
    </row>
    <row r="939" spans="2:18" ht="13.2">
      <c r="B939" s="16"/>
      <c r="D939" s="16"/>
      <c r="R939" s="111"/>
    </row>
    <row r="940" spans="2:18" ht="13.2">
      <c r="B940" s="16"/>
      <c r="D940" s="16"/>
      <c r="R940" s="111"/>
    </row>
    <row r="941" spans="2:18" ht="13.2">
      <c r="B941" s="16"/>
      <c r="D941" s="16"/>
      <c r="R941" s="111"/>
    </row>
    <row r="942" spans="2:18" ht="13.2">
      <c r="B942" s="16"/>
      <c r="D942" s="16"/>
      <c r="R942" s="111"/>
    </row>
    <row r="943" spans="2:18" ht="13.2">
      <c r="B943" s="16"/>
      <c r="D943" s="16"/>
      <c r="R943" s="111"/>
    </row>
    <row r="944" spans="2:18" ht="13.2">
      <c r="B944" s="16"/>
      <c r="D944" s="16"/>
      <c r="R944" s="111"/>
    </row>
    <row r="945" spans="2:18" ht="13.2">
      <c r="B945" s="16"/>
      <c r="D945" s="16"/>
      <c r="R945" s="111"/>
    </row>
    <row r="946" spans="2:18" ht="13.2">
      <c r="B946" s="16"/>
      <c r="D946" s="16"/>
      <c r="R946" s="111"/>
    </row>
    <row r="947" spans="2:18" ht="13.2">
      <c r="B947" s="16"/>
      <c r="D947" s="16"/>
      <c r="R947" s="111"/>
    </row>
    <row r="948" spans="2:18" ht="13.2">
      <c r="B948" s="16"/>
      <c r="D948" s="16"/>
      <c r="R948" s="111"/>
    </row>
    <row r="949" spans="2:18" ht="13.2">
      <c r="B949" s="16"/>
      <c r="D949" s="16"/>
      <c r="R949" s="111"/>
    </row>
    <row r="950" spans="2:18" ht="13.2">
      <c r="B950" s="16"/>
      <c r="D950" s="16"/>
      <c r="R950" s="111"/>
    </row>
    <row r="951" spans="2:18" ht="13.2">
      <c r="B951" s="16"/>
      <c r="D951" s="16"/>
      <c r="R951" s="111"/>
    </row>
    <row r="952" spans="2:18" ht="13.2">
      <c r="B952" s="16"/>
      <c r="D952" s="16"/>
      <c r="R952" s="111"/>
    </row>
    <row r="953" spans="2:18" ht="13.2">
      <c r="B953" s="16"/>
      <c r="D953" s="16"/>
      <c r="R953" s="111"/>
    </row>
    <row r="954" spans="2:18" ht="13.2">
      <c r="B954" s="16"/>
      <c r="D954" s="16"/>
      <c r="R954" s="111"/>
    </row>
    <row r="955" spans="2:18" ht="13.2">
      <c r="B955" s="16"/>
      <c r="D955" s="16"/>
      <c r="R955" s="111"/>
    </row>
    <row r="956" spans="2:18" ht="13.2">
      <c r="B956" s="16"/>
      <c r="D956" s="16"/>
      <c r="R956" s="111"/>
    </row>
    <row r="957" spans="2:18" ht="13.2">
      <c r="B957" s="16"/>
      <c r="D957" s="16"/>
      <c r="R957" s="111"/>
    </row>
    <row r="958" spans="2:18" ht="13.2">
      <c r="B958" s="16"/>
      <c r="D958" s="16"/>
      <c r="R958" s="111"/>
    </row>
    <row r="959" spans="2:18" ht="13.2">
      <c r="B959" s="16"/>
      <c r="D959" s="16"/>
      <c r="R959" s="111"/>
    </row>
    <row r="960" spans="2:18" ht="13.2">
      <c r="B960" s="16"/>
      <c r="D960" s="16"/>
      <c r="R960" s="111"/>
    </row>
    <row r="961" spans="2:18" ht="13.2">
      <c r="B961" s="16"/>
      <c r="D961" s="16"/>
      <c r="R961" s="111"/>
    </row>
    <row r="962" spans="2:18" ht="13.2">
      <c r="B962" s="16"/>
      <c r="D962" s="16"/>
      <c r="R962" s="111"/>
    </row>
    <row r="963" spans="2:18" ht="13.2">
      <c r="B963" s="16"/>
      <c r="D963" s="16"/>
      <c r="R963" s="111"/>
    </row>
    <row r="964" spans="2:18" ht="13.2">
      <c r="B964" s="16"/>
      <c r="D964" s="16"/>
      <c r="R964" s="111"/>
    </row>
    <row r="965" spans="2:18" ht="13.2">
      <c r="B965" s="16"/>
      <c r="D965" s="16"/>
      <c r="R965" s="111"/>
    </row>
    <row r="966" spans="2:18" ht="13.2">
      <c r="B966" s="16"/>
      <c r="D966" s="16"/>
      <c r="R966" s="111"/>
    </row>
    <row r="967" spans="2:18" ht="13.2">
      <c r="B967" s="16"/>
      <c r="D967" s="16"/>
      <c r="R967" s="111"/>
    </row>
    <row r="968" spans="2:18" ht="13.2">
      <c r="B968" s="16"/>
      <c r="D968" s="16"/>
      <c r="R968" s="111"/>
    </row>
    <row r="969" spans="2:18" ht="13.2">
      <c r="B969" s="16"/>
      <c r="D969" s="16"/>
      <c r="R969" s="111"/>
    </row>
    <row r="970" spans="2:18" ht="13.2">
      <c r="B970" s="16"/>
      <c r="D970" s="16"/>
      <c r="R970" s="111"/>
    </row>
    <row r="971" spans="2:18" ht="13.2">
      <c r="B971" s="16"/>
      <c r="D971" s="16"/>
      <c r="R971" s="111"/>
    </row>
    <row r="972" spans="2:18" ht="13.2">
      <c r="B972" s="16"/>
      <c r="D972" s="16"/>
      <c r="R972" s="111"/>
    </row>
    <row r="973" spans="2:18" ht="13.2">
      <c r="B973" s="16"/>
      <c r="D973" s="16"/>
      <c r="R973" s="111"/>
    </row>
    <row r="974" spans="2:18" ht="13.2">
      <c r="B974" s="16"/>
      <c r="D974" s="16"/>
      <c r="R974" s="111"/>
    </row>
    <row r="975" spans="2:18" ht="13.2">
      <c r="B975" s="16"/>
      <c r="D975" s="16"/>
      <c r="R975" s="111"/>
    </row>
    <row r="976" spans="2:18" ht="13.2">
      <c r="B976" s="16"/>
      <c r="D976" s="16"/>
      <c r="R976" s="111"/>
    </row>
    <row r="977" spans="2:18" ht="13.2">
      <c r="B977" s="16"/>
      <c r="D977" s="16"/>
      <c r="R977" s="111"/>
    </row>
    <row r="978" spans="2:18" ht="13.2">
      <c r="B978" s="16"/>
      <c r="D978" s="16"/>
      <c r="R978" s="111"/>
    </row>
    <row r="979" spans="2:18" ht="13.2">
      <c r="B979" s="16"/>
      <c r="D979" s="16"/>
      <c r="R979" s="111"/>
    </row>
    <row r="980" spans="2:18" ht="13.2">
      <c r="B980" s="16"/>
      <c r="D980" s="16"/>
      <c r="R980" s="111"/>
    </row>
    <row r="981" spans="2:18" ht="13.2">
      <c r="B981" s="16"/>
      <c r="D981" s="16"/>
      <c r="R981" s="111"/>
    </row>
    <row r="982" spans="2:18" ht="13.2">
      <c r="B982" s="16"/>
      <c r="D982" s="16"/>
      <c r="R982" s="111"/>
    </row>
    <row r="983" spans="2:18" ht="13.2">
      <c r="B983" s="16"/>
      <c r="D983" s="16"/>
      <c r="R983" s="111"/>
    </row>
    <row r="984" spans="2:18" ht="13.2">
      <c r="B984" s="16"/>
      <c r="D984" s="16"/>
      <c r="R984" s="111"/>
    </row>
    <row r="985" spans="2:18" ht="13.2">
      <c r="B985" s="16"/>
      <c r="D985" s="16"/>
      <c r="R985" s="111"/>
    </row>
    <row r="986" spans="2:18" ht="13.2">
      <c r="B986" s="16"/>
      <c r="D986" s="16"/>
      <c r="R986" s="111"/>
    </row>
    <row r="987" spans="2:18" ht="13.2">
      <c r="B987" s="16"/>
      <c r="D987" s="16"/>
      <c r="R987" s="111"/>
    </row>
    <row r="988" spans="2:18" ht="13.2">
      <c r="B988" s="16"/>
      <c r="D988" s="16"/>
      <c r="R988" s="111"/>
    </row>
    <row r="989" spans="2:18" ht="13.2">
      <c r="B989" s="16"/>
      <c r="D989" s="16"/>
      <c r="R989" s="111"/>
    </row>
    <row r="990" spans="2:18" ht="13.2">
      <c r="B990" s="16"/>
      <c r="D990" s="16"/>
      <c r="R990" s="111"/>
    </row>
    <row r="991" spans="2:18" ht="13.2">
      <c r="B991" s="16"/>
      <c r="D991" s="16"/>
      <c r="R991" s="111"/>
    </row>
    <row r="992" spans="2:18" ht="13.2">
      <c r="B992" s="16"/>
      <c r="D992" s="16"/>
      <c r="R992" s="111"/>
    </row>
    <row r="993" spans="2:18" ht="13.2">
      <c r="B993" s="16"/>
      <c r="D993" s="16"/>
      <c r="R993" s="111"/>
    </row>
    <row r="994" spans="2:18" ht="13.2">
      <c r="B994" s="16"/>
      <c r="D994" s="16"/>
      <c r="R994" s="111"/>
    </row>
    <row r="995" spans="2:18" ht="13.2">
      <c r="B995" s="16"/>
      <c r="D995" s="16"/>
      <c r="R995" s="111"/>
    </row>
    <row r="996" spans="2:18" ht="13.2">
      <c r="B996" s="16"/>
      <c r="D996" s="16"/>
      <c r="R996" s="111"/>
    </row>
    <row r="997" spans="2:18" ht="13.2">
      <c r="B997" s="16"/>
      <c r="D997" s="16"/>
      <c r="R997" s="111"/>
    </row>
    <row r="998" spans="2:18" ht="13.2">
      <c r="B998" s="16"/>
      <c r="D998" s="16"/>
      <c r="R998" s="111"/>
    </row>
    <row r="999" spans="2:18" ht="13.2">
      <c r="B999" s="16"/>
      <c r="D999" s="16"/>
      <c r="R999" s="111"/>
    </row>
    <row r="1000" spans="2:18" ht="13.2">
      <c r="B1000" s="16"/>
      <c r="D1000" s="16"/>
      <c r="R1000" s="111"/>
    </row>
    <row r="1001" spans="2:18" ht="13.2">
      <c r="B1001" s="16"/>
      <c r="D1001" s="16"/>
      <c r="R1001" s="111"/>
    </row>
    <row r="1002" spans="2:18" ht="13.2">
      <c r="B1002" s="16"/>
      <c r="D1002" s="16"/>
      <c r="R1002" s="111"/>
    </row>
    <row r="1003" spans="2:18" ht="13.2">
      <c r="B1003" s="16"/>
      <c r="D1003" s="16"/>
      <c r="R1003" s="111"/>
    </row>
  </sheetData>
  <mergeCells count="35">
    <mergeCell ref="O19:P19"/>
    <mergeCell ref="B16:C16"/>
    <mergeCell ref="B18:C18"/>
    <mergeCell ref="H18:I18"/>
    <mergeCell ref="M18:N18"/>
    <mergeCell ref="O18:P18"/>
    <mergeCell ref="B19:C19"/>
    <mergeCell ref="H19:I19"/>
    <mergeCell ref="E19:F19"/>
    <mergeCell ref="B23:F23"/>
    <mergeCell ref="K18:L18"/>
    <mergeCell ref="K19:L19"/>
    <mergeCell ref="M19:N19"/>
    <mergeCell ref="K15:L15"/>
    <mergeCell ref="E16:F16"/>
    <mergeCell ref="H16:I16"/>
    <mergeCell ref="K16:L16"/>
    <mergeCell ref="E18:F18"/>
    <mergeCell ref="B12:C12"/>
    <mergeCell ref="B13:C13"/>
    <mergeCell ref="B15:C15"/>
    <mergeCell ref="E15:F15"/>
    <mergeCell ref="H15:I15"/>
    <mergeCell ref="B7:C7"/>
    <mergeCell ref="B9:C9"/>
    <mergeCell ref="E9:E10"/>
    <mergeCell ref="F9:I9"/>
    <mergeCell ref="B10:C10"/>
    <mergeCell ref="AL2:AR2"/>
    <mergeCell ref="B4:D4"/>
    <mergeCell ref="B5:E5"/>
    <mergeCell ref="G5:H5"/>
    <mergeCell ref="B6:C6"/>
    <mergeCell ref="D6:E6"/>
    <mergeCell ref="G6:H6"/>
  </mergeCells>
  <hyperlinks>
    <hyperlink ref="C2" r:id="rId1" xr:uid="{00000000-0004-0000-0400-000000000000}"/>
    <hyperlink ref="D2" r:id="rId2" xr:uid="{00000000-0004-0000-0400-000001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L1000"/>
  <sheetViews>
    <sheetView topLeftCell="A10" workbookViewId="0">
      <selection sqref="A1:B1"/>
    </sheetView>
  </sheetViews>
  <sheetFormatPr defaultColWidth="12.6640625" defaultRowHeight="15.75" customHeight="1"/>
  <sheetData>
    <row r="1" spans="1:12" ht="15.75" customHeight="1">
      <c r="A1" s="238" t="s">
        <v>158</v>
      </c>
      <c r="B1" s="173"/>
      <c r="C1" s="231" t="s">
        <v>835</v>
      </c>
      <c r="D1" s="173"/>
      <c r="E1" s="173"/>
      <c r="H1" s="239" t="s">
        <v>129</v>
      </c>
      <c r="I1" s="169"/>
      <c r="J1" s="44"/>
      <c r="K1" s="240" t="s">
        <v>17</v>
      </c>
      <c r="L1" s="170"/>
    </row>
    <row r="2" spans="1:12" ht="15.75" customHeight="1">
      <c r="A2" s="121" t="s">
        <v>48</v>
      </c>
      <c r="B2" s="121" t="s">
        <v>810</v>
      </c>
      <c r="C2" s="121" t="s">
        <v>41</v>
      </c>
      <c r="D2" s="121" t="s">
        <v>837</v>
      </c>
      <c r="E2" s="121" t="s">
        <v>838</v>
      </c>
      <c r="H2" s="125" t="s">
        <v>48</v>
      </c>
      <c r="I2" s="121" t="s">
        <v>810</v>
      </c>
      <c r="J2" s="121" t="s">
        <v>41</v>
      </c>
      <c r="K2" s="241" t="s">
        <v>840</v>
      </c>
      <c r="L2" s="176"/>
    </row>
    <row r="3" spans="1:12" ht="15.75" customHeight="1">
      <c r="A3" s="16" t="str">
        <f ca="1">IFERROR(__xludf.DUMMYFUNCTION("query('NPC List'!C2:AA1000, ""Select C,V,AA where D = '""&amp;A1&amp;""' ORDER BY V DESC"")"),"Padan")</f>
        <v>Padan</v>
      </c>
      <c r="B3" s="123">
        <f ca="1">IFERROR(__xludf.DUMMYFUNCTION("""COMPUTED_VALUE"""),112.5)</f>
        <v>112.5</v>
      </c>
      <c r="C3" s="16" t="str">
        <f ca="1">IFERROR(__xludf.DUMMYFUNCTION("""COMPUTED_VALUE"""),"Male")</f>
        <v>Male</v>
      </c>
      <c r="D3" s="16" t="str">
        <f ca="1">IFERROR(__xludf.DUMMYFUNCTION("if(isblank(A3),, if(counta(QUERY($A$3:$C1000, ""Select A Where B &gt; ""&amp; B3 +20 &amp;"" AND C = 'Female'"")) = 1,QUERY($A$3:$C1000, ""Select A Where B &gt; ""&amp; B3 +20 &amp;"" AND C = 'Neutral' LIMIT 1""),QUERY($A$3:$C1000, ""Select A Where B &gt; ""&amp; B3 +20 &amp;"" AND C = '"&amp;"Female'  ORDER BY B LIMIT 1"")))"),"#N/A")</f>
        <v>#N/A</v>
      </c>
      <c r="E3" s="16" t="str">
        <f ca="1">IFERROR(__xludf.DUMMYFUNCTION("if(isblank(A3),, if(counta(QUERY($A$3:$C1000, ""Select A Where B &gt; ""&amp; B3 +20 &amp;"" AND C = 'Male'"")) = 1,QUERY($A$3:$C1000, ""Select A Where B &gt; ""&amp; B3 +20 &amp;"" AND C = 'Neutral' LIMIT 1""),QUERY($A$3:$C1000, ""Select A Where B &gt; ""&amp; B3 +20 &amp;"" AND C = 'Ma"&amp;"le'  ORDER BY B LIMIT 1"")))"),"#N/A")</f>
        <v>#N/A</v>
      </c>
      <c r="H3" s="24" t="str">
        <f ca="1">IFERROR(__xludf.DUMMYFUNCTION("query('NPC List'!C2:AF1000, ""Select C,V,AA,AF where AD = '""&amp;H1&amp;""' ORDER BY AF DESC"")"),"Eiridan")</f>
        <v>Eiridan</v>
      </c>
      <c r="I3" s="124">
        <f ca="1">IFERROR(__xludf.DUMMYFUNCTION("""COMPUTED_VALUE"""),190)</f>
        <v>190</v>
      </c>
      <c r="J3" t="str">
        <f ca="1">IFERROR(__xludf.DUMMYFUNCTION("""COMPUTED_VALUE"""),"Neutral")</f>
        <v>Neutral</v>
      </c>
      <c r="K3" s="242">
        <f ca="1">IFERROR(__xludf.DUMMYFUNCTION("""COMPUTED_VALUE"""),15.7942718505859)</f>
        <v>15.794271850585901</v>
      </c>
      <c r="L3" s="176"/>
    </row>
    <row r="4" spans="1:12" ht="15.75" customHeight="1">
      <c r="A4" s="16" t="str">
        <f ca="1">IFERROR(__xludf.DUMMYFUNCTION("""COMPUTED_VALUE"""),"Pendus")</f>
        <v>Pendus</v>
      </c>
      <c r="B4" s="123">
        <f ca="1">IFERROR(__xludf.DUMMYFUNCTION("""COMPUTED_VALUE"""),112.5)</f>
        <v>112.5</v>
      </c>
      <c r="C4" s="16" t="str">
        <f ca="1">IFERROR(__xludf.DUMMYFUNCTION("""COMPUTED_VALUE"""),"Male")</f>
        <v>Male</v>
      </c>
      <c r="D4" s="16" t="str">
        <f ca="1">IFERROR(__xludf.DUMMYFUNCTION("if(isblank(A4),, if(counta(QUERY($A$3:$C1000, ""Select A Where B &gt; ""&amp; B4 +20 &amp;"" AND C = 'Female'"")) = 1,QUERY($A$3:$C1000, ""Select A Where B &gt; ""&amp; B4 +20 &amp;"" AND C = 'Neutral' LIMIT 1""),QUERY($A$3:$C1000, ""Select A Where B &gt; ""&amp; B4 +20 &amp;"" AND C = '"&amp;"Female'  ORDER BY B LIMIT 1"")))"),"#N/A")</f>
        <v>#N/A</v>
      </c>
      <c r="E4" s="16" t="str">
        <f ca="1">IFERROR(__xludf.DUMMYFUNCTION("if(isblank(A4),, if(counta(QUERY($A$3:$C1000, ""Select A Where B &gt; ""&amp; B4 +20 &amp;"" AND C = 'Male'"")) = 1,QUERY($A$3:$C1000, ""Select A Where B &gt; ""&amp; B4 +20 &amp;"" AND C = 'Neutral' LIMIT 1""),QUERY($A$3:$C1000, ""Select A Where B &gt; ""&amp; B4 +20 &amp;"" AND C = 'Ma"&amp;"le'  ORDER BY B LIMIT 1"")))"),"#N/A")</f>
        <v>#N/A</v>
      </c>
      <c r="H4" s="24" t="str">
        <f ca="1">IFERROR(__xludf.DUMMYFUNCTION("""COMPUTED_VALUE"""),"Dokoran")</f>
        <v>Dokoran</v>
      </c>
      <c r="I4" s="124">
        <f ca="1">IFERROR(__xludf.DUMMYFUNCTION("""COMPUTED_VALUE"""),180)</f>
        <v>180</v>
      </c>
      <c r="J4" t="str">
        <f ca="1">IFERROR(__xludf.DUMMYFUNCTION("""COMPUTED_VALUE"""),"Neutral")</f>
        <v>Neutral</v>
      </c>
      <c r="K4" s="242">
        <f ca="1">IFERROR(__xludf.DUMMYFUNCTION("""COMPUTED_VALUE"""),14.72431640625)</f>
        <v>14.724316406250001</v>
      </c>
      <c r="L4" s="176"/>
    </row>
    <row r="5" spans="1:12" ht="15.75" customHeight="1">
      <c r="A5" s="16" t="str">
        <f ca="1">IFERROR(__xludf.DUMMYFUNCTION("""COMPUTED_VALUE"""),"Nuthor")</f>
        <v>Nuthor</v>
      </c>
      <c r="B5" s="123">
        <f ca="1">IFERROR(__xludf.DUMMYFUNCTION("""COMPUTED_VALUE"""),112.5)</f>
        <v>112.5</v>
      </c>
      <c r="C5" s="16" t="str">
        <f ca="1">IFERROR(__xludf.DUMMYFUNCTION("""COMPUTED_VALUE"""),"Male")</f>
        <v>Male</v>
      </c>
      <c r="D5" s="16" t="str">
        <f ca="1">IFERROR(__xludf.DUMMYFUNCTION("if(isblank(A5),, if(counta(QUERY($A$3:$C1000, ""Select A Where B &gt; ""&amp; B5 +20 &amp;"" AND C = 'Female'"")) = 1,QUERY($A$3:$C1000, ""Select A Where B &gt; ""&amp; B5 +20 &amp;"" AND C = 'Neutral' LIMIT 1""),QUERY($A$3:$C1000, ""Select A Where B &gt; ""&amp; B5 +20 &amp;"" AND C = '"&amp;"Female'  ORDER BY B LIMIT 1"")))"),"#N/A")</f>
        <v>#N/A</v>
      </c>
      <c r="E5" s="16" t="str">
        <f ca="1">IFERROR(__xludf.DUMMYFUNCTION("if(isblank(A5),, if(counta(QUERY($A$3:$C1000, ""Select A Where B &gt; ""&amp; B5 +20 &amp;"" AND C = 'Male'"")) = 1,QUERY($A$3:$C1000, ""Select A Where B &gt; ""&amp; B5 +20 &amp;"" AND C = 'Neutral' LIMIT 1""),QUERY($A$3:$C1000, ""Select A Where B &gt; ""&amp; B5 +20 &amp;"" AND C = 'Ma"&amp;"le'  ORDER BY B LIMIT 1"")))"),"#N/A")</f>
        <v>#N/A</v>
      </c>
      <c r="H5" s="24" t="str">
        <f ca="1">IFERROR(__xludf.DUMMYFUNCTION("""COMPUTED_VALUE"""),"Dismer")</f>
        <v>Dismer</v>
      </c>
      <c r="I5" s="124">
        <f ca="1">IFERROR(__xludf.DUMMYFUNCTION("""COMPUTED_VALUE"""),180)</f>
        <v>180</v>
      </c>
      <c r="J5" t="str">
        <f ca="1">IFERROR(__xludf.DUMMYFUNCTION("""COMPUTED_VALUE"""),"Neutral")</f>
        <v>Neutral</v>
      </c>
      <c r="K5" s="242">
        <f ca="1">IFERROR(__xludf.DUMMYFUNCTION("""COMPUTED_VALUE"""),14.6880615234375)</f>
        <v>14.688061523437501</v>
      </c>
      <c r="L5" s="176"/>
    </row>
    <row r="6" spans="1:12" ht="15.75" customHeight="1">
      <c r="A6" s="16" t="str">
        <f ca="1">IFERROR(__xludf.DUMMYFUNCTION("""COMPUTED_VALUE"""),"Ponith")</f>
        <v>Ponith</v>
      </c>
      <c r="B6" s="123">
        <f ca="1">IFERROR(__xludf.DUMMYFUNCTION("""COMPUTED_VALUE"""),112.5)</f>
        <v>112.5</v>
      </c>
      <c r="C6" s="16" t="str">
        <f ca="1">IFERROR(__xludf.DUMMYFUNCTION("""COMPUTED_VALUE"""),"Male")</f>
        <v>Male</v>
      </c>
      <c r="D6" s="16" t="str">
        <f ca="1">IFERROR(__xludf.DUMMYFUNCTION("if(isblank(A6),, if(counta(QUERY($A$3:$C1000, ""Select A Where B &gt; ""&amp; B6 +20 &amp;"" AND C = 'Female'"")) = 1,QUERY($A$3:$C1000, ""Select A Where B &gt; ""&amp; B6 +20 &amp;"" AND C = 'Neutral' LIMIT 1""),QUERY($A$3:$C1000, ""Select A Where B &gt; ""&amp; B6 +20 &amp;"" AND C = '"&amp;"Female'  ORDER BY B LIMIT 1"")))"),"#N/A")</f>
        <v>#N/A</v>
      </c>
      <c r="E6" s="16" t="str">
        <f ca="1">IFERROR(__xludf.DUMMYFUNCTION("if(isblank(A6),, if(counta(QUERY($A$3:$C1000, ""Select A Where B &gt; ""&amp; B6 +20 &amp;"" AND C = 'Male'"")) = 1,QUERY($A$3:$C1000, ""Select A Where B &gt; ""&amp; B6 +20 &amp;"" AND C = 'Neutral' LIMIT 1""),QUERY($A$3:$C1000, ""Select A Where B &gt; ""&amp; B6 +20 &amp;"" AND C = 'Ma"&amp;"le'  ORDER BY B LIMIT 1"")))"),"#N/A")</f>
        <v>#N/A</v>
      </c>
      <c r="H6" s="24" t="str">
        <f ca="1">IFERROR(__xludf.DUMMYFUNCTION("""COMPUTED_VALUE"""),"Enbane")</f>
        <v>Enbane</v>
      </c>
      <c r="I6" s="124">
        <f ca="1">IFERROR(__xludf.DUMMYFUNCTION("""COMPUTED_VALUE"""),190)</f>
        <v>190</v>
      </c>
      <c r="J6" t="str">
        <f ca="1">IFERROR(__xludf.DUMMYFUNCTION("""COMPUTED_VALUE"""),"Neutral")</f>
        <v>Neutral</v>
      </c>
      <c r="K6" s="242">
        <f ca="1">IFERROR(__xludf.DUMMYFUNCTION("""COMPUTED_VALUE"""),14.2946356201171)</f>
        <v>14.2946356201171</v>
      </c>
      <c r="L6" s="176"/>
    </row>
    <row r="7" spans="1:12" ht="15.75" customHeight="1">
      <c r="A7" s="16" t="str">
        <f ca="1">IFERROR(__xludf.DUMMYFUNCTION("""COMPUTED_VALUE"""),"Ohethlic")</f>
        <v>Ohethlic</v>
      </c>
      <c r="B7" s="123">
        <f ca="1">IFERROR(__xludf.DUMMYFUNCTION("""COMPUTED_VALUE"""),112.5)</f>
        <v>112.5</v>
      </c>
      <c r="C7" s="16" t="str">
        <f ca="1">IFERROR(__xludf.DUMMYFUNCTION("""COMPUTED_VALUE"""),"Male")</f>
        <v>Male</v>
      </c>
      <c r="D7" s="16" t="str">
        <f ca="1">IFERROR(__xludf.DUMMYFUNCTION("if(isblank(A7),, if(counta(QUERY($A$3:$C1000, ""Select A Where B &gt; ""&amp; B7 +20 &amp;"" AND C = 'Female'"")) = 1,QUERY($A$3:$C1000, ""Select A Where B &gt; ""&amp; B7 +20 &amp;"" AND C = 'Neutral' LIMIT 1""),QUERY($A$3:$C1000, ""Select A Where B &gt; ""&amp; B7 +20 &amp;"" AND C = '"&amp;"Female'  ORDER BY B LIMIT 1"")))"),"#N/A")</f>
        <v>#N/A</v>
      </c>
      <c r="E7" s="16" t="str">
        <f ca="1">IFERROR(__xludf.DUMMYFUNCTION("if(isblank(A7),, if(counta(QUERY($A$3:$C1000, ""Select A Where B &gt; ""&amp; B7 +20 &amp;"" AND C = 'Male'"")) = 1,QUERY($A$3:$C1000, ""Select A Where B &gt; ""&amp; B7 +20 &amp;"" AND C = 'Neutral' LIMIT 1""),QUERY($A$3:$C1000, ""Select A Where B &gt; ""&amp; B7 +20 &amp;"" AND C = 'Ma"&amp;"le'  ORDER BY B LIMIT 1"")))"),"#N/A")</f>
        <v>#N/A</v>
      </c>
      <c r="H7" s="24" t="str">
        <f ca="1">IFERROR(__xludf.DUMMYFUNCTION("""COMPUTED_VALUE"""),"Drit")</f>
        <v>Drit</v>
      </c>
      <c r="I7" s="124">
        <f ca="1">IFERROR(__xludf.DUMMYFUNCTION("""COMPUTED_VALUE"""),180)</f>
        <v>180</v>
      </c>
      <c r="J7" t="str">
        <f ca="1">IFERROR(__xludf.DUMMYFUNCTION("""COMPUTED_VALUE"""),"Neutral")</f>
        <v>Neutral</v>
      </c>
      <c r="K7" s="242">
        <f ca="1">IFERROR(__xludf.DUMMYFUNCTION("""COMPUTED_VALUE"""),13.2948468017578)</f>
        <v>13.294846801757799</v>
      </c>
      <c r="L7" s="176"/>
    </row>
    <row r="8" spans="1:12" ht="15.75" customHeight="1">
      <c r="A8" s="16" t="str">
        <f ca="1">IFERROR(__xludf.DUMMYFUNCTION("""COMPUTED_VALUE"""),"Othelen")</f>
        <v>Othelen</v>
      </c>
      <c r="B8" s="123">
        <f ca="1">IFERROR(__xludf.DUMMYFUNCTION("""COMPUTED_VALUE"""),112.5)</f>
        <v>112.5</v>
      </c>
      <c r="C8" s="16" t="str">
        <f ca="1">IFERROR(__xludf.DUMMYFUNCTION("""COMPUTED_VALUE"""),"Male")</f>
        <v>Male</v>
      </c>
      <c r="D8" s="16" t="str">
        <f ca="1">IFERROR(__xludf.DUMMYFUNCTION("if(isblank(A8),, if(counta(QUERY($A$3:$C1000, ""Select A Where B &gt; ""&amp; B8 +20 &amp;"" AND C = 'Female'"")) = 1,QUERY($A$3:$C1000, ""Select A Where B &gt; ""&amp; B8 +20 &amp;"" AND C = 'Neutral' LIMIT 1""),QUERY($A$3:$C1000, ""Select A Where B &gt; ""&amp; B8 +20 &amp;"" AND C = '"&amp;"Female'  ORDER BY B LIMIT 1"")))"),"#N/A")</f>
        <v>#N/A</v>
      </c>
      <c r="E8" s="16" t="str">
        <f ca="1">IFERROR(__xludf.DUMMYFUNCTION("if(isblank(A8),, if(counta(QUERY($A$3:$C1000, ""Select A Where B &gt; ""&amp; B8 +20 &amp;"" AND C = 'Male'"")) = 1,QUERY($A$3:$C1000, ""Select A Where B &gt; ""&amp; B8 +20 &amp;"" AND C = 'Neutral' LIMIT 1""),QUERY($A$3:$C1000, ""Select A Where B &gt; ""&amp; B8 +20 &amp;"" AND C = 'Ma"&amp;"le'  ORDER BY B LIMIT 1"")))"),"#N/A")</f>
        <v>#N/A</v>
      </c>
      <c r="H8" s="24" t="str">
        <f ca="1">IFERROR(__xludf.DUMMYFUNCTION("""COMPUTED_VALUE"""),"Darkboon")</f>
        <v>Darkboon</v>
      </c>
      <c r="I8" s="124">
        <f ca="1">IFERROR(__xludf.DUMMYFUNCTION("""COMPUTED_VALUE"""),180)</f>
        <v>180</v>
      </c>
      <c r="J8" t="str">
        <f ca="1">IFERROR(__xludf.DUMMYFUNCTION("""COMPUTED_VALUE"""),"Neutral")</f>
        <v>Neutral</v>
      </c>
      <c r="K8" s="242">
        <f ca="1">IFERROR(__xludf.DUMMYFUNCTION("""COMPUTED_VALUE"""),13.0794927978515)</f>
        <v>13.079492797851501</v>
      </c>
      <c r="L8" s="176"/>
    </row>
    <row r="9" spans="1:12" ht="15.75" customHeight="1">
      <c r="A9" s="16" t="str">
        <f ca="1">IFERROR(__xludf.DUMMYFUNCTION("""COMPUTED_VALUE"""),"Pendus")</f>
        <v>Pendus</v>
      </c>
      <c r="B9" s="123">
        <f ca="1">IFERROR(__xludf.DUMMYFUNCTION("""COMPUTED_VALUE"""),112.5)</f>
        <v>112.5</v>
      </c>
      <c r="C9" s="16" t="str">
        <f ca="1">IFERROR(__xludf.DUMMYFUNCTION("""COMPUTED_VALUE"""),"Male")</f>
        <v>Male</v>
      </c>
      <c r="D9" s="16" t="str">
        <f ca="1">IFERROR(__xludf.DUMMYFUNCTION("if(isblank(A9),, if(counta(QUERY($A$3:$C1000, ""Select A Where B &gt; ""&amp; B9 +20 &amp;"" AND C = 'Female'"")) = 1,QUERY($A$3:$C1000, ""Select A Where B &gt; ""&amp; B9 +20 &amp;"" AND C = 'Neutral' LIMIT 1""),QUERY($A$3:$C1000, ""Select A Where B &gt; ""&amp; B9 +20 &amp;"" AND C = '"&amp;"Female'  ORDER BY B LIMIT 1"")))"),"#N/A")</f>
        <v>#N/A</v>
      </c>
      <c r="E9" s="16" t="str">
        <f ca="1">IFERROR(__xludf.DUMMYFUNCTION("if(isblank(A9),, if(counta(QUERY($A$3:$C1000, ""Select A Where B &gt; ""&amp; B9 +20 &amp;"" AND C = 'Male'"")) = 1,QUERY($A$3:$C1000, ""Select A Where B &gt; ""&amp; B9 +20 &amp;"" AND C = 'Neutral' LIMIT 1""),QUERY($A$3:$C1000, ""Select A Where B &gt; ""&amp; B9 +20 &amp;"" AND C = 'Ma"&amp;"le'  ORDER BY B LIMIT 1"")))"),"#N/A")</f>
        <v>#N/A</v>
      </c>
      <c r="H9" s="24" t="str">
        <f ca="1">IFERROR(__xludf.DUMMYFUNCTION("""COMPUTED_VALUE"""),"Baduk")</f>
        <v>Baduk</v>
      </c>
      <c r="I9" s="124">
        <f ca="1">IFERROR(__xludf.DUMMYFUNCTION("""COMPUTED_VALUE"""),153)</f>
        <v>153</v>
      </c>
      <c r="J9" t="str">
        <f ca="1">IFERROR(__xludf.DUMMYFUNCTION("""COMPUTED_VALUE"""),"Neutral")</f>
        <v>Neutral</v>
      </c>
      <c r="K9" s="242">
        <f ca="1">IFERROR(__xludf.DUMMYFUNCTION("""COMPUTED_VALUE"""),12.901904296875)</f>
        <v>12.901904296874999</v>
      </c>
      <c r="L9" s="176"/>
    </row>
    <row r="10" spans="1:12" ht="15.75" customHeight="1">
      <c r="A10" s="16" t="str">
        <f ca="1">IFERROR(__xludf.DUMMYFUNCTION("""COMPUTED_VALUE"""),"Nuthor")</f>
        <v>Nuthor</v>
      </c>
      <c r="B10" s="123">
        <f ca="1">IFERROR(__xludf.DUMMYFUNCTION("""COMPUTED_VALUE"""),112.5)</f>
        <v>112.5</v>
      </c>
      <c r="C10" s="16" t="str">
        <f ca="1">IFERROR(__xludf.DUMMYFUNCTION("""COMPUTED_VALUE"""),"Male")</f>
        <v>Male</v>
      </c>
      <c r="D10" s="16" t="str">
        <f ca="1">IFERROR(__xludf.DUMMYFUNCTION("if(isblank(A10),, if(counta(QUERY($A$3:$C1000, ""Select A Where B &gt; ""&amp; B10 +20 &amp;"" AND C = 'Female'"")) = 1,QUERY($A$3:$C1000, ""Select A Where B &gt; ""&amp; B10 +20 &amp;"" AND C = 'Neutral' LIMIT 1""),QUERY($A$3:$C1000, ""Select A Where B &gt; ""&amp; B10 +20 &amp;"" AND C"&amp;" = 'Female'  ORDER BY B LIMIT 1"")))"),"#N/A")</f>
        <v>#N/A</v>
      </c>
      <c r="E10" s="16" t="str">
        <f ca="1">IFERROR(__xludf.DUMMYFUNCTION("if(isblank(A10),, if(counta(QUERY($A$3:$C1000, ""Select A Where B &gt; ""&amp; B10 +20 &amp;"" AND C = 'Male'"")) = 1,QUERY($A$3:$C1000, ""Select A Where B &gt; ""&amp; B10 +20 &amp;"" AND C = 'Neutral' LIMIT 1""),QUERY($A$3:$C1000, ""Select A Where B &gt; ""&amp; B10 +20 &amp;"" AND C ="&amp;" 'Male'  ORDER BY B LIMIT 1"")))"),"#N/A")</f>
        <v>#N/A</v>
      </c>
      <c r="H10" s="24" t="str">
        <f ca="1">IFERROR(__xludf.DUMMYFUNCTION("""COMPUTED_VALUE"""),"Erim")</f>
        <v>Erim</v>
      </c>
      <c r="I10" s="124">
        <f ca="1">IFERROR(__xludf.DUMMYFUNCTION("""COMPUTED_VALUE"""),190)</f>
        <v>190</v>
      </c>
      <c r="J10" t="str">
        <f ca="1">IFERROR(__xludf.DUMMYFUNCTION("""COMPUTED_VALUE"""),"Neutral")</f>
        <v>Neutral</v>
      </c>
      <c r="K10" s="242">
        <f ca="1">IFERROR(__xludf.DUMMYFUNCTION("""COMPUTED_VALUE"""),12.746142578125)</f>
        <v>12.746142578124999</v>
      </c>
      <c r="L10" s="176"/>
    </row>
    <row r="11" spans="1:12" ht="15.75" customHeight="1">
      <c r="A11" s="16" t="str">
        <f ca="1">IFERROR(__xludf.DUMMYFUNCTION("""COMPUTED_VALUE"""),"Picumar")</f>
        <v>Picumar</v>
      </c>
      <c r="B11" s="123">
        <f ca="1">IFERROR(__xludf.DUMMYFUNCTION("""COMPUTED_VALUE"""),112.5)</f>
        <v>112.5</v>
      </c>
      <c r="C11" s="16" t="str">
        <f ca="1">IFERROR(__xludf.DUMMYFUNCTION("""COMPUTED_VALUE"""),"Male")</f>
        <v>Male</v>
      </c>
      <c r="D11" s="16" t="str">
        <f ca="1">IFERROR(__xludf.DUMMYFUNCTION("if(isblank(A11),, if(counta(QUERY($A$3:$C1000, ""Select A Where B &gt; ""&amp; B11 +20 &amp;"" AND C = 'Female'"")) = 1,QUERY($A$3:$C1000, ""Select A Where B &gt; ""&amp; B11 +20 &amp;"" AND C = 'Neutral' LIMIT 1""),QUERY($A$3:$C1000, ""Select A Where B &gt; ""&amp; B11 +20 &amp;"" AND C"&amp;" = 'Female'  ORDER BY B LIMIT 1"")))"),"#N/A")</f>
        <v>#N/A</v>
      </c>
      <c r="E11" s="16" t="str">
        <f ca="1">IFERROR(__xludf.DUMMYFUNCTION("if(isblank(A11),, if(counta(QUERY($A$3:$C1000, ""Select A Where B &gt; ""&amp; B11 +20 &amp;"" AND C = 'Male'"")) = 1,QUERY($A$3:$C1000, ""Select A Where B &gt; ""&amp; B11 +20 &amp;"" AND C = 'Neutral' LIMIT 1""),QUERY($A$3:$C1000, ""Select A Where B &gt; ""&amp; B11 +20 &amp;"" AND C ="&amp;" 'Male'  ORDER BY B LIMIT 1"")))"),"#N/A")</f>
        <v>#N/A</v>
      </c>
      <c r="H11" s="24" t="str">
        <f ca="1">IFERROR(__xludf.DUMMYFUNCTION("""COMPUTED_VALUE"""),"Aldren")</f>
        <v>Aldren</v>
      </c>
      <c r="I11" s="124">
        <f ca="1">IFERROR(__xludf.DUMMYFUNCTION("""COMPUTED_VALUE"""),153)</f>
        <v>153</v>
      </c>
      <c r="J11" t="str">
        <f ca="1">IFERROR(__xludf.DUMMYFUNCTION("""COMPUTED_VALUE"""),"Neutral")</f>
        <v>Neutral</v>
      </c>
      <c r="K11" s="242">
        <f ca="1">IFERROR(__xludf.DUMMYFUNCTION("""COMPUTED_VALUE"""),12.6770568847656)</f>
        <v>12.6770568847656</v>
      </c>
      <c r="L11" s="176"/>
    </row>
    <row r="12" spans="1:12" ht="15.75" customHeight="1">
      <c r="A12" s="16" t="str">
        <f ca="1">IFERROR(__xludf.DUMMYFUNCTION("""COMPUTED_VALUE"""),"Occhi")</f>
        <v>Occhi</v>
      </c>
      <c r="B12" s="123">
        <f ca="1">IFERROR(__xludf.DUMMYFUNCTION("""COMPUTED_VALUE"""),112.5)</f>
        <v>112.5</v>
      </c>
      <c r="C12" s="16" t="str">
        <f ca="1">IFERROR(__xludf.DUMMYFUNCTION("""COMPUTED_VALUE"""),"Male")</f>
        <v>Male</v>
      </c>
      <c r="D12" s="16" t="str">
        <f ca="1">IFERROR(__xludf.DUMMYFUNCTION("if(isblank(A12),, if(counta(QUERY($A$3:$C1000, ""Select A Where B &gt; ""&amp; B12 +20 &amp;"" AND C = 'Female'"")) = 1,QUERY($A$3:$C1000, ""Select A Where B &gt; ""&amp; B12 +20 &amp;"" AND C = 'Neutral' LIMIT 1""),QUERY($A$3:$C1000, ""Select A Where B &gt; ""&amp; B12 +20 &amp;"" AND C"&amp;" = 'Female'  ORDER BY B LIMIT 1"")))"),"#N/A")</f>
        <v>#N/A</v>
      </c>
      <c r="E12" s="16" t="str">
        <f ca="1">IFERROR(__xludf.DUMMYFUNCTION("if(isblank(A12),, if(counta(QUERY($A$3:$C1000, ""Select A Where B &gt; ""&amp; B12 +20 &amp;"" AND C = 'Male'"")) = 1,QUERY($A$3:$C1000, ""Select A Where B &gt; ""&amp; B12 +20 &amp;"" AND C = 'Neutral' LIMIT 1""),QUERY($A$3:$C1000, ""Select A Where B &gt; ""&amp; B12 +20 &amp;"" AND C ="&amp;" 'Male'  ORDER BY B LIMIT 1"")))"),"#N/A")</f>
        <v>#N/A</v>
      </c>
      <c r="H12" s="24" t="str">
        <f ca="1">IFERROR(__xludf.DUMMYFUNCTION("""COMPUTED_VALUE"""),"Albright")</f>
        <v>Albright</v>
      </c>
      <c r="I12" s="124">
        <f ca="1">IFERROR(__xludf.DUMMYFUNCTION("""COMPUTED_VALUE"""),153)</f>
        <v>153</v>
      </c>
      <c r="J12" t="str">
        <f ca="1">IFERROR(__xludf.DUMMYFUNCTION("""COMPUTED_VALUE"""),"Neutral")</f>
        <v>Neutral</v>
      </c>
      <c r="K12" s="242">
        <f ca="1">IFERROR(__xludf.DUMMYFUNCTION("""COMPUTED_VALUE"""),12.6428161621093)</f>
        <v>12.6428161621093</v>
      </c>
      <c r="L12" s="176"/>
    </row>
    <row r="13" spans="1:12" ht="15.75" customHeight="1">
      <c r="A13" s="16" t="str">
        <f ca="1">IFERROR(__xludf.DUMMYFUNCTION("""COMPUTED_VALUE"""),"Othelen")</f>
        <v>Othelen</v>
      </c>
      <c r="B13" s="123">
        <f ca="1">IFERROR(__xludf.DUMMYFUNCTION("""COMPUTED_VALUE"""),112.5)</f>
        <v>112.5</v>
      </c>
      <c r="C13" s="16" t="str">
        <f ca="1">IFERROR(__xludf.DUMMYFUNCTION("""COMPUTED_VALUE"""),"Male")</f>
        <v>Male</v>
      </c>
      <c r="D13" s="16" t="str">
        <f ca="1">IFERROR(__xludf.DUMMYFUNCTION("if(isblank(A13),, if(counta(QUERY($A$3:$C1000, ""Select A Where B &gt; ""&amp; B13 +20 &amp;"" AND C = 'Female'"")) = 1,QUERY($A$3:$C1000, ""Select A Where B &gt; ""&amp; B13 +20 &amp;"" AND C = 'Neutral' LIMIT 1""),QUERY($A$3:$C1000, ""Select A Where B &gt; ""&amp; B13 +20 &amp;"" AND C"&amp;" = 'Female'  ORDER BY B LIMIT 1"")))"),"#N/A")</f>
        <v>#N/A</v>
      </c>
      <c r="E13" s="16" t="str">
        <f ca="1">IFERROR(__xludf.DUMMYFUNCTION("if(isblank(A13),, if(counta(QUERY($A$3:$C1000, ""Select A Where B &gt; ""&amp; B13 +20 &amp;"" AND C = 'Male'"")) = 1,QUERY($A$3:$C1000, ""Select A Where B &gt; ""&amp; B13 +20 &amp;"" AND C = 'Neutral' LIMIT 1""),QUERY($A$3:$C1000, ""Select A Where B &gt; ""&amp; B13 +20 &amp;"" AND C ="&amp;" 'Male'  ORDER BY B LIMIT 1"")))"),"#N/A")</f>
        <v>#N/A</v>
      </c>
      <c r="H13" s="24" t="str">
        <f ca="1">IFERROR(__xludf.DUMMYFUNCTION("""COMPUTED_VALUE"""),"Dukran")</f>
        <v>Dukran</v>
      </c>
      <c r="I13" s="124">
        <f ca="1">IFERROR(__xludf.DUMMYFUNCTION("""COMPUTED_VALUE"""),190)</f>
        <v>190</v>
      </c>
      <c r="J13" t="str">
        <f ca="1">IFERROR(__xludf.DUMMYFUNCTION("""COMPUTED_VALUE"""),"Neutral")</f>
        <v>Neutral</v>
      </c>
      <c r="K13" s="242">
        <f ca="1">IFERROR(__xludf.DUMMYFUNCTION("""COMPUTED_VALUE"""),12.5445922851562)</f>
        <v>12.544592285156201</v>
      </c>
      <c r="L13" s="176"/>
    </row>
    <row r="14" spans="1:12" ht="15.75" customHeight="1">
      <c r="A14" s="16" t="str">
        <f ca="1">IFERROR(__xludf.DUMMYFUNCTION("""COMPUTED_VALUE"""),"Peitar")</f>
        <v>Peitar</v>
      </c>
      <c r="B14" s="123">
        <f ca="1">IFERROR(__xludf.DUMMYFUNCTION("""COMPUTED_VALUE"""),112.5)</f>
        <v>112.5</v>
      </c>
      <c r="C14" s="16" t="str">
        <f ca="1">IFERROR(__xludf.DUMMYFUNCTION("""COMPUTED_VALUE"""),"Male")</f>
        <v>Male</v>
      </c>
      <c r="D14" s="16" t="str">
        <f ca="1">IFERROR(__xludf.DUMMYFUNCTION("if(isblank(A14),, if(counta(QUERY($A$3:$C1000, ""Select A Where B &gt; ""&amp; B14 +20 &amp;"" AND C = 'Female'"")) = 1,QUERY($A$3:$C1000, ""Select A Where B &gt; ""&amp; B14 +20 &amp;"" AND C = 'Neutral' LIMIT 1""),QUERY($A$3:$C1000, ""Select A Where B &gt; ""&amp; B14 +20 &amp;"" AND C"&amp;" = 'Female'  ORDER BY B LIMIT 1"")))"),"#N/A")</f>
        <v>#N/A</v>
      </c>
      <c r="E14" s="16" t="str">
        <f ca="1">IFERROR(__xludf.DUMMYFUNCTION("if(isblank(A14),, if(counta(QUERY($A$3:$C1000, ""Select A Where B &gt; ""&amp; B14 +20 &amp;"" AND C = 'Male'"")) = 1,QUERY($A$3:$C1000, ""Select A Where B &gt; ""&amp; B14 +20 &amp;"" AND C = 'Neutral' LIMIT 1""),QUERY($A$3:$C1000, ""Select A Where B &gt; ""&amp; B14 +20 &amp;"" AND C ="&amp;" 'Male'  ORDER BY B LIMIT 1"")))"),"#N/A")</f>
        <v>#N/A</v>
      </c>
      <c r="H14" s="24" t="str">
        <f ca="1">IFERROR(__xludf.DUMMYFUNCTION("""COMPUTED_VALUE"""),"Beck")</f>
        <v>Beck</v>
      </c>
      <c r="I14" s="124">
        <f ca="1">IFERROR(__xludf.DUMMYFUNCTION("""COMPUTED_VALUE"""),153)</f>
        <v>153</v>
      </c>
      <c r="J14" t="str">
        <f ca="1">IFERROR(__xludf.DUMMYFUNCTION("""COMPUTED_VALUE"""),"Neutral")</f>
        <v>Neutral</v>
      </c>
      <c r="K14" s="242">
        <f ca="1">IFERROR(__xludf.DUMMYFUNCTION("""COMPUTED_VALUE"""),11.6831057739257)</f>
        <v>11.6831057739257</v>
      </c>
      <c r="L14" s="176"/>
    </row>
    <row r="15" spans="1:12" ht="15.75" customHeight="1">
      <c r="A15" s="16" t="str">
        <f ca="1">IFERROR(__xludf.DUMMYFUNCTION("""COMPUTED_VALUE"""),"Picumar")</f>
        <v>Picumar</v>
      </c>
      <c r="B15" s="123">
        <f ca="1">IFERROR(__xludf.DUMMYFUNCTION("""COMPUTED_VALUE"""),112.5)</f>
        <v>112.5</v>
      </c>
      <c r="C15" s="16" t="str">
        <f ca="1">IFERROR(__xludf.DUMMYFUNCTION("""COMPUTED_VALUE"""),"Male")</f>
        <v>Male</v>
      </c>
      <c r="D15" s="16" t="str">
        <f ca="1">IFERROR(__xludf.DUMMYFUNCTION("if(isblank(A15),, if(counta(QUERY($A$3:$C1000, ""Select A Where B &gt; ""&amp; B15 +20 &amp;"" AND C = 'Female'"")) = 1,QUERY($A$3:$C1000, ""Select A Where B &gt; ""&amp; B15 +20 &amp;"" AND C = 'Neutral' LIMIT 1""),QUERY($A$3:$C1000, ""Select A Where B &gt; ""&amp; B15 +20 &amp;"" AND C"&amp;" = 'Female'  ORDER BY B LIMIT 1"")))"),"#N/A")</f>
        <v>#N/A</v>
      </c>
      <c r="E15" s="16" t="str">
        <f ca="1">IFERROR(__xludf.DUMMYFUNCTION("if(isblank(A15),, if(counta(QUERY($A$3:$C1000, ""Select A Where B &gt; ""&amp; B15 +20 &amp;"" AND C = 'Male'"")) = 1,QUERY($A$3:$C1000, ""Select A Where B &gt; ""&amp; B15 +20 &amp;"" AND C = 'Neutral' LIMIT 1""),QUERY($A$3:$C1000, ""Select A Where B &gt; ""&amp; B15 +20 &amp;"" AND C ="&amp;" 'Male'  ORDER BY B LIMIT 1"")))"),"#N/A")</f>
        <v>#N/A</v>
      </c>
      <c r="H15" s="24" t="str">
        <f ca="1">IFERROR(__xludf.DUMMYFUNCTION("""COMPUTED_VALUE"""),"Dasbeck")</f>
        <v>Dasbeck</v>
      </c>
      <c r="I15" s="124">
        <f ca="1">IFERROR(__xludf.DUMMYFUNCTION("""COMPUTED_VALUE"""),180)</f>
        <v>180</v>
      </c>
      <c r="J15" t="str">
        <f ca="1">IFERROR(__xludf.DUMMYFUNCTION("""COMPUTED_VALUE"""),"Neutral")</f>
        <v>Neutral</v>
      </c>
      <c r="K15" s="242">
        <f ca="1">IFERROR(__xludf.DUMMYFUNCTION("""COMPUTED_VALUE"""),11.6648876953125)</f>
        <v>11.664887695312499</v>
      </c>
      <c r="L15" s="176"/>
    </row>
    <row r="16" spans="1:12" ht="15.75" customHeight="1">
      <c r="A16" s="16" t="str">
        <f ca="1">IFERROR(__xludf.DUMMYFUNCTION("""COMPUTED_VALUE"""),"Occhi")</f>
        <v>Occhi</v>
      </c>
      <c r="B16" s="123">
        <f ca="1">IFERROR(__xludf.DUMMYFUNCTION("""COMPUTED_VALUE"""),112.5)</f>
        <v>112.5</v>
      </c>
      <c r="C16" s="16" t="str">
        <f ca="1">IFERROR(__xludf.DUMMYFUNCTION("""COMPUTED_VALUE"""),"Male")</f>
        <v>Male</v>
      </c>
      <c r="D16" s="16" t="str">
        <f ca="1">IFERROR(__xludf.DUMMYFUNCTION("if(isblank(A16),, if(counta(QUERY($A$3:$C1000, ""Select A Where B &gt; ""&amp; B16 +20 &amp;"" AND C = 'Female'"")) = 1,QUERY($A$3:$C1000, ""Select A Where B &gt; ""&amp; B16 +20 &amp;"" AND C = 'Neutral' LIMIT 1""),QUERY($A$3:$C1000, ""Select A Where B &gt; ""&amp; B16 +20 &amp;"" AND C"&amp;" = 'Female'  ORDER BY B LIMIT 1"")))"),"#N/A")</f>
        <v>#N/A</v>
      </c>
      <c r="E16" s="16" t="str">
        <f ca="1">IFERROR(__xludf.DUMMYFUNCTION("if(isblank(A16),, if(counta(QUERY($A$3:$C1000, ""Select A Where B &gt; ""&amp; B16 +20 &amp;"" AND C = 'Male'"")) = 1,QUERY($A$3:$C1000, ""Select A Where B &gt; ""&amp; B16 +20 &amp;"" AND C = 'Neutral' LIMIT 1""),QUERY($A$3:$C1000, ""Select A Where B &gt; ""&amp; B16 +20 &amp;"" AND C ="&amp;" 'Male'  ORDER BY B LIMIT 1"")))"),"#N/A")</f>
        <v>#N/A</v>
      </c>
      <c r="H16" s="24" t="str">
        <f ca="1">IFERROR(__xludf.DUMMYFUNCTION("""COMPUTED_VALUE"""),"Barkydle")</f>
        <v>Barkydle</v>
      </c>
      <c r="I16" s="124">
        <f ca="1">IFERROR(__xludf.DUMMYFUNCTION("""COMPUTED_VALUE"""),153)</f>
        <v>153</v>
      </c>
      <c r="J16" t="str">
        <f ca="1">IFERROR(__xludf.DUMMYFUNCTION("""COMPUTED_VALUE"""),"Neutral")</f>
        <v>Neutral</v>
      </c>
      <c r="K16" s="242">
        <f ca="1">IFERROR(__xludf.DUMMYFUNCTION("""COMPUTED_VALUE"""),11.652802734375)</f>
        <v>11.652802734374999</v>
      </c>
      <c r="L16" s="176"/>
    </row>
    <row r="17" spans="1:12" ht="15.75" customHeight="1">
      <c r="A17" s="16" t="str">
        <f ca="1">IFERROR(__xludf.DUMMYFUNCTION("""COMPUTED_VALUE"""),"Prothalon")</f>
        <v>Prothalon</v>
      </c>
      <c r="B17" s="123">
        <f ca="1">IFERROR(__xludf.DUMMYFUNCTION("""COMPUTED_VALUE"""),112.5)</f>
        <v>112.5</v>
      </c>
      <c r="C17" s="16" t="str">
        <f ca="1">IFERROR(__xludf.DUMMYFUNCTION("""COMPUTED_VALUE"""),"Male")</f>
        <v>Male</v>
      </c>
      <c r="D17" s="16" t="str">
        <f ca="1">IFERROR(__xludf.DUMMYFUNCTION("if(isblank(A17),, if(counta(QUERY($A$3:$C1000, ""Select A Where B &gt; ""&amp; B17 +20 &amp;"" AND C = 'Female'"")) = 1,QUERY($A$3:$C1000, ""Select A Where B &gt; ""&amp; B17 +20 &amp;"" AND C = 'Neutral' LIMIT 1""),QUERY($A$3:$C1000, ""Select A Where B &gt; ""&amp; B17 +20 &amp;"" AND C"&amp;" = 'Female'  ORDER BY B LIMIT 1"")))"),"#N/A")</f>
        <v>#N/A</v>
      </c>
      <c r="E17" s="16" t="str">
        <f ca="1">IFERROR(__xludf.DUMMYFUNCTION("if(isblank(A17),, if(counta(QUERY($A$3:$C1000, ""Select A Where B &gt; ""&amp; B17 +20 &amp;"" AND C = 'Male'"")) = 1,QUERY($A$3:$C1000, ""Select A Where B &gt; ""&amp; B17 +20 &amp;"" AND C = 'Neutral' LIMIT 1""),QUERY($A$3:$C1000, ""Select A Where B &gt; ""&amp; B17 +20 &amp;"" AND C ="&amp;" 'Male'  ORDER BY B LIMIT 1"")))"),"#N/A")</f>
        <v>#N/A</v>
      </c>
      <c r="H17" s="24" t="str">
        <f ca="1">IFERROR(__xludf.DUMMYFUNCTION("""COMPUTED_VALUE"""),"Anumi")</f>
        <v>Anumi</v>
      </c>
      <c r="I17" s="124">
        <f ca="1">IFERROR(__xludf.DUMMYFUNCTION("""COMPUTED_VALUE"""),153)</f>
        <v>153</v>
      </c>
      <c r="J17" t="str">
        <f ca="1">IFERROR(__xludf.DUMMYFUNCTION("""COMPUTED_VALUE"""),"Neutral")</f>
        <v>Neutral</v>
      </c>
      <c r="K17" s="242">
        <f ca="1">IFERROR(__xludf.DUMMYFUNCTION("""COMPUTED_VALUE"""),11.4494128417968)</f>
        <v>11.4494128417968</v>
      </c>
      <c r="L17" s="176"/>
    </row>
    <row r="18" spans="1:12" ht="15.75" customHeight="1">
      <c r="A18" s="16" t="str">
        <f ca="1">IFERROR(__xludf.DUMMYFUNCTION("""COMPUTED_VALUE"""),"Omarn")</f>
        <v>Omarn</v>
      </c>
      <c r="B18" s="123">
        <f ca="1">IFERROR(__xludf.DUMMYFUNCTION("""COMPUTED_VALUE"""),112.5)</f>
        <v>112.5</v>
      </c>
      <c r="C18" s="16" t="str">
        <f ca="1">IFERROR(__xludf.DUMMYFUNCTION("""COMPUTED_VALUE"""),"Male")</f>
        <v>Male</v>
      </c>
      <c r="D18" s="16" t="str">
        <f ca="1">IFERROR(__xludf.DUMMYFUNCTION("if(isblank(A18),, if(counta(QUERY($A$3:$C1000, ""Select A Where B &gt; ""&amp; B18 +20 &amp;"" AND C = 'Female'"")) = 1,QUERY($A$3:$C1000, ""Select A Where B &gt; ""&amp; B18 +20 &amp;"" AND C = 'Neutral' LIMIT 1""),QUERY($A$3:$C1000, ""Select A Where B &gt; ""&amp; B18 +20 &amp;"" AND C"&amp;" = 'Female'  ORDER BY B LIMIT 1"")))"),"#N/A")</f>
        <v>#N/A</v>
      </c>
      <c r="E18" s="16" t="str">
        <f ca="1">IFERROR(__xludf.DUMMYFUNCTION("if(isblank(A18),, if(counta(QUERY($A$3:$C1000, ""Select A Where B &gt; ""&amp; B18 +20 &amp;"" AND C = 'Male'"")) = 1,QUERY($A$3:$C1000, ""Select A Where B &gt; ""&amp; B18 +20 &amp;"" AND C = 'Neutral' LIMIT 1""),QUERY($A$3:$C1000, ""Select A Where B &gt; ""&amp; B18 +20 &amp;"" AND C ="&amp;" 'Male'  ORDER BY B LIMIT 1"")))"),"#N/A")</f>
        <v>#N/A</v>
      </c>
      <c r="H18" s="24" t="str">
        <f ca="1">IFERROR(__xludf.DUMMYFUNCTION("""COMPUTED_VALUE"""),"Espardo")</f>
        <v>Espardo</v>
      </c>
      <c r="I18" s="124">
        <f ca="1">IFERROR(__xludf.DUMMYFUNCTION("""COMPUTED_VALUE"""),190)</f>
        <v>190</v>
      </c>
      <c r="J18" t="str">
        <f ca="1">IFERROR(__xludf.DUMMYFUNCTION("""COMPUTED_VALUE"""),"Neutral")</f>
        <v>Neutral</v>
      </c>
      <c r="K18" s="242">
        <f ca="1">IFERROR(__xludf.DUMMYFUNCTION("""COMPUTED_VALUE"""),11.1796630859374)</f>
        <v>11.179663085937401</v>
      </c>
      <c r="L18" s="176"/>
    </row>
    <row r="19" spans="1:12" ht="15.75" customHeight="1">
      <c r="A19" s="16" t="str">
        <f ca="1">IFERROR(__xludf.DUMMYFUNCTION("""COMPUTED_VALUE"""),"Pendus")</f>
        <v>Pendus</v>
      </c>
      <c r="B19" s="123">
        <f ca="1">IFERROR(__xludf.DUMMYFUNCTION("""COMPUTED_VALUE"""),112.5)</f>
        <v>112.5</v>
      </c>
      <c r="C19" s="16" t="str">
        <f ca="1">IFERROR(__xludf.DUMMYFUNCTION("""COMPUTED_VALUE"""),"Male")</f>
        <v>Male</v>
      </c>
      <c r="D19" s="16" t="str">
        <f ca="1">IFERROR(__xludf.DUMMYFUNCTION("if(isblank(A19),, if(counta(QUERY($A$3:$C1000, ""Select A Where B &gt; ""&amp; B19 +20 &amp;"" AND C = 'Female'"")) = 1,QUERY($A$3:$C1000, ""Select A Where B &gt; ""&amp; B19 +20 &amp;"" AND C = 'Neutral' LIMIT 1""),QUERY($A$3:$C1000, ""Select A Where B &gt; ""&amp; B19 +20 &amp;"" AND C"&amp;" = 'Female'  ORDER BY B LIMIT 1"")))"),"#N/A")</f>
        <v>#N/A</v>
      </c>
      <c r="E19" s="16" t="str">
        <f ca="1">IFERROR(__xludf.DUMMYFUNCTION("if(isblank(A19),, if(counta(QUERY($A$3:$C1000, ""Select A Where B &gt; ""&amp; B19 +20 &amp;"" AND C = 'Male'"")) = 1,QUERY($A$3:$C1000, ""Select A Where B &gt; ""&amp; B19 +20 &amp;"" AND C = 'Neutral' LIMIT 1""),QUERY($A$3:$C1000, ""Select A Where B &gt; ""&amp; B19 +20 &amp;"" AND C ="&amp;" 'Male'  ORDER BY B LIMIT 1"")))"),"#N/A")</f>
        <v>#N/A</v>
      </c>
      <c r="H19" s="24" t="str">
        <f ca="1">IFERROR(__xludf.DUMMYFUNCTION("""COMPUTED_VALUE"""),"Dyten")</f>
        <v>Dyten</v>
      </c>
      <c r="I19" s="124">
        <f ca="1">IFERROR(__xludf.DUMMYFUNCTION("""COMPUTED_VALUE"""),190)</f>
        <v>190</v>
      </c>
      <c r="J19" t="str">
        <f ca="1">IFERROR(__xludf.DUMMYFUNCTION("""COMPUTED_VALUE"""),"Neutral")</f>
        <v>Neutral</v>
      </c>
      <c r="K19" s="242">
        <f ca="1">IFERROR(__xludf.DUMMYFUNCTION("""COMPUTED_VALUE"""),11.0117895507812)</f>
        <v>11.0117895507812</v>
      </c>
      <c r="L19" s="176"/>
    </row>
    <row r="20" spans="1:12" ht="15.75" customHeight="1">
      <c r="A20" s="16" t="str">
        <f ca="1">IFERROR(__xludf.DUMMYFUNCTION("""COMPUTED_VALUE"""),"Nuthor")</f>
        <v>Nuthor</v>
      </c>
      <c r="B20" s="123">
        <f ca="1">IFERROR(__xludf.DUMMYFUNCTION("""COMPUTED_VALUE"""),112.5)</f>
        <v>112.5</v>
      </c>
      <c r="C20" s="16" t="str">
        <f ca="1">IFERROR(__xludf.DUMMYFUNCTION("""COMPUTED_VALUE"""),"Male")</f>
        <v>Male</v>
      </c>
      <c r="D20" s="16" t="str">
        <f ca="1">IFERROR(__xludf.DUMMYFUNCTION("if(isblank(A20),, if(counta(QUERY($A$3:$C1000, ""Select A Where B &gt; ""&amp; B20 +20 &amp;"" AND C = 'Female'"")) = 1,QUERY($A$3:$C1000, ""Select A Where B &gt; ""&amp; B20 +20 &amp;"" AND C = 'Neutral' LIMIT 1""),QUERY($A$3:$C1000, ""Select A Where B &gt; ""&amp; B20 +20 &amp;"" AND C"&amp;" = 'Female'  ORDER BY B LIMIT 1"")))"),"#N/A")</f>
        <v>#N/A</v>
      </c>
      <c r="E20" s="16" t="str">
        <f ca="1">IFERROR(__xludf.DUMMYFUNCTION("if(isblank(A20),, if(counta(QUERY($A$3:$C1000, ""Select A Where B &gt; ""&amp; B20 +20 &amp;"" AND C = 'Male'"")) = 1,QUERY($A$3:$C1000, ""Select A Where B &gt; ""&amp; B20 +20 &amp;"" AND C = 'Neutral' LIMIT 1""),QUERY($A$3:$C1000, ""Select A Where B &gt; ""&amp; B20 +20 &amp;"" AND C ="&amp;" 'Male'  ORDER BY B LIMIT 1"")))"),"#N/A")</f>
        <v>#N/A</v>
      </c>
      <c r="H20" s="24" t="str">
        <f ca="1">IFERROR(__xludf.DUMMYFUNCTION("""COMPUTED_VALUE"""),"Besurlde")</f>
        <v>Besurlde</v>
      </c>
      <c r="I20" s="124">
        <f ca="1">IFERROR(__xludf.DUMMYFUNCTION("""COMPUTED_VALUE"""),153)</f>
        <v>153</v>
      </c>
      <c r="J20" t="str">
        <f ca="1">IFERROR(__xludf.DUMMYFUNCTION("""COMPUTED_VALUE"""),"Neutral")</f>
        <v>Neutral</v>
      </c>
      <c r="K20" s="242">
        <f ca="1">IFERROR(__xludf.DUMMYFUNCTION("""COMPUTED_VALUE"""),10.4210498046874)</f>
        <v>10.421049804687399</v>
      </c>
      <c r="L20" s="176"/>
    </row>
    <row r="21" spans="1:12" ht="15.75" customHeight="1">
      <c r="A21" s="16" t="str">
        <f ca="1">IFERROR(__xludf.DUMMYFUNCTION("""COMPUTED_VALUE"""),"Phoenix")</f>
        <v>Phoenix</v>
      </c>
      <c r="B21" s="123">
        <f ca="1">IFERROR(__xludf.DUMMYFUNCTION("""COMPUTED_VALUE"""),112.5)</f>
        <v>112.5</v>
      </c>
      <c r="C21" s="16" t="str">
        <f ca="1">IFERROR(__xludf.DUMMYFUNCTION("""COMPUTED_VALUE"""),"Male")</f>
        <v>Male</v>
      </c>
      <c r="D21" s="16" t="str">
        <f ca="1">IFERROR(__xludf.DUMMYFUNCTION("if(isblank(A21),, if(counta(QUERY($A$3:$C1000, ""Select A Where B &gt; ""&amp; B21 +20 &amp;"" AND C = 'Female'"")) = 1,QUERY($A$3:$C1000, ""Select A Where B &gt; ""&amp; B21 +20 &amp;"" AND C = 'Neutral' LIMIT 1""),QUERY($A$3:$C1000, ""Select A Where B &gt; ""&amp; B21 +20 &amp;"" AND C"&amp;" = 'Female'  ORDER BY B LIMIT 1"")))"),"#N/A")</f>
        <v>#N/A</v>
      </c>
      <c r="E21" s="16" t="str">
        <f ca="1">IFERROR(__xludf.DUMMYFUNCTION("if(isblank(A21),, if(counta(QUERY($A$3:$C1000, ""Select A Where B &gt; ""&amp; B21 +20 &amp;"" AND C = 'Male'"")) = 1,QUERY($A$3:$C1000, ""Select A Where B &gt; ""&amp; B21 +20 &amp;"" AND C = 'Neutral' LIMIT 1""),QUERY($A$3:$C1000, ""Select A Where B &gt; ""&amp; B21 +20 &amp;"" AND C ="&amp;" 'Male'  ORDER BY B LIMIT 1"")))"),"#N/A")</f>
        <v>#N/A</v>
      </c>
      <c r="H21" s="24" t="str">
        <f ca="1">IFERROR(__xludf.DUMMYFUNCTION("""COMPUTED_VALUE"""),"Defearon")</f>
        <v>Defearon</v>
      </c>
      <c r="I21" s="124">
        <f ca="1">IFERROR(__xludf.DUMMYFUNCTION("""COMPUTED_VALUE"""),180)</f>
        <v>180</v>
      </c>
      <c r="J21" t="str">
        <f ca="1">IFERROR(__xludf.DUMMYFUNCTION("""COMPUTED_VALUE"""),"Neutral")</f>
        <v>Neutral</v>
      </c>
      <c r="K21" s="242">
        <f ca="1">IFERROR(__xludf.DUMMYFUNCTION("""COMPUTED_VALUE"""),10.2317321777343)</f>
        <v>10.231732177734299</v>
      </c>
      <c r="L21" s="176"/>
    </row>
    <row r="22" spans="1:12" ht="15.75" customHeight="1">
      <c r="A22" s="16" t="str">
        <f ca="1">IFERROR(__xludf.DUMMYFUNCTION("""COMPUTED_VALUE"""),"O’tho")</f>
        <v>O’tho</v>
      </c>
      <c r="B22" s="123">
        <f ca="1">IFERROR(__xludf.DUMMYFUNCTION("""COMPUTED_VALUE"""),112.5)</f>
        <v>112.5</v>
      </c>
      <c r="C22" s="16" t="str">
        <f ca="1">IFERROR(__xludf.DUMMYFUNCTION("""COMPUTED_VALUE"""),"Male")</f>
        <v>Male</v>
      </c>
      <c r="D22" s="16" t="str">
        <f ca="1">IFERROR(__xludf.DUMMYFUNCTION("if(isblank(A22),, if(counta(QUERY($A$3:$C1000, ""Select A Where B &gt; ""&amp; B22 +20 &amp;"" AND C = 'Female'"")) = 1,QUERY($A$3:$C1000, ""Select A Where B &gt; ""&amp; B22 +20 &amp;"" AND C = 'Neutral' LIMIT 1""),QUERY($A$3:$C1000, ""Select A Where B &gt; ""&amp; B22 +20 &amp;"" AND C"&amp;" = 'Female'  ORDER BY B LIMIT 1"")))"),"#N/A")</f>
        <v>#N/A</v>
      </c>
      <c r="E22" s="16" t="str">
        <f ca="1">IFERROR(__xludf.DUMMYFUNCTION("if(isblank(A22),, if(counta(QUERY($A$3:$C1000, ""Select A Where B &gt; ""&amp; B22 +20 &amp;"" AND C = 'Male'"")) = 1,QUERY($A$3:$C1000, ""Select A Where B &gt; ""&amp; B22 +20 &amp;"" AND C = 'Neutral' LIMIT 1""),QUERY($A$3:$C1000, ""Select A Where B &gt; ""&amp; B22 +20 &amp;"" AND C ="&amp;" 'Male'  ORDER BY B LIMIT 1"")))"),"#N/A")</f>
        <v>#N/A</v>
      </c>
      <c r="H22" s="24" t="str">
        <f ca="1">IFERROR(__xludf.DUMMYFUNCTION("""COMPUTED_VALUE"""),"Afflon")</f>
        <v>Afflon</v>
      </c>
      <c r="I22" s="124">
        <f ca="1">IFERROR(__xludf.DUMMYFUNCTION("""COMPUTED_VALUE"""),153)</f>
        <v>153</v>
      </c>
      <c r="J22" t="str">
        <f ca="1">IFERROR(__xludf.DUMMYFUNCTION("""COMPUTED_VALUE"""),"Neutral")</f>
        <v>Neutral</v>
      </c>
      <c r="K22" s="242">
        <f ca="1">IFERROR(__xludf.DUMMYFUNCTION("""COMPUTED_VALUE"""),10.0329882812499)</f>
        <v>10.032988281249899</v>
      </c>
      <c r="L22" s="176"/>
    </row>
    <row r="23" spans="1:12" ht="15.75" customHeight="1">
      <c r="A23" s="16" t="str">
        <f ca="1">IFERROR(__xludf.DUMMYFUNCTION("""COMPUTED_VALUE"""),"Omarn")</f>
        <v>Omarn</v>
      </c>
      <c r="B23" s="123">
        <f ca="1">IFERROR(__xludf.DUMMYFUNCTION("""COMPUTED_VALUE"""),112.5)</f>
        <v>112.5</v>
      </c>
      <c r="C23" s="16" t="str">
        <f ca="1">IFERROR(__xludf.DUMMYFUNCTION("""COMPUTED_VALUE"""),"Male")</f>
        <v>Male</v>
      </c>
      <c r="D23" s="16" t="str">
        <f ca="1">IFERROR(__xludf.DUMMYFUNCTION("if(isblank(A23),, if(counta(QUERY($A$3:$C1000, ""Select A Where B &gt; ""&amp; B23 +20 &amp;"" AND C = 'Female'"")) = 1,QUERY($A$3:$C1000, ""Select A Where B &gt; ""&amp; B23 +20 &amp;"" AND C = 'Neutral' LIMIT 1""),QUERY($A$3:$C1000, ""Select A Where B &gt; ""&amp; B23 +20 &amp;"" AND C"&amp;" = 'Female'  ORDER BY B LIMIT 1"")))"),"#N/A")</f>
        <v>#N/A</v>
      </c>
      <c r="E23" s="16" t="str">
        <f ca="1">IFERROR(__xludf.DUMMYFUNCTION("if(isblank(A23),, if(counta(QUERY($A$3:$C1000, ""Select A Where B &gt; ""&amp; B23 +20 &amp;"" AND C = 'Male'"")) = 1,QUERY($A$3:$C1000, ""Select A Where B &gt; ""&amp; B23 +20 &amp;"" AND C = 'Neutral' LIMIT 1""),QUERY($A$3:$C1000, ""Select A Where B &gt; ""&amp; B23 +20 &amp;"" AND C ="&amp;" 'Male'  ORDER BY B LIMIT 1"")))"),"#N/A")</f>
        <v>#N/A</v>
      </c>
      <c r="H23" s="24" t="str">
        <f ca="1">IFERROR(__xludf.DUMMYFUNCTION("""COMPUTED_VALUE"""),"Aboloft")</f>
        <v>Aboloft</v>
      </c>
      <c r="I23" s="124">
        <f ca="1">IFERROR(__xludf.DUMMYFUNCTION("""COMPUTED_VALUE"""),153)</f>
        <v>153</v>
      </c>
      <c r="J23" t="str">
        <f ca="1">IFERROR(__xludf.DUMMYFUNCTION("""COMPUTED_VALUE"""),"Neutral")</f>
        <v>Neutral</v>
      </c>
      <c r="K23" s="242">
        <f ca="1">IFERROR(__xludf.DUMMYFUNCTION("""COMPUTED_VALUE"""),9.99737792968749)</f>
        <v>9.9973779296874898</v>
      </c>
      <c r="L23" s="176"/>
    </row>
    <row r="24" spans="1:12" ht="15.75" customHeight="1">
      <c r="A24" s="16" t="str">
        <f ca="1">IFERROR(__xludf.DUMMYFUNCTION("""COMPUTED_VALUE"""),"Peitar")</f>
        <v>Peitar</v>
      </c>
      <c r="B24" s="123">
        <f ca="1">IFERROR(__xludf.DUMMYFUNCTION("""COMPUTED_VALUE"""),112.5)</f>
        <v>112.5</v>
      </c>
      <c r="C24" s="16" t="str">
        <f ca="1">IFERROR(__xludf.DUMMYFUNCTION("""COMPUTED_VALUE"""),"Male")</f>
        <v>Male</v>
      </c>
      <c r="D24" s="16" t="str">
        <f ca="1">IFERROR(__xludf.DUMMYFUNCTION("if(isblank(A24),, if(counta(QUERY($A$3:$C1000, ""Select A Where B &gt; ""&amp; B24 +20 &amp;"" AND C = 'Female'"")) = 1,QUERY($A$3:$C1000, ""Select A Where B &gt; ""&amp; B24 +20 &amp;"" AND C = 'Neutral' LIMIT 1""),QUERY($A$3:$C1000, ""Select A Where B &gt; ""&amp; B24 +20 &amp;"" AND C"&amp;" = 'Female'  ORDER BY B LIMIT 1"")))"),"#N/A")</f>
        <v>#N/A</v>
      </c>
      <c r="E24" s="16" t="str">
        <f ca="1">IFERROR(__xludf.DUMMYFUNCTION("if(isblank(A24),, if(counta(QUERY($A$3:$C1000, ""Select A Where B &gt; ""&amp; B24 +20 &amp;"" AND C = 'Male'"")) = 1,QUERY($A$3:$C1000, ""Select A Where B &gt; ""&amp; B24 +20 &amp;"" AND C = 'Neutral' LIMIT 1""),QUERY($A$3:$C1000, ""Select A Where B &gt; ""&amp; B24 +20 &amp;"" AND C ="&amp;" 'Male'  ORDER BY B LIMIT 1"")))"),"#N/A")</f>
        <v>#N/A</v>
      </c>
      <c r="H24" s="24" t="str">
        <f ca="1">IFERROR(__xludf.DUMMYFUNCTION("""COMPUTED_VALUE"""),"Etdar")</f>
        <v>Etdar</v>
      </c>
      <c r="I24" s="124">
        <f ca="1">IFERROR(__xludf.DUMMYFUNCTION("""COMPUTED_VALUE"""),190)</f>
        <v>190</v>
      </c>
      <c r="J24" t="str">
        <f ca="1">IFERROR(__xludf.DUMMYFUNCTION("""COMPUTED_VALUE"""),"Neutral")</f>
        <v>Neutral</v>
      </c>
      <c r="K24" s="242">
        <f ca="1">IFERROR(__xludf.DUMMYFUNCTION("""COMPUTED_VALUE"""),9.61280090332031)</f>
        <v>9.6128009033203092</v>
      </c>
      <c r="L24" s="176"/>
    </row>
    <row r="25" spans="1:12" ht="15.75" customHeight="1">
      <c r="A25" s="16" t="str">
        <f ca="1">IFERROR(__xludf.DUMMYFUNCTION("""COMPUTED_VALUE"""),"Phoenix")</f>
        <v>Phoenix</v>
      </c>
      <c r="B25" s="123">
        <f ca="1">IFERROR(__xludf.DUMMYFUNCTION("""COMPUTED_VALUE"""),112.5)</f>
        <v>112.5</v>
      </c>
      <c r="C25" s="16" t="str">
        <f ca="1">IFERROR(__xludf.DUMMYFUNCTION("""COMPUTED_VALUE"""),"Male")</f>
        <v>Male</v>
      </c>
      <c r="D25" s="16" t="str">
        <f ca="1">IFERROR(__xludf.DUMMYFUNCTION("if(isblank(A25),, if(counta(QUERY($A$3:$C1000, ""Select A Where B &gt; ""&amp; B25 +20 &amp;"" AND C = 'Female'"")) = 1,QUERY($A$3:$C1000, ""Select A Where B &gt; ""&amp; B25 +20 &amp;"" AND C = 'Neutral' LIMIT 1""),QUERY($A$3:$C1000, ""Select A Where B &gt; ""&amp; B25 +20 &amp;"" AND C"&amp;" = 'Female'  ORDER BY B LIMIT 1"")))"),"#N/A")</f>
        <v>#N/A</v>
      </c>
      <c r="E25" s="16" t="str">
        <f ca="1">IFERROR(__xludf.DUMMYFUNCTION("if(isblank(A25),, if(counta(QUERY($A$3:$C1000, ""Select A Where B &gt; ""&amp; B25 +20 &amp;"" AND C = 'Male'"")) = 1,QUERY($A$3:$C1000, ""Select A Where B &gt; ""&amp; B25 +20 &amp;"" AND C = 'Neutral' LIMIT 1""),QUERY($A$3:$C1000, ""Select A Where B &gt; ""&amp; B25 +20 &amp;"" AND C ="&amp;" 'Male'  ORDER BY B LIMIT 1"")))"),"#N/A")</f>
        <v>#N/A</v>
      </c>
      <c r="H25" s="24" t="str">
        <f ca="1">IFERROR(__xludf.DUMMYFUNCTION("""COMPUTED_VALUE"""),"Efamar")</f>
        <v>Efamar</v>
      </c>
      <c r="I25" s="124">
        <f ca="1">IFERROR(__xludf.DUMMYFUNCTION("""COMPUTED_VALUE"""),190)</f>
        <v>190</v>
      </c>
      <c r="J25" t="str">
        <f ca="1">IFERROR(__xludf.DUMMYFUNCTION("""COMPUTED_VALUE"""),"Neutral")</f>
        <v>Neutral</v>
      </c>
      <c r="K25" s="242">
        <f ca="1">IFERROR(__xludf.DUMMYFUNCTION("""COMPUTED_VALUE"""),9.46125549316406)</f>
        <v>9.4612554931640602</v>
      </c>
      <c r="L25" s="176"/>
    </row>
    <row r="26" spans="1:12" ht="15.75" customHeight="1">
      <c r="A26" s="16" t="str">
        <f ca="1">IFERROR(__xludf.DUMMYFUNCTION("""COMPUTED_VALUE"""),"O’tho")</f>
        <v>O’tho</v>
      </c>
      <c r="B26" s="123">
        <f ca="1">IFERROR(__xludf.DUMMYFUNCTION("""COMPUTED_VALUE"""),112.5)</f>
        <v>112.5</v>
      </c>
      <c r="C26" s="16" t="str">
        <f ca="1">IFERROR(__xludf.DUMMYFUNCTION("""COMPUTED_VALUE"""),"Male")</f>
        <v>Male</v>
      </c>
      <c r="D26" s="16" t="str">
        <f ca="1">IFERROR(__xludf.DUMMYFUNCTION("if(isblank(A26),, if(counta(QUERY($A$3:$C1000, ""Select A Where B &gt; ""&amp; B26 +20 &amp;"" AND C = 'Female'"")) = 1,QUERY($A$3:$C1000, ""Select A Where B &gt; ""&amp; B26 +20 &amp;"" AND C = 'Neutral' LIMIT 1""),QUERY($A$3:$C1000, ""Select A Where B &gt; ""&amp; B26 +20 &amp;"" AND C"&amp;" = 'Female'  ORDER BY B LIMIT 1"")))"),"#N/A")</f>
        <v>#N/A</v>
      </c>
      <c r="E26" s="16" t="str">
        <f ca="1">IFERROR(__xludf.DUMMYFUNCTION("if(isblank(A26),, if(counta(QUERY($A$3:$C1000, ""Select A Where B &gt; ""&amp; B26 +20 &amp;"" AND C = 'Male'"")) = 1,QUERY($A$3:$C1000, ""Select A Where B &gt; ""&amp; B26 +20 &amp;"" AND C = 'Neutral' LIMIT 1""),QUERY($A$3:$C1000, ""Select A Where B &gt; ""&amp; B26 +20 &amp;"" AND C ="&amp;" 'Male'  ORDER BY B LIMIT 1"")))"),"#N/A")</f>
        <v>#N/A</v>
      </c>
      <c r="H26" s="24" t="str">
        <f ca="1">IFERROR(__xludf.DUMMYFUNCTION("""COMPUTED_VALUE"""),"Bildon")</f>
        <v>Bildon</v>
      </c>
      <c r="I26" s="124">
        <f ca="1">IFERROR(__xludf.DUMMYFUNCTION("""COMPUTED_VALUE"""),153)</f>
        <v>153</v>
      </c>
      <c r="J26" t="str">
        <f ca="1">IFERROR(__xludf.DUMMYFUNCTION("""COMPUTED_VALUE"""),"Neutral")</f>
        <v>Neutral</v>
      </c>
      <c r="K26" s="242">
        <f ca="1">IFERROR(__xludf.DUMMYFUNCTION("""COMPUTED_VALUE"""),9.14238708496093)</f>
        <v>9.1423870849609301</v>
      </c>
      <c r="L26" s="176"/>
    </row>
    <row r="27" spans="1:12" ht="15.75" customHeight="1">
      <c r="A27" s="16" t="str">
        <f ca="1">IFERROR(__xludf.DUMMYFUNCTION("""COMPUTED_VALUE"""),"Prothalon")</f>
        <v>Prothalon</v>
      </c>
      <c r="B27" s="123">
        <f ca="1">IFERROR(__xludf.DUMMYFUNCTION("""COMPUTED_VALUE"""),112.5)</f>
        <v>112.5</v>
      </c>
      <c r="C27" s="16" t="str">
        <f ca="1">IFERROR(__xludf.DUMMYFUNCTION("""COMPUTED_VALUE"""),"Male")</f>
        <v>Male</v>
      </c>
      <c r="D27" s="16" t="str">
        <f ca="1">IFERROR(__xludf.DUMMYFUNCTION("if(isblank(A27),, if(counta(QUERY($A$3:$C1000, ""Select A Where B &gt; ""&amp; B27 +20 &amp;"" AND C = 'Female'"")) = 1,QUERY($A$3:$C1000, ""Select A Where B &gt; ""&amp; B27 +20 &amp;"" AND C = 'Neutral' LIMIT 1""),QUERY($A$3:$C1000, ""Select A Where B &gt; ""&amp; B27 +20 &amp;"" AND C"&amp;" = 'Female'  ORDER BY B LIMIT 1"")))"),"#N/A")</f>
        <v>#N/A</v>
      </c>
      <c r="E27" s="16" t="str">
        <f ca="1">IFERROR(__xludf.DUMMYFUNCTION("if(isblank(A27),, if(counta(QUERY($A$3:$C1000, ""Select A Where B &gt; ""&amp; B27 +20 &amp;"" AND C = 'Male'"")) = 1,QUERY($A$3:$C1000, ""Select A Where B &gt; ""&amp; B27 +20 &amp;"" AND C = 'Neutral' LIMIT 1""),QUERY($A$3:$C1000, ""Select A Where B &gt; ""&amp; B27 +20 &amp;"" AND C ="&amp;" 'Male'  ORDER BY B LIMIT 1"")))"),"#N/A")</f>
        <v>#N/A</v>
      </c>
      <c r="H27" s="24" t="str">
        <f ca="1">IFERROR(__xludf.DUMMYFUNCTION("""COMPUTED_VALUE"""),"Atar")</f>
        <v>Atar</v>
      </c>
      <c r="I27" s="124">
        <f ca="1">IFERROR(__xludf.DUMMYFUNCTION("""COMPUTED_VALUE"""),153)</f>
        <v>153</v>
      </c>
      <c r="J27" t="str">
        <f ca="1">IFERROR(__xludf.DUMMYFUNCTION("""COMPUTED_VALUE"""),"Neutral")</f>
        <v>Neutral</v>
      </c>
      <c r="K27" s="242">
        <f ca="1">IFERROR(__xludf.DUMMYFUNCTION("""COMPUTED_VALUE"""),8.96062591552734)</f>
        <v>8.9606259155273396</v>
      </c>
      <c r="L27" s="176"/>
    </row>
    <row r="28" spans="1:12" ht="13.2">
      <c r="A28" s="16" t="str">
        <f ca="1">IFERROR(__xludf.DUMMYFUNCTION("""COMPUTED_VALUE"""),"Ohethlic")</f>
        <v>Ohethlic</v>
      </c>
      <c r="B28" s="123">
        <f ca="1">IFERROR(__xludf.DUMMYFUNCTION("""COMPUTED_VALUE"""),112.5)</f>
        <v>112.5</v>
      </c>
      <c r="C28" s="16" t="str">
        <f ca="1">IFERROR(__xludf.DUMMYFUNCTION("""COMPUTED_VALUE"""),"Male")</f>
        <v>Male</v>
      </c>
      <c r="D28" s="16" t="str">
        <f ca="1">IFERROR(__xludf.DUMMYFUNCTION("if(isblank(A28),, if(counta(QUERY($A$3:$C1000, ""Select A Where B &gt; ""&amp; B28 +20 &amp;"" AND C = 'Female'"")) = 1,QUERY($A$3:$C1000, ""Select A Where B &gt; ""&amp; B28 +20 &amp;"" AND C = 'Neutral' LIMIT 1""),QUERY($A$3:$C1000, ""Select A Where B &gt; ""&amp; B28 +20 &amp;"" AND C"&amp;" = 'Female'  ORDER BY B LIMIT 1"")))"),"#N/A")</f>
        <v>#N/A</v>
      </c>
      <c r="E28" s="16" t="str">
        <f ca="1">IFERROR(__xludf.DUMMYFUNCTION("if(isblank(A28),, if(counta(QUERY($A$3:$C1000, ""Select A Where B &gt; ""&amp; B28 +20 &amp;"" AND C = 'Male'"")) = 1,QUERY($A$3:$C1000, ""Select A Where B &gt; ""&amp; B28 +20 &amp;"" AND C = 'Neutral' LIMIT 1""),QUERY($A$3:$C1000, ""Select A Where B &gt; ""&amp; B28 +20 &amp;"" AND C ="&amp;" 'Male'  ORDER BY B LIMIT 1"")))"),"#N/A")</f>
        <v>#N/A</v>
      </c>
      <c r="H28" s="24" t="str">
        <f ca="1">IFERROR(__xludf.DUMMYFUNCTION("""COMPUTED_VALUE"""),"Dismer")</f>
        <v>Dismer</v>
      </c>
      <c r="I28" s="124">
        <f ca="1">IFERROR(__xludf.DUMMYFUNCTION("""COMPUTED_VALUE"""),180)</f>
        <v>180</v>
      </c>
      <c r="J28" t="str">
        <f ca="1">IFERROR(__xludf.DUMMYFUNCTION("""COMPUTED_VALUE"""),"Neutral")</f>
        <v>Neutral</v>
      </c>
      <c r="K28" s="242">
        <f ca="1">IFERROR(__xludf.DUMMYFUNCTION("""COMPUTED_VALUE"""),8.7983349609375)</f>
        <v>8.7983349609375008</v>
      </c>
      <c r="L28" s="176"/>
    </row>
    <row r="29" spans="1:12" ht="13.2">
      <c r="A29" s="16" t="str">
        <f ca="1">IFERROR(__xludf.DUMMYFUNCTION("""COMPUTED_VALUE"""),"Peitar")</f>
        <v>Peitar</v>
      </c>
      <c r="B29" s="123">
        <f ca="1">IFERROR(__xludf.DUMMYFUNCTION("""COMPUTED_VALUE"""),112.5)</f>
        <v>112.5</v>
      </c>
      <c r="C29" s="16" t="str">
        <f ca="1">IFERROR(__xludf.DUMMYFUNCTION("""COMPUTED_VALUE"""),"Male")</f>
        <v>Male</v>
      </c>
      <c r="D29" s="16" t="str">
        <f ca="1">IFERROR(__xludf.DUMMYFUNCTION("if(isblank(A29),, if(counta(QUERY($A$3:$C1000, ""Select A Where B &gt; ""&amp; B29 +20 &amp;"" AND C = 'Female'"")) = 1,QUERY($A$3:$C1000, ""Select A Where B &gt; ""&amp; B29 +20 &amp;"" AND C = 'Neutral' LIMIT 1""),QUERY($A$3:$C1000, ""Select A Where B &gt; ""&amp; B29 +20 &amp;"" AND C"&amp;" = 'Female'  ORDER BY B LIMIT 1"")))"),"#N/A")</f>
        <v>#N/A</v>
      </c>
      <c r="E29" s="16" t="str">
        <f ca="1">IFERROR(__xludf.DUMMYFUNCTION("if(isblank(A29),, if(counta(QUERY($A$3:$C1000, ""Select A Where B &gt; ""&amp; B29 +20 &amp;"" AND C = 'Male'"")) = 1,QUERY($A$3:$C1000, ""Select A Where B &gt; ""&amp; B29 +20 &amp;"" AND C = 'Neutral' LIMIT 1""),QUERY($A$3:$C1000, ""Select A Where B &gt; ""&amp; B29 +20 &amp;"" AND C ="&amp;" 'Male'  ORDER BY B LIMIT 1"")))"),"#N/A")</f>
        <v>#N/A</v>
      </c>
      <c r="H29" s="24" t="str">
        <f ca="1">IFERROR(__xludf.DUMMYFUNCTION("""COMPUTED_VALUE"""),"Aysen")</f>
        <v>Aysen</v>
      </c>
      <c r="I29" s="124">
        <f ca="1">IFERROR(__xludf.DUMMYFUNCTION("""COMPUTED_VALUE"""),153)</f>
        <v>153</v>
      </c>
      <c r="J29" t="str">
        <f ca="1">IFERROR(__xludf.DUMMYFUNCTION("""COMPUTED_VALUE"""),"Neutral")</f>
        <v>Neutral</v>
      </c>
      <c r="K29" s="242">
        <f ca="1">IFERROR(__xludf.DUMMYFUNCTION("""COMPUTED_VALUE"""),7.72813110351562)</f>
        <v>7.7281311035156204</v>
      </c>
      <c r="L29" s="176"/>
    </row>
    <row r="30" spans="1:12" ht="13.2">
      <c r="A30" s="16" t="str">
        <f ca="1">IFERROR(__xludf.DUMMYFUNCTION("""COMPUTED_VALUE"""),"Phairdon")</f>
        <v>Phairdon</v>
      </c>
      <c r="B30" s="123">
        <f ca="1">IFERROR(__xludf.DUMMYFUNCTION("""COMPUTED_VALUE"""),112.5)</f>
        <v>112.5</v>
      </c>
      <c r="C30" s="16" t="str">
        <f ca="1">IFERROR(__xludf.DUMMYFUNCTION("""COMPUTED_VALUE"""),"Male")</f>
        <v>Male</v>
      </c>
      <c r="D30" s="16" t="str">
        <f ca="1">IFERROR(__xludf.DUMMYFUNCTION("if(isblank(A30),, if(counta(QUERY($A$3:$C1000, ""Select A Where B &gt; ""&amp; B30 +20 &amp;"" AND C = 'Female'"")) = 1,QUERY($A$3:$C1000, ""Select A Where B &gt; ""&amp; B30 +20 &amp;"" AND C = 'Neutral' LIMIT 1""),QUERY($A$3:$C1000, ""Select A Where B &gt; ""&amp; B30 +20 &amp;"" AND C"&amp;" = 'Female'  ORDER BY B LIMIT 1"")))"),"#N/A")</f>
        <v>#N/A</v>
      </c>
      <c r="E30" s="16" t="str">
        <f ca="1">IFERROR(__xludf.DUMMYFUNCTION("if(isblank(A30),, if(counta(QUERY($A$3:$C1000, ""Select A Where B &gt; ""&amp; B30 +20 &amp;"" AND C = 'Male'"")) = 1,QUERY($A$3:$C1000, ""Select A Where B &gt; ""&amp; B30 +20 &amp;"" AND C = 'Neutral' LIMIT 1""),QUERY($A$3:$C1000, ""Select A Where B &gt; ""&amp; B30 +20 &amp;"" AND C ="&amp;" 'Male'  ORDER BY B LIMIT 1"")))"),"#N/A")</f>
        <v>#N/A</v>
      </c>
      <c r="H30" s="24" t="str">
        <f ca="1">IFERROR(__xludf.DUMMYFUNCTION("""COMPUTED_VALUE"""),"Ayrie")</f>
        <v>Ayrie</v>
      </c>
      <c r="I30" s="124">
        <f ca="1">IFERROR(__xludf.DUMMYFUNCTION("""COMPUTED_VALUE"""),153)</f>
        <v>153</v>
      </c>
      <c r="J30" t="str">
        <f ca="1">IFERROR(__xludf.DUMMYFUNCTION("""COMPUTED_VALUE"""),"Neutral")</f>
        <v>Neutral</v>
      </c>
      <c r="K30" s="242">
        <f ca="1">IFERROR(__xludf.DUMMYFUNCTION("""COMPUTED_VALUE"""),7.70724426269531)</f>
        <v>7.7072442626953102</v>
      </c>
      <c r="L30" s="176"/>
    </row>
    <row r="31" spans="1:12" ht="13.2">
      <c r="A31" s="16" t="str">
        <f ca="1">IFERROR(__xludf.DUMMYFUNCTION("""COMPUTED_VALUE"""),"Nythil")</f>
        <v>Nythil</v>
      </c>
      <c r="B31" s="123">
        <f ca="1">IFERROR(__xludf.DUMMYFUNCTION("""COMPUTED_VALUE"""),112.5)</f>
        <v>112.5</v>
      </c>
      <c r="C31" s="16" t="str">
        <f ca="1">IFERROR(__xludf.DUMMYFUNCTION("""COMPUTED_VALUE"""),"Male")</f>
        <v>Male</v>
      </c>
      <c r="D31" s="16" t="str">
        <f ca="1">IFERROR(__xludf.DUMMYFUNCTION("if(isblank(A31),, if(counta(QUERY($A$3:$C1000, ""Select A Where B &gt; ""&amp; B31 +20 &amp;"" AND C = 'Female'"")) = 1,QUERY($A$3:$C1000, ""Select A Where B &gt; ""&amp; B31 +20 &amp;"" AND C = 'Neutral' LIMIT 1""),QUERY($A$3:$C1000, ""Select A Where B &gt; ""&amp; B31 +20 &amp;"" AND C"&amp;" = 'Female'  ORDER BY B LIMIT 1"")))"),"#N/A")</f>
        <v>#N/A</v>
      </c>
      <c r="E31" s="16" t="str">
        <f ca="1">IFERROR(__xludf.DUMMYFUNCTION("if(isblank(A31),, if(counta(QUERY($A$3:$C1000, ""Select A Where B &gt; ""&amp; B31 +20 &amp;"" AND C = 'Male'"")) = 1,QUERY($A$3:$C1000, ""Select A Where B &gt; ""&amp; B31 +20 &amp;"" AND C = 'Neutral' LIMIT 1""),QUERY($A$3:$C1000, ""Select A Where B &gt; ""&amp; B31 +20 &amp;"" AND C ="&amp;" 'Male'  ORDER BY B LIMIT 1"")))"),"#N/A")</f>
        <v>#N/A</v>
      </c>
      <c r="H31" s="24" t="str">
        <f ca="1">IFERROR(__xludf.DUMMYFUNCTION("""COMPUTED_VALUE"""),"Albright")</f>
        <v>Albright</v>
      </c>
      <c r="I31" s="124">
        <f ca="1">IFERROR(__xludf.DUMMYFUNCTION("""COMPUTED_VALUE"""),153)</f>
        <v>153</v>
      </c>
      <c r="J31" t="str">
        <f ca="1">IFERROR(__xludf.DUMMYFUNCTION("""COMPUTED_VALUE"""),"Neutral")</f>
        <v>Neutral</v>
      </c>
      <c r="K31" s="242">
        <f ca="1">IFERROR(__xludf.DUMMYFUNCTION("""COMPUTED_VALUE"""),7.57233581542968)</f>
        <v>7.57233581542968</v>
      </c>
      <c r="L31" s="176"/>
    </row>
    <row r="32" spans="1:12" ht="13.2">
      <c r="A32" s="16" t="str">
        <f ca="1">IFERROR(__xludf.DUMMYFUNCTION("""COMPUTED_VALUE"""),"Prothalon")</f>
        <v>Prothalon</v>
      </c>
      <c r="B32" s="123">
        <f ca="1">IFERROR(__xludf.DUMMYFUNCTION("""COMPUTED_VALUE"""),112.5)</f>
        <v>112.5</v>
      </c>
      <c r="C32" s="16" t="str">
        <f ca="1">IFERROR(__xludf.DUMMYFUNCTION("""COMPUTED_VALUE"""),"Male")</f>
        <v>Male</v>
      </c>
      <c r="D32" s="16" t="str">
        <f ca="1">IFERROR(__xludf.DUMMYFUNCTION("if(isblank(A32),, if(counta(QUERY($A$3:$C1000, ""Select A Where B &gt; ""&amp; B32 +20 &amp;"" AND C = 'Female'"")) = 1,QUERY($A$3:$C1000, ""Select A Where B &gt; ""&amp; B32 +20 &amp;"" AND C = 'Neutral' LIMIT 1""),QUERY($A$3:$C1000, ""Select A Where B &gt; ""&amp; B32 +20 &amp;"" AND C"&amp;" = 'Female'  ORDER BY B LIMIT 1"")))"),"#N/A")</f>
        <v>#N/A</v>
      </c>
      <c r="E32" s="16" t="str">
        <f ca="1">IFERROR(__xludf.DUMMYFUNCTION("if(isblank(A32),, if(counta(QUERY($A$3:$C1000, ""Select A Where B &gt; ""&amp; B32 +20 &amp;"" AND C = 'Male'"")) = 1,QUERY($A$3:$C1000, ""Select A Where B &gt; ""&amp; B32 +20 &amp;"" AND C = 'Neutral' LIMIT 1""),QUERY($A$3:$C1000, ""Select A Where B &gt; ""&amp; B32 +20 &amp;"" AND C ="&amp;" 'Male'  ORDER BY B LIMIT 1"")))"),"#N/A")</f>
        <v>#N/A</v>
      </c>
      <c r="H32" s="24" t="str">
        <f ca="1">IFERROR(__xludf.DUMMYFUNCTION("""COMPUTED_VALUE"""),"Enoon")</f>
        <v>Enoon</v>
      </c>
      <c r="I32" s="124">
        <f ca="1">IFERROR(__xludf.DUMMYFUNCTION("""COMPUTED_VALUE"""),190)</f>
        <v>190</v>
      </c>
      <c r="J32" t="str">
        <f ca="1">IFERROR(__xludf.DUMMYFUNCTION("""COMPUTED_VALUE"""),"Neutral")</f>
        <v>Neutral</v>
      </c>
      <c r="K32" s="242">
        <f ca="1">IFERROR(__xludf.DUMMYFUNCTION("""COMPUTED_VALUE"""),6.3628662109375)</f>
        <v>6.3628662109374998</v>
      </c>
      <c r="L32" s="176"/>
    </row>
    <row r="33" spans="1:12" ht="13.2">
      <c r="A33" s="16" t="str">
        <f ca="1">IFERROR(__xludf.DUMMYFUNCTION("""COMPUTED_VALUE"""),"Omarn")</f>
        <v>Omarn</v>
      </c>
      <c r="B33" s="123">
        <f ca="1">IFERROR(__xludf.DUMMYFUNCTION("""COMPUTED_VALUE"""),112.5)</f>
        <v>112.5</v>
      </c>
      <c r="C33" s="16" t="str">
        <f ca="1">IFERROR(__xludf.DUMMYFUNCTION("""COMPUTED_VALUE"""),"Male")</f>
        <v>Male</v>
      </c>
      <c r="D33" s="16" t="str">
        <f ca="1">IFERROR(__xludf.DUMMYFUNCTION("if(isblank(A33),, if(counta(QUERY($A$3:$C1000, ""Select A Where B &gt; ""&amp; B33 +20 &amp;"" AND C = 'Female'"")) = 1,QUERY($A$3:$C1000, ""Select A Where B &gt; ""&amp; B33 +20 &amp;"" AND C = 'Neutral' LIMIT 1""),QUERY($A$3:$C1000, ""Select A Where B &gt; ""&amp; B33 +20 &amp;"" AND C"&amp;" = 'Female'  ORDER BY B LIMIT 1"")))"),"#N/A")</f>
        <v>#N/A</v>
      </c>
      <c r="E33" s="16" t="str">
        <f ca="1">IFERROR(__xludf.DUMMYFUNCTION("if(isblank(A33),, if(counta(QUERY($A$3:$C1000, ""Select A Where B &gt; ""&amp; B33 +20 &amp;"" AND C = 'Male'"")) = 1,QUERY($A$3:$C1000, ""Select A Where B &gt; ""&amp; B33 +20 &amp;"" AND C = 'Neutral' LIMIT 1""),QUERY($A$3:$C1000, ""Select A Where B &gt; ""&amp; B33 +20 &amp;"" AND C ="&amp;" 'Male'  ORDER BY B LIMIT 1"")))"),"#N/A")</f>
        <v>#N/A</v>
      </c>
      <c r="H33" s="24" t="str">
        <f ca="1">IFERROR(__xludf.DUMMYFUNCTION("""COMPUTED_VALUE"""),"Darkspur")</f>
        <v>Darkspur</v>
      </c>
      <c r="I33" s="124">
        <f ca="1">IFERROR(__xludf.DUMMYFUNCTION("""COMPUTED_VALUE"""),180)</f>
        <v>180</v>
      </c>
      <c r="J33" t="str">
        <f ca="1">IFERROR(__xludf.DUMMYFUNCTION("""COMPUTED_VALUE"""),"Neutral")</f>
        <v>Neutral</v>
      </c>
      <c r="K33" s="242">
        <f ca="1">IFERROR(__xludf.DUMMYFUNCTION("""COMPUTED_VALUE"""),5.82277587890625)</f>
        <v>5.82277587890625</v>
      </c>
      <c r="L33" s="176"/>
    </row>
    <row r="34" spans="1:12" ht="13.2">
      <c r="A34" s="16" t="str">
        <f ca="1">IFERROR(__xludf.DUMMYFUNCTION("""COMPUTED_VALUE"""),"Padan")</f>
        <v>Padan</v>
      </c>
      <c r="B34" s="123">
        <f ca="1">IFERROR(__xludf.DUMMYFUNCTION("""COMPUTED_VALUE"""),112.5)</f>
        <v>112.5</v>
      </c>
      <c r="C34" s="16" t="str">
        <f ca="1">IFERROR(__xludf.DUMMYFUNCTION("""COMPUTED_VALUE"""),"Male")</f>
        <v>Male</v>
      </c>
      <c r="D34" s="16" t="str">
        <f ca="1">IFERROR(__xludf.DUMMYFUNCTION("if(isblank(A34),, if(counta(QUERY($A$3:$C1000, ""Select A Where B &gt; ""&amp; B34 +20 &amp;"" AND C = 'Female'"")) = 1,QUERY($A$3:$C1000, ""Select A Where B &gt; ""&amp; B34 +20 &amp;"" AND C = 'Neutral' LIMIT 1""),QUERY($A$3:$C1000, ""Select A Where B &gt; ""&amp; B34 +20 &amp;"" AND C"&amp;" = 'Female'  ORDER BY B LIMIT 1"")))"),"#N/A")</f>
        <v>#N/A</v>
      </c>
      <c r="E34" s="16" t="str">
        <f ca="1">IFERROR(__xludf.DUMMYFUNCTION("if(isblank(A34),, if(counta(QUERY($A$3:$C1000, ""Select A Where B &gt; ""&amp; B34 +20 &amp;"" AND C = 'Male'"")) = 1,QUERY($A$3:$C1000, ""Select A Where B &gt; ""&amp; B34 +20 &amp;"" AND C = 'Neutral' LIMIT 1""),QUERY($A$3:$C1000, ""Select A Where B &gt; ""&amp; B34 +20 &amp;"" AND C ="&amp;" 'Male'  ORDER BY B LIMIT 1"")))"),"#N/A")</f>
        <v>#N/A</v>
      </c>
      <c r="H34" s="24" t="str">
        <f ca="1">IFERROR(__xludf.DUMMYFUNCTION("""COMPUTED_VALUE"""),"Bein")</f>
        <v>Bein</v>
      </c>
      <c r="I34" s="124">
        <f ca="1">IFERROR(__xludf.DUMMYFUNCTION("""COMPUTED_VALUE"""),153)</f>
        <v>153</v>
      </c>
      <c r="J34" t="str">
        <f ca="1">IFERROR(__xludf.DUMMYFUNCTION("""COMPUTED_VALUE"""),"Neutral")</f>
        <v>Neutral</v>
      </c>
      <c r="K34" s="242">
        <f ca="1">IFERROR(__xludf.DUMMYFUNCTION("""COMPUTED_VALUE"""),5.20162231445312)</f>
        <v>5.20162231445312</v>
      </c>
      <c r="L34" s="176"/>
    </row>
    <row r="35" spans="1:12" ht="13.2">
      <c r="A35" s="16" t="str">
        <f ca="1">IFERROR(__xludf.DUMMYFUNCTION("""COMPUTED_VALUE"""),"Phoenix")</f>
        <v>Phoenix</v>
      </c>
      <c r="B35" s="123">
        <f ca="1">IFERROR(__xludf.DUMMYFUNCTION("""COMPUTED_VALUE"""),112.5)</f>
        <v>112.5</v>
      </c>
      <c r="C35" s="16" t="str">
        <f ca="1">IFERROR(__xludf.DUMMYFUNCTION("""COMPUTED_VALUE"""),"Male")</f>
        <v>Male</v>
      </c>
      <c r="D35" s="16" t="str">
        <f ca="1">IFERROR(__xludf.DUMMYFUNCTION("if(isblank(A35),, if(counta(QUERY($A$3:$C1000, ""Select A Where B &gt; ""&amp; B35 +20 &amp;"" AND C = 'Female'"")) = 1,QUERY($A$3:$C1000, ""Select A Where B &gt; ""&amp; B35 +20 &amp;"" AND C = 'Neutral' LIMIT 1""),QUERY($A$3:$C1000, ""Select A Where B &gt; ""&amp; B35 +20 &amp;"" AND C"&amp;" = 'Female'  ORDER BY B LIMIT 1"")))"),"#N/A")</f>
        <v>#N/A</v>
      </c>
      <c r="E35" s="16" t="str">
        <f ca="1">IFERROR(__xludf.DUMMYFUNCTION("if(isblank(A35),, if(counta(QUERY($A$3:$C1000, ""Select A Where B &gt; ""&amp; B35 +20 &amp;"" AND C = 'Male'"")) = 1,QUERY($A$3:$C1000, ""Select A Where B &gt; ""&amp; B35 +20 &amp;"" AND C = 'Neutral' LIMIT 1""),QUERY($A$3:$C1000, ""Select A Where B &gt; ""&amp; B35 +20 &amp;"" AND C ="&amp;" 'Male'  ORDER BY B LIMIT 1"")))"),"#N/A")</f>
        <v>#N/A</v>
      </c>
      <c r="H35" s="24" t="str">
        <f ca="1">IFERROR(__xludf.DUMMYFUNCTION("""COMPUTED_VALUE"""),"Dusaro")</f>
        <v>Dusaro</v>
      </c>
      <c r="I35" s="124">
        <f ca="1">IFERROR(__xludf.DUMMYFUNCTION("""COMPUTED_VALUE"""),190)</f>
        <v>190</v>
      </c>
      <c r="J35" t="str">
        <f ca="1">IFERROR(__xludf.DUMMYFUNCTION("""COMPUTED_VALUE"""),"Neutral")</f>
        <v>Neutral</v>
      </c>
      <c r="K35" s="242">
        <f ca="1">IFERROR(__xludf.DUMMYFUNCTION("""COMPUTED_VALUE"""),4.7116845703125)</f>
        <v>4.7116845703125003</v>
      </c>
      <c r="L35" s="176"/>
    </row>
    <row r="36" spans="1:12" ht="13.2">
      <c r="A36" s="16" t="str">
        <f ca="1">IFERROR(__xludf.DUMMYFUNCTION("""COMPUTED_VALUE"""),"Nythil")</f>
        <v>Nythil</v>
      </c>
      <c r="B36" s="123">
        <f ca="1">IFERROR(__xludf.DUMMYFUNCTION("""COMPUTED_VALUE"""),112.5)</f>
        <v>112.5</v>
      </c>
      <c r="C36" s="16" t="str">
        <f ca="1">IFERROR(__xludf.DUMMYFUNCTION("""COMPUTED_VALUE"""),"Male")</f>
        <v>Male</v>
      </c>
      <c r="D36" s="16" t="str">
        <f ca="1">IFERROR(__xludf.DUMMYFUNCTION("if(isblank(A36),, if(counta(QUERY($A$3:$C1000, ""Select A Where B &gt; ""&amp; B36 +20 &amp;"" AND C = 'Female'"")) = 1,QUERY($A$3:$C1000, ""Select A Where B &gt; ""&amp; B36 +20 &amp;"" AND C = 'Neutral' LIMIT 1""),QUERY($A$3:$C1000, ""Select A Where B &gt; ""&amp; B36 +20 &amp;"" AND C"&amp;" = 'Female'  ORDER BY B LIMIT 1"")))"),"#N/A")</f>
        <v>#N/A</v>
      </c>
      <c r="E36" s="16" t="str">
        <f ca="1">IFERROR(__xludf.DUMMYFUNCTION("if(isblank(A36),, if(counta(QUERY($A$3:$C1000, ""Select A Where B &gt; ""&amp; B36 +20 &amp;"" AND C = 'Male'"")) = 1,QUERY($A$3:$C1000, ""Select A Where B &gt; ""&amp; B36 +20 &amp;"" AND C = 'Neutral' LIMIT 1""),QUERY($A$3:$C1000, ""Select A Where B &gt; ""&amp; B36 +20 &amp;"" AND C ="&amp;" 'Male'  ORDER BY B LIMIT 1"")))"),"#N/A")</f>
        <v>#N/A</v>
      </c>
      <c r="H36" s="24" t="str">
        <f ca="1">IFERROR(__xludf.DUMMYFUNCTION("""COMPUTED_VALUE"""),"Justal")</f>
        <v>Justal</v>
      </c>
      <c r="I36" s="124">
        <f ca="1">IFERROR(__xludf.DUMMYFUNCTION("""COMPUTED_VALUE"""),55)</f>
        <v>55</v>
      </c>
      <c r="J36" t="str">
        <f ca="1">IFERROR(__xludf.DUMMYFUNCTION("""COMPUTED_VALUE"""),"Neutral")</f>
        <v>Neutral</v>
      </c>
      <c r="K36" s="242">
        <f ca="1">IFERROR(__xludf.DUMMYFUNCTION("""COMPUTED_VALUE"""),4.51792907714843)</f>
        <v>4.5179290771484304</v>
      </c>
      <c r="L36" s="176"/>
    </row>
    <row r="37" spans="1:12" ht="13.2">
      <c r="A37" t="str">
        <f ca="1">IFERROR(__xludf.DUMMYFUNCTION("""COMPUTED_VALUE"""),"Ponith")</f>
        <v>Ponith</v>
      </c>
      <c r="B37" s="124">
        <f ca="1">IFERROR(__xludf.DUMMYFUNCTION("""COMPUTED_VALUE"""),112.5)</f>
        <v>112.5</v>
      </c>
      <c r="C37" t="str">
        <f ca="1">IFERROR(__xludf.DUMMYFUNCTION("""COMPUTED_VALUE"""),"Male")</f>
        <v>Male</v>
      </c>
      <c r="D37" s="16" t="str">
        <f ca="1">IFERROR(__xludf.DUMMYFUNCTION("if(isblank(A37),, if(counta(QUERY($A$3:$C1000, ""Select A Where B &gt; ""&amp; B59 +20 &amp;"" AND D = 'Female'"")) = 1,QUERY($A$3:$C1000, ""Select A Where B &gt; ""&amp; B59 +20 &amp;"" AND C = 'Neutral' LIMIT 1""),QUERY($A$3:$C1000, ""Select A Where B &gt; ""&amp; B59 +20 &amp;"" AND C"&amp;" = 'Female'  ORDER BY B LIMIT 1"")))"),"#N/A")</f>
        <v>#N/A</v>
      </c>
      <c r="E37" s="16" t="str">
        <f ca="1">IFERROR(__xludf.DUMMYFUNCTION("if(isblank(A37),, if(counta(QUERY($A$3:$C1000, ""Select A Where B &gt; ""&amp; B59 +20 &amp;"" AND D = 'Male'"")) = 1,QUERY($A$3:$C1000, ""Select A Where B &gt; ""&amp; B59 +20 &amp;"" AND C = 'Neutral' LIMIT 1""),QUERY($A$3:$C1000, ""Select A Where B &gt; ""&amp; B59 +20 &amp;"" AND C ="&amp;" 'Male'  ORDER BY B LIMIT 1"")))"),"#N/A")</f>
        <v>#N/A</v>
      </c>
      <c r="H37" s="24" t="str">
        <f ca="1">IFERROR(__xludf.DUMMYFUNCTION("""COMPUTED_VALUE"""),"Ingel")</f>
        <v>Ingel</v>
      </c>
      <c r="I37" s="124">
        <f ca="1">IFERROR(__xludf.DUMMYFUNCTION("""COMPUTED_VALUE"""),50)</f>
        <v>50</v>
      </c>
      <c r="J37" t="str">
        <f ca="1">IFERROR(__xludf.DUMMYFUNCTION("""COMPUTED_VALUE"""),"Neutral")</f>
        <v>Neutral</v>
      </c>
      <c r="K37" s="242">
        <f ca="1">IFERROR(__xludf.DUMMYFUNCTION("""COMPUTED_VALUE"""),4.45162963867187)</f>
        <v>4.4516296386718697</v>
      </c>
      <c r="L37" s="176"/>
    </row>
    <row r="38" spans="1:12" ht="13.2">
      <c r="A38" t="str">
        <f ca="1">IFERROR(__xludf.DUMMYFUNCTION("""COMPUTED_VALUE"""),"Ohethlic")</f>
        <v>Ohethlic</v>
      </c>
      <c r="B38" s="124">
        <f ca="1">IFERROR(__xludf.DUMMYFUNCTION("""COMPUTED_VALUE"""),112.5)</f>
        <v>112.5</v>
      </c>
      <c r="C38" t="str">
        <f ca="1">IFERROR(__xludf.DUMMYFUNCTION("""COMPUTED_VALUE"""),"Male")</f>
        <v>Male</v>
      </c>
      <c r="H38" s="24" t="str">
        <f ca="1">IFERROR(__xludf.DUMMYFUNCTION("""COMPUTED_VALUE"""),"Dukran")</f>
        <v>Dukran</v>
      </c>
      <c r="I38" s="124">
        <f ca="1">IFERROR(__xludf.DUMMYFUNCTION("""COMPUTED_VALUE"""),180)</f>
        <v>180</v>
      </c>
      <c r="J38" t="str">
        <f ca="1">IFERROR(__xludf.DUMMYFUNCTION("""COMPUTED_VALUE"""),"Neutral")</f>
        <v>Neutral</v>
      </c>
      <c r="K38" s="242">
        <f ca="1">IFERROR(__xludf.DUMMYFUNCTION("""COMPUTED_VALUE"""),4.44956176757812)</f>
        <v>4.4495617675781203</v>
      </c>
      <c r="L38" s="176"/>
    </row>
    <row r="39" spans="1:12" ht="13.2">
      <c r="A39" t="str">
        <f ca="1">IFERROR(__xludf.DUMMYFUNCTION("""COMPUTED_VALUE"""),"Padan")</f>
        <v>Padan</v>
      </c>
      <c r="B39" s="124">
        <f ca="1">IFERROR(__xludf.DUMMYFUNCTION("""COMPUTED_VALUE"""),112.5)</f>
        <v>112.5</v>
      </c>
      <c r="C39" t="str">
        <f ca="1">IFERROR(__xludf.DUMMYFUNCTION("""COMPUTED_VALUE"""),"Male")</f>
        <v>Male</v>
      </c>
      <c r="H39" s="24" t="str">
        <f ca="1">IFERROR(__xludf.DUMMYFUNCTION("""COMPUTED_VALUE"""),"Ilgenar")</f>
        <v>Ilgenar</v>
      </c>
      <c r="I39" s="124">
        <f ca="1">IFERROR(__xludf.DUMMYFUNCTION("""COMPUTED_VALUE"""),50)</f>
        <v>50</v>
      </c>
      <c r="J39" t="str">
        <f ca="1">IFERROR(__xludf.DUMMYFUNCTION("""COMPUTED_VALUE"""),"Neutral")</f>
        <v>Neutral</v>
      </c>
      <c r="K39" s="242">
        <f ca="1">IFERROR(__xludf.DUMMYFUNCTION("""COMPUTED_VALUE"""),4.44155883789062)</f>
        <v>4.4415588378906197</v>
      </c>
      <c r="L39" s="176"/>
    </row>
    <row r="40" spans="1:12" ht="13.2">
      <c r="A40" t="str">
        <f ca="1">IFERROR(__xludf.DUMMYFUNCTION("""COMPUTED_VALUE"""),"Pendus")</f>
        <v>Pendus</v>
      </c>
      <c r="B40" s="124">
        <f ca="1">IFERROR(__xludf.DUMMYFUNCTION("""COMPUTED_VALUE"""),112.5)</f>
        <v>112.5</v>
      </c>
      <c r="C40" t="str">
        <f ca="1">IFERROR(__xludf.DUMMYFUNCTION("""COMPUTED_VALUE"""),"Male")</f>
        <v>Male</v>
      </c>
      <c r="H40" s="24" t="str">
        <f ca="1">IFERROR(__xludf.DUMMYFUNCTION("""COMPUTED_VALUE"""),"Defearon")</f>
        <v>Defearon</v>
      </c>
      <c r="I40" s="124">
        <f ca="1">IFERROR(__xludf.DUMMYFUNCTION("""COMPUTED_VALUE"""),180)</f>
        <v>180</v>
      </c>
      <c r="J40" t="str">
        <f ca="1">IFERROR(__xludf.DUMMYFUNCTION("""COMPUTED_VALUE"""),"Neutral")</f>
        <v>Neutral</v>
      </c>
      <c r="K40" s="242">
        <f ca="1">IFERROR(__xludf.DUMMYFUNCTION("""COMPUTED_VALUE"""),4.38122131347656)</f>
        <v>4.3812213134765603</v>
      </c>
      <c r="L40" s="176"/>
    </row>
    <row r="41" spans="1:12" ht="13.2">
      <c r="A41" t="str">
        <f ca="1">IFERROR(__xludf.DUMMYFUNCTION("""COMPUTED_VALUE"""),"Nuthor")</f>
        <v>Nuthor</v>
      </c>
      <c r="B41" s="124">
        <f ca="1">IFERROR(__xludf.DUMMYFUNCTION("""COMPUTED_VALUE"""),112.5)</f>
        <v>112.5</v>
      </c>
      <c r="C41" t="str">
        <f ca="1">IFERROR(__xludf.DUMMYFUNCTION("""COMPUTED_VALUE"""),"Male")</f>
        <v>Male</v>
      </c>
      <c r="H41" s="24" t="str">
        <f ca="1">IFERROR(__xludf.DUMMYFUNCTION("""COMPUTED_VALUE"""),"Kesmon")</f>
        <v>Kesmon</v>
      </c>
      <c r="I41" s="124">
        <f ca="1">IFERROR(__xludf.DUMMYFUNCTION("""COMPUTED_VALUE"""),55)</f>
        <v>55</v>
      </c>
      <c r="J41" t="str">
        <f ca="1">IFERROR(__xludf.DUMMYFUNCTION("""COMPUTED_VALUE"""),"Neutral")</f>
        <v>Neutral</v>
      </c>
      <c r="K41" s="242">
        <f ca="1">IFERROR(__xludf.DUMMYFUNCTION("""COMPUTED_VALUE"""),4.0871337890625)</f>
        <v>4.0871337890625004</v>
      </c>
      <c r="L41" s="176"/>
    </row>
    <row r="42" spans="1:12" ht="13.2">
      <c r="A42" t="str">
        <f ca="1">IFERROR(__xludf.DUMMYFUNCTION("""COMPUTED_VALUE"""),"Nikpal")</f>
        <v>Nikpal</v>
      </c>
      <c r="B42" s="124">
        <f ca="1">IFERROR(__xludf.DUMMYFUNCTION("""COMPUTED_VALUE"""),93.75)</f>
        <v>93.75</v>
      </c>
      <c r="C42" t="str">
        <f ca="1">IFERROR(__xludf.DUMMYFUNCTION("""COMPUTED_VALUE"""),"Male")</f>
        <v>Male</v>
      </c>
      <c r="H42" s="24" t="str">
        <f ca="1">IFERROR(__xludf.DUMMYFUNCTION("""COMPUTED_VALUE"""),"Jamik")</f>
        <v>Jamik</v>
      </c>
      <c r="I42" s="124">
        <f ca="1">IFERROR(__xludf.DUMMYFUNCTION("""COMPUTED_VALUE"""),50)</f>
        <v>50</v>
      </c>
      <c r="J42" t="str">
        <f ca="1">IFERROR(__xludf.DUMMYFUNCTION("""COMPUTED_VALUE"""),"Neutral")</f>
        <v>Neutral</v>
      </c>
      <c r="K42" s="242">
        <f ca="1">IFERROR(__xludf.DUMMYFUNCTION("""COMPUTED_VALUE"""),4.02731323242187)</f>
        <v>4.0273132324218697</v>
      </c>
      <c r="L42" s="176"/>
    </row>
    <row r="43" spans="1:12" ht="13.2">
      <c r="A43" t="str">
        <f ca="1">IFERROR(__xludf.DUMMYFUNCTION("""COMPUTED_VALUE"""),"Mufar")</f>
        <v>Mufar</v>
      </c>
      <c r="B43" s="124">
        <f ca="1">IFERROR(__xludf.DUMMYFUNCTION("""COMPUTED_VALUE"""),93.75)</f>
        <v>93.75</v>
      </c>
      <c r="C43" t="str">
        <f ca="1">IFERROR(__xludf.DUMMYFUNCTION("""COMPUTED_VALUE"""),"Male")</f>
        <v>Male</v>
      </c>
      <c r="H43" s="24" t="str">
        <f ca="1">IFERROR(__xludf.DUMMYFUNCTION("""COMPUTED_VALUE"""),"Ithric")</f>
        <v>Ithric</v>
      </c>
      <c r="I43" s="124">
        <f ca="1">IFERROR(__xludf.DUMMYFUNCTION("""COMPUTED_VALUE"""),50)</f>
        <v>50</v>
      </c>
      <c r="J43" t="str">
        <f ca="1">IFERROR(__xludf.DUMMYFUNCTION("""COMPUTED_VALUE"""),"Neutral")</f>
        <v>Neutral</v>
      </c>
      <c r="K43" s="242">
        <f ca="1">IFERROR(__xludf.DUMMYFUNCTION("""COMPUTED_VALUE"""),4.01840057373046)</f>
        <v>4.0184005737304602</v>
      </c>
      <c r="L43" s="176"/>
    </row>
    <row r="44" spans="1:12" ht="13.2">
      <c r="A44" t="str">
        <f ca="1">IFERROR(__xludf.DUMMYFUNCTION("""COMPUTED_VALUE"""),"Naphates")</f>
        <v>Naphates</v>
      </c>
      <c r="B44" s="124">
        <f ca="1">IFERROR(__xludf.DUMMYFUNCTION("""COMPUTED_VALUE"""),93.75)</f>
        <v>93.75</v>
      </c>
      <c r="C44" t="str">
        <f ca="1">IFERROR(__xludf.DUMMYFUNCTION("""COMPUTED_VALUE"""),"Male")</f>
        <v>Male</v>
      </c>
      <c r="H44" s="24" t="str">
        <f ca="1">IFERROR(__xludf.DUMMYFUNCTION("""COMPUTED_VALUE"""),"Atar")</f>
        <v>Atar</v>
      </c>
      <c r="I44" s="124">
        <f ca="1">IFERROR(__xludf.DUMMYFUNCTION("""COMPUTED_VALUE"""),153)</f>
        <v>153</v>
      </c>
      <c r="J44" t="str">
        <f ca="1">IFERROR(__xludf.DUMMYFUNCTION("""COMPUTED_VALUE"""),"Neutral")</f>
        <v>Neutral</v>
      </c>
      <c r="K44" s="242">
        <f ca="1">IFERROR(__xludf.DUMMYFUNCTION("""COMPUTED_VALUE"""),3.83342010498046)</f>
        <v>3.8334201049804602</v>
      </c>
      <c r="L44" s="176"/>
    </row>
    <row r="45" spans="1:12" ht="13.2">
      <c r="A45" t="str">
        <f ca="1">IFERROR(__xludf.DUMMYFUNCTION("""COMPUTED_VALUE"""),"Naphates")</f>
        <v>Naphates</v>
      </c>
      <c r="B45" s="124">
        <f ca="1">IFERROR(__xludf.DUMMYFUNCTION("""COMPUTED_VALUE"""),93.75)</f>
        <v>93.75</v>
      </c>
      <c r="C45" t="str">
        <f ca="1">IFERROR(__xludf.DUMMYFUNCTION("""COMPUTED_VALUE"""),"Male")</f>
        <v>Male</v>
      </c>
      <c r="H45" s="24" t="str">
        <f ca="1">IFERROR(__xludf.DUMMYFUNCTION("""COMPUTED_VALUE"""),"Ahalfar")</f>
        <v>Ahalfar</v>
      </c>
      <c r="I45" s="124">
        <f ca="1">IFERROR(__xludf.DUMMYFUNCTION("""COMPUTED_VALUE"""),153)</f>
        <v>153</v>
      </c>
      <c r="J45" t="str">
        <f ca="1">IFERROR(__xludf.DUMMYFUNCTION("""COMPUTED_VALUE"""),"Neutral")</f>
        <v>Neutral</v>
      </c>
      <c r="K45" s="242">
        <f ca="1">IFERROR(__xludf.DUMMYFUNCTION("""COMPUTED_VALUE"""),3.76921875)</f>
        <v>3.7692187499999998</v>
      </c>
      <c r="L45" s="176"/>
    </row>
    <row r="46" spans="1:12" ht="13.2">
      <c r="A46" t="str">
        <f ca="1">IFERROR(__xludf.DUMMYFUNCTION("""COMPUTED_VALUE"""),"Niro")</f>
        <v>Niro</v>
      </c>
      <c r="B46" s="124">
        <f ca="1">IFERROR(__xludf.DUMMYFUNCTION("""COMPUTED_VALUE"""),93.75)</f>
        <v>93.75</v>
      </c>
      <c r="C46" t="str">
        <f ca="1">IFERROR(__xludf.DUMMYFUNCTION("""COMPUTED_VALUE"""),"Male")</f>
        <v>Male</v>
      </c>
      <c r="H46" s="24" t="str">
        <f ca="1">IFERROR(__xludf.DUMMYFUNCTION("""COMPUTED_VALUE"""),"Ackmard")</f>
        <v>Ackmard</v>
      </c>
      <c r="I46" s="124">
        <f ca="1">IFERROR(__xludf.DUMMYFUNCTION("""COMPUTED_VALUE"""),153)</f>
        <v>153</v>
      </c>
      <c r="J46" t="str">
        <f ca="1">IFERROR(__xludf.DUMMYFUNCTION("""COMPUTED_VALUE"""),"Neutral")</f>
        <v>Neutral</v>
      </c>
      <c r="K46" s="242">
        <f ca="1">IFERROR(__xludf.DUMMYFUNCTION("""COMPUTED_VALUE"""),3.75569366455078)</f>
        <v>3.7556936645507801</v>
      </c>
      <c r="L46" s="176"/>
    </row>
    <row r="47" spans="1:12" ht="13.2">
      <c r="A47" t="str">
        <f ca="1">IFERROR(__xludf.DUMMYFUNCTION("""COMPUTED_VALUE"""),"Nadeer")</f>
        <v>Nadeer</v>
      </c>
      <c r="B47" s="124">
        <f ca="1">IFERROR(__xludf.DUMMYFUNCTION("""COMPUTED_VALUE"""),93.75)</f>
        <v>93.75</v>
      </c>
      <c r="C47" t="str">
        <f ca="1">IFERROR(__xludf.DUMMYFUNCTION("""COMPUTED_VALUE"""),"Male")</f>
        <v>Male</v>
      </c>
      <c r="H47" s="24" t="str">
        <f ca="1">IFERROR(__xludf.DUMMYFUNCTION("""COMPUTED_VALUE"""),"Jaython")</f>
        <v>Jaython</v>
      </c>
      <c r="I47" s="124">
        <f ca="1">IFERROR(__xludf.DUMMYFUNCTION("""COMPUTED_VALUE"""),50)</f>
        <v>50</v>
      </c>
      <c r="J47" t="str">
        <f ca="1">IFERROR(__xludf.DUMMYFUNCTION("""COMPUTED_VALUE"""),"Neutral")</f>
        <v>Neutral</v>
      </c>
      <c r="K47" s="242">
        <f ca="1">IFERROR(__xludf.DUMMYFUNCTION("""COMPUTED_VALUE"""),3.59044189453124)</f>
        <v>3.59044189453124</v>
      </c>
      <c r="L47" s="176"/>
    </row>
    <row r="48" spans="1:12" ht="13.2">
      <c r="A48" t="str">
        <f ca="1">IFERROR(__xludf.DUMMYFUNCTION("""COMPUTED_VALUE"""),"Nadeer")</f>
        <v>Nadeer</v>
      </c>
      <c r="B48" s="124">
        <f ca="1">IFERROR(__xludf.DUMMYFUNCTION("""COMPUTED_VALUE"""),93.75)</f>
        <v>93.75</v>
      </c>
      <c r="C48" t="str">
        <f ca="1">IFERROR(__xludf.DUMMYFUNCTION("""COMPUTED_VALUE"""),"Male")</f>
        <v>Male</v>
      </c>
      <c r="H48" s="24" t="str">
        <f ca="1">IFERROR(__xludf.DUMMYFUNCTION("""COMPUTED_VALUE"""),"Hileict")</f>
        <v>Hileict</v>
      </c>
      <c r="I48" s="124">
        <f ca="1">IFERROR(__xludf.DUMMYFUNCTION("""COMPUTED_VALUE"""),50)</f>
        <v>50</v>
      </c>
      <c r="J48" t="str">
        <f ca="1">IFERROR(__xludf.DUMMYFUNCTION("""COMPUTED_VALUE"""),"Neutral")</f>
        <v>Neutral</v>
      </c>
      <c r="K48" s="242">
        <f ca="1">IFERROR(__xludf.DUMMYFUNCTION("""COMPUTED_VALUE"""),3.52947998046874)</f>
        <v>3.5294799804687398</v>
      </c>
      <c r="L48" s="176"/>
    </row>
    <row r="49" spans="1:12" ht="13.2">
      <c r="A49" t="str">
        <f ca="1">IFERROR(__xludf.DUMMYFUNCTION("""COMPUTED_VALUE"""),"Nikpal")</f>
        <v>Nikpal</v>
      </c>
      <c r="B49" s="124">
        <f ca="1">IFERROR(__xludf.DUMMYFUNCTION("""COMPUTED_VALUE"""),93.75)</f>
        <v>93.75</v>
      </c>
      <c r="C49" t="str">
        <f ca="1">IFERROR(__xludf.DUMMYFUNCTION("""COMPUTED_VALUE"""),"Male")</f>
        <v>Male</v>
      </c>
      <c r="H49" s="24" t="str">
        <f ca="1">IFERROR(__xludf.DUMMYFUNCTION("""COMPUTED_VALUE"""),"Kodof")</f>
        <v>Kodof</v>
      </c>
      <c r="I49" s="124">
        <f ca="1">IFERROR(__xludf.DUMMYFUNCTION("""COMPUTED_VALUE"""),55)</f>
        <v>55</v>
      </c>
      <c r="J49" t="str">
        <f ca="1">IFERROR(__xludf.DUMMYFUNCTION("""COMPUTED_VALUE"""),"Neutral")</f>
        <v>Neutral</v>
      </c>
      <c r="K49" s="242">
        <f ca="1">IFERROR(__xludf.DUMMYFUNCTION("""COMPUTED_VALUE"""),3.20437774658203)</f>
        <v>3.20437774658203</v>
      </c>
      <c r="L49" s="176"/>
    </row>
    <row r="50" spans="1:12" ht="13.2">
      <c r="A50" t="str">
        <f ca="1">IFERROR(__xludf.DUMMYFUNCTION("""COMPUTED_VALUE"""),"Mythik")</f>
        <v>Mythik</v>
      </c>
      <c r="B50" s="124">
        <f ca="1">IFERROR(__xludf.DUMMYFUNCTION("""COMPUTED_VALUE"""),93.75)</f>
        <v>93.75</v>
      </c>
      <c r="C50" t="str">
        <f ca="1">IFERROR(__xludf.DUMMYFUNCTION("""COMPUTED_VALUE"""),"Male")</f>
        <v>Male</v>
      </c>
      <c r="H50" s="24" t="str">
        <f ca="1">IFERROR(__xludf.DUMMYFUNCTION("""COMPUTED_VALUE"""),"Etdar")</f>
        <v>Etdar</v>
      </c>
      <c r="I50" s="124">
        <f ca="1">IFERROR(__xludf.DUMMYFUNCTION("""COMPUTED_VALUE"""),190)</f>
        <v>190</v>
      </c>
      <c r="J50" t="str">
        <f ca="1">IFERROR(__xludf.DUMMYFUNCTION("""COMPUTED_VALUE"""),"Neutral")</f>
        <v>Neutral</v>
      </c>
      <c r="K50" s="242">
        <f ca="1">IFERROR(__xludf.DUMMYFUNCTION("""COMPUTED_VALUE"""),3.19916442871093)</f>
        <v>3.19916442871093</v>
      </c>
      <c r="L50" s="176"/>
    </row>
    <row r="51" spans="1:12" ht="13.2">
      <c r="A51" t="str">
        <f ca="1">IFERROR(__xludf.DUMMYFUNCTION("""COMPUTED_VALUE"""),"Niro")</f>
        <v>Niro</v>
      </c>
      <c r="B51" s="124">
        <f ca="1">IFERROR(__xludf.DUMMYFUNCTION("""COMPUTED_VALUE"""),93.75)</f>
        <v>93.75</v>
      </c>
      <c r="C51" t="str">
        <f ca="1">IFERROR(__xludf.DUMMYFUNCTION("""COMPUTED_VALUE"""),"Male")</f>
        <v>Male</v>
      </c>
      <c r="H51" s="24" t="str">
        <f ca="1">IFERROR(__xludf.DUMMYFUNCTION("""COMPUTED_VALUE"""),"Kinorn")</f>
        <v>Kinorn</v>
      </c>
      <c r="I51" s="124">
        <f ca="1">IFERROR(__xludf.DUMMYFUNCTION("""COMPUTED_VALUE"""),55)</f>
        <v>55</v>
      </c>
      <c r="J51" t="str">
        <f ca="1">IFERROR(__xludf.DUMMYFUNCTION("""COMPUTED_VALUE"""),"Neutral")</f>
        <v>Neutral</v>
      </c>
      <c r="K51" s="242">
        <f ca="1">IFERROR(__xludf.DUMMYFUNCTION("""COMPUTED_VALUE"""),3.19497833251953)</f>
        <v>3.19497833251953</v>
      </c>
      <c r="L51" s="176"/>
    </row>
    <row r="52" spans="1:12" ht="13.2">
      <c r="A52" t="str">
        <f ca="1">IFERROR(__xludf.DUMMYFUNCTION("""COMPUTED_VALUE"""),"Nadeer")</f>
        <v>Nadeer</v>
      </c>
      <c r="B52" s="124">
        <f ca="1">IFERROR(__xludf.DUMMYFUNCTION("""COMPUTED_VALUE"""),93.75)</f>
        <v>93.75</v>
      </c>
      <c r="C52" t="str">
        <f ca="1">IFERROR(__xludf.DUMMYFUNCTION("""COMPUTED_VALUE"""),"Male")</f>
        <v>Male</v>
      </c>
      <c r="H52" s="24" t="str">
        <f ca="1">IFERROR(__xludf.DUMMYFUNCTION("""COMPUTED_VALUE"""),"Dyten")</f>
        <v>Dyten</v>
      </c>
      <c r="I52" s="124">
        <f ca="1">IFERROR(__xludf.DUMMYFUNCTION("""COMPUTED_VALUE"""),190)</f>
        <v>190</v>
      </c>
      <c r="J52" t="str">
        <f ca="1">IFERROR(__xludf.DUMMYFUNCTION("""COMPUTED_VALUE"""),"Neutral")</f>
        <v>Neutral</v>
      </c>
      <c r="K52" s="242">
        <f ca="1">IFERROR(__xludf.DUMMYFUNCTION("""COMPUTED_VALUE"""),3.14877685546875)</f>
        <v>3.1487768554687499</v>
      </c>
      <c r="L52" s="176"/>
    </row>
    <row r="53" spans="1:12" ht="13.2">
      <c r="A53" t="str">
        <f ca="1">IFERROR(__xludf.DUMMYFUNCTION("""COMPUTED_VALUE"""),"Nikpal")</f>
        <v>Nikpal</v>
      </c>
      <c r="B53" s="124">
        <f ca="1">IFERROR(__xludf.DUMMYFUNCTION("""COMPUTED_VALUE"""),93.75)</f>
        <v>93.75</v>
      </c>
      <c r="C53" t="str">
        <f ca="1">IFERROR(__xludf.DUMMYFUNCTION("""COMPUTED_VALUE"""),"Male")</f>
        <v>Male</v>
      </c>
      <c r="H53" s="24" t="str">
        <f ca="1">IFERROR(__xludf.DUMMYFUNCTION("""COMPUTED_VALUE"""),"Hyten")</f>
        <v>Hyten</v>
      </c>
      <c r="I53" s="124">
        <f ca="1">IFERROR(__xludf.DUMMYFUNCTION("""COMPUTED_VALUE"""),50)</f>
        <v>50</v>
      </c>
      <c r="J53" t="str">
        <f ca="1">IFERROR(__xludf.DUMMYFUNCTION("""COMPUTED_VALUE"""),"Neutral")</f>
        <v>Neutral</v>
      </c>
      <c r="K53" s="242">
        <f ca="1">IFERROR(__xludf.DUMMYFUNCTION("""COMPUTED_VALUE"""),3.09522705078125)</f>
        <v>3.0952270507812498</v>
      </c>
      <c r="L53" s="176"/>
    </row>
    <row r="54" spans="1:12" ht="13.2">
      <c r="A54" t="str">
        <f ca="1">IFERROR(__xludf.DUMMYFUNCTION("""COMPUTED_VALUE"""),"Mufar")</f>
        <v>Mufar</v>
      </c>
      <c r="B54" s="124">
        <f ca="1">IFERROR(__xludf.DUMMYFUNCTION("""COMPUTED_VALUE"""),93.75)</f>
        <v>93.75</v>
      </c>
      <c r="C54" t="str">
        <f ca="1">IFERROR(__xludf.DUMMYFUNCTION("""COMPUTED_VALUE"""),"Male")</f>
        <v>Male</v>
      </c>
      <c r="H54" s="24" t="str">
        <f ca="1">IFERROR(__xludf.DUMMYFUNCTION("""COMPUTED_VALUE"""),"Desil")</f>
        <v>Desil</v>
      </c>
      <c r="I54" s="124">
        <f ca="1">IFERROR(__xludf.DUMMYFUNCTION("""COMPUTED_VALUE"""),180)</f>
        <v>180</v>
      </c>
      <c r="J54" t="str">
        <f ca="1">IFERROR(__xludf.DUMMYFUNCTION("""COMPUTED_VALUE"""),"Neutral")</f>
        <v>Neutral</v>
      </c>
      <c r="K54" s="242">
        <f ca="1">IFERROR(__xludf.DUMMYFUNCTION("""COMPUTED_VALUE"""),2.92818603515625)</f>
        <v>2.9281860351562501</v>
      </c>
      <c r="L54" s="176"/>
    </row>
    <row r="55" spans="1:12" ht="13.2">
      <c r="A55" t="str">
        <f ca="1">IFERROR(__xludf.DUMMYFUNCTION("""COMPUTED_VALUE"""),"Nikpal")</f>
        <v>Nikpal</v>
      </c>
      <c r="B55" s="124">
        <f ca="1">IFERROR(__xludf.DUMMYFUNCTION("""COMPUTED_VALUE"""),93.75)</f>
        <v>93.75</v>
      </c>
      <c r="C55" t="str">
        <f ca="1">IFERROR(__xludf.DUMMYFUNCTION("""COMPUTED_VALUE"""),"Male")</f>
        <v>Male</v>
      </c>
      <c r="H55" s="24" t="str">
        <f ca="1">IFERROR(__xludf.DUMMYFUNCTION("""COMPUTED_VALUE"""),"Julthor")</f>
        <v>Julthor</v>
      </c>
      <c r="I55" s="124">
        <f ca="1">IFERROR(__xludf.DUMMYFUNCTION("""COMPUTED_VALUE"""),55)</f>
        <v>55</v>
      </c>
      <c r="J55" t="str">
        <f ca="1">IFERROR(__xludf.DUMMYFUNCTION("""COMPUTED_VALUE"""),"Neutral")</f>
        <v>Neutral</v>
      </c>
      <c r="K55" s="242">
        <f ca="1">IFERROR(__xludf.DUMMYFUNCTION("""COMPUTED_VALUE"""),2.70672912597656)</f>
        <v>2.70672912597656</v>
      </c>
      <c r="L55" s="176"/>
    </row>
    <row r="56" spans="1:12" ht="13.2">
      <c r="H56" s="24" t="str">
        <f ca="1">IFERROR(__xludf.DUMMYFUNCTION("""COMPUTED_VALUE"""),"Ilgenar")</f>
        <v>Ilgenar</v>
      </c>
      <c r="I56" s="124">
        <f ca="1">IFERROR(__xludf.DUMMYFUNCTION("""COMPUTED_VALUE"""),50)</f>
        <v>50</v>
      </c>
      <c r="J56" t="str">
        <f ca="1">IFERROR(__xludf.DUMMYFUNCTION("""COMPUTED_VALUE"""),"Neutral")</f>
        <v>Neutral</v>
      </c>
      <c r="K56" s="242">
        <f ca="1">IFERROR(__xludf.DUMMYFUNCTION("""COMPUTED_VALUE"""),2.66100769042968)</f>
        <v>2.6610076904296802</v>
      </c>
      <c r="L56" s="176"/>
    </row>
    <row r="57" spans="1:12" ht="13.2">
      <c r="H57" s="24" t="str">
        <f ca="1">IFERROR(__xludf.DUMMYFUNCTION("""COMPUTED_VALUE"""),"Boal")</f>
        <v>Boal</v>
      </c>
      <c r="I57" s="124">
        <f ca="1">IFERROR(__xludf.DUMMYFUNCTION("""COMPUTED_VALUE"""),153)</f>
        <v>153</v>
      </c>
      <c r="J57" t="str">
        <f ca="1">IFERROR(__xludf.DUMMYFUNCTION("""COMPUTED_VALUE"""),"Neutral")</f>
        <v>Neutral</v>
      </c>
      <c r="K57" s="242">
        <f ca="1">IFERROR(__xludf.DUMMYFUNCTION("""COMPUTED_VALUE"""),2.61656188964843)</f>
        <v>2.61656188964843</v>
      </c>
      <c r="L57" s="176"/>
    </row>
    <row r="58" spans="1:12" ht="13.2">
      <c r="H58" s="24" t="str">
        <f ca="1">IFERROR(__xludf.DUMMYFUNCTION("""COMPUTED_VALUE"""),"Auchfor")</f>
        <v>Auchfor</v>
      </c>
      <c r="I58" s="124">
        <f ca="1">IFERROR(__xludf.DUMMYFUNCTION("""COMPUTED_VALUE"""),153)</f>
        <v>153</v>
      </c>
      <c r="J58" t="str">
        <f ca="1">IFERROR(__xludf.DUMMYFUNCTION("""COMPUTED_VALUE"""),"Neutral")</f>
        <v>Neutral</v>
      </c>
      <c r="K58" s="242">
        <f ca="1">IFERROR(__xludf.DUMMYFUNCTION("""COMPUTED_VALUE"""),2.56463012695312)</f>
        <v>2.5646301269531202</v>
      </c>
      <c r="L58" s="176"/>
    </row>
    <row r="59" spans="1:12" ht="13.2">
      <c r="H59" s="24" t="str">
        <f ca="1">IFERROR(__xludf.DUMMYFUNCTION("""COMPUTED_VALUE"""),"Aidan")</f>
        <v>Aidan</v>
      </c>
      <c r="I59" s="124">
        <f ca="1">IFERROR(__xludf.DUMMYFUNCTION("""COMPUTED_VALUE"""),153)</f>
        <v>153</v>
      </c>
      <c r="J59" t="str">
        <f ca="1">IFERROR(__xludf.DUMMYFUNCTION("""COMPUTED_VALUE"""),"Neutral")</f>
        <v>Neutral</v>
      </c>
      <c r="K59" s="242">
        <f ca="1">IFERROR(__xludf.DUMMYFUNCTION("""COMPUTED_VALUE"""),2.51954650878906)</f>
        <v>2.5195465087890598</v>
      </c>
      <c r="L59" s="176"/>
    </row>
    <row r="60" spans="1:12" ht="13.2">
      <c r="H60" s="24" t="str">
        <f ca="1">IFERROR(__xludf.DUMMYFUNCTION("""COMPUTED_VALUE"""),"Jaython")</f>
        <v>Jaython</v>
      </c>
      <c r="I60" s="124">
        <f ca="1">IFERROR(__xludf.DUMMYFUNCTION("""COMPUTED_VALUE"""),50)</f>
        <v>50</v>
      </c>
      <c r="J60" t="str">
        <f ca="1">IFERROR(__xludf.DUMMYFUNCTION("""COMPUTED_VALUE"""),"Neutral")</f>
        <v>Neutral</v>
      </c>
      <c r="K60" s="242">
        <f ca="1">IFERROR(__xludf.DUMMYFUNCTION("""COMPUTED_VALUE"""),1.7926025390625)</f>
        <v>1.7926025390625</v>
      </c>
      <c r="L60" s="176"/>
    </row>
    <row r="61" spans="1:12" ht="13.2">
      <c r="H61" s="24" t="str">
        <f ca="1">IFERROR(__xludf.DUMMYFUNCTION("""COMPUTED_VALUE"""),"Hezak")</f>
        <v>Hezak</v>
      </c>
      <c r="I61" s="124">
        <f ca="1">IFERROR(__xludf.DUMMYFUNCTION("""COMPUTED_VALUE"""),50)</f>
        <v>50</v>
      </c>
      <c r="J61" t="str">
        <f ca="1">IFERROR(__xludf.DUMMYFUNCTION("""COMPUTED_VALUE"""),"Neutral")</f>
        <v>Neutral</v>
      </c>
      <c r="K61" s="242">
        <f ca="1">IFERROR(__xludf.DUMMYFUNCTION("""COMPUTED_VALUE"""),1.76205444335937)</f>
        <v>1.7620544433593699</v>
      </c>
      <c r="L61" s="176"/>
    </row>
    <row r="62" spans="1:12" ht="13.2">
      <c r="H62" s="24" t="str">
        <f ca="1">IFERROR(__xludf.DUMMYFUNCTION("""COMPUTED_VALUE"""),"Kodof")</f>
        <v>Kodof</v>
      </c>
      <c r="I62" s="124">
        <f ca="1">IFERROR(__xludf.DUMMYFUNCTION("""COMPUTED_VALUE"""),55)</f>
        <v>55</v>
      </c>
      <c r="J62" t="str">
        <f ca="1">IFERROR(__xludf.DUMMYFUNCTION("""COMPUTED_VALUE"""),"Neutral")</f>
        <v>Neutral</v>
      </c>
      <c r="K62" s="242">
        <f ca="1">IFERROR(__xludf.DUMMYFUNCTION("""COMPUTED_VALUE"""),1.3712905883789)</f>
        <v>1.3712905883788999</v>
      </c>
      <c r="L62" s="176"/>
    </row>
    <row r="63" spans="1:12" ht="13.2">
      <c r="H63" s="24" t="str">
        <f ca="1">IFERROR(__xludf.DUMMYFUNCTION("""COMPUTED_VALUE"""),"Kilburn")</f>
        <v>Kilburn</v>
      </c>
      <c r="I63" s="124">
        <f ca="1">IFERROR(__xludf.DUMMYFUNCTION("""COMPUTED_VALUE"""),55)</f>
        <v>55</v>
      </c>
      <c r="J63" t="str">
        <f ca="1">IFERROR(__xludf.DUMMYFUNCTION("""COMPUTED_VALUE"""),"Neutral")</f>
        <v>Neutral</v>
      </c>
      <c r="K63" s="242">
        <f ca="1">IFERROR(__xludf.DUMMYFUNCTION("""COMPUTED_VALUE"""),1.36736297607421)</f>
        <v>1.3673629760742101</v>
      </c>
      <c r="L63" s="176"/>
    </row>
    <row r="64" spans="1:12" ht="13.2">
      <c r="H64" s="24" t="str">
        <f ca="1">IFERROR(__xludf.DUMMYFUNCTION("""COMPUTED_VALUE"""),"Jethil")</f>
        <v>Jethil</v>
      </c>
      <c r="I64" s="124">
        <f ca="1">IFERROR(__xludf.DUMMYFUNCTION("""COMPUTED_VALUE"""),50)</f>
        <v>50</v>
      </c>
      <c r="J64" t="str">
        <f ca="1">IFERROR(__xludf.DUMMYFUNCTION("""COMPUTED_VALUE"""),"Neutral")</f>
        <v>Neutral</v>
      </c>
      <c r="K64" s="242">
        <f ca="1">IFERROR(__xludf.DUMMYFUNCTION("""COMPUTED_VALUE"""),1.34837951660156)</f>
        <v>1.34837951660156</v>
      </c>
      <c r="L64" s="176"/>
    </row>
    <row r="65" spans="8:12" ht="13.2">
      <c r="H65" s="24" t="str">
        <f ca="1">IFERROR(__xludf.DUMMYFUNCTION("""COMPUTED_VALUE"""),"Faowind")</f>
        <v>Faowind</v>
      </c>
      <c r="I65" s="124">
        <f ca="1">IFERROR(__xludf.DUMMYFUNCTION("""COMPUTED_VALUE"""),74.25)</f>
        <v>74.25</v>
      </c>
      <c r="J65" t="str">
        <f ca="1">IFERROR(__xludf.DUMMYFUNCTION("""COMPUTED_VALUE"""),"Female")</f>
        <v>Female</v>
      </c>
      <c r="K65" s="242">
        <f ca="1">IFERROR(__xludf.DUMMYFUNCTION("""COMPUTED_VALUE"""),1.19209075927734)</f>
        <v>1.19209075927734</v>
      </c>
      <c r="L65" s="176"/>
    </row>
    <row r="66" spans="8:12" ht="13.2">
      <c r="H66" s="24" t="str">
        <f ca="1">IFERROR(__xludf.DUMMYFUNCTION("""COMPUTED_VALUE"""),"Fickfylo")</f>
        <v>Fickfylo</v>
      </c>
      <c r="I66" s="124">
        <f ca="1">IFERROR(__xludf.DUMMYFUNCTION("""COMPUTED_VALUE"""),74.25)</f>
        <v>74.25</v>
      </c>
      <c r="J66" t="str">
        <f ca="1">IFERROR(__xludf.DUMMYFUNCTION("""COMPUTED_VALUE"""),"Female")</f>
        <v>Female</v>
      </c>
      <c r="K66" s="242">
        <f ca="1">IFERROR(__xludf.DUMMYFUNCTION("""COMPUTED_VALUE"""),0.998809432983398)</f>
        <v>0.99880943298339797</v>
      </c>
      <c r="L66" s="176"/>
    </row>
    <row r="67" spans="8:12" ht="13.2">
      <c r="H67" s="24" t="str">
        <f ca="1">IFERROR(__xludf.DUMMYFUNCTION("""COMPUTED_VALUE"""),"Jibar")</f>
        <v>Jibar</v>
      </c>
      <c r="I67" s="124">
        <f ca="1">IFERROR(__xludf.DUMMYFUNCTION("""COMPUTED_VALUE"""),55)</f>
        <v>55</v>
      </c>
      <c r="J67" t="str">
        <f ca="1">IFERROR(__xludf.DUMMYFUNCTION("""COMPUTED_VALUE"""),"Neutral")</f>
        <v>Neutral</v>
      </c>
      <c r="K67" s="242">
        <f ca="1">IFERROR(__xludf.DUMMYFUNCTION("""COMPUTED_VALUE"""),0.900967407226562)</f>
        <v>0.90096740722656199</v>
      </c>
      <c r="L67" s="176"/>
    </row>
    <row r="68" spans="8:12" ht="13.2">
      <c r="H68" s="24" t="str">
        <f ca="1">IFERROR(__xludf.DUMMYFUNCTION("""COMPUTED_VALUE"""),"Ieli")</f>
        <v>Ieli</v>
      </c>
      <c r="I68" s="124">
        <f ca="1">IFERROR(__xludf.DUMMYFUNCTION("""COMPUTED_VALUE"""),50)</f>
        <v>50</v>
      </c>
      <c r="J68" t="str">
        <f ca="1">IFERROR(__xludf.DUMMYFUNCTION("""COMPUTED_VALUE"""),"Neutral")</f>
        <v>Neutral</v>
      </c>
      <c r="K68" s="242">
        <f ca="1">IFERROR(__xludf.DUMMYFUNCTION("""COMPUTED_VALUE"""),0.885693359375)</f>
        <v>0.88569335937500004</v>
      </c>
      <c r="L68" s="176"/>
    </row>
    <row r="69" spans="8:12" ht="13.2">
      <c r="H69" s="24" t="str">
        <f ca="1">IFERROR(__xludf.DUMMYFUNCTION("""COMPUTED_VALUE"""),"Firiro")</f>
        <v>Firiro</v>
      </c>
      <c r="I69" s="124">
        <f ca="1">IFERROR(__xludf.DUMMYFUNCTION("""COMPUTED_VALUE"""),74.25)</f>
        <v>74.25</v>
      </c>
      <c r="J69" t="str">
        <f ca="1">IFERROR(__xludf.DUMMYFUNCTION("""COMPUTED_VALUE"""),"Female")</f>
        <v>Female</v>
      </c>
      <c r="K69" s="242">
        <f ca="1">IFERROR(__xludf.DUMMYFUNCTION("""COMPUTED_VALUE"""),0.802426300048828)</f>
        <v>0.80242630004882798</v>
      </c>
      <c r="L69" s="176"/>
    </row>
    <row r="70" spans="8:12" ht="13.2">
      <c r="H70" s="24" t="str">
        <f ca="1">IFERROR(__xludf.DUMMYFUNCTION("""COMPUTED_VALUE"""),"Dosoman")</f>
        <v>Dosoman</v>
      </c>
      <c r="I70" s="124">
        <f ca="1">IFERROR(__xludf.DUMMYFUNCTION("""COMPUTED_VALUE"""),67.5)</f>
        <v>67.5</v>
      </c>
      <c r="J70" t="str">
        <f ca="1">IFERROR(__xludf.DUMMYFUNCTION("""COMPUTED_VALUE"""),"Female")</f>
        <v>Female</v>
      </c>
      <c r="K70" s="242">
        <f ca="1">IFERROR(__xludf.DUMMYFUNCTION("""COMPUTED_VALUE"""),0.679678344726562)</f>
        <v>0.67967834472656197</v>
      </c>
      <c r="L70" s="176"/>
    </row>
    <row r="71" spans="8:12" ht="13.2">
      <c r="H71" s="24" t="str">
        <f ca="1">IFERROR(__xludf.DUMMYFUNCTION("""COMPUTED_VALUE"""),"Dakkone")</f>
        <v>Dakkone</v>
      </c>
      <c r="I71" s="124">
        <f ca="1">IFERROR(__xludf.DUMMYFUNCTION("""COMPUTED_VALUE"""),67.5)</f>
        <v>67.5</v>
      </c>
      <c r="J71" t="str">
        <f ca="1">IFERROR(__xludf.DUMMYFUNCTION("""COMPUTED_VALUE"""),"Female")</f>
        <v>Female</v>
      </c>
      <c r="K71" s="242">
        <f ca="1">IFERROR(__xludf.DUMMYFUNCTION("""COMPUTED_VALUE"""),0.656767272949218)</f>
        <v>0.656767272949218</v>
      </c>
      <c r="L71" s="176"/>
    </row>
    <row r="72" spans="8:12" ht="13.2">
      <c r="H72" s="24" t="str">
        <f ca="1">IFERROR(__xludf.DUMMYFUNCTION("""COMPUTED_VALUE"""),"Elthin")</f>
        <v>Elthin</v>
      </c>
      <c r="I72" s="124">
        <f ca="1">IFERROR(__xludf.DUMMYFUNCTION("""COMPUTED_VALUE"""),74.25)</f>
        <v>74.25</v>
      </c>
      <c r="J72" t="str">
        <f ca="1">IFERROR(__xludf.DUMMYFUNCTION("""COMPUTED_VALUE"""),"Female")</f>
        <v>Female</v>
      </c>
      <c r="K72" s="242">
        <f ca="1">IFERROR(__xludf.DUMMYFUNCTION("""COMPUTED_VALUE"""),0.580425567626953)</f>
        <v>0.58042556762695297</v>
      </c>
      <c r="L72" s="176"/>
    </row>
    <row r="73" spans="8:12" ht="13.2">
      <c r="H73" s="24" t="str">
        <f ca="1">IFERROR(__xludf.DUMMYFUNCTION("""COMPUTED_VALUE"""),"Breen")</f>
        <v>Breen</v>
      </c>
      <c r="I73" s="124">
        <f ca="1">IFERROR(__xludf.DUMMYFUNCTION("""COMPUTED_VALUE"""),60.75)</f>
        <v>60.75</v>
      </c>
      <c r="J73" t="str">
        <f ca="1">IFERROR(__xludf.DUMMYFUNCTION("""COMPUTED_VALUE"""),"Female")</f>
        <v>Female</v>
      </c>
      <c r="K73" s="242">
        <f ca="1">IFERROR(__xludf.DUMMYFUNCTION("""COMPUTED_VALUE"""),0.552615051269531)</f>
        <v>0.55261505126953103</v>
      </c>
      <c r="L73" s="176"/>
    </row>
    <row r="74" spans="8:12" ht="13.2">
      <c r="H74" s="24" t="str">
        <f ca="1">IFERROR(__xludf.DUMMYFUNCTION("""COMPUTED_VALUE"""),"Baradeer")</f>
        <v>Baradeer</v>
      </c>
      <c r="I74" s="124">
        <f ca="1">IFERROR(__xludf.DUMMYFUNCTION("""COMPUTED_VALUE"""),151.875)</f>
        <v>151.875</v>
      </c>
      <c r="J74" t="str">
        <f ca="1">IFERROR(__xludf.DUMMYFUNCTION("""COMPUTED_VALUE"""),"Female")</f>
        <v>Female</v>
      </c>
      <c r="K74" s="242">
        <f ca="1">IFERROR(__xludf.DUMMYFUNCTION("""COMPUTED_VALUE"""),0.531995086669921)</f>
        <v>0.53199508666992101</v>
      </c>
      <c r="L74" s="176"/>
    </row>
    <row r="75" spans="8:12" ht="13.2">
      <c r="H75" s="24" t="str">
        <f ca="1">IFERROR(__xludf.DUMMYFUNCTION("""COMPUTED_VALUE"""),"Drophar")</f>
        <v>Drophar</v>
      </c>
      <c r="I75" s="124">
        <f ca="1">IFERROR(__xludf.DUMMYFUNCTION("""COMPUTED_VALUE"""),67.5)</f>
        <v>67.5</v>
      </c>
      <c r="J75" t="str">
        <f ca="1">IFERROR(__xludf.DUMMYFUNCTION("""COMPUTED_VALUE"""),"Female")</f>
        <v>Female</v>
      </c>
      <c r="K75" s="242">
        <f ca="1">IFERROR(__xludf.DUMMYFUNCTION("""COMPUTED_VALUE"""),0.512742233276367)</f>
        <v>0.51274223327636703</v>
      </c>
      <c r="L75" s="176"/>
    </row>
    <row r="76" spans="8:12" ht="13.2">
      <c r="H76" s="24" t="str">
        <f ca="1">IFERROR(__xludf.DUMMYFUNCTION("""COMPUTED_VALUE"""),"Dapvhir")</f>
        <v>Dapvhir</v>
      </c>
      <c r="I76" s="124">
        <f ca="1">IFERROR(__xludf.DUMMYFUNCTION("""COMPUTED_VALUE"""),67.5)</f>
        <v>67.5</v>
      </c>
      <c r="J76" t="str">
        <f ca="1">IFERROR(__xludf.DUMMYFUNCTION("""COMPUTED_VALUE"""),"Female")</f>
        <v>Female</v>
      </c>
      <c r="K76" s="242">
        <f ca="1">IFERROR(__xludf.DUMMYFUNCTION("""COMPUTED_VALUE"""),0.495558929443359)</f>
        <v>0.495558929443359</v>
      </c>
      <c r="L76" s="176"/>
    </row>
    <row r="77" spans="8:12" ht="13.2">
      <c r="H77" s="24" t="str">
        <f ca="1">IFERROR(__xludf.DUMMYFUNCTION("""COMPUTED_VALUE"""),"Buthomar")</f>
        <v>Buthomar</v>
      </c>
      <c r="I77" s="124">
        <f ca="1">IFERROR(__xludf.DUMMYFUNCTION("""COMPUTED_VALUE"""),60.75)</f>
        <v>60.75</v>
      </c>
      <c r="J77" t="str">
        <f ca="1">IFERROR(__xludf.DUMMYFUNCTION("""COMPUTED_VALUE"""),"Female")</f>
        <v>Female</v>
      </c>
      <c r="K77" s="242">
        <f ca="1">IFERROR(__xludf.DUMMYFUNCTION("""COMPUTED_VALUE"""),0.417112426757812)</f>
        <v>0.41711242675781202</v>
      </c>
      <c r="L77" s="176"/>
    </row>
    <row r="78" spans="8:12" ht="13.2">
      <c r="H78" s="24" t="str">
        <f ca="1">IFERROR(__xludf.DUMMYFUNCTION("""COMPUTED_VALUE"""),"Bayde")</f>
        <v>Bayde</v>
      </c>
      <c r="I78" s="124">
        <f ca="1">IFERROR(__xludf.DUMMYFUNCTION("""COMPUTED_VALUE"""),151.875)</f>
        <v>151.875</v>
      </c>
      <c r="J78" t="str">
        <f ca="1">IFERROR(__xludf.DUMMYFUNCTION("""COMPUTED_VALUE"""),"Female")</f>
        <v>Female</v>
      </c>
      <c r="K78" s="242">
        <f ca="1">IFERROR(__xludf.DUMMYFUNCTION("""COMPUTED_VALUE"""),0.401647453308105)</f>
        <v>0.40164745330810497</v>
      </c>
      <c r="L78" s="176"/>
    </row>
    <row r="79" spans="8:12" ht="13.2">
      <c r="H79" s="24" t="str">
        <f ca="1">IFERROR(__xludf.DUMMYFUNCTION("""COMPUTED_VALUE"""),"Enidin")</f>
        <v>Enidin</v>
      </c>
      <c r="I79" s="124">
        <f ca="1">IFERROR(__xludf.DUMMYFUNCTION("""COMPUTED_VALUE"""),74.25)</f>
        <v>74.25</v>
      </c>
      <c r="J79" t="str">
        <f ca="1">IFERROR(__xludf.DUMMYFUNCTION("""COMPUTED_VALUE"""),"Female")</f>
        <v>Female</v>
      </c>
      <c r="K79" s="242">
        <f ca="1">IFERROR(__xludf.DUMMYFUNCTION("""COMPUTED_VALUE"""),0.388612060546874)</f>
        <v>0.38861206054687403</v>
      </c>
      <c r="L79" s="176"/>
    </row>
    <row r="80" spans="8:12" ht="13.2">
      <c r="H80" s="24" t="str">
        <f ca="1">IFERROR(__xludf.DUMMYFUNCTION("""COMPUTED_VALUE"""),"Asden")</f>
        <v>Asden</v>
      </c>
      <c r="I80" s="124">
        <f ca="1">IFERROR(__xludf.DUMMYFUNCTION("""COMPUTED_VALUE"""),151.875)</f>
        <v>151.875</v>
      </c>
      <c r="J80" t="str">
        <f ca="1">IFERROR(__xludf.DUMMYFUNCTION("""COMPUTED_VALUE"""),"Female")</f>
        <v>Female</v>
      </c>
      <c r="K80" s="242">
        <f ca="1">IFERROR(__xludf.DUMMYFUNCTION("""COMPUTED_VALUE"""),0.388255805969238)</f>
        <v>0.38825580596923798</v>
      </c>
      <c r="L80" s="176"/>
    </row>
    <row r="81" spans="8:12" ht="13.2">
      <c r="H81" s="24" t="str">
        <f ca="1">IFERROR(__xludf.DUMMYFUNCTION("""COMPUTED_VALUE"""),"Abarden")</f>
        <v>Abarden</v>
      </c>
      <c r="I81" s="124">
        <f ca="1">IFERROR(__xludf.DUMMYFUNCTION("""COMPUTED_VALUE"""),151.875)</f>
        <v>151.875</v>
      </c>
      <c r="J81" t="str">
        <f ca="1">IFERROR(__xludf.DUMMYFUNCTION("""COMPUTED_VALUE"""),"Female")</f>
        <v>Female</v>
      </c>
      <c r="K81" s="242">
        <f ca="1">IFERROR(__xludf.DUMMYFUNCTION("""COMPUTED_VALUE"""),0.372790832519531)</f>
        <v>0.37279083251953099</v>
      </c>
      <c r="L81" s="176"/>
    </row>
    <row r="82" spans="8:12" ht="13.2">
      <c r="H82" s="24" t="str">
        <f ca="1">IFERROR(__xludf.DUMMYFUNCTION("""COMPUTED_VALUE"""),"Darko")</f>
        <v>Darko</v>
      </c>
      <c r="I82" s="124">
        <f ca="1">IFERROR(__xludf.DUMMYFUNCTION("""COMPUTED_VALUE"""),67.5)</f>
        <v>67.5</v>
      </c>
      <c r="J82" t="str">
        <f ca="1">IFERROR(__xludf.DUMMYFUNCTION("""COMPUTED_VALUE"""),"Female")</f>
        <v>Female</v>
      </c>
      <c r="K82" s="242">
        <f ca="1">IFERROR(__xludf.DUMMYFUNCTION("""COMPUTED_VALUE"""),0.331883239746093)</f>
        <v>0.33188323974609302</v>
      </c>
      <c r="L82" s="176"/>
    </row>
    <row r="83" spans="8:12" ht="13.2">
      <c r="H83" s="24" t="str">
        <f ca="1">IFERROR(__xludf.DUMMYFUNCTION("""COMPUTED_VALUE"""),"Codern")</f>
        <v>Codern</v>
      </c>
      <c r="I83" s="124">
        <f ca="1">IFERROR(__xludf.DUMMYFUNCTION("""COMPUTED_VALUE"""),67.5)</f>
        <v>67.5</v>
      </c>
      <c r="J83" t="str">
        <f ca="1">IFERROR(__xludf.DUMMYFUNCTION("""COMPUTED_VALUE"""),"Female")</f>
        <v>Female</v>
      </c>
      <c r="K83" s="242">
        <f ca="1">IFERROR(__xludf.DUMMYFUNCTION("""COMPUTED_VALUE"""),0.320427703857421)</f>
        <v>0.32042770385742098</v>
      </c>
      <c r="L83" s="176"/>
    </row>
    <row r="84" spans="8:12" ht="13.2">
      <c r="H84" s="24" t="str">
        <f ca="1">IFERROR(__xludf.DUMMYFUNCTION("""COMPUTED_VALUE"""),"Beeron")</f>
        <v>Beeron</v>
      </c>
      <c r="I84" s="124">
        <f ca="1">IFERROR(__xludf.DUMMYFUNCTION("""COMPUTED_VALUE"""),151.875)</f>
        <v>151.875</v>
      </c>
      <c r="J84" t="str">
        <f ca="1">IFERROR(__xludf.DUMMYFUNCTION("""COMPUTED_VALUE"""),"Female")</f>
        <v>Female</v>
      </c>
      <c r="K84" s="242">
        <f ca="1">IFERROR(__xludf.DUMMYFUNCTION("""COMPUTED_VALUE"""),0.269147186279296)</f>
        <v>0.26914718627929601</v>
      </c>
      <c r="L84" s="176"/>
    </row>
    <row r="85" spans="8:12" ht="13.2">
      <c r="H85" s="24" t="str">
        <f ca="1">IFERROR(__xludf.DUMMYFUNCTION("""COMPUTED_VALUE"""),"Achard")</f>
        <v>Achard</v>
      </c>
      <c r="I85" s="124">
        <f ca="1">IFERROR(__xludf.DUMMYFUNCTION("""COMPUTED_VALUE"""),151.875)</f>
        <v>151.875</v>
      </c>
      <c r="J85" t="str">
        <f ca="1">IFERROR(__xludf.DUMMYFUNCTION("""COMPUTED_VALUE"""),"Female")</f>
        <v>Female</v>
      </c>
      <c r="K85" s="242">
        <f ca="1">IFERROR(__xludf.DUMMYFUNCTION("""COMPUTED_VALUE"""),0.249864120483398)</f>
        <v>0.24986412048339801</v>
      </c>
      <c r="L85" s="176"/>
    </row>
    <row r="86" spans="8:12" ht="13.2">
      <c r="H86" s="24"/>
      <c r="K86" s="242"/>
      <c r="L86" s="176"/>
    </row>
    <row r="87" spans="8:12" ht="13.2">
      <c r="H87" s="24"/>
      <c r="K87" s="242"/>
      <c r="L87" s="176"/>
    </row>
    <row r="88" spans="8:12" ht="13.2">
      <c r="H88" s="24"/>
      <c r="K88" s="242"/>
      <c r="L88" s="176"/>
    </row>
    <row r="89" spans="8:12" ht="13.2">
      <c r="H89" s="24"/>
      <c r="K89" s="242"/>
      <c r="L89" s="176"/>
    </row>
    <row r="90" spans="8:12" ht="13.2">
      <c r="H90" s="24"/>
      <c r="K90" s="242"/>
      <c r="L90" s="176"/>
    </row>
    <row r="91" spans="8:12" ht="13.2">
      <c r="H91" s="24"/>
      <c r="K91" s="242"/>
      <c r="L91" s="176"/>
    </row>
    <row r="92" spans="8:12" ht="13.2">
      <c r="H92" s="24"/>
      <c r="K92" s="242"/>
      <c r="L92" s="176"/>
    </row>
    <row r="93" spans="8:12" ht="13.2">
      <c r="H93" s="24"/>
      <c r="K93" s="242"/>
      <c r="L93" s="176"/>
    </row>
    <row r="94" spans="8:12" ht="13.2">
      <c r="H94" s="24"/>
      <c r="K94" s="242"/>
      <c r="L94" s="176"/>
    </row>
    <row r="95" spans="8:12" ht="13.2">
      <c r="H95" s="24"/>
      <c r="K95" s="242"/>
      <c r="L95" s="176"/>
    </row>
    <row r="96" spans="8:12" ht="13.2">
      <c r="H96" s="24"/>
      <c r="K96" s="242"/>
      <c r="L96" s="176"/>
    </row>
    <row r="97" spans="8:12" ht="13.2">
      <c r="H97" s="24"/>
      <c r="K97" s="242"/>
      <c r="L97" s="176"/>
    </row>
    <row r="98" spans="8:12" ht="13.2">
      <c r="H98" s="24"/>
      <c r="K98" s="242"/>
      <c r="L98" s="176"/>
    </row>
    <row r="99" spans="8:12" ht="13.2">
      <c r="H99" s="24"/>
      <c r="K99" s="242"/>
      <c r="L99" s="176"/>
    </row>
    <row r="100" spans="8:12" ht="13.2">
      <c r="H100" s="24"/>
      <c r="K100" s="242"/>
      <c r="L100" s="176"/>
    </row>
    <row r="101" spans="8:12" ht="13.2">
      <c r="H101" s="24"/>
      <c r="K101" s="242"/>
      <c r="L101" s="176"/>
    </row>
    <row r="102" spans="8:12" ht="13.2">
      <c r="H102" s="24"/>
      <c r="K102" s="242"/>
      <c r="L102" s="176"/>
    </row>
    <row r="103" spans="8:12" ht="13.2">
      <c r="H103" s="24"/>
      <c r="K103" s="242"/>
      <c r="L103" s="176"/>
    </row>
    <row r="104" spans="8:12" ht="13.2">
      <c r="H104" s="24"/>
      <c r="K104" s="242"/>
      <c r="L104" s="176"/>
    </row>
    <row r="105" spans="8:12" ht="13.2">
      <c r="H105" s="24"/>
      <c r="K105" s="242"/>
      <c r="L105" s="176"/>
    </row>
    <row r="106" spans="8:12" ht="13.2">
      <c r="H106" s="24"/>
      <c r="K106" s="242"/>
      <c r="L106" s="176"/>
    </row>
    <row r="107" spans="8:12" ht="13.2">
      <c r="H107" s="24"/>
      <c r="K107" s="242"/>
      <c r="L107" s="176"/>
    </row>
    <row r="108" spans="8:12" ht="13.2">
      <c r="H108" s="24"/>
      <c r="K108" s="242"/>
      <c r="L108" s="176"/>
    </row>
    <row r="109" spans="8:12" ht="13.2">
      <c r="H109" s="24"/>
      <c r="K109" s="242"/>
      <c r="L109" s="176"/>
    </row>
    <row r="110" spans="8:12" ht="13.2">
      <c r="H110" s="24"/>
      <c r="K110" s="242"/>
      <c r="L110" s="176"/>
    </row>
    <row r="111" spans="8:12" ht="13.2">
      <c r="H111" s="24"/>
      <c r="K111" s="242"/>
      <c r="L111" s="176"/>
    </row>
    <row r="112" spans="8:12" ht="13.2">
      <c r="H112" s="24"/>
      <c r="K112" s="242"/>
      <c r="L112" s="176"/>
    </row>
    <row r="113" spans="8:12" ht="13.2">
      <c r="H113" s="24"/>
      <c r="K113" s="242"/>
      <c r="L113" s="176"/>
    </row>
    <row r="114" spans="8:12" ht="13.2">
      <c r="H114" s="24"/>
      <c r="K114" s="242"/>
      <c r="L114" s="176"/>
    </row>
    <row r="115" spans="8:12" ht="13.2">
      <c r="H115" s="24"/>
      <c r="K115" s="242"/>
      <c r="L115" s="176"/>
    </row>
    <row r="116" spans="8:12" ht="13.2">
      <c r="H116" s="24"/>
      <c r="K116" s="242"/>
      <c r="L116" s="176"/>
    </row>
    <row r="117" spans="8:12" ht="13.2">
      <c r="H117" s="24"/>
      <c r="K117" s="242"/>
      <c r="L117" s="176"/>
    </row>
    <row r="118" spans="8:12" ht="13.2">
      <c r="H118" s="24"/>
      <c r="K118" s="242"/>
      <c r="L118" s="176"/>
    </row>
    <row r="119" spans="8:12" ht="13.2">
      <c r="H119" s="24"/>
      <c r="K119" s="242"/>
      <c r="L119" s="176"/>
    </row>
    <row r="120" spans="8:12" ht="13.2">
      <c r="H120" s="24"/>
      <c r="K120" s="242"/>
      <c r="L120" s="176"/>
    </row>
    <row r="121" spans="8:12" ht="13.2">
      <c r="H121" s="24"/>
      <c r="K121" s="242"/>
      <c r="L121" s="176"/>
    </row>
    <row r="122" spans="8:12" ht="13.2">
      <c r="H122" s="24"/>
      <c r="K122" s="242"/>
      <c r="L122" s="176"/>
    </row>
    <row r="123" spans="8:12" ht="13.2">
      <c r="H123" s="24"/>
      <c r="K123" s="242"/>
      <c r="L123" s="176"/>
    </row>
    <row r="124" spans="8:12" ht="13.2">
      <c r="H124" s="24"/>
      <c r="K124" s="242"/>
      <c r="L124" s="176"/>
    </row>
    <row r="125" spans="8:12" ht="13.2">
      <c r="H125" s="24"/>
      <c r="K125" s="242"/>
      <c r="L125" s="176"/>
    </row>
    <row r="126" spans="8:12" ht="13.2">
      <c r="H126" s="24"/>
      <c r="K126" s="242"/>
      <c r="L126" s="176"/>
    </row>
    <row r="127" spans="8:12" ht="13.2">
      <c r="H127" s="24"/>
      <c r="K127" s="242"/>
      <c r="L127" s="176"/>
    </row>
    <row r="128" spans="8:12" ht="13.2">
      <c r="H128" s="24"/>
      <c r="K128" s="242"/>
      <c r="L128" s="176"/>
    </row>
    <row r="129" spans="8:12" ht="13.2">
      <c r="H129" s="24"/>
      <c r="K129" s="242"/>
      <c r="L129" s="176"/>
    </row>
    <row r="130" spans="8:12" ht="13.2">
      <c r="H130" s="24"/>
      <c r="K130" s="242"/>
      <c r="L130" s="176"/>
    </row>
    <row r="131" spans="8:12" ht="13.2">
      <c r="H131" s="24"/>
      <c r="K131" s="242"/>
      <c r="L131" s="176"/>
    </row>
    <row r="132" spans="8:12" ht="13.2">
      <c r="H132" s="24"/>
      <c r="K132" s="242"/>
      <c r="L132" s="176"/>
    </row>
    <row r="133" spans="8:12" ht="13.2">
      <c r="H133" s="24"/>
      <c r="K133" s="242"/>
      <c r="L133" s="176"/>
    </row>
    <row r="134" spans="8:12" ht="13.2">
      <c r="H134" s="24"/>
      <c r="K134" s="242"/>
      <c r="L134" s="176"/>
    </row>
    <row r="135" spans="8:12" ht="13.2">
      <c r="H135" s="24"/>
      <c r="K135" s="242"/>
      <c r="L135" s="176"/>
    </row>
    <row r="136" spans="8:12" ht="13.2">
      <c r="H136" s="24"/>
      <c r="K136" s="242"/>
      <c r="L136" s="176"/>
    </row>
    <row r="137" spans="8:12" ht="13.2">
      <c r="H137" s="24"/>
      <c r="K137" s="242"/>
      <c r="L137" s="176"/>
    </row>
    <row r="138" spans="8:12" ht="13.2">
      <c r="H138" s="24"/>
      <c r="K138" s="242"/>
      <c r="L138" s="176"/>
    </row>
    <row r="139" spans="8:12" ht="13.2">
      <c r="H139" s="24"/>
      <c r="K139" s="242"/>
      <c r="L139" s="176"/>
    </row>
    <row r="140" spans="8:12" ht="13.2">
      <c r="H140" s="24"/>
      <c r="K140" s="242"/>
      <c r="L140" s="176"/>
    </row>
    <row r="141" spans="8:12" ht="13.2">
      <c r="H141" s="24"/>
      <c r="K141" s="242"/>
      <c r="L141" s="176"/>
    </row>
    <row r="142" spans="8:12" ht="13.2">
      <c r="H142" s="24"/>
      <c r="K142" s="242"/>
      <c r="L142" s="176"/>
    </row>
    <row r="143" spans="8:12" ht="13.2">
      <c r="H143" s="24"/>
      <c r="K143" s="242"/>
      <c r="L143" s="176"/>
    </row>
    <row r="144" spans="8:12" ht="13.2">
      <c r="H144" s="24"/>
      <c r="K144" s="242"/>
      <c r="L144" s="176"/>
    </row>
    <row r="145" spans="8:12" ht="13.2">
      <c r="H145" s="24"/>
      <c r="K145" s="242"/>
      <c r="L145" s="176"/>
    </row>
    <row r="146" spans="8:12" ht="13.2">
      <c r="H146" s="24"/>
      <c r="K146" s="242"/>
      <c r="L146" s="176"/>
    </row>
    <row r="147" spans="8:12" ht="13.2">
      <c r="H147" s="24"/>
      <c r="K147" s="242"/>
      <c r="L147" s="176"/>
    </row>
    <row r="148" spans="8:12" ht="13.2">
      <c r="H148" s="24"/>
      <c r="K148" s="242"/>
      <c r="L148" s="176"/>
    </row>
    <row r="149" spans="8:12" ht="13.2">
      <c r="H149" s="24"/>
      <c r="K149" s="242"/>
      <c r="L149" s="176"/>
    </row>
    <row r="150" spans="8:12" ht="13.2">
      <c r="H150" s="24"/>
      <c r="K150" s="242"/>
      <c r="L150" s="176"/>
    </row>
    <row r="151" spans="8:12" ht="13.2">
      <c r="H151" s="24"/>
      <c r="K151" s="242"/>
      <c r="L151" s="176"/>
    </row>
    <row r="152" spans="8:12" ht="13.2">
      <c r="H152" s="24"/>
      <c r="K152" s="242"/>
      <c r="L152" s="176"/>
    </row>
    <row r="153" spans="8:12" ht="13.2">
      <c r="H153" s="24"/>
      <c r="K153" s="242"/>
      <c r="L153" s="176"/>
    </row>
    <row r="154" spans="8:12" ht="13.2">
      <c r="H154" s="24"/>
      <c r="K154" s="242"/>
      <c r="L154" s="176"/>
    </row>
    <row r="155" spans="8:12" ht="13.2">
      <c r="H155" s="24"/>
      <c r="K155" s="242"/>
      <c r="L155" s="176"/>
    </row>
    <row r="156" spans="8:12" ht="13.2">
      <c r="H156" s="24"/>
      <c r="K156" s="242"/>
      <c r="L156" s="176"/>
    </row>
    <row r="157" spans="8:12" ht="13.2">
      <c r="H157" s="24"/>
      <c r="K157" s="242"/>
      <c r="L157" s="176"/>
    </row>
    <row r="158" spans="8:12" ht="13.2">
      <c r="H158" s="24"/>
      <c r="K158" s="242"/>
      <c r="L158" s="176"/>
    </row>
    <row r="159" spans="8:12" ht="13.2">
      <c r="H159" s="24"/>
      <c r="K159" s="242"/>
      <c r="L159" s="176"/>
    </row>
    <row r="160" spans="8:12" ht="13.2">
      <c r="H160" s="24"/>
      <c r="K160" s="242"/>
      <c r="L160" s="176"/>
    </row>
    <row r="161" spans="8:12" ht="13.2">
      <c r="H161" s="24"/>
      <c r="K161" s="242"/>
      <c r="L161" s="176"/>
    </row>
    <row r="162" spans="8:12" ht="13.2">
      <c r="H162" s="24"/>
      <c r="K162" s="242"/>
      <c r="L162" s="176"/>
    </row>
    <row r="163" spans="8:12" ht="13.2">
      <c r="H163" s="24"/>
      <c r="K163" s="242"/>
      <c r="L163" s="176"/>
    </row>
    <row r="164" spans="8:12" ht="13.2">
      <c r="H164" s="24"/>
      <c r="K164" s="242"/>
      <c r="L164" s="176"/>
    </row>
    <row r="165" spans="8:12" ht="13.2">
      <c r="H165" s="24"/>
      <c r="K165" s="242"/>
      <c r="L165" s="176"/>
    </row>
    <row r="166" spans="8:12" ht="13.2">
      <c r="H166" s="24"/>
      <c r="K166" s="242"/>
      <c r="L166" s="176"/>
    </row>
    <row r="167" spans="8:12" ht="13.2">
      <c r="H167" s="24"/>
      <c r="K167" s="242"/>
      <c r="L167" s="176"/>
    </row>
    <row r="168" spans="8:12" ht="13.2">
      <c r="H168" s="24"/>
      <c r="K168" s="242"/>
      <c r="L168" s="176"/>
    </row>
    <row r="169" spans="8:12" ht="13.2">
      <c r="H169" s="24"/>
      <c r="K169" s="242"/>
      <c r="L169" s="176"/>
    </row>
    <row r="170" spans="8:12" ht="13.2">
      <c r="H170" s="24"/>
      <c r="K170" s="242"/>
      <c r="L170" s="176"/>
    </row>
    <row r="171" spans="8:12" ht="13.2">
      <c r="H171" s="24"/>
      <c r="K171" s="242"/>
      <c r="L171" s="176"/>
    </row>
    <row r="172" spans="8:12" ht="13.2">
      <c r="H172" s="24"/>
      <c r="K172" s="242"/>
      <c r="L172" s="176"/>
    </row>
    <row r="173" spans="8:12" ht="13.2">
      <c r="H173" s="24"/>
      <c r="K173" s="242"/>
      <c r="L173" s="176"/>
    </row>
    <row r="174" spans="8:12" ht="13.2">
      <c r="H174" s="24"/>
      <c r="K174" s="242"/>
      <c r="L174" s="176"/>
    </row>
    <row r="175" spans="8:12" ht="13.2">
      <c r="H175" s="24"/>
      <c r="K175" s="242"/>
      <c r="L175" s="176"/>
    </row>
    <row r="176" spans="8:12" ht="13.2">
      <c r="H176" s="24"/>
      <c r="K176" s="242"/>
      <c r="L176" s="176"/>
    </row>
    <row r="177" spans="8:12" ht="13.2">
      <c r="H177" s="24"/>
      <c r="K177" s="242"/>
      <c r="L177" s="176"/>
    </row>
    <row r="178" spans="8:12" ht="13.2">
      <c r="H178" s="24"/>
      <c r="K178" s="242"/>
      <c r="L178" s="176"/>
    </row>
    <row r="179" spans="8:12" ht="13.2">
      <c r="H179" s="24"/>
      <c r="K179" s="242"/>
      <c r="L179" s="176"/>
    </row>
    <row r="180" spans="8:12" ht="13.2">
      <c r="H180" s="24"/>
      <c r="K180" s="242"/>
      <c r="L180" s="176"/>
    </row>
    <row r="181" spans="8:12" ht="13.2">
      <c r="H181" s="24"/>
      <c r="K181" s="242"/>
      <c r="L181" s="176"/>
    </row>
    <row r="182" spans="8:12" ht="13.2">
      <c r="H182" s="24"/>
      <c r="K182" s="242"/>
      <c r="L182" s="176"/>
    </row>
    <row r="183" spans="8:12" ht="13.2">
      <c r="H183" s="24"/>
      <c r="K183" s="242"/>
      <c r="L183" s="176"/>
    </row>
    <row r="184" spans="8:12" ht="13.2">
      <c r="H184" s="24"/>
      <c r="K184" s="242"/>
      <c r="L184" s="176"/>
    </row>
    <row r="185" spans="8:12" ht="13.2">
      <c r="H185" s="24"/>
      <c r="K185" s="242"/>
      <c r="L185" s="176"/>
    </row>
    <row r="186" spans="8:12" ht="13.2">
      <c r="H186" s="24"/>
      <c r="K186" s="242"/>
      <c r="L186" s="176"/>
    </row>
    <row r="187" spans="8:12" ht="13.2">
      <c r="H187" s="24"/>
      <c r="K187" s="242"/>
      <c r="L187" s="176"/>
    </row>
    <row r="188" spans="8:12" ht="13.2">
      <c r="H188" s="24"/>
      <c r="K188" s="242"/>
      <c r="L188" s="176"/>
    </row>
    <row r="189" spans="8:12" ht="13.2">
      <c r="H189" s="24"/>
      <c r="K189" s="242"/>
      <c r="L189" s="176"/>
    </row>
    <row r="190" spans="8:12" ht="13.2">
      <c r="H190" s="24"/>
      <c r="K190" s="242"/>
      <c r="L190" s="176"/>
    </row>
    <row r="191" spans="8:12" ht="13.2">
      <c r="H191" s="24"/>
      <c r="K191" s="242"/>
      <c r="L191" s="176"/>
    </row>
    <row r="192" spans="8:12" ht="13.2">
      <c r="H192" s="24"/>
      <c r="K192" s="242"/>
      <c r="L192" s="176"/>
    </row>
    <row r="193" spans="8:12" ht="13.2">
      <c r="H193" s="24"/>
      <c r="K193" s="242"/>
      <c r="L193" s="176"/>
    </row>
    <row r="194" spans="8:12" ht="13.2">
      <c r="H194" s="24"/>
      <c r="K194" s="242"/>
      <c r="L194" s="176"/>
    </row>
    <row r="195" spans="8:12" ht="13.2">
      <c r="H195" s="24"/>
      <c r="K195" s="242"/>
      <c r="L195" s="176"/>
    </row>
    <row r="196" spans="8:12" ht="13.2">
      <c r="H196" s="24"/>
      <c r="K196" s="242"/>
      <c r="L196" s="176"/>
    </row>
    <row r="197" spans="8:12" ht="13.2">
      <c r="H197" s="24"/>
      <c r="K197" s="242"/>
      <c r="L197" s="176"/>
    </row>
    <row r="198" spans="8:12" ht="13.2">
      <c r="H198" s="24"/>
      <c r="K198" s="242"/>
      <c r="L198" s="176"/>
    </row>
    <row r="199" spans="8:12" ht="13.2">
      <c r="H199" s="24"/>
      <c r="K199" s="242"/>
      <c r="L199" s="176"/>
    </row>
    <row r="200" spans="8:12" ht="13.2">
      <c r="H200" s="24"/>
      <c r="K200" s="242"/>
      <c r="L200" s="176"/>
    </row>
    <row r="201" spans="8:12" ht="13.2">
      <c r="H201" s="24"/>
      <c r="K201" s="242"/>
      <c r="L201" s="176"/>
    </row>
    <row r="202" spans="8:12" ht="13.2">
      <c r="H202" s="24"/>
      <c r="K202" s="242"/>
      <c r="L202" s="176"/>
    </row>
    <row r="203" spans="8:12" ht="13.2">
      <c r="H203" s="24"/>
      <c r="K203" s="242"/>
      <c r="L203" s="176"/>
    </row>
    <row r="204" spans="8:12" ht="13.2">
      <c r="H204" s="24"/>
      <c r="K204" s="242"/>
      <c r="L204" s="176"/>
    </row>
    <row r="205" spans="8:12" ht="13.2">
      <c r="H205" s="24"/>
      <c r="K205" s="242"/>
      <c r="L205" s="176"/>
    </row>
    <row r="206" spans="8:12" ht="13.2">
      <c r="H206" s="24"/>
      <c r="K206" s="242"/>
      <c r="L206" s="176"/>
    </row>
    <row r="207" spans="8:12" ht="13.2">
      <c r="H207" s="24"/>
      <c r="K207" s="242"/>
      <c r="L207" s="176"/>
    </row>
    <row r="208" spans="8:12" ht="13.2">
      <c r="H208" s="24"/>
      <c r="K208" s="242"/>
      <c r="L208" s="176"/>
    </row>
    <row r="209" spans="8:12" ht="13.2">
      <c r="H209" s="24"/>
      <c r="K209" s="242"/>
      <c r="L209" s="176"/>
    </row>
    <row r="210" spans="8:12" ht="13.2">
      <c r="H210" s="24"/>
      <c r="K210" s="242"/>
      <c r="L210" s="176"/>
    </row>
    <row r="211" spans="8:12" ht="13.2">
      <c r="H211" s="24"/>
      <c r="K211" s="242"/>
      <c r="L211" s="176"/>
    </row>
    <row r="212" spans="8:12" ht="13.2">
      <c r="H212" s="24"/>
      <c r="K212" s="242"/>
      <c r="L212" s="176"/>
    </row>
    <row r="213" spans="8:12" ht="13.2">
      <c r="H213" s="24"/>
      <c r="K213" s="242"/>
      <c r="L213" s="176"/>
    </row>
    <row r="214" spans="8:12" ht="13.2">
      <c r="H214" s="24"/>
      <c r="K214" s="242"/>
      <c r="L214" s="176"/>
    </row>
    <row r="215" spans="8:12" ht="13.2">
      <c r="H215" s="24"/>
      <c r="K215" s="242"/>
      <c r="L215" s="176"/>
    </row>
    <row r="216" spans="8:12" ht="13.2">
      <c r="H216" s="24"/>
      <c r="K216" s="242"/>
      <c r="L216" s="176"/>
    </row>
    <row r="217" spans="8:12" ht="13.2">
      <c r="H217" s="24"/>
      <c r="K217" s="242"/>
      <c r="L217" s="176"/>
    </row>
    <row r="218" spans="8:12" ht="13.2">
      <c r="H218" s="24"/>
      <c r="K218" s="242"/>
      <c r="L218" s="176"/>
    </row>
    <row r="219" spans="8:12" ht="13.2">
      <c r="H219" s="24"/>
      <c r="K219" s="242"/>
      <c r="L219" s="176"/>
    </row>
    <row r="220" spans="8:12" ht="13.2">
      <c r="H220" s="24"/>
      <c r="K220" s="242"/>
      <c r="L220" s="176"/>
    </row>
    <row r="221" spans="8:12" ht="13.2">
      <c r="H221" s="24"/>
      <c r="K221" s="242"/>
      <c r="L221" s="176"/>
    </row>
    <row r="222" spans="8:12" ht="13.2">
      <c r="H222" s="24"/>
      <c r="K222" s="242"/>
      <c r="L222" s="176"/>
    </row>
    <row r="223" spans="8:12" ht="13.2">
      <c r="H223" s="24"/>
      <c r="K223" s="242"/>
      <c r="L223" s="176"/>
    </row>
    <row r="224" spans="8:12" ht="13.2">
      <c r="H224" s="24"/>
      <c r="K224" s="242"/>
      <c r="L224" s="176"/>
    </row>
    <row r="225" spans="8:12" ht="13.2">
      <c r="H225" s="24"/>
      <c r="K225" s="242"/>
      <c r="L225" s="176"/>
    </row>
    <row r="226" spans="8:12" ht="13.2">
      <c r="H226" s="24"/>
      <c r="K226" s="242"/>
      <c r="L226" s="176"/>
    </row>
    <row r="227" spans="8:12" ht="13.2">
      <c r="H227" s="24"/>
      <c r="K227" s="242"/>
      <c r="L227" s="176"/>
    </row>
    <row r="228" spans="8:12" ht="13.2">
      <c r="H228" s="24"/>
      <c r="K228" s="242"/>
      <c r="L228" s="176"/>
    </row>
    <row r="229" spans="8:12" ht="13.2">
      <c r="H229" s="24"/>
      <c r="K229" s="242"/>
      <c r="L229" s="176"/>
    </row>
    <row r="230" spans="8:12" ht="13.2">
      <c r="H230" s="24"/>
      <c r="K230" s="242"/>
      <c r="L230" s="176"/>
    </row>
    <row r="231" spans="8:12" ht="13.2">
      <c r="H231" s="24"/>
      <c r="K231" s="242"/>
      <c r="L231" s="176"/>
    </row>
    <row r="232" spans="8:12" ht="13.2">
      <c r="H232" s="24"/>
      <c r="K232" s="242"/>
      <c r="L232" s="176"/>
    </row>
    <row r="233" spans="8:12" ht="13.2">
      <c r="H233" s="24"/>
      <c r="K233" s="242"/>
      <c r="L233" s="176"/>
    </row>
    <row r="234" spans="8:12" ht="13.2">
      <c r="H234" s="24"/>
      <c r="K234" s="242"/>
      <c r="L234" s="176"/>
    </row>
    <row r="235" spans="8:12" ht="13.2">
      <c r="H235" s="24"/>
      <c r="K235" s="242"/>
      <c r="L235" s="176"/>
    </row>
    <row r="236" spans="8:12" ht="13.2">
      <c r="H236" s="24"/>
      <c r="K236" s="242"/>
      <c r="L236" s="176"/>
    </row>
    <row r="237" spans="8:12" ht="13.2">
      <c r="H237" s="24"/>
      <c r="K237" s="242"/>
      <c r="L237" s="176"/>
    </row>
    <row r="238" spans="8:12" ht="13.2">
      <c r="H238" s="24"/>
      <c r="K238" s="242"/>
      <c r="L238" s="176"/>
    </row>
    <row r="239" spans="8:12" ht="13.2">
      <c r="H239" s="24"/>
      <c r="K239" s="242"/>
      <c r="L239" s="176"/>
    </row>
    <row r="240" spans="8:12" ht="13.2">
      <c r="H240" s="24"/>
      <c r="K240" s="242"/>
      <c r="L240" s="176"/>
    </row>
    <row r="241" spans="8:12" ht="13.2">
      <c r="H241" s="24"/>
      <c r="K241" s="242"/>
      <c r="L241" s="176"/>
    </row>
    <row r="242" spans="8:12" ht="13.2">
      <c r="H242" s="24"/>
      <c r="K242" s="242"/>
      <c r="L242" s="176"/>
    </row>
    <row r="243" spans="8:12" ht="13.2">
      <c r="H243" s="24"/>
      <c r="K243" s="242"/>
      <c r="L243" s="176"/>
    </row>
    <row r="244" spans="8:12" ht="13.2">
      <c r="H244" s="24"/>
      <c r="K244" s="242"/>
      <c r="L244" s="176"/>
    </row>
    <row r="245" spans="8:12" ht="13.2">
      <c r="H245" s="24"/>
      <c r="K245" s="242"/>
      <c r="L245" s="176"/>
    </row>
    <row r="246" spans="8:12" ht="13.2">
      <c r="H246" s="24"/>
      <c r="K246" s="242"/>
      <c r="L246" s="176"/>
    </row>
    <row r="247" spans="8:12" ht="13.2">
      <c r="H247" s="24"/>
      <c r="K247" s="242"/>
      <c r="L247" s="176"/>
    </row>
    <row r="248" spans="8:12" ht="13.2">
      <c r="H248" s="24"/>
      <c r="K248" s="242"/>
      <c r="L248" s="176"/>
    </row>
    <row r="249" spans="8:12" ht="13.2">
      <c r="H249" s="24"/>
      <c r="K249" s="242"/>
      <c r="L249" s="176"/>
    </row>
    <row r="250" spans="8:12" ht="13.2">
      <c r="H250" s="24"/>
      <c r="K250" s="242"/>
      <c r="L250" s="176"/>
    </row>
    <row r="251" spans="8:12" ht="13.2">
      <c r="H251" s="24"/>
      <c r="K251" s="242"/>
      <c r="L251" s="176"/>
    </row>
    <row r="252" spans="8:12" ht="13.2">
      <c r="H252" s="24"/>
      <c r="K252" s="242"/>
      <c r="L252" s="176"/>
    </row>
    <row r="253" spans="8:12" ht="13.2">
      <c r="H253" s="24"/>
      <c r="K253" s="242"/>
      <c r="L253" s="176"/>
    </row>
    <row r="254" spans="8:12" ht="13.2">
      <c r="H254" s="24"/>
      <c r="K254" s="242"/>
      <c r="L254" s="176"/>
    </row>
    <row r="255" spans="8:12" ht="13.2">
      <c r="H255" s="24"/>
      <c r="K255" s="242"/>
      <c r="L255" s="176"/>
    </row>
    <row r="256" spans="8:12" ht="13.2">
      <c r="H256" s="24"/>
      <c r="K256" s="242"/>
      <c r="L256" s="176"/>
    </row>
    <row r="257" spans="8:12" ht="13.2">
      <c r="H257" s="24"/>
      <c r="K257" s="242"/>
      <c r="L257" s="176"/>
    </row>
    <row r="258" spans="8:12" ht="13.2">
      <c r="H258" s="24"/>
      <c r="K258" s="242"/>
      <c r="L258" s="176"/>
    </row>
    <row r="259" spans="8:12" ht="13.2">
      <c r="H259" s="24"/>
      <c r="K259" s="242"/>
      <c r="L259" s="176"/>
    </row>
    <row r="260" spans="8:12" ht="13.2">
      <c r="H260" s="24"/>
      <c r="K260" s="242"/>
      <c r="L260" s="176"/>
    </row>
    <row r="261" spans="8:12" ht="13.2">
      <c r="H261" s="24"/>
      <c r="K261" s="242"/>
      <c r="L261" s="176"/>
    </row>
    <row r="262" spans="8:12" ht="13.2">
      <c r="H262" s="24"/>
      <c r="K262" s="242"/>
      <c r="L262" s="176"/>
    </row>
    <row r="263" spans="8:12" ht="13.2">
      <c r="H263" s="24"/>
      <c r="K263" s="242"/>
      <c r="L263" s="176"/>
    </row>
    <row r="264" spans="8:12" ht="13.2">
      <c r="H264" s="24"/>
      <c r="K264" s="242"/>
      <c r="L264" s="176"/>
    </row>
    <row r="265" spans="8:12" ht="13.2">
      <c r="H265" s="24"/>
      <c r="K265" s="242"/>
      <c r="L265" s="176"/>
    </row>
    <row r="266" spans="8:12" ht="13.2">
      <c r="H266" s="24"/>
      <c r="K266" s="242"/>
      <c r="L266" s="176"/>
    </row>
    <row r="267" spans="8:12" ht="13.2">
      <c r="H267" s="24"/>
      <c r="K267" s="242"/>
      <c r="L267" s="176"/>
    </row>
    <row r="268" spans="8:12" ht="13.2">
      <c r="H268" s="24"/>
      <c r="K268" s="242"/>
      <c r="L268" s="176"/>
    </row>
    <row r="269" spans="8:12" ht="13.2">
      <c r="H269" s="24"/>
      <c r="K269" s="242"/>
      <c r="L269" s="176"/>
    </row>
    <row r="270" spans="8:12" ht="13.2">
      <c r="H270" s="24"/>
      <c r="K270" s="242"/>
      <c r="L270" s="176"/>
    </row>
    <row r="271" spans="8:12" ht="13.2">
      <c r="H271" s="24"/>
      <c r="K271" s="242"/>
      <c r="L271" s="176"/>
    </row>
    <row r="272" spans="8:12" ht="13.2">
      <c r="H272" s="24"/>
      <c r="K272" s="242"/>
      <c r="L272" s="176"/>
    </row>
    <row r="273" spans="8:12" ht="13.2">
      <c r="H273" s="24"/>
      <c r="K273" s="242"/>
      <c r="L273" s="176"/>
    </row>
    <row r="274" spans="8:12" ht="13.2">
      <c r="H274" s="24"/>
      <c r="K274" s="242"/>
      <c r="L274" s="176"/>
    </row>
    <row r="275" spans="8:12" ht="13.2">
      <c r="H275" s="24"/>
      <c r="K275" s="242"/>
      <c r="L275" s="176"/>
    </row>
    <row r="276" spans="8:12" ht="13.2">
      <c r="H276" s="24"/>
      <c r="K276" s="242"/>
      <c r="L276" s="176"/>
    </row>
    <row r="277" spans="8:12" ht="13.2">
      <c r="H277" s="24"/>
      <c r="K277" s="242"/>
      <c r="L277" s="176"/>
    </row>
    <row r="278" spans="8:12" ht="13.2">
      <c r="H278" s="24"/>
      <c r="K278" s="242"/>
      <c r="L278" s="176"/>
    </row>
    <row r="279" spans="8:12" ht="13.2">
      <c r="H279" s="24"/>
      <c r="K279" s="242"/>
      <c r="L279" s="176"/>
    </row>
    <row r="280" spans="8:12" ht="13.2">
      <c r="H280" s="24"/>
      <c r="K280" s="242"/>
      <c r="L280" s="176"/>
    </row>
    <row r="281" spans="8:12" ht="13.2">
      <c r="H281" s="24"/>
      <c r="K281" s="242"/>
      <c r="L281" s="176"/>
    </row>
    <row r="282" spans="8:12" ht="13.2">
      <c r="H282" s="24"/>
      <c r="K282" s="242"/>
      <c r="L282" s="176"/>
    </row>
    <row r="283" spans="8:12" ht="13.2">
      <c r="H283" s="24"/>
      <c r="K283" s="242"/>
      <c r="L283" s="176"/>
    </row>
    <row r="284" spans="8:12" ht="13.2">
      <c r="H284" s="24"/>
      <c r="K284" s="242"/>
      <c r="L284" s="176"/>
    </row>
    <row r="285" spans="8:12" ht="13.2">
      <c r="H285" s="24"/>
      <c r="K285" s="242"/>
      <c r="L285" s="176"/>
    </row>
    <row r="286" spans="8:12" ht="13.2">
      <c r="H286" s="24"/>
      <c r="K286" s="242"/>
      <c r="L286" s="176"/>
    </row>
    <row r="287" spans="8:12" ht="13.2">
      <c r="H287" s="24"/>
      <c r="K287" s="242"/>
      <c r="L287" s="176"/>
    </row>
    <row r="288" spans="8:12" ht="13.2">
      <c r="H288" s="24"/>
      <c r="K288" s="242"/>
      <c r="L288" s="176"/>
    </row>
    <row r="289" spans="8:12" ht="13.2">
      <c r="H289" s="24"/>
      <c r="K289" s="242"/>
      <c r="L289" s="176"/>
    </row>
    <row r="290" spans="8:12" ht="13.2">
      <c r="H290" s="24"/>
      <c r="K290" s="242"/>
      <c r="L290" s="176"/>
    </row>
    <row r="291" spans="8:12" ht="13.2">
      <c r="H291" s="24"/>
      <c r="K291" s="242"/>
      <c r="L291" s="176"/>
    </row>
    <row r="292" spans="8:12" ht="13.2">
      <c r="H292" s="24"/>
      <c r="K292" s="242"/>
      <c r="L292" s="176"/>
    </row>
    <row r="293" spans="8:12" ht="13.2">
      <c r="H293" s="24"/>
      <c r="K293" s="242"/>
      <c r="L293" s="176"/>
    </row>
    <row r="294" spans="8:12" ht="13.2">
      <c r="H294" s="24"/>
      <c r="K294" s="242"/>
      <c r="L294" s="176"/>
    </row>
    <row r="295" spans="8:12" ht="13.2">
      <c r="H295" s="24"/>
      <c r="K295" s="242"/>
      <c r="L295" s="176"/>
    </row>
    <row r="296" spans="8:12" ht="13.2">
      <c r="H296" s="24"/>
      <c r="K296" s="242"/>
      <c r="L296" s="176"/>
    </row>
    <row r="297" spans="8:12" ht="13.2">
      <c r="H297" s="24"/>
      <c r="K297" s="242"/>
      <c r="L297" s="176"/>
    </row>
    <row r="298" spans="8:12" ht="13.2">
      <c r="H298" s="24"/>
      <c r="K298" s="242"/>
      <c r="L298" s="176"/>
    </row>
    <row r="299" spans="8:12" ht="13.2">
      <c r="H299" s="24"/>
      <c r="K299" s="242"/>
      <c r="L299" s="176"/>
    </row>
    <row r="300" spans="8:12" ht="13.2">
      <c r="H300" s="24"/>
      <c r="K300" s="242"/>
      <c r="L300" s="176"/>
    </row>
    <row r="301" spans="8:12" ht="13.2">
      <c r="H301" s="24"/>
      <c r="K301" s="242"/>
      <c r="L301" s="176"/>
    </row>
    <row r="302" spans="8:12" ht="13.2">
      <c r="H302" s="24"/>
      <c r="K302" s="242"/>
      <c r="L302" s="176"/>
    </row>
    <row r="303" spans="8:12" ht="13.2">
      <c r="H303" s="24"/>
      <c r="K303" s="242"/>
      <c r="L303" s="176"/>
    </row>
    <row r="304" spans="8:12" ht="13.2">
      <c r="H304" s="24"/>
      <c r="K304" s="242"/>
      <c r="L304" s="176"/>
    </row>
    <row r="305" spans="8:12" ht="13.2">
      <c r="H305" s="24"/>
      <c r="K305" s="242"/>
      <c r="L305" s="176"/>
    </row>
    <row r="306" spans="8:12" ht="13.2">
      <c r="H306" s="24"/>
      <c r="K306" s="242"/>
      <c r="L306" s="176"/>
    </row>
    <row r="307" spans="8:12" ht="13.2">
      <c r="H307" s="24"/>
      <c r="K307" s="242"/>
      <c r="L307" s="176"/>
    </row>
    <row r="308" spans="8:12" ht="13.2">
      <c r="H308" s="24"/>
      <c r="K308" s="242"/>
      <c r="L308" s="176"/>
    </row>
    <row r="309" spans="8:12" ht="13.2">
      <c r="H309" s="24"/>
      <c r="K309" s="242"/>
      <c r="L309" s="176"/>
    </row>
    <row r="310" spans="8:12" ht="13.2">
      <c r="H310" s="24"/>
      <c r="K310" s="242"/>
      <c r="L310" s="176"/>
    </row>
    <row r="311" spans="8:12" ht="13.2">
      <c r="H311" s="24"/>
      <c r="K311" s="242"/>
      <c r="L311" s="176"/>
    </row>
    <row r="312" spans="8:12" ht="13.2">
      <c r="H312" s="24"/>
      <c r="K312" s="242"/>
      <c r="L312" s="176"/>
    </row>
    <row r="313" spans="8:12" ht="13.2">
      <c r="H313" s="24"/>
      <c r="K313" s="242"/>
      <c r="L313" s="176"/>
    </row>
    <row r="314" spans="8:12" ht="13.2">
      <c r="H314" s="24"/>
      <c r="K314" s="242"/>
      <c r="L314" s="176"/>
    </row>
    <row r="315" spans="8:12" ht="13.2">
      <c r="H315" s="24"/>
      <c r="K315" s="242"/>
      <c r="L315" s="176"/>
    </row>
    <row r="316" spans="8:12" ht="13.2">
      <c r="H316" s="24"/>
      <c r="K316" s="242"/>
      <c r="L316" s="176"/>
    </row>
    <row r="317" spans="8:12" ht="13.2">
      <c r="H317" s="24"/>
      <c r="K317" s="242"/>
      <c r="L317" s="176"/>
    </row>
    <row r="318" spans="8:12" ht="13.2">
      <c r="H318" s="24"/>
      <c r="K318" s="242"/>
      <c r="L318" s="176"/>
    </row>
    <row r="319" spans="8:12" ht="13.2">
      <c r="H319" s="24"/>
      <c r="K319" s="242"/>
      <c r="L319" s="176"/>
    </row>
    <row r="320" spans="8:12" ht="13.2">
      <c r="H320" s="24"/>
      <c r="K320" s="242"/>
      <c r="L320" s="176"/>
    </row>
    <row r="321" spans="8:12" ht="13.2">
      <c r="H321" s="24"/>
      <c r="K321" s="242"/>
      <c r="L321" s="176"/>
    </row>
    <row r="322" spans="8:12" ht="13.2">
      <c r="H322" s="24"/>
      <c r="K322" s="242"/>
      <c r="L322" s="176"/>
    </row>
    <row r="323" spans="8:12" ht="13.2">
      <c r="H323" s="24"/>
      <c r="K323" s="242"/>
      <c r="L323" s="176"/>
    </row>
    <row r="324" spans="8:12" ht="13.2">
      <c r="H324" s="24"/>
      <c r="K324" s="242"/>
      <c r="L324" s="176"/>
    </row>
    <row r="325" spans="8:12" ht="13.2">
      <c r="H325" s="24"/>
      <c r="K325" s="242"/>
      <c r="L325" s="176"/>
    </row>
    <row r="326" spans="8:12" ht="13.2">
      <c r="H326" s="24"/>
      <c r="K326" s="242"/>
      <c r="L326" s="176"/>
    </row>
    <row r="327" spans="8:12" ht="13.2">
      <c r="H327" s="24"/>
      <c r="K327" s="242"/>
      <c r="L327" s="176"/>
    </row>
    <row r="328" spans="8:12" ht="13.2">
      <c r="H328" s="24"/>
      <c r="K328" s="242"/>
      <c r="L328" s="176"/>
    </row>
    <row r="329" spans="8:12" ht="13.2">
      <c r="H329" s="24"/>
      <c r="K329" s="242"/>
      <c r="L329" s="176"/>
    </row>
    <row r="330" spans="8:12" ht="13.2">
      <c r="H330" s="24"/>
      <c r="K330" s="242"/>
      <c r="L330" s="176"/>
    </row>
    <row r="331" spans="8:12" ht="13.2">
      <c r="H331" s="24"/>
      <c r="K331" s="242"/>
      <c r="L331" s="176"/>
    </row>
    <row r="332" spans="8:12" ht="13.2">
      <c r="H332" s="24"/>
      <c r="K332" s="242"/>
      <c r="L332" s="176"/>
    </row>
    <row r="333" spans="8:12" ht="13.2">
      <c r="H333" s="24"/>
      <c r="K333" s="242"/>
      <c r="L333" s="176"/>
    </row>
    <row r="334" spans="8:12" ht="13.2">
      <c r="H334" s="24"/>
      <c r="K334" s="242"/>
      <c r="L334" s="176"/>
    </row>
    <row r="335" spans="8:12" ht="13.2">
      <c r="H335" s="24"/>
      <c r="K335" s="242"/>
      <c r="L335" s="176"/>
    </row>
    <row r="336" spans="8:12" ht="13.2">
      <c r="H336" s="24"/>
      <c r="K336" s="242"/>
      <c r="L336" s="176"/>
    </row>
    <row r="337" spans="8:12" ht="13.2">
      <c r="H337" s="24"/>
      <c r="K337" s="242"/>
      <c r="L337" s="176"/>
    </row>
    <row r="338" spans="8:12" ht="13.2">
      <c r="H338" s="24"/>
      <c r="K338" s="242"/>
      <c r="L338" s="176"/>
    </row>
    <row r="339" spans="8:12" ht="13.2">
      <c r="H339" s="24"/>
      <c r="K339" s="242"/>
      <c r="L339" s="176"/>
    </row>
    <row r="340" spans="8:12" ht="13.2">
      <c r="H340" s="24"/>
      <c r="K340" s="242"/>
      <c r="L340" s="176"/>
    </row>
    <row r="341" spans="8:12" ht="13.2">
      <c r="H341" s="24"/>
      <c r="K341" s="242"/>
      <c r="L341" s="176"/>
    </row>
    <row r="342" spans="8:12" ht="13.2">
      <c r="H342" s="24"/>
      <c r="K342" s="242"/>
      <c r="L342" s="176"/>
    </row>
    <row r="343" spans="8:12" ht="13.2">
      <c r="H343" s="24"/>
      <c r="K343" s="242"/>
      <c r="L343" s="176"/>
    </row>
    <row r="344" spans="8:12" ht="13.2">
      <c r="H344" s="24"/>
      <c r="K344" s="242"/>
      <c r="L344" s="176"/>
    </row>
    <row r="345" spans="8:12" ht="13.2">
      <c r="H345" s="24"/>
      <c r="K345" s="242"/>
      <c r="L345" s="176"/>
    </row>
    <row r="346" spans="8:12" ht="13.2">
      <c r="H346" s="24"/>
      <c r="K346" s="242"/>
      <c r="L346" s="176"/>
    </row>
    <row r="347" spans="8:12" ht="13.2">
      <c r="H347" s="24"/>
      <c r="K347" s="242"/>
      <c r="L347" s="176"/>
    </row>
    <row r="348" spans="8:12" ht="13.2">
      <c r="H348" s="24"/>
      <c r="K348" s="242"/>
      <c r="L348" s="176"/>
    </row>
    <row r="349" spans="8:12" ht="13.2">
      <c r="H349" s="24"/>
      <c r="K349" s="242"/>
      <c r="L349" s="176"/>
    </row>
    <row r="350" spans="8:12" ht="13.2">
      <c r="H350" s="24"/>
      <c r="K350" s="242"/>
      <c r="L350" s="176"/>
    </row>
    <row r="351" spans="8:12" ht="13.2">
      <c r="H351" s="24"/>
      <c r="K351" s="242"/>
      <c r="L351" s="176"/>
    </row>
    <row r="352" spans="8:12" ht="13.2">
      <c r="H352" s="24"/>
      <c r="K352" s="242"/>
      <c r="L352" s="176"/>
    </row>
    <row r="353" spans="8:12" ht="13.2">
      <c r="H353" s="24"/>
      <c r="K353" s="242"/>
      <c r="L353" s="176"/>
    </row>
    <row r="354" spans="8:12" ht="13.2">
      <c r="H354" s="24"/>
      <c r="K354" s="242"/>
      <c r="L354" s="176"/>
    </row>
    <row r="355" spans="8:12" ht="13.2">
      <c r="H355" s="24"/>
      <c r="K355" s="242"/>
      <c r="L355" s="176"/>
    </row>
    <row r="356" spans="8:12" ht="13.2">
      <c r="H356" s="24"/>
      <c r="K356" s="242"/>
      <c r="L356" s="176"/>
    </row>
    <row r="357" spans="8:12" ht="13.2">
      <c r="H357" s="24"/>
      <c r="K357" s="242"/>
      <c r="L357" s="176"/>
    </row>
    <row r="358" spans="8:12" ht="13.2">
      <c r="H358" s="24"/>
      <c r="K358" s="242"/>
      <c r="L358" s="176"/>
    </row>
    <row r="359" spans="8:12" ht="13.2">
      <c r="H359" s="24"/>
      <c r="K359" s="242"/>
      <c r="L359" s="176"/>
    </row>
    <row r="360" spans="8:12" ht="13.2">
      <c r="H360" s="24"/>
      <c r="K360" s="242"/>
      <c r="L360" s="176"/>
    </row>
    <row r="361" spans="8:12" ht="13.2">
      <c r="H361" s="24"/>
      <c r="K361" s="242"/>
      <c r="L361" s="176"/>
    </row>
    <row r="362" spans="8:12" ht="13.2">
      <c r="H362" s="24"/>
      <c r="K362" s="242"/>
      <c r="L362" s="176"/>
    </row>
    <row r="363" spans="8:12" ht="13.2">
      <c r="H363" s="24"/>
      <c r="K363" s="242"/>
      <c r="L363" s="176"/>
    </row>
    <row r="364" spans="8:12" ht="13.2">
      <c r="H364" s="24"/>
      <c r="K364" s="242"/>
      <c r="L364" s="176"/>
    </row>
    <row r="365" spans="8:12" ht="13.2">
      <c r="H365" s="24"/>
      <c r="K365" s="242"/>
      <c r="L365" s="176"/>
    </row>
    <row r="366" spans="8:12" ht="13.2">
      <c r="H366" s="24"/>
      <c r="K366" s="242"/>
      <c r="L366" s="176"/>
    </row>
    <row r="367" spans="8:12" ht="13.2">
      <c r="H367" s="24"/>
      <c r="K367" s="242"/>
      <c r="L367" s="176"/>
    </row>
    <row r="368" spans="8:12" ht="13.2">
      <c r="H368" s="24"/>
      <c r="K368" s="242"/>
      <c r="L368" s="176"/>
    </row>
    <row r="369" spans="8:12" ht="13.2">
      <c r="H369" s="24"/>
      <c r="K369" s="242"/>
      <c r="L369" s="176"/>
    </row>
    <row r="370" spans="8:12" ht="13.2">
      <c r="H370" s="24"/>
      <c r="K370" s="242"/>
      <c r="L370" s="176"/>
    </row>
    <row r="371" spans="8:12" ht="13.2">
      <c r="H371" s="24"/>
      <c r="K371" s="242"/>
      <c r="L371" s="176"/>
    </row>
    <row r="372" spans="8:12" ht="13.2">
      <c r="H372" s="24"/>
      <c r="K372" s="242"/>
      <c r="L372" s="176"/>
    </row>
    <row r="373" spans="8:12" ht="13.2">
      <c r="H373" s="24"/>
      <c r="K373" s="242"/>
      <c r="L373" s="176"/>
    </row>
    <row r="374" spans="8:12" ht="13.2">
      <c r="H374" s="24"/>
      <c r="K374" s="242"/>
      <c r="L374" s="176"/>
    </row>
    <row r="375" spans="8:12" ht="13.2">
      <c r="H375" s="24"/>
      <c r="K375" s="242"/>
      <c r="L375" s="176"/>
    </row>
    <row r="376" spans="8:12" ht="13.2">
      <c r="H376" s="24"/>
      <c r="K376" s="242"/>
      <c r="L376" s="176"/>
    </row>
    <row r="377" spans="8:12" ht="13.2">
      <c r="H377" s="24"/>
      <c r="K377" s="242"/>
      <c r="L377" s="176"/>
    </row>
    <row r="378" spans="8:12" ht="13.2">
      <c r="H378" s="24"/>
      <c r="K378" s="242"/>
      <c r="L378" s="176"/>
    </row>
    <row r="379" spans="8:12" ht="13.2">
      <c r="H379" s="24"/>
      <c r="K379" s="242"/>
      <c r="L379" s="176"/>
    </row>
    <row r="380" spans="8:12" ht="13.2">
      <c r="H380" s="24"/>
      <c r="K380" s="242"/>
      <c r="L380" s="176"/>
    </row>
    <row r="381" spans="8:12" ht="13.2">
      <c r="H381" s="24"/>
      <c r="K381" s="242"/>
      <c r="L381" s="176"/>
    </row>
    <row r="382" spans="8:12" ht="13.2">
      <c r="H382" s="24"/>
      <c r="K382" s="242"/>
      <c r="L382" s="176"/>
    </row>
    <row r="383" spans="8:12" ht="13.2">
      <c r="H383" s="24"/>
      <c r="K383" s="242"/>
      <c r="L383" s="176"/>
    </row>
    <row r="384" spans="8:12" ht="13.2">
      <c r="H384" s="24"/>
      <c r="K384" s="242"/>
      <c r="L384" s="176"/>
    </row>
    <row r="385" spans="8:12" ht="13.2">
      <c r="H385" s="24"/>
      <c r="K385" s="242"/>
      <c r="L385" s="176"/>
    </row>
    <row r="386" spans="8:12" ht="13.2">
      <c r="H386" s="24"/>
      <c r="K386" s="242"/>
      <c r="L386" s="176"/>
    </row>
    <row r="387" spans="8:12" ht="13.2">
      <c r="H387" s="24"/>
      <c r="K387" s="242"/>
      <c r="L387" s="176"/>
    </row>
    <row r="388" spans="8:12" ht="13.2">
      <c r="H388" s="24"/>
      <c r="K388" s="242"/>
      <c r="L388" s="176"/>
    </row>
    <row r="389" spans="8:12" ht="13.2">
      <c r="H389" s="24"/>
      <c r="K389" s="242"/>
      <c r="L389" s="176"/>
    </row>
    <row r="390" spans="8:12" ht="13.2">
      <c r="H390" s="24"/>
      <c r="K390" s="242"/>
      <c r="L390" s="176"/>
    </row>
    <row r="391" spans="8:12" ht="13.2">
      <c r="H391" s="24"/>
      <c r="K391" s="242"/>
      <c r="L391" s="176"/>
    </row>
    <row r="392" spans="8:12" ht="13.2">
      <c r="H392" s="24"/>
      <c r="K392" s="242"/>
      <c r="L392" s="176"/>
    </row>
    <row r="393" spans="8:12" ht="13.2">
      <c r="H393" s="24"/>
      <c r="K393" s="242"/>
      <c r="L393" s="176"/>
    </row>
    <row r="394" spans="8:12" ht="13.2">
      <c r="H394" s="24"/>
      <c r="K394" s="242"/>
      <c r="L394" s="176"/>
    </row>
    <row r="395" spans="8:12" ht="13.2">
      <c r="H395" s="24"/>
      <c r="K395" s="242"/>
      <c r="L395" s="176"/>
    </row>
    <row r="396" spans="8:12" ht="13.2">
      <c r="H396" s="24"/>
      <c r="K396" s="242"/>
      <c r="L396" s="176"/>
    </row>
    <row r="397" spans="8:12" ht="13.2">
      <c r="H397" s="24"/>
      <c r="K397" s="242"/>
      <c r="L397" s="176"/>
    </row>
    <row r="398" spans="8:12" ht="13.2">
      <c r="H398" s="24"/>
      <c r="K398" s="242"/>
      <c r="L398" s="176"/>
    </row>
    <row r="399" spans="8:12" ht="13.2">
      <c r="H399" s="24"/>
      <c r="K399" s="242"/>
      <c r="L399" s="176"/>
    </row>
    <row r="400" spans="8:12" ht="13.2">
      <c r="H400" s="24"/>
      <c r="K400" s="242"/>
      <c r="L400" s="176"/>
    </row>
    <row r="401" spans="8:12" ht="13.2">
      <c r="H401" s="24"/>
      <c r="K401" s="242"/>
      <c r="L401" s="176"/>
    </row>
    <row r="402" spans="8:12" ht="13.2">
      <c r="H402" s="24"/>
      <c r="K402" s="242"/>
      <c r="L402" s="176"/>
    </row>
    <row r="403" spans="8:12" ht="13.2">
      <c r="H403" s="24"/>
      <c r="K403" s="242"/>
      <c r="L403" s="176"/>
    </row>
    <row r="404" spans="8:12" ht="13.2">
      <c r="H404" s="24"/>
      <c r="K404" s="242"/>
      <c r="L404" s="176"/>
    </row>
    <row r="405" spans="8:12" ht="13.2">
      <c r="H405" s="24"/>
      <c r="K405" s="242"/>
      <c r="L405" s="176"/>
    </row>
    <row r="406" spans="8:12" ht="13.2">
      <c r="H406" s="24"/>
      <c r="K406" s="242"/>
      <c r="L406" s="176"/>
    </row>
    <row r="407" spans="8:12" ht="13.2">
      <c r="H407" s="24"/>
      <c r="K407" s="242"/>
      <c r="L407" s="176"/>
    </row>
    <row r="408" spans="8:12" ht="13.2">
      <c r="H408" s="24"/>
      <c r="K408" s="242"/>
      <c r="L408" s="176"/>
    </row>
    <row r="409" spans="8:12" ht="13.2">
      <c r="H409" s="24"/>
      <c r="K409" s="242"/>
      <c r="L409" s="176"/>
    </row>
    <row r="410" spans="8:12" ht="13.2">
      <c r="H410" s="24"/>
      <c r="K410" s="242"/>
      <c r="L410" s="176"/>
    </row>
    <row r="411" spans="8:12" ht="13.2">
      <c r="H411" s="24"/>
      <c r="K411" s="242"/>
      <c r="L411" s="176"/>
    </row>
    <row r="412" spans="8:12" ht="13.2">
      <c r="H412" s="24"/>
      <c r="K412" s="242"/>
      <c r="L412" s="176"/>
    </row>
    <row r="413" spans="8:12" ht="13.2">
      <c r="H413" s="24"/>
      <c r="K413" s="242"/>
      <c r="L413" s="176"/>
    </row>
    <row r="414" spans="8:12" ht="13.2">
      <c r="H414" s="24"/>
      <c r="K414" s="242"/>
      <c r="L414" s="176"/>
    </row>
    <row r="415" spans="8:12" ht="13.2">
      <c r="H415" s="24"/>
      <c r="K415" s="242"/>
      <c r="L415" s="176"/>
    </row>
    <row r="416" spans="8:12" ht="13.2">
      <c r="H416" s="24"/>
      <c r="K416" s="242"/>
      <c r="L416" s="176"/>
    </row>
    <row r="417" spans="8:12" ht="13.2">
      <c r="H417" s="24"/>
      <c r="K417" s="242"/>
      <c r="L417" s="176"/>
    </row>
    <row r="418" spans="8:12" ht="13.2">
      <c r="H418" s="24"/>
      <c r="K418" s="242"/>
      <c r="L418" s="176"/>
    </row>
    <row r="419" spans="8:12" ht="13.2">
      <c r="H419" s="24"/>
      <c r="K419" s="242"/>
      <c r="L419" s="176"/>
    </row>
    <row r="420" spans="8:12" ht="13.2">
      <c r="H420" s="24"/>
      <c r="K420" s="242"/>
      <c r="L420" s="176"/>
    </row>
    <row r="421" spans="8:12" ht="13.2">
      <c r="H421" s="24"/>
      <c r="K421" s="242"/>
      <c r="L421" s="176"/>
    </row>
    <row r="422" spans="8:12" ht="13.2">
      <c r="H422" s="24"/>
      <c r="K422" s="242"/>
      <c r="L422" s="176"/>
    </row>
    <row r="423" spans="8:12" ht="13.2">
      <c r="H423" s="24"/>
      <c r="K423" s="242"/>
      <c r="L423" s="176"/>
    </row>
    <row r="424" spans="8:12" ht="13.2">
      <c r="H424" s="24"/>
      <c r="K424" s="242"/>
      <c r="L424" s="176"/>
    </row>
    <row r="425" spans="8:12" ht="13.2">
      <c r="H425" s="24"/>
      <c r="K425" s="242"/>
      <c r="L425" s="176"/>
    </row>
    <row r="426" spans="8:12" ht="13.2">
      <c r="H426" s="24"/>
      <c r="K426" s="242"/>
      <c r="L426" s="176"/>
    </row>
    <row r="427" spans="8:12" ht="13.2">
      <c r="H427" s="24"/>
      <c r="K427" s="242"/>
      <c r="L427" s="176"/>
    </row>
    <row r="428" spans="8:12" ht="13.2">
      <c r="H428" s="24"/>
      <c r="K428" s="242"/>
      <c r="L428" s="176"/>
    </row>
    <row r="429" spans="8:12" ht="13.2">
      <c r="H429" s="24"/>
      <c r="K429" s="242"/>
      <c r="L429" s="176"/>
    </row>
    <row r="430" spans="8:12" ht="13.2">
      <c r="H430" s="24"/>
      <c r="K430" s="242"/>
      <c r="L430" s="176"/>
    </row>
    <row r="431" spans="8:12" ht="13.2">
      <c r="H431" s="24"/>
      <c r="K431" s="242"/>
      <c r="L431" s="176"/>
    </row>
    <row r="432" spans="8:12" ht="13.2">
      <c r="H432" s="24"/>
      <c r="K432" s="242"/>
      <c r="L432" s="176"/>
    </row>
    <row r="433" spans="8:12" ht="13.2">
      <c r="H433" s="24"/>
      <c r="K433" s="242"/>
      <c r="L433" s="176"/>
    </row>
    <row r="434" spans="8:12" ht="13.2">
      <c r="H434" s="24"/>
      <c r="K434" s="242"/>
      <c r="L434" s="176"/>
    </row>
    <row r="435" spans="8:12" ht="13.2">
      <c r="H435" s="24"/>
      <c r="K435" s="242"/>
      <c r="L435" s="176"/>
    </row>
    <row r="436" spans="8:12" ht="13.2">
      <c r="H436" s="24"/>
      <c r="K436" s="242"/>
      <c r="L436" s="176"/>
    </row>
    <row r="437" spans="8:12" ht="13.2">
      <c r="H437" s="24"/>
      <c r="K437" s="242"/>
      <c r="L437" s="176"/>
    </row>
    <row r="438" spans="8:12" ht="13.2">
      <c r="H438" s="24"/>
      <c r="K438" s="242"/>
      <c r="L438" s="176"/>
    </row>
    <row r="439" spans="8:12" ht="13.2">
      <c r="H439" s="24"/>
      <c r="K439" s="242"/>
      <c r="L439" s="176"/>
    </row>
    <row r="440" spans="8:12" ht="13.2">
      <c r="H440" s="24"/>
      <c r="K440" s="242"/>
      <c r="L440" s="176"/>
    </row>
    <row r="441" spans="8:12" ht="13.2">
      <c r="H441" s="24"/>
      <c r="K441" s="242"/>
      <c r="L441" s="176"/>
    </row>
    <row r="442" spans="8:12" ht="13.2">
      <c r="H442" s="24"/>
      <c r="K442" s="242"/>
      <c r="L442" s="176"/>
    </row>
    <row r="443" spans="8:12" ht="13.2">
      <c r="H443" s="24"/>
      <c r="K443" s="242"/>
      <c r="L443" s="176"/>
    </row>
    <row r="444" spans="8:12" ht="13.2">
      <c r="H444" s="24"/>
      <c r="K444" s="242"/>
      <c r="L444" s="176"/>
    </row>
    <row r="445" spans="8:12" ht="13.2">
      <c r="H445" s="24"/>
      <c r="K445" s="242"/>
      <c r="L445" s="176"/>
    </row>
    <row r="446" spans="8:12" ht="13.2">
      <c r="H446" s="24"/>
      <c r="K446" s="242"/>
      <c r="L446" s="176"/>
    </row>
    <row r="447" spans="8:12" ht="13.2">
      <c r="H447" s="24"/>
      <c r="K447" s="242"/>
      <c r="L447" s="176"/>
    </row>
    <row r="448" spans="8:12" ht="13.2">
      <c r="H448" s="24"/>
      <c r="K448" s="242"/>
      <c r="L448" s="176"/>
    </row>
    <row r="449" spans="8:12" ht="13.2">
      <c r="H449" s="24"/>
      <c r="K449" s="242"/>
      <c r="L449" s="176"/>
    </row>
    <row r="450" spans="8:12" ht="13.2">
      <c r="H450" s="24"/>
      <c r="K450" s="242"/>
      <c r="L450" s="176"/>
    </row>
    <row r="451" spans="8:12" ht="13.2">
      <c r="H451" s="24"/>
      <c r="K451" s="242"/>
      <c r="L451" s="176"/>
    </row>
    <row r="452" spans="8:12" ht="13.2">
      <c r="H452" s="24"/>
      <c r="K452" s="242"/>
      <c r="L452" s="176"/>
    </row>
    <row r="453" spans="8:12" ht="13.2">
      <c r="H453" s="24"/>
      <c r="K453" s="242"/>
      <c r="L453" s="176"/>
    </row>
    <row r="454" spans="8:12" ht="13.2">
      <c r="H454" s="24"/>
      <c r="K454" s="242"/>
      <c r="L454" s="176"/>
    </row>
    <row r="455" spans="8:12" ht="13.2">
      <c r="H455" s="24"/>
      <c r="K455" s="242"/>
      <c r="L455" s="176"/>
    </row>
    <row r="456" spans="8:12" ht="13.2">
      <c r="H456" s="24"/>
      <c r="K456" s="242"/>
      <c r="L456" s="176"/>
    </row>
    <row r="457" spans="8:12" ht="13.2">
      <c r="H457" s="24"/>
      <c r="K457" s="242"/>
      <c r="L457" s="176"/>
    </row>
    <row r="458" spans="8:12" ht="13.2">
      <c r="H458" s="24"/>
      <c r="K458" s="242"/>
      <c r="L458" s="176"/>
    </row>
    <row r="459" spans="8:12" ht="13.2">
      <c r="H459" s="24"/>
      <c r="K459" s="242"/>
      <c r="L459" s="176"/>
    </row>
    <row r="460" spans="8:12" ht="13.2">
      <c r="H460" s="24"/>
      <c r="K460" s="242"/>
      <c r="L460" s="176"/>
    </row>
    <row r="461" spans="8:12" ht="13.2">
      <c r="H461" s="24"/>
      <c r="K461" s="242"/>
      <c r="L461" s="176"/>
    </row>
    <row r="462" spans="8:12" ht="13.2">
      <c r="H462" s="24"/>
      <c r="K462" s="242"/>
      <c r="L462" s="176"/>
    </row>
    <row r="463" spans="8:12" ht="13.2">
      <c r="H463" s="24"/>
      <c r="K463" s="242"/>
      <c r="L463" s="176"/>
    </row>
    <row r="464" spans="8:12" ht="13.2">
      <c r="H464" s="24"/>
      <c r="K464" s="242"/>
      <c r="L464" s="176"/>
    </row>
    <row r="465" spans="8:12" ht="13.2">
      <c r="H465" s="24"/>
      <c r="K465" s="242"/>
      <c r="L465" s="176"/>
    </row>
    <row r="466" spans="8:12" ht="13.2">
      <c r="H466" s="24"/>
      <c r="K466" s="242"/>
      <c r="L466" s="176"/>
    </row>
    <row r="467" spans="8:12" ht="13.2">
      <c r="H467" s="24"/>
      <c r="K467" s="242"/>
      <c r="L467" s="176"/>
    </row>
    <row r="468" spans="8:12" ht="13.2">
      <c r="H468" s="24"/>
      <c r="K468" s="242"/>
      <c r="L468" s="176"/>
    </row>
    <row r="469" spans="8:12" ht="13.2">
      <c r="H469" s="24"/>
      <c r="K469" s="242"/>
      <c r="L469" s="176"/>
    </row>
    <row r="470" spans="8:12" ht="13.2">
      <c r="H470" s="24"/>
      <c r="K470" s="242"/>
      <c r="L470" s="176"/>
    </row>
    <row r="471" spans="8:12" ht="13.2">
      <c r="H471" s="24"/>
      <c r="K471" s="242"/>
      <c r="L471" s="176"/>
    </row>
    <row r="472" spans="8:12" ht="13.2">
      <c r="H472" s="24"/>
      <c r="K472" s="242"/>
      <c r="L472" s="176"/>
    </row>
    <row r="473" spans="8:12" ht="13.2">
      <c r="H473" s="24"/>
      <c r="K473" s="242"/>
      <c r="L473" s="176"/>
    </row>
    <row r="474" spans="8:12" ht="13.2">
      <c r="H474" s="24"/>
      <c r="K474" s="242"/>
      <c r="L474" s="176"/>
    </row>
    <row r="475" spans="8:12" ht="13.2">
      <c r="H475" s="24"/>
      <c r="K475" s="242"/>
      <c r="L475" s="176"/>
    </row>
    <row r="476" spans="8:12" ht="13.2">
      <c r="H476" s="24"/>
      <c r="K476" s="242"/>
      <c r="L476" s="176"/>
    </row>
    <row r="477" spans="8:12" ht="13.2">
      <c r="H477" s="24"/>
      <c r="K477" s="242"/>
      <c r="L477" s="176"/>
    </row>
    <row r="478" spans="8:12" ht="13.2">
      <c r="H478" s="24"/>
      <c r="K478" s="242"/>
      <c r="L478" s="176"/>
    </row>
    <row r="479" spans="8:12" ht="13.2">
      <c r="H479" s="24"/>
      <c r="K479" s="242"/>
      <c r="L479" s="176"/>
    </row>
    <row r="480" spans="8:12" ht="13.2">
      <c r="H480" s="24"/>
      <c r="K480" s="242"/>
      <c r="L480" s="176"/>
    </row>
    <row r="481" spans="8:12" ht="13.2">
      <c r="H481" s="24"/>
      <c r="K481" s="242"/>
      <c r="L481" s="176"/>
    </row>
    <row r="482" spans="8:12" ht="13.2">
      <c r="H482" s="24"/>
      <c r="K482" s="242"/>
      <c r="L482" s="176"/>
    </row>
    <row r="483" spans="8:12" ht="13.2">
      <c r="H483" s="24"/>
      <c r="K483" s="242"/>
      <c r="L483" s="176"/>
    </row>
    <row r="484" spans="8:12" ht="13.2">
      <c r="H484" s="24"/>
      <c r="K484" s="242"/>
      <c r="L484" s="176"/>
    </row>
    <row r="485" spans="8:12" ht="13.2">
      <c r="H485" s="24"/>
      <c r="K485" s="242"/>
      <c r="L485" s="176"/>
    </row>
    <row r="486" spans="8:12" ht="13.2">
      <c r="H486" s="24"/>
      <c r="K486" s="242"/>
      <c r="L486" s="176"/>
    </row>
    <row r="487" spans="8:12" ht="13.2">
      <c r="H487" s="24"/>
      <c r="K487" s="242"/>
      <c r="L487" s="176"/>
    </row>
    <row r="488" spans="8:12" ht="13.2">
      <c r="H488" s="24"/>
      <c r="K488" s="242"/>
      <c r="L488" s="176"/>
    </row>
    <row r="489" spans="8:12" ht="13.2">
      <c r="H489" s="24"/>
      <c r="K489" s="242"/>
      <c r="L489" s="176"/>
    </row>
    <row r="490" spans="8:12" ht="13.2">
      <c r="H490" s="24"/>
      <c r="K490" s="242"/>
      <c r="L490" s="176"/>
    </row>
    <row r="491" spans="8:12" ht="13.2">
      <c r="H491" s="24"/>
      <c r="K491" s="242"/>
      <c r="L491" s="176"/>
    </row>
    <row r="492" spans="8:12" ht="13.2">
      <c r="H492" s="24"/>
      <c r="K492" s="242"/>
      <c r="L492" s="176"/>
    </row>
    <row r="493" spans="8:12" ht="13.2">
      <c r="H493" s="24"/>
      <c r="K493" s="242"/>
      <c r="L493" s="176"/>
    </row>
    <row r="494" spans="8:12" ht="13.2">
      <c r="H494" s="24"/>
      <c r="K494" s="242"/>
      <c r="L494" s="176"/>
    </row>
    <row r="495" spans="8:12" ht="13.2">
      <c r="H495" s="24"/>
      <c r="K495" s="242"/>
      <c r="L495" s="176"/>
    </row>
    <row r="496" spans="8:12" ht="13.2">
      <c r="H496" s="24"/>
      <c r="K496" s="242"/>
      <c r="L496" s="176"/>
    </row>
    <row r="497" spans="8:12" ht="13.2">
      <c r="H497" s="24"/>
      <c r="K497" s="242"/>
      <c r="L497" s="176"/>
    </row>
    <row r="498" spans="8:12" ht="13.2">
      <c r="H498" s="24"/>
      <c r="K498" s="242"/>
      <c r="L498" s="176"/>
    </row>
    <row r="499" spans="8:12" ht="13.2">
      <c r="H499" s="24"/>
      <c r="K499" s="242"/>
      <c r="L499" s="176"/>
    </row>
    <row r="500" spans="8:12" ht="13.2">
      <c r="H500" s="24"/>
      <c r="K500" s="242"/>
      <c r="L500" s="176"/>
    </row>
    <row r="501" spans="8:12" ht="13.2">
      <c r="H501" s="24"/>
      <c r="K501" s="242"/>
      <c r="L501" s="176"/>
    </row>
    <row r="502" spans="8:12" ht="13.2">
      <c r="H502" s="24"/>
      <c r="K502" s="242"/>
      <c r="L502" s="176"/>
    </row>
    <row r="503" spans="8:12" ht="13.2">
      <c r="H503" s="24"/>
      <c r="K503" s="242"/>
      <c r="L503" s="176"/>
    </row>
    <row r="504" spans="8:12" ht="13.2">
      <c r="H504" s="24"/>
      <c r="K504" s="242"/>
      <c r="L504" s="176"/>
    </row>
    <row r="505" spans="8:12" ht="13.2">
      <c r="H505" s="24"/>
      <c r="K505" s="242"/>
      <c r="L505" s="176"/>
    </row>
    <row r="506" spans="8:12" ht="13.2">
      <c r="H506" s="24"/>
      <c r="K506" s="242"/>
      <c r="L506" s="176"/>
    </row>
    <row r="507" spans="8:12" ht="13.2">
      <c r="H507" s="24"/>
      <c r="K507" s="242"/>
      <c r="L507" s="176"/>
    </row>
    <row r="508" spans="8:12" ht="13.2">
      <c r="H508" s="24"/>
      <c r="K508" s="242"/>
      <c r="L508" s="176"/>
    </row>
    <row r="509" spans="8:12" ht="13.2">
      <c r="H509" s="24"/>
      <c r="K509" s="242"/>
      <c r="L509" s="176"/>
    </row>
    <row r="510" spans="8:12" ht="13.2">
      <c r="H510" s="24"/>
      <c r="K510" s="242"/>
      <c r="L510" s="176"/>
    </row>
    <row r="511" spans="8:12" ht="13.2">
      <c r="H511" s="24"/>
      <c r="K511" s="242"/>
      <c r="L511" s="176"/>
    </row>
    <row r="512" spans="8:12" ht="13.2">
      <c r="H512" s="24"/>
      <c r="K512" s="242"/>
      <c r="L512" s="176"/>
    </row>
    <row r="513" spans="8:12" ht="13.2">
      <c r="H513" s="24"/>
      <c r="K513" s="242"/>
      <c r="L513" s="176"/>
    </row>
    <row r="514" spans="8:12" ht="13.2">
      <c r="H514" s="24"/>
      <c r="K514" s="242"/>
      <c r="L514" s="176"/>
    </row>
    <row r="515" spans="8:12" ht="13.2">
      <c r="H515" s="24"/>
      <c r="K515" s="242"/>
      <c r="L515" s="176"/>
    </row>
    <row r="516" spans="8:12" ht="13.2">
      <c r="H516" s="24"/>
      <c r="K516" s="242"/>
      <c r="L516" s="176"/>
    </row>
    <row r="517" spans="8:12" ht="13.2">
      <c r="H517" s="24"/>
      <c r="K517" s="242"/>
      <c r="L517" s="176"/>
    </row>
    <row r="518" spans="8:12" ht="13.2">
      <c r="H518" s="24"/>
      <c r="K518" s="242"/>
      <c r="L518" s="176"/>
    </row>
    <row r="519" spans="8:12" ht="13.2">
      <c r="H519" s="24"/>
      <c r="K519" s="242"/>
      <c r="L519" s="176"/>
    </row>
    <row r="520" spans="8:12" ht="13.2">
      <c r="H520" s="24"/>
      <c r="K520" s="242"/>
      <c r="L520" s="176"/>
    </row>
    <row r="521" spans="8:12" ht="13.2">
      <c r="H521" s="24"/>
      <c r="K521" s="242"/>
      <c r="L521" s="176"/>
    </row>
    <row r="522" spans="8:12" ht="13.2">
      <c r="H522" s="24"/>
      <c r="K522" s="242"/>
      <c r="L522" s="176"/>
    </row>
    <row r="523" spans="8:12" ht="13.2">
      <c r="H523" s="24"/>
      <c r="K523" s="242"/>
      <c r="L523" s="176"/>
    </row>
    <row r="524" spans="8:12" ht="13.2">
      <c r="H524" s="24"/>
      <c r="K524" s="242"/>
      <c r="L524" s="176"/>
    </row>
    <row r="525" spans="8:12" ht="13.2">
      <c r="H525" s="24"/>
      <c r="K525" s="242"/>
      <c r="L525" s="176"/>
    </row>
    <row r="526" spans="8:12" ht="13.2">
      <c r="H526" s="24"/>
      <c r="K526" s="242"/>
      <c r="L526" s="176"/>
    </row>
    <row r="527" spans="8:12" ht="13.2">
      <c r="H527" s="24"/>
      <c r="K527" s="242"/>
      <c r="L527" s="176"/>
    </row>
    <row r="528" spans="8:12" ht="13.2">
      <c r="H528" s="24"/>
      <c r="K528" s="242"/>
      <c r="L528" s="176"/>
    </row>
    <row r="529" spans="8:12" ht="13.2">
      <c r="H529" s="24"/>
      <c r="K529" s="242"/>
      <c r="L529" s="176"/>
    </row>
    <row r="530" spans="8:12" ht="13.2">
      <c r="H530" s="24"/>
      <c r="K530" s="242"/>
      <c r="L530" s="176"/>
    </row>
    <row r="531" spans="8:12" ht="13.2">
      <c r="H531" s="24"/>
      <c r="K531" s="242"/>
      <c r="L531" s="176"/>
    </row>
    <row r="532" spans="8:12" ht="13.2">
      <c r="H532" s="24"/>
      <c r="K532" s="242"/>
      <c r="L532" s="176"/>
    </row>
    <row r="533" spans="8:12" ht="13.2">
      <c r="H533" s="24"/>
      <c r="K533" s="242"/>
      <c r="L533" s="176"/>
    </row>
    <row r="534" spans="8:12" ht="13.2">
      <c r="H534" s="24"/>
      <c r="K534" s="242"/>
      <c r="L534" s="176"/>
    </row>
    <row r="535" spans="8:12" ht="13.2">
      <c r="H535" s="24"/>
      <c r="K535" s="242"/>
      <c r="L535" s="176"/>
    </row>
    <row r="536" spans="8:12" ht="13.2">
      <c r="H536" s="24"/>
      <c r="K536" s="242"/>
      <c r="L536" s="176"/>
    </row>
    <row r="537" spans="8:12" ht="13.2">
      <c r="H537" s="24"/>
      <c r="K537" s="242"/>
      <c r="L537" s="176"/>
    </row>
    <row r="538" spans="8:12" ht="13.2">
      <c r="H538" s="24"/>
      <c r="K538" s="242"/>
      <c r="L538" s="176"/>
    </row>
    <row r="539" spans="8:12" ht="13.2">
      <c r="H539" s="24"/>
      <c r="K539" s="242"/>
      <c r="L539" s="176"/>
    </row>
    <row r="540" spans="8:12" ht="13.2">
      <c r="H540" s="24"/>
      <c r="K540" s="242"/>
      <c r="L540" s="176"/>
    </row>
    <row r="541" spans="8:12" ht="13.2">
      <c r="H541" s="24"/>
      <c r="K541" s="242"/>
      <c r="L541" s="176"/>
    </row>
    <row r="542" spans="8:12" ht="13.2">
      <c r="H542" s="24"/>
      <c r="K542" s="242"/>
      <c r="L542" s="176"/>
    </row>
    <row r="543" spans="8:12" ht="13.2">
      <c r="H543" s="24"/>
      <c r="K543" s="242"/>
      <c r="L543" s="176"/>
    </row>
    <row r="544" spans="8:12" ht="13.2">
      <c r="H544" s="24"/>
      <c r="K544" s="242"/>
      <c r="L544" s="176"/>
    </row>
    <row r="545" spans="8:12" ht="13.2">
      <c r="H545" s="24"/>
      <c r="K545" s="242"/>
      <c r="L545" s="176"/>
    </row>
    <row r="546" spans="8:12" ht="13.2">
      <c r="H546" s="24"/>
      <c r="K546" s="242"/>
      <c r="L546" s="176"/>
    </row>
    <row r="547" spans="8:12" ht="13.2">
      <c r="H547" s="24"/>
      <c r="K547" s="242"/>
      <c r="L547" s="176"/>
    </row>
    <row r="548" spans="8:12" ht="13.2">
      <c r="H548" s="24"/>
      <c r="K548" s="242"/>
      <c r="L548" s="176"/>
    </row>
    <row r="549" spans="8:12" ht="13.2">
      <c r="H549" s="24"/>
      <c r="K549" s="242"/>
      <c r="L549" s="176"/>
    </row>
    <row r="550" spans="8:12" ht="13.2">
      <c r="H550" s="24"/>
      <c r="K550" s="242"/>
      <c r="L550" s="176"/>
    </row>
    <row r="551" spans="8:12" ht="13.2">
      <c r="H551" s="24"/>
      <c r="K551" s="242"/>
      <c r="L551" s="176"/>
    </row>
    <row r="552" spans="8:12" ht="13.2">
      <c r="H552" s="24"/>
      <c r="K552" s="242"/>
      <c r="L552" s="176"/>
    </row>
    <row r="553" spans="8:12" ht="13.2">
      <c r="H553" s="24"/>
      <c r="K553" s="242"/>
      <c r="L553" s="176"/>
    </row>
    <row r="554" spans="8:12" ht="13.2">
      <c r="H554" s="24"/>
      <c r="K554" s="242"/>
      <c r="L554" s="176"/>
    </row>
    <row r="555" spans="8:12" ht="13.2">
      <c r="H555" s="24"/>
      <c r="K555" s="242"/>
      <c r="L555" s="176"/>
    </row>
    <row r="556" spans="8:12" ht="13.2">
      <c r="H556" s="24"/>
      <c r="K556" s="242"/>
      <c r="L556" s="176"/>
    </row>
    <row r="557" spans="8:12" ht="13.2">
      <c r="H557" s="24"/>
      <c r="K557" s="242"/>
      <c r="L557" s="176"/>
    </row>
    <row r="558" spans="8:12" ht="13.2">
      <c r="H558" s="24"/>
      <c r="K558" s="242"/>
      <c r="L558" s="176"/>
    </row>
    <row r="559" spans="8:12" ht="13.2">
      <c r="H559" s="24"/>
      <c r="K559" s="242"/>
      <c r="L559" s="176"/>
    </row>
    <row r="560" spans="8:12" ht="13.2">
      <c r="H560" s="24"/>
      <c r="K560" s="242"/>
      <c r="L560" s="176"/>
    </row>
    <row r="561" spans="8:12" ht="13.2">
      <c r="H561" s="24"/>
      <c r="K561" s="242"/>
      <c r="L561" s="176"/>
    </row>
    <row r="562" spans="8:12" ht="13.2">
      <c r="H562" s="24"/>
      <c r="K562" s="242"/>
      <c r="L562" s="176"/>
    </row>
    <row r="563" spans="8:12" ht="13.2">
      <c r="H563" s="24"/>
      <c r="K563" s="242"/>
      <c r="L563" s="176"/>
    </row>
    <row r="564" spans="8:12" ht="13.2">
      <c r="H564" s="24"/>
      <c r="K564" s="242"/>
      <c r="L564" s="176"/>
    </row>
    <row r="565" spans="8:12" ht="13.2">
      <c r="H565" s="24"/>
      <c r="K565" s="242"/>
      <c r="L565" s="176"/>
    </row>
    <row r="566" spans="8:12" ht="13.2">
      <c r="H566" s="24"/>
      <c r="K566" s="242"/>
      <c r="L566" s="176"/>
    </row>
    <row r="567" spans="8:12" ht="13.2">
      <c r="H567" s="24"/>
      <c r="K567" s="242"/>
      <c r="L567" s="176"/>
    </row>
    <row r="568" spans="8:12" ht="13.2">
      <c r="H568" s="24"/>
      <c r="K568" s="242"/>
      <c r="L568" s="176"/>
    </row>
    <row r="569" spans="8:12" ht="13.2">
      <c r="H569" s="24"/>
      <c r="K569" s="242"/>
      <c r="L569" s="176"/>
    </row>
    <row r="570" spans="8:12" ht="13.2">
      <c r="H570" s="24"/>
      <c r="K570" s="242"/>
      <c r="L570" s="176"/>
    </row>
    <row r="571" spans="8:12" ht="13.2">
      <c r="H571" s="24"/>
      <c r="K571" s="242"/>
      <c r="L571" s="176"/>
    </row>
    <row r="572" spans="8:12" ht="13.2">
      <c r="H572" s="24"/>
      <c r="K572" s="242"/>
      <c r="L572" s="176"/>
    </row>
    <row r="573" spans="8:12" ht="13.2">
      <c r="H573" s="24"/>
      <c r="K573" s="242"/>
      <c r="L573" s="176"/>
    </row>
    <row r="574" spans="8:12" ht="13.2">
      <c r="H574" s="24"/>
      <c r="K574" s="242"/>
      <c r="L574" s="176"/>
    </row>
    <row r="575" spans="8:12" ht="13.2">
      <c r="H575" s="24"/>
      <c r="K575" s="242"/>
      <c r="L575" s="176"/>
    </row>
    <row r="576" spans="8:12" ht="13.2">
      <c r="H576" s="24"/>
      <c r="K576" s="242"/>
      <c r="L576" s="176"/>
    </row>
    <row r="577" spans="8:12" ht="13.2">
      <c r="H577" s="24"/>
      <c r="K577" s="242"/>
      <c r="L577" s="176"/>
    </row>
    <row r="578" spans="8:12" ht="13.2">
      <c r="H578" s="24"/>
      <c r="K578" s="242"/>
      <c r="L578" s="176"/>
    </row>
    <row r="579" spans="8:12" ht="13.2">
      <c r="H579" s="24"/>
      <c r="K579" s="242"/>
      <c r="L579" s="176"/>
    </row>
    <row r="580" spans="8:12" ht="13.2">
      <c r="H580" s="24"/>
      <c r="K580" s="242"/>
      <c r="L580" s="176"/>
    </row>
    <row r="581" spans="8:12" ht="13.2">
      <c r="H581" s="24"/>
      <c r="K581" s="242"/>
      <c r="L581" s="176"/>
    </row>
    <row r="582" spans="8:12" ht="13.2">
      <c r="H582" s="24"/>
      <c r="K582" s="242"/>
      <c r="L582" s="176"/>
    </row>
    <row r="583" spans="8:12" ht="13.2">
      <c r="H583" s="24"/>
      <c r="K583" s="242"/>
      <c r="L583" s="176"/>
    </row>
    <row r="584" spans="8:12" ht="13.2">
      <c r="H584" s="24"/>
      <c r="K584" s="242"/>
      <c r="L584" s="176"/>
    </row>
    <row r="585" spans="8:12" ht="13.2">
      <c r="H585" s="24"/>
      <c r="K585" s="242"/>
      <c r="L585" s="176"/>
    </row>
    <row r="586" spans="8:12" ht="13.2">
      <c r="H586" s="24"/>
      <c r="K586" s="242"/>
      <c r="L586" s="176"/>
    </row>
    <row r="587" spans="8:12" ht="13.2">
      <c r="H587" s="24"/>
      <c r="K587" s="242"/>
      <c r="L587" s="176"/>
    </row>
    <row r="588" spans="8:12" ht="13.2">
      <c r="H588" s="24"/>
      <c r="K588" s="242"/>
      <c r="L588" s="176"/>
    </row>
    <row r="589" spans="8:12" ht="13.2">
      <c r="H589" s="24"/>
      <c r="K589" s="242"/>
      <c r="L589" s="176"/>
    </row>
    <row r="590" spans="8:12" ht="13.2">
      <c r="H590" s="24"/>
      <c r="K590" s="242"/>
      <c r="L590" s="176"/>
    </row>
    <row r="591" spans="8:12" ht="13.2">
      <c r="H591" s="24"/>
      <c r="K591" s="242"/>
      <c r="L591" s="176"/>
    </row>
    <row r="592" spans="8:12" ht="13.2">
      <c r="H592" s="24"/>
      <c r="K592" s="242"/>
      <c r="L592" s="176"/>
    </row>
    <row r="593" spans="8:12" ht="13.2">
      <c r="H593" s="24"/>
      <c r="K593" s="242"/>
      <c r="L593" s="176"/>
    </row>
    <row r="594" spans="8:12" ht="13.2">
      <c r="H594" s="24"/>
      <c r="K594" s="242"/>
      <c r="L594" s="176"/>
    </row>
    <row r="595" spans="8:12" ht="13.2">
      <c r="H595" s="24"/>
      <c r="K595" s="242"/>
      <c r="L595" s="176"/>
    </row>
    <row r="596" spans="8:12" ht="13.2">
      <c r="H596" s="24"/>
      <c r="K596" s="242"/>
      <c r="L596" s="176"/>
    </row>
    <row r="597" spans="8:12" ht="13.2">
      <c r="H597" s="24"/>
      <c r="K597" s="242"/>
      <c r="L597" s="176"/>
    </row>
    <row r="598" spans="8:12" ht="13.2">
      <c r="H598" s="24"/>
      <c r="K598" s="242"/>
      <c r="L598" s="176"/>
    </row>
    <row r="599" spans="8:12" ht="13.2">
      <c r="H599" s="24"/>
      <c r="K599" s="242"/>
      <c r="L599" s="176"/>
    </row>
    <row r="600" spans="8:12" ht="13.2">
      <c r="H600" s="24"/>
      <c r="K600" s="242"/>
      <c r="L600" s="176"/>
    </row>
    <row r="601" spans="8:12" ht="13.2">
      <c r="H601" s="24"/>
      <c r="K601" s="242"/>
      <c r="L601" s="176"/>
    </row>
    <row r="602" spans="8:12" ht="13.2">
      <c r="H602" s="24"/>
      <c r="K602" s="242"/>
      <c r="L602" s="176"/>
    </row>
    <row r="603" spans="8:12" ht="13.2">
      <c r="H603" s="24"/>
      <c r="K603" s="242"/>
      <c r="L603" s="176"/>
    </row>
    <row r="604" spans="8:12" ht="13.2">
      <c r="H604" s="24"/>
      <c r="K604" s="242"/>
      <c r="L604" s="176"/>
    </row>
    <row r="605" spans="8:12" ht="13.2">
      <c r="H605" s="24"/>
      <c r="K605" s="242"/>
      <c r="L605" s="176"/>
    </row>
    <row r="606" spans="8:12" ht="13.2">
      <c r="H606" s="24"/>
      <c r="K606" s="242"/>
      <c r="L606" s="176"/>
    </row>
    <row r="607" spans="8:12" ht="13.2">
      <c r="H607" s="24"/>
      <c r="K607" s="242"/>
      <c r="L607" s="176"/>
    </row>
    <row r="608" spans="8:12" ht="13.2">
      <c r="H608" s="24"/>
      <c r="K608" s="242"/>
      <c r="L608" s="176"/>
    </row>
    <row r="609" spans="8:12" ht="13.2">
      <c r="H609" s="24"/>
      <c r="K609" s="242"/>
      <c r="L609" s="176"/>
    </row>
    <row r="610" spans="8:12" ht="13.2">
      <c r="H610" s="24"/>
      <c r="K610" s="242"/>
      <c r="L610" s="176"/>
    </row>
    <row r="611" spans="8:12" ht="13.2">
      <c r="H611" s="24"/>
      <c r="K611" s="242"/>
      <c r="L611" s="176"/>
    </row>
    <row r="612" spans="8:12" ht="13.2">
      <c r="H612" s="24"/>
      <c r="K612" s="242"/>
      <c r="L612" s="176"/>
    </row>
    <row r="613" spans="8:12" ht="13.2">
      <c r="H613" s="24"/>
      <c r="K613" s="242"/>
      <c r="L613" s="176"/>
    </row>
    <row r="614" spans="8:12" ht="13.2">
      <c r="H614" s="24"/>
      <c r="K614" s="242"/>
      <c r="L614" s="176"/>
    </row>
    <row r="615" spans="8:12" ht="13.2">
      <c r="H615" s="24"/>
      <c r="K615" s="242"/>
      <c r="L615" s="176"/>
    </row>
    <row r="616" spans="8:12" ht="13.2">
      <c r="H616" s="24"/>
      <c r="K616" s="242"/>
      <c r="L616" s="176"/>
    </row>
    <row r="617" spans="8:12" ht="13.2">
      <c r="H617" s="24"/>
      <c r="K617" s="242"/>
      <c r="L617" s="176"/>
    </row>
    <row r="618" spans="8:12" ht="13.2">
      <c r="H618" s="24"/>
      <c r="K618" s="242"/>
      <c r="L618" s="176"/>
    </row>
    <row r="619" spans="8:12" ht="13.2">
      <c r="H619" s="24"/>
      <c r="K619" s="242"/>
      <c r="L619" s="176"/>
    </row>
    <row r="620" spans="8:12" ht="13.2">
      <c r="H620" s="24"/>
      <c r="K620" s="242"/>
      <c r="L620" s="176"/>
    </row>
    <row r="621" spans="8:12" ht="13.2">
      <c r="H621" s="24"/>
      <c r="K621" s="242"/>
      <c r="L621" s="176"/>
    </row>
    <row r="622" spans="8:12" ht="13.2">
      <c r="H622" s="24"/>
      <c r="K622" s="242"/>
      <c r="L622" s="176"/>
    </row>
    <row r="623" spans="8:12" ht="13.2">
      <c r="H623" s="24"/>
      <c r="K623" s="242"/>
      <c r="L623" s="176"/>
    </row>
    <row r="624" spans="8:12" ht="13.2">
      <c r="H624" s="24"/>
      <c r="K624" s="242"/>
      <c r="L624" s="176"/>
    </row>
    <row r="625" spans="8:12" ht="13.2">
      <c r="H625" s="24"/>
      <c r="K625" s="242"/>
      <c r="L625" s="176"/>
    </row>
    <row r="626" spans="8:12" ht="13.2">
      <c r="H626" s="24"/>
      <c r="K626" s="242"/>
      <c r="L626" s="176"/>
    </row>
    <row r="627" spans="8:12" ht="13.2">
      <c r="H627" s="24"/>
      <c r="K627" s="242"/>
      <c r="L627" s="176"/>
    </row>
    <row r="628" spans="8:12" ht="13.2">
      <c r="H628" s="24"/>
      <c r="K628" s="242"/>
      <c r="L628" s="176"/>
    </row>
    <row r="629" spans="8:12" ht="13.2">
      <c r="H629" s="24"/>
      <c r="K629" s="242"/>
      <c r="L629" s="176"/>
    </row>
    <row r="630" spans="8:12" ht="13.2">
      <c r="H630" s="24"/>
      <c r="K630" s="242"/>
      <c r="L630" s="176"/>
    </row>
    <row r="631" spans="8:12" ht="13.2">
      <c r="H631" s="24"/>
      <c r="K631" s="242"/>
      <c r="L631" s="176"/>
    </row>
    <row r="632" spans="8:12" ht="13.2">
      <c r="H632" s="24"/>
      <c r="K632" s="242"/>
      <c r="L632" s="176"/>
    </row>
    <row r="633" spans="8:12" ht="13.2">
      <c r="H633" s="24"/>
      <c r="K633" s="242"/>
      <c r="L633" s="176"/>
    </row>
    <row r="634" spans="8:12" ht="13.2">
      <c r="H634" s="24"/>
      <c r="K634" s="242"/>
      <c r="L634" s="176"/>
    </row>
    <row r="635" spans="8:12" ht="13.2">
      <c r="H635" s="24"/>
      <c r="K635" s="242"/>
      <c r="L635" s="176"/>
    </row>
    <row r="636" spans="8:12" ht="13.2">
      <c r="H636" s="24"/>
      <c r="K636" s="242"/>
      <c r="L636" s="176"/>
    </row>
    <row r="637" spans="8:12" ht="13.2">
      <c r="H637" s="24"/>
      <c r="K637" s="242"/>
      <c r="L637" s="176"/>
    </row>
    <row r="638" spans="8:12" ht="13.2">
      <c r="H638" s="24"/>
      <c r="K638" s="242"/>
      <c r="L638" s="176"/>
    </row>
    <row r="639" spans="8:12" ht="13.2">
      <c r="H639" s="24"/>
      <c r="K639" s="242"/>
      <c r="L639" s="176"/>
    </row>
    <row r="640" spans="8:12" ht="13.2">
      <c r="H640" s="24"/>
      <c r="K640" s="242"/>
      <c r="L640" s="176"/>
    </row>
    <row r="641" spans="8:12" ht="13.2">
      <c r="H641" s="24"/>
      <c r="K641" s="242"/>
      <c r="L641" s="176"/>
    </row>
    <row r="642" spans="8:12" ht="13.2">
      <c r="H642" s="24"/>
      <c r="K642" s="242"/>
      <c r="L642" s="176"/>
    </row>
    <row r="643" spans="8:12" ht="13.2">
      <c r="H643" s="24"/>
      <c r="K643" s="242"/>
      <c r="L643" s="176"/>
    </row>
    <row r="644" spans="8:12" ht="13.2">
      <c r="H644" s="24"/>
      <c r="K644" s="242"/>
      <c r="L644" s="176"/>
    </row>
    <row r="645" spans="8:12" ht="13.2">
      <c r="H645" s="24"/>
      <c r="K645" s="242"/>
      <c r="L645" s="176"/>
    </row>
    <row r="646" spans="8:12" ht="13.2">
      <c r="H646" s="24"/>
      <c r="K646" s="242"/>
      <c r="L646" s="176"/>
    </row>
    <row r="647" spans="8:12" ht="13.2">
      <c r="H647" s="24"/>
      <c r="K647" s="242"/>
      <c r="L647" s="176"/>
    </row>
    <row r="648" spans="8:12" ht="13.2">
      <c r="H648" s="24"/>
      <c r="K648" s="242"/>
      <c r="L648" s="176"/>
    </row>
    <row r="649" spans="8:12" ht="13.2">
      <c r="H649" s="24"/>
      <c r="K649" s="242"/>
      <c r="L649" s="176"/>
    </row>
    <row r="650" spans="8:12" ht="13.2">
      <c r="H650" s="24"/>
      <c r="K650" s="242"/>
      <c r="L650" s="176"/>
    </row>
    <row r="651" spans="8:12" ht="13.2">
      <c r="H651" s="24"/>
      <c r="K651" s="242"/>
      <c r="L651" s="176"/>
    </row>
    <row r="652" spans="8:12" ht="13.2">
      <c r="H652" s="24"/>
      <c r="K652" s="242"/>
      <c r="L652" s="176"/>
    </row>
    <row r="653" spans="8:12" ht="13.2">
      <c r="H653" s="24"/>
      <c r="K653" s="242"/>
      <c r="L653" s="176"/>
    </row>
    <row r="654" spans="8:12" ht="13.2">
      <c r="H654" s="24"/>
      <c r="K654" s="242"/>
      <c r="L654" s="176"/>
    </row>
    <row r="655" spans="8:12" ht="13.2">
      <c r="H655" s="24"/>
      <c r="K655" s="242"/>
      <c r="L655" s="176"/>
    </row>
    <row r="656" spans="8:12" ht="13.2">
      <c r="H656" s="24"/>
      <c r="K656" s="242"/>
      <c r="L656" s="176"/>
    </row>
    <row r="657" spans="8:12" ht="13.2">
      <c r="H657" s="24"/>
      <c r="K657" s="242"/>
      <c r="L657" s="176"/>
    </row>
    <row r="658" spans="8:12" ht="13.2">
      <c r="H658" s="24"/>
      <c r="K658" s="242"/>
      <c r="L658" s="176"/>
    </row>
    <row r="659" spans="8:12" ht="13.2">
      <c r="H659" s="24"/>
      <c r="K659" s="242"/>
      <c r="L659" s="176"/>
    </row>
    <row r="660" spans="8:12" ht="13.2">
      <c r="H660" s="24"/>
      <c r="K660" s="242"/>
      <c r="L660" s="176"/>
    </row>
    <row r="661" spans="8:12" ht="13.2">
      <c r="H661" s="24"/>
      <c r="K661" s="242"/>
      <c r="L661" s="176"/>
    </row>
    <row r="662" spans="8:12" ht="13.2">
      <c r="H662" s="24"/>
      <c r="K662" s="242"/>
      <c r="L662" s="176"/>
    </row>
    <row r="663" spans="8:12" ht="13.2">
      <c r="H663" s="24"/>
      <c r="K663" s="242"/>
      <c r="L663" s="176"/>
    </row>
    <row r="664" spans="8:12" ht="13.2">
      <c r="H664" s="24"/>
      <c r="K664" s="242"/>
      <c r="L664" s="176"/>
    </row>
    <row r="665" spans="8:12" ht="13.2">
      <c r="H665" s="24"/>
      <c r="K665" s="242"/>
      <c r="L665" s="176"/>
    </row>
    <row r="666" spans="8:12" ht="13.2">
      <c r="H666" s="24"/>
      <c r="K666" s="242"/>
      <c r="L666" s="176"/>
    </row>
    <row r="667" spans="8:12" ht="13.2">
      <c r="H667" s="24"/>
      <c r="K667" s="242"/>
      <c r="L667" s="176"/>
    </row>
    <row r="668" spans="8:12" ht="13.2">
      <c r="H668" s="24"/>
      <c r="K668" s="242"/>
      <c r="L668" s="176"/>
    </row>
    <row r="669" spans="8:12" ht="13.2">
      <c r="H669" s="24"/>
      <c r="K669" s="242"/>
      <c r="L669" s="176"/>
    </row>
    <row r="670" spans="8:12" ht="13.2">
      <c r="H670" s="24"/>
      <c r="K670" s="242"/>
      <c r="L670" s="176"/>
    </row>
    <row r="671" spans="8:12" ht="13.2">
      <c r="H671" s="24"/>
      <c r="K671" s="242"/>
      <c r="L671" s="176"/>
    </row>
    <row r="672" spans="8:12" ht="13.2">
      <c r="H672" s="24"/>
      <c r="K672" s="242"/>
      <c r="L672" s="176"/>
    </row>
    <row r="673" spans="8:12" ht="13.2">
      <c r="H673" s="24"/>
      <c r="K673" s="242"/>
      <c r="L673" s="176"/>
    </row>
    <row r="674" spans="8:12" ht="13.2">
      <c r="H674" s="24"/>
      <c r="K674" s="242"/>
      <c r="L674" s="176"/>
    </row>
    <row r="675" spans="8:12" ht="13.2">
      <c r="H675" s="24"/>
      <c r="K675" s="242"/>
      <c r="L675" s="176"/>
    </row>
    <row r="676" spans="8:12" ht="13.2">
      <c r="H676" s="24"/>
      <c r="K676" s="242"/>
      <c r="L676" s="176"/>
    </row>
    <row r="677" spans="8:12" ht="13.2">
      <c r="H677" s="24"/>
      <c r="K677" s="242"/>
      <c r="L677" s="176"/>
    </row>
    <row r="678" spans="8:12" ht="13.2">
      <c r="H678" s="24"/>
      <c r="K678" s="242"/>
      <c r="L678" s="176"/>
    </row>
    <row r="679" spans="8:12" ht="13.2">
      <c r="H679" s="24"/>
      <c r="K679" s="242"/>
      <c r="L679" s="176"/>
    </row>
    <row r="680" spans="8:12" ht="13.2">
      <c r="H680" s="24"/>
      <c r="K680" s="242"/>
      <c r="L680" s="176"/>
    </row>
    <row r="681" spans="8:12" ht="13.2">
      <c r="H681" s="24"/>
      <c r="K681" s="242"/>
      <c r="L681" s="176"/>
    </row>
    <row r="682" spans="8:12" ht="13.2">
      <c r="H682" s="24"/>
      <c r="K682" s="242"/>
      <c r="L682" s="176"/>
    </row>
    <row r="683" spans="8:12" ht="13.2">
      <c r="H683" s="24"/>
      <c r="K683" s="242"/>
      <c r="L683" s="176"/>
    </row>
    <row r="684" spans="8:12" ht="13.2">
      <c r="H684" s="24"/>
      <c r="K684" s="242"/>
      <c r="L684" s="176"/>
    </row>
    <row r="685" spans="8:12" ht="13.2">
      <c r="H685" s="24"/>
      <c r="K685" s="242"/>
      <c r="L685" s="176"/>
    </row>
    <row r="686" spans="8:12" ht="13.2">
      <c r="H686" s="24"/>
      <c r="K686" s="242"/>
      <c r="L686" s="176"/>
    </row>
    <row r="687" spans="8:12" ht="13.2">
      <c r="H687" s="24"/>
      <c r="K687" s="242"/>
      <c r="L687" s="176"/>
    </row>
    <row r="688" spans="8:12" ht="13.2">
      <c r="H688" s="24"/>
      <c r="K688" s="242"/>
      <c r="L688" s="176"/>
    </row>
    <row r="689" spans="8:12" ht="13.2">
      <c r="H689" s="24"/>
      <c r="K689" s="242"/>
      <c r="L689" s="176"/>
    </row>
    <row r="690" spans="8:12" ht="13.2">
      <c r="H690" s="24"/>
      <c r="K690" s="242"/>
      <c r="L690" s="176"/>
    </row>
    <row r="691" spans="8:12" ht="13.2">
      <c r="H691" s="24"/>
      <c r="K691" s="242"/>
      <c r="L691" s="176"/>
    </row>
    <row r="692" spans="8:12" ht="13.2">
      <c r="H692" s="24"/>
      <c r="K692" s="242"/>
      <c r="L692" s="176"/>
    </row>
    <row r="693" spans="8:12" ht="13.2">
      <c r="H693" s="24"/>
      <c r="K693" s="242"/>
      <c r="L693" s="176"/>
    </row>
    <row r="694" spans="8:12" ht="13.2">
      <c r="H694" s="24"/>
      <c r="K694" s="242"/>
      <c r="L694" s="176"/>
    </row>
    <row r="695" spans="8:12" ht="13.2">
      <c r="H695" s="24"/>
      <c r="K695" s="242"/>
      <c r="L695" s="176"/>
    </row>
    <row r="696" spans="8:12" ht="13.2">
      <c r="H696" s="24"/>
      <c r="K696" s="242"/>
      <c r="L696" s="176"/>
    </row>
    <row r="697" spans="8:12" ht="13.2">
      <c r="H697" s="24"/>
      <c r="K697" s="242"/>
      <c r="L697" s="176"/>
    </row>
    <row r="698" spans="8:12" ht="13.2">
      <c r="H698" s="24"/>
      <c r="K698" s="242"/>
      <c r="L698" s="176"/>
    </row>
    <row r="699" spans="8:12" ht="13.2">
      <c r="H699" s="24"/>
      <c r="K699" s="242"/>
      <c r="L699" s="176"/>
    </row>
    <row r="700" spans="8:12" ht="13.2">
      <c r="H700" s="24"/>
      <c r="K700" s="242"/>
      <c r="L700" s="176"/>
    </row>
    <row r="701" spans="8:12" ht="13.2">
      <c r="H701" s="24"/>
      <c r="K701" s="242"/>
      <c r="L701" s="176"/>
    </row>
    <row r="702" spans="8:12" ht="13.2">
      <c r="H702" s="24"/>
      <c r="K702" s="242"/>
      <c r="L702" s="176"/>
    </row>
    <row r="703" spans="8:12" ht="13.2">
      <c r="H703" s="24"/>
      <c r="K703" s="242"/>
      <c r="L703" s="176"/>
    </row>
    <row r="704" spans="8:12" ht="13.2">
      <c r="H704" s="24"/>
      <c r="K704" s="242"/>
      <c r="L704" s="176"/>
    </row>
    <row r="705" spans="8:12" ht="13.2">
      <c r="H705" s="24"/>
      <c r="K705" s="242"/>
      <c r="L705" s="176"/>
    </row>
    <row r="706" spans="8:12" ht="13.2">
      <c r="H706" s="24"/>
      <c r="K706" s="242"/>
      <c r="L706" s="176"/>
    </row>
    <row r="707" spans="8:12" ht="13.2">
      <c r="H707" s="24"/>
      <c r="K707" s="242"/>
      <c r="L707" s="176"/>
    </row>
    <row r="708" spans="8:12" ht="13.2">
      <c r="H708" s="24"/>
      <c r="K708" s="242"/>
      <c r="L708" s="176"/>
    </row>
    <row r="709" spans="8:12" ht="13.2">
      <c r="H709" s="24"/>
      <c r="K709" s="242"/>
      <c r="L709" s="176"/>
    </row>
    <row r="710" spans="8:12" ht="13.2">
      <c r="H710" s="24"/>
      <c r="K710" s="242"/>
      <c r="L710" s="176"/>
    </row>
    <row r="711" spans="8:12" ht="13.2">
      <c r="H711" s="24"/>
      <c r="K711" s="242"/>
      <c r="L711" s="176"/>
    </row>
    <row r="712" spans="8:12" ht="13.2">
      <c r="H712" s="24"/>
      <c r="K712" s="242"/>
      <c r="L712" s="176"/>
    </row>
    <row r="713" spans="8:12" ht="13.2">
      <c r="H713" s="24"/>
      <c r="K713" s="242"/>
      <c r="L713" s="176"/>
    </row>
    <row r="714" spans="8:12" ht="13.2">
      <c r="H714" s="24"/>
      <c r="K714" s="242"/>
      <c r="L714" s="176"/>
    </row>
    <row r="715" spans="8:12" ht="13.2">
      <c r="H715" s="24"/>
      <c r="K715" s="242"/>
      <c r="L715" s="176"/>
    </row>
    <row r="716" spans="8:12" ht="13.2">
      <c r="H716" s="24"/>
      <c r="K716" s="242"/>
      <c r="L716" s="176"/>
    </row>
    <row r="717" spans="8:12" ht="13.2">
      <c r="H717" s="24"/>
      <c r="K717" s="242"/>
      <c r="L717" s="176"/>
    </row>
    <row r="718" spans="8:12" ht="13.2">
      <c r="H718" s="24"/>
      <c r="K718" s="242"/>
      <c r="L718" s="176"/>
    </row>
    <row r="719" spans="8:12" ht="13.2">
      <c r="H719" s="24"/>
      <c r="K719" s="242"/>
      <c r="L719" s="176"/>
    </row>
    <row r="720" spans="8:12" ht="13.2">
      <c r="H720" s="24"/>
      <c r="K720" s="242"/>
      <c r="L720" s="176"/>
    </row>
    <row r="721" spans="8:12" ht="13.2">
      <c r="H721" s="24"/>
      <c r="K721" s="242"/>
      <c r="L721" s="176"/>
    </row>
    <row r="722" spans="8:12" ht="13.2">
      <c r="H722" s="24"/>
      <c r="K722" s="242"/>
      <c r="L722" s="176"/>
    </row>
    <row r="723" spans="8:12" ht="13.2">
      <c r="H723" s="24"/>
      <c r="K723" s="242"/>
      <c r="L723" s="176"/>
    </row>
    <row r="724" spans="8:12" ht="13.2">
      <c r="H724" s="24"/>
      <c r="K724" s="242"/>
      <c r="L724" s="176"/>
    </row>
    <row r="725" spans="8:12" ht="13.2">
      <c r="H725" s="24"/>
      <c r="K725" s="242"/>
      <c r="L725" s="176"/>
    </row>
    <row r="726" spans="8:12" ht="13.2">
      <c r="H726" s="24"/>
      <c r="K726" s="242"/>
      <c r="L726" s="176"/>
    </row>
    <row r="727" spans="8:12" ht="13.2">
      <c r="H727" s="24"/>
      <c r="K727" s="242"/>
      <c r="L727" s="176"/>
    </row>
    <row r="728" spans="8:12" ht="13.2">
      <c r="H728" s="24"/>
      <c r="K728" s="242"/>
      <c r="L728" s="176"/>
    </row>
    <row r="729" spans="8:12" ht="13.2">
      <c r="H729" s="24"/>
      <c r="K729" s="242"/>
      <c r="L729" s="176"/>
    </row>
    <row r="730" spans="8:12" ht="13.2">
      <c r="H730" s="24"/>
      <c r="K730" s="242"/>
      <c r="L730" s="176"/>
    </row>
    <row r="731" spans="8:12" ht="13.2">
      <c r="H731" s="24"/>
      <c r="K731" s="242"/>
      <c r="L731" s="176"/>
    </row>
    <row r="732" spans="8:12" ht="13.2">
      <c r="H732" s="24"/>
      <c r="K732" s="242"/>
      <c r="L732" s="176"/>
    </row>
    <row r="733" spans="8:12" ht="13.2">
      <c r="H733" s="24"/>
      <c r="K733" s="242"/>
      <c r="L733" s="176"/>
    </row>
    <row r="734" spans="8:12" ht="13.2">
      <c r="H734" s="24"/>
      <c r="K734" s="242"/>
      <c r="L734" s="176"/>
    </row>
    <row r="735" spans="8:12" ht="13.2">
      <c r="H735" s="24"/>
      <c r="K735" s="242"/>
      <c r="L735" s="176"/>
    </row>
    <row r="736" spans="8:12" ht="13.2">
      <c r="H736" s="24"/>
      <c r="K736" s="242"/>
      <c r="L736" s="176"/>
    </row>
    <row r="737" spans="8:12" ht="13.2">
      <c r="H737" s="24"/>
      <c r="K737" s="242"/>
      <c r="L737" s="176"/>
    </row>
    <row r="738" spans="8:12" ht="13.2">
      <c r="H738" s="24"/>
      <c r="K738" s="242"/>
      <c r="L738" s="176"/>
    </row>
    <row r="739" spans="8:12" ht="13.2">
      <c r="H739" s="24"/>
      <c r="K739" s="242"/>
      <c r="L739" s="176"/>
    </row>
    <row r="740" spans="8:12" ht="13.2">
      <c r="H740" s="24"/>
      <c r="K740" s="242"/>
      <c r="L740" s="176"/>
    </row>
    <row r="741" spans="8:12" ht="13.2">
      <c r="H741" s="24"/>
      <c r="K741" s="242"/>
      <c r="L741" s="176"/>
    </row>
    <row r="742" spans="8:12" ht="13.2">
      <c r="H742" s="24"/>
      <c r="K742" s="242"/>
      <c r="L742" s="176"/>
    </row>
    <row r="743" spans="8:12" ht="13.2">
      <c r="H743" s="24"/>
      <c r="K743" s="242"/>
      <c r="L743" s="176"/>
    </row>
    <row r="744" spans="8:12" ht="13.2">
      <c r="H744" s="24"/>
      <c r="K744" s="242"/>
      <c r="L744" s="176"/>
    </row>
    <row r="745" spans="8:12" ht="13.2">
      <c r="H745" s="24"/>
      <c r="K745" s="242"/>
      <c r="L745" s="176"/>
    </row>
    <row r="746" spans="8:12" ht="13.2">
      <c r="H746" s="24"/>
      <c r="K746" s="242"/>
      <c r="L746" s="176"/>
    </row>
    <row r="747" spans="8:12" ht="13.2">
      <c r="H747" s="24"/>
      <c r="K747" s="242"/>
      <c r="L747" s="176"/>
    </row>
    <row r="748" spans="8:12" ht="13.2">
      <c r="H748" s="24"/>
      <c r="K748" s="242"/>
      <c r="L748" s="176"/>
    </row>
    <row r="749" spans="8:12" ht="13.2">
      <c r="H749" s="24"/>
      <c r="K749" s="242"/>
      <c r="L749" s="176"/>
    </row>
    <row r="750" spans="8:12" ht="13.2">
      <c r="H750" s="24"/>
      <c r="K750" s="242"/>
      <c r="L750" s="176"/>
    </row>
    <row r="751" spans="8:12" ht="13.2">
      <c r="H751" s="24"/>
      <c r="K751" s="242"/>
      <c r="L751" s="176"/>
    </row>
    <row r="752" spans="8:12" ht="13.2">
      <c r="H752" s="24"/>
      <c r="K752" s="242"/>
      <c r="L752" s="176"/>
    </row>
    <row r="753" spans="8:12" ht="13.2">
      <c r="H753" s="24"/>
      <c r="K753" s="242"/>
      <c r="L753" s="176"/>
    </row>
    <row r="754" spans="8:12" ht="13.2">
      <c r="H754" s="24"/>
      <c r="K754" s="242"/>
      <c r="L754" s="176"/>
    </row>
    <row r="755" spans="8:12" ht="13.2">
      <c r="H755" s="24"/>
      <c r="K755" s="242"/>
      <c r="L755" s="176"/>
    </row>
    <row r="756" spans="8:12" ht="13.2">
      <c r="H756" s="24"/>
      <c r="K756" s="242"/>
      <c r="L756" s="176"/>
    </row>
    <row r="757" spans="8:12" ht="13.2">
      <c r="H757" s="24"/>
      <c r="K757" s="242"/>
      <c r="L757" s="176"/>
    </row>
    <row r="758" spans="8:12" ht="13.2">
      <c r="H758" s="24"/>
      <c r="K758" s="242"/>
      <c r="L758" s="176"/>
    </row>
    <row r="759" spans="8:12" ht="13.2">
      <c r="H759" s="24"/>
      <c r="K759" s="242"/>
      <c r="L759" s="176"/>
    </row>
    <row r="760" spans="8:12" ht="13.2">
      <c r="H760" s="24"/>
      <c r="K760" s="242"/>
      <c r="L760" s="176"/>
    </row>
    <row r="761" spans="8:12" ht="13.2">
      <c r="H761" s="24"/>
      <c r="K761" s="242"/>
      <c r="L761" s="176"/>
    </row>
    <row r="762" spans="8:12" ht="13.2">
      <c r="H762" s="24"/>
      <c r="K762" s="242"/>
      <c r="L762" s="176"/>
    </row>
    <row r="763" spans="8:12" ht="13.2">
      <c r="H763" s="24"/>
      <c r="K763" s="242"/>
      <c r="L763" s="176"/>
    </row>
    <row r="764" spans="8:12" ht="13.2">
      <c r="H764" s="24"/>
      <c r="K764" s="242"/>
      <c r="L764" s="176"/>
    </row>
    <row r="765" spans="8:12" ht="13.2">
      <c r="H765" s="24"/>
      <c r="K765" s="242"/>
      <c r="L765" s="176"/>
    </row>
    <row r="766" spans="8:12" ht="13.2">
      <c r="H766" s="24"/>
      <c r="K766" s="242"/>
      <c r="L766" s="176"/>
    </row>
    <row r="767" spans="8:12" ht="13.2">
      <c r="H767" s="24"/>
      <c r="K767" s="242"/>
      <c r="L767" s="176"/>
    </row>
    <row r="768" spans="8:12" ht="13.2">
      <c r="H768" s="24"/>
      <c r="K768" s="242"/>
      <c r="L768" s="176"/>
    </row>
    <row r="769" spans="8:12" ht="13.2">
      <c r="H769" s="24"/>
      <c r="K769" s="242"/>
      <c r="L769" s="176"/>
    </row>
    <row r="770" spans="8:12" ht="13.2">
      <c r="H770" s="24"/>
      <c r="K770" s="242"/>
      <c r="L770" s="176"/>
    </row>
    <row r="771" spans="8:12" ht="13.2">
      <c r="H771" s="24"/>
      <c r="K771" s="242"/>
      <c r="L771" s="176"/>
    </row>
    <row r="772" spans="8:12" ht="13.2">
      <c r="H772" s="24"/>
      <c r="K772" s="242"/>
      <c r="L772" s="176"/>
    </row>
    <row r="773" spans="8:12" ht="13.2">
      <c r="H773" s="24"/>
      <c r="K773" s="242"/>
      <c r="L773" s="176"/>
    </row>
    <row r="774" spans="8:12" ht="13.2">
      <c r="H774" s="24"/>
      <c r="K774" s="242"/>
      <c r="L774" s="176"/>
    </row>
    <row r="775" spans="8:12" ht="13.2">
      <c r="H775" s="24"/>
      <c r="K775" s="242"/>
      <c r="L775" s="176"/>
    </row>
    <row r="776" spans="8:12" ht="13.2">
      <c r="H776" s="24"/>
      <c r="K776" s="242"/>
      <c r="L776" s="176"/>
    </row>
    <row r="777" spans="8:12" ht="13.2">
      <c r="H777" s="24"/>
      <c r="K777" s="242"/>
      <c r="L777" s="176"/>
    </row>
    <row r="778" spans="8:12" ht="13.2">
      <c r="H778" s="24"/>
      <c r="K778" s="242"/>
      <c r="L778" s="176"/>
    </row>
    <row r="779" spans="8:12" ht="13.2">
      <c r="H779" s="24"/>
      <c r="K779" s="242"/>
      <c r="L779" s="176"/>
    </row>
    <row r="780" spans="8:12" ht="13.2">
      <c r="H780" s="24"/>
      <c r="K780" s="242"/>
      <c r="L780" s="176"/>
    </row>
    <row r="781" spans="8:12" ht="13.2">
      <c r="H781" s="24"/>
      <c r="K781" s="242"/>
      <c r="L781" s="176"/>
    </row>
    <row r="782" spans="8:12" ht="13.2">
      <c r="H782" s="24"/>
      <c r="K782" s="242"/>
      <c r="L782" s="176"/>
    </row>
    <row r="783" spans="8:12" ht="13.2">
      <c r="H783" s="24"/>
      <c r="K783" s="242"/>
      <c r="L783" s="176"/>
    </row>
    <row r="784" spans="8:12" ht="13.2">
      <c r="H784" s="24"/>
      <c r="K784" s="242"/>
      <c r="L784" s="176"/>
    </row>
    <row r="785" spans="8:12" ht="13.2">
      <c r="H785" s="24"/>
      <c r="K785" s="242"/>
      <c r="L785" s="176"/>
    </row>
    <row r="786" spans="8:12" ht="13.2">
      <c r="H786" s="24"/>
      <c r="K786" s="242"/>
      <c r="L786" s="176"/>
    </row>
    <row r="787" spans="8:12" ht="13.2">
      <c r="H787" s="24"/>
      <c r="K787" s="242"/>
      <c r="L787" s="176"/>
    </row>
    <row r="788" spans="8:12" ht="13.2">
      <c r="H788" s="24"/>
      <c r="K788" s="242"/>
      <c r="L788" s="176"/>
    </row>
    <row r="789" spans="8:12" ht="13.2">
      <c r="H789" s="24"/>
      <c r="K789" s="242"/>
      <c r="L789" s="176"/>
    </row>
    <row r="790" spans="8:12" ht="13.2">
      <c r="H790" s="24"/>
      <c r="K790" s="242"/>
      <c r="L790" s="176"/>
    </row>
    <row r="791" spans="8:12" ht="13.2">
      <c r="H791" s="24"/>
      <c r="K791" s="242"/>
      <c r="L791" s="176"/>
    </row>
    <row r="792" spans="8:12" ht="13.2">
      <c r="H792" s="24"/>
      <c r="K792" s="242"/>
      <c r="L792" s="176"/>
    </row>
    <row r="793" spans="8:12" ht="13.2">
      <c r="H793" s="24"/>
      <c r="K793" s="242"/>
      <c r="L793" s="176"/>
    </row>
    <row r="794" spans="8:12" ht="13.2">
      <c r="H794" s="24"/>
      <c r="K794" s="242"/>
      <c r="L794" s="176"/>
    </row>
    <row r="795" spans="8:12" ht="13.2">
      <c r="H795" s="24"/>
      <c r="K795" s="242"/>
      <c r="L795" s="176"/>
    </row>
    <row r="796" spans="8:12" ht="13.2">
      <c r="H796" s="24"/>
      <c r="K796" s="242"/>
      <c r="L796" s="176"/>
    </row>
    <row r="797" spans="8:12" ht="13.2">
      <c r="H797" s="24"/>
      <c r="K797" s="242"/>
      <c r="L797" s="176"/>
    </row>
    <row r="798" spans="8:12" ht="13.2">
      <c r="H798" s="24"/>
      <c r="K798" s="242"/>
      <c r="L798" s="176"/>
    </row>
    <row r="799" spans="8:12" ht="13.2">
      <c r="H799" s="24"/>
      <c r="K799" s="242"/>
      <c r="L799" s="176"/>
    </row>
    <row r="800" spans="8:12" ht="13.2">
      <c r="H800" s="24"/>
      <c r="K800" s="242"/>
      <c r="L800" s="176"/>
    </row>
    <row r="801" spans="8:12" ht="13.2">
      <c r="H801" s="24"/>
      <c r="K801" s="242"/>
      <c r="L801" s="176"/>
    </row>
    <row r="802" spans="8:12" ht="13.2">
      <c r="H802" s="24"/>
      <c r="K802" s="242"/>
      <c r="L802" s="176"/>
    </row>
    <row r="803" spans="8:12" ht="13.2">
      <c r="H803" s="24"/>
      <c r="K803" s="242"/>
      <c r="L803" s="176"/>
    </row>
    <row r="804" spans="8:12" ht="13.2">
      <c r="H804" s="24"/>
      <c r="K804" s="242"/>
      <c r="L804" s="176"/>
    </row>
    <row r="805" spans="8:12" ht="13.2">
      <c r="H805" s="24"/>
      <c r="K805" s="242"/>
      <c r="L805" s="176"/>
    </row>
    <row r="806" spans="8:12" ht="13.2">
      <c r="H806" s="24"/>
      <c r="K806" s="242"/>
      <c r="L806" s="176"/>
    </row>
    <row r="807" spans="8:12" ht="13.2">
      <c r="H807" s="24"/>
      <c r="K807" s="242"/>
      <c r="L807" s="176"/>
    </row>
    <row r="808" spans="8:12" ht="13.2">
      <c r="H808" s="24"/>
      <c r="K808" s="242"/>
      <c r="L808" s="176"/>
    </row>
    <row r="809" spans="8:12" ht="13.2">
      <c r="H809" s="24"/>
      <c r="K809" s="242"/>
      <c r="L809" s="176"/>
    </row>
    <row r="810" spans="8:12" ht="13.2">
      <c r="H810" s="24"/>
      <c r="K810" s="242"/>
      <c r="L810" s="176"/>
    </row>
    <row r="811" spans="8:12" ht="13.2">
      <c r="H811" s="24"/>
      <c r="K811" s="242"/>
      <c r="L811" s="176"/>
    </row>
    <row r="812" spans="8:12" ht="13.2">
      <c r="H812" s="24"/>
      <c r="K812" s="242"/>
      <c r="L812" s="176"/>
    </row>
    <row r="813" spans="8:12" ht="13.2">
      <c r="H813" s="24"/>
      <c r="K813" s="242"/>
      <c r="L813" s="176"/>
    </row>
    <row r="814" spans="8:12" ht="13.2">
      <c r="H814" s="24"/>
      <c r="K814" s="242"/>
      <c r="L814" s="176"/>
    </row>
    <row r="815" spans="8:12" ht="13.2">
      <c r="H815" s="24"/>
      <c r="K815" s="242"/>
      <c r="L815" s="176"/>
    </row>
    <row r="816" spans="8:12" ht="13.2">
      <c r="H816" s="24"/>
      <c r="K816" s="242"/>
      <c r="L816" s="176"/>
    </row>
    <row r="817" spans="8:12" ht="13.2">
      <c r="H817" s="24"/>
      <c r="K817" s="242"/>
      <c r="L817" s="176"/>
    </row>
    <row r="818" spans="8:12" ht="13.2">
      <c r="H818" s="24"/>
      <c r="K818" s="242"/>
      <c r="L818" s="176"/>
    </row>
    <row r="819" spans="8:12" ht="13.2">
      <c r="H819" s="24"/>
      <c r="K819" s="242"/>
      <c r="L819" s="176"/>
    </row>
    <row r="820" spans="8:12" ht="13.2">
      <c r="H820" s="24"/>
      <c r="K820" s="242"/>
      <c r="L820" s="176"/>
    </row>
    <row r="821" spans="8:12" ht="13.2">
      <c r="H821" s="24"/>
      <c r="K821" s="242"/>
      <c r="L821" s="176"/>
    </row>
    <row r="822" spans="8:12" ht="13.2">
      <c r="H822" s="24"/>
      <c r="K822" s="242"/>
      <c r="L822" s="176"/>
    </row>
    <row r="823" spans="8:12" ht="13.2">
      <c r="H823" s="24"/>
      <c r="K823" s="242"/>
      <c r="L823" s="176"/>
    </row>
    <row r="824" spans="8:12" ht="13.2">
      <c r="H824" s="24"/>
      <c r="K824" s="242"/>
      <c r="L824" s="176"/>
    </row>
    <row r="825" spans="8:12" ht="13.2">
      <c r="H825" s="24"/>
      <c r="K825" s="242"/>
      <c r="L825" s="176"/>
    </row>
    <row r="826" spans="8:12" ht="13.2">
      <c r="H826" s="24"/>
      <c r="K826" s="242"/>
      <c r="L826" s="176"/>
    </row>
    <row r="827" spans="8:12" ht="13.2">
      <c r="H827" s="24"/>
      <c r="K827" s="242"/>
      <c r="L827" s="176"/>
    </row>
    <row r="828" spans="8:12" ht="13.2">
      <c r="H828" s="24"/>
      <c r="K828" s="242"/>
      <c r="L828" s="176"/>
    </row>
    <row r="829" spans="8:12" ht="13.2">
      <c r="H829" s="24"/>
      <c r="K829" s="242"/>
      <c r="L829" s="176"/>
    </row>
    <row r="830" spans="8:12" ht="13.2">
      <c r="H830" s="24"/>
      <c r="K830" s="242"/>
      <c r="L830" s="176"/>
    </row>
    <row r="831" spans="8:12" ht="13.2">
      <c r="H831" s="24"/>
      <c r="K831" s="242"/>
      <c r="L831" s="176"/>
    </row>
    <row r="832" spans="8:12" ht="13.2">
      <c r="H832" s="24"/>
      <c r="K832" s="242"/>
      <c r="L832" s="176"/>
    </row>
    <row r="833" spans="8:12" ht="13.2">
      <c r="H833" s="24"/>
      <c r="K833" s="242"/>
      <c r="L833" s="176"/>
    </row>
    <row r="834" spans="8:12" ht="13.2">
      <c r="H834" s="24"/>
      <c r="K834" s="242"/>
      <c r="L834" s="176"/>
    </row>
    <row r="835" spans="8:12" ht="13.2">
      <c r="H835" s="24"/>
      <c r="K835" s="242"/>
      <c r="L835" s="176"/>
    </row>
    <row r="836" spans="8:12" ht="13.2">
      <c r="H836" s="24"/>
      <c r="K836" s="242"/>
      <c r="L836" s="176"/>
    </row>
    <row r="837" spans="8:12" ht="13.2">
      <c r="H837" s="24"/>
      <c r="K837" s="242"/>
      <c r="L837" s="176"/>
    </row>
    <row r="838" spans="8:12" ht="13.2">
      <c r="H838" s="24"/>
      <c r="K838" s="242"/>
      <c r="L838" s="176"/>
    </row>
    <row r="839" spans="8:12" ht="13.2">
      <c r="H839" s="24"/>
      <c r="K839" s="242"/>
      <c r="L839" s="176"/>
    </row>
    <row r="840" spans="8:12" ht="13.2">
      <c r="H840" s="24"/>
      <c r="K840" s="242"/>
      <c r="L840" s="176"/>
    </row>
    <row r="841" spans="8:12" ht="13.2">
      <c r="H841" s="24"/>
      <c r="K841" s="242"/>
      <c r="L841" s="176"/>
    </row>
    <row r="842" spans="8:12" ht="13.2">
      <c r="H842" s="24"/>
      <c r="K842" s="242"/>
      <c r="L842" s="176"/>
    </row>
    <row r="843" spans="8:12" ht="13.2">
      <c r="H843" s="24"/>
      <c r="K843" s="242"/>
      <c r="L843" s="176"/>
    </row>
    <row r="844" spans="8:12" ht="13.2">
      <c r="H844" s="24"/>
      <c r="K844" s="242"/>
      <c r="L844" s="176"/>
    </row>
    <row r="845" spans="8:12" ht="13.2">
      <c r="H845" s="24"/>
      <c r="K845" s="242"/>
      <c r="L845" s="176"/>
    </row>
    <row r="846" spans="8:12" ht="13.2">
      <c r="H846" s="24"/>
      <c r="K846" s="242"/>
      <c r="L846" s="176"/>
    </row>
    <row r="847" spans="8:12" ht="13.2">
      <c r="H847" s="24"/>
      <c r="K847" s="242"/>
      <c r="L847" s="176"/>
    </row>
    <row r="848" spans="8:12" ht="13.2">
      <c r="H848" s="24"/>
      <c r="K848" s="242"/>
      <c r="L848" s="176"/>
    </row>
    <row r="849" spans="8:12" ht="13.2">
      <c r="H849" s="24"/>
      <c r="K849" s="242"/>
      <c r="L849" s="176"/>
    </row>
    <row r="850" spans="8:12" ht="13.2">
      <c r="H850" s="24"/>
      <c r="K850" s="242"/>
      <c r="L850" s="176"/>
    </row>
    <row r="851" spans="8:12" ht="13.2">
      <c r="H851" s="24"/>
      <c r="K851" s="242"/>
      <c r="L851" s="176"/>
    </row>
    <row r="852" spans="8:12" ht="13.2">
      <c r="H852" s="24"/>
      <c r="K852" s="242"/>
      <c r="L852" s="176"/>
    </row>
    <row r="853" spans="8:12" ht="13.2">
      <c r="H853" s="24"/>
      <c r="K853" s="242"/>
      <c r="L853" s="176"/>
    </row>
    <row r="854" spans="8:12" ht="13.2">
      <c r="H854" s="24"/>
      <c r="K854" s="242"/>
      <c r="L854" s="176"/>
    </row>
    <row r="855" spans="8:12" ht="13.2">
      <c r="H855" s="24"/>
      <c r="K855" s="242"/>
      <c r="L855" s="176"/>
    </row>
    <row r="856" spans="8:12" ht="13.2">
      <c r="H856" s="24"/>
      <c r="K856" s="242"/>
      <c r="L856" s="176"/>
    </row>
    <row r="857" spans="8:12" ht="13.2">
      <c r="H857" s="24"/>
      <c r="K857" s="242"/>
      <c r="L857" s="176"/>
    </row>
    <row r="858" spans="8:12" ht="13.2">
      <c r="H858" s="24"/>
      <c r="K858" s="242"/>
      <c r="L858" s="176"/>
    </row>
    <row r="859" spans="8:12" ht="13.2">
      <c r="H859" s="24"/>
      <c r="K859" s="242"/>
      <c r="L859" s="176"/>
    </row>
    <row r="860" spans="8:12" ht="13.2">
      <c r="H860" s="24"/>
      <c r="K860" s="242"/>
      <c r="L860" s="176"/>
    </row>
    <row r="861" spans="8:12" ht="13.2">
      <c r="H861" s="24"/>
      <c r="K861" s="242"/>
      <c r="L861" s="176"/>
    </row>
    <row r="862" spans="8:12" ht="13.2">
      <c r="H862" s="24"/>
      <c r="K862" s="242"/>
      <c r="L862" s="176"/>
    </row>
    <row r="863" spans="8:12" ht="13.2">
      <c r="H863" s="24"/>
      <c r="K863" s="242"/>
      <c r="L863" s="176"/>
    </row>
    <row r="864" spans="8:12" ht="13.2">
      <c r="H864" s="24"/>
      <c r="K864" s="242"/>
      <c r="L864" s="176"/>
    </row>
    <row r="865" spans="8:12" ht="13.2">
      <c r="H865" s="24"/>
      <c r="K865" s="242"/>
      <c r="L865" s="176"/>
    </row>
    <row r="866" spans="8:12" ht="13.2">
      <c r="H866" s="24"/>
      <c r="K866" s="242"/>
      <c r="L866" s="176"/>
    </row>
    <row r="867" spans="8:12" ht="13.2">
      <c r="H867" s="24"/>
      <c r="K867" s="242"/>
      <c r="L867" s="176"/>
    </row>
    <row r="868" spans="8:12" ht="13.2">
      <c r="H868" s="24"/>
      <c r="K868" s="242"/>
      <c r="L868" s="176"/>
    </row>
    <row r="869" spans="8:12" ht="13.2">
      <c r="H869" s="24"/>
      <c r="K869" s="242"/>
      <c r="L869" s="176"/>
    </row>
    <row r="870" spans="8:12" ht="13.2">
      <c r="H870" s="24"/>
      <c r="K870" s="242"/>
      <c r="L870" s="176"/>
    </row>
    <row r="871" spans="8:12" ht="13.2">
      <c r="H871" s="24"/>
      <c r="K871" s="242"/>
      <c r="L871" s="176"/>
    </row>
    <row r="872" spans="8:12" ht="13.2">
      <c r="H872" s="24"/>
      <c r="K872" s="242"/>
      <c r="L872" s="176"/>
    </row>
    <row r="873" spans="8:12" ht="13.2">
      <c r="H873" s="24"/>
      <c r="K873" s="242"/>
      <c r="L873" s="176"/>
    </row>
    <row r="874" spans="8:12" ht="13.2">
      <c r="H874" s="24"/>
      <c r="K874" s="242"/>
      <c r="L874" s="176"/>
    </row>
    <row r="875" spans="8:12" ht="13.2">
      <c r="H875" s="24"/>
      <c r="K875" s="242"/>
      <c r="L875" s="176"/>
    </row>
    <row r="876" spans="8:12" ht="13.2">
      <c r="H876" s="24"/>
      <c r="K876" s="242"/>
      <c r="L876" s="176"/>
    </row>
    <row r="877" spans="8:12" ht="13.2">
      <c r="H877" s="24"/>
      <c r="K877" s="242"/>
      <c r="L877" s="176"/>
    </row>
    <row r="878" spans="8:12" ht="13.2">
      <c r="H878" s="24"/>
      <c r="K878" s="242"/>
      <c r="L878" s="176"/>
    </row>
    <row r="879" spans="8:12" ht="13.2">
      <c r="H879" s="24"/>
      <c r="K879" s="242"/>
      <c r="L879" s="176"/>
    </row>
    <row r="880" spans="8:12" ht="13.2">
      <c r="H880" s="24"/>
      <c r="K880" s="242"/>
      <c r="L880" s="176"/>
    </row>
    <row r="881" spans="8:12" ht="13.2">
      <c r="H881" s="24"/>
      <c r="K881" s="242"/>
      <c r="L881" s="176"/>
    </row>
    <row r="882" spans="8:12" ht="13.2">
      <c r="H882" s="24"/>
      <c r="K882" s="242"/>
      <c r="L882" s="176"/>
    </row>
    <row r="883" spans="8:12" ht="13.2">
      <c r="H883" s="24"/>
      <c r="K883" s="242"/>
      <c r="L883" s="176"/>
    </row>
    <row r="884" spans="8:12" ht="13.2">
      <c r="H884" s="24"/>
      <c r="K884" s="242"/>
      <c r="L884" s="176"/>
    </row>
    <row r="885" spans="8:12" ht="13.2">
      <c r="H885" s="24"/>
      <c r="K885" s="242"/>
      <c r="L885" s="176"/>
    </row>
    <row r="886" spans="8:12" ht="13.2">
      <c r="H886" s="24"/>
      <c r="K886" s="242"/>
      <c r="L886" s="176"/>
    </row>
    <row r="887" spans="8:12" ht="13.2">
      <c r="H887" s="24"/>
      <c r="K887" s="242"/>
      <c r="L887" s="176"/>
    </row>
    <row r="888" spans="8:12" ht="13.2">
      <c r="H888" s="24"/>
      <c r="K888" s="242"/>
      <c r="L888" s="176"/>
    </row>
    <row r="889" spans="8:12" ht="13.2">
      <c r="H889" s="24"/>
      <c r="K889" s="242"/>
      <c r="L889" s="176"/>
    </row>
    <row r="890" spans="8:12" ht="13.2">
      <c r="H890" s="24"/>
      <c r="K890" s="242"/>
      <c r="L890" s="176"/>
    </row>
    <row r="891" spans="8:12" ht="13.2">
      <c r="H891" s="24"/>
      <c r="K891" s="242"/>
      <c r="L891" s="176"/>
    </row>
    <row r="892" spans="8:12" ht="13.2">
      <c r="H892" s="24"/>
      <c r="K892" s="242"/>
      <c r="L892" s="176"/>
    </row>
    <row r="893" spans="8:12" ht="13.2">
      <c r="H893" s="24"/>
      <c r="K893" s="242"/>
      <c r="L893" s="176"/>
    </row>
    <row r="894" spans="8:12" ht="13.2">
      <c r="H894" s="24"/>
      <c r="K894" s="242"/>
      <c r="L894" s="176"/>
    </row>
    <row r="895" spans="8:12" ht="13.2">
      <c r="H895" s="24"/>
      <c r="K895" s="242"/>
      <c r="L895" s="176"/>
    </row>
    <row r="896" spans="8:12" ht="13.2">
      <c r="H896" s="24"/>
      <c r="K896" s="242"/>
      <c r="L896" s="176"/>
    </row>
    <row r="897" spans="8:12" ht="13.2">
      <c r="H897" s="24"/>
      <c r="K897" s="242"/>
      <c r="L897" s="176"/>
    </row>
    <row r="898" spans="8:12" ht="13.2">
      <c r="H898" s="24"/>
      <c r="K898" s="242"/>
      <c r="L898" s="176"/>
    </row>
    <row r="899" spans="8:12" ht="13.2">
      <c r="H899" s="24"/>
      <c r="K899" s="242"/>
      <c r="L899" s="176"/>
    </row>
    <row r="900" spans="8:12" ht="13.2">
      <c r="H900" s="24"/>
      <c r="K900" s="242"/>
      <c r="L900" s="176"/>
    </row>
    <row r="901" spans="8:12" ht="13.2">
      <c r="H901" s="24"/>
      <c r="K901" s="242"/>
      <c r="L901" s="176"/>
    </row>
    <row r="902" spans="8:12" ht="13.2">
      <c r="H902" s="24"/>
      <c r="K902" s="242"/>
      <c r="L902" s="176"/>
    </row>
    <row r="903" spans="8:12" ht="13.2">
      <c r="H903" s="24"/>
      <c r="K903" s="242"/>
      <c r="L903" s="176"/>
    </row>
    <row r="904" spans="8:12" ht="13.2">
      <c r="H904" s="24"/>
      <c r="K904" s="242"/>
      <c r="L904" s="176"/>
    </row>
    <row r="905" spans="8:12" ht="13.2">
      <c r="H905" s="24"/>
      <c r="K905" s="242"/>
      <c r="L905" s="176"/>
    </row>
    <row r="906" spans="8:12" ht="13.2">
      <c r="H906" s="24"/>
      <c r="K906" s="242"/>
      <c r="L906" s="176"/>
    </row>
    <row r="907" spans="8:12" ht="13.2">
      <c r="H907" s="24"/>
      <c r="K907" s="242"/>
      <c r="L907" s="176"/>
    </row>
    <row r="908" spans="8:12" ht="13.2">
      <c r="H908" s="24"/>
      <c r="K908" s="242"/>
      <c r="L908" s="176"/>
    </row>
    <row r="909" spans="8:12" ht="13.2">
      <c r="H909" s="24"/>
      <c r="K909" s="242"/>
      <c r="L909" s="176"/>
    </row>
    <row r="910" spans="8:12" ht="13.2">
      <c r="H910" s="24"/>
      <c r="K910" s="242"/>
      <c r="L910" s="176"/>
    </row>
    <row r="911" spans="8:12" ht="13.2">
      <c r="H911" s="24"/>
      <c r="K911" s="242"/>
      <c r="L911" s="176"/>
    </row>
    <row r="912" spans="8:12" ht="13.2">
      <c r="H912" s="24"/>
      <c r="K912" s="242"/>
      <c r="L912" s="176"/>
    </row>
    <row r="913" spans="8:12" ht="13.2">
      <c r="H913" s="24"/>
      <c r="K913" s="242"/>
      <c r="L913" s="176"/>
    </row>
    <row r="914" spans="8:12" ht="13.2">
      <c r="H914" s="24"/>
      <c r="K914" s="242"/>
      <c r="L914" s="176"/>
    </row>
    <row r="915" spans="8:12" ht="13.2">
      <c r="H915" s="24"/>
      <c r="K915" s="242"/>
      <c r="L915" s="176"/>
    </row>
    <row r="916" spans="8:12" ht="13.2">
      <c r="H916" s="24"/>
      <c r="K916" s="242"/>
      <c r="L916" s="176"/>
    </row>
    <row r="917" spans="8:12" ht="13.2">
      <c r="H917" s="24"/>
      <c r="K917" s="242"/>
      <c r="L917" s="176"/>
    </row>
    <row r="918" spans="8:12" ht="13.2">
      <c r="H918" s="24"/>
      <c r="K918" s="242"/>
      <c r="L918" s="176"/>
    </row>
    <row r="919" spans="8:12" ht="13.2">
      <c r="H919" s="24"/>
      <c r="K919" s="242"/>
      <c r="L919" s="176"/>
    </row>
    <row r="920" spans="8:12" ht="13.2">
      <c r="H920" s="24"/>
      <c r="K920" s="242"/>
      <c r="L920" s="176"/>
    </row>
    <row r="921" spans="8:12" ht="13.2">
      <c r="H921" s="24"/>
      <c r="K921" s="242"/>
      <c r="L921" s="176"/>
    </row>
    <row r="922" spans="8:12" ht="13.2">
      <c r="H922" s="24"/>
      <c r="K922" s="242"/>
      <c r="L922" s="176"/>
    </row>
    <row r="923" spans="8:12" ht="13.2">
      <c r="H923" s="24"/>
      <c r="K923" s="242"/>
      <c r="L923" s="176"/>
    </row>
    <row r="924" spans="8:12" ht="13.2">
      <c r="H924" s="24"/>
      <c r="K924" s="242"/>
      <c r="L924" s="176"/>
    </row>
    <row r="925" spans="8:12" ht="13.2">
      <c r="H925" s="24"/>
      <c r="K925" s="242"/>
      <c r="L925" s="176"/>
    </row>
    <row r="926" spans="8:12" ht="13.2">
      <c r="H926" s="24"/>
      <c r="K926" s="242"/>
      <c r="L926" s="176"/>
    </row>
    <row r="927" spans="8:12" ht="13.2">
      <c r="H927" s="24"/>
      <c r="K927" s="242"/>
      <c r="L927" s="176"/>
    </row>
    <row r="928" spans="8:12" ht="13.2">
      <c r="H928" s="24"/>
      <c r="K928" s="242"/>
      <c r="L928" s="176"/>
    </row>
    <row r="929" spans="8:12" ht="13.2">
      <c r="H929" s="24"/>
      <c r="K929" s="242"/>
      <c r="L929" s="176"/>
    </row>
    <row r="930" spans="8:12" ht="13.2">
      <c r="H930" s="24"/>
      <c r="K930" s="242"/>
      <c r="L930" s="176"/>
    </row>
    <row r="931" spans="8:12" ht="13.2">
      <c r="H931" s="24"/>
      <c r="K931" s="242"/>
      <c r="L931" s="176"/>
    </row>
    <row r="932" spans="8:12" ht="13.2">
      <c r="H932" s="24"/>
      <c r="K932" s="242"/>
      <c r="L932" s="176"/>
    </row>
    <row r="933" spans="8:12" ht="13.2">
      <c r="H933" s="24"/>
      <c r="K933" s="242"/>
      <c r="L933" s="176"/>
    </row>
    <row r="934" spans="8:12" ht="13.2">
      <c r="H934" s="24"/>
      <c r="K934" s="242"/>
      <c r="L934" s="176"/>
    </row>
    <row r="935" spans="8:12" ht="13.2">
      <c r="H935" s="24"/>
      <c r="K935" s="242"/>
      <c r="L935" s="176"/>
    </row>
    <row r="936" spans="8:12" ht="13.2">
      <c r="H936" s="24"/>
      <c r="K936" s="242"/>
      <c r="L936" s="176"/>
    </row>
    <row r="937" spans="8:12" ht="13.2">
      <c r="H937" s="24"/>
      <c r="K937" s="242"/>
      <c r="L937" s="176"/>
    </row>
    <row r="938" spans="8:12" ht="13.2">
      <c r="H938" s="24"/>
      <c r="K938" s="242"/>
      <c r="L938" s="176"/>
    </row>
    <row r="939" spans="8:12" ht="13.2">
      <c r="H939" s="24"/>
      <c r="K939" s="242"/>
      <c r="L939" s="176"/>
    </row>
    <row r="940" spans="8:12" ht="13.2">
      <c r="H940" s="24"/>
      <c r="K940" s="242"/>
      <c r="L940" s="176"/>
    </row>
    <row r="941" spans="8:12" ht="13.2">
      <c r="H941" s="24"/>
      <c r="K941" s="242"/>
      <c r="L941" s="176"/>
    </row>
    <row r="942" spans="8:12" ht="13.2">
      <c r="H942" s="24"/>
      <c r="K942" s="242"/>
      <c r="L942" s="176"/>
    </row>
    <row r="943" spans="8:12" ht="13.2">
      <c r="H943" s="24"/>
      <c r="K943" s="242"/>
      <c r="L943" s="176"/>
    </row>
    <row r="944" spans="8:12" ht="13.2">
      <c r="H944" s="24"/>
      <c r="K944" s="242"/>
      <c r="L944" s="176"/>
    </row>
    <row r="945" spans="8:12" ht="13.2">
      <c r="H945" s="24"/>
      <c r="K945" s="242"/>
      <c r="L945" s="176"/>
    </row>
    <row r="946" spans="8:12" ht="13.2">
      <c r="H946" s="24"/>
      <c r="K946" s="242"/>
      <c r="L946" s="176"/>
    </row>
    <row r="947" spans="8:12" ht="13.2">
      <c r="H947" s="24"/>
      <c r="K947" s="242"/>
      <c r="L947" s="176"/>
    </row>
    <row r="948" spans="8:12" ht="13.2">
      <c r="H948" s="24"/>
      <c r="K948" s="242"/>
      <c r="L948" s="176"/>
    </row>
    <row r="949" spans="8:12" ht="13.2">
      <c r="H949" s="24"/>
      <c r="K949" s="242"/>
      <c r="L949" s="176"/>
    </row>
    <row r="950" spans="8:12" ht="13.2">
      <c r="H950" s="24"/>
      <c r="K950" s="242"/>
      <c r="L950" s="176"/>
    </row>
    <row r="951" spans="8:12" ht="13.2">
      <c r="H951" s="24"/>
      <c r="K951" s="242"/>
      <c r="L951" s="176"/>
    </row>
    <row r="952" spans="8:12" ht="13.2">
      <c r="H952" s="24"/>
      <c r="K952" s="242"/>
      <c r="L952" s="176"/>
    </row>
    <row r="953" spans="8:12" ht="13.2">
      <c r="H953" s="24"/>
      <c r="K953" s="242"/>
      <c r="L953" s="176"/>
    </row>
    <row r="954" spans="8:12" ht="13.2">
      <c r="H954" s="24"/>
      <c r="K954" s="242"/>
      <c r="L954" s="176"/>
    </row>
    <row r="955" spans="8:12" ht="13.2">
      <c r="H955" s="24"/>
      <c r="K955" s="242"/>
      <c r="L955" s="176"/>
    </row>
    <row r="956" spans="8:12" ht="13.2">
      <c r="H956" s="24"/>
      <c r="K956" s="242"/>
      <c r="L956" s="176"/>
    </row>
    <row r="957" spans="8:12" ht="13.2">
      <c r="H957" s="24"/>
      <c r="K957" s="242"/>
      <c r="L957" s="176"/>
    </row>
    <row r="958" spans="8:12" ht="13.2">
      <c r="H958" s="24"/>
      <c r="K958" s="242"/>
      <c r="L958" s="176"/>
    </row>
    <row r="959" spans="8:12" ht="13.2">
      <c r="H959" s="24"/>
      <c r="K959" s="242"/>
      <c r="L959" s="176"/>
    </row>
    <row r="960" spans="8:12" ht="13.2">
      <c r="H960" s="24"/>
      <c r="K960" s="242"/>
      <c r="L960" s="176"/>
    </row>
    <row r="961" spans="8:12" ht="13.2">
      <c r="H961" s="24"/>
      <c r="K961" s="242"/>
      <c r="L961" s="176"/>
    </row>
    <row r="962" spans="8:12" ht="13.2">
      <c r="H962" s="24"/>
      <c r="K962" s="242"/>
      <c r="L962" s="176"/>
    </row>
    <row r="963" spans="8:12" ht="13.2">
      <c r="H963" s="24"/>
      <c r="K963" s="242"/>
      <c r="L963" s="176"/>
    </row>
    <row r="964" spans="8:12" ht="13.2">
      <c r="H964" s="24"/>
      <c r="K964" s="242"/>
      <c r="L964" s="176"/>
    </row>
    <row r="965" spans="8:12" ht="13.2">
      <c r="H965" s="24"/>
      <c r="K965" s="242"/>
      <c r="L965" s="176"/>
    </row>
    <row r="966" spans="8:12" ht="13.2">
      <c r="H966" s="24"/>
      <c r="K966" s="242"/>
      <c r="L966" s="176"/>
    </row>
    <row r="967" spans="8:12" ht="13.2">
      <c r="H967" s="24"/>
      <c r="K967" s="242"/>
      <c r="L967" s="176"/>
    </row>
    <row r="968" spans="8:12" ht="13.2">
      <c r="H968" s="24"/>
      <c r="K968" s="242"/>
      <c r="L968" s="176"/>
    </row>
    <row r="969" spans="8:12" ht="13.2">
      <c r="H969" s="24"/>
      <c r="K969" s="242"/>
      <c r="L969" s="176"/>
    </row>
    <row r="970" spans="8:12" ht="13.2">
      <c r="H970" s="24"/>
      <c r="K970" s="242"/>
      <c r="L970" s="176"/>
    </row>
    <row r="971" spans="8:12" ht="13.2">
      <c r="H971" s="24"/>
      <c r="K971" s="242"/>
      <c r="L971" s="176"/>
    </row>
    <row r="972" spans="8:12" ht="13.2">
      <c r="H972" s="24"/>
      <c r="K972" s="242"/>
      <c r="L972" s="176"/>
    </row>
    <row r="973" spans="8:12" ht="13.2">
      <c r="H973" s="24"/>
      <c r="K973" s="242"/>
      <c r="L973" s="176"/>
    </row>
    <row r="974" spans="8:12" ht="13.2">
      <c r="H974" s="24"/>
      <c r="K974" s="242"/>
      <c r="L974" s="176"/>
    </row>
    <row r="975" spans="8:12" ht="13.2">
      <c r="H975" s="24"/>
      <c r="K975" s="242"/>
      <c r="L975" s="176"/>
    </row>
    <row r="976" spans="8:12" ht="13.2">
      <c r="H976" s="24"/>
      <c r="K976" s="242"/>
      <c r="L976" s="176"/>
    </row>
    <row r="977" spans="8:12" ht="13.2">
      <c r="H977" s="24"/>
      <c r="K977" s="242"/>
      <c r="L977" s="176"/>
    </row>
    <row r="978" spans="8:12" ht="13.2">
      <c r="H978" s="24"/>
      <c r="K978" s="242"/>
      <c r="L978" s="176"/>
    </row>
    <row r="979" spans="8:12" ht="13.2">
      <c r="H979" s="24"/>
      <c r="K979" s="242"/>
      <c r="L979" s="176"/>
    </row>
    <row r="980" spans="8:12" ht="13.2">
      <c r="H980" s="24"/>
      <c r="K980" s="242"/>
      <c r="L980" s="176"/>
    </row>
    <row r="981" spans="8:12" ht="13.2">
      <c r="H981" s="24"/>
      <c r="K981" s="242"/>
      <c r="L981" s="176"/>
    </row>
    <row r="982" spans="8:12" ht="13.2">
      <c r="H982" s="24"/>
      <c r="K982" s="242"/>
      <c r="L982" s="176"/>
    </row>
    <row r="983" spans="8:12" ht="13.2">
      <c r="H983" s="24"/>
      <c r="K983" s="242"/>
      <c r="L983" s="176"/>
    </row>
    <row r="984" spans="8:12" ht="13.2">
      <c r="H984" s="24"/>
      <c r="K984" s="242"/>
      <c r="L984" s="176"/>
    </row>
    <row r="985" spans="8:12" ht="13.2">
      <c r="H985" s="24"/>
      <c r="K985" s="242"/>
      <c r="L985" s="176"/>
    </row>
    <row r="986" spans="8:12" ht="13.2">
      <c r="H986" s="24"/>
      <c r="K986" s="242"/>
      <c r="L986" s="176"/>
    </row>
    <row r="987" spans="8:12" ht="13.2">
      <c r="H987" s="24"/>
      <c r="K987" s="242"/>
      <c r="L987" s="176"/>
    </row>
    <row r="988" spans="8:12" ht="13.2">
      <c r="H988" s="24"/>
      <c r="K988" s="242"/>
      <c r="L988" s="176"/>
    </row>
    <row r="989" spans="8:12" ht="13.2">
      <c r="H989" s="24"/>
      <c r="K989" s="242"/>
      <c r="L989" s="176"/>
    </row>
    <row r="990" spans="8:12" ht="13.2">
      <c r="H990" s="24"/>
      <c r="K990" s="242"/>
      <c r="L990" s="176"/>
    </row>
    <row r="991" spans="8:12" ht="13.2">
      <c r="H991" s="24"/>
      <c r="K991" s="242"/>
      <c r="L991" s="176"/>
    </row>
    <row r="992" spans="8:12" ht="13.2">
      <c r="H992" s="24"/>
      <c r="K992" s="242"/>
      <c r="L992" s="176"/>
    </row>
    <row r="993" spans="8:12" ht="13.2">
      <c r="H993" s="24"/>
      <c r="K993" s="242"/>
      <c r="L993" s="176"/>
    </row>
    <row r="994" spans="8:12" ht="13.2">
      <c r="H994" s="24"/>
      <c r="K994" s="242"/>
      <c r="L994" s="176"/>
    </row>
    <row r="995" spans="8:12" ht="13.2">
      <c r="H995" s="24"/>
      <c r="K995" s="242"/>
      <c r="L995" s="176"/>
    </row>
    <row r="996" spans="8:12" ht="13.2">
      <c r="H996" s="24"/>
      <c r="K996" s="242"/>
      <c r="L996" s="176"/>
    </row>
    <row r="997" spans="8:12" ht="13.2">
      <c r="H997" s="24"/>
      <c r="K997" s="242"/>
      <c r="L997" s="176"/>
    </row>
    <row r="998" spans="8:12" ht="13.2">
      <c r="H998" s="24"/>
      <c r="K998" s="242"/>
      <c r="L998" s="176"/>
    </row>
    <row r="999" spans="8:12" ht="13.2">
      <c r="H999" s="24"/>
      <c r="K999" s="242"/>
      <c r="L999" s="176"/>
    </row>
    <row r="1000" spans="8:12" ht="13.2">
      <c r="H1000" s="32"/>
      <c r="I1000" s="12"/>
      <c r="J1000" s="12"/>
      <c r="K1000" s="243"/>
      <c r="L1000" s="167"/>
    </row>
  </sheetData>
  <mergeCells count="1003">
    <mergeCell ref="K676:L676"/>
    <mergeCell ref="K677:L677"/>
    <mergeCell ref="K678:L678"/>
    <mergeCell ref="K679:L679"/>
    <mergeCell ref="K680:L680"/>
    <mergeCell ref="K681:L681"/>
    <mergeCell ref="K682:L682"/>
    <mergeCell ref="K683:L683"/>
    <mergeCell ref="K659:L659"/>
    <mergeCell ref="K660:L660"/>
    <mergeCell ref="K661:L661"/>
    <mergeCell ref="K662:L662"/>
    <mergeCell ref="K663:L663"/>
    <mergeCell ref="K664:L664"/>
    <mergeCell ref="K665:L665"/>
    <mergeCell ref="K666:L666"/>
    <mergeCell ref="K667:L667"/>
    <mergeCell ref="K668:L668"/>
    <mergeCell ref="K669:L669"/>
    <mergeCell ref="K670:L670"/>
    <mergeCell ref="K671:L671"/>
    <mergeCell ref="K672:L672"/>
    <mergeCell ref="K673:L673"/>
    <mergeCell ref="K674:L674"/>
    <mergeCell ref="K675:L675"/>
    <mergeCell ref="K642:L642"/>
    <mergeCell ref="K643:L643"/>
    <mergeCell ref="K644:L644"/>
    <mergeCell ref="K645:L645"/>
    <mergeCell ref="K646:L646"/>
    <mergeCell ref="K647:L647"/>
    <mergeCell ref="K648:L648"/>
    <mergeCell ref="K649:L649"/>
    <mergeCell ref="K650:L650"/>
    <mergeCell ref="K651:L651"/>
    <mergeCell ref="K652:L652"/>
    <mergeCell ref="K653:L653"/>
    <mergeCell ref="K654:L654"/>
    <mergeCell ref="K655:L655"/>
    <mergeCell ref="K656:L656"/>
    <mergeCell ref="K657:L657"/>
    <mergeCell ref="K658:L658"/>
    <mergeCell ref="K625:L625"/>
    <mergeCell ref="K626:L626"/>
    <mergeCell ref="K627:L627"/>
    <mergeCell ref="K628:L628"/>
    <mergeCell ref="K629:L629"/>
    <mergeCell ref="K630:L630"/>
    <mergeCell ref="K631:L631"/>
    <mergeCell ref="K632:L632"/>
    <mergeCell ref="K633:L633"/>
    <mergeCell ref="K634:L634"/>
    <mergeCell ref="K635:L635"/>
    <mergeCell ref="K636:L636"/>
    <mergeCell ref="K637:L637"/>
    <mergeCell ref="K638:L638"/>
    <mergeCell ref="K639:L639"/>
    <mergeCell ref="K640:L640"/>
    <mergeCell ref="K641:L641"/>
    <mergeCell ref="K608:L608"/>
    <mergeCell ref="K609:L609"/>
    <mergeCell ref="K610:L610"/>
    <mergeCell ref="K611:L611"/>
    <mergeCell ref="K612:L612"/>
    <mergeCell ref="K613:L613"/>
    <mergeCell ref="K614:L614"/>
    <mergeCell ref="K615:L615"/>
    <mergeCell ref="K616:L616"/>
    <mergeCell ref="K617:L617"/>
    <mergeCell ref="K618:L618"/>
    <mergeCell ref="K619:L619"/>
    <mergeCell ref="K620:L620"/>
    <mergeCell ref="K621:L621"/>
    <mergeCell ref="K622:L622"/>
    <mergeCell ref="K623:L623"/>
    <mergeCell ref="K624:L624"/>
    <mergeCell ref="K591:L591"/>
    <mergeCell ref="K592:L592"/>
    <mergeCell ref="K593:L593"/>
    <mergeCell ref="K594:L594"/>
    <mergeCell ref="K595:L595"/>
    <mergeCell ref="K596:L596"/>
    <mergeCell ref="K597:L597"/>
    <mergeCell ref="K598:L598"/>
    <mergeCell ref="K599:L599"/>
    <mergeCell ref="K600:L600"/>
    <mergeCell ref="K601:L601"/>
    <mergeCell ref="K602:L602"/>
    <mergeCell ref="K603:L603"/>
    <mergeCell ref="K604:L604"/>
    <mergeCell ref="K605:L605"/>
    <mergeCell ref="K606:L606"/>
    <mergeCell ref="K607:L607"/>
    <mergeCell ref="K574:L574"/>
    <mergeCell ref="K575:L575"/>
    <mergeCell ref="K576:L576"/>
    <mergeCell ref="K577:L577"/>
    <mergeCell ref="K578:L578"/>
    <mergeCell ref="K579:L579"/>
    <mergeCell ref="K580:L580"/>
    <mergeCell ref="K581:L581"/>
    <mergeCell ref="K582:L582"/>
    <mergeCell ref="K583:L583"/>
    <mergeCell ref="K584:L584"/>
    <mergeCell ref="K585:L585"/>
    <mergeCell ref="K586:L586"/>
    <mergeCell ref="K587:L587"/>
    <mergeCell ref="K588:L588"/>
    <mergeCell ref="K589:L589"/>
    <mergeCell ref="K590:L590"/>
    <mergeCell ref="K557:L557"/>
    <mergeCell ref="K558:L558"/>
    <mergeCell ref="K559:L559"/>
    <mergeCell ref="K560:L560"/>
    <mergeCell ref="K561:L561"/>
    <mergeCell ref="K562:L562"/>
    <mergeCell ref="K563:L563"/>
    <mergeCell ref="K564:L564"/>
    <mergeCell ref="K565:L565"/>
    <mergeCell ref="K566:L566"/>
    <mergeCell ref="K567:L567"/>
    <mergeCell ref="K568:L568"/>
    <mergeCell ref="K569:L569"/>
    <mergeCell ref="K570:L570"/>
    <mergeCell ref="K571:L571"/>
    <mergeCell ref="K572:L572"/>
    <mergeCell ref="K573:L573"/>
    <mergeCell ref="K540:L540"/>
    <mergeCell ref="K541:L541"/>
    <mergeCell ref="K542:L542"/>
    <mergeCell ref="K543:L543"/>
    <mergeCell ref="K544:L544"/>
    <mergeCell ref="K545:L545"/>
    <mergeCell ref="K546:L546"/>
    <mergeCell ref="K547:L547"/>
    <mergeCell ref="K548:L548"/>
    <mergeCell ref="K549:L549"/>
    <mergeCell ref="K550:L550"/>
    <mergeCell ref="K551:L551"/>
    <mergeCell ref="K552:L552"/>
    <mergeCell ref="K553:L553"/>
    <mergeCell ref="K554:L554"/>
    <mergeCell ref="K555:L555"/>
    <mergeCell ref="K556:L556"/>
    <mergeCell ref="K523:L523"/>
    <mergeCell ref="K524:L524"/>
    <mergeCell ref="K525:L525"/>
    <mergeCell ref="K526:L526"/>
    <mergeCell ref="K527:L527"/>
    <mergeCell ref="K528:L528"/>
    <mergeCell ref="K529:L529"/>
    <mergeCell ref="K530:L530"/>
    <mergeCell ref="K531:L531"/>
    <mergeCell ref="K532:L532"/>
    <mergeCell ref="K533:L533"/>
    <mergeCell ref="K534:L534"/>
    <mergeCell ref="K535:L535"/>
    <mergeCell ref="K536:L536"/>
    <mergeCell ref="K537:L537"/>
    <mergeCell ref="K538:L538"/>
    <mergeCell ref="K539:L539"/>
    <mergeCell ref="K506:L506"/>
    <mergeCell ref="K507:L507"/>
    <mergeCell ref="K508:L508"/>
    <mergeCell ref="K509:L509"/>
    <mergeCell ref="K510:L510"/>
    <mergeCell ref="K511:L511"/>
    <mergeCell ref="K512:L512"/>
    <mergeCell ref="K513:L513"/>
    <mergeCell ref="K514:L514"/>
    <mergeCell ref="K515:L515"/>
    <mergeCell ref="K516:L516"/>
    <mergeCell ref="K517:L517"/>
    <mergeCell ref="K518:L518"/>
    <mergeCell ref="K519:L519"/>
    <mergeCell ref="K520:L520"/>
    <mergeCell ref="K521:L521"/>
    <mergeCell ref="K522:L522"/>
    <mergeCell ref="K489:L489"/>
    <mergeCell ref="K490:L490"/>
    <mergeCell ref="K491:L491"/>
    <mergeCell ref="K492:L492"/>
    <mergeCell ref="K493:L493"/>
    <mergeCell ref="K494:L494"/>
    <mergeCell ref="K495:L495"/>
    <mergeCell ref="K496:L496"/>
    <mergeCell ref="K497:L497"/>
    <mergeCell ref="K498:L498"/>
    <mergeCell ref="K499:L499"/>
    <mergeCell ref="K500:L500"/>
    <mergeCell ref="K501:L501"/>
    <mergeCell ref="K502:L502"/>
    <mergeCell ref="K503:L503"/>
    <mergeCell ref="K504:L504"/>
    <mergeCell ref="K505:L505"/>
    <mergeCell ref="K472:L472"/>
    <mergeCell ref="K473:L473"/>
    <mergeCell ref="K474:L474"/>
    <mergeCell ref="K475:L475"/>
    <mergeCell ref="K476:L476"/>
    <mergeCell ref="K477:L477"/>
    <mergeCell ref="K478:L478"/>
    <mergeCell ref="K479:L479"/>
    <mergeCell ref="K480:L480"/>
    <mergeCell ref="K481:L481"/>
    <mergeCell ref="K482:L482"/>
    <mergeCell ref="K483:L483"/>
    <mergeCell ref="K484:L484"/>
    <mergeCell ref="K485:L485"/>
    <mergeCell ref="K486:L486"/>
    <mergeCell ref="K487:L487"/>
    <mergeCell ref="K488:L488"/>
    <mergeCell ref="K455:L455"/>
    <mergeCell ref="K456:L456"/>
    <mergeCell ref="K457:L457"/>
    <mergeCell ref="K458:L458"/>
    <mergeCell ref="K459:L459"/>
    <mergeCell ref="K460:L460"/>
    <mergeCell ref="K461:L461"/>
    <mergeCell ref="K462:L462"/>
    <mergeCell ref="K463:L463"/>
    <mergeCell ref="K464:L464"/>
    <mergeCell ref="K465:L465"/>
    <mergeCell ref="K466:L466"/>
    <mergeCell ref="K467:L467"/>
    <mergeCell ref="K468:L468"/>
    <mergeCell ref="K469:L469"/>
    <mergeCell ref="K470:L470"/>
    <mergeCell ref="K471:L471"/>
    <mergeCell ref="K438:L438"/>
    <mergeCell ref="K439:L439"/>
    <mergeCell ref="K440:L440"/>
    <mergeCell ref="K441:L441"/>
    <mergeCell ref="K442:L442"/>
    <mergeCell ref="K443:L443"/>
    <mergeCell ref="K444:L444"/>
    <mergeCell ref="K445:L445"/>
    <mergeCell ref="K446:L446"/>
    <mergeCell ref="K447:L447"/>
    <mergeCell ref="K448:L448"/>
    <mergeCell ref="K449:L449"/>
    <mergeCell ref="K450:L450"/>
    <mergeCell ref="K451:L451"/>
    <mergeCell ref="K452:L452"/>
    <mergeCell ref="K453:L453"/>
    <mergeCell ref="K454:L454"/>
    <mergeCell ref="K421:L421"/>
    <mergeCell ref="K422:L422"/>
    <mergeCell ref="K423:L423"/>
    <mergeCell ref="K424:L424"/>
    <mergeCell ref="K425:L425"/>
    <mergeCell ref="K426:L426"/>
    <mergeCell ref="K427:L427"/>
    <mergeCell ref="K428:L428"/>
    <mergeCell ref="K429:L429"/>
    <mergeCell ref="K430:L430"/>
    <mergeCell ref="K431:L431"/>
    <mergeCell ref="K432:L432"/>
    <mergeCell ref="K433:L433"/>
    <mergeCell ref="K434:L434"/>
    <mergeCell ref="K435:L435"/>
    <mergeCell ref="K436:L436"/>
    <mergeCell ref="K437:L437"/>
    <mergeCell ref="K404:L404"/>
    <mergeCell ref="K405:L405"/>
    <mergeCell ref="K406:L406"/>
    <mergeCell ref="K407:L407"/>
    <mergeCell ref="K408:L408"/>
    <mergeCell ref="K409:L409"/>
    <mergeCell ref="K410:L410"/>
    <mergeCell ref="K411:L411"/>
    <mergeCell ref="K412:L412"/>
    <mergeCell ref="K413:L413"/>
    <mergeCell ref="K414:L414"/>
    <mergeCell ref="K415:L415"/>
    <mergeCell ref="K416:L416"/>
    <mergeCell ref="K417:L417"/>
    <mergeCell ref="K418:L418"/>
    <mergeCell ref="K419:L419"/>
    <mergeCell ref="K420:L420"/>
    <mergeCell ref="K387:L387"/>
    <mergeCell ref="K388:L388"/>
    <mergeCell ref="K389:L389"/>
    <mergeCell ref="K390:L390"/>
    <mergeCell ref="K391:L391"/>
    <mergeCell ref="K392:L392"/>
    <mergeCell ref="K393:L393"/>
    <mergeCell ref="K394:L394"/>
    <mergeCell ref="K395:L395"/>
    <mergeCell ref="K396:L396"/>
    <mergeCell ref="K397:L397"/>
    <mergeCell ref="K398:L398"/>
    <mergeCell ref="K399:L399"/>
    <mergeCell ref="K400:L400"/>
    <mergeCell ref="K401:L401"/>
    <mergeCell ref="K402:L402"/>
    <mergeCell ref="K403:L403"/>
    <mergeCell ref="K977:L977"/>
    <mergeCell ref="K341:L341"/>
    <mergeCell ref="K342:L342"/>
    <mergeCell ref="K343:L343"/>
    <mergeCell ref="K344:L344"/>
    <mergeCell ref="K345:L345"/>
    <mergeCell ref="K346:L346"/>
    <mergeCell ref="K347:L347"/>
    <mergeCell ref="K348:L348"/>
    <mergeCell ref="K349:L349"/>
    <mergeCell ref="K350:L350"/>
    <mergeCell ref="K351:L351"/>
    <mergeCell ref="K352:L352"/>
    <mergeCell ref="K353:L353"/>
    <mergeCell ref="K354:L354"/>
    <mergeCell ref="K355:L355"/>
    <mergeCell ref="K356:L356"/>
    <mergeCell ref="K357:L357"/>
    <mergeCell ref="K358:L358"/>
    <mergeCell ref="K359:L359"/>
    <mergeCell ref="K360:L360"/>
    <mergeCell ref="K361:L361"/>
    <mergeCell ref="K362:L362"/>
    <mergeCell ref="K363:L363"/>
    <mergeCell ref="K364:L364"/>
    <mergeCell ref="K365:L365"/>
    <mergeCell ref="K366:L366"/>
    <mergeCell ref="K367:L367"/>
    <mergeCell ref="K368:L368"/>
    <mergeCell ref="K369:L369"/>
    <mergeCell ref="K370:L370"/>
    <mergeCell ref="K371:L371"/>
    <mergeCell ref="K960:L960"/>
    <mergeCell ref="K961:L961"/>
    <mergeCell ref="K962:L962"/>
    <mergeCell ref="K963:L963"/>
    <mergeCell ref="K964:L964"/>
    <mergeCell ref="K965:L965"/>
    <mergeCell ref="K966:L966"/>
    <mergeCell ref="K967:L967"/>
    <mergeCell ref="K968:L968"/>
    <mergeCell ref="K969:L969"/>
    <mergeCell ref="K970:L970"/>
    <mergeCell ref="K971:L971"/>
    <mergeCell ref="K972:L972"/>
    <mergeCell ref="K973:L973"/>
    <mergeCell ref="K974:L974"/>
    <mergeCell ref="K975:L975"/>
    <mergeCell ref="K976:L976"/>
    <mergeCell ref="K985:L985"/>
    <mergeCell ref="K986:L986"/>
    <mergeCell ref="K987:L987"/>
    <mergeCell ref="K988:L988"/>
    <mergeCell ref="K989:L989"/>
    <mergeCell ref="K990:L990"/>
    <mergeCell ref="K991:L991"/>
    <mergeCell ref="K999:L999"/>
    <mergeCell ref="K1000:L1000"/>
    <mergeCell ref="K992:L992"/>
    <mergeCell ref="K993:L993"/>
    <mergeCell ref="K994:L994"/>
    <mergeCell ref="K995:L995"/>
    <mergeCell ref="K996:L996"/>
    <mergeCell ref="K997:L997"/>
    <mergeCell ref="K998:L998"/>
    <mergeCell ref="K929:L929"/>
    <mergeCell ref="K930:L930"/>
    <mergeCell ref="K931:L931"/>
    <mergeCell ref="K932:L932"/>
    <mergeCell ref="K933:L933"/>
    <mergeCell ref="K934:L934"/>
    <mergeCell ref="K935:L935"/>
    <mergeCell ref="K936:L936"/>
    <mergeCell ref="K937:L937"/>
    <mergeCell ref="K938:L938"/>
    <mergeCell ref="K939:L939"/>
    <mergeCell ref="K940:L940"/>
    <mergeCell ref="K941:L941"/>
    <mergeCell ref="K942:L942"/>
    <mergeCell ref="K943:L943"/>
    <mergeCell ref="K944:L944"/>
    <mergeCell ref="K919:L919"/>
    <mergeCell ref="K920:L920"/>
    <mergeCell ref="K921:L921"/>
    <mergeCell ref="K922:L922"/>
    <mergeCell ref="K923:L923"/>
    <mergeCell ref="K924:L924"/>
    <mergeCell ref="K925:L925"/>
    <mergeCell ref="K926:L926"/>
    <mergeCell ref="K927:L927"/>
    <mergeCell ref="K928:L928"/>
    <mergeCell ref="K978:L978"/>
    <mergeCell ref="K979:L979"/>
    <mergeCell ref="K980:L980"/>
    <mergeCell ref="K981:L981"/>
    <mergeCell ref="K982:L982"/>
    <mergeCell ref="K983:L983"/>
    <mergeCell ref="K984:L984"/>
    <mergeCell ref="K945:L945"/>
    <mergeCell ref="K946:L946"/>
    <mergeCell ref="K947:L947"/>
    <mergeCell ref="K948:L948"/>
    <mergeCell ref="K949:L949"/>
    <mergeCell ref="K950:L950"/>
    <mergeCell ref="K951:L951"/>
    <mergeCell ref="K952:L952"/>
    <mergeCell ref="K953:L953"/>
    <mergeCell ref="K954:L954"/>
    <mergeCell ref="K955:L955"/>
    <mergeCell ref="K956:L956"/>
    <mergeCell ref="K957:L957"/>
    <mergeCell ref="K958:L958"/>
    <mergeCell ref="K959:L959"/>
    <mergeCell ref="K902:L902"/>
    <mergeCell ref="K903:L903"/>
    <mergeCell ref="K904:L904"/>
    <mergeCell ref="K905:L905"/>
    <mergeCell ref="K906:L906"/>
    <mergeCell ref="K907:L907"/>
    <mergeCell ref="K908:L908"/>
    <mergeCell ref="K909:L909"/>
    <mergeCell ref="K910:L910"/>
    <mergeCell ref="K911:L911"/>
    <mergeCell ref="K912:L912"/>
    <mergeCell ref="K913:L913"/>
    <mergeCell ref="K914:L914"/>
    <mergeCell ref="K915:L915"/>
    <mergeCell ref="K916:L916"/>
    <mergeCell ref="K917:L917"/>
    <mergeCell ref="K918:L918"/>
    <mergeCell ref="K885:L885"/>
    <mergeCell ref="K886:L886"/>
    <mergeCell ref="K887:L887"/>
    <mergeCell ref="K888:L888"/>
    <mergeCell ref="K889:L889"/>
    <mergeCell ref="K890:L890"/>
    <mergeCell ref="K891:L891"/>
    <mergeCell ref="K892:L892"/>
    <mergeCell ref="K893:L893"/>
    <mergeCell ref="K894:L894"/>
    <mergeCell ref="K895:L895"/>
    <mergeCell ref="K896:L896"/>
    <mergeCell ref="K897:L897"/>
    <mergeCell ref="K898:L898"/>
    <mergeCell ref="K899:L899"/>
    <mergeCell ref="K900:L900"/>
    <mergeCell ref="K901:L901"/>
    <mergeCell ref="K868:L868"/>
    <mergeCell ref="K869:L869"/>
    <mergeCell ref="K870:L870"/>
    <mergeCell ref="K871:L871"/>
    <mergeCell ref="K872:L872"/>
    <mergeCell ref="K873:L873"/>
    <mergeCell ref="K874:L874"/>
    <mergeCell ref="K875:L875"/>
    <mergeCell ref="K876:L876"/>
    <mergeCell ref="K877:L877"/>
    <mergeCell ref="K878:L878"/>
    <mergeCell ref="K879:L879"/>
    <mergeCell ref="K880:L880"/>
    <mergeCell ref="K881:L881"/>
    <mergeCell ref="K882:L882"/>
    <mergeCell ref="K883:L883"/>
    <mergeCell ref="K884:L884"/>
    <mergeCell ref="K851:L851"/>
    <mergeCell ref="K852:L852"/>
    <mergeCell ref="K853:L853"/>
    <mergeCell ref="K854:L854"/>
    <mergeCell ref="K855:L855"/>
    <mergeCell ref="K856:L856"/>
    <mergeCell ref="K857:L857"/>
    <mergeCell ref="K858:L858"/>
    <mergeCell ref="K859:L859"/>
    <mergeCell ref="K860:L860"/>
    <mergeCell ref="K861:L861"/>
    <mergeCell ref="K862:L862"/>
    <mergeCell ref="K863:L863"/>
    <mergeCell ref="K864:L864"/>
    <mergeCell ref="K865:L865"/>
    <mergeCell ref="K866:L866"/>
    <mergeCell ref="K867:L867"/>
    <mergeCell ref="K834:L834"/>
    <mergeCell ref="K835:L835"/>
    <mergeCell ref="K836:L836"/>
    <mergeCell ref="K837:L837"/>
    <mergeCell ref="K838:L838"/>
    <mergeCell ref="K839:L839"/>
    <mergeCell ref="K840:L840"/>
    <mergeCell ref="K841:L841"/>
    <mergeCell ref="K842:L842"/>
    <mergeCell ref="K843:L843"/>
    <mergeCell ref="K844:L844"/>
    <mergeCell ref="K845:L845"/>
    <mergeCell ref="K846:L846"/>
    <mergeCell ref="K847:L847"/>
    <mergeCell ref="K848:L848"/>
    <mergeCell ref="K849:L849"/>
    <mergeCell ref="K850:L850"/>
    <mergeCell ref="K817:L817"/>
    <mergeCell ref="K818:L818"/>
    <mergeCell ref="K819:L819"/>
    <mergeCell ref="K820:L820"/>
    <mergeCell ref="K821:L821"/>
    <mergeCell ref="K822:L822"/>
    <mergeCell ref="K823:L823"/>
    <mergeCell ref="K824:L824"/>
    <mergeCell ref="K825:L825"/>
    <mergeCell ref="K826:L826"/>
    <mergeCell ref="K827:L827"/>
    <mergeCell ref="K828:L828"/>
    <mergeCell ref="K829:L829"/>
    <mergeCell ref="K830:L830"/>
    <mergeCell ref="K831:L831"/>
    <mergeCell ref="K832:L832"/>
    <mergeCell ref="K833:L833"/>
    <mergeCell ref="K800:L800"/>
    <mergeCell ref="K801:L801"/>
    <mergeCell ref="K802:L802"/>
    <mergeCell ref="K803:L803"/>
    <mergeCell ref="K804:L804"/>
    <mergeCell ref="K805:L805"/>
    <mergeCell ref="K806:L806"/>
    <mergeCell ref="K807:L807"/>
    <mergeCell ref="K808:L808"/>
    <mergeCell ref="K809:L809"/>
    <mergeCell ref="K810:L810"/>
    <mergeCell ref="K811:L811"/>
    <mergeCell ref="K812:L812"/>
    <mergeCell ref="K813:L813"/>
    <mergeCell ref="K814:L814"/>
    <mergeCell ref="K815:L815"/>
    <mergeCell ref="K816:L816"/>
    <mergeCell ref="K783:L783"/>
    <mergeCell ref="K784:L784"/>
    <mergeCell ref="K785:L785"/>
    <mergeCell ref="K786:L786"/>
    <mergeCell ref="K787:L787"/>
    <mergeCell ref="K788:L788"/>
    <mergeCell ref="K789:L789"/>
    <mergeCell ref="K790:L790"/>
    <mergeCell ref="K791:L791"/>
    <mergeCell ref="K792:L792"/>
    <mergeCell ref="K793:L793"/>
    <mergeCell ref="K794:L794"/>
    <mergeCell ref="K795:L795"/>
    <mergeCell ref="K796:L796"/>
    <mergeCell ref="K797:L797"/>
    <mergeCell ref="K798:L798"/>
    <mergeCell ref="K799:L799"/>
    <mergeCell ref="K766:L766"/>
    <mergeCell ref="K767:L767"/>
    <mergeCell ref="K768:L768"/>
    <mergeCell ref="K769:L769"/>
    <mergeCell ref="K770:L770"/>
    <mergeCell ref="K771:L771"/>
    <mergeCell ref="K772:L772"/>
    <mergeCell ref="K773:L773"/>
    <mergeCell ref="K774:L774"/>
    <mergeCell ref="K775:L775"/>
    <mergeCell ref="K776:L776"/>
    <mergeCell ref="K777:L777"/>
    <mergeCell ref="K778:L778"/>
    <mergeCell ref="K779:L779"/>
    <mergeCell ref="K780:L780"/>
    <mergeCell ref="K781:L781"/>
    <mergeCell ref="K782:L782"/>
    <mergeCell ref="K749:L749"/>
    <mergeCell ref="K750:L750"/>
    <mergeCell ref="K751:L751"/>
    <mergeCell ref="K752:L752"/>
    <mergeCell ref="K753:L753"/>
    <mergeCell ref="K754:L754"/>
    <mergeCell ref="K755:L755"/>
    <mergeCell ref="K756:L756"/>
    <mergeCell ref="K757:L757"/>
    <mergeCell ref="K758:L758"/>
    <mergeCell ref="K759:L759"/>
    <mergeCell ref="K760:L760"/>
    <mergeCell ref="K761:L761"/>
    <mergeCell ref="K762:L762"/>
    <mergeCell ref="K763:L763"/>
    <mergeCell ref="K764:L764"/>
    <mergeCell ref="K765:L765"/>
    <mergeCell ref="K732:L732"/>
    <mergeCell ref="K733:L733"/>
    <mergeCell ref="K734:L734"/>
    <mergeCell ref="K735:L735"/>
    <mergeCell ref="K736:L736"/>
    <mergeCell ref="K737:L737"/>
    <mergeCell ref="K738:L738"/>
    <mergeCell ref="K739:L739"/>
    <mergeCell ref="K740:L740"/>
    <mergeCell ref="K741:L741"/>
    <mergeCell ref="K742:L742"/>
    <mergeCell ref="K743:L743"/>
    <mergeCell ref="K744:L744"/>
    <mergeCell ref="K745:L745"/>
    <mergeCell ref="K746:L746"/>
    <mergeCell ref="K747:L747"/>
    <mergeCell ref="K748:L748"/>
    <mergeCell ref="K715:L715"/>
    <mergeCell ref="K716:L716"/>
    <mergeCell ref="K717:L717"/>
    <mergeCell ref="K718:L718"/>
    <mergeCell ref="K719:L719"/>
    <mergeCell ref="K720:L720"/>
    <mergeCell ref="K721:L721"/>
    <mergeCell ref="K722:L722"/>
    <mergeCell ref="K723:L723"/>
    <mergeCell ref="K724:L724"/>
    <mergeCell ref="K725:L725"/>
    <mergeCell ref="K726:L726"/>
    <mergeCell ref="K727:L727"/>
    <mergeCell ref="K728:L728"/>
    <mergeCell ref="K729:L729"/>
    <mergeCell ref="K730:L730"/>
    <mergeCell ref="K731:L731"/>
    <mergeCell ref="K698:L698"/>
    <mergeCell ref="K699:L699"/>
    <mergeCell ref="K700:L700"/>
    <mergeCell ref="K701:L701"/>
    <mergeCell ref="K702:L702"/>
    <mergeCell ref="K703:L703"/>
    <mergeCell ref="K704:L704"/>
    <mergeCell ref="K705:L705"/>
    <mergeCell ref="K706:L706"/>
    <mergeCell ref="K707:L707"/>
    <mergeCell ref="K708:L708"/>
    <mergeCell ref="K709:L709"/>
    <mergeCell ref="K710:L710"/>
    <mergeCell ref="K711:L711"/>
    <mergeCell ref="K712:L712"/>
    <mergeCell ref="K713:L713"/>
    <mergeCell ref="K714:L714"/>
    <mergeCell ref="K338:L338"/>
    <mergeCell ref="K339:L339"/>
    <mergeCell ref="K340:L340"/>
    <mergeCell ref="K684:L684"/>
    <mergeCell ref="K685:L685"/>
    <mergeCell ref="K686:L686"/>
    <mergeCell ref="K687:L687"/>
    <mergeCell ref="K688:L688"/>
    <mergeCell ref="K689:L689"/>
    <mergeCell ref="K690:L690"/>
    <mergeCell ref="K691:L691"/>
    <mergeCell ref="K692:L692"/>
    <mergeCell ref="K693:L693"/>
    <mergeCell ref="K694:L694"/>
    <mergeCell ref="K695:L695"/>
    <mergeCell ref="K696:L696"/>
    <mergeCell ref="K697:L697"/>
    <mergeCell ref="K372:L372"/>
    <mergeCell ref="K373:L373"/>
    <mergeCell ref="K374:L374"/>
    <mergeCell ref="K375:L375"/>
    <mergeCell ref="K376:L376"/>
    <mergeCell ref="K377:L377"/>
    <mergeCell ref="K378:L378"/>
    <mergeCell ref="K379:L379"/>
    <mergeCell ref="K380:L380"/>
    <mergeCell ref="K381:L381"/>
    <mergeCell ref="K382:L382"/>
    <mergeCell ref="K383:L383"/>
    <mergeCell ref="K384:L384"/>
    <mergeCell ref="K385:L385"/>
    <mergeCell ref="K386:L386"/>
    <mergeCell ref="K321:L321"/>
    <mergeCell ref="K322:L322"/>
    <mergeCell ref="K323:L323"/>
    <mergeCell ref="K324:L324"/>
    <mergeCell ref="K325:L325"/>
    <mergeCell ref="K326:L326"/>
    <mergeCell ref="K327:L327"/>
    <mergeCell ref="K328:L328"/>
    <mergeCell ref="K329:L329"/>
    <mergeCell ref="K330:L330"/>
    <mergeCell ref="K331:L331"/>
    <mergeCell ref="K332:L332"/>
    <mergeCell ref="K333:L333"/>
    <mergeCell ref="K334:L334"/>
    <mergeCell ref="K335:L335"/>
    <mergeCell ref="K336:L336"/>
    <mergeCell ref="K337:L337"/>
    <mergeCell ref="K304:L304"/>
    <mergeCell ref="K305:L305"/>
    <mergeCell ref="K306:L306"/>
    <mergeCell ref="K307:L307"/>
    <mergeCell ref="K308:L308"/>
    <mergeCell ref="K309:L309"/>
    <mergeCell ref="K310:L310"/>
    <mergeCell ref="K311:L311"/>
    <mergeCell ref="K312:L312"/>
    <mergeCell ref="K313:L313"/>
    <mergeCell ref="K314:L314"/>
    <mergeCell ref="K315:L315"/>
    <mergeCell ref="K316:L316"/>
    <mergeCell ref="K317:L317"/>
    <mergeCell ref="K318:L318"/>
    <mergeCell ref="K319:L319"/>
    <mergeCell ref="K320:L320"/>
    <mergeCell ref="K287:L287"/>
    <mergeCell ref="K288:L288"/>
    <mergeCell ref="K289:L289"/>
    <mergeCell ref="K290:L290"/>
    <mergeCell ref="K291:L291"/>
    <mergeCell ref="K292:L292"/>
    <mergeCell ref="K293:L293"/>
    <mergeCell ref="K294:L294"/>
    <mergeCell ref="K295:L295"/>
    <mergeCell ref="K296:L296"/>
    <mergeCell ref="K297:L297"/>
    <mergeCell ref="K298:L298"/>
    <mergeCell ref="K299:L299"/>
    <mergeCell ref="K300:L300"/>
    <mergeCell ref="K301:L301"/>
    <mergeCell ref="K302:L302"/>
    <mergeCell ref="K303:L303"/>
    <mergeCell ref="K270:L270"/>
    <mergeCell ref="K271:L271"/>
    <mergeCell ref="K272:L272"/>
    <mergeCell ref="K273:L273"/>
    <mergeCell ref="K274:L274"/>
    <mergeCell ref="K275:L275"/>
    <mergeCell ref="K276:L276"/>
    <mergeCell ref="K277:L277"/>
    <mergeCell ref="K278:L278"/>
    <mergeCell ref="K279:L279"/>
    <mergeCell ref="K280:L280"/>
    <mergeCell ref="K281:L281"/>
    <mergeCell ref="K282:L282"/>
    <mergeCell ref="K283:L283"/>
    <mergeCell ref="K284:L284"/>
    <mergeCell ref="K285:L285"/>
    <mergeCell ref="K286:L286"/>
    <mergeCell ref="K253:L253"/>
    <mergeCell ref="K254:L254"/>
    <mergeCell ref="K255:L255"/>
    <mergeCell ref="K256:L256"/>
    <mergeCell ref="K257:L257"/>
    <mergeCell ref="K258:L258"/>
    <mergeCell ref="K259:L259"/>
    <mergeCell ref="K260:L260"/>
    <mergeCell ref="K261:L261"/>
    <mergeCell ref="K262:L262"/>
    <mergeCell ref="K263:L263"/>
    <mergeCell ref="K264:L264"/>
    <mergeCell ref="K265:L265"/>
    <mergeCell ref="K266:L266"/>
    <mergeCell ref="K267:L267"/>
    <mergeCell ref="K268:L268"/>
    <mergeCell ref="K269:L269"/>
    <mergeCell ref="K236:L236"/>
    <mergeCell ref="K237:L237"/>
    <mergeCell ref="K238:L238"/>
    <mergeCell ref="K239:L239"/>
    <mergeCell ref="K240:L240"/>
    <mergeCell ref="K241:L241"/>
    <mergeCell ref="K242:L242"/>
    <mergeCell ref="K243:L243"/>
    <mergeCell ref="K244:L244"/>
    <mergeCell ref="K245:L245"/>
    <mergeCell ref="K246:L246"/>
    <mergeCell ref="K247:L247"/>
    <mergeCell ref="K248:L248"/>
    <mergeCell ref="K249:L249"/>
    <mergeCell ref="K250:L250"/>
    <mergeCell ref="K251:L251"/>
    <mergeCell ref="K252:L252"/>
    <mergeCell ref="K219:L219"/>
    <mergeCell ref="K220:L220"/>
    <mergeCell ref="K221:L221"/>
    <mergeCell ref="K222:L222"/>
    <mergeCell ref="K223:L223"/>
    <mergeCell ref="K224:L224"/>
    <mergeCell ref="K225:L225"/>
    <mergeCell ref="K226:L226"/>
    <mergeCell ref="K227:L227"/>
    <mergeCell ref="K228:L228"/>
    <mergeCell ref="K229:L229"/>
    <mergeCell ref="K230:L230"/>
    <mergeCell ref="K231:L231"/>
    <mergeCell ref="K232:L232"/>
    <mergeCell ref="K233:L233"/>
    <mergeCell ref="K234:L234"/>
    <mergeCell ref="K235:L235"/>
    <mergeCell ref="K202:L202"/>
    <mergeCell ref="K203:L203"/>
    <mergeCell ref="K204:L204"/>
    <mergeCell ref="K205:L205"/>
    <mergeCell ref="K206:L206"/>
    <mergeCell ref="K207:L207"/>
    <mergeCell ref="K208:L208"/>
    <mergeCell ref="K209:L209"/>
    <mergeCell ref="K210:L210"/>
    <mergeCell ref="K211:L211"/>
    <mergeCell ref="K212:L212"/>
    <mergeCell ref="K213:L213"/>
    <mergeCell ref="K214:L214"/>
    <mergeCell ref="K215:L215"/>
    <mergeCell ref="K216:L216"/>
    <mergeCell ref="K217:L217"/>
    <mergeCell ref="K218:L218"/>
    <mergeCell ref="K185:L185"/>
    <mergeCell ref="K186:L186"/>
    <mergeCell ref="K187:L187"/>
    <mergeCell ref="K188:L188"/>
    <mergeCell ref="K189:L189"/>
    <mergeCell ref="K190:L190"/>
    <mergeCell ref="K191:L191"/>
    <mergeCell ref="K192:L192"/>
    <mergeCell ref="K193:L193"/>
    <mergeCell ref="K194:L194"/>
    <mergeCell ref="K195:L195"/>
    <mergeCell ref="K196:L196"/>
    <mergeCell ref="K197:L197"/>
    <mergeCell ref="K198:L198"/>
    <mergeCell ref="K199:L199"/>
    <mergeCell ref="K200:L200"/>
    <mergeCell ref="K201:L201"/>
    <mergeCell ref="K168:L168"/>
    <mergeCell ref="K169:L169"/>
    <mergeCell ref="K170:L170"/>
    <mergeCell ref="K171:L171"/>
    <mergeCell ref="K172:L172"/>
    <mergeCell ref="K173:L173"/>
    <mergeCell ref="K174:L174"/>
    <mergeCell ref="K175:L175"/>
    <mergeCell ref="K176:L176"/>
    <mergeCell ref="K177:L177"/>
    <mergeCell ref="K178:L178"/>
    <mergeCell ref="K179:L179"/>
    <mergeCell ref="K180:L180"/>
    <mergeCell ref="K181:L181"/>
    <mergeCell ref="K182:L182"/>
    <mergeCell ref="K183:L183"/>
    <mergeCell ref="K184:L184"/>
    <mergeCell ref="K151:L151"/>
    <mergeCell ref="K152:L152"/>
    <mergeCell ref="K153:L153"/>
    <mergeCell ref="K154:L154"/>
    <mergeCell ref="K155:L155"/>
    <mergeCell ref="K156:L156"/>
    <mergeCell ref="K157:L157"/>
    <mergeCell ref="K158:L158"/>
    <mergeCell ref="K159:L159"/>
    <mergeCell ref="K160:L160"/>
    <mergeCell ref="K161:L161"/>
    <mergeCell ref="K162:L162"/>
    <mergeCell ref="K163:L163"/>
    <mergeCell ref="K164:L164"/>
    <mergeCell ref="K165:L165"/>
    <mergeCell ref="K166:L166"/>
    <mergeCell ref="K167:L167"/>
    <mergeCell ref="K134:L134"/>
    <mergeCell ref="K135:L135"/>
    <mergeCell ref="K136:L136"/>
    <mergeCell ref="K137:L137"/>
    <mergeCell ref="K138:L138"/>
    <mergeCell ref="K139:L139"/>
    <mergeCell ref="K140:L140"/>
    <mergeCell ref="K141:L141"/>
    <mergeCell ref="K142:L142"/>
    <mergeCell ref="K143:L143"/>
    <mergeCell ref="K144:L144"/>
    <mergeCell ref="K145:L145"/>
    <mergeCell ref="K146:L146"/>
    <mergeCell ref="K147:L147"/>
    <mergeCell ref="K148:L148"/>
    <mergeCell ref="K149:L149"/>
    <mergeCell ref="K150:L150"/>
    <mergeCell ref="K117:L117"/>
    <mergeCell ref="K118:L118"/>
    <mergeCell ref="K119:L119"/>
    <mergeCell ref="K120:L120"/>
    <mergeCell ref="K121:L121"/>
    <mergeCell ref="K122:L122"/>
    <mergeCell ref="K123:L123"/>
    <mergeCell ref="K124:L124"/>
    <mergeCell ref="K125:L125"/>
    <mergeCell ref="K126:L126"/>
    <mergeCell ref="K127:L127"/>
    <mergeCell ref="K128:L128"/>
    <mergeCell ref="K129:L129"/>
    <mergeCell ref="K130:L130"/>
    <mergeCell ref="K131:L131"/>
    <mergeCell ref="K132:L132"/>
    <mergeCell ref="K133:L133"/>
    <mergeCell ref="K100:L100"/>
    <mergeCell ref="K101:L101"/>
    <mergeCell ref="K102:L102"/>
    <mergeCell ref="K103:L103"/>
    <mergeCell ref="K104:L104"/>
    <mergeCell ref="K105:L105"/>
    <mergeCell ref="K106:L106"/>
    <mergeCell ref="K107:L107"/>
    <mergeCell ref="K108:L108"/>
    <mergeCell ref="K109:L109"/>
    <mergeCell ref="K110:L110"/>
    <mergeCell ref="K111:L111"/>
    <mergeCell ref="K112:L112"/>
    <mergeCell ref="K113:L113"/>
    <mergeCell ref="K114:L114"/>
    <mergeCell ref="K115:L115"/>
    <mergeCell ref="K116:L116"/>
    <mergeCell ref="K83:L83"/>
    <mergeCell ref="K84:L84"/>
    <mergeCell ref="K85:L85"/>
    <mergeCell ref="K86:L86"/>
    <mergeCell ref="K87:L87"/>
    <mergeCell ref="K88:L88"/>
    <mergeCell ref="K89:L89"/>
    <mergeCell ref="K90:L90"/>
    <mergeCell ref="K91:L91"/>
    <mergeCell ref="K92:L92"/>
    <mergeCell ref="K93:L93"/>
    <mergeCell ref="K94:L94"/>
    <mergeCell ref="K95:L95"/>
    <mergeCell ref="K96:L96"/>
    <mergeCell ref="K97:L97"/>
    <mergeCell ref="K98:L98"/>
    <mergeCell ref="K99:L99"/>
    <mergeCell ref="K66:L66"/>
    <mergeCell ref="K67:L67"/>
    <mergeCell ref="K68:L68"/>
    <mergeCell ref="K69:L69"/>
    <mergeCell ref="K70:L70"/>
    <mergeCell ref="K71:L71"/>
    <mergeCell ref="K72:L72"/>
    <mergeCell ref="K73:L73"/>
    <mergeCell ref="K74:L74"/>
    <mergeCell ref="K75:L75"/>
    <mergeCell ref="K76:L76"/>
    <mergeCell ref="K77:L77"/>
    <mergeCell ref="K78:L78"/>
    <mergeCell ref="K79:L79"/>
    <mergeCell ref="K80:L80"/>
    <mergeCell ref="K81:L81"/>
    <mergeCell ref="K82:L82"/>
    <mergeCell ref="K49:L49"/>
    <mergeCell ref="K50:L50"/>
    <mergeCell ref="K51:L51"/>
    <mergeCell ref="K52:L52"/>
    <mergeCell ref="K53:L53"/>
    <mergeCell ref="K54:L54"/>
    <mergeCell ref="K55:L55"/>
    <mergeCell ref="K56:L56"/>
    <mergeCell ref="K57:L57"/>
    <mergeCell ref="K58:L58"/>
    <mergeCell ref="K59:L59"/>
    <mergeCell ref="K60:L60"/>
    <mergeCell ref="K61:L61"/>
    <mergeCell ref="K62:L62"/>
    <mergeCell ref="K63:L63"/>
    <mergeCell ref="K64:L64"/>
    <mergeCell ref="K65:L65"/>
    <mergeCell ref="K32:L32"/>
    <mergeCell ref="K33:L33"/>
    <mergeCell ref="K34:L34"/>
    <mergeCell ref="K35:L35"/>
    <mergeCell ref="K36:L36"/>
    <mergeCell ref="K37:L37"/>
    <mergeCell ref="K38:L38"/>
    <mergeCell ref="K39:L39"/>
    <mergeCell ref="K40:L40"/>
    <mergeCell ref="K41:L41"/>
    <mergeCell ref="K42:L42"/>
    <mergeCell ref="K43:L43"/>
    <mergeCell ref="K44:L44"/>
    <mergeCell ref="K45:L45"/>
    <mergeCell ref="K46:L46"/>
    <mergeCell ref="K47:L47"/>
    <mergeCell ref="K48:L48"/>
    <mergeCell ref="K15:L15"/>
    <mergeCell ref="K16:L16"/>
    <mergeCell ref="K17:L17"/>
    <mergeCell ref="K18:L18"/>
    <mergeCell ref="K19:L19"/>
    <mergeCell ref="K20:L20"/>
    <mergeCell ref="K21:L21"/>
    <mergeCell ref="K22:L22"/>
    <mergeCell ref="K23:L23"/>
    <mergeCell ref="K24:L24"/>
    <mergeCell ref="K25:L25"/>
    <mergeCell ref="K26:L26"/>
    <mergeCell ref="K27:L27"/>
    <mergeCell ref="K28:L28"/>
    <mergeCell ref="K29:L29"/>
    <mergeCell ref="K30:L30"/>
    <mergeCell ref="K31:L31"/>
    <mergeCell ref="A1:B1"/>
    <mergeCell ref="C1:E1"/>
    <mergeCell ref="H1:I1"/>
    <mergeCell ref="K1:L1"/>
    <mergeCell ref="K2:L2"/>
    <mergeCell ref="K3:L3"/>
    <mergeCell ref="K4:L4"/>
    <mergeCell ref="K5:L5"/>
    <mergeCell ref="K6:L6"/>
    <mergeCell ref="K7:L7"/>
    <mergeCell ref="K8:L8"/>
    <mergeCell ref="K9:L9"/>
    <mergeCell ref="K10:L10"/>
    <mergeCell ref="K11:L11"/>
    <mergeCell ref="K12:L12"/>
    <mergeCell ref="K13:L13"/>
    <mergeCell ref="K14:L14"/>
  </mergeCells>
  <conditionalFormatting sqref="K3:K1000">
    <cfRule type="colorScale" priority="1">
      <colorScale>
        <cfvo type="min"/>
        <cfvo type="percentile" val="50"/>
        <cfvo type="max"/>
        <color rgb="FFFF0000"/>
        <color rgb="FFFFD666"/>
        <color rgb="FF00FF00"/>
      </colorScale>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500-000000000000}">
          <x14:formula1>
            <xm:f>NPCVar!$C$2:$C1000</xm:f>
          </x14:formula1>
          <xm:sqref>A1</xm:sqref>
        </x14:dataValidation>
        <x14:dataValidation type="list" allowBlank="1" showErrorMessage="1" xr:uid="{00000000-0002-0000-0500-000001000000}">
          <x14:formula1>
            <xm:f>NPCVar!$D$2:$D1000</xm:f>
          </x14:formula1>
          <xm:sqref>H1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L1000"/>
  <sheetViews>
    <sheetView workbookViewId="0">
      <selection sqref="A1:B1"/>
    </sheetView>
  </sheetViews>
  <sheetFormatPr defaultColWidth="12.6640625" defaultRowHeight="15.75" customHeight="1"/>
  <sheetData>
    <row r="1" spans="1:12" ht="15.75" customHeight="1">
      <c r="A1" s="238" t="s">
        <v>102</v>
      </c>
      <c r="B1" s="173"/>
      <c r="C1" s="231" t="s">
        <v>835</v>
      </c>
      <c r="D1" s="173"/>
      <c r="E1" s="173"/>
      <c r="H1" s="239" t="s">
        <v>105</v>
      </c>
      <c r="I1" s="169"/>
      <c r="J1" s="44"/>
      <c r="K1" s="240" t="s">
        <v>17</v>
      </c>
      <c r="L1" s="170"/>
    </row>
    <row r="2" spans="1:12" ht="15.75" customHeight="1">
      <c r="A2" s="121" t="s">
        <v>48</v>
      </c>
      <c r="B2" s="121" t="s">
        <v>810</v>
      </c>
      <c r="C2" s="121" t="s">
        <v>41</v>
      </c>
      <c r="D2" s="121" t="s">
        <v>837</v>
      </c>
      <c r="E2" s="121" t="s">
        <v>838</v>
      </c>
      <c r="H2" s="125" t="s">
        <v>48</v>
      </c>
      <c r="I2" s="121" t="s">
        <v>810</v>
      </c>
      <c r="J2" s="121" t="s">
        <v>41</v>
      </c>
      <c r="K2" s="241" t="s">
        <v>840</v>
      </c>
      <c r="L2" s="176"/>
    </row>
    <row r="3" spans="1:12" ht="15.75" customHeight="1">
      <c r="A3" s="16" t="str">
        <f ca="1">IFERROR(__xludf.DUMMYFUNCTION("query('NPC List'!C2:AA1000, ""Select C,V,AA where D = '""&amp;A1&amp;""' ORDER BY V DESC"")"),"Ciroc")</f>
        <v>Ciroc</v>
      </c>
      <c r="B3" s="123">
        <f ca="1">IFERROR(__xludf.DUMMYFUNCTION("""COMPUTED_VALUE"""),4)</f>
        <v>4</v>
      </c>
      <c r="C3" s="16" t="str">
        <f ca="1">IFERROR(__xludf.DUMMYFUNCTION("""COMPUTED_VALUE"""),"Male")</f>
        <v>Male</v>
      </c>
      <c r="D3" s="16" t="str">
        <f ca="1">IFERROR(__xludf.DUMMYFUNCTION("if(isblank(A3),, if(counta(QUERY($A$3:$C1000, ""Select A Where B &gt; ""&amp; B3 +20 &amp;"" AND C = 'Female'"")) = 1,QUERY($A$3:$C1000, ""Select A Where B &gt; ""&amp; B3 +20 &amp;"" AND C = 'Neutral' LIMIT 1""),QUERY($A$3:$C1000, ""Select A Where B &gt; ""&amp; B3 +20 &amp;"" AND C = '"&amp;"Female'  ORDER BY B LIMIT 1"")))"),"#N/A")</f>
        <v>#N/A</v>
      </c>
      <c r="E3" s="16" t="str">
        <f ca="1">IFERROR(__xludf.DUMMYFUNCTION("if(isblank(A3),, if(counta(QUERY($A$3:$C1000, ""Select A Where B &gt; ""&amp; B3 +20 &amp;"" AND C = 'Male'"")) = 1,QUERY($A$3:$C1000, ""Select A Where B &gt; ""&amp; B3 +20 &amp;"" AND C = 'Neutral' LIMIT 1""),QUERY($A$3:$C1000, ""Select A Where B &gt; ""&amp; B3 +20 &amp;"" AND C = 'Ma"&amp;"le'  ORDER BY B LIMIT 1"")))"),"#N/A")</f>
        <v>#N/A</v>
      </c>
      <c r="H3" s="24" t="str">
        <f ca="1">IFERROR(__xludf.DUMMYFUNCTION("query('NPC List'!C2:AF1000, ""Select C,V,AA,AF where AD = '""&amp;H1&amp;""' ORDER BY AF DESC"")"),"Baradeer")</f>
        <v>Baradeer</v>
      </c>
      <c r="I3" s="124">
        <f ca="1">IFERROR(__xludf.DUMMYFUNCTION("""COMPUTED_VALUE"""),151.875)</f>
        <v>151.875</v>
      </c>
      <c r="J3" t="str">
        <f ca="1">IFERROR(__xludf.DUMMYFUNCTION("""COMPUTED_VALUE"""),"Female")</f>
        <v>Female</v>
      </c>
      <c r="K3" s="242">
        <f ca="1">IFERROR(__xludf.DUMMYFUNCTION("""COMPUTED_VALUE"""),1.06761566162109)</f>
        <v>1.0676156616210899</v>
      </c>
      <c r="L3" s="176"/>
    </row>
    <row r="4" spans="1:12" ht="15.75" customHeight="1">
      <c r="A4" s="16" t="str">
        <f ca="1">IFERROR(__xludf.DUMMYFUNCTION("""COMPUTED_VALUE"""),"Cosdeer")</f>
        <v>Cosdeer</v>
      </c>
      <c r="B4" s="123">
        <f ca="1">IFERROR(__xludf.DUMMYFUNCTION("""COMPUTED_VALUE"""),4)</f>
        <v>4</v>
      </c>
      <c r="C4" s="16" t="str">
        <f ca="1">IFERROR(__xludf.DUMMYFUNCTION("""COMPUTED_VALUE"""),"Male")</f>
        <v>Male</v>
      </c>
      <c r="D4" s="16" t="str">
        <f ca="1">IFERROR(__xludf.DUMMYFUNCTION("if(isblank(A4),, if(counta(QUERY($A$3:$C1000, ""Select A Where B &gt; ""&amp; B4 +20 &amp;"" AND C = 'Female'"")) = 1,QUERY($A$3:$C1000, ""Select A Where B &gt; ""&amp; B4 +20 &amp;"" AND C = 'Neutral' LIMIT 1""),QUERY($A$3:$C1000, ""Select A Where B &gt; ""&amp; B4 +20 &amp;"" AND C = '"&amp;"Female'  ORDER BY B LIMIT 1"")))"),"#N/A")</f>
        <v>#N/A</v>
      </c>
      <c r="E4" s="16" t="str">
        <f ca="1">IFERROR(__xludf.DUMMYFUNCTION("if(isblank(A4),, if(counta(QUERY($A$3:$C1000, ""Select A Where B &gt; ""&amp; B4 +20 &amp;"" AND C = 'Male'"")) = 1,QUERY($A$3:$C1000, ""Select A Where B &gt; ""&amp; B4 +20 &amp;"" AND C = 'Neutral' LIMIT 1""),QUERY($A$3:$C1000, ""Select A Where B &gt; ""&amp; B4 +20 &amp;"" AND C = 'Ma"&amp;"le'  ORDER BY B LIMIT 1"")))"),"#N/A")</f>
        <v>#N/A</v>
      </c>
      <c r="H4" s="24" t="str">
        <f ca="1">IFERROR(__xludf.DUMMYFUNCTION("""COMPUTED_VALUE"""),"Allso")</f>
        <v>Allso</v>
      </c>
      <c r="I4" s="124">
        <f ca="1">IFERROR(__xludf.DUMMYFUNCTION("""COMPUTED_VALUE"""),151.875)</f>
        <v>151.875</v>
      </c>
      <c r="J4" t="str">
        <f ca="1">IFERROR(__xludf.DUMMYFUNCTION("""COMPUTED_VALUE"""),"Female")</f>
        <v>Female</v>
      </c>
      <c r="K4" s="242">
        <f ca="1">IFERROR(__xludf.DUMMYFUNCTION("""COMPUTED_VALUE"""),1.02637573242187)</f>
        <v>1.0263757324218701</v>
      </c>
      <c r="L4" s="176"/>
    </row>
    <row r="5" spans="1:12" ht="15.75" customHeight="1">
      <c r="A5" s="16" t="str">
        <f ca="1">IFERROR(__xludf.DUMMYFUNCTION("""COMPUTED_VALUE"""),"Caelholdt")</f>
        <v>Caelholdt</v>
      </c>
      <c r="B5" s="123">
        <f ca="1">IFERROR(__xludf.DUMMYFUNCTION("""COMPUTED_VALUE"""),4)</f>
        <v>4</v>
      </c>
      <c r="C5" s="16" t="str">
        <f ca="1">IFERROR(__xludf.DUMMYFUNCTION("""COMPUTED_VALUE"""),"Male")</f>
        <v>Male</v>
      </c>
      <c r="D5" s="16" t="str">
        <f ca="1">IFERROR(__xludf.DUMMYFUNCTION("if(isblank(A5),, if(counta(QUERY($A$3:$C1000, ""Select A Where B &gt; ""&amp; B5 +20 &amp;"" AND C = 'Female'"")) = 1,QUERY($A$3:$C1000, ""Select A Where B &gt; ""&amp; B5 +20 &amp;"" AND C = 'Neutral' LIMIT 1""),QUERY($A$3:$C1000, ""Select A Where B &gt; ""&amp; B5 +20 &amp;"" AND C = '"&amp;"Female'  ORDER BY B LIMIT 1"")))"),"#N/A")</f>
        <v>#N/A</v>
      </c>
      <c r="E5" s="16" t="str">
        <f ca="1">IFERROR(__xludf.DUMMYFUNCTION("if(isblank(A5),, if(counta(QUERY($A$3:$C1000, ""Select A Where B &gt; ""&amp; B5 +20 &amp;"" AND C = 'Male'"")) = 1,QUERY($A$3:$C1000, ""Select A Where B &gt; ""&amp; B5 +20 &amp;"" AND C = 'Neutral' LIMIT 1""),QUERY($A$3:$C1000, ""Select A Where B &gt; ""&amp; B5 +20 &amp;"" AND C = 'Ma"&amp;"le'  ORDER BY B LIMIT 1"")))"),"#N/A")</f>
        <v>#N/A</v>
      </c>
      <c r="H5" s="24" t="str">
        <f ca="1">IFERROR(__xludf.DUMMYFUNCTION("""COMPUTED_VALUE"""),"Abarden")</f>
        <v>Abarden</v>
      </c>
      <c r="I5" s="124">
        <f ca="1">IFERROR(__xludf.DUMMYFUNCTION("""COMPUTED_VALUE"""),151.875)</f>
        <v>151.875</v>
      </c>
      <c r="J5" t="str">
        <f ca="1">IFERROR(__xludf.DUMMYFUNCTION("""COMPUTED_VALUE"""),"Female")</f>
        <v>Female</v>
      </c>
      <c r="K5" s="242">
        <f ca="1">IFERROR(__xludf.DUMMYFUNCTION("""COMPUTED_VALUE"""),0.9904833984375)</f>
        <v>0.9904833984375</v>
      </c>
      <c r="L5" s="176"/>
    </row>
    <row r="6" spans="1:12" ht="15.75" customHeight="1">
      <c r="A6" s="16" t="str">
        <f ca="1">IFERROR(__xludf.DUMMYFUNCTION("""COMPUTED_VALUE"""),"Dakamon")</f>
        <v>Dakamon</v>
      </c>
      <c r="B6" s="123">
        <f ca="1">IFERROR(__xludf.DUMMYFUNCTION("""COMPUTED_VALUE"""),4)</f>
        <v>4</v>
      </c>
      <c r="C6" s="16" t="str">
        <f ca="1">IFERROR(__xludf.DUMMYFUNCTION("""COMPUTED_VALUE"""),"Male")</f>
        <v>Male</v>
      </c>
      <c r="D6" s="16" t="str">
        <f ca="1">IFERROR(__xludf.DUMMYFUNCTION("if(isblank(A6),, if(counta(QUERY($A$3:$C1000, ""Select A Where B &gt; ""&amp; B6 +20 &amp;"" AND C = 'Female'"")) = 1,QUERY($A$3:$C1000, ""Select A Where B &gt; ""&amp; B6 +20 &amp;"" AND C = 'Neutral' LIMIT 1""),QUERY($A$3:$C1000, ""Select A Where B &gt; ""&amp; B6 +20 &amp;"" AND C = '"&amp;"Female'  ORDER BY B LIMIT 1"")))"),"#N/A")</f>
        <v>#N/A</v>
      </c>
      <c r="E6" s="16" t="str">
        <f ca="1">IFERROR(__xludf.DUMMYFUNCTION("if(isblank(A6),, if(counta(QUERY($A$3:$C1000, ""Select A Where B &gt; ""&amp; B6 +20 &amp;"" AND C = 'Male'"")) = 1,QUERY($A$3:$C1000, ""Select A Where B &gt; ""&amp; B6 +20 &amp;"" AND C = 'Neutral' LIMIT 1""),QUERY($A$3:$C1000, ""Select A Where B &gt; ""&amp; B6 +20 &amp;"" AND C = 'Ma"&amp;"le'  ORDER BY B LIMIT 1"")))"),"#N/A")</f>
        <v>#N/A</v>
      </c>
      <c r="H6" s="24" t="str">
        <f ca="1">IFERROR(__xludf.DUMMYFUNCTION("""COMPUTED_VALUE"""),"Aslan")</f>
        <v>Aslan</v>
      </c>
      <c r="I6" s="124">
        <f ca="1">IFERROR(__xludf.DUMMYFUNCTION("""COMPUTED_VALUE"""),151.875)</f>
        <v>151.875</v>
      </c>
      <c r="J6" t="str">
        <f ca="1">IFERROR(__xludf.DUMMYFUNCTION("""COMPUTED_VALUE"""),"Female")</f>
        <v>Female</v>
      </c>
      <c r="K6" s="242">
        <f ca="1">IFERROR(__xludf.DUMMYFUNCTION("""COMPUTED_VALUE"""),0.909102516174316)</f>
        <v>0.90910251617431603</v>
      </c>
      <c r="L6" s="176"/>
    </row>
    <row r="7" spans="1:12" ht="15.75" customHeight="1">
      <c r="A7" s="16" t="str">
        <f ca="1">IFERROR(__xludf.DUMMYFUNCTION("""COMPUTED_VALUE"""),"Cerdern")</f>
        <v>Cerdern</v>
      </c>
      <c r="B7" s="123">
        <f ca="1">IFERROR(__xludf.DUMMYFUNCTION("""COMPUTED_VALUE"""),4)</f>
        <v>4</v>
      </c>
      <c r="C7" s="16" t="str">
        <f ca="1">IFERROR(__xludf.DUMMYFUNCTION("""COMPUTED_VALUE"""),"Male")</f>
        <v>Male</v>
      </c>
      <c r="D7" s="16" t="str">
        <f ca="1">IFERROR(__xludf.DUMMYFUNCTION("if(isblank(A7),, if(counta(QUERY($A$3:$C1000, ""Select A Where B &gt; ""&amp; B7 +20 &amp;"" AND C = 'Female'"")) = 1,QUERY($A$3:$C1000, ""Select A Where B &gt; ""&amp; B7 +20 &amp;"" AND C = 'Neutral' LIMIT 1""),QUERY($A$3:$C1000, ""Select A Where B &gt; ""&amp; B7 +20 &amp;"" AND C = '"&amp;"Female'  ORDER BY B LIMIT 1"")))"),"#N/A")</f>
        <v>#N/A</v>
      </c>
      <c r="E7" s="16" t="str">
        <f ca="1">IFERROR(__xludf.DUMMYFUNCTION("if(isblank(A7),, if(counta(QUERY($A$3:$C1000, ""Select A Where B &gt; ""&amp; B7 +20 &amp;"" AND C = 'Male'"")) = 1,QUERY($A$3:$C1000, ""Select A Where B &gt; ""&amp; B7 +20 &amp;"" AND C = 'Neutral' LIMIT 1""),QUERY($A$3:$C1000, ""Select A Where B &gt; ""&amp; B7 +20 &amp;"" AND C = 'Ma"&amp;"le'  ORDER BY B LIMIT 1"")))"),"#N/A")</f>
        <v>#N/A</v>
      </c>
      <c r="H7" s="24" t="str">
        <f ca="1">IFERROR(__xludf.DUMMYFUNCTION("""COMPUTED_VALUE"""),"Anfar")</f>
        <v>Anfar</v>
      </c>
      <c r="I7" s="124">
        <f ca="1">IFERROR(__xludf.DUMMYFUNCTION("""COMPUTED_VALUE"""),151.875)</f>
        <v>151.875</v>
      </c>
      <c r="J7" t="str">
        <f ca="1">IFERROR(__xludf.DUMMYFUNCTION("""COMPUTED_VALUE"""),"Female")</f>
        <v>Female</v>
      </c>
      <c r="K7" s="242">
        <f ca="1">IFERROR(__xludf.DUMMYFUNCTION("""COMPUTED_VALUE"""),0.902757911682129)</f>
        <v>0.90275791168212904</v>
      </c>
      <c r="L7" s="176"/>
    </row>
    <row r="8" spans="1:12" ht="15.75" customHeight="1">
      <c r="A8" s="16" t="str">
        <f ca="1">IFERROR(__xludf.DUMMYFUNCTION("""COMPUTED_VALUE"""),"Chidak")</f>
        <v>Chidak</v>
      </c>
      <c r="B8" s="123">
        <f ca="1">IFERROR(__xludf.DUMMYFUNCTION("""COMPUTED_VALUE"""),4)</f>
        <v>4</v>
      </c>
      <c r="C8" s="16" t="str">
        <f ca="1">IFERROR(__xludf.DUMMYFUNCTION("""COMPUTED_VALUE"""),"Male")</f>
        <v>Male</v>
      </c>
      <c r="D8" s="16" t="str">
        <f ca="1">IFERROR(__xludf.DUMMYFUNCTION("if(isblank(A8),, if(counta(QUERY($A$3:$C1000, ""Select A Where B &gt; ""&amp; B8 +20 &amp;"" AND C = 'Female'"")) = 1,QUERY($A$3:$C1000, ""Select A Where B &gt; ""&amp; B8 +20 &amp;"" AND C = 'Neutral' LIMIT 1""),QUERY($A$3:$C1000, ""Select A Where B &gt; ""&amp; B8 +20 &amp;"" AND C = '"&amp;"Female'  ORDER BY B LIMIT 1"")))"),"#N/A")</f>
        <v>#N/A</v>
      </c>
      <c r="E8" s="16" t="str">
        <f ca="1">IFERROR(__xludf.DUMMYFUNCTION("if(isblank(A8),, if(counta(QUERY($A$3:$C1000, ""Select A Where B &gt; ""&amp; B8 +20 &amp;"" AND C = 'Male'"")) = 1,QUERY($A$3:$C1000, ""Select A Where B &gt; ""&amp; B8 +20 &amp;"" AND C = 'Neutral' LIMIT 1""),QUERY($A$3:$C1000, ""Select A Where B &gt; ""&amp; B8 +20 &amp;"" AND C = 'Ma"&amp;"le'  ORDER BY B LIMIT 1"")))"),"#N/A")</f>
        <v>#N/A</v>
      </c>
      <c r="H8" s="24" t="str">
        <f ca="1">IFERROR(__xludf.DUMMYFUNCTION("""COMPUTED_VALUE"""),"Achard")</f>
        <v>Achard</v>
      </c>
      <c r="I8" s="124">
        <f ca="1">IFERROR(__xludf.DUMMYFUNCTION("""COMPUTED_VALUE"""),151.875)</f>
        <v>151.875</v>
      </c>
      <c r="J8" t="str">
        <f ca="1">IFERROR(__xludf.DUMMYFUNCTION("""COMPUTED_VALUE"""),"Female")</f>
        <v>Female</v>
      </c>
      <c r="K8" s="242">
        <f ca="1">IFERROR(__xludf.DUMMYFUNCTION("""COMPUTED_VALUE"""),0.873017578125)</f>
        <v>0.87301757812500003</v>
      </c>
      <c r="L8" s="176"/>
    </row>
    <row r="9" spans="1:12" ht="15.75" customHeight="1">
      <c r="A9" s="16" t="str">
        <f ca="1">IFERROR(__xludf.DUMMYFUNCTION("""COMPUTED_VALUE"""),"Cosdeer")</f>
        <v>Cosdeer</v>
      </c>
      <c r="B9" s="123">
        <f ca="1">IFERROR(__xludf.DUMMYFUNCTION("""COMPUTED_VALUE"""),4)</f>
        <v>4</v>
      </c>
      <c r="C9" s="16" t="str">
        <f ca="1">IFERROR(__xludf.DUMMYFUNCTION("""COMPUTED_VALUE"""),"Male")</f>
        <v>Male</v>
      </c>
      <c r="D9" s="16" t="str">
        <f ca="1">IFERROR(__xludf.DUMMYFUNCTION("if(isblank(A9),, if(counta(QUERY($A$3:$C1000, ""Select A Where B &gt; ""&amp; B9 +20 &amp;"" AND C = 'Female'"")) = 1,QUERY($A$3:$C1000, ""Select A Where B &gt; ""&amp; B9 +20 &amp;"" AND C = 'Neutral' LIMIT 1""),QUERY($A$3:$C1000, ""Select A Where B &gt; ""&amp; B9 +20 &amp;"" AND C = '"&amp;"Female'  ORDER BY B LIMIT 1"")))"),"#N/A")</f>
        <v>#N/A</v>
      </c>
      <c r="E9" s="16" t="str">
        <f ca="1">IFERROR(__xludf.DUMMYFUNCTION("if(isblank(A9),, if(counta(QUERY($A$3:$C1000, ""Select A Where B &gt; ""&amp; B9 +20 &amp;"" AND C = 'Male'"")) = 1,QUERY($A$3:$C1000, ""Select A Where B &gt; ""&amp; B9 +20 &amp;"" AND C = 'Neutral' LIMIT 1""),QUERY($A$3:$C1000, ""Select A Where B &gt; ""&amp; B9 +20 &amp;"" AND C = 'Ma"&amp;"le'  ORDER BY B LIMIT 1"")))"),"#N/A")</f>
        <v>#N/A</v>
      </c>
      <c r="H9" s="24" t="str">
        <f ca="1">IFERROR(__xludf.DUMMYFUNCTION("""COMPUTED_VALUE"""),"Besur")</f>
        <v>Besur</v>
      </c>
      <c r="I9" s="124">
        <f ca="1">IFERROR(__xludf.DUMMYFUNCTION("""COMPUTED_VALUE"""),60.75)</f>
        <v>60.75</v>
      </c>
      <c r="J9" t="str">
        <f ca="1">IFERROR(__xludf.DUMMYFUNCTION("""COMPUTED_VALUE"""),"Female")</f>
        <v>Female</v>
      </c>
      <c r="K9" s="242">
        <f ca="1">IFERROR(__xludf.DUMMYFUNCTION("""COMPUTED_VALUE"""),0.810024719238281)</f>
        <v>0.81002471923828101</v>
      </c>
      <c r="L9" s="176"/>
    </row>
    <row r="10" spans="1:12" ht="15.75" customHeight="1">
      <c r="A10" s="16" t="str">
        <f ca="1">IFERROR(__xludf.DUMMYFUNCTION("""COMPUTED_VALUE"""),"Caelholdt")</f>
        <v>Caelholdt</v>
      </c>
      <c r="B10" s="123">
        <f ca="1">IFERROR(__xludf.DUMMYFUNCTION("""COMPUTED_VALUE"""),4)</f>
        <v>4</v>
      </c>
      <c r="C10" s="16" t="str">
        <f ca="1">IFERROR(__xludf.DUMMYFUNCTION("""COMPUTED_VALUE"""),"Male")</f>
        <v>Male</v>
      </c>
      <c r="D10" s="16" t="str">
        <f ca="1">IFERROR(__xludf.DUMMYFUNCTION("if(isblank(A10),, if(counta(QUERY($A$3:$C1000, ""Select A Where B &gt; ""&amp; B10 +20 &amp;"" AND C = 'Female'"")) = 1,QUERY($A$3:$C1000, ""Select A Where B &gt; ""&amp; B10 +20 &amp;"" AND C = 'Neutral' LIMIT 1""),QUERY($A$3:$C1000, ""Select A Where B &gt; ""&amp; B10 +20 &amp;"" AND C"&amp;" = 'Female'  ORDER BY B LIMIT 1"")))"),"#N/A")</f>
        <v>#N/A</v>
      </c>
      <c r="E10" s="16" t="str">
        <f ca="1">IFERROR(__xludf.DUMMYFUNCTION("if(isblank(A10),, if(counta(QUERY($A$3:$C1000, ""Select A Where B &gt; ""&amp; B10 +20 &amp;"" AND C = 'Male'"")) = 1,QUERY($A$3:$C1000, ""Select A Where B &gt; ""&amp; B10 +20 &amp;"" AND C = 'Neutral' LIMIT 1""),QUERY($A$3:$C1000, ""Select A Where B &gt; ""&amp; B10 +20 &amp;"" AND C ="&amp;" 'Male'  ORDER BY B LIMIT 1"")))"),"#N/A")</f>
        <v>#N/A</v>
      </c>
      <c r="H10" s="24" t="str">
        <f ca="1">IFERROR(__xludf.DUMMYFUNCTION("""COMPUTED_VALUE"""),"Atlin")</f>
        <v>Atlin</v>
      </c>
      <c r="I10" s="124">
        <f ca="1">IFERROR(__xludf.DUMMYFUNCTION("""COMPUTED_VALUE"""),151.875)</f>
        <v>151.875</v>
      </c>
      <c r="J10" t="str">
        <f ca="1">IFERROR(__xludf.DUMMYFUNCTION("""COMPUTED_VALUE"""),"Female")</f>
        <v>Female</v>
      </c>
      <c r="K10" s="242">
        <f ca="1">IFERROR(__xludf.DUMMYFUNCTION("""COMPUTED_VALUE"""),0.783241424560546)</f>
        <v>0.78324142456054602</v>
      </c>
      <c r="L10" s="176"/>
    </row>
    <row r="11" spans="1:12" ht="15.75" customHeight="1">
      <c r="A11" s="16" t="str">
        <f ca="1">IFERROR(__xludf.DUMMYFUNCTION("""COMPUTED_VALUE"""),"Daburn")</f>
        <v>Daburn</v>
      </c>
      <c r="B11" s="123">
        <f ca="1">IFERROR(__xludf.DUMMYFUNCTION("""COMPUTED_VALUE"""),4)</f>
        <v>4</v>
      </c>
      <c r="C11" s="16" t="str">
        <f ca="1">IFERROR(__xludf.DUMMYFUNCTION("""COMPUTED_VALUE"""),"Male")</f>
        <v>Male</v>
      </c>
      <c r="D11" s="16" t="str">
        <f ca="1">IFERROR(__xludf.DUMMYFUNCTION("if(isblank(A11),, if(counta(QUERY($A$3:$C1000, ""Select A Where B &gt; ""&amp; B11 +20 &amp;"" AND C = 'Female'"")) = 1,QUERY($A$3:$C1000, ""Select A Where B &gt; ""&amp; B11 +20 &amp;"" AND C = 'Neutral' LIMIT 1""),QUERY($A$3:$C1000, ""Select A Where B &gt; ""&amp; B11 +20 &amp;"" AND C"&amp;" = 'Female'  ORDER BY B LIMIT 1"")))"),"#N/A")</f>
        <v>#N/A</v>
      </c>
      <c r="E11" s="16" t="str">
        <f ca="1">IFERROR(__xludf.DUMMYFUNCTION("if(isblank(A11),, if(counta(QUERY($A$3:$C1000, ""Select A Where B &gt; ""&amp; B11 +20 &amp;"" AND C = 'Male'"")) = 1,QUERY($A$3:$C1000, ""Select A Where B &gt; ""&amp; B11 +20 &amp;"" AND C = 'Neutral' LIMIT 1""),QUERY($A$3:$C1000, ""Select A Where B &gt; ""&amp; B11 +20 &amp;"" AND C ="&amp;" 'Male'  ORDER BY B LIMIT 1"")))"),"#N/A")</f>
        <v>#N/A</v>
      </c>
      <c r="H11" s="24" t="str">
        <f ca="1">IFERROR(__xludf.DUMMYFUNCTION("""COMPUTED_VALUE"""),"Aerden")</f>
        <v>Aerden</v>
      </c>
      <c r="I11" s="124">
        <f ca="1">IFERROR(__xludf.DUMMYFUNCTION("""COMPUTED_VALUE"""),151.875)</f>
        <v>151.875</v>
      </c>
      <c r="J11" t="str">
        <f ca="1">IFERROR(__xludf.DUMMYFUNCTION("""COMPUTED_VALUE"""),"Female")</f>
        <v>Female</v>
      </c>
      <c r="K11" s="242">
        <f ca="1">IFERROR(__xludf.DUMMYFUNCTION("""COMPUTED_VALUE"""),0.752311477661132)</f>
        <v>0.75231147766113204</v>
      </c>
      <c r="L11" s="176"/>
    </row>
    <row r="12" spans="1:12" ht="15.75" customHeight="1">
      <c r="A12" s="16" t="str">
        <f ca="1">IFERROR(__xludf.DUMMYFUNCTION("""COMPUTED_VALUE"""),"Casden")</f>
        <v>Casden</v>
      </c>
      <c r="B12" s="123">
        <f ca="1">IFERROR(__xludf.DUMMYFUNCTION("""COMPUTED_VALUE"""),4)</f>
        <v>4</v>
      </c>
      <c r="C12" s="16" t="str">
        <f ca="1">IFERROR(__xludf.DUMMYFUNCTION("""COMPUTED_VALUE"""),"Male")</f>
        <v>Male</v>
      </c>
      <c r="D12" s="16" t="str">
        <f ca="1">IFERROR(__xludf.DUMMYFUNCTION("if(isblank(A12),, if(counta(QUERY($A$3:$C1000, ""Select A Where B &gt; ""&amp; B12 +20 &amp;"" AND C = 'Female'"")) = 1,QUERY($A$3:$C1000, ""Select A Where B &gt; ""&amp; B12 +20 &amp;"" AND C = 'Neutral' LIMIT 1""),QUERY($A$3:$C1000, ""Select A Where B &gt; ""&amp; B12 +20 &amp;"" AND C"&amp;" = 'Female'  ORDER BY B LIMIT 1"")))"),"#N/A")</f>
        <v>#N/A</v>
      </c>
      <c r="E12" s="16" t="str">
        <f ca="1">IFERROR(__xludf.DUMMYFUNCTION("if(isblank(A12),, if(counta(QUERY($A$3:$C1000, ""Select A Where B &gt; ""&amp; B12 +20 &amp;"" AND C = 'Male'"")) = 1,QUERY($A$3:$C1000, ""Select A Where B &gt; ""&amp; B12 +20 &amp;"" AND C = 'Neutral' LIMIT 1""),QUERY($A$3:$C1000, ""Select A Where B &gt; ""&amp; B12 +20 &amp;"" AND C ="&amp;" 'Male'  ORDER BY B LIMIT 1"")))"),"#N/A")</f>
        <v>#N/A</v>
      </c>
      <c r="H12" s="24" t="str">
        <f ca="1">IFERROR(__xludf.DUMMYFUNCTION("""COMPUTED_VALUE"""),"Biedgar")</f>
        <v>Biedgar</v>
      </c>
      <c r="I12" s="124">
        <f ca="1">IFERROR(__xludf.DUMMYFUNCTION("""COMPUTED_VALUE"""),60.75)</f>
        <v>60.75</v>
      </c>
      <c r="J12" t="str">
        <f ca="1">IFERROR(__xludf.DUMMYFUNCTION("""COMPUTED_VALUE"""),"Female")</f>
        <v>Female</v>
      </c>
      <c r="K12" s="242">
        <f ca="1">IFERROR(__xludf.DUMMYFUNCTION("""COMPUTED_VALUE"""),0.679552459716796)</f>
        <v>0.67955245971679601</v>
      </c>
      <c r="L12" s="176"/>
    </row>
    <row r="13" spans="1:12" ht="15.75" customHeight="1">
      <c r="A13" s="16" t="str">
        <f ca="1">IFERROR(__xludf.DUMMYFUNCTION("""COMPUTED_VALUE"""),"Chidak")</f>
        <v>Chidak</v>
      </c>
      <c r="B13" s="123">
        <f ca="1">IFERROR(__xludf.DUMMYFUNCTION("""COMPUTED_VALUE"""),4)</f>
        <v>4</v>
      </c>
      <c r="C13" s="16" t="str">
        <f ca="1">IFERROR(__xludf.DUMMYFUNCTION("""COMPUTED_VALUE"""),"Male")</f>
        <v>Male</v>
      </c>
      <c r="D13" s="16" t="str">
        <f ca="1">IFERROR(__xludf.DUMMYFUNCTION("if(isblank(A13),, if(counta(QUERY($A$3:$C1000, ""Select A Where B &gt; ""&amp; B13 +20 &amp;"" AND C = 'Female'"")) = 1,QUERY($A$3:$C1000, ""Select A Where B &gt; ""&amp; B13 +20 &amp;"" AND C = 'Neutral' LIMIT 1""),QUERY($A$3:$C1000, ""Select A Where B &gt; ""&amp; B13 +20 &amp;"" AND C"&amp;" = 'Female'  ORDER BY B LIMIT 1"")))"),"#N/A")</f>
        <v>#N/A</v>
      </c>
      <c r="E13" s="16" t="str">
        <f ca="1">IFERROR(__xludf.DUMMYFUNCTION("if(isblank(A13),, if(counta(QUERY($A$3:$C1000, ""Select A Where B &gt; ""&amp; B13 +20 &amp;"" AND C = 'Male'"")) = 1,QUERY($A$3:$C1000, ""Select A Where B &gt; ""&amp; B13 +20 &amp;"" AND C = 'Neutral' LIMIT 1""),QUERY($A$3:$C1000, ""Select A Where B &gt; ""&amp; B13 +20 &amp;"" AND C ="&amp;" 'Male'  ORDER BY B LIMIT 1"")))"),"#N/A")</f>
        <v>#N/A</v>
      </c>
      <c r="H13" s="24" t="str">
        <f ca="1">IFERROR(__xludf.DUMMYFUNCTION("""COMPUTED_VALUE"""),"Tyden")</f>
        <v>Tyden</v>
      </c>
      <c r="I13" s="124">
        <f ca="1">IFERROR(__xludf.DUMMYFUNCTION("""COMPUTED_VALUE"""),135)</f>
        <v>135</v>
      </c>
      <c r="J13" t="str">
        <f ca="1">IFERROR(__xludf.DUMMYFUNCTION("""COMPUTED_VALUE"""),"Male")</f>
        <v>Male</v>
      </c>
      <c r="K13" s="242">
        <f ca="1">IFERROR(__xludf.DUMMYFUNCTION("""COMPUTED_VALUE"""),0.67844970703125)</f>
        <v>0.67844970703124996</v>
      </c>
      <c r="L13" s="176"/>
    </row>
    <row r="14" spans="1:12" ht="15.75" customHeight="1">
      <c r="A14" s="16" t="str">
        <f ca="1">IFERROR(__xludf.DUMMYFUNCTION("""COMPUTED_VALUE"""),"Connell")</f>
        <v>Connell</v>
      </c>
      <c r="B14" s="123">
        <f ca="1">IFERROR(__xludf.DUMMYFUNCTION("""COMPUTED_VALUE"""),4)</f>
        <v>4</v>
      </c>
      <c r="C14" s="16" t="str">
        <f ca="1">IFERROR(__xludf.DUMMYFUNCTION("""COMPUTED_VALUE"""),"Male")</f>
        <v>Male</v>
      </c>
      <c r="D14" s="16" t="str">
        <f ca="1">IFERROR(__xludf.DUMMYFUNCTION("if(isblank(A14),, if(counta(QUERY($A$3:$C1000, ""Select A Where B &gt; ""&amp; B14 +20 &amp;"" AND C = 'Female'"")) = 1,QUERY($A$3:$C1000, ""Select A Where B &gt; ""&amp; B14 +20 &amp;"" AND C = 'Neutral' LIMIT 1""),QUERY($A$3:$C1000, ""Select A Where B &gt; ""&amp; B14 +20 &amp;"" AND C"&amp;" = 'Female'  ORDER BY B LIMIT 1"")))"),"#N/A")</f>
        <v>#N/A</v>
      </c>
      <c r="E14" s="16" t="str">
        <f ca="1">IFERROR(__xludf.DUMMYFUNCTION("if(isblank(A14),, if(counta(QUERY($A$3:$C1000, ""Select A Where B &gt; ""&amp; B14 +20 &amp;"" AND C = 'Male'"")) = 1,QUERY($A$3:$C1000, ""Select A Where B &gt; ""&amp; B14 +20 &amp;"" AND C = 'Neutral' LIMIT 1""),QUERY($A$3:$C1000, ""Select A Where B &gt; ""&amp; B14 +20 &amp;"" AND C ="&amp;" 'Male'  ORDER BY B LIMIT 1"")))"),"#N/A")</f>
        <v>#N/A</v>
      </c>
      <c r="H14" s="24" t="str">
        <f ca="1">IFERROR(__xludf.DUMMYFUNCTION("""COMPUTED_VALUE"""),"Ault")</f>
        <v>Ault</v>
      </c>
      <c r="I14" s="124">
        <f ca="1">IFERROR(__xludf.DUMMYFUNCTION("""COMPUTED_VALUE"""),151.875)</f>
        <v>151.875</v>
      </c>
      <c r="J14" t="str">
        <f ca="1">IFERROR(__xludf.DUMMYFUNCTION("""COMPUTED_VALUE"""),"Female")</f>
        <v>Female</v>
      </c>
      <c r="K14" s="242">
        <f ca="1">IFERROR(__xludf.DUMMYFUNCTION("""COMPUTED_VALUE"""),0.657119750976562)</f>
        <v>0.65711975097656194</v>
      </c>
      <c r="L14" s="176"/>
    </row>
    <row r="15" spans="1:12" ht="15.75" customHeight="1">
      <c r="A15" s="16" t="str">
        <f ca="1">IFERROR(__xludf.DUMMYFUNCTION("""COMPUTED_VALUE"""),"Busma")</f>
        <v>Busma</v>
      </c>
      <c r="B15" s="123">
        <f ca="1">IFERROR(__xludf.DUMMYFUNCTION("""COMPUTED_VALUE"""),4)</f>
        <v>4</v>
      </c>
      <c r="C15" s="16" t="str">
        <f ca="1">IFERROR(__xludf.DUMMYFUNCTION("""COMPUTED_VALUE"""),"Male")</f>
        <v>Male</v>
      </c>
      <c r="D15" s="16" t="str">
        <f ca="1">IFERROR(__xludf.DUMMYFUNCTION("if(isblank(A15),, if(counta(QUERY($A$3:$C1000, ""Select A Where B &gt; ""&amp; B15 +20 &amp;"" AND C = 'Female'"")) = 1,QUERY($A$3:$C1000, ""Select A Where B &gt; ""&amp; B15 +20 &amp;"" AND C = 'Neutral' LIMIT 1""),QUERY($A$3:$C1000, ""Select A Where B &gt; ""&amp; B15 +20 &amp;"" AND C"&amp;" = 'Female'  ORDER BY B LIMIT 1"")))"),"#N/A")</f>
        <v>#N/A</v>
      </c>
      <c r="E15" s="16" t="str">
        <f ca="1">IFERROR(__xludf.DUMMYFUNCTION("if(isblank(A15),, if(counta(QUERY($A$3:$C1000, ""Select A Where B &gt; ""&amp; B15 +20 &amp;"" AND C = 'Male'"")) = 1,QUERY($A$3:$C1000, ""Select A Where B &gt; ""&amp; B15 +20 &amp;"" AND C = 'Neutral' LIMIT 1""),QUERY($A$3:$C1000, ""Select A Where B &gt; ""&amp; B15 +20 &amp;"" AND C ="&amp;" 'Male'  ORDER BY B LIMIT 1"")))"),"#N/A")</f>
        <v>#N/A</v>
      </c>
      <c r="H15" s="24" t="str">
        <f ca="1">IFERROR(__xludf.DUMMYFUNCTION("""COMPUTED_VALUE"""),"Airis")</f>
        <v>Airis</v>
      </c>
      <c r="I15" s="124">
        <f ca="1">IFERROR(__xludf.DUMMYFUNCTION("""COMPUTED_VALUE"""),151.875)</f>
        <v>151.875</v>
      </c>
      <c r="J15" t="str">
        <f ca="1">IFERROR(__xludf.DUMMYFUNCTION("""COMPUTED_VALUE"""),"Female")</f>
        <v>Female</v>
      </c>
      <c r="K15" s="242">
        <f ca="1">IFERROR(__xludf.DUMMYFUNCTION("""COMPUTED_VALUE"""),0.634800338745117)</f>
        <v>0.63480033874511699</v>
      </c>
      <c r="L15" s="176"/>
    </row>
    <row r="16" spans="1:12" ht="15.75" customHeight="1">
      <c r="A16" s="16" t="str">
        <f ca="1">IFERROR(__xludf.DUMMYFUNCTION("""COMPUTED_VALUE"""),"Daburn")</f>
        <v>Daburn</v>
      </c>
      <c r="B16" s="123">
        <f ca="1">IFERROR(__xludf.DUMMYFUNCTION("""COMPUTED_VALUE"""),4)</f>
        <v>4</v>
      </c>
      <c r="C16" s="16" t="str">
        <f ca="1">IFERROR(__xludf.DUMMYFUNCTION("""COMPUTED_VALUE"""),"Male")</f>
        <v>Male</v>
      </c>
      <c r="D16" s="16" t="str">
        <f ca="1">IFERROR(__xludf.DUMMYFUNCTION("if(isblank(A16),, if(counta(QUERY($A$3:$C1000, ""Select A Where B &gt; ""&amp; B16 +20 &amp;"" AND C = 'Female'"")) = 1,QUERY($A$3:$C1000, ""Select A Where B &gt; ""&amp; B16 +20 &amp;"" AND C = 'Neutral' LIMIT 1""),QUERY($A$3:$C1000, ""Select A Where B &gt; ""&amp; B16 +20 &amp;"" AND C"&amp;" = 'Female'  ORDER BY B LIMIT 1"")))"),"#N/A")</f>
        <v>#N/A</v>
      </c>
      <c r="E16" s="16" t="str">
        <f ca="1">IFERROR(__xludf.DUMMYFUNCTION("if(isblank(A16),, if(counta(QUERY($A$3:$C1000, ""Select A Where B &gt; ""&amp; B16 +20 &amp;"" AND C = 'Male'"")) = 1,QUERY($A$3:$C1000, ""Select A Where B &gt; ""&amp; B16 +20 &amp;"" AND C = 'Neutral' LIMIT 1""),QUERY($A$3:$C1000, ""Select A Where B &gt; ""&amp; B16 +20 &amp;"" AND C ="&amp;" 'Male'  ORDER BY B LIMIT 1"")))"),"#N/A")</f>
        <v>#N/A</v>
      </c>
      <c r="H16" s="24" t="str">
        <f ca="1">IFERROR(__xludf.DUMMYFUNCTION("""COMPUTED_VALUE"""),"Ahdun")</f>
        <v>Ahdun</v>
      </c>
      <c r="I16" s="124">
        <f ca="1">IFERROR(__xludf.DUMMYFUNCTION("""COMPUTED_VALUE"""),151.875)</f>
        <v>151.875</v>
      </c>
      <c r="J16" t="str">
        <f ca="1">IFERROR(__xludf.DUMMYFUNCTION("""COMPUTED_VALUE"""),"Female")</f>
        <v>Female</v>
      </c>
      <c r="K16" s="242">
        <f ca="1">IFERROR(__xludf.DUMMYFUNCTION("""COMPUTED_VALUE"""),0.63134479522705)</f>
        <v>0.63134479522705</v>
      </c>
      <c r="L16" s="176"/>
    </row>
    <row r="17" spans="1:12" ht="15.75" customHeight="1">
      <c r="A17" s="16" t="str">
        <f ca="1">IFERROR(__xludf.DUMMYFUNCTION("""COMPUTED_VALUE"""),"Celorn")</f>
        <v>Celorn</v>
      </c>
      <c r="B17" s="123">
        <f ca="1">IFERROR(__xludf.DUMMYFUNCTION("""COMPUTED_VALUE"""),4)</f>
        <v>4</v>
      </c>
      <c r="C17" s="16" t="str">
        <f ca="1">IFERROR(__xludf.DUMMYFUNCTION("""COMPUTED_VALUE"""),"Male")</f>
        <v>Male</v>
      </c>
      <c r="D17" s="16" t="str">
        <f ca="1">IFERROR(__xludf.DUMMYFUNCTION("if(isblank(A17),, if(counta(QUERY($A$3:$C1000, ""Select A Where B &gt; ""&amp; B17 +20 &amp;"" AND C = 'Female'"")) = 1,QUERY($A$3:$C1000, ""Select A Where B &gt; ""&amp; B17 +20 &amp;"" AND C = 'Neutral' LIMIT 1""),QUERY($A$3:$C1000, ""Select A Where B &gt; ""&amp; B17 +20 &amp;"" AND C"&amp;" = 'Female'  ORDER BY B LIMIT 1"")))"),"#N/A")</f>
        <v>#N/A</v>
      </c>
      <c r="E17" s="16" t="str">
        <f ca="1">IFERROR(__xludf.DUMMYFUNCTION("if(isblank(A17),, if(counta(QUERY($A$3:$C1000, ""Select A Where B &gt; ""&amp; B17 +20 &amp;"" AND C = 'Male'"")) = 1,QUERY($A$3:$C1000, ""Select A Where B &gt; ""&amp; B17 +20 &amp;"" AND C = 'Neutral' LIMIT 1""),QUERY($A$3:$C1000, ""Select A Where B &gt; ""&amp; B17 +20 &amp;"" AND C ="&amp;" 'Male'  ORDER BY B LIMIT 1"")))"),"#N/A")</f>
        <v>#N/A</v>
      </c>
      <c r="H17" s="24" t="str">
        <f ca="1">IFERROR(__xludf.DUMMYFUNCTION("""COMPUTED_VALUE"""),"Temilfist")</f>
        <v>Temilfist</v>
      </c>
      <c r="I17" s="124">
        <f ca="1">IFERROR(__xludf.DUMMYFUNCTION("""COMPUTED_VALUE"""),118.124999999999)</f>
        <v>118.12499999999901</v>
      </c>
      <c r="J17" t="str">
        <f ca="1">IFERROR(__xludf.DUMMYFUNCTION("""COMPUTED_VALUE"""),"Male")</f>
        <v>Male</v>
      </c>
      <c r="K17" s="242">
        <f ca="1">IFERROR(__xludf.DUMMYFUNCTION("""COMPUTED_VALUE"""),0.565639114379882)</f>
        <v>0.56563911437988201</v>
      </c>
      <c r="L17" s="176"/>
    </row>
    <row r="18" spans="1:12" ht="15.75" customHeight="1">
      <c r="A18" s="16" t="str">
        <f ca="1">IFERROR(__xludf.DUMMYFUNCTION("""COMPUTED_VALUE"""),"Cevelt")</f>
        <v>Cevelt</v>
      </c>
      <c r="B18" s="123">
        <f ca="1">IFERROR(__xludf.DUMMYFUNCTION("""COMPUTED_VALUE"""),4)</f>
        <v>4</v>
      </c>
      <c r="C18" s="16" t="str">
        <f ca="1">IFERROR(__xludf.DUMMYFUNCTION("""COMPUTED_VALUE"""),"Male")</f>
        <v>Male</v>
      </c>
      <c r="D18" s="16" t="str">
        <f ca="1">IFERROR(__xludf.DUMMYFUNCTION("if(isblank(A18),, if(counta(QUERY($A$3:$C1000, ""Select A Where B &gt; ""&amp; B18 +20 &amp;"" AND C = 'Female'"")) = 1,QUERY($A$3:$C1000, ""Select A Where B &gt; ""&amp; B18 +20 &amp;"" AND C = 'Neutral' LIMIT 1""),QUERY($A$3:$C1000, ""Select A Where B &gt; ""&amp; B18 +20 &amp;"" AND C"&amp;" = 'Female'  ORDER BY B LIMIT 1"")))"),"#N/A")</f>
        <v>#N/A</v>
      </c>
      <c r="E18" s="16" t="str">
        <f ca="1">IFERROR(__xludf.DUMMYFUNCTION("if(isblank(A18),, if(counta(QUERY($A$3:$C1000, ""Select A Where B &gt; ""&amp; B18 +20 &amp;"" AND C = 'Male'"")) = 1,QUERY($A$3:$C1000, ""Select A Where B &gt; ""&amp; B18 +20 &amp;"" AND C = 'Neutral' LIMIT 1""),QUERY($A$3:$C1000, ""Select A Where B &gt; ""&amp; B18 +20 &amp;"" AND C ="&amp;" 'Male'  ORDER BY B LIMIT 1"")))"),"#N/A")</f>
        <v>#N/A</v>
      </c>
      <c r="H18" s="24" t="str">
        <f ca="1">IFERROR(__xludf.DUMMYFUNCTION("""COMPUTED_VALUE"""),"Stenwulf")</f>
        <v>Stenwulf</v>
      </c>
      <c r="I18" s="124">
        <f ca="1">IFERROR(__xludf.DUMMYFUNCTION("""COMPUTED_VALUE"""),118.124999999999)</f>
        <v>118.12499999999901</v>
      </c>
      <c r="J18" t="str">
        <f ca="1">IFERROR(__xludf.DUMMYFUNCTION("""COMPUTED_VALUE"""),"Male")</f>
        <v>Male</v>
      </c>
      <c r="K18" s="242">
        <f ca="1">IFERROR(__xludf.DUMMYFUNCTION("""COMPUTED_VALUE"""),0.553364067077636)</f>
        <v>0.55336406707763597</v>
      </c>
      <c r="L18" s="176"/>
    </row>
    <row r="19" spans="1:12" ht="15.75" customHeight="1">
      <c r="A19" s="16" t="str">
        <f ca="1">IFERROR(__xludf.DUMMYFUNCTION("""COMPUTED_VALUE"""),"Cosdeer")</f>
        <v>Cosdeer</v>
      </c>
      <c r="B19" s="123">
        <f ca="1">IFERROR(__xludf.DUMMYFUNCTION("""COMPUTED_VALUE"""),4)</f>
        <v>4</v>
      </c>
      <c r="C19" s="16" t="str">
        <f ca="1">IFERROR(__xludf.DUMMYFUNCTION("""COMPUTED_VALUE"""),"Male")</f>
        <v>Male</v>
      </c>
      <c r="D19" s="16" t="str">
        <f ca="1">IFERROR(__xludf.DUMMYFUNCTION("if(isblank(A19),, if(counta(QUERY($A$3:$C1000, ""Select A Where B &gt; ""&amp; B19 +20 &amp;"" AND C = 'Female'"")) = 1,QUERY($A$3:$C1000, ""Select A Where B &gt; ""&amp; B19 +20 &amp;"" AND C = 'Neutral' LIMIT 1""),QUERY($A$3:$C1000, ""Select A Where B &gt; ""&amp; B19 +20 &amp;"" AND C"&amp;" = 'Female'  ORDER BY B LIMIT 1"")))"),"#N/A")</f>
        <v>#N/A</v>
      </c>
      <c r="E19" s="16" t="str">
        <f ca="1">IFERROR(__xludf.DUMMYFUNCTION("if(isblank(A19),, if(counta(QUERY($A$3:$C1000, ""Select A Where B &gt; ""&amp; B19 +20 &amp;"" AND C = 'Male'"")) = 1,QUERY($A$3:$C1000, ""Select A Where B &gt; ""&amp; B19 +20 &amp;"" AND C = 'Neutral' LIMIT 1""),QUERY($A$3:$C1000, ""Select A Where B &gt; ""&amp; B19 +20 &amp;"" AND C ="&amp;" 'Male'  ORDER BY B LIMIT 1"")))"),"#N/A")</f>
        <v>#N/A</v>
      </c>
      <c r="H19" s="24" t="str">
        <f ca="1">IFERROR(__xludf.DUMMYFUNCTION("""COMPUTED_VALUE"""),"Soderman")</f>
        <v>Soderman</v>
      </c>
      <c r="I19" s="124">
        <f ca="1">IFERROR(__xludf.DUMMYFUNCTION("""COMPUTED_VALUE"""),196.875)</f>
        <v>196.875</v>
      </c>
      <c r="J19" t="str">
        <f ca="1">IFERROR(__xludf.DUMMYFUNCTION("""COMPUTED_VALUE"""),"Male")</f>
        <v>Male</v>
      </c>
      <c r="K19" s="242">
        <f ca="1">IFERROR(__xludf.DUMMYFUNCTION("""COMPUTED_VALUE"""),0.548491058349609)</f>
        <v>0.54849105834960898</v>
      </c>
      <c r="L19" s="176"/>
    </row>
    <row r="20" spans="1:12" ht="15.75" customHeight="1">
      <c r="A20" s="16" t="str">
        <f ca="1">IFERROR(__xludf.DUMMYFUNCTION("""COMPUTED_VALUE"""),"Caelholdt")</f>
        <v>Caelholdt</v>
      </c>
      <c r="B20" s="123">
        <f ca="1">IFERROR(__xludf.DUMMYFUNCTION("""COMPUTED_VALUE"""),4)</f>
        <v>4</v>
      </c>
      <c r="C20" s="16" t="str">
        <f ca="1">IFERROR(__xludf.DUMMYFUNCTION("""COMPUTED_VALUE"""),"Male")</f>
        <v>Male</v>
      </c>
      <c r="D20" s="16" t="str">
        <f ca="1">IFERROR(__xludf.DUMMYFUNCTION("if(isblank(A20),, if(counta(QUERY($A$3:$C1000, ""Select A Where B &gt; ""&amp; B20 +20 &amp;"" AND C = 'Female'"")) = 1,QUERY($A$3:$C1000, ""Select A Where B &gt; ""&amp; B20 +20 &amp;"" AND C = 'Neutral' LIMIT 1""),QUERY($A$3:$C1000, ""Select A Where B &gt; ""&amp; B20 +20 &amp;"" AND C"&amp;" = 'Female'  ORDER BY B LIMIT 1"")))"),"#N/A")</f>
        <v>#N/A</v>
      </c>
      <c r="E20" s="16" t="str">
        <f ca="1">IFERROR(__xludf.DUMMYFUNCTION("if(isblank(A20),, if(counta(QUERY($A$3:$C1000, ""Select A Where B &gt; ""&amp; B20 +20 &amp;"" AND C = 'Male'"")) = 1,QUERY($A$3:$C1000, ""Select A Where B &gt; ""&amp; B20 +20 &amp;"" AND C = 'Neutral' LIMIT 1""),QUERY($A$3:$C1000, ""Select A Where B &gt; ""&amp; B20 +20 &amp;"" AND C ="&amp;" 'Male'  ORDER BY B LIMIT 1"")))"),"#N/A")</f>
        <v>#N/A</v>
      </c>
      <c r="H20" s="24" t="str">
        <f ca="1">IFERROR(__xludf.DUMMYFUNCTION("""COMPUTED_VALUE"""),"Alderman")</f>
        <v>Alderman</v>
      </c>
      <c r="I20" s="124">
        <f ca="1">IFERROR(__xludf.DUMMYFUNCTION("""COMPUTED_VALUE"""),151.875)</f>
        <v>151.875</v>
      </c>
      <c r="J20" t="str">
        <f ca="1">IFERROR(__xludf.DUMMYFUNCTION("""COMPUTED_VALUE"""),"Female")</f>
        <v>Female</v>
      </c>
      <c r="K20" s="242">
        <f ca="1">IFERROR(__xludf.DUMMYFUNCTION("""COMPUTED_VALUE"""),0.511375122070312)</f>
        <v>0.51137512207031199</v>
      </c>
      <c r="L20" s="176"/>
    </row>
    <row r="21" spans="1:12" ht="15.75" customHeight="1">
      <c r="A21" s="16" t="str">
        <f ca="1">IFERROR(__xludf.DUMMYFUNCTION("""COMPUTED_VALUE"""),"Cyton")</f>
        <v>Cyton</v>
      </c>
      <c r="B21" s="123">
        <f ca="1">IFERROR(__xludf.DUMMYFUNCTION("""COMPUTED_VALUE"""),4)</f>
        <v>4</v>
      </c>
      <c r="C21" s="16" t="str">
        <f ca="1">IFERROR(__xludf.DUMMYFUNCTION("""COMPUTED_VALUE"""),"Male")</f>
        <v>Male</v>
      </c>
      <c r="D21" s="16" t="str">
        <f ca="1">IFERROR(__xludf.DUMMYFUNCTION("if(isblank(A21),, if(counta(QUERY($A$3:$C1000, ""Select A Where B &gt; ""&amp; B21 +20 &amp;"" AND C = 'Female'"")) = 1,QUERY($A$3:$C1000, ""Select A Where B &gt; ""&amp; B21 +20 &amp;"" AND C = 'Neutral' LIMIT 1""),QUERY($A$3:$C1000, ""Select A Where B &gt; ""&amp; B21 +20 &amp;"" AND C"&amp;" = 'Female'  ORDER BY B LIMIT 1"")))"),"#N/A")</f>
        <v>#N/A</v>
      </c>
      <c r="E21" s="16" t="str">
        <f ca="1">IFERROR(__xludf.DUMMYFUNCTION("if(isblank(A21),, if(counta(QUERY($A$3:$C1000, ""Select A Where B &gt; ""&amp; B21 +20 &amp;"" AND C = 'Male'"")) = 1,QUERY($A$3:$C1000, ""Select A Where B &gt; ""&amp; B21 +20 &amp;"" AND C = 'Neutral' LIMIT 1""),QUERY($A$3:$C1000, ""Select A Where B &gt; ""&amp; B21 +20 &amp;"" AND C ="&amp;" 'Male'  ORDER BY B LIMIT 1"")))"),"#N/A")</f>
        <v>#N/A</v>
      </c>
      <c r="H21" s="24" t="str">
        <f ca="1">IFERROR(__xludf.DUMMYFUNCTION("""COMPUTED_VALUE"""),"Vaccon")</f>
        <v>Vaccon</v>
      </c>
      <c r="I21" s="124">
        <f ca="1">IFERROR(__xludf.DUMMYFUNCTION("""COMPUTED_VALUE"""),135)</f>
        <v>135</v>
      </c>
      <c r="J21" t="str">
        <f ca="1">IFERROR(__xludf.DUMMYFUNCTION("""COMPUTED_VALUE"""),"Male")</f>
        <v>Male</v>
      </c>
      <c r="K21" s="242">
        <f ca="1">IFERROR(__xludf.DUMMYFUNCTION("""COMPUTED_VALUE"""),0.491606140136718)</f>
        <v>0.491606140136718</v>
      </c>
      <c r="L21" s="176"/>
    </row>
    <row r="22" spans="1:12" ht="15.75" customHeight="1">
      <c r="A22" s="16" t="str">
        <f ca="1">IFERROR(__xludf.DUMMYFUNCTION("""COMPUTED_VALUE"""),"Casden")</f>
        <v>Casden</v>
      </c>
      <c r="B22" s="123">
        <f ca="1">IFERROR(__xludf.DUMMYFUNCTION("""COMPUTED_VALUE"""),4)</f>
        <v>4</v>
      </c>
      <c r="C22" s="16" t="str">
        <f ca="1">IFERROR(__xludf.DUMMYFUNCTION("""COMPUTED_VALUE"""),"Male")</f>
        <v>Male</v>
      </c>
      <c r="D22" s="16" t="str">
        <f ca="1">IFERROR(__xludf.DUMMYFUNCTION("if(isblank(A22),, if(counta(QUERY($A$3:$C1000, ""Select A Where B &gt; ""&amp; B22 +20 &amp;"" AND C = 'Female'"")) = 1,QUERY($A$3:$C1000, ""Select A Where B &gt; ""&amp; B22 +20 &amp;"" AND C = 'Neutral' LIMIT 1""),QUERY($A$3:$C1000, ""Select A Where B &gt; ""&amp; B22 +20 &amp;"" AND C"&amp;" = 'Female'  ORDER BY B LIMIT 1"")))"),"#N/A")</f>
        <v>#N/A</v>
      </c>
      <c r="E22" s="16" t="str">
        <f ca="1">IFERROR(__xludf.DUMMYFUNCTION("if(isblank(A22),, if(counta(QUERY($A$3:$C1000, ""Select A Where B &gt; ""&amp; B22 +20 &amp;"" AND C = 'Male'"")) = 1,QUERY($A$3:$C1000, ""Select A Where B &gt; ""&amp; B22 +20 &amp;"" AND C = 'Neutral' LIMIT 1""),QUERY($A$3:$C1000, ""Select A Where B &gt; ""&amp; B22 +20 &amp;"" AND C ="&amp;" 'Male'  ORDER BY B LIMIT 1"")))"),"#N/A")</f>
        <v>#N/A</v>
      </c>
      <c r="H22" s="24" t="str">
        <f ca="1">IFERROR(__xludf.DUMMYFUNCTION("""COMPUTED_VALUE"""),"Tespar")</f>
        <v>Tespar</v>
      </c>
      <c r="I22" s="124">
        <f ca="1">IFERROR(__xludf.DUMMYFUNCTION("""COMPUTED_VALUE"""),118.124999999999)</f>
        <v>118.12499999999901</v>
      </c>
      <c r="J22" t="str">
        <f ca="1">IFERROR(__xludf.DUMMYFUNCTION("""COMPUTED_VALUE"""),"Male")</f>
        <v>Male</v>
      </c>
      <c r="K22" s="242">
        <f ca="1">IFERROR(__xludf.DUMMYFUNCTION("""COMPUTED_VALUE"""),0.48795295715332)</f>
        <v>0.48795295715331999</v>
      </c>
      <c r="L22" s="176"/>
    </row>
    <row r="23" spans="1:12" ht="15.75" customHeight="1">
      <c r="A23" s="16" t="str">
        <f ca="1">IFERROR(__xludf.DUMMYFUNCTION("""COMPUTED_VALUE"""),"Cevelt")</f>
        <v>Cevelt</v>
      </c>
      <c r="B23" s="123">
        <f ca="1">IFERROR(__xludf.DUMMYFUNCTION("""COMPUTED_VALUE"""),4)</f>
        <v>4</v>
      </c>
      <c r="C23" s="16" t="str">
        <f ca="1">IFERROR(__xludf.DUMMYFUNCTION("""COMPUTED_VALUE"""),"Male")</f>
        <v>Male</v>
      </c>
      <c r="D23" s="16" t="str">
        <f ca="1">IFERROR(__xludf.DUMMYFUNCTION("if(isblank(A23),, if(counta(QUERY($A$3:$C1000, ""Select A Where B &gt; ""&amp; B23 +20 &amp;"" AND C = 'Female'"")) = 1,QUERY($A$3:$C1000, ""Select A Where B &gt; ""&amp; B23 +20 &amp;"" AND C = 'Neutral' LIMIT 1""),QUERY($A$3:$C1000, ""Select A Where B &gt; ""&amp; B23 +20 &amp;"" AND C"&amp;" = 'Female'  ORDER BY B LIMIT 1"")))"),"#N/A")</f>
        <v>#N/A</v>
      </c>
      <c r="E23" s="16" t="str">
        <f ca="1">IFERROR(__xludf.DUMMYFUNCTION("if(isblank(A23),, if(counta(QUERY($A$3:$C1000, ""Select A Where B &gt; ""&amp; B23 +20 &amp;"" AND C = 'Male'"")) = 1,QUERY($A$3:$C1000, ""Select A Where B &gt; ""&amp; B23 +20 &amp;"" AND C = 'Neutral' LIMIT 1""),QUERY($A$3:$C1000, ""Select A Where B &gt; ""&amp; B23 +20 &amp;"" AND C ="&amp;" 'Male'  ORDER BY B LIMIT 1"")))"),"#N/A")</f>
        <v>#N/A</v>
      </c>
      <c r="H23" s="24" t="str">
        <f ca="1">IFERROR(__xludf.DUMMYFUNCTION("""COMPUTED_VALUE"""),"Suth")</f>
        <v>Suth</v>
      </c>
      <c r="I23" s="124">
        <f ca="1">IFERROR(__xludf.DUMMYFUNCTION("""COMPUTED_VALUE"""),118.124999999999)</f>
        <v>118.12499999999901</v>
      </c>
      <c r="J23" t="str">
        <f ca="1">IFERROR(__xludf.DUMMYFUNCTION("""COMPUTED_VALUE"""),"Male")</f>
        <v>Male</v>
      </c>
      <c r="K23" s="242">
        <f ca="1">IFERROR(__xludf.DUMMYFUNCTION("""COMPUTED_VALUE"""),0.47748435974121)</f>
        <v>0.47748435974121001</v>
      </c>
      <c r="L23" s="176"/>
    </row>
    <row r="24" spans="1:12" ht="15.75" customHeight="1">
      <c r="A24" s="16" t="str">
        <f ca="1">IFERROR(__xludf.DUMMYFUNCTION("""COMPUTED_VALUE"""),"Connell")</f>
        <v>Connell</v>
      </c>
      <c r="B24" s="123">
        <f ca="1">IFERROR(__xludf.DUMMYFUNCTION("""COMPUTED_VALUE"""),4)</f>
        <v>4</v>
      </c>
      <c r="C24" s="16" t="str">
        <f ca="1">IFERROR(__xludf.DUMMYFUNCTION("""COMPUTED_VALUE"""),"Male")</f>
        <v>Male</v>
      </c>
      <c r="D24" s="16" t="str">
        <f ca="1">IFERROR(__xludf.DUMMYFUNCTION("if(isblank(A24),, if(counta(QUERY($A$3:$C1000, ""Select A Where B &gt; ""&amp; B24 +20 &amp;"" AND C = 'Female'"")) = 1,QUERY($A$3:$C1000, ""Select A Where B &gt; ""&amp; B24 +20 &amp;"" AND C = 'Neutral' LIMIT 1""),QUERY($A$3:$C1000, ""Select A Where B &gt; ""&amp; B24 +20 &amp;"" AND C"&amp;" = 'Female'  ORDER BY B LIMIT 1"")))"),"#N/A")</f>
        <v>#N/A</v>
      </c>
      <c r="E24" s="16" t="str">
        <f ca="1">IFERROR(__xludf.DUMMYFUNCTION("if(isblank(A24),, if(counta(QUERY($A$3:$C1000, ""Select A Where B &gt; ""&amp; B24 +20 &amp;"" AND C = 'Male'"")) = 1,QUERY($A$3:$C1000, ""Select A Where B &gt; ""&amp; B24 +20 &amp;"" AND C = 'Neutral' LIMIT 1""),QUERY($A$3:$C1000, ""Select A Where B &gt; ""&amp; B24 +20 &amp;"" AND C ="&amp;" 'Male'  ORDER BY B LIMIT 1"")))"),"#N/A")</f>
        <v>#N/A</v>
      </c>
      <c r="H24" s="24" t="str">
        <f ca="1">IFERROR(__xludf.DUMMYFUNCTION("""COMPUTED_VALUE"""),"Sil'forrin")</f>
        <v>Sil'forrin</v>
      </c>
      <c r="I24" s="124">
        <f ca="1">IFERROR(__xludf.DUMMYFUNCTION("""COMPUTED_VALUE"""),196.875)</f>
        <v>196.875</v>
      </c>
      <c r="J24" t="str">
        <f ca="1">IFERROR(__xludf.DUMMYFUNCTION("""COMPUTED_VALUE"""),"Male")</f>
        <v>Male</v>
      </c>
      <c r="K24" s="242">
        <f ca="1">IFERROR(__xludf.DUMMYFUNCTION("""COMPUTED_VALUE"""),0.468126068115234)</f>
        <v>0.468126068115234</v>
      </c>
      <c r="L24" s="176"/>
    </row>
    <row r="25" spans="1:12" ht="15.75" customHeight="1">
      <c r="A25" s="16" t="str">
        <f ca="1">IFERROR(__xludf.DUMMYFUNCTION("""COMPUTED_VALUE"""),"Cyton")</f>
        <v>Cyton</v>
      </c>
      <c r="B25" s="123">
        <f ca="1">IFERROR(__xludf.DUMMYFUNCTION("""COMPUTED_VALUE"""),4)</f>
        <v>4</v>
      </c>
      <c r="C25" s="16" t="str">
        <f ca="1">IFERROR(__xludf.DUMMYFUNCTION("""COMPUTED_VALUE"""),"Male")</f>
        <v>Male</v>
      </c>
      <c r="D25" s="16" t="str">
        <f ca="1">IFERROR(__xludf.DUMMYFUNCTION("if(isblank(A25),, if(counta(QUERY($A$3:$C1000, ""Select A Where B &gt; ""&amp; B25 +20 &amp;"" AND C = 'Female'"")) = 1,QUERY($A$3:$C1000, ""Select A Where B &gt; ""&amp; B25 +20 &amp;"" AND C = 'Neutral' LIMIT 1""),QUERY($A$3:$C1000, ""Select A Where B &gt; ""&amp; B25 +20 &amp;"" AND C"&amp;" = 'Female'  ORDER BY B LIMIT 1"")))"),"#N/A")</f>
        <v>#N/A</v>
      </c>
      <c r="E25" s="16" t="str">
        <f ca="1">IFERROR(__xludf.DUMMYFUNCTION("if(isblank(A25),, if(counta(QUERY($A$3:$C1000, ""Select A Where B &gt; ""&amp; B25 +20 &amp;"" AND C = 'Male'"")) = 1,QUERY($A$3:$C1000, ""Select A Where B &gt; ""&amp; B25 +20 &amp;"" AND C = 'Neutral' LIMIT 1""),QUERY($A$3:$C1000, ""Select A Where B &gt; ""&amp; B25 +20 &amp;"" AND C ="&amp;" 'Male'  ORDER BY B LIMIT 1"")))"),"#N/A")</f>
        <v>#N/A</v>
      </c>
      <c r="H25" s="24" t="str">
        <f ca="1">IFERROR(__xludf.DUMMYFUNCTION("""COMPUTED_VALUE"""),"Shillen")</f>
        <v>Shillen</v>
      </c>
      <c r="I25" s="124">
        <f ca="1">IFERROR(__xludf.DUMMYFUNCTION("""COMPUTED_VALUE"""),196.875)</f>
        <v>196.875</v>
      </c>
      <c r="J25" t="str">
        <f ca="1">IFERROR(__xludf.DUMMYFUNCTION("""COMPUTED_VALUE"""),"Male")</f>
        <v>Male</v>
      </c>
      <c r="K25" s="242">
        <f ca="1">IFERROR(__xludf.DUMMYFUNCTION("""COMPUTED_VALUE"""),0.463896331787109)</f>
        <v>0.46389633178710898</v>
      </c>
      <c r="L25" s="176"/>
    </row>
    <row r="26" spans="1:12" ht="15.75" customHeight="1">
      <c r="A26" s="16" t="str">
        <f ca="1">IFERROR(__xludf.DUMMYFUNCTION("""COMPUTED_VALUE"""),"Casden")</f>
        <v>Casden</v>
      </c>
      <c r="B26" s="123">
        <f ca="1">IFERROR(__xludf.DUMMYFUNCTION("""COMPUTED_VALUE"""),4)</f>
        <v>4</v>
      </c>
      <c r="C26" s="16" t="str">
        <f ca="1">IFERROR(__xludf.DUMMYFUNCTION("""COMPUTED_VALUE"""),"Male")</f>
        <v>Male</v>
      </c>
      <c r="D26" s="16" t="str">
        <f ca="1">IFERROR(__xludf.DUMMYFUNCTION("if(isblank(A26),, if(counta(QUERY($A$3:$C1000, ""Select A Where B &gt; ""&amp; B26 +20 &amp;"" AND C = 'Female'"")) = 1,QUERY($A$3:$C1000, ""Select A Where B &gt; ""&amp; B26 +20 &amp;"" AND C = 'Neutral' LIMIT 1""),QUERY($A$3:$C1000, ""Select A Where B &gt; ""&amp; B26 +20 &amp;"" AND C"&amp;" = 'Female'  ORDER BY B LIMIT 1"")))"),"#N/A")</f>
        <v>#N/A</v>
      </c>
      <c r="E26" s="16" t="str">
        <f ca="1">IFERROR(__xludf.DUMMYFUNCTION("if(isblank(A26),, if(counta(QUERY($A$3:$C1000, ""Select A Where B &gt; ""&amp; B26 +20 &amp;"" AND C = 'Male'"")) = 1,QUERY($A$3:$C1000, ""Select A Where B &gt; ""&amp; B26 +20 &amp;"" AND C = 'Neutral' LIMIT 1""),QUERY($A$3:$C1000, ""Select A Where B &gt; ""&amp; B26 +20 &amp;"" AND C ="&amp;" 'Male'  ORDER BY B LIMIT 1"")))"),"#N/A")</f>
        <v>#N/A</v>
      </c>
      <c r="H26" s="24" t="str">
        <f ca="1">IFERROR(__xludf.DUMMYFUNCTION("""COMPUTED_VALUE"""),"Thiltran")</f>
        <v>Thiltran</v>
      </c>
      <c r="I26" s="124">
        <f ca="1">IFERROR(__xludf.DUMMYFUNCTION("""COMPUTED_VALUE"""),118.124999999999)</f>
        <v>118.12499999999901</v>
      </c>
      <c r="J26" t="str">
        <f ca="1">IFERROR(__xludf.DUMMYFUNCTION("""COMPUTED_VALUE"""),"Male")</f>
        <v>Male</v>
      </c>
      <c r="K26" s="242">
        <f ca="1">IFERROR(__xludf.DUMMYFUNCTION("""COMPUTED_VALUE"""),0.410108184814452)</f>
        <v>0.41010818481445199</v>
      </c>
      <c r="L26" s="176"/>
    </row>
    <row r="27" spans="1:12" ht="15.75" customHeight="1">
      <c r="A27" s="16" t="str">
        <f ca="1">IFERROR(__xludf.DUMMYFUNCTION("""COMPUTED_VALUE"""),"Dalmarn")</f>
        <v>Dalmarn</v>
      </c>
      <c r="B27" s="123">
        <f ca="1">IFERROR(__xludf.DUMMYFUNCTION("""COMPUTED_VALUE"""),4)</f>
        <v>4</v>
      </c>
      <c r="C27" s="16" t="str">
        <f ca="1">IFERROR(__xludf.DUMMYFUNCTION("""COMPUTED_VALUE"""),"Male")</f>
        <v>Male</v>
      </c>
      <c r="D27" s="16" t="str">
        <f ca="1">IFERROR(__xludf.DUMMYFUNCTION("if(isblank(A27),, if(counta(QUERY($A$3:$C1000, ""Select A Where B &gt; ""&amp; B27 +20 &amp;"" AND C = 'Female'"")) = 1,QUERY($A$3:$C1000, ""Select A Where B &gt; ""&amp; B27 +20 &amp;"" AND C = 'Neutral' LIMIT 1""),QUERY($A$3:$C1000, ""Select A Where B &gt; ""&amp; B27 +20 &amp;"" AND C"&amp;" = 'Female'  ORDER BY B LIMIT 1"")))"),"#N/A")</f>
        <v>#N/A</v>
      </c>
      <c r="E27" s="16" t="str">
        <f ca="1">IFERROR(__xludf.DUMMYFUNCTION("if(isblank(A27),, if(counta(QUERY($A$3:$C1000, ""Select A Where B &gt; ""&amp; B27 +20 &amp;"" AND C = 'Male'"")) = 1,QUERY($A$3:$C1000, ""Select A Where B &gt; ""&amp; B27 +20 &amp;"" AND C = 'Neutral' LIMIT 1""),QUERY($A$3:$C1000, ""Select A Where B &gt; ""&amp; B27 +20 &amp;"" AND C ="&amp;" 'Male'  ORDER BY B LIMIT 1"")))"),"#N/A")</f>
        <v>#N/A</v>
      </c>
      <c r="H27" s="24" t="str">
        <f ca="1">IFERROR(__xludf.DUMMYFUNCTION("""COMPUTED_VALUE"""),"Talberon")</f>
        <v>Talberon</v>
      </c>
      <c r="I27" s="124">
        <f ca="1">IFERROR(__xludf.DUMMYFUNCTION("""COMPUTED_VALUE"""),118.124999999999)</f>
        <v>118.12499999999901</v>
      </c>
      <c r="J27" t="str">
        <f ca="1">IFERROR(__xludf.DUMMYFUNCTION("""COMPUTED_VALUE"""),"Male")</f>
        <v>Male</v>
      </c>
      <c r="K27" s="242">
        <f ca="1">IFERROR(__xludf.DUMMYFUNCTION("""COMPUTED_VALUE"""),0.401384353637695)</f>
        <v>0.40138435363769498</v>
      </c>
      <c r="L27" s="176"/>
    </row>
    <row r="28" spans="1:12" ht="13.2">
      <c r="A28" s="16" t="str">
        <f ca="1">IFERROR(__xludf.DUMMYFUNCTION("""COMPUTED_VALUE"""),"Cerdern")</f>
        <v>Cerdern</v>
      </c>
      <c r="B28" s="123">
        <f ca="1">IFERROR(__xludf.DUMMYFUNCTION("""COMPUTED_VALUE"""),4)</f>
        <v>4</v>
      </c>
      <c r="C28" s="16" t="str">
        <f ca="1">IFERROR(__xludf.DUMMYFUNCTION("""COMPUTED_VALUE"""),"Male")</f>
        <v>Male</v>
      </c>
      <c r="D28" s="16" t="str">
        <f ca="1">IFERROR(__xludf.DUMMYFUNCTION("if(isblank(A28),, if(counta(QUERY($A$3:$C1000, ""Select A Where B &gt; ""&amp; B28 +20 &amp;"" AND C = 'Female'"")) = 1,QUERY($A$3:$C1000, ""Select A Where B &gt; ""&amp; B28 +20 &amp;"" AND C = 'Neutral' LIMIT 1""),QUERY($A$3:$C1000, ""Select A Where B &gt; ""&amp; B28 +20 &amp;"" AND C"&amp;" = 'Female'  ORDER BY B LIMIT 1"")))"),"#N/A")</f>
        <v>#N/A</v>
      </c>
      <c r="E28" s="16" t="str">
        <f ca="1">IFERROR(__xludf.DUMMYFUNCTION("if(isblank(A28),, if(counta(QUERY($A$3:$C1000, ""Select A Where B &gt; ""&amp; B28 +20 &amp;"" AND C = 'Male'"")) = 1,QUERY($A$3:$C1000, ""Select A Where B &gt; ""&amp; B28 +20 &amp;"" AND C = 'Neutral' LIMIT 1""),QUERY($A$3:$C1000, ""Select A Where B &gt; ""&amp; B28 +20 &amp;"" AND C ="&amp;" 'Male'  ORDER BY B LIMIT 1"")))"),"#N/A")</f>
        <v>#N/A</v>
      </c>
      <c r="H28" s="24" t="str">
        <f ca="1">IFERROR(__xludf.DUMMYFUNCTION("""COMPUTED_VALUE"""),"Soderman")</f>
        <v>Soderman</v>
      </c>
      <c r="I28" s="124">
        <f ca="1">IFERROR(__xludf.DUMMYFUNCTION("""COMPUTED_VALUE"""),196.875)</f>
        <v>196.875</v>
      </c>
      <c r="J28" t="str">
        <f ca="1">IFERROR(__xludf.DUMMYFUNCTION("""COMPUTED_VALUE"""),"Male")</f>
        <v>Male</v>
      </c>
      <c r="K28" s="242">
        <f ca="1">IFERROR(__xludf.DUMMYFUNCTION("""COMPUTED_VALUE"""),0.392704582214355)</f>
        <v>0.392704582214355</v>
      </c>
      <c r="L28" s="176"/>
    </row>
    <row r="29" spans="1:12" ht="13.2">
      <c r="A29" s="16" t="str">
        <f ca="1">IFERROR(__xludf.DUMMYFUNCTION("""COMPUTED_VALUE"""),"Connell")</f>
        <v>Connell</v>
      </c>
      <c r="B29" s="123">
        <f ca="1">IFERROR(__xludf.DUMMYFUNCTION("""COMPUTED_VALUE"""),4)</f>
        <v>4</v>
      </c>
      <c r="C29" s="16" t="str">
        <f ca="1">IFERROR(__xludf.DUMMYFUNCTION("""COMPUTED_VALUE"""),"Male")</f>
        <v>Male</v>
      </c>
      <c r="D29" s="16" t="str">
        <f ca="1">IFERROR(__xludf.DUMMYFUNCTION("if(isblank(A29),, if(counta(QUERY($A$3:$C1000, ""Select A Where B &gt; ""&amp; B29 +20 &amp;"" AND C = 'Female'"")) = 1,QUERY($A$3:$C1000, ""Select A Where B &gt; ""&amp; B29 +20 &amp;"" AND C = 'Neutral' LIMIT 1""),QUERY($A$3:$C1000, ""Select A Where B &gt; ""&amp; B29 +20 &amp;"" AND C"&amp;" = 'Female'  ORDER BY B LIMIT 1"")))"),"#N/A")</f>
        <v>#N/A</v>
      </c>
      <c r="E29" s="16" t="str">
        <f ca="1">IFERROR(__xludf.DUMMYFUNCTION("if(isblank(A29),, if(counta(QUERY($A$3:$C1000, ""Select A Where B &gt; ""&amp; B29 +20 &amp;"" AND C = 'Male'"")) = 1,QUERY($A$3:$C1000, ""Select A Where B &gt; ""&amp; B29 +20 &amp;"" AND C = 'Neutral' LIMIT 1""),QUERY($A$3:$C1000, ""Select A Where B &gt; ""&amp; B29 +20 &amp;"" AND C ="&amp;" 'Male'  ORDER BY B LIMIT 1"")))"),"#N/A")</f>
        <v>#N/A</v>
      </c>
      <c r="H29" s="24" t="str">
        <f ca="1">IFERROR(__xludf.DUMMYFUNCTION("""COMPUTED_VALUE"""),"Tolle")</f>
        <v>Tolle</v>
      </c>
      <c r="I29" s="124">
        <f ca="1">IFERROR(__xludf.DUMMYFUNCTION("""COMPUTED_VALUE"""),118.124999999999)</f>
        <v>118.12499999999901</v>
      </c>
      <c r="J29" t="str">
        <f ca="1">IFERROR(__xludf.DUMMYFUNCTION("""COMPUTED_VALUE"""),"Male")</f>
        <v>Male</v>
      </c>
      <c r="K29" s="242">
        <f ca="1">IFERROR(__xludf.DUMMYFUNCTION("""COMPUTED_VALUE"""),0.332950744628906)</f>
        <v>0.332950744628906</v>
      </c>
      <c r="L29" s="176"/>
    </row>
    <row r="30" spans="1:12" ht="13.2">
      <c r="A30" s="16" t="str">
        <f ca="1">IFERROR(__xludf.DUMMYFUNCTION("""COMPUTED_VALUE"""),"Cydare")</f>
        <v>Cydare</v>
      </c>
      <c r="B30" s="123">
        <f ca="1">IFERROR(__xludf.DUMMYFUNCTION("""COMPUTED_VALUE"""),4)</f>
        <v>4</v>
      </c>
      <c r="C30" s="16" t="str">
        <f ca="1">IFERROR(__xludf.DUMMYFUNCTION("""COMPUTED_VALUE"""),"Male")</f>
        <v>Male</v>
      </c>
      <c r="D30" s="16" t="str">
        <f ca="1">IFERROR(__xludf.DUMMYFUNCTION("if(isblank(A30),, if(counta(QUERY($A$3:$C1000, ""Select A Where B &gt; ""&amp; B30 +20 &amp;"" AND C = 'Female'"")) = 1,QUERY($A$3:$C1000, ""Select A Where B &gt; ""&amp; B30 +20 &amp;"" AND C = 'Neutral' LIMIT 1""),QUERY($A$3:$C1000, ""Select A Where B &gt; ""&amp; B30 +20 &amp;"" AND C"&amp;" = 'Female'  ORDER BY B LIMIT 1"")))"),"#N/A")</f>
        <v>#N/A</v>
      </c>
      <c r="E30" s="16" t="str">
        <f ca="1">IFERROR(__xludf.DUMMYFUNCTION("if(isblank(A30),, if(counta(QUERY($A$3:$C1000, ""Select A Where B &gt; ""&amp; B30 +20 &amp;"" AND C = 'Male'"")) = 1,QUERY($A$3:$C1000, ""Select A Where B &gt; ""&amp; B30 +20 &amp;"" AND C = 'Neutral' LIMIT 1""),QUERY($A$3:$C1000, ""Select A Where B &gt; ""&amp; B30 +20 &amp;"" AND C ="&amp;" 'Male'  ORDER BY B LIMIT 1"")))"),"#N/A")</f>
        <v>#N/A</v>
      </c>
      <c r="H30" s="24" t="str">
        <f ca="1">IFERROR(__xludf.DUMMYFUNCTION("""COMPUTED_VALUE"""),"Tespar")</f>
        <v>Tespar</v>
      </c>
      <c r="I30" s="124">
        <f ca="1">IFERROR(__xludf.DUMMYFUNCTION("""COMPUTED_VALUE"""),118.124999999999)</f>
        <v>118.12499999999901</v>
      </c>
      <c r="J30" t="str">
        <f ca="1">IFERROR(__xludf.DUMMYFUNCTION("""COMPUTED_VALUE"""),"Male")</f>
        <v>Male</v>
      </c>
      <c r="K30" s="242">
        <f ca="1">IFERROR(__xludf.DUMMYFUNCTION("""COMPUTED_VALUE"""),0.325971679687499)</f>
        <v>0.32597167968749902</v>
      </c>
      <c r="L30" s="176"/>
    </row>
    <row r="31" spans="1:12" ht="13.2">
      <c r="A31" s="16" t="str">
        <f ca="1">IFERROR(__xludf.DUMMYFUNCTION("""COMPUTED_VALUE"""),"Camchak")</f>
        <v>Camchak</v>
      </c>
      <c r="B31" s="123">
        <f ca="1">IFERROR(__xludf.DUMMYFUNCTION("""COMPUTED_VALUE"""),4)</f>
        <v>4</v>
      </c>
      <c r="C31" s="16" t="str">
        <f ca="1">IFERROR(__xludf.DUMMYFUNCTION("""COMPUTED_VALUE"""),"Male")</f>
        <v>Male</v>
      </c>
      <c r="D31" s="16" t="str">
        <f ca="1">IFERROR(__xludf.DUMMYFUNCTION("if(isblank(A31),, if(counta(QUERY($A$3:$C1000, ""Select A Where B &gt; ""&amp; B31 +20 &amp;"" AND C = 'Female'"")) = 1,QUERY($A$3:$C1000, ""Select A Where B &gt; ""&amp; B31 +20 &amp;"" AND C = 'Neutral' LIMIT 1""),QUERY($A$3:$C1000, ""Select A Where B &gt; ""&amp; B31 +20 &amp;"" AND C"&amp;" = 'Female'  ORDER BY B LIMIT 1"")))"),"#N/A")</f>
        <v>#N/A</v>
      </c>
      <c r="E31" s="16" t="str">
        <f ca="1">IFERROR(__xludf.DUMMYFUNCTION("if(isblank(A31),, if(counta(QUERY($A$3:$C1000, ""Select A Where B &gt; ""&amp; B31 +20 &amp;"" AND C = 'Male'"")) = 1,QUERY($A$3:$C1000, ""Select A Where B &gt; ""&amp; B31 +20 &amp;"" AND C = 'Neutral' LIMIT 1""),QUERY($A$3:$C1000, ""Select A Where B &gt; ""&amp; B31 +20 &amp;"" AND C ="&amp;" 'Male'  ORDER BY B LIMIT 1"")))"),"#N/A")</f>
        <v>#N/A</v>
      </c>
      <c r="H31" s="24" t="str">
        <f ca="1">IFERROR(__xludf.DUMMYFUNCTION("""COMPUTED_VALUE"""),"Suth")</f>
        <v>Suth</v>
      </c>
      <c r="I31" s="124">
        <f ca="1">IFERROR(__xludf.DUMMYFUNCTION("""COMPUTED_VALUE"""),118.124999999999)</f>
        <v>118.12499999999901</v>
      </c>
      <c r="J31" t="str">
        <f ca="1">IFERROR(__xludf.DUMMYFUNCTION("""COMPUTED_VALUE"""),"Male")</f>
        <v>Male</v>
      </c>
      <c r="K31" s="242">
        <f ca="1">IFERROR(__xludf.DUMMYFUNCTION("""COMPUTED_VALUE"""),0.316948242187499)</f>
        <v>0.31694824218749901</v>
      </c>
      <c r="L31" s="176"/>
    </row>
    <row r="32" spans="1:12" ht="13.2">
      <c r="A32" s="16" t="str">
        <f ca="1">IFERROR(__xludf.DUMMYFUNCTION("""COMPUTED_VALUE"""),"Dalmarn")</f>
        <v>Dalmarn</v>
      </c>
      <c r="B32" s="123">
        <f ca="1">IFERROR(__xludf.DUMMYFUNCTION("""COMPUTED_VALUE"""),4)</f>
        <v>4</v>
      </c>
      <c r="C32" s="16" t="str">
        <f ca="1">IFERROR(__xludf.DUMMYFUNCTION("""COMPUTED_VALUE"""),"Male")</f>
        <v>Male</v>
      </c>
      <c r="D32" s="16" t="str">
        <f ca="1">IFERROR(__xludf.DUMMYFUNCTION("if(isblank(A32),, if(counta(QUERY($A$3:$C1000, ""Select A Where B &gt; ""&amp; B32 +20 &amp;"" AND C = 'Female'"")) = 1,QUERY($A$3:$C1000, ""Select A Where B &gt; ""&amp; B32 +20 &amp;"" AND C = 'Neutral' LIMIT 1""),QUERY($A$3:$C1000, ""Select A Where B &gt; ""&amp; B32 +20 &amp;"" AND C"&amp;" = 'Female'  ORDER BY B LIMIT 1"")))"),"#N/A")</f>
        <v>#N/A</v>
      </c>
      <c r="E32" s="16" t="str">
        <f ca="1">IFERROR(__xludf.DUMMYFUNCTION("if(isblank(A32),, if(counta(QUERY($A$3:$C1000, ""Select A Where B &gt; ""&amp; B32 +20 &amp;"" AND C = 'Male'"")) = 1,QUERY($A$3:$C1000, ""Select A Where B &gt; ""&amp; B32 +20 &amp;"" AND C = 'Neutral' LIMIT 1""),QUERY($A$3:$C1000, ""Select A Where B &gt; ""&amp; B32 +20 &amp;"" AND C ="&amp;" 'Male'  ORDER BY B LIMIT 1"")))"),"#N/A")</f>
        <v>#N/A</v>
      </c>
      <c r="H32" s="24" t="str">
        <f ca="1">IFERROR(__xludf.DUMMYFUNCTION("""COMPUTED_VALUE"""),"Shillen")</f>
        <v>Shillen</v>
      </c>
      <c r="I32" s="124">
        <f ca="1">IFERROR(__xludf.DUMMYFUNCTION("""COMPUTED_VALUE"""),196.875)</f>
        <v>196.875</v>
      </c>
      <c r="J32" t="str">
        <f ca="1">IFERROR(__xludf.DUMMYFUNCTION("""COMPUTED_VALUE"""),"Male")</f>
        <v>Male</v>
      </c>
      <c r="K32" s="242">
        <f ca="1">IFERROR(__xludf.DUMMYFUNCTION("""COMPUTED_VALUE"""),0.309933929443359)</f>
        <v>0.30993392944335901</v>
      </c>
      <c r="L32" s="176"/>
    </row>
    <row r="33" spans="1:12" ht="13.2">
      <c r="A33" s="16" t="str">
        <f ca="1">IFERROR(__xludf.DUMMYFUNCTION("""COMPUTED_VALUE"""),"Cevelt")</f>
        <v>Cevelt</v>
      </c>
      <c r="B33" s="123">
        <f ca="1">IFERROR(__xludf.DUMMYFUNCTION("""COMPUTED_VALUE"""),4)</f>
        <v>4</v>
      </c>
      <c r="C33" s="16" t="str">
        <f ca="1">IFERROR(__xludf.DUMMYFUNCTION("""COMPUTED_VALUE"""),"Male")</f>
        <v>Male</v>
      </c>
      <c r="D33" s="16" t="str">
        <f ca="1">IFERROR(__xludf.DUMMYFUNCTION("if(isblank(A33),, if(counta(QUERY($A$3:$C1000, ""Select A Where B &gt; ""&amp; B33 +20 &amp;"" AND C = 'Female'"")) = 1,QUERY($A$3:$C1000, ""Select A Where B &gt; ""&amp; B33 +20 &amp;"" AND C = 'Neutral' LIMIT 1""),QUERY($A$3:$C1000, ""Select A Where B &gt; ""&amp; B33 +20 &amp;"" AND C"&amp;" = 'Female'  ORDER BY B LIMIT 1"")))"),"#N/A")</f>
        <v>#N/A</v>
      </c>
      <c r="E33" s="16" t="str">
        <f ca="1">IFERROR(__xludf.DUMMYFUNCTION("if(isblank(A33),, if(counta(QUERY($A$3:$C1000, ""Select A Where B &gt; ""&amp; B33 +20 &amp;"" AND C = 'Male'"")) = 1,QUERY($A$3:$C1000, ""Select A Where B &gt; ""&amp; B33 +20 &amp;"" AND C = 'Neutral' LIMIT 1""),QUERY($A$3:$C1000, ""Select A Where B &gt; ""&amp; B33 +20 &amp;"" AND C ="&amp;" 'Male'  ORDER BY B LIMIT 1"")))"),"#N/A")</f>
        <v>#N/A</v>
      </c>
      <c r="H33" s="24" t="str">
        <f ca="1">IFERROR(__xludf.DUMMYFUNCTION("""COMPUTED_VALUE"""),"Prothalon")</f>
        <v>Prothalon</v>
      </c>
      <c r="I33" s="124">
        <f ca="1">IFERROR(__xludf.DUMMYFUNCTION("""COMPUTED_VALUE"""),112.5)</f>
        <v>112.5</v>
      </c>
      <c r="J33" t="str">
        <f ca="1">IFERROR(__xludf.DUMMYFUNCTION("""COMPUTED_VALUE"""),"Male")</f>
        <v>Male</v>
      </c>
      <c r="K33" s="242">
        <f ca="1">IFERROR(__xludf.DUMMYFUNCTION("""COMPUTED_VALUE"""),0.267460327148437)</f>
        <v>0.26746032714843698</v>
      </c>
      <c r="L33" s="176"/>
    </row>
    <row r="34" spans="1:12" ht="13.2">
      <c r="A34" s="16" t="str">
        <f ca="1">IFERROR(__xludf.DUMMYFUNCTION("""COMPUTED_VALUE"""),"Ciroc")</f>
        <v>Ciroc</v>
      </c>
      <c r="B34" s="123">
        <f ca="1">IFERROR(__xludf.DUMMYFUNCTION("""COMPUTED_VALUE"""),4)</f>
        <v>4</v>
      </c>
      <c r="C34" s="16" t="str">
        <f ca="1">IFERROR(__xludf.DUMMYFUNCTION("""COMPUTED_VALUE"""),"Male")</f>
        <v>Male</v>
      </c>
      <c r="D34" s="16" t="str">
        <f ca="1">IFERROR(__xludf.DUMMYFUNCTION("if(isblank(A34),, if(counta(QUERY($A$3:$C1000, ""Select A Where B &gt; ""&amp; B34 +20 &amp;"" AND C = 'Female'"")) = 1,QUERY($A$3:$C1000, ""Select A Where B &gt; ""&amp; B34 +20 &amp;"" AND C = 'Neutral' LIMIT 1""),QUERY($A$3:$C1000, ""Select A Where B &gt; ""&amp; B34 +20 &amp;"" AND C"&amp;" = 'Female'  ORDER BY B LIMIT 1"")))"),"#N/A")</f>
        <v>#N/A</v>
      </c>
      <c r="E34" s="16" t="str">
        <f ca="1">IFERROR(__xludf.DUMMYFUNCTION("if(isblank(A34),, if(counta(QUERY($A$3:$C1000, ""Select A Where B &gt; ""&amp; B34 +20 &amp;"" AND C = 'Male'"")) = 1,QUERY($A$3:$C1000, ""Select A Where B &gt; ""&amp; B34 +20 &amp;"" AND C = 'Neutral' LIMIT 1""),QUERY($A$3:$C1000, ""Select A Where B &gt; ""&amp; B34 +20 &amp;"" AND C ="&amp;" 'Male'  ORDER BY B LIMIT 1"")))"),"#N/A")</f>
        <v>#N/A</v>
      </c>
      <c r="H34" s="24" t="str">
        <f ca="1">IFERROR(__xludf.DUMMYFUNCTION("""COMPUTED_VALUE"""),"Aslan")</f>
        <v>Aslan</v>
      </c>
      <c r="I34" s="124">
        <f ca="1">IFERROR(__xludf.DUMMYFUNCTION("""COMPUTED_VALUE"""),151.875)</f>
        <v>151.875</v>
      </c>
      <c r="J34" t="str">
        <f ca="1">IFERROR(__xludf.DUMMYFUNCTION("""COMPUTED_VALUE"""),"Female")</f>
        <v>Female</v>
      </c>
      <c r="K34" s="242">
        <f ca="1">IFERROR(__xludf.DUMMYFUNCTION("""COMPUTED_VALUE"""),0.260604629516601)</f>
        <v>0.26060462951660102</v>
      </c>
      <c r="L34" s="176"/>
    </row>
    <row r="35" spans="1:12" ht="13.2">
      <c r="A35" s="16" t="str">
        <f ca="1">IFERROR(__xludf.DUMMYFUNCTION("""COMPUTED_VALUE"""),"Cyton")</f>
        <v>Cyton</v>
      </c>
      <c r="B35" s="123">
        <f ca="1">IFERROR(__xludf.DUMMYFUNCTION("""COMPUTED_VALUE"""),4)</f>
        <v>4</v>
      </c>
      <c r="C35" s="16" t="str">
        <f ca="1">IFERROR(__xludf.DUMMYFUNCTION("""COMPUTED_VALUE"""),"Male")</f>
        <v>Male</v>
      </c>
      <c r="D35" s="16" t="str">
        <f ca="1">IFERROR(__xludf.DUMMYFUNCTION("if(isblank(A35),, if(counta(QUERY($A$3:$C1000, ""Select A Where B &gt; ""&amp; B35 +20 &amp;"" AND C = 'Female'"")) = 1,QUERY($A$3:$C1000, ""Select A Where B &gt; ""&amp; B35 +20 &amp;"" AND C = 'Neutral' LIMIT 1""),QUERY($A$3:$C1000, ""Select A Where B &gt; ""&amp; B35 +20 &amp;"" AND C"&amp;" = 'Female'  ORDER BY B LIMIT 1"")))"),"#N/A")</f>
        <v>#N/A</v>
      </c>
      <c r="E35" s="16" t="str">
        <f ca="1">IFERROR(__xludf.DUMMYFUNCTION("if(isblank(A35),, if(counta(QUERY($A$3:$C1000, ""Select A Where B &gt; ""&amp; B35 +20 &amp;"" AND C = 'Male'"")) = 1,QUERY($A$3:$C1000, ""Select A Where B &gt; ""&amp; B35 +20 &amp;"" AND C = 'Neutral' LIMIT 1""),QUERY($A$3:$C1000, ""Select A Where B &gt; ""&amp; B35 +20 &amp;"" AND C ="&amp;" 'Male'  ORDER BY B LIMIT 1"")))"),"#N/A")</f>
        <v>#N/A</v>
      </c>
      <c r="H35" s="24" t="str">
        <f ca="1">IFERROR(__xludf.DUMMYFUNCTION("""COMPUTED_VALUE"""),"Tuk")</f>
        <v>Tuk</v>
      </c>
      <c r="I35" s="124">
        <f ca="1">IFERROR(__xludf.DUMMYFUNCTION("""COMPUTED_VALUE"""),118.124999999999)</f>
        <v>118.12499999999901</v>
      </c>
      <c r="J35" t="str">
        <f ca="1">IFERROR(__xludf.DUMMYFUNCTION("""COMPUTED_VALUE"""),"Male")</f>
        <v>Male</v>
      </c>
      <c r="K35" s="242">
        <f ca="1">IFERROR(__xludf.DUMMYFUNCTION("""COMPUTED_VALUE"""),0.251801490783691)</f>
        <v>0.25180149078369102</v>
      </c>
      <c r="L35" s="176"/>
    </row>
    <row r="36" spans="1:12" ht="13.2">
      <c r="A36" s="16" t="str">
        <f ca="1">IFERROR(__xludf.DUMMYFUNCTION("""COMPUTED_VALUE"""),"Camchak")</f>
        <v>Camchak</v>
      </c>
      <c r="B36" s="123">
        <f ca="1">IFERROR(__xludf.DUMMYFUNCTION("""COMPUTED_VALUE"""),4)</f>
        <v>4</v>
      </c>
      <c r="C36" s="16" t="str">
        <f ca="1">IFERROR(__xludf.DUMMYFUNCTION("""COMPUTED_VALUE"""),"Male")</f>
        <v>Male</v>
      </c>
      <c r="D36" s="16" t="str">
        <f ca="1">IFERROR(__xludf.DUMMYFUNCTION("if(isblank(A36),, if(counta(QUERY($A$3:$C1000, ""Select A Where B &gt; ""&amp; B36 +20 &amp;"" AND C = 'Female'"")) = 1,QUERY($A$3:$C1000, ""Select A Where B &gt; ""&amp; B36 +20 &amp;"" AND C = 'Neutral' LIMIT 1""),QUERY($A$3:$C1000, ""Select A Where B &gt; ""&amp; B36 +20 &amp;"" AND C"&amp;" = 'Female'  ORDER BY B LIMIT 1"")))"),"#N/A")</f>
        <v>#N/A</v>
      </c>
      <c r="E36" s="16" t="str">
        <f ca="1">IFERROR(__xludf.DUMMYFUNCTION("if(isblank(A36),, if(counta(QUERY($A$3:$C1000, ""Select A Where B &gt; ""&amp; B36 +20 &amp;"" AND C = 'Male'"")) = 1,QUERY($A$3:$C1000, ""Select A Where B &gt; ""&amp; B36 +20 &amp;"" AND C = 'Neutral' LIMIT 1""),QUERY($A$3:$C1000, ""Select A Where B &gt; ""&amp; B36 +20 &amp;"" AND C ="&amp;" 'Male'  ORDER BY B LIMIT 1"")))"),"#N/A")</f>
        <v>#N/A</v>
      </c>
      <c r="H36" s="24" t="str">
        <f ca="1">IFERROR(__xludf.DUMMYFUNCTION("""COMPUTED_VALUE"""),"Occhi")</f>
        <v>Occhi</v>
      </c>
      <c r="I36" s="124">
        <f ca="1">IFERROR(__xludf.DUMMYFUNCTION("""COMPUTED_VALUE"""),112.5)</f>
        <v>112.5</v>
      </c>
      <c r="J36" t="str">
        <f ca="1">IFERROR(__xludf.DUMMYFUNCTION("""COMPUTED_VALUE"""),"Male")</f>
        <v>Male</v>
      </c>
      <c r="K36" s="242">
        <f ca="1">IFERROR(__xludf.DUMMYFUNCTION("""COMPUTED_VALUE"""),0.24726333618164)</f>
        <v>0.24726333618164001</v>
      </c>
      <c r="L36" s="176"/>
    </row>
    <row r="37" spans="1:12" ht="13.2">
      <c r="A37" t="str">
        <f ca="1">IFERROR(__xludf.DUMMYFUNCTION("""COMPUTED_VALUE"""),"Dakamon")</f>
        <v>Dakamon</v>
      </c>
      <c r="B37" s="124">
        <f ca="1">IFERROR(__xludf.DUMMYFUNCTION("""COMPUTED_VALUE"""),4)</f>
        <v>4</v>
      </c>
      <c r="C37" t="str">
        <f ca="1">IFERROR(__xludf.DUMMYFUNCTION("""COMPUTED_VALUE"""),"Male")</f>
        <v>Male</v>
      </c>
      <c r="D37" s="16" t="str">
        <f ca="1">IFERROR(__xludf.DUMMYFUNCTION("if(isblank(A37),, if(counta(QUERY($A$3:$C1000, ""Select A Where B &gt; ""&amp; B59 +20 &amp;"" AND D = 'Female'"")) = 1,QUERY($A$3:$C1000, ""Select A Where B &gt; ""&amp; B59 +20 &amp;"" AND C = 'Neutral' LIMIT 1""),QUERY($A$3:$C1000, ""Select A Where B &gt; ""&amp; B59 +20 &amp;"" AND C"&amp;" = 'Female'  ORDER BY B LIMIT 1"")))"),"#N/A")</f>
        <v>#N/A</v>
      </c>
      <c r="E37" s="16" t="str">
        <f ca="1">IFERROR(__xludf.DUMMYFUNCTION("if(isblank(A37),, if(counta(QUERY($A$3:$C1000, ""Select A Where B &gt; ""&amp; B59 +20 &amp;"" AND D = 'Male'"")) = 1,QUERY($A$3:$C1000, ""Select A Where B &gt; ""&amp; B59 +20 &amp;"" AND C = 'Neutral' LIMIT 1""),QUERY($A$3:$C1000, ""Select A Where B &gt; ""&amp; B59 +20 &amp;"" AND C ="&amp;" 'Male'  ORDER BY B LIMIT 1"")))"),"#N/A")</f>
        <v>#N/A</v>
      </c>
      <c r="H37" s="24" t="str">
        <f ca="1">IFERROR(__xludf.DUMMYFUNCTION("""COMPUTED_VALUE"""),"Sil'forrin")</f>
        <v>Sil'forrin</v>
      </c>
      <c r="I37" s="124">
        <f ca="1">IFERROR(__xludf.DUMMYFUNCTION("""COMPUTED_VALUE"""),196.875)</f>
        <v>196.875</v>
      </c>
      <c r="J37" t="str">
        <f ca="1">IFERROR(__xludf.DUMMYFUNCTION("""COMPUTED_VALUE"""),"Male")</f>
        <v>Male</v>
      </c>
      <c r="K37" s="242">
        <f ca="1">IFERROR(__xludf.DUMMYFUNCTION("""COMPUTED_VALUE"""),0.234036598205566)</f>
        <v>0.23403659820556599</v>
      </c>
      <c r="L37" s="176"/>
    </row>
    <row r="38" spans="1:12" ht="13.2">
      <c r="A38" t="str">
        <f ca="1">IFERROR(__xludf.DUMMYFUNCTION("""COMPUTED_VALUE"""),"Cerdern")</f>
        <v>Cerdern</v>
      </c>
      <c r="B38" s="124">
        <f ca="1">IFERROR(__xludf.DUMMYFUNCTION("""COMPUTED_VALUE"""),4)</f>
        <v>4</v>
      </c>
      <c r="C38" t="str">
        <f ca="1">IFERROR(__xludf.DUMMYFUNCTION("""COMPUTED_VALUE"""),"Male")</f>
        <v>Male</v>
      </c>
      <c r="H38" s="24" t="str">
        <f ca="1">IFERROR(__xludf.DUMMYFUNCTION("""COMPUTED_VALUE"""),"Ponith")</f>
        <v>Ponith</v>
      </c>
      <c r="I38" s="124">
        <f ca="1">IFERROR(__xludf.DUMMYFUNCTION("""COMPUTED_VALUE"""),112.5)</f>
        <v>112.5</v>
      </c>
      <c r="J38" t="str">
        <f ca="1">IFERROR(__xludf.DUMMYFUNCTION("""COMPUTED_VALUE"""),"Male")</f>
        <v>Male</v>
      </c>
      <c r="K38" s="242">
        <f ca="1">IFERROR(__xludf.DUMMYFUNCTION("""COMPUTED_VALUE"""),0.228043212890625)</f>
        <v>0.22804321289062501</v>
      </c>
      <c r="L38" s="176"/>
    </row>
    <row r="39" spans="1:12" ht="13.2">
      <c r="A39" t="str">
        <f ca="1">IFERROR(__xludf.DUMMYFUNCTION("""COMPUTED_VALUE"""),"Bristan")</f>
        <v>Bristan</v>
      </c>
      <c r="B39" s="124">
        <f ca="1">IFERROR(__xludf.DUMMYFUNCTION("""COMPUTED_VALUE"""),2)</f>
        <v>2</v>
      </c>
      <c r="C39" t="str">
        <f ca="1">IFERROR(__xludf.DUMMYFUNCTION("""COMPUTED_VALUE"""),"Male")</f>
        <v>Male</v>
      </c>
      <c r="H39" s="24" t="str">
        <f ca="1">IFERROR(__xludf.DUMMYFUNCTION("""COMPUTED_VALUE"""),"Phoenix")</f>
        <v>Phoenix</v>
      </c>
      <c r="I39" s="124">
        <f ca="1">IFERROR(__xludf.DUMMYFUNCTION("""COMPUTED_VALUE"""),112.5)</f>
        <v>112.5</v>
      </c>
      <c r="J39" t="str">
        <f ca="1">IFERROR(__xludf.DUMMYFUNCTION("""COMPUTED_VALUE"""),"Male")</f>
        <v>Male</v>
      </c>
      <c r="K39" s="242">
        <f ca="1">IFERROR(__xludf.DUMMYFUNCTION("""COMPUTED_VALUE"""),0.225686645507812)</f>
        <v>0.22568664550781201</v>
      </c>
      <c r="L39" s="176"/>
    </row>
    <row r="40" spans="1:12" ht="13.2">
      <c r="A40" t="str">
        <f ca="1">IFERROR(__xludf.DUMMYFUNCTION("""COMPUTED_VALUE"""),"Biston")</f>
        <v>Biston</v>
      </c>
      <c r="B40" s="124">
        <f ca="1">IFERROR(__xludf.DUMMYFUNCTION("""COMPUTED_VALUE"""),2)</f>
        <v>2</v>
      </c>
      <c r="C40" t="str">
        <f ca="1">IFERROR(__xludf.DUMMYFUNCTION("""COMPUTED_VALUE"""),"Male")</f>
        <v>Male</v>
      </c>
      <c r="H40" s="24" t="str">
        <f ca="1">IFERROR(__xludf.DUMMYFUNCTION("""COMPUTED_VALUE"""),"Peitar")</f>
        <v>Peitar</v>
      </c>
      <c r="I40" s="124">
        <f ca="1">IFERROR(__xludf.DUMMYFUNCTION("""COMPUTED_VALUE"""),112.5)</f>
        <v>112.5</v>
      </c>
      <c r="J40" t="str">
        <f ca="1">IFERROR(__xludf.DUMMYFUNCTION("""COMPUTED_VALUE"""),"Male")</f>
        <v>Male</v>
      </c>
      <c r="K40" s="242">
        <f ca="1">IFERROR(__xludf.DUMMYFUNCTION("""COMPUTED_VALUE"""),0.21970458984375)</f>
        <v>0.21970458984374999</v>
      </c>
      <c r="L40" s="176"/>
    </row>
    <row r="41" spans="1:12" ht="13.2">
      <c r="A41" t="str">
        <f ca="1">IFERROR(__xludf.DUMMYFUNCTION("""COMPUTED_VALUE"""),"Bredock")</f>
        <v>Bredock</v>
      </c>
      <c r="B41" s="124">
        <f ca="1">IFERROR(__xludf.DUMMYFUNCTION("""COMPUTED_VALUE"""),2)</f>
        <v>2</v>
      </c>
      <c r="C41" t="str">
        <f ca="1">IFERROR(__xludf.DUMMYFUNCTION("""COMPUTED_VALUE"""),"Male")</f>
        <v>Male</v>
      </c>
      <c r="H41" s="24" t="str">
        <f ca="1">IFERROR(__xludf.DUMMYFUNCTION("""COMPUTED_VALUE"""),"Prothalon")</f>
        <v>Prothalon</v>
      </c>
      <c r="I41" s="124">
        <f ca="1">IFERROR(__xludf.DUMMYFUNCTION("""COMPUTED_VALUE"""),112.5)</f>
        <v>112.5</v>
      </c>
      <c r="J41" t="str">
        <f ca="1">IFERROR(__xludf.DUMMYFUNCTION("""COMPUTED_VALUE"""),"Male")</f>
        <v>Male</v>
      </c>
      <c r="K41" s="242">
        <f ca="1">IFERROR(__xludf.DUMMYFUNCTION("""COMPUTED_VALUE"""),0.191571807861328)</f>
        <v>0.19157180786132799</v>
      </c>
      <c r="L41" s="176"/>
    </row>
    <row r="42" spans="1:12" ht="13.2">
      <c r="A42" t="str">
        <f ca="1">IFERROR(__xludf.DUMMYFUNCTION("""COMPUTED_VALUE"""),"Bredock")</f>
        <v>Bredock</v>
      </c>
      <c r="B42" s="124">
        <f ca="1">IFERROR(__xludf.DUMMYFUNCTION("""COMPUTED_VALUE"""),2)</f>
        <v>2</v>
      </c>
      <c r="C42" t="str">
        <f ca="1">IFERROR(__xludf.DUMMYFUNCTION("""COMPUTED_VALUE"""),"Male")</f>
        <v>Male</v>
      </c>
      <c r="H42" s="24" t="str">
        <f ca="1">IFERROR(__xludf.DUMMYFUNCTION("""COMPUTED_VALUE"""),"Phairdon")</f>
        <v>Phairdon</v>
      </c>
      <c r="I42" s="124">
        <f ca="1">IFERROR(__xludf.DUMMYFUNCTION("""COMPUTED_VALUE"""),112.5)</f>
        <v>112.5</v>
      </c>
      <c r="J42" t="str">
        <f ca="1">IFERROR(__xludf.DUMMYFUNCTION("""COMPUTED_VALUE"""),"Male")</f>
        <v>Male</v>
      </c>
      <c r="K42" s="242">
        <f ca="1">IFERROR(__xludf.DUMMYFUNCTION("""COMPUTED_VALUE"""),0.186586761474609)</f>
        <v>0.18658676147460901</v>
      </c>
      <c r="L42" s="176"/>
    </row>
    <row r="43" spans="1:12" ht="13.2">
      <c r="A43" t="str">
        <f ca="1">IFERROR(__xludf.DUMMYFUNCTION("""COMPUTED_VALUE"""),"Breanon")</f>
        <v>Breanon</v>
      </c>
      <c r="B43" s="124">
        <f ca="1">IFERROR(__xludf.DUMMYFUNCTION("""COMPUTED_VALUE"""),2)</f>
        <v>2</v>
      </c>
      <c r="C43" t="str">
        <f ca="1">IFERROR(__xludf.DUMMYFUNCTION("""COMPUTED_VALUE"""),"Male")</f>
        <v>Male</v>
      </c>
      <c r="H43" s="24" t="str">
        <f ca="1">IFERROR(__xludf.DUMMYFUNCTION("""COMPUTED_VALUE"""),"Pendus")</f>
        <v>Pendus</v>
      </c>
      <c r="I43" s="124">
        <f ca="1">IFERROR(__xludf.DUMMYFUNCTION("""COMPUTED_VALUE"""),112.5)</f>
        <v>112.5</v>
      </c>
      <c r="J43" t="str">
        <f ca="1">IFERROR(__xludf.DUMMYFUNCTION("""COMPUTED_VALUE"""),"Male")</f>
        <v>Male</v>
      </c>
      <c r="K43" s="242">
        <f ca="1">IFERROR(__xludf.DUMMYFUNCTION("""COMPUTED_VALUE"""),0.185050964355468)</f>
        <v>0.185050964355468</v>
      </c>
      <c r="L43" s="176"/>
    </row>
    <row r="44" spans="1:12" ht="13.2">
      <c r="A44" t="str">
        <f ca="1">IFERROR(__xludf.DUMMYFUNCTION("""COMPUTED_VALUE"""),"Breanon")</f>
        <v>Breanon</v>
      </c>
      <c r="B44" s="124">
        <f ca="1">IFERROR(__xludf.DUMMYFUNCTION("""COMPUTED_VALUE"""),2)</f>
        <v>2</v>
      </c>
      <c r="C44" t="str">
        <f ca="1">IFERROR(__xludf.DUMMYFUNCTION("""COMPUTED_VALUE"""),"Male")</f>
        <v>Male</v>
      </c>
      <c r="H44" s="24" t="str">
        <f ca="1">IFERROR(__xludf.DUMMYFUNCTION("""COMPUTED_VALUE"""),"Omarn")</f>
        <v>Omarn</v>
      </c>
      <c r="I44" s="124">
        <f ca="1">IFERROR(__xludf.DUMMYFUNCTION("""COMPUTED_VALUE"""),112.5)</f>
        <v>112.5</v>
      </c>
      <c r="J44" t="str">
        <f ca="1">IFERROR(__xludf.DUMMYFUNCTION("""COMPUTED_VALUE"""),"Male")</f>
        <v>Male</v>
      </c>
      <c r="K44" s="242">
        <f ca="1">IFERROR(__xludf.DUMMYFUNCTION("""COMPUTED_VALUE"""),0.180116271972656)</f>
        <v>0.18011627197265601</v>
      </c>
      <c r="L44" s="176"/>
    </row>
    <row r="45" spans="1:12" ht="13.2">
      <c r="A45" t="str">
        <f ca="1">IFERROR(__xludf.DUMMYFUNCTION("""COMPUTED_VALUE"""),"Bristan")</f>
        <v>Bristan</v>
      </c>
      <c r="B45" s="124">
        <f ca="1">IFERROR(__xludf.DUMMYFUNCTION("""COMPUTED_VALUE"""),2)</f>
        <v>2</v>
      </c>
      <c r="C45" t="str">
        <f ca="1">IFERROR(__xludf.DUMMYFUNCTION("""COMPUTED_VALUE"""),"Male")</f>
        <v>Male</v>
      </c>
      <c r="H45" s="24" t="str">
        <f ca="1">IFERROR(__xludf.DUMMYFUNCTION("""COMPUTED_VALUE"""),"O’tho")</f>
        <v>O’tho</v>
      </c>
      <c r="I45" s="124">
        <f ca="1">IFERROR(__xludf.DUMMYFUNCTION("""COMPUTED_VALUE"""),112.5)</f>
        <v>112.5</v>
      </c>
      <c r="J45" t="str">
        <f ca="1">IFERROR(__xludf.DUMMYFUNCTION("""COMPUTED_VALUE"""),"Male")</f>
        <v>Male</v>
      </c>
      <c r="K45" s="242">
        <f ca="1">IFERROR(__xludf.DUMMYFUNCTION("""COMPUTED_VALUE"""),0.175131225585937)</f>
        <v>0.17513122558593699</v>
      </c>
      <c r="L45" s="176"/>
    </row>
    <row r="46" spans="1:12" ht="13.2">
      <c r="A46" t="str">
        <f ca="1">IFERROR(__xludf.DUMMYFUNCTION("""COMPUTED_VALUE"""),"Boaldelr")</f>
        <v>Boaldelr</v>
      </c>
      <c r="B46" s="124">
        <f ca="1">IFERROR(__xludf.DUMMYFUNCTION("""COMPUTED_VALUE"""),2)</f>
        <v>2</v>
      </c>
      <c r="C46" t="str">
        <f ca="1">IFERROR(__xludf.DUMMYFUNCTION("""COMPUTED_VALUE"""),"Male")</f>
        <v>Male</v>
      </c>
      <c r="H46" s="24" t="str">
        <f ca="1">IFERROR(__xludf.DUMMYFUNCTION("""COMPUTED_VALUE"""),"Nuthor")</f>
        <v>Nuthor</v>
      </c>
      <c r="I46" s="124">
        <f ca="1">IFERROR(__xludf.DUMMYFUNCTION("""COMPUTED_VALUE"""),112.5)</f>
        <v>112.5</v>
      </c>
      <c r="J46" t="str">
        <f ca="1">IFERROR(__xludf.DUMMYFUNCTION("""COMPUTED_VALUE"""),"Male")</f>
        <v>Male</v>
      </c>
      <c r="K46" s="242">
        <f ca="1">IFERROR(__xludf.DUMMYFUNCTION("""COMPUTED_VALUE"""),0.173117065429687)</f>
        <v>0.17311706542968699</v>
      </c>
      <c r="L46" s="176"/>
    </row>
    <row r="47" spans="1:12" ht="13.2">
      <c r="A47" t="str">
        <f ca="1">IFERROR(__xludf.DUMMYFUNCTION("""COMPUTED_VALUE"""),"Busma")</f>
        <v>Busma</v>
      </c>
      <c r="B47" s="124">
        <f ca="1">IFERROR(__xludf.DUMMYFUNCTION("""COMPUTED_VALUE"""),2)</f>
        <v>2</v>
      </c>
      <c r="C47" t="str">
        <f ca="1">IFERROR(__xludf.DUMMYFUNCTION("""COMPUTED_VALUE"""),"Male")</f>
        <v>Male</v>
      </c>
      <c r="H47" s="24" t="str">
        <f ca="1">IFERROR(__xludf.DUMMYFUNCTION("""COMPUTED_VALUE"""),"Nikpal")</f>
        <v>Nikpal</v>
      </c>
      <c r="I47" s="124">
        <f ca="1">IFERROR(__xludf.DUMMYFUNCTION("""COMPUTED_VALUE"""),93.75)</f>
        <v>93.75</v>
      </c>
      <c r="J47" t="str">
        <f ca="1">IFERROR(__xludf.DUMMYFUNCTION("""COMPUTED_VALUE"""),"Male")</f>
        <v>Male</v>
      </c>
      <c r="K47" s="242">
        <f ca="1">IFERROR(__xludf.DUMMYFUNCTION("""COMPUTED_VALUE"""),0.169667816162109)</f>
        <v>0.16966781616210899</v>
      </c>
      <c r="L47" s="176"/>
    </row>
    <row r="48" spans="1:12" ht="13.2">
      <c r="A48" t="str">
        <f ca="1">IFERROR(__xludf.DUMMYFUNCTION("""COMPUTED_VALUE"""),"Breanon")</f>
        <v>Breanon</v>
      </c>
      <c r="B48" s="124">
        <f ca="1">IFERROR(__xludf.DUMMYFUNCTION("""COMPUTED_VALUE"""),2)</f>
        <v>2</v>
      </c>
      <c r="C48" t="str">
        <f ca="1">IFERROR(__xludf.DUMMYFUNCTION("""COMPUTED_VALUE"""),"Male")</f>
        <v>Male</v>
      </c>
      <c r="H48" s="24" t="str">
        <f ca="1">IFERROR(__xludf.DUMMYFUNCTION("""COMPUTED_VALUE"""),"Mufar")</f>
        <v>Mufar</v>
      </c>
      <c r="I48" s="124">
        <f ca="1">IFERROR(__xludf.DUMMYFUNCTION("""COMPUTED_VALUE"""),93.75)</f>
        <v>93.75</v>
      </c>
      <c r="J48" t="str">
        <f ca="1">IFERROR(__xludf.DUMMYFUNCTION("""COMPUTED_VALUE"""),"Male")</f>
        <v>Male</v>
      </c>
      <c r="K48" s="242">
        <f ca="1">IFERROR(__xludf.DUMMYFUNCTION("""COMPUTED_VALUE"""),0.165186309814453)</f>
        <v>0.16518630981445301</v>
      </c>
      <c r="L48" s="176"/>
    </row>
    <row r="49" spans="1:12" ht="13.2">
      <c r="A49" t="str">
        <f ca="1">IFERROR(__xludf.DUMMYFUNCTION("""COMPUTED_VALUE"""),"Bristan")</f>
        <v>Bristan</v>
      </c>
      <c r="B49" s="124">
        <f ca="1">IFERROR(__xludf.DUMMYFUNCTION("""COMPUTED_VALUE"""),2)</f>
        <v>2</v>
      </c>
      <c r="C49" t="str">
        <f ca="1">IFERROR(__xludf.DUMMYFUNCTION("""COMPUTED_VALUE"""),"Male")</f>
        <v>Male</v>
      </c>
      <c r="H49" s="24" t="str">
        <f ca="1">IFERROR(__xludf.DUMMYFUNCTION("""COMPUTED_VALUE"""),"Picumar")</f>
        <v>Picumar</v>
      </c>
      <c r="I49" s="124">
        <f ca="1">IFERROR(__xludf.DUMMYFUNCTION("""COMPUTED_VALUE"""),112.5)</f>
        <v>112.5</v>
      </c>
      <c r="J49" t="str">
        <f ca="1">IFERROR(__xludf.DUMMYFUNCTION("""COMPUTED_VALUE"""),"Male")</f>
        <v>Male</v>
      </c>
      <c r="K49" s="242">
        <f ca="1">IFERROR(__xludf.DUMMYFUNCTION("""COMPUTED_VALUE"""),0.150840454101562)</f>
        <v>0.15084045410156199</v>
      </c>
      <c r="L49" s="176"/>
    </row>
    <row r="50" spans="1:12" ht="13.2">
      <c r="A50" t="str">
        <f ca="1">IFERROR(__xludf.DUMMYFUNCTION("""COMPUTED_VALUE"""),"Biston")</f>
        <v>Biston</v>
      </c>
      <c r="B50" s="124">
        <f ca="1">IFERROR(__xludf.DUMMYFUNCTION("""COMPUTED_VALUE"""),2)</f>
        <v>2</v>
      </c>
      <c r="C50" t="str">
        <f ca="1">IFERROR(__xludf.DUMMYFUNCTION("""COMPUTED_VALUE"""),"Male")</f>
        <v>Male</v>
      </c>
      <c r="H50" s="24" t="str">
        <f ca="1">IFERROR(__xludf.DUMMYFUNCTION("""COMPUTED_VALUE"""),"Peitar")</f>
        <v>Peitar</v>
      </c>
      <c r="I50" s="124">
        <f ca="1">IFERROR(__xludf.DUMMYFUNCTION("""COMPUTED_VALUE"""),112.5)</f>
        <v>112.5</v>
      </c>
      <c r="J50" t="str">
        <f ca="1">IFERROR(__xludf.DUMMYFUNCTION("""COMPUTED_VALUE"""),"Male")</f>
        <v>Male</v>
      </c>
      <c r="K50" s="242">
        <f ca="1">IFERROR(__xludf.DUMMYFUNCTION("""COMPUTED_VALUE"""),0.146892700195312)</f>
        <v>0.146892700195312</v>
      </c>
      <c r="L50" s="176"/>
    </row>
    <row r="51" spans="1:12" ht="13.2">
      <c r="H51" s="24" t="str">
        <f ca="1">IFERROR(__xludf.DUMMYFUNCTION("""COMPUTED_VALUE"""),"Padan")</f>
        <v>Padan</v>
      </c>
      <c r="I51" s="124">
        <f ca="1">IFERROR(__xludf.DUMMYFUNCTION("""COMPUTED_VALUE"""),112.5)</f>
        <v>112.5</v>
      </c>
      <c r="J51" t="str">
        <f ca="1">IFERROR(__xludf.DUMMYFUNCTION("""COMPUTED_VALUE"""),"Male")</f>
        <v>Male</v>
      </c>
      <c r="K51" s="242">
        <f ca="1">IFERROR(__xludf.DUMMYFUNCTION("""COMPUTED_VALUE"""),0.145664062499999)</f>
        <v>0.145664062499999</v>
      </c>
      <c r="L51" s="176"/>
    </row>
    <row r="52" spans="1:12" ht="13.2">
      <c r="H52" s="24" t="str">
        <f ca="1">IFERROR(__xludf.DUMMYFUNCTION("""COMPUTED_VALUE"""),"Niro")</f>
        <v>Niro</v>
      </c>
      <c r="I52" s="124">
        <f ca="1">IFERROR(__xludf.DUMMYFUNCTION("""COMPUTED_VALUE"""),93.75)</f>
        <v>93.75</v>
      </c>
      <c r="J52" t="str">
        <f ca="1">IFERROR(__xludf.DUMMYFUNCTION("""COMPUTED_VALUE"""),"Male")</f>
        <v>Male</v>
      </c>
      <c r="K52" s="242">
        <f ca="1">IFERROR(__xludf.DUMMYFUNCTION("""COMPUTED_VALUE"""),0.14302635192871)</f>
        <v>0.14302635192870999</v>
      </c>
      <c r="L52" s="176"/>
    </row>
    <row r="53" spans="1:12" ht="13.2">
      <c r="H53" s="24" t="str">
        <f ca="1">IFERROR(__xludf.DUMMYFUNCTION("""COMPUTED_VALUE"""),"Ohethlic")</f>
        <v>Ohethlic</v>
      </c>
      <c r="I53" s="124">
        <f ca="1">IFERROR(__xludf.DUMMYFUNCTION("""COMPUTED_VALUE"""),112.5)</f>
        <v>112.5</v>
      </c>
      <c r="J53" t="str">
        <f ca="1">IFERROR(__xludf.DUMMYFUNCTION("""COMPUTED_VALUE"""),"Male")</f>
        <v>Male</v>
      </c>
      <c r="K53" s="242">
        <f ca="1">IFERROR(__xludf.DUMMYFUNCTION("""COMPUTED_VALUE"""),0.142904663085937)</f>
        <v>0.14290466308593699</v>
      </c>
      <c r="L53" s="176"/>
    </row>
    <row r="54" spans="1:12" ht="13.2">
      <c r="H54" s="24" t="str">
        <f ca="1">IFERROR(__xludf.DUMMYFUNCTION("""COMPUTED_VALUE"""),"Nadeer")</f>
        <v>Nadeer</v>
      </c>
      <c r="I54" s="124">
        <f ca="1">IFERROR(__xludf.DUMMYFUNCTION("""COMPUTED_VALUE"""),93.75)</f>
        <v>93.75</v>
      </c>
      <c r="J54" t="str">
        <f ca="1">IFERROR(__xludf.DUMMYFUNCTION("""COMPUTED_VALUE"""),"Male")</f>
        <v>Male</v>
      </c>
      <c r="K54" s="242">
        <f ca="1">IFERROR(__xludf.DUMMYFUNCTION("""COMPUTED_VALUE"""),0.138914108276367)</f>
        <v>0.13891410827636699</v>
      </c>
      <c r="L54" s="176"/>
    </row>
    <row r="55" spans="1:12" ht="13.2">
      <c r="H55" s="24" t="str">
        <f ca="1">IFERROR(__xludf.DUMMYFUNCTION("""COMPUTED_VALUE"""),"Biedgar")</f>
        <v>Biedgar</v>
      </c>
      <c r="I55" s="124">
        <f ca="1">IFERROR(__xludf.DUMMYFUNCTION("""COMPUTED_VALUE"""),60.75)</f>
        <v>60.75</v>
      </c>
      <c r="J55" t="str">
        <f ca="1">IFERROR(__xludf.DUMMYFUNCTION("""COMPUTED_VALUE"""),"Female")</f>
        <v>Female</v>
      </c>
      <c r="K55" s="242">
        <f ca="1">IFERROR(__xludf.DUMMYFUNCTION("""COMPUTED_VALUE"""),0.135457305908203)</f>
        <v>0.13545730590820301</v>
      </c>
      <c r="L55" s="176"/>
    </row>
    <row r="56" spans="1:12" ht="13.2">
      <c r="H56" s="24" t="str">
        <f ca="1">IFERROR(__xludf.DUMMYFUNCTION("""COMPUTED_VALUE"""),"Atlin")</f>
        <v>Atlin</v>
      </c>
      <c r="I56" s="124">
        <f ca="1">IFERROR(__xludf.DUMMYFUNCTION("""COMPUTED_VALUE"""),151.875)</f>
        <v>151.875</v>
      </c>
      <c r="J56" t="str">
        <f ca="1">IFERROR(__xludf.DUMMYFUNCTION("""COMPUTED_VALUE"""),"Female")</f>
        <v>Female</v>
      </c>
      <c r="K56" s="242">
        <f ca="1">IFERROR(__xludf.DUMMYFUNCTION("""COMPUTED_VALUE"""),0.130993423461914)</f>
        <v>0.130993423461914</v>
      </c>
      <c r="L56" s="176"/>
    </row>
    <row r="57" spans="1:12" ht="13.2">
      <c r="H57" s="24" t="str">
        <f ca="1">IFERROR(__xludf.DUMMYFUNCTION("""COMPUTED_VALUE"""),"Agnar")</f>
        <v>Agnar</v>
      </c>
      <c r="I57" s="124">
        <f ca="1">IFERROR(__xludf.DUMMYFUNCTION("""COMPUTED_VALUE"""),151.875)</f>
        <v>151.875</v>
      </c>
      <c r="J57" t="str">
        <f ca="1">IFERROR(__xludf.DUMMYFUNCTION("""COMPUTED_VALUE"""),"Female")</f>
        <v>Female</v>
      </c>
      <c r="K57" s="242">
        <f ca="1">IFERROR(__xludf.DUMMYFUNCTION("""COMPUTED_VALUE"""),0.125838432312011)</f>
        <v>0.125838432312011</v>
      </c>
      <c r="L57" s="176"/>
    </row>
    <row r="58" spans="1:12" ht="13.2">
      <c r="H58" s="24" t="str">
        <f ca="1">IFERROR(__xludf.DUMMYFUNCTION("""COMPUTED_VALUE"""),"Ponith")</f>
        <v>Ponith</v>
      </c>
      <c r="I58" s="124">
        <f ca="1">IFERROR(__xludf.DUMMYFUNCTION("""COMPUTED_VALUE"""),112.5)</f>
        <v>112.5</v>
      </c>
      <c r="J58" t="str">
        <f ca="1">IFERROR(__xludf.DUMMYFUNCTION("""COMPUTED_VALUE"""),"Male")</f>
        <v>Male</v>
      </c>
      <c r="K58" s="242">
        <f ca="1">IFERROR(__xludf.DUMMYFUNCTION("""COMPUTED_VALUE"""),0.114021606445312)</f>
        <v>0.11402160644531199</v>
      </c>
      <c r="L58" s="176"/>
    </row>
    <row r="59" spans="1:12" ht="13.2">
      <c r="H59" s="24" t="str">
        <f ca="1">IFERROR(__xludf.DUMMYFUNCTION("""COMPUTED_VALUE"""),"Nikpal")</f>
        <v>Nikpal</v>
      </c>
      <c r="I59" s="124">
        <f ca="1">IFERROR(__xludf.DUMMYFUNCTION("""COMPUTED_VALUE"""),93.75)</f>
        <v>93.75</v>
      </c>
      <c r="J59" t="str">
        <f ca="1">IFERROR(__xludf.DUMMYFUNCTION("""COMPUTED_VALUE"""),"Male")</f>
        <v>Male</v>
      </c>
      <c r="K59" s="242">
        <f ca="1">IFERROR(__xludf.DUMMYFUNCTION("""COMPUTED_VALUE"""),0.113430786132812)</f>
        <v>0.113430786132812</v>
      </c>
      <c r="L59" s="176"/>
    </row>
    <row r="60" spans="1:12" ht="13.2">
      <c r="H60" s="24" t="str">
        <f ca="1">IFERROR(__xludf.DUMMYFUNCTION("""COMPUTED_VALUE"""),"Naphates")</f>
        <v>Naphates</v>
      </c>
      <c r="I60" s="124">
        <f ca="1">IFERROR(__xludf.DUMMYFUNCTION("""COMPUTED_VALUE"""),93.75)</f>
        <v>93.75</v>
      </c>
      <c r="J60" t="str">
        <f ca="1">IFERROR(__xludf.DUMMYFUNCTION("""COMPUTED_VALUE"""),"Male")</f>
        <v>Male</v>
      </c>
      <c r="K60" s="242">
        <f ca="1">IFERROR(__xludf.DUMMYFUNCTION("""COMPUTED_VALUE"""),0.112440490722656)</f>
        <v>0.11244049072265599</v>
      </c>
      <c r="L60" s="176"/>
    </row>
    <row r="61" spans="1:12" ht="13.2">
      <c r="H61" s="24" t="str">
        <f ca="1">IFERROR(__xludf.DUMMYFUNCTION("""COMPUTED_VALUE"""),"Pendus")</f>
        <v>Pendus</v>
      </c>
      <c r="I61" s="124">
        <f ca="1">IFERROR(__xludf.DUMMYFUNCTION("""COMPUTED_VALUE"""),112.5)</f>
        <v>112.5</v>
      </c>
      <c r="J61" t="str">
        <f ca="1">IFERROR(__xludf.DUMMYFUNCTION("""COMPUTED_VALUE"""),"Male")</f>
        <v>Male</v>
      </c>
      <c r="K61" s="242">
        <f ca="1">IFERROR(__xludf.DUMMYFUNCTION("""COMPUTED_VALUE"""),0.11134780883789)</f>
        <v>0.11134780883789</v>
      </c>
      <c r="L61" s="176"/>
    </row>
    <row r="62" spans="1:12" ht="13.2">
      <c r="H62" s="24" t="str">
        <f ca="1">IFERROR(__xludf.DUMMYFUNCTION("""COMPUTED_VALUE"""),"Mufar")</f>
        <v>Mufar</v>
      </c>
      <c r="I62" s="124">
        <f ca="1">IFERROR(__xludf.DUMMYFUNCTION("""COMPUTED_VALUE"""),93.75)</f>
        <v>93.75</v>
      </c>
      <c r="J62" t="str">
        <f ca="1">IFERROR(__xludf.DUMMYFUNCTION("""COMPUTED_VALUE"""),"Male")</f>
        <v>Male</v>
      </c>
      <c r="K62" s="242">
        <f ca="1">IFERROR(__xludf.DUMMYFUNCTION("""COMPUTED_VALUE"""),0.110107421874999)</f>
        <v>0.110107421874999</v>
      </c>
      <c r="L62" s="176"/>
    </row>
    <row r="63" spans="1:12" ht="13.2">
      <c r="H63" s="24" t="str">
        <f ca="1">IFERROR(__xludf.DUMMYFUNCTION("""COMPUTED_VALUE"""),"Othelen")</f>
        <v>Othelen</v>
      </c>
      <c r="I63" s="124">
        <f ca="1">IFERROR(__xludf.DUMMYFUNCTION("""COMPUTED_VALUE"""),112.5)</f>
        <v>112.5</v>
      </c>
      <c r="J63" t="str">
        <f ca="1">IFERROR(__xludf.DUMMYFUNCTION("""COMPUTED_VALUE"""),"Male")</f>
        <v>Male</v>
      </c>
      <c r="K63" s="242">
        <f ca="1">IFERROR(__xludf.DUMMYFUNCTION("""COMPUTED_VALUE"""),0.108356781005859)</f>
        <v>0.10835678100585899</v>
      </c>
      <c r="L63" s="176"/>
    </row>
    <row r="64" spans="1:12" ht="13.2">
      <c r="H64" s="24" t="str">
        <f ca="1">IFERROR(__xludf.DUMMYFUNCTION("""COMPUTED_VALUE"""),"O’tho")</f>
        <v>O’tho</v>
      </c>
      <c r="I64" s="124">
        <f ca="1">IFERROR(__xludf.DUMMYFUNCTION("""COMPUTED_VALUE"""),112.5)</f>
        <v>112.5</v>
      </c>
      <c r="J64" t="str">
        <f ca="1">IFERROR(__xludf.DUMMYFUNCTION("""COMPUTED_VALUE"""),"Male")</f>
        <v>Male</v>
      </c>
      <c r="K64" s="242">
        <f ca="1">IFERROR(__xludf.DUMMYFUNCTION("""COMPUTED_VALUE"""),0.105365753173828)</f>
        <v>0.105365753173828</v>
      </c>
      <c r="L64" s="176"/>
    </row>
    <row r="65" spans="8:12" ht="13.2">
      <c r="H65" s="24" t="str">
        <f ca="1">IFERROR(__xludf.DUMMYFUNCTION("""COMPUTED_VALUE"""),"Nuthor")</f>
        <v>Nuthor</v>
      </c>
      <c r="I65" s="124">
        <f ca="1">IFERROR(__xludf.DUMMYFUNCTION("""COMPUTED_VALUE"""),112.5)</f>
        <v>112.5</v>
      </c>
      <c r="J65" t="str">
        <f ca="1">IFERROR(__xludf.DUMMYFUNCTION("""COMPUTED_VALUE"""),"Male")</f>
        <v>Male</v>
      </c>
      <c r="K65" s="242">
        <f ca="1">IFERROR(__xludf.DUMMYFUNCTION("""COMPUTED_VALUE"""),0.103296203613281)</f>
        <v>0.103296203613281</v>
      </c>
      <c r="L65" s="176"/>
    </row>
    <row r="66" spans="8:12" ht="13.2">
      <c r="H66" s="24" t="str">
        <f ca="1">IFERROR(__xludf.DUMMYFUNCTION("""COMPUTED_VALUE"""),"Nadeer")</f>
        <v>Nadeer</v>
      </c>
      <c r="I66" s="124">
        <f ca="1">IFERROR(__xludf.DUMMYFUNCTION("""COMPUTED_VALUE"""),93.75)</f>
        <v>93.75</v>
      </c>
      <c r="J66" t="str">
        <f ca="1">IFERROR(__xludf.DUMMYFUNCTION("""COMPUTED_VALUE"""),"Male")</f>
        <v>Male</v>
      </c>
      <c r="K66" s="242">
        <f ca="1">IFERROR(__xludf.DUMMYFUNCTION("""COMPUTED_VALUE"""),0.083587646484375)</f>
        <v>8.3587646484375E-2</v>
      </c>
      <c r="L66" s="176"/>
    </row>
    <row r="67" spans="8:12" ht="13.2">
      <c r="H67" s="24" t="str">
        <f ca="1">IFERROR(__xludf.DUMMYFUNCTION("""COMPUTED_VALUE"""),"Padan")</f>
        <v>Padan</v>
      </c>
      <c r="I67" s="124">
        <f ca="1">IFERROR(__xludf.DUMMYFUNCTION("""COMPUTED_VALUE"""),112.5)</f>
        <v>112.5</v>
      </c>
      <c r="J67" t="str">
        <f ca="1">IFERROR(__xludf.DUMMYFUNCTION("""COMPUTED_VALUE"""),"Male")</f>
        <v>Male</v>
      </c>
      <c r="K67" s="242">
        <f ca="1">IFERROR(__xludf.DUMMYFUNCTION("""COMPUTED_VALUE"""),0.0728320312499999)</f>
        <v>7.2832031249999901E-2</v>
      </c>
      <c r="L67" s="176"/>
    </row>
    <row r="68" spans="8:12" ht="13.2">
      <c r="H68" s="24" t="str">
        <f ca="1">IFERROR(__xludf.DUMMYFUNCTION("""COMPUTED_VALUE"""),"Ohethlic")</f>
        <v>Ohethlic</v>
      </c>
      <c r="I68" s="124">
        <f ca="1">IFERROR(__xludf.DUMMYFUNCTION("""COMPUTED_VALUE"""),112.5)</f>
        <v>112.5</v>
      </c>
      <c r="J68" t="str">
        <f ca="1">IFERROR(__xludf.DUMMYFUNCTION("""COMPUTED_VALUE"""),"Male")</f>
        <v>Male</v>
      </c>
      <c r="K68" s="242">
        <f ca="1">IFERROR(__xludf.DUMMYFUNCTION("""COMPUTED_VALUE"""),0.0710494995117187)</f>
        <v>7.1049499511718697E-2</v>
      </c>
      <c r="L68" s="176"/>
    </row>
    <row r="69" spans="8:12" ht="13.2">
      <c r="H69" s="24" t="str">
        <f ca="1">IFERROR(__xludf.DUMMYFUNCTION("""COMPUTED_VALUE"""),"Mufar")</f>
        <v>Mufar</v>
      </c>
      <c r="I69" s="124">
        <f ca="1">IFERROR(__xludf.DUMMYFUNCTION("""COMPUTED_VALUE"""),93.75)</f>
        <v>93.75</v>
      </c>
      <c r="J69" t="str">
        <f ca="1">IFERROR(__xludf.DUMMYFUNCTION("""COMPUTED_VALUE"""),"Male")</f>
        <v>Male</v>
      </c>
      <c r="K69" s="242">
        <f ca="1">IFERROR(__xludf.DUMMYFUNCTION("""COMPUTED_VALUE"""),0.0547348022460937)</f>
        <v>5.47348022460937E-2</v>
      </c>
      <c r="L69" s="176"/>
    </row>
    <row r="70" spans="8:12" ht="13.2">
      <c r="H70" s="24" t="str">
        <f ca="1">IFERROR(__xludf.DUMMYFUNCTION("""COMPUTED_VALUE"""),"Mezo")</f>
        <v>Mezo</v>
      </c>
      <c r="I70" s="124">
        <f ca="1">IFERROR(__xludf.DUMMYFUNCTION("""COMPUTED_VALUE"""),93.75)</f>
        <v>93.75</v>
      </c>
      <c r="J70" t="str">
        <f ca="1">IFERROR(__xludf.DUMMYFUNCTION("""COMPUTED_VALUE"""),"Male")</f>
        <v>Male</v>
      </c>
      <c r="K70" s="242">
        <f ca="1">IFERROR(__xludf.DUMMYFUNCTION("""COMPUTED_VALUE"""),0.0530563354492187)</f>
        <v>5.30563354492187E-2</v>
      </c>
      <c r="L70" s="176"/>
    </row>
    <row r="71" spans="8:12" ht="13.2">
      <c r="H71" s="24" t="str">
        <f ca="1">IFERROR(__xludf.DUMMYFUNCTION("""COMPUTED_VALUE"""),"Lurd")</f>
        <v>Lurd</v>
      </c>
      <c r="I71" s="124">
        <f ca="1">IFERROR(__xludf.DUMMYFUNCTION("""COMPUTED_VALUE"""),40)</f>
        <v>40</v>
      </c>
      <c r="J71" t="str">
        <f ca="1">IFERROR(__xludf.DUMMYFUNCTION("""COMPUTED_VALUE"""),"Male")</f>
        <v>Male</v>
      </c>
      <c r="K71" s="242">
        <f ca="1">IFERROR(__xludf.DUMMYFUNCTION("""COMPUTED_VALUE"""),0.0492462158203125)</f>
        <v>4.9246215820312501E-2</v>
      </c>
      <c r="L71" s="176"/>
    </row>
    <row r="72" spans="8:12" ht="13.2">
      <c r="H72" s="24" t="str">
        <f ca="1">IFERROR(__xludf.DUMMYFUNCTION("""COMPUTED_VALUE"""),"Lephidiles")</f>
        <v>Lephidiles</v>
      </c>
      <c r="I72" s="124">
        <f ca="1">IFERROR(__xludf.DUMMYFUNCTION("""COMPUTED_VALUE"""),40)</f>
        <v>40</v>
      </c>
      <c r="J72" t="str">
        <f ca="1">IFERROR(__xludf.DUMMYFUNCTION("""COMPUTED_VALUE"""),"Male")</f>
        <v>Male</v>
      </c>
      <c r="K72" s="242">
        <f ca="1">IFERROR(__xludf.DUMMYFUNCTION("""COMPUTED_VALUE"""),0.047601318359375)</f>
        <v>4.7601318359374999E-2</v>
      </c>
      <c r="L72" s="176"/>
    </row>
    <row r="73" spans="8:12" ht="13.2">
      <c r="H73" s="24" t="str">
        <f ca="1">IFERROR(__xludf.DUMMYFUNCTION("""COMPUTED_VALUE"""),"Pendus")</f>
        <v>Pendus</v>
      </c>
      <c r="I73" s="124">
        <f ca="1">IFERROR(__xludf.DUMMYFUNCTION("""COMPUTED_VALUE"""),112.5)</f>
        <v>112.5</v>
      </c>
      <c r="J73" t="str">
        <f ca="1">IFERROR(__xludf.DUMMYFUNCTION("""COMPUTED_VALUE"""),"Male")</f>
        <v>Male</v>
      </c>
      <c r="K73" s="242">
        <f ca="1">IFERROR(__xludf.DUMMYFUNCTION("""COMPUTED_VALUE"""),0.0371159362792968)</f>
        <v>3.7115936279296803E-2</v>
      </c>
      <c r="L73" s="176"/>
    </row>
    <row r="74" spans="8:12" ht="13.2">
      <c r="H74" s="24" t="str">
        <f ca="1">IFERROR(__xludf.DUMMYFUNCTION("""COMPUTED_VALUE"""),"Omarn")</f>
        <v>Omarn</v>
      </c>
      <c r="I74" s="124">
        <f ca="1">IFERROR(__xludf.DUMMYFUNCTION("""COMPUTED_VALUE"""),112.5)</f>
        <v>112.5</v>
      </c>
      <c r="J74" t="str">
        <f ca="1">IFERROR(__xludf.DUMMYFUNCTION("""COMPUTED_VALUE"""),"Male")</f>
        <v>Male</v>
      </c>
      <c r="K74" s="242">
        <f ca="1">IFERROR(__xludf.DUMMYFUNCTION("""COMPUTED_VALUE"""),0.0358218383789062)</f>
        <v>3.58218383789062E-2</v>
      </c>
      <c r="L74" s="176"/>
    </row>
    <row r="75" spans="8:12" ht="13.2">
      <c r="H75" s="24" t="str">
        <f ca="1">IFERROR(__xludf.DUMMYFUNCTION("""COMPUTED_VALUE"""),"Keran")</f>
        <v>Keran</v>
      </c>
      <c r="I75" s="124">
        <f ca="1">IFERROR(__xludf.DUMMYFUNCTION("""COMPUTED_VALUE"""),32)</f>
        <v>32</v>
      </c>
      <c r="J75" t="str">
        <f ca="1">IFERROR(__xludf.DUMMYFUNCTION("""COMPUTED_VALUE"""),"Male")</f>
        <v>Male</v>
      </c>
      <c r="K75" s="242">
        <f ca="1">IFERROR(__xludf.DUMMYFUNCTION("""COMPUTED_VALUE"""),0.0350262451171875)</f>
        <v>3.50262451171875E-2</v>
      </c>
      <c r="L75" s="176"/>
    </row>
    <row r="76" spans="8:12" ht="13.2">
      <c r="H76" s="24" t="str">
        <f ca="1">IFERROR(__xludf.DUMMYFUNCTION("""COMPUTED_VALUE"""),"Jin")</f>
        <v>Jin</v>
      </c>
      <c r="I76" s="124">
        <f ca="1">IFERROR(__xludf.DUMMYFUNCTION("""COMPUTED_VALUE"""),32)</f>
        <v>32</v>
      </c>
      <c r="J76" t="str">
        <f ca="1">IFERROR(__xludf.DUMMYFUNCTION("""COMPUTED_VALUE"""),"Male")</f>
        <v>Male</v>
      </c>
      <c r="K76" s="242">
        <f ca="1">IFERROR(__xludf.DUMMYFUNCTION("""COMPUTED_VALUE"""),0.0336968994140625)</f>
        <v>3.3696899414062502E-2</v>
      </c>
      <c r="L76" s="176"/>
    </row>
    <row r="77" spans="8:12" ht="13.2">
      <c r="H77" s="24" t="str">
        <f ca="1">IFERROR(__xludf.DUMMYFUNCTION("""COMPUTED_VALUE"""),"Hermenze")</f>
        <v>Hermenze</v>
      </c>
      <c r="I77" s="124">
        <f ca="1">IFERROR(__xludf.DUMMYFUNCTION("""COMPUTED_VALUE"""),32)</f>
        <v>32</v>
      </c>
      <c r="J77" t="str">
        <f ca="1">IFERROR(__xludf.DUMMYFUNCTION("""COMPUTED_VALUE"""),"Male")</f>
        <v>Male</v>
      </c>
      <c r="K77" s="242">
        <f ca="1">IFERROR(__xludf.DUMMYFUNCTION("""COMPUTED_VALUE"""),0.029326171875)</f>
        <v>2.9326171875000001E-2</v>
      </c>
      <c r="L77" s="176"/>
    </row>
    <row r="78" spans="8:12" ht="13.2">
      <c r="H78" s="24" t="str">
        <f ca="1">IFERROR(__xludf.DUMMYFUNCTION("""COMPUTED_VALUE"""),"Nikpal")</f>
        <v>Nikpal</v>
      </c>
      <c r="I78" s="124">
        <f ca="1">IFERROR(__xludf.DUMMYFUNCTION("""COMPUTED_VALUE"""),93.75)</f>
        <v>93.75</v>
      </c>
      <c r="J78" t="str">
        <f ca="1">IFERROR(__xludf.DUMMYFUNCTION("""COMPUTED_VALUE"""),"Male")</f>
        <v>Male</v>
      </c>
      <c r="K78" s="242">
        <f ca="1">IFERROR(__xludf.DUMMYFUNCTION("""COMPUTED_VALUE"""),0.0284374237060546)</f>
        <v>2.84374237060546E-2</v>
      </c>
      <c r="L78" s="176"/>
    </row>
    <row r="79" spans="8:12" ht="13.2">
      <c r="H79" s="24" t="str">
        <f ca="1">IFERROR(__xludf.DUMMYFUNCTION("""COMPUTED_VALUE"""),"Mickal")</f>
        <v>Mickal</v>
      </c>
      <c r="I79" s="124">
        <f ca="1">IFERROR(__xludf.DUMMYFUNCTION("""COMPUTED_VALUE"""),93.75)</f>
        <v>93.75</v>
      </c>
      <c r="J79" t="str">
        <f ca="1">IFERROR(__xludf.DUMMYFUNCTION("""COMPUTED_VALUE"""),"Male")</f>
        <v>Male</v>
      </c>
      <c r="K79" s="242">
        <f ca="1">IFERROR(__xludf.DUMMYFUNCTION("""COMPUTED_VALUE"""),0.0267841339111328)</f>
        <v>2.6784133911132799E-2</v>
      </c>
      <c r="L79" s="176"/>
    </row>
    <row r="80" spans="8:12" ht="13.2">
      <c r="H80" s="24" t="str">
        <f ca="1">IFERROR(__xludf.DUMMYFUNCTION("""COMPUTED_VALUE"""),"Meridan")</f>
        <v>Meridan</v>
      </c>
      <c r="I80" s="124">
        <f ca="1">IFERROR(__xludf.DUMMYFUNCTION("""COMPUTED_VALUE"""),93.75)</f>
        <v>93.75</v>
      </c>
      <c r="J80" t="str">
        <f ca="1">IFERROR(__xludf.DUMMYFUNCTION("""COMPUTED_VALUE"""),"Male")</f>
        <v>Male</v>
      </c>
      <c r="K80" s="242">
        <f ca="1">IFERROR(__xludf.DUMMYFUNCTION("""COMPUTED_VALUE"""),0.0260372161865234)</f>
        <v>2.6037216186523399E-2</v>
      </c>
      <c r="L80" s="176"/>
    </row>
    <row r="81" spans="8:12" ht="13.2">
      <c r="H81" s="24" t="str">
        <f ca="1">IFERROR(__xludf.DUMMYFUNCTION("""COMPUTED_VALUE"""),"Mathar")</f>
        <v>Mathar</v>
      </c>
      <c r="I81" s="124">
        <f ca="1">IFERROR(__xludf.DUMMYFUNCTION("""COMPUTED_VALUE"""),93.75)</f>
        <v>93.75</v>
      </c>
      <c r="J81" t="str">
        <f ca="1">IFERROR(__xludf.DUMMYFUNCTION("""COMPUTED_VALUE"""),"Male")</f>
        <v>Male</v>
      </c>
      <c r="K81" s="242">
        <f ca="1">IFERROR(__xludf.DUMMYFUNCTION("""COMPUTED_VALUE"""),0.0257057189941406)</f>
        <v>2.5705718994140599E-2</v>
      </c>
      <c r="L81" s="176"/>
    </row>
    <row r="82" spans="8:12" ht="13.2">
      <c r="H82" s="24" t="str">
        <f ca="1">IFERROR(__xludf.DUMMYFUNCTION("""COMPUTED_VALUE"""),"Ma")</f>
        <v>Ma</v>
      </c>
      <c r="I82" s="124">
        <f ca="1">IFERROR(__xludf.DUMMYFUNCTION("""COMPUTED_VALUE"""),40)</f>
        <v>40</v>
      </c>
      <c r="J82" t="str">
        <f ca="1">IFERROR(__xludf.DUMMYFUNCTION("""COMPUTED_VALUE"""),"Male")</f>
        <v>Male</v>
      </c>
      <c r="K82" s="242">
        <f ca="1">IFERROR(__xludf.DUMMYFUNCTION("""COMPUTED_VALUE"""),0.0248748779296875)</f>
        <v>2.4874877929687501E-2</v>
      </c>
      <c r="L82" s="176"/>
    </row>
    <row r="83" spans="8:12" ht="13.2">
      <c r="H83" s="24" t="str">
        <f ca="1">IFERROR(__xludf.DUMMYFUNCTION("""COMPUTED_VALUE"""),"Letor")</f>
        <v>Letor</v>
      </c>
      <c r="I83" s="124">
        <f ca="1">IFERROR(__xludf.DUMMYFUNCTION("""COMPUTED_VALUE"""),40)</f>
        <v>40</v>
      </c>
      <c r="J83" t="str">
        <f ca="1">IFERROR(__xludf.DUMMYFUNCTION("""COMPUTED_VALUE"""),"Male")</f>
        <v>Male</v>
      </c>
      <c r="K83" s="242">
        <f ca="1">IFERROR(__xludf.DUMMYFUNCTION("""COMPUTED_VALUE"""),0.0241279602050781)</f>
        <v>2.4127960205078101E-2</v>
      </c>
      <c r="L83" s="176"/>
    </row>
    <row r="84" spans="8:12" ht="13.2">
      <c r="H84" s="24" t="str">
        <f ca="1">IFERROR(__xludf.DUMMYFUNCTION("""COMPUTED_VALUE"""),"Kolmorn")</f>
        <v>Kolmorn</v>
      </c>
      <c r="I84" s="124">
        <f ca="1">IFERROR(__xludf.DUMMYFUNCTION("""COMPUTED_VALUE"""),40)</f>
        <v>40</v>
      </c>
      <c r="J84" t="str">
        <f ca="1">IFERROR(__xludf.DUMMYFUNCTION("""COMPUTED_VALUE"""),"Male")</f>
        <v>Male</v>
      </c>
      <c r="K84" s="242">
        <f ca="1">IFERROR(__xludf.DUMMYFUNCTION("""COMPUTED_VALUE"""),0.0229656219482421)</f>
        <v>2.2965621948242101E-2</v>
      </c>
      <c r="L84" s="176"/>
    </row>
    <row r="85" spans="8:12" ht="13.2">
      <c r="H85" s="24" t="str">
        <f ca="1">IFERROR(__xludf.DUMMYFUNCTION("""COMPUTED_VALUE"""),"Gerirr")</f>
        <v>Gerirr</v>
      </c>
      <c r="I85" s="124">
        <f ca="1">IFERROR(__xludf.DUMMYFUNCTION("""COMPUTED_VALUE"""),24)</f>
        <v>24</v>
      </c>
      <c r="J85" t="str">
        <f ca="1">IFERROR(__xludf.DUMMYFUNCTION("""COMPUTED_VALUE"""),"Male")</f>
        <v>Male</v>
      </c>
      <c r="K85" s="242">
        <f ca="1">IFERROR(__xludf.DUMMYFUNCTION("""COMPUTED_VALUE"""),0.0197035217285156)</f>
        <v>1.97035217285156E-2</v>
      </c>
      <c r="L85" s="176"/>
    </row>
    <row r="86" spans="8:12" ht="13.2">
      <c r="H86" s="24" t="str">
        <f ca="1">IFERROR(__xludf.DUMMYFUNCTION("""COMPUTED_VALUE"""),"Gafolern")</f>
        <v>Gafolern</v>
      </c>
      <c r="I86" s="124">
        <f ca="1">IFERROR(__xludf.DUMMYFUNCTION("""COMPUTED_VALUE"""),24)</f>
        <v>24</v>
      </c>
      <c r="J86" t="str">
        <f ca="1">IFERROR(__xludf.DUMMYFUNCTION("""COMPUTED_VALUE"""),"Male")</f>
        <v>Male</v>
      </c>
      <c r="K86" s="242">
        <f ca="1">IFERROR(__xludf.DUMMYFUNCTION("""COMPUTED_VALUE"""),0.0187065124511718)</f>
        <v>1.8706512451171799E-2</v>
      </c>
      <c r="L86" s="176"/>
    </row>
    <row r="87" spans="8:12" ht="13.2">
      <c r="H87" s="24" t="str">
        <f ca="1">IFERROR(__xludf.DUMMYFUNCTION("""COMPUTED_VALUE"""),"Kiden")</f>
        <v>Kiden</v>
      </c>
      <c r="I87" s="124">
        <f ca="1">IFERROR(__xludf.DUMMYFUNCTION("""COMPUTED_VALUE"""),32)</f>
        <v>32</v>
      </c>
      <c r="J87" t="str">
        <f ca="1">IFERROR(__xludf.DUMMYFUNCTION("""COMPUTED_VALUE"""),"Male")</f>
        <v>Male</v>
      </c>
      <c r="K87" s="242">
        <f ca="1">IFERROR(__xludf.DUMMYFUNCTION("""COMPUTED_VALUE"""),0.0177145385742187)</f>
        <v>1.7714538574218699E-2</v>
      </c>
      <c r="L87" s="176"/>
    </row>
    <row r="88" spans="8:12" ht="13.2">
      <c r="H88" s="24" t="str">
        <f ca="1">IFERROR(__xludf.DUMMYFUNCTION("""COMPUTED_VALUE"""),"Jun")</f>
        <v>Jun</v>
      </c>
      <c r="I88" s="124">
        <f ca="1">IFERROR(__xludf.DUMMYFUNCTION("""COMPUTED_VALUE"""),32)</f>
        <v>32</v>
      </c>
      <c r="J88" t="str">
        <f ca="1">IFERROR(__xludf.DUMMYFUNCTION("""COMPUTED_VALUE"""),"Male")</f>
        <v>Male</v>
      </c>
      <c r="K88" s="242">
        <f ca="1">IFERROR(__xludf.DUMMYFUNCTION("""COMPUTED_VALUE"""),0.0170465087890625)</f>
        <v>1.7046508789062501E-2</v>
      </c>
      <c r="L88" s="176"/>
    </row>
    <row r="89" spans="8:12" ht="13.2">
      <c r="H89" s="24" t="str">
        <f ca="1">IFERROR(__xludf.DUMMYFUNCTION("""COMPUTED_VALUE"""),"Jesco")</f>
        <v>Jesco</v>
      </c>
      <c r="I89" s="124">
        <f ca="1">IFERROR(__xludf.DUMMYFUNCTION("""COMPUTED_VALUE"""),32)</f>
        <v>32</v>
      </c>
      <c r="J89" t="str">
        <f ca="1">IFERROR(__xludf.DUMMYFUNCTION("""COMPUTED_VALUE"""),"Male")</f>
        <v>Male</v>
      </c>
      <c r="K89" s="242">
        <f ca="1">IFERROR(__xludf.DUMMYFUNCTION("""COMPUTED_VALUE"""),0.0164523315429687)</f>
        <v>1.6452331542968698E-2</v>
      </c>
      <c r="L89" s="176"/>
    </row>
    <row r="90" spans="8:12" ht="13.2">
      <c r="H90" s="24" t="str">
        <f ca="1">IFERROR(__xludf.DUMMYFUNCTION("""COMPUTED_VALUE"""),"Jackson")</f>
        <v>Jackson</v>
      </c>
      <c r="I90" s="124">
        <f ca="1">IFERROR(__xludf.DUMMYFUNCTION("""COMPUTED_VALUE"""),32)</f>
        <v>32</v>
      </c>
      <c r="J90" t="str">
        <f ca="1">IFERROR(__xludf.DUMMYFUNCTION("""COMPUTED_VALUE"""),"Male")</f>
        <v>Male</v>
      </c>
      <c r="K90" s="242">
        <f ca="1">IFERROR(__xludf.DUMMYFUNCTION("""COMPUTED_VALUE"""),0.0161871337890625)</f>
        <v>1.6187133789062499E-2</v>
      </c>
      <c r="L90" s="176"/>
    </row>
    <row r="91" spans="8:12" ht="13.2">
      <c r="H91" s="24" t="str">
        <f ca="1">IFERROR(__xludf.DUMMYFUNCTION("""COMPUTED_VALUE"""),"Ieserk")</f>
        <v>Ieserk</v>
      </c>
      <c r="I91" s="124">
        <f ca="1">IFERROR(__xludf.DUMMYFUNCTION("""COMPUTED_VALUE"""),32)</f>
        <v>32</v>
      </c>
      <c r="J91" t="str">
        <f ca="1">IFERROR(__xludf.DUMMYFUNCTION("""COMPUTED_VALUE"""),"Male")</f>
        <v>Male</v>
      </c>
      <c r="K91" s="242">
        <f ca="1">IFERROR(__xludf.DUMMYFUNCTION("""COMPUTED_VALUE"""),0.0155224609375)</f>
        <v>1.55224609375E-2</v>
      </c>
      <c r="L91" s="176"/>
    </row>
    <row r="92" spans="8:12" ht="13.2">
      <c r="H92" s="24" t="str">
        <f ca="1">IFERROR(__xludf.DUMMYFUNCTION("""COMPUTED_VALUE"""),"Guthale")</f>
        <v>Guthale</v>
      </c>
      <c r="I92" s="124">
        <f ca="1">IFERROR(__xludf.DUMMYFUNCTION("""COMPUTED_VALUE"""),32)</f>
        <v>32</v>
      </c>
      <c r="J92" t="str">
        <f ca="1">IFERROR(__xludf.DUMMYFUNCTION("""COMPUTED_VALUE"""),"Male")</f>
        <v>Male</v>
      </c>
      <c r="K92" s="242">
        <f ca="1">IFERROR(__xludf.DUMMYFUNCTION("""COMPUTED_VALUE"""),0.0139984130859375)</f>
        <v>1.39984130859375E-2</v>
      </c>
      <c r="L92" s="176"/>
    </row>
    <row r="93" spans="8:12" ht="13.2">
      <c r="H93" s="24" t="str">
        <f ca="1">IFERROR(__xludf.DUMMYFUNCTION("""COMPUTED_VALUE"""),"Gibolock")</f>
        <v>Gibolock</v>
      </c>
      <c r="I93" s="124">
        <f ca="1">IFERROR(__xludf.DUMMYFUNCTION("""COMPUTED_VALUE"""),24)</f>
        <v>24</v>
      </c>
      <c r="J93" t="str">
        <f ca="1">IFERROR(__xludf.DUMMYFUNCTION("""COMPUTED_VALUE"""),"Male")</f>
        <v>Male</v>
      </c>
      <c r="K93" s="242">
        <f ca="1">IFERROR(__xludf.DUMMYFUNCTION("""COMPUTED_VALUE"""),0.0100003051757812)</f>
        <v>1.00003051757812E-2</v>
      </c>
      <c r="L93" s="176"/>
    </row>
    <row r="94" spans="8:12" ht="13.2">
      <c r="H94" s="24" t="str">
        <f ca="1">IFERROR(__xludf.DUMMYFUNCTION("""COMPUTED_VALUE"""),"Galiron")</f>
        <v>Galiron</v>
      </c>
      <c r="I94" s="124">
        <f ca="1">IFERROR(__xludf.DUMMYFUNCTION("""COMPUTED_VALUE"""),24)</f>
        <v>24</v>
      </c>
      <c r="J94" t="str">
        <f ca="1">IFERROR(__xludf.DUMMYFUNCTION("""COMPUTED_VALUE"""),"Male")</f>
        <v>Male</v>
      </c>
      <c r="K94" s="242">
        <f ca="1">IFERROR(__xludf.DUMMYFUNCTION("""COMPUTED_VALUE"""),0.00950180053710937)</f>
        <v>9.5018005371093704E-3</v>
      </c>
      <c r="L94" s="176"/>
    </row>
    <row r="95" spans="8:12" ht="13.2">
      <c r="H95" s="24" t="str">
        <f ca="1">IFERROR(__xludf.DUMMYFUNCTION("""COMPUTED_VALUE"""),"Nuthor")</f>
        <v>Nuthor</v>
      </c>
      <c r="I95" s="124">
        <f ca="1">IFERROR(__xludf.DUMMYFUNCTION("""COMPUTED_VALUE"""),112.5)</f>
        <v>112.5</v>
      </c>
      <c r="J95" t="str">
        <f ca="1">IFERROR(__xludf.DUMMYFUNCTION("""COMPUTED_VALUE"""),"Male")</f>
        <v>Male</v>
      </c>
      <c r="K95" s="242">
        <f ca="1">IFERROR(__xludf.DUMMYFUNCTION("""COMPUTED_VALUE"""),0)</f>
        <v>0</v>
      </c>
      <c r="L95" s="176"/>
    </row>
    <row r="96" spans="8:12" ht="13.2">
      <c r="H96" s="24" t="str">
        <f ca="1">IFERROR(__xludf.DUMMYFUNCTION("""COMPUTED_VALUE"""),"Temilfist")</f>
        <v>Temilfist</v>
      </c>
      <c r="I96" s="124">
        <f ca="1">IFERROR(__xludf.DUMMYFUNCTION("""COMPUTED_VALUE"""),118.124999999999)</f>
        <v>118.12499999999901</v>
      </c>
      <c r="J96" t="str">
        <f ca="1">IFERROR(__xludf.DUMMYFUNCTION("""COMPUTED_VALUE"""),"Male")</f>
        <v>Male</v>
      </c>
      <c r="K96" s="242">
        <f ca="1">IFERROR(__xludf.DUMMYFUNCTION("""COMPUTED_VALUE"""),0)</f>
        <v>0</v>
      </c>
      <c r="L96" s="176"/>
    </row>
    <row r="97" spans="8:12" ht="13.2">
      <c r="H97" s="24" t="str">
        <f ca="1">IFERROR(__xludf.DUMMYFUNCTION("""COMPUTED_VALUE"""),"Ipedorn")</f>
        <v>Ipedorn</v>
      </c>
      <c r="I97" s="124">
        <f ca="1">IFERROR(__xludf.DUMMYFUNCTION("""COMPUTED_VALUE"""),32)</f>
        <v>32</v>
      </c>
      <c r="J97" t="str">
        <f ca="1">IFERROR(__xludf.DUMMYFUNCTION("""COMPUTED_VALUE"""),"Male")</f>
        <v>Male</v>
      </c>
      <c r="K97" s="242">
        <f ca="1">IFERROR(__xludf.DUMMYFUNCTION("""COMPUTED_VALUE"""),0)</f>
        <v>0</v>
      </c>
      <c r="L97" s="176"/>
    </row>
    <row r="98" spans="8:12" ht="13.2">
      <c r="H98" s="24" t="str">
        <f ca="1">IFERROR(__xludf.DUMMYFUNCTION("""COMPUTED_VALUE"""),"Tibolt")</f>
        <v>Tibolt</v>
      </c>
      <c r="I98" s="124">
        <f ca="1">IFERROR(__xludf.DUMMYFUNCTION("""COMPUTED_VALUE"""),118.124999999999)</f>
        <v>118.12499999999901</v>
      </c>
      <c r="J98" t="str">
        <f ca="1">IFERROR(__xludf.DUMMYFUNCTION("""COMPUTED_VALUE"""),"Male")</f>
        <v>Male</v>
      </c>
      <c r="K98" s="242">
        <f ca="1">IFERROR(__xludf.DUMMYFUNCTION("""COMPUTED_VALUE"""),0)</f>
        <v>0</v>
      </c>
      <c r="L98" s="176"/>
    </row>
    <row r="99" spans="8:12" ht="13.2">
      <c r="H99" s="24" t="str">
        <f ca="1">IFERROR(__xludf.DUMMYFUNCTION("""COMPUTED_VALUE"""),"Occhi")</f>
        <v>Occhi</v>
      </c>
      <c r="I99" s="124">
        <f ca="1">IFERROR(__xludf.DUMMYFUNCTION("""COMPUTED_VALUE"""),112.5)</f>
        <v>112.5</v>
      </c>
      <c r="J99" t="str">
        <f ca="1">IFERROR(__xludf.DUMMYFUNCTION("""COMPUTED_VALUE"""),"Male")</f>
        <v>Male</v>
      </c>
      <c r="K99" s="242">
        <f ca="1">IFERROR(__xludf.DUMMYFUNCTION("""COMPUTED_VALUE"""),0)</f>
        <v>0</v>
      </c>
      <c r="L99" s="176"/>
    </row>
    <row r="100" spans="8:12" ht="13.2">
      <c r="H100" s="24" t="str">
        <f ca="1">IFERROR(__xludf.DUMMYFUNCTION("""COMPUTED_VALUE"""),"Marderdeen")</f>
        <v>Marderdeen</v>
      </c>
      <c r="I100" s="124">
        <f ca="1">IFERROR(__xludf.DUMMYFUNCTION("""COMPUTED_VALUE"""),93.75)</f>
        <v>93.75</v>
      </c>
      <c r="J100" t="str">
        <f ca="1">IFERROR(__xludf.DUMMYFUNCTION("""COMPUTED_VALUE"""),"Male")</f>
        <v>Male</v>
      </c>
      <c r="K100" s="242">
        <f ca="1">IFERROR(__xludf.DUMMYFUNCTION("""COMPUTED_VALUE"""),0)</f>
        <v>0</v>
      </c>
      <c r="L100" s="176"/>
    </row>
    <row r="101" spans="8:12" ht="13.2">
      <c r="H101" s="24" t="str">
        <f ca="1">IFERROR(__xludf.DUMMYFUNCTION("""COMPUTED_VALUE"""),"Aysen")</f>
        <v>Aysen</v>
      </c>
      <c r="I101" s="124">
        <f ca="1">IFERROR(__xludf.DUMMYFUNCTION("""COMPUTED_VALUE"""),151.875)</f>
        <v>151.875</v>
      </c>
      <c r="J101" t="str">
        <f ca="1">IFERROR(__xludf.DUMMYFUNCTION("""COMPUTED_VALUE"""),"Female")</f>
        <v>Female</v>
      </c>
      <c r="K101" s="242">
        <f ca="1">IFERROR(__xludf.DUMMYFUNCTION("""COMPUTED_VALUE"""),0)</f>
        <v>0</v>
      </c>
      <c r="L101" s="176"/>
    </row>
    <row r="102" spans="8:12" ht="13.2">
      <c r="H102" s="24" t="str">
        <f ca="1">IFERROR(__xludf.DUMMYFUNCTION("""COMPUTED_VALUE"""),"Othelen")</f>
        <v>Othelen</v>
      </c>
      <c r="I102" s="124">
        <f ca="1">IFERROR(__xludf.DUMMYFUNCTION("""COMPUTED_VALUE"""),112.5)</f>
        <v>112.5</v>
      </c>
      <c r="J102" t="str">
        <f ca="1">IFERROR(__xludf.DUMMYFUNCTION("""COMPUTED_VALUE"""),"Male")</f>
        <v>Male</v>
      </c>
      <c r="K102" s="242">
        <f ca="1">IFERROR(__xludf.DUMMYFUNCTION("""COMPUTED_VALUE"""),0)</f>
        <v>0</v>
      </c>
      <c r="L102" s="176"/>
    </row>
    <row r="103" spans="8:12" ht="13.2">
      <c r="H103" s="24" t="str">
        <f ca="1">IFERROR(__xludf.DUMMYFUNCTION("""COMPUTED_VALUE"""),"Gemardt")</f>
        <v>Gemardt</v>
      </c>
      <c r="I103" s="124">
        <f ca="1">IFERROR(__xludf.DUMMYFUNCTION("""COMPUTED_VALUE"""),24)</f>
        <v>24</v>
      </c>
      <c r="J103" t="str">
        <f ca="1">IFERROR(__xludf.DUMMYFUNCTION("""COMPUTED_VALUE"""),"Male")</f>
        <v>Male</v>
      </c>
      <c r="K103" s="242">
        <f ca="1">IFERROR(__xludf.DUMMYFUNCTION("""COMPUTED_VALUE"""),0)</f>
        <v>0</v>
      </c>
      <c r="L103" s="176"/>
    </row>
    <row r="104" spans="8:12" ht="13.2">
      <c r="H104" s="24" t="str">
        <f ca="1">IFERROR(__xludf.DUMMYFUNCTION("""COMPUTED_VALUE"""),"Kafar")</f>
        <v>Kafar</v>
      </c>
      <c r="I104" s="124">
        <f ca="1">IFERROR(__xludf.DUMMYFUNCTION("""COMPUTED_VALUE"""),32)</f>
        <v>32</v>
      </c>
      <c r="J104" t="str">
        <f ca="1">IFERROR(__xludf.DUMMYFUNCTION("""COMPUTED_VALUE"""),"Male")</f>
        <v>Male</v>
      </c>
      <c r="K104" s="242">
        <f ca="1">IFERROR(__xludf.DUMMYFUNCTION("""COMPUTED_VALUE"""),0)</f>
        <v>0</v>
      </c>
      <c r="L104" s="176"/>
    </row>
    <row r="105" spans="8:12" ht="13.2">
      <c r="H105" s="24" t="str">
        <f ca="1">IFERROR(__xludf.DUMMYFUNCTION("""COMPUTED_VALUE"""),"Gothikar")</f>
        <v>Gothikar</v>
      </c>
      <c r="I105" s="124">
        <f ca="1">IFERROR(__xludf.DUMMYFUNCTION("""COMPUTED_VALUE"""),24)</f>
        <v>24</v>
      </c>
      <c r="J105" t="str">
        <f ca="1">IFERROR(__xludf.DUMMYFUNCTION("""COMPUTED_VALUE"""),"Male")</f>
        <v>Male</v>
      </c>
      <c r="K105" s="242">
        <f ca="1">IFERROR(__xludf.DUMMYFUNCTION("""COMPUTED_VALUE"""),0)</f>
        <v>0</v>
      </c>
      <c r="L105" s="176"/>
    </row>
    <row r="106" spans="8:12" ht="13.2">
      <c r="H106" s="24" t="str">
        <f ca="1">IFERROR(__xludf.DUMMYFUNCTION("""COMPUTED_VALUE"""),"Valynard")</f>
        <v>Valynard</v>
      </c>
      <c r="I106" s="124">
        <f ca="1">IFERROR(__xludf.DUMMYFUNCTION("""COMPUTED_VALUE"""),135)</f>
        <v>135</v>
      </c>
      <c r="J106" t="str">
        <f ca="1">IFERROR(__xludf.DUMMYFUNCTION("""COMPUTED_VALUE"""),"Male")</f>
        <v>Male</v>
      </c>
      <c r="K106" s="242">
        <f ca="1">IFERROR(__xludf.DUMMYFUNCTION("""COMPUTED_VALUE"""),0)</f>
        <v>0</v>
      </c>
      <c r="L106" s="176"/>
    </row>
    <row r="107" spans="8:12" ht="13.2">
      <c r="H107" s="24" t="str">
        <f ca="1">IFERROR(__xludf.DUMMYFUNCTION("""COMPUTED_VALUE"""),"Phoenix")</f>
        <v>Phoenix</v>
      </c>
      <c r="I107" s="124">
        <f ca="1">IFERROR(__xludf.DUMMYFUNCTION("""COMPUTED_VALUE"""),112.5)</f>
        <v>112.5</v>
      </c>
      <c r="J107" t="str">
        <f ca="1">IFERROR(__xludf.DUMMYFUNCTION("""COMPUTED_VALUE"""),"Male")</f>
        <v>Male</v>
      </c>
      <c r="K107" s="242">
        <f ca="1">IFERROR(__xludf.DUMMYFUNCTION("""COMPUTED_VALUE"""),0)</f>
        <v>0</v>
      </c>
      <c r="L107" s="176"/>
    </row>
    <row r="108" spans="8:12" ht="13.2">
      <c r="H108" s="24" t="str">
        <f ca="1">IFERROR(__xludf.DUMMYFUNCTION("""COMPUTED_VALUE"""),"Modric")</f>
        <v>Modric</v>
      </c>
      <c r="I108" s="124">
        <f ca="1">IFERROR(__xludf.DUMMYFUNCTION("""COMPUTED_VALUE"""),93.75)</f>
        <v>93.75</v>
      </c>
      <c r="J108" t="str">
        <f ca="1">IFERROR(__xludf.DUMMYFUNCTION("""COMPUTED_VALUE"""),"Male")</f>
        <v>Male</v>
      </c>
      <c r="K108" s="242">
        <f ca="1">IFERROR(__xludf.DUMMYFUNCTION("""COMPUTED_VALUE"""),0)</f>
        <v>0</v>
      </c>
      <c r="L108" s="176"/>
    </row>
    <row r="109" spans="8:12" ht="13.2">
      <c r="H109" s="24" t="str">
        <f ca="1">IFERROR(__xludf.DUMMYFUNCTION("""COMPUTED_VALUE"""),"Kildarien")</f>
        <v>Kildarien</v>
      </c>
      <c r="I109" s="124">
        <f ca="1">IFERROR(__xludf.DUMMYFUNCTION("""COMPUTED_VALUE"""),32)</f>
        <v>32</v>
      </c>
      <c r="J109" t="str">
        <f ca="1">IFERROR(__xludf.DUMMYFUNCTION("""COMPUTED_VALUE"""),"Male")</f>
        <v>Male</v>
      </c>
      <c r="K109" s="242">
        <f ca="1">IFERROR(__xludf.DUMMYFUNCTION("""COMPUTED_VALUE"""),0)</f>
        <v>0</v>
      </c>
      <c r="L109" s="176"/>
    </row>
    <row r="110" spans="8:12" ht="13.2">
      <c r="H110" s="24" t="str">
        <f ca="1">IFERROR(__xludf.DUMMYFUNCTION("""COMPUTED_VALUE"""),"Shane")</f>
        <v>Shane</v>
      </c>
      <c r="I110" s="124">
        <f ca="1">IFERROR(__xludf.DUMMYFUNCTION("""COMPUTED_VALUE"""),196.875)</f>
        <v>196.875</v>
      </c>
      <c r="J110" t="str">
        <f ca="1">IFERROR(__xludf.DUMMYFUNCTION("""COMPUTED_VALUE"""),"Male")</f>
        <v>Male</v>
      </c>
      <c r="K110" s="242">
        <f ca="1">IFERROR(__xludf.DUMMYFUNCTION("""COMPUTED_VALUE"""),0)</f>
        <v>0</v>
      </c>
      <c r="L110" s="176"/>
    </row>
    <row r="111" spans="8:12" ht="13.2">
      <c r="H111" s="24" t="str">
        <f ca="1">IFERROR(__xludf.DUMMYFUNCTION("""COMPUTED_VALUE"""),"Nadeer")</f>
        <v>Nadeer</v>
      </c>
      <c r="I111" s="124">
        <f ca="1">IFERROR(__xludf.DUMMYFUNCTION("""COMPUTED_VALUE"""),93.75)</f>
        <v>93.75</v>
      </c>
      <c r="J111" t="str">
        <f ca="1">IFERROR(__xludf.DUMMYFUNCTION("""COMPUTED_VALUE"""),"Male")</f>
        <v>Male</v>
      </c>
      <c r="K111" s="242">
        <f ca="1">IFERROR(__xludf.DUMMYFUNCTION("""COMPUTED_VALUE"""),0)</f>
        <v>0</v>
      </c>
      <c r="L111" s="176"/>
    </row>
    <row r="112" spans="8:12" ht="13.2">
      <c r="H112" s="24" t="str">
        <f ca="1">IFERROR(__xludf.DUMMYFUNCTION("""COMPUTED_VALUE"""),"Hectar")</f>
        <v>Hectar</v>
      </c>
      <c r="I112" s="124">
        <f ca="1">IFERROR(__xludf.DUMMYFUNCTION("""COMPUTED_VALUE"""),32)</f>
        <v>32</v>
      </c>
      <c r="J112" t="str">
        <f ca="1">IFERROR(__xludf.DUMMYFUNCTION("""COMPUTED_VALUE"""),"Male")</f>
        <v>Male</v>
      </c>
      <c r="K112" s="242">
        <f ca="1">IFERROR(__xludf.DUMMYFUNCTION("""COMPUTED_VALUE"""),0)</f>
        <v>0</v>
      </c>
      <c r="L112" s="176"/>
    </row>
    <row r="113" spans="8:12" ht="13.2">
      <c r="H113" s="24" t="str">
        <f ca="1">IFERROR(__xludf.DUMMYFUNCTION("""COMPUTED_VALUE"""),"Stenwulf")</f>
        <v>Stenwulf</v>
      </c>
      <c r="I113" s="124">
        <f ca="1">IFERROR(__xludf.DUMMYFUNCTION("""COMPUTED_VALUE"""),118.124999999999)</f>
        <v>118.12499999999901</v>
      </c>
      <c r="J113" t="str">
        <f ca="1">IFERROR(__xludf.DUMMYFUNCTION("""COMPUTED_VALUE"""),"Male")</f>
        <v>Male</v>
      </c>
      <c r="K113" s="242">
        <f ca="1">IFERROR(__xludf.DUMMYFUNCTION("""COMPUTED_VALUE"""),0)</f>
        <v>0</v>
      </c>
      <c r="L113" s="176"/>
    </row>
    <row r="114" spans="8:12" ht="13.2">
      <c r="H114" s="24" t="str">
        <f ca="1">IFERROR(__xludf.DUMMYFUNCTION("""COMPUTED_VALUE"""),"Ledale")</f>
        <v>Ledale</v>
      </c>
      <c r="I114" s="124">
        <f ca="1">IFERROR(__xludf.DUMMYFUNCTION("""COMPUTED_VALUE"""),40)</f>
        <v>40</v>
      </c>
      <c r="J114" t="str">
        <f ca="1">IFERROR(__xludf.DUMMYFUNCTION("""COMPUTED_VALUE"""),"Male")</f>
        <v>Male</v>
      </c>
      <c r="K114" s="242">
        <f ca="1">IFERROR(__xludf.DUMMYFUNCTION("""COMPUTED_VALUE"""),0)</f>
        <v>0</v>
      </c>
      <c r="L114" s="176"/>
    </row>
    <row r="115" spans="8:12" ht="13.2">
      <c r="H115" s="24" t="str">
        <f ca="1">IFERROR(__xludf.DUMMYFUNCTION("""COMPUTED_VALUE"""),"Hydale")</f>
        <v>Hydale</v>
      </c>
      <c r="I115" s="124">
        <f ca="1">IFERROR(__xludf.DUMMYFUNCTION("""COMPUTED_VALUE"""),32)</f>
        <v>32</v>
      </c>
      <c r="J115" t="str">
        <f ca="1">IFERROR(__xludf.DUMMYFUNCTION("""COMPUTED_VALUE"""),"Male")</f>
        <v>Male</v>
      </c>
      <c r="K115" s="242">
        <f ca="1">IFERROR(__xludf.DUMMYFUNCTION("""COMPUTED_VALUE"""),0)</f>
        <v>0</v>
      </c>
      <c r="L115" s="176"/>
    </row>
    <row r="116" spans="8:12" ht="13.2">
      <c r="H116" s="24" t="str">
        <f ca="1">IFERROR(__xludf.DUMMYFUNCTION("""COMPUTED_VALUE"""),"Airis")</f>
        <v>Airis</v>
      </c>
      <c r="I116" s="124">
        <f ca="1">IFERROR(__xludf.DUMMYFUNCTION("""COMPUTED_VALUE"""),151.875)</f>
        <v>151.875</v>
      </c>
      <c r="J116" t="str">
        <f ca="1">IFERROR(__xludf.DUMMYFUNCTION("""COMPUTED_VALUE"""),"Female")</f>
        <v>Female</v>
      </c>
      <c r="K116" s="242">
        <f ca="1">IFERROR(__xludf.DUMMYFUNCTION("""COMPUTED_VALUE"""),0)</f>
        <v>0</v>
      </c>
      <c r="L116" s="176"/>
    </row>
    <row r="117" spans="8:12" ht="13.2">
      <c r="H117" s="24" t="str">
        <f ca="1">IFERROR(__xludf.DUMMYFUNCTION("""COMPUTED_VALUE"""),"Nythil")</f>
        <v>Nythil</v>
      </c>
      <c r="I117" s="124">
        <f ca="1">IFERROR(__xludf.DUMMYFUNCTION("""COMPUTED_VALUE"""),112.5)</f>
        <v>112.5</v>
      </c>
      <c r="J117" t="str">
        <f ca="1">IFERROR(__xludf.DUMMYFUNCTION("""COMPUTED_VALUE"""),"Male")</f>
        <v>Male</v>
      </c>
      <c r="K117" s="242">
        <f ca="1">IFERROR(__xludf.DUMMYFUNCTION("""COMPUTED_VALUE"""),0)</f>
        <v>0</v>
      </c>
      <c r="L117" s="176"/>
    </row>
    <row r="118" spans="8:12" ht="13.2">
      <c r="H118" s="24" t="str">
        <f ca="1">IFERROR(__xludf.DUMMYFUNCTION("""COMPUTED_VALUE"""),"Liphanes")</f>
        <v>Liphanes</v>
      </c>
      <c r="I118" s="124">
        <f ca="1">IFERROR(__xludf.DUMMYFUNCTION("""COMPUTED_VALUE"""),40)</f>
        <v>40</v>
      </c>
      <c r="J118" t="str">
        <f ca="1">IFERROR(__xludf.DUMMYFUNCTION("""COMPUTED_VALUE"""),"Male")</f>
        <v>Male</v>
      </c>
      <c r="K118" s="242">
        <f ca="1">IFERROR(__xludf.DUMMYFUNCTION("""COMPUTED_VALUE"""),0)</f>
        <v>0</v>
      </c>
      <c r="L118" s="176"/>
    </row>
    <row r="119" spans="8:12" ht="13.2">
      <c r="H119" s="24" t="str">
        <f ca="1">IFERROR(__xludf.DUMMYFUNCTION("""COMPUTED_VALUE"""),"Tespar")</f>
        <v>Tespar</v>
      </c>
      <c r="I119" s="124">
        <f ca="1">IFERROR(__xludf.DUMMYFUNCTION("""COMPUTED_VALUE"""),118.124999999999)</f>
        <v>118.12499999999901</v>
      </c>
      <c r="J119" t="str">
        <f ca="1">IFERROR(__xludf.DUMMYFUNCTION("""COMPUTED_VALUE"""),"Male")</f>
        <v>Male</v>
      </c>
      <c r="K119" s="242">
        <f ca="1">IFERROR(__xludf.DUMMYFUNCTION("""COMPUTED_VALUE"""),0)</f>
        <v>0</v>
      </c>
      <c r="L119" s="176"/>
    </row>
    <row r="120" spans="8:12" ht="13.2">
      <c r="H120" s="24" t="str">
        <f ca="1">IFERROR(__xludf.DUMMYFUNCTION("""COMPUTED_VALUE"""),"Folmard")</f>
        <v>Folmard</v>
      </c>
      <c r="I120" s="124">
        <f ca="1">IFERROR(__xludf.DUMMYFUNCTION("""COMPUTED_VALUE"""),24)</f>
        <v>24</v>
      </c>
      <c r="J120" t="str">
        <f ca="1">IFERROR(__xludf.DUMMYFUNCTION("""COMPUTED_VALUE"""),"Male")</f>
        <v>Male</v>
      </c>
      <c r="K120" s="242">
        <f ca="1">IFERROR(__xludf.DUMMYFUNCTION("""COMPUTED_VALUE"""),0)</f>
        <v>0</v>
      </c>
      <c r="L120" s="176"/>
    </row>
    <row r="121" spans="8:12" ht="13.2">
      <c r="H121" s="24" t="str">
        <f ca="1">IFERROR(__xludf.DUMMYFUNCTION("""COMPUTED_VALUE"""),"Tithan")</f>
        <v>Tithan</v>
      </c>
      <c r="I121" s="124">
        <f ca="1">IFERROR(__xludf.DUMMYFUNCTION("""COMPUTED_VALUE"""),118.124999999999)</f>
        <v>118.12499999999901</v>
      </c>
      <c r="J121" t="str">
        <f ca="1">IFERROR(__xludf.DUMMYFUNCTION("""COMPUTED_VALUE"""),"Male")</f>
        <v>Male</v>
      </c>
      <c r="K121" s="242">
        <f ca="1">IFERROR(__xludf.DUMMYFUNCTION("""COMPUTED_VALUE"""),0)</f>
        <v>0</v>
      </c>
      <c r="L121" s="176"/>
    </row>
    <row r="122" spans="8:12" ht="13.2">
      <c r="H122" s="24" t="str">
        <f ca="1">IFERROR(__xludf.DUMMYFUNCTION("""COMPUTED_VALUE"""),"Ohethlic")</f>
        <v>Ohethlic</v>
      </c>
      <c r="I122" s="124">
        <f ca="1">IFERROR(__xludf.DUMMYFUNCTION("""COMPUTED_VALUE"""),112.5)</f>
        <v>112.5</v>
      </c>
      <c r="J122" t="str">
        <f ca="1">IFERROR(__xludf.DUMMYFUNCTION("""COMPUTED_VALUE"""),"Male")</f>
        <v>Male</v>
      </c>
      <c r="K122" s="242">
        <f ca="1">IFERROR(__xludf.DUMMYFUNCTION("""COMPUTED_VALUE"""),0)</f>
        <v>0</v>
      </c>
      <c r="L122" s="176"/>
    </row>
    <row r="123" spans="8:12" ht="13.2">
      <c r="H123" s="24" t="str">
        <f ca="1">IFERROR(__xludf.DUMMYFUNCTION("""COMPUTED_VALUE"""),"Jex")</f>
        <v>Jex</v>
      </c>
      <c r="I123" s="124">
        <f ca="1">IFERROR(__xludf.DUMMYFUNCTION("""COMPUTED_VALUE"""),32)</f>
        <v>32</v>
      </c>
      <c r="J123" t="str">
        <f ca="1">IFERROR(__xludf.DUMMYFUNCTION("""COMPUTED_VALUE"""),"Male")</f>
        <v>Male</v>
      </c>
      <c r="K123" s="242">
        <f ca="1">IFERROR(__xludf.DUMMYFUNCTION("""COMPUTED_VALUE"""),0)</f>
        <v>0</v>
      </c>
      <c r="L123" s="176"/>
    </row>
    <row r="124" spans="8:12" ht="13.2">
      <c r="H124" s="24" t="str">
        <f ca="1">IFERROR(__xludf.DUMMYFUNCTION("""COMPUTED_VALUE"""),"Badeek")</f>
        <v>Badeek</v>
      </c>
      <c r="I124" s="124">
        <f ca="1">IFERROR(__xludf.DUMMYFUNCTION("""COMPUTED_VALUE"""),151.875)</f>
        <v>151.875</v>
      </c>
      <c r="J124" t="str">
        <f ca="1">IFERROR(__xludf.DUMMYFUNCTION("""COMPUTED_VALUE"""),"Female")</f>
        <v>Female</v>
      </c>
      <c r="K124" s="242">
        <f ca="1">IFERROR(__xludf.DUMMYFUNCTION("""COMPUTED_VALUE"""),0)</f>
        <v>0</v>
      </c>
      <c r="L124" s="176"/>
    </row>
    <row r="125" spans="8:12" ht="13.2">
      <c r="H125" s="24" t="str">
        <f ca="1">IFERROR(__xludf.DUMMYFUNCTION("""COMPUTED_VALUE"""),"Padan")</f>
        <v>Padan</v>
      </c>
      <c r="I125" s="124">
        <f ca="1">IFERROR(__xludf.DUMMYFUNCTION("""COMPUTED_VALUE"""),112.5)</f>
        <v>112.5</v>
      </c>
      <c r="J125" t="str">
        <f ca="1">IFERROR(__xludf.DUMMYFUNCTION("""COMPUTED_VALUE"""),"Male")</f>
        <v>Male</v>
      </c>
      <c r="K125" s="242">
        <f ca="1">IFERROR(__xludf.DUMMYFUNCTION("""COMPUTED_VALUE"""),0)</f>
        <v>0</v>
      </c>
      <c r="L125" s="176"/>
    </row>
    <row r="126" spans="8:12" ht="13.2">
      <c r="H126" s="24" t="str">
        <f ca="1">IFERROR(__xludf.DUMMYFUNCTION("""COMPUTED_VALUE"""),"Mes'ard")</f>
        <v>Mes'ard</v>
      </c>
      <c r="I126" s="124">
        <f ca="1">IFERROR(__xludf.DUMMYFUNCTION("""COMPUTED_VALUE"""),93.75)</f>
        <v>93.75</v>
      </c>
      <c r="J126" t="str">
        <f ca="1">IFERROR(__xludf.DUMMYFUNCTION("""COMPUTED_VALUE"""),"Male")</f>
        <v>Male</v>
      </c>
      <c r="K126" s="242">
        <f ca="1">IFERROR(__xludf.DUMMYFUNCTION("""COMPUTED_VALUE"""),0)</f>
        <v>0</v>
      </c>
      <c r="L126" s="176"/>
    </row>
    <row r="127" spans="8:12" ht="13.2">
      <c r="H127" s="24" t="str">
        <f ca="1">IFERROR(__xludf.DUMMYFUNCTION("""COMPUTED_VALUE"""),"Mythik")</f>
        <v>Mythik</v>
      </c>
      <c r="I127" s="124">
        <f ca="1">IFERROR(__xludf.DUMMYFUNCTION("""COMPUTED_VALUE"""),93.75)</f>
        <v>93.75</v>
      </c>
      <c r="J127" t="str">
        <f ca="1">IFERROR(__xludf.DUMMYFUNCTION("""COMPUTED_VALUE"""),"Male")</f>
        <v>Male</v>
      </c>
      <c r="K127" s="242">
        <f ca="1">IFERROR(__xludf.DUMMYFUNCTION("""COMPUTED_VALUE"""),-0.0276947021484374)</f>
        <v>-2.7694702148437399E-2</v>
      </c>
      <c r="L127" s="176"/>
    </row>
    <row r="128" spans="8:12" ht="13.2">
      <c r="H128" s="24" t="str">
        <f ca="1">IFERROR(__xludf.DUMMYFUNCTION("""COMPUTED_VALUE"""),"Nikpal")</f>
        <v>Nikpal</v>
      </c>
      <c r="I128" s="124">
        <f ca="1">IFERROR(__xludf.DUMMYFUNCTION("""COMPUTED_VALUE"""),93.75)</f>
        <v>93.75</v>
      </c>
      <c r="J128" t="str">
        <f ca="1">IFERROR(__xludf.DUMMYFUNCTION("""COMPUTED_VALUE"""),"Male")</f>
        <v>Male</v>
      </c>
      <c r="K128" s="242">
        <f ca="1">IFERROR(__xludf.DUMMYFUNCTION("""COMPUTED_VALUE"""),-0.0282779693603515)</f>
        <v>-2.8277969360351499E-2</v>
      </c>
      <c r="L128" s="176"/>
    </row>
    <row r="129" spans="8:12" ht="13.2">
      <c r="H129" s="24" t="str">
        <f ca="1">IFERROR(__xludf.DUMMYFUNCTION("""COMPUTED_VALUE"""),"Niro")</f>
        <v>Niro</v>
      </c>
      <c r="I129" s="124">
        <f ca="1">IFERROR(__xludf.DUMMYFUNCTION("""COMPUTED_VALUE"""),93.75)</f>
        <v>93.75</v>
      </c>
      <c r="J129" t="str">
        <f ca="1">IFERROR(__xludf.DUMMYFUNCTION("""COMPUTED_VALUE"""),"Male")</f>
        <v>Male</v>
      </c>
      <c r="K129" s="242">
        <f ca="1">IFERROR(__xludf.DUMMYFUNCTION("""COMPUTED_VALUE"""),-0.0285255432128906)</f>
        <v>-2.8525543212890601E-2</v>
      </c>
      <c r="L129" s="176"/>
    </row>
    <row r="130" spans="8:12" ht="13.2">
      <c r="H130" s="24" t="str">
        <f ca="1">IFERROR(__xludf.DUMMYFUNCTION("""COMPUTED_VALUE"""),"Omarn")</f>
        <v>Omarn</v>
      </c>
      <c r="I130" s="124">
        <f ca="1">IFERROR(__xludf.DUMMYFUNCTION("""COMPUTED_VALUE"""),112.5)</f>
        <v>112.5</v>
      </c>
      <c r="J130" t="str">
        <f ca="1">IFERROR(__xludf.DUMMYFUNCTION("""COMPUTED_VALUE"""),"Male")</f>
        <v>Male</v>
      </c>
      <c r="K130" s="242">
        <f ca="1">IFERROR(__xludf.DUMMYFUNCTION("""COMPUTED_VALUE"""),-0.0359175109863281)</f>
        <v>-3.5917510986328102E-2</v>
      </c>
      <c r="L130" s="176"/>
    </row>
    <row r="131" spans="8:12" ht="13.2">
      <c r="H131" s="24" t="str">
        <f ca="1">IFERROR(__xludf.DUMMYFUNCTION("""COMPUTED_VALUE"""),"Pendus")</f>
        <v>Pendus</v>
      </c>
      <c r="I131" s="124">
        <f ca="1">IFERROR(__xludf.DUMMYFUNCTION("""COMPUTED_VALUE"""),112.5)</f>
        <v>112.5</v>
      </c>
      <c r="J131" t="str">
        <f ca="1">IFERROR(__xludf.DUMMYFUNCTION("""COMPUTED_VALUE"""),"Male")</f>
        <v>Male</v>
      </c>
      <c r="K131" s="242">
        <f ca="1">IFERROR(__xludf.DUMMYFUNCTION("""COMPUTED_VALUE"""),-0.0369145202636718)</f>
        <v>-3.6914520263671799E-2</v>
      </c>
      <c r="L131" s="176"/>
    </row>
    <row r="132" spans="8:12" ht="13.2">
      <c r="H132" s="24" t="str">
        <f ca="1">IFERROR(__xludf.DUMMYFUNCTION("""COMPUTED_VALUE"""),"Naphates")</f>
        <v>Naphates</v>
      </c>
      <c r="I132" s="124">
        <f ca="1">IFERROR(__xludf.DUMMYFUNCTION("""COMPUTED_VALUE"""),93.75)</f>
        <v>93.75</v>
      </c>
      <c r="J132" t="str">
        <f ca="1">IFERROR(__xludf.DUMMYFUNCTION("""COMPUTED_VALUE"""),"Male")</f>
        <v>Male</v>
      </c>
      <c r="K132" s="242">
        <f ca="1">IFERROR(__xludf.DUMMYFUNCTION("""COMPUTED_VALUE"""),-0.0560440063476562)</f>
        <v>-5.6044006347656203E-2</v>
      </c>
      <c r="L132" s="176"/>
    </row>
    <row r="133" spans="8:12" ht="13.2">
      <c r="H133" s="24" t="str">
        <f ca="1">IFERROR(__xludf.DUMMYFUNCTION("""COMPUTED_VALUE"""),"Nuthor")</f>
        <v>Nuthor</v>
      </c>
      <c r="I133" s="124">
        <f ca="1">IFERROR(__xludf.DUMMYFUNCTION("""COMPUTED_VALUE"""),112.5)</f>
        <v>112.5</v>
      </c>
      <c r="J133" t="str">
        <f ca="1">IFERROR(__xludf.DUMMYFUNCTION("""COMPUTED_VALUE"""),"Male")</f>
        <v>Male</v>
      </c>
      <c r="K133" s="242">
        <f ca="1">IFERROR(__xludf.DUMMYFUNCTION("""COMPUTED_VALUE"""),-0.069246826171875)</f>
        <v>-6.9246826171874998E-2</v>
      </c>
      <c r="L133" s="176"/>
    </row>
    <row r="134" spans="8:12" ht="13.2">
      <c r="H134" s="24" t="str">
        <f ca="1">IFERROR(__xludf.DUMMYFUNCTION("""COMPUTED_VALUE"""),"Nythil")</f>
        <v>Nythil</v>
      </c>
      <c r="I134" s="124">
        <f ca="1">IFERROR(__xludf.DUMMYFUNCTION("""COMPUTED_VALUE"""),112.5)</f>
        <v>112.5</v>
      </c>
      <c r="J134" t="str">
        <f ca="1">IFERROR(__xludf.DUMMYFUNCTION("""COMPUTED_VALUE"""),"Male")</f>
        <v>Male</v>
      </c>
      <c r="K134" s="242">
        <f ca="1">IFERROR(__xludf.DUMMYFUNCTION("""COMPUTED_VALUE"""),-0.0698611450195312)</f>
        <v>-6.9861145019531196E-2</v>
      </c>
      <c r="L134" s="176"/>
    </row>
    <row r="135" spans="8:12" ht="13.2">
      <c r="H135" s="24" t="str">
        <f ca="1">IFERROR(__xludf.DUMMYFUNCTION("""COMPUTED_VALUE"""),"Sil'forrin")</f>
        <v>Sil'forrin</v>
      </c>
      <c r="I135" s="124">
        <f ca="1">IFERROR(__xludf.DUMMYFUNCTION("""COMPUTED_VALUE"""),196.875)</f>
        <v>196.875</v>
      </c>
      <c r="J135" t="str">
        <f ca="1">IFERROR(__xludf.DUMMYFUNCTION("""COMPUTED_VALUE"""),"Male")</f>
        <v>Male</v>
      </c>
      <c r="K135" s="242">
        <f ca="1">IFERROR(__xludf.DUMMYFUNCTION("""COMPUTED_VALUE"""),-0.0778359603881835)</f>
        <v>-7.7835960388183495E-2</v>
      </c>
      <c r="L135" s="176"/>
    </row>
    <row r="136" spans="8:12" ht="13.2">
      <c r="H136" s="24" t="str">
        <f ca="1">IFERROR(__xludf.DUMMYFUNCTION("""COMPUTED_VALUE"""),"Suth")</f>
        <v>Suth</v>
      </c>
      <c r="I136" s="124">
        <f ca="1">IFERROR(__xludf.DUMMYFUNCTION("""COMPUTED_VALUE"""),118.124999999999)</f>
        <v>118.12499999999901</v>
      </c>
      <c r="J136" t="str">
        <f ca="1">IFERROR(__xludf.DUMMYFUNCTION("""COMPUTED_VALUE"""),"Male")</f>
        <v>Male</v>
      </c>
      <c r="K136" s="242">
        <f ca="1">IFERROR(__xludf.DUMMYFUNCTION("""COMPUTED_VALUE"""),-0.0795807266235351)</f>
        <v>-7.9580726623535103E-2</v>
      </c>
      <c r="L136" s="176"/>
    </row>
    <row r="137" spans="8:12" ht="13.2">
      <c r="H137" s="24" t="str">
        <f ca="1">IFERROR(__xludf.DUMMYFUNCTION("""COMPUTED_VALUE"""),"Syth")</f>
        <v>Syth</v>
      </c>
      <c r="I137" s="124">
        <f ca="1">IFERROR(__xludf.DUMMYFUNCTION("""COMPUTED_VALUE"""),118.124999999999)</f>
        <v>118.12499999999901</v>
      </c>
      <c r="J137" t="str">
        <f ca="1">IFERROR(__xludf.DUMMYFUNCTION("""COMPUTED_VALUE"""),"Male")</f>
        <v>Male</v>
      </c>
      <c r="K137" s="242">
        <f ca="1">IFERROR(__xludf.DUMMYFUNCTION("""COMPUTED_VALUE"""),-0.0801094436645507)</f>
        <v>-8.0109443664550695E-2</v>
      </c>
      <c r="L137" s="176"/>
    </row>
    <row r="138" spans="8:12" ht="13.2">
      <c r="H138" s="24" t="str">
        <f ca="1">IFERROR(__xludf.DUMMYFUNCTION("""COMPUTED_VALUE"""),"Thiltran")</f>
        <v>Thiltran</v>
      </c>
      <c r="I138" s="124">
        <f ca="1">IFERROR(__xludf.DUMMYFUNCTION("""COMPUTED_VALUE"""),118.124999999999)</f>
        <v>118.12499999999901</v>
      </c>
      <c r="J138" t="str">
        <f ca="1">IFERROR(__xludf.DUMMYFUNCTION("""COMPUTED_VALUE"""),"Male")</f>
        <v>Male</v>
      </c>
      <c r="K138" s="242">
        <f ca="1">IFERROR(__xludf.DUMMYFUNCTION("""COMPUTED_VALUE"""),-0.0818453979492187)</f>
        <v>-8.1845397949218704E-2</v>
      </c>
      <c r="L138" s="176"/>
    </row>
    <row r="139" spans="8:12" ht="13.2">
      <c r="H139" s="24" t="str">
        <f ca="1">IFERROR(__xludf.DUMMYFUNCTION("""COMPUTED_VALUE"""),"Tothale")</f>
        <v>Tothale</v>
      </c>
      <c r="I139" s="124">
        <f ca="1">IFERROR(__xludf.DUMMYFUNCTION("""COMPUTED_VALUE"""),118.124999999999)</f>
        <v>118.12499999999901</v>
      </c>
      <c r="J139" t="str">
        <f ca="1">IFERROR(__xludf.DUMMYFUNCTION("""COMPUTED_VALUE"""),"Male")</f>
        <v>Male</v>
      </c>
      <c r="K139" s="242">
        <f ca="1">IFERROR(__xludf.DUMMYFUNCTION("""COMPUTED_VALUE"""),-0.0835901641845703)</f>
        <v>-8.3590164184570298E-2</v>
      </c>
      <c r="L139" s="176"/>
    </row>
    <row r="140" spans="8:12" ht="13.2">
      <c r="H140" s="24"/>
      <c r="K140" s="242"/>
      <c r="L140" s="176"/>
    </row>
    <row r="141" spans="8:12" ht="13.2">
      <c r="H141" s="24"/>
      <c r="K141" s="242"/>
      <c r="L141" s="176"/>
    </row>
    <row r="142" spans="8:12" ht="13.2">
      <c r="H142" s="24"/>
      <c r="K142" s="242"/>
      <c r="L142" s="176"/>
    </row>
    <row r="143" spans="8:12" ht="13.2">
      <c r="H143" s="24"/>
      <c r="K143" s="242"/>
      <c r="L143" s="176"/>
    </row>
    <row r="144" spans="8:12" ht="13.2">
      <c r="H144" s="24"/>
      <c r="K144" s="242"/>
      <c r="L144" s="176"/>
    </row>
    <row r="145" spans="8:12" ht="13.2">
      <c r="H145" s="24"/>
      <c r="K145" s="242"/>
      <c r="L145" s="176"/>
    </row>
    <row r="146" spans="8:12" ht="13.2">
      <c r="H146" s="24"/>
      <c r="K146" s="242"/>
      <c r="L146" s="176"/>
    </row>
    <row r="147" spans="8:12" ht="13.2">
      <c r="H147" s="24"/>
      <c r="K147" s="242"/>
      <c r="L147" s="176"/>
    </row>
    <row r="148" spans="8:12" ht="13.2">
      <c r="H148" s="24"/>
      <c r="K148" s="242"/>
      <c r="L148" s="176"/>
    </row>
    <row r="149" spans="8:12" ht="13.2">
      <c r="H149" s="24"/>
      <c r="K149" s="242"/>
      <c r="L149" s="176"/>
    </row>
    <row r="150" spans="8:12" ht="13.2">
      <c r="H150" s="24"/>
      <c r="K150" s="242"/>
      <c r="L150" s="176"/>
    </row>
    <row r="151" spans="8:12" ht="13.2">
      <c r="H151" s="24"/>
      <c r="K151" s="242"/>
      <c r="L151" s="176"/>
    </row>
    <row r="152" spans="8:12" ht="13.2">
      <c r="H152" s="24"/>
      <c r="K152" s="242"/>
      <c r="L152" s="176"/>
    </row>
    <row r="153" spans="8:12" ht="13.2">
      <c r="H153" s="24"/>
      <c r="K153" s="242"/>
      <c r="L153" s="176"/>
    </row>
    <row r="154" spans="8:12" ht="13.2">
      <c r="H154" s="24"/>
      <c r="K154" s="242"/>
      <c r="L154" s="176"/>
    </row>
    <row r="155" spans="8:12" ht="13.2">
      <c r="H155" s="24"/>
      <c r="K155" s="242"/>
      <c r="L155" s="176"/>
    </row>
    <row r="156" spans="8:12" ht="13.2">
      <c r="H156" s="24"/>
      <c r="K156" s="242"/>
      <c r="L156" s="176"/>
    </row>
    <row r="157" spans="8:12" ht="13.2">
      <c r="H157" s="24"/>
      <c r="K157" s="242"/>
      <c r="L157" s="176"/>
    </row>
    <row r="158" spans="8:12" ht="13.2">
      <c r="H158" s="24"/>
      <c r="K158" s="242"/>
      <c r="L158" s="176"/>
    </row>
    <row r="159" spans="8:12" ht="13.2">
      <c r="H159" s="24"/>
      <c r="K159" s="242"/>
      <c r="L159" s="176"/>
    </row>
    <row r="160" spans="8:12" ht="13.2">
      <c r="H160" s="24"/>
      <c r="K160" s="242"/>
      <c r="L160" s="176"/>
    </row>
    <row r="161" spans="8:12" ht="13.2">
      <c r="H161" s="24"/>
      <c r="K161" s="242"/>
      <c r="L161" s="176"/>
    </row>
    <row r="162" spans="8:12" ht="13.2">
      <c r="H162" s="24"/>
      <c r="K162" s="242"/>
      <c r="L162" s="176"/>
    </row>
    <row r="163" spans="8:12" ht="13.2">
      <c r="H163" s="24"/>
      <c r="K163" s="242"/>
      <c r="L163" s="176"/>
    </row>
    <row r="164" spans="8:12" ht="13.2">
      <c r="H164" s="24"/>
      <c r="K164" s="242"/>
      <c r="L164" s="176"/>
    </row>
    <row r="165" spans="8:12" ht="13.2">
      <c r="H165" s="24"/>
      <c r="K165" s="242"/>
      <c r="L165" s="176"/>
    </row>
    <row r="166" spans="8:12" ht="13.2">
      <c r="H166" s="24"/>
      <c r="K166" s="242"/>
      <c r="L166" s="176"/>
    </row>
    <row r="167" spans="8:12" ht="13.2">
      <c r="H167" s="24"/>
      <c r="K167" s="242"/>
      <c r="L167" s="176"/>
    </row>
    <row r="168" spans="8:12" ht="13.2">
      <c r="H168" s="24"/>
      <c r="K168" s="242"/>
      <c r="L168" s="176"/>
    </row>
    <row r="169" spans="8:12" ht="13.2">
      <c r="H169" s="24"/>
      <c r="K169" s="242"/>
      <c r="L169" s="176"/>
    </row>
    <row r="170" spans="8:12" ht="13.2">
      <c r="H170" s="24"/>
      <c r="K170" s="242"/>
      <c r="L170" s="176"/>
    </row>
    <row r="171" spans="8:12" ht="13.2">
      <c r="H171" s="24"/>
      <c r="K171" s="242"/>
      <c r="L171" s="176"/>
    </row>
    <row r="172" spans="8:12" ht="13.2">
      <c r="H172" s="24"/>
      <c r="K172" s="242"/>
      <c r="L172" s="176"/>
    </row>
    <row r="173" spans="8:12" ht="13.2">
      <c r="H173" s="24"/>
      <c r="K173" s="242"/>
      <c r="L173" s="176"/>
    </row>
    <row r="174" spans="8:12" ht="13.2">
      <c r="H174" s="24"/>
      <c r="K174" s="242"/>
      <c r="L174" s="176"/>
    </row>
    <row r="175" spans="8:12" ht="13.2">
      <c r="H175" s="24"/>
      <c r="K175" s="242"/>
      <c r="L175" s="176"/>
    </row>
    <row r="176" spans="8:12" ht="13.2">
      <c r="H176" s="24"/>
      <c r="K176" s="242"/>
      <c r="L176" s="176"/>
    </row>
    <row r="177" spans="8:12" ht="13.2">
      <c r="H177" s="24"/>
      <c r="K177" s="242"/>
      <c r="L177" s="176"/>
    </row>
    <row r="178" spans="8:12" ht="13.2">
      <c r="H178" s="24"/>
      <c r="K178" s="242"/>
      <c r="L178" s="176"/>
    </row>
    <row r="179" spans="8:12" ht="13.2">
      <c r="H179" s="24"/>
      <c r="K179" s="242"/>
      <c r="L179" s="176"/>
    </row>
    <row r="180" spans="8:12" ht="13.2">
      <c r="H180" s="24"/>
      <c r="K180" s="242"/>
      <c r="L180" s="176"/>
    </row>
    <row r="181" spans="8:12" ht="13.2">
      <c r="H181" s="24"/>
      <c r="K181" s="242"/>
      <c r="L181" s="176"/>
    </row>
    <row r="182" spans="8:12" ht="13.2">
      <c r="H182" s="24"/>
      <c r="K182" s="242"/>
      <c r="L182" s="176"/>
    </row>
    <row r="183" spans="8:12" ht="13.2">
      <c r="H183" s="24"/>
      <c r="K183" s="242"/>
      <c r="L183" s="176"/>
    </row>
    <row r="184" spans="8:12" ht="13.2">
      <c r="H184" s="24"/>
      <c r="K184" s="242"/>
      <c r="L184" s="176"/>
    </row>
    <row r="185" spans="8:12" ht="13.2">
      <c r="H185" s="24"/>
      <c r="K185" s="242"/>
      <c r="L185" s="176"/>
    </row>
    <row r="186" spans="8:12" ht="13.2">
      <c r="H186" s="24"/>
      <c r="K186" s="242"/>
      <c r="L186" s="176"/>
    </row>
    <row r="187" spans="8:12" ht="13.2">
      <c r="H187" s="24"/>
      <c r="K187" s="242"/>
      <c r="L187" s="176"/>
    </row>
    <row r="188" spans="8:12" ht="13.2">
      <c r="H188" s="24"/>
      <c r="K188" s="242"/>
      <c r="L188" s="176"/>
    </row>
    <row r="189" spans="8:12" ht="13.2">
      <c r="H189" s="24"/>
      <c r="K189" s="242"/>
      <c r="L189" s="176"/>
    </row>
    <row r="190" spans="8:12" ht="13.2">
      <c r="H190" s="24"/>
      <c r="K190" s="242"/>
      <c r="L190" s="176"/>
    </row>
    <row r="191" spans="8:12" ht="13.2">
      <c r="H191" s="24"/>
      <c r="K191" s="242"/>
      <c r="L191" s="176"/>
    </row>
    <row r="192" spans="8:12" ht="13.2">
      <c r="H192" s="24"/>
      <c r="K192" s="242"/>
      <c r="L192" s="176"/>
    </row>
    <row r="193" spans="8:12" ht="13.2">
      <c r="H193" s="24"/>
      <c r="K193" s="242"/>
      <c r="L193" s="176"/>
    </row>
    <row r="194" spans="8:12" ht="13.2">
      <c r="H194" s="24"/>
      <c r="K194" s="242"/>
      <c r="L194" s="176"/>
    </row>
    <row r="195" spans="8:12" ht="13.2">
      <c r="H195" s="24"/>
      <c r="K195" s="242"/>
      <c r="L195" s="176"/>
    </row>
    <row r="196" spans="8:12" ht="13.2">
      <c r="H196" s="24"/>
      <c r="K196" s="242"/>
      <c r="L196" s="176"/>
    </row>
    <row r="197" spans="8:12" ht="13.2">
      <c r="H197" s="24"/>
      <c r="K197" s="242"/>
      <c r="L197" s="176"/>
    </row>
    <row r="198" spans="8:12" ht="13.2">
      <c r="H198" s="24"/>
      <c r="K198" s="242"/>
      <c r="L198" s="176"/>
    </row>
    <row r="199" spans="8:12" ht="13.2">
      <c r="H199" s="24"/>
      <c r="K199" s="242"/>
      <c r="L199" s="176"/>
    </row>
    <row r="200" spans="8:12" ht="13.2">
      <c r="H200" s="24"/>
      <c r="K200" s="242"/>
      <c r="L200" s="176"/>
    </row>
    <row r="201" spans="8:12" ht="13.2">
      <c r="H201" s="24"/>
      <c r="K201" s="242"/>
      <c r="L201" s="176"/>
    </row>
    <row r="202" spans="8:12" ht="13.2">
      <c r="H202" s="24"/>
      <c r="K202" s="242"/>
      <c r="L202" s="176"/>
    </row>
    <row r="203" spans="8:12" ht="13.2">
      <c r="H203" s="24"/>
      <c r="K203" s="242"/>
      <c r="L203" s="176"/>
    </row>
    <row r="204" spans="8:12" ht="13.2">
      <c r="H204" s="24"/>
      <c r="K204" s="242"/>
      <c r="L204" s="176"/>
    </row>
    <row r="205" spans="8:12" ht="13.2">
      <c r="H205" s="24"/>
      <c r="K205" s="242"/>
      <c r="L205" s="176"/>
    </row>
    <row r="206" spans="8:12" ht="13.2">
      <c r="H206" s="24"/>
      <c r="K206" s="242"/>
      <c r="L206" s="176"/>
    </row>
    <row r="207" spans="8:12" ht="13.2">
      <c r="H207" s="24"/>
      <c r="K207" s="242"/>
      <c r="L207" s="176"/>
    </row>
    <row r="208" spans="8:12" ht="13.2">
      <c r="H208" s="24"/>
      <c r="K208" s="242"/>
      <c r="L208" s="176"/>
    </row>
    <row r="209" spans="8:12" ht="13.2">
      <c r="H209" s="24"/>
      <c r="K209" s="242"/>
      <c r="L209" s="176"/>
    </row>
    <row r="210" spans="8:12" ht="13.2">
      <c r="H210" s="24"/>
      <c r="K210" s="242"/>
      <c r="L210" s="176"/>
    </row>
    <row r="211" spans="8:12" ht="13.2">
      <c r="H211" s="24"/>
      <c r="K211" s="242"/>
      <c r="L211" s="176"/>
    </row>
    <row r="212" spans="8:12" ht="13.2">
      <c r="H212" s="24"/>
      <c r="K212" s="242"/>
      <c r="L212" s="176"/>
    </row>
    <row r="213" spans="8:12" ht="13.2">
      <c r="H213" s="24"/>
      <c r="K213" s="242"/>
      <c r="L213" s="176"/>
    </row>
    <row r="214" spans="8:12" ht="13.2">
      <c r="H214" s="24"/>
      <c r="K214" s="242"/>
      <c r="L214" s="176"/>
    </row>
    <row r="215" spans="8:12" ht="13.2">
      <c r="H215" s="24"/>
      <c r="K215" s="242"/>
      <c r="L215" s="176"/>
    </row>
    <row r="216" spans="8:12" ht="13.2">
      <c r="H216" s="24"/>
      <c r="K216" s="242"/>
      <c r="L216" s="176"/>
    </row>
    <row r="217" spans="8:12" ht="13.2">
      <c r="H217" s="24"/>
      <c r="K217" s="242"/>
      <c r="L217" s="176"/>
    </row>
    <row r="218" spans="8:12" ht="13.2">
      <c r="H218" s="24"/>
      <c r="K218" s="242"/>
      <c r="L218" s="176"/>
    </row>
    <row r="219" spans="8:12" ht="13.2">
      <c r="H219" s="24"/>
      <c r="K219" s="242"/>
      <c r="L219" s="176"/>
    </row>
    <row r="220" spans="8:12" ht="13.2">
      <c r="H220" s="24"/>
      <c r="K220" s="242"/>
      <c r="L220" s="176"/>
    </row>
    <row r="221" spans="8:12" ht="13.2">
      <c r="H221" s="24"/>
      <c r="K221" s="242"/>
      <c r="L221" s="176"/>
    </row>
    <row r="222" spans="8:12" ht="13.2">
      <c r="H222" s="24"/>
      <c r="K222" s="242"/>
      <c r="L222" s="176"/>
    </row>
    <row r="223" spans="8:12" ht="13.2">
      <c r="H223" s="24"/>
      <c r="K223" s="242"/>
      <c r="L223" s="176"/>
    </row>
    <row r="224" spans="8:12" ht="13.2">
      <c r="H224" s="24"/>
      <c r="K224" s="242"/>
      <c r="L224" s="176"/>
    </row>
    <row r="225" spans="8:12" ht="13.2">
      <c r="H225" s="24"/>
      <c r="K225" s="242"/>
      <c r="L225" s="176"/>
    </row>
    <row r="226" spans="8:12" ht="13.2">
      <c r="H226" s="24"/>
      <c r="K226" s="242"/>
      <c r="L226" s="176"/>
    </row>
    <row r="227" spans="8:12" ht="13.2">
      <c r="H227" s="24"/>
      <c r="K227" s="242"/>
      <c r="L227" s="176"/>
    </row>
    <row r="228" spans="8:12" ht="13.2">
      <c r="H228" s="24"/>
      <c r="K228" s="242"/>
      <c r="L228" s="176"/>
    </row>
    <row r="229" spans="8:12" ht="13.2">
      <c r="H229" s="24"/>
      <c r="K229" s="242"/>
      <c r="L229" s="176"/>
    </row>
    <row r="230" spans="8:12" ht="13.2">
      <c r="H230" s="24"/>
      <c r="K230" s="242"/>
      <c r="L230" s="176"/>
    </row>
    <row r="231" spans="8:12" ht="13.2">
      <c r="H231" s="24"/>
      <c r="K231" s="242"/>
      <c r="L231" s="176"/>
    </row>
    <row r="232" spans="8:12" ht="13.2">
      <c r="H232" s="24"/>
      <c r="K232" s="242"/>
      <c r="L232" s="176"/>
    </row>
    <row r="233" spans="8:12" ht="13.2">
      <c r="H233" s="24"/>
      <c r="K233" s="242"/>
      <c r="L233" s="176"/>
    </row>
    <row r="234" spans="8:12" ht="13.2">
      <c r="H234" s="24"/>
      <c r="K234" s="242"/>
      <c r="L234" s="176"/>
    </row>
    <row r="235" spans="8:12" ht="13.2">
      <c r="H235" s="24"/>
      <c r="K235" s="242"/>
      <c r="L235" s="176"/>
    </row>
    <row r="236" spans="8:12" ht="13.2">
      <c r="H236" s="24"/>
      <c r="K236" s="242"/>
      <c r="L236" s="176"/>
    </row>
    <row r="237" spans="8:12" ht="13.2">
      <c r="H237" s="24"/>
      <c r="K237" s="242"/>
      <c r="L237" s="176"/>
    </row>
    <row r="238" spans="8:12" ht="13.2">
      <c r="H238" s="24"/>
      <c r="K238" s="242"/>
      <c r="L238" s="176"/>
    </row>
    <row r="239" spans="8:12" ht="13.2">
      <c r="H239" s="24"/>
      <c r="K239" s="242"/>
      <c r="L239" s="176"/>
    </row>
    <row r="240" spans="8:12" ht="13.2">
      <c r="H240" s="24"/>
      <c r="K240" s="242"/>
      <c r="L240" s="176"/>
    </row>
    <row r="241" spans="8:12" ht="13.2">
      <c r="H241" s="24"/>
      <c r="K241" s="242"/>
      <c r="L241" s="176"/>
    </row>
    <row r="242" spans="8:12" ht="13.2">
      <c r="H242" s="24"/>
      <c r="K242" s="242"/>
      <c r="L242" s="176"/>
    </row>
    <row r="243" spans="8:12" ht="13.2">
      <c r="H243" s="24"/>
      <c r="K243" s="242"/>
      <c r="L243" s="176"/>
    </row>
    <row r="244" spans="8:12" ht="13.2">
      <c r="H244" s="24"/>
      <c r="K244" s="242"/>
      <c r="L244" s="176"/>
    </row>
    <row r="245" spans="8:12" ht="13.2">
      <c r="H245" s="24"/>
      <c r="K245" s="242"/>
      <c r="L245" s="176"/>
    </row>
    <row r="246" spans="8:12" ht="13.2">
      <c r="H246" s="24"/>
      <c r="K246" s="242"/>
      <c r="L246" s="176"/>
    </row>
    <row r="247" spans="8:12" ht="13.2">
      <c r="H247" s="24"/>
      <c r="K247" s="242"/>
      <c r="L247" s="176"/>
    </row>
    <row r="248" spans="8:12" ht="13.2">
      <c r="H248" s="24"/>
      <c r="K248" s="242"/>
      <c r="L248" s="176"/>
    </row>
    <row r="249" spans="8:12" ht="13.2">
      <c r="H249" s="24"/>
      <c r="K249" s="242"/>
      <c r="L249" s="176"/>
    </row>
    <row r="250" spans="8:12" ht="13.2">
      <c r="H250" s="24"/>
      <c r="K250" s="242"/>
      <c r="L250" s="176"/>
    </row>
    <row r="251" spans="8:12" ht="13.2">
      <c r="H251" s="24"/>
      <c r="K251" s="242"/>
      <c r="L251" s="176"/>
    </row>
    <row r="252" spans="8:12" ht="13.2">
      <c r="H252" s="24"/>
      <c r="K252" s="242"/>
      <c r="L252" s="176"/>
    </row>
    <row r="253" spans="8:12" ht="13.2">
      <c r="H253" s="24"/>
      <c r="K253" s="242"/>
      <c r="L253" s="176"/>
    </row>
    <row r="254" spans="8:12" ht="13.2">
      <c r="H254" s="24"/>
      <c r="K254" s="242"/>
      <c r="L254" s="176"/>
    </row>
    <row r="255" spans="8:12" ht="13.2">
      <c r="H255" s="24"/>
      <c r="K255" s="242"/>
      <c r="L255" s="176"/>
    </row>
    <row r="256" spans="8:12" ht="13.2">
      <c r="H256" s="24"/>
      <c r="K256" s="242"/>
      <c r="L256" s="176"/>
    </row>
    <row r="257" spans="8:12" ht="13.2">
      <c r="H257" s="24"/>
      <c r="K257" s="242"/>
      <c r="L257" s="176"/>
    </row>
    <row r="258" spans="8:12" ht="13.2">
      <c r="H258" s="24"/>
      <c r="K258" s="242"/>
      <c r="L258" s="176"/>
    </row>
    <row r="259" spans="8:12" ht="13.2">
      <c r="H259" s="24"/>
      <c r="K259" s="242"/>
      <c r="L259" s="176"/>
    </row>
    <row r="260" spans="8:12" ht="13.2">
      <c r="H260" s="24"/>
      <c r="K260" s="242"/>
      <c r="L260" s="176"/>
    </row>
    <row r="261" spans="8:12" ht="13.2">
      <c r="H261" s="24"/>
      <c r="K261" s="242"/>
      <c r="L261" s="176"/>
    </row>
    <row r="262" spans="8:12" ht="13.2">
      <c r="H262" s="24"/>
      <c r="K262" s="242"/>
      <c r="L262" s="176"/>
    </row>
    <row r="263" spans="8:12" ht="13.2">
      <c r="H263" s="24"/>
      <c r="K263" s="242"/>
      <c r="L263" s="176"/>
    </row>
    <row r="264" spans="8:12" ht="13.2">
      <c r="H264" s="24"/>
      <c r="K264" s="242"/>
      <c r="L264" s="176"/>
    </row>
    <row r="265" spans="8:12" ht="13.2">
      <c r="H265" s="24"/>
      <c r="K265" s="242"/>
      <c r="L265" s="176"/>
    </row>
    <row r="266" spans="8:12" ht="13.2">
      <c r="H266" s="24"/>
      <c r="K266" s="242"/>
      <c r="L266" s="176"/>
    </row>
    <row r="267" spans="8:12" ht="13.2">
      <c r="H267" s="24"/>
      <c r="K267" s="242"/>
      <c r="L267" s="176"/>
    </row>
    <row r="268" spans="8:12" ht="13.2">
      <c r="H268" s="24"/>
      <c r="K268" s="242"/>
      <c r="L268" s="176"/>
    </row>
    <row r="269" spans="8:12" ht="13.2">
      <c r="H269" s="24"/>
      <c r="K269" s="242"/>
      <c r="L269" s="176"/>
    </row>
    <row r="270" spans="8:12" ht="13.2">
      <c r="H270" s="24"/>
      <c r="K270" s="242"/>
      <c r="L270" s="176"/>
    </row>
    <row r="271" spans="8:12" ht="13.2">
      <c r="H271" s="24"/>
      <c r="K271" s="242"/>
      <c r="L271" s="176"/>
    </row>
    <row r="272" spans="8:12" ht="13.2">
      <c r="H272" s="24"/>
      <c r="K272" s="242"/>
      <c r="L272" s="176"/>
    </row>
    <row r="273" spans="8:12" ht="13.2">
      <c r="H273" s="24"/>
      <c r="K273" s="242"/>
      <c r="L273" s="176"/>
    </row>
    <row r="274" spans="8:12" ht="13.2">
      <c r="H274" s="24"/>
      <c r="K274" s="242"/>
      <c r="L274" s="176"/>
    </row>
    <row r="275" spans="8:12" ht="13.2">
      <c r="H275" s="24"/>
      <c r="K275" s="242"/>
      <c r="L275" s="176"/>
    </row>
    <row r="276" spans="8:12" ht="13.2">
      <c r="H276" s="24"/>
      <c r="K276" s="242"/>
      <c r="L276" s="176"/>
    </row>
    <row r="277" spans="8:12" ht="13.2">
      <c r="H277" s="24"/>
      <c r="K277" s="242"/>
      <c r="L277" s="176"/>
    </row>
    <row r="278" spans="8:12" ht="13.2">
      <c r="H278" s="24"/>
      <c r="K278" s="242"/>
      <c r="L278" s="176"/>
    </row>
    <row r="279" spans="8:12" ht="13.2">
      <c r="H279" s="24"/>
      <c r="K279" s="242"/>
      <c r="L279" s="176"/>
    </row>
    <row r="280" spans="8:12" ht="13.2">
      <c r="H280" s="24"/>
      <c r="K280" s="242"/>
      <c r="L280" s="176"/>
    </row>
    <row r="281" spans="8:12" ht="13.2">
      <c r="H281" s="24"/>
      <c r="K281" s="242"/>
      <c r="L281" s="176"/>
    </row>
    <row r="282" spans="8:12" ht="13.2">
      <c r="H282" s="24"/>
      <c r="K282" s="242"/>
      <c r="L282" s="176"/>
    </row>
    <row r="283" spans="8:12" ht="13.2">
      <c r="H283" s="24"/>
      <c r="K283" s="242"/>
      <c r="L283" s="176"/>
    </row>
    <row r="284" spans="8:12" ht="13.2">
      <c r="H284" s="24"/>
      <c r="K284" s="242"/>
      <c r="L284" s="176"/>
    </row>
    <row r="285" spans="8:12" ht="13.2">
      <c r="H285" s="24"/>
      <c r="K285" s="242"/>
      <c r="L285" s="176"/>
    </row>
    <row r="286" spans="8:12" ht="13.2">
      <c r="H286" s="24"/>
      <c r="K286" s="242"/>
      <c r="L286" s="176"/>
    </row>
    <row r="287" spans="8:12" ht="13.2">
      <c r="H287" s="24"/>
      <c r="K287" s="242"/>
      <c r="L287" s="176"/>
    </row>
    <row r="288" spans="8:12" ht="13.2">
      <c r="H288" s="24"/>
      <c r="K288" s="242"/>
      <c r="L288" s="176"/>
    </row>
    <row r="289" spans="8:12" ht="13.2">
      <c r="H289" s="24"/>
      <c r="K289" s="242"/>
      <c r="L289" s="176"/>
    </row>
    <row r="290" spans="8:12" ht="13.2">
      <c r="H290" s="24"/>
      <c r="K290" s="242"/>
      <c r="L290" s="176"/>
    </row>
    <row r="291" spans="8:12" ht="13.2">
      <c r="H291" s="24"/>
      <c r="K291" s="242"/>
      <c r="L291" s="176"/>
    </row>
    <row r="292" spans="8:12" ht="13.2">
      <c r="H292" s="24"/>
      <c r="K292" s="242"/>
      <c r="L292" s="176"/>
    </row>
    <row r="293" spans="8:12" ht="13.2">
      <c r="H293" s="24"/>
      <c r="K293" s="242"/>
      <c r="L293" s="176"/>
    </row>
    <row r="294" spans="8:12" ht="13.2">
      <c r="H294" s="24"/>
      <c r="K294" s="242"/>
      <c r="L294" s="176"/>
    </row>
    <row r="295" spans="8:12" ht="13.2">
      <c r="H295" s="24"/>
      <c r="K295" s="242"/>
      <c r="L295" s="176"/>
    </row>
    <row r="296" spans="8:12" ht="13.2">
      <c r="H296" s="24"/>
      <c r="K296" s="242"/>
      <c r="L296" s="176"/>
    </row>
    <row r="297" spans="8:12" ht="13.2">
      <c r="H297" s="24"/>
      <c r="K297" s="242"/>
      <c r="L297" s="176"/>
    </row>
    <row r="298" spans="8:12" ht="13.2">
      <c r="H298" s="24"/>
      <c r="K298" s="242"/>
      <c r="L298" s="176"/>
    </row>
    <row r="299" spans="8:12" ht="13.2">
      <c r="H299" s="24"/>
      <c r="K299" s="242"/>
      <c r="L299" s="176"/>
    </row>
    <row r="300" spans="8:12" ht="13.2">
      <c r="H300" s="24"/>
      <c r="K300" s="242"/>
      <c r="L300" s="176"/>
    </row>
    <row r="301" spans="8:12" ht="13.2">
      <c r="H301" s="24"/>
      <c r="K301" s="242"/>
      <c r="L301" s="176"/>
    </row>
    <row r="302" spans="8:12" ht="13.2">
      <c r="H302" s="24"/>
      <c r="K302" s="242"/>
      <c r="L302" s="176"/>
    </row>
    <row r="303" spans="8:12" ht="13.2">
      <c r="H303" s="24"/>
      <c r="K303" s="242"/>
      <c r="L303" s="176"/>
    </row>
    <row r="304" spans="8:12" ht="13.2">
      <c r="H304" s="24"/>
      <c r="K304" s="242"/>
      <c r="L304" s="176"/>
    </row>
    <row r="305" spans="8:12" ht="13.2">
      <c r="H305" s="24"/>
      <c r="K305" s="242"/>
      <c r="L305" s="176"/>
    </row>
    <row r="306" spans="8:12" ht="13.2">
      <c r="H306" s="24"/>
      <c r="K306" s="242"/>
      <c r="L306" s="176"/>
    </row>
    <row r="307" spans="8:12" ht="13.2">
      <c r="H307" s="24"/>
      <c r="K307" s="242"/>
      <c r="L307" s="176"/>
    </row>
    <row r="308" spans="8:12" ht="13.2">
      <c r="H308" s="24"/>
      <c r="K308" s="242"/>
      <c r="L308" s="176"/>
    </row>
    <row r="309" spans="8:12" ht="13.2">
      <c r="H309" s="24"/>
      <c r="K309" s="242"/>
      <c r="L309" s="176"/>
    </row>
    <row r="310" spans="8:12" ht="13.2">
      <c r="H310" s="24"/>
      <c r="K310" s="242"/>
      <c r="L310" s="176"/>
    </row>
    <row r="311" spans="8:12" ht="13.2">
      <c r="H311" s="24"/>
      <c r="K311" s="242"/>
      <c r="L311" s="176"/>
    </row>
    <row r="312" spans="8:12" ht="13.2">
      <c r="H312" s="24"/>
      <c r="K312" s="242"/>
      <c r="L312" s="176"/>
    </row>
    <row r="313" spans="8:12" ht="13.2">
      <c r="H313" s="24"/>
      <c r="K313" s="242"/>
      <c r="L313" s="176"/>
    </row>
    <row r="314" spans="8:12" ht="13.2">
      <c r="H314" s="24"/>
      <c r="K314" s="242"/>
      <c r="L314" s="176"/>
    </row>
    <row r="315" spans="8:12" ht="13.2">
      <c r="H315" s="24"/>
      <c r="K315" s="242"/>
      <c r="L315" s="176"/>
    </row>
    <row r="316" spans="8:12" ht="13.2">
      <c r="H316" s="24"/>
      <c r="K316" s="242"/>
      <c r="L316" s="176"/>
    </row>
    <row r="317" spans="8:12" ht="13.2">
      <c r="H317" s="24"/>
      <c r="K317" s="242"/>
      <c r="L317" s="176"/>
    </row>
    <row r="318" spans="8:12" ht="13.2">
      <c r="H318" s="24"/>
      <c r="K318" s="242"/>
      <c r="L318" s="176"/>
    </row>
    <row r="319" spans="8:12" ht="13.2">
      <c r="H319" s="24"/>
      <c r="K319" s="242"/>
      <c r="L319" s="176"/>
    </row>
    <row r="320" spans="8:12" ht="13.2">
      <c r="H320" s="24"/>
      <c r="K320" s="242"/>
      <c r="L320" s="176"/>
    </row>
    <row r="321" spans="8:12" ht="13.2">
      <c r="H321" s="24"/>
      <c r="K321" s="242"/>
      <c r="L321" s="176"/>
    </row>
    <row r="322" spans="8:12" ht="13.2">
      <c r="H322" s="24"/>
      <c r="K322" s="242"/>
      <c r="L322" s="176"/>
    </row>
    <row r="323" spans="8:12" ht="13.2">
      <c r="H323" s="24"/>
      <c r="K323" s="242"/>
      <c r="L323" s="176"/>
    </row>
    <row r="324" spans="8:12" ht="13.2">
      <c r="H324" s="24"/>
      <c r="K324" s="242"/>
      <c r="L324" s="176"/>
    </row>
    <row r="325" spans="8:12" ht="13.2">
      <c r="H325" s="24"/>
      <c r="K325" s="242"/>
      <c r="L325" s="176"/>
    </row>
    <row r="326" spans="8:12" ht="13.2">
      <c r="H326" s="24"/>
      <c r="K326" s="242"/>
      <c r="L326" s="176"/>
    </row>
    <row r="327" spans="8:12" ht="13.2">
      <c r="H327" s="24"/>
      <c r="K327" s="242"/>
      <c r="L327" s="176"/>
    </row>
    <row r="328" spans="8:12" ht="13.2">
      <c r="H328" s="24"/>
      <c r="K328" s="242"/>
      <c r="L328" s="176"/>
    </row>
    <row r="329" spans="8:12" ht="13.2">
      <c r="H329" s="24"/>
      <c r="K329" s="242"/>
      <c r="L329" s="176"/>
    </row>
    <row r="330" spans="8:12" ht="13.2">
      <c r="H330" s="24"/>
      <c r="K330" s="242"/>
      <c r="L330" s="176"/>
    </row>
    <row r="331" spans="8:12" ht="13.2">
      <c r="H331" s="24"/>
      <c r="K331" s="242"/>
      <c r="L331" s="176"/>
    </row>
    <row r="332" spans="8:12" ht="13.2">
      <c r="H332" s="24"/>
      <c r="K332" s="242"/>
      <c r="L332" s="176"/>
    </row>
    <row r="333" spans="8:12" ht="13.2">
      <c r="H333" s="24"/>
      <c r="K333" s="242"/>
      <c r="L333" s="176"/>
    </row>
    <row r="334" spans="8:12" ht="13.2">
      <c r="H334" s="24"/>
      <c r="K334" s="242"/>
      <c r="L334" s="176"/>
    </row>
    <row r="335" spans="8:12" ht="13.2">
      <c r="H335" s="24"/>
      <c r="K335" s="242"/>
      <c r="L335" s="176"/>
    </row>
    <row r="336" spans="8:12" ht="13.2">
      <c r="H336" s="24"/>
      <c r="K336" s="242"/>
      <c r="L336" s="176"/>
    </row>
    <row r="337" spans="8:12" ht="13.2">
      <c r="H337" s="24"/>
      <c r="K337" s="242"/>
      <c r="L337" s="176"/>
    </row>
    <row r="338" spans="8:12" ht="13.2">
      <c r="H338" s="24"/>
      <c r="K338" s="242"/>
      <c r="L338" s="176"/>
    </row>
    <row r="339" spans="8:12" ht="13.2">
      <c r="H339" s="24"/>
      <c r="K339" s="242"/>
      <c r="L339" s="176"/>
    </row>
    <row r="340" spans="8:12" ht="13.2">
      <c r="H340" s="24"/>
      <c r="K340" s="242"/>
      <c r="L340" s="176"/>
    </row>
    <row r="341" spans="8:12" ht="13.2">
      <c r="H341" s="24"/>
      <c r="K341" s="242"/>
      <c r="L341" s="176"/>
    </row>
    <row r="342" spans="8:12" ht="13.2">
      <c r="H342" s="24"/>
      <c r="K342" s="242"/>
      <c r="L342" s="176"/>
    </row>
    <row r="343" spans="8:12" ht="13.2">
      <c r="H343" s="24"/>
      <c r="K343" s="242"/>
      <c r="L343" s="176"/>
    </row>
    <row r="344" spans="8:12" ht="13.2">
      <c r="H344" s="24"/>
      <c r="K344" s="242"/>
      <c r="L344" s="176"/>
    </row>
    <row r="345" spans="8:12" ht="13.2">
      <c r="H345" s="24"/>
      <c r="K345" s="242"/>
      <c r="L345" s="176"/>
    </row>
    <row r="346" spans="8:12" ht="13.2">
      <c r="H346" s="24"/>
      <c r="K346" s="242"/>
      <c r="L346" s="176"/>
    </row>
    <row r="347" spans="8:12" ht="13.2">
      <c r="H347" s="24"/>
      <c r="K347" s="242"/>
      <c r="L347" s="176"/>
    </row>
    <row r="348" spans="8:12" ht="13.2">
      <c r="H348" s="24"/>
      <c r="K348" s="242"/>
      <c r="L348" s="176"/>
    </row>
    <row r="349" spans="8:12" ht="13.2">
      <c r="H349" s="24"/>
      <c r="K349" s="242"/>
      <c r="L349" s="176"/>
    </row>
    <row r="350" spans="8:12" ht="13.2">
      <c r="H350" s="24"/>
      <c r="K350" s="242"/>
      <c r="L350" s="176"/>
    </row>
    <row r="351" spans="8:12" ht="13.2">
      <c r="H351" s="24"/>
      <c r="K351" s="242"/>
      <c r="L351" s="176"/>
    </row>
    <row r="352" spans="8:12" ht="13.2">
      <c r="H352" s="24"/>
      <c r="K352" s="242"/>
      <c r="L352" s="176"/>
    </row>
    <row r="353" spans="8:12" ht="13.2">
      <c r="H353" s="24"/>
      <c r="K353" s="242"/>
      <c r="L353" s="176"/>
    </row>
    <row r="354" spans="8:12" ht="13.2">
      <c r="H354" s="24"/>
      <c r="K354" s="242"/>
      <c r="L354" s="176"/>
    </row>
    <row r="355" spans="8:12" ht="13.2">
      <c r="H355" s="24"/>
      <c r="K355" s="242"/>
      <c r="L355" s="176"/>
    </row>
    <row r="356" spans="8:12" ht="13.2">
      <c r="H356" s="24"/>
      <c r="K356" s="242"/>
      <c r="L356" s="176"/>
    </row>
    <row r="357" spans="8:12" ht="13.2">
      <c r="H357" s="24"/>
      <c r="K357" s="242"/>
      <c r="L357" s="176"/>
    </row>
    <row r="358" spans="8:12" ht="13.2">
      <c r="H358" s="24"/>
      <c r="K358" s="242"/>
      <c r="L358" s="176"/>
    </row>
    <row r="359" spans="8:12" ht="13.2">
      <c r="H359" s="24"/>
      <c r="K359" s="242"/>
      <c r="L359" s="176"/>
    </row>
    <row r="360" spans="8:12" ht="13.2">
      <c r="H360" s="24"/>
      <c r="K360" s="242"/>
      <c r="L360" s="176"/>
    </row>
    <row r="361" spans="8:12" ht="13.2">
      <c r="H361" s="24"/>
      <c r="K361" s="242"/>
      <c r="L361" s="176"/>
    </row>
    <row r="362" spans="8:12" ht="13.2">
      <c r="H362" s="24"/>
      <c r="K362" s="242"/>
      <c r="L362" s="176"/>
    </row>
    <row r="363" spans="8:12" ht="13.2">
      <c r="H363" s="24"/>
      <c r="K363" s="242"/>
      <c r="L363" s="176"/>
    </row>
    <row r="364" spans="8:12" ht="13.2">
      <c r="H364" s="24"/>
      <c r="K364" s="242"/>
      <c r="L364" s="176"/>
    </row>
    <row r="365" spans="8:12" ht="13.2">
      <c r="H365" s="24"/>
      <c r="K365" s="242"/>
      <c r="L365" s="176"/>
    </row>
    <row r="366" spans="8:12" ht="13.2">
      <c r="H366" s="24"/>
      <c r="K366" s="242"/>
      <c r="L366" s="176"/>
    </row>
    <row r="367" spans="8:12" ht="13.2">
      <c r="H367" s="24"/>
      <c r="K367" s="242"/>
      <c r="L367" s="176"/>
    </row>
    <row r="368" spans="8:12" ht="13.2">
      <c r="H368" s="24"/>
      <c r="K368" s="242"/>
      <c r="L368" s="176"/>
    </row>
    <row r="369" spans="8:12" ht="13.2">
      <c r="H369" s="24"/>
      <c r="K369" s="242"/>
      <c r="L369" s="176"/>
    </row>
    <row r="370" spans="8:12" ht="13.2">
      <c r="H370" s="24"/>
      <c r="K370" s="242"/>
      <c r="L370" s="176"/>
    </row>
    <row r="371" spans="8:12" ht="13.2">
      <c r="H371" s="24"/>
      <c r="K371" s="242"/>
      <c r="L371" s="176"/>
    </row>
    <row r="372" spans="8:12" ht="13.2">
      <c r="H372" s="24"/>
      <c r="K372" s="242"/>
      <c r="L372" s="176"/>
    </row>
    <row r="373" spans="8:12" ht="13.2">
      <c r="H373" s="24"/>
      <c r="K373" s="242"/>
      <c r="L373" s="176"/>
    </row>
    <row r="374" spans="8:12" ht="13.2">
      <c r="H374" s="24"/>
      <c r="K374" s="242"/>
      <c r="L374" s="176"/>
    </row>
    <row r="375" spans="8:12" ht="13.2">
      <c r="H375" s="24"/>
      <c r="K375" s="242"/>
      <c r="L375" s="176"/>
    </row>
    <row r="376" spans="8:12" ht="13.2">
      <c r="H376" s="24"/>
      <c r="K376" s="242"/>
      <c r="L376" s="176"/>
    </row>
    <row r="377" spans="8:12" ht="13.2">
      <c r="H377" s="24"/>
      <c r="K377" s="242"/>
      <c r="L377" s="176"/>
    </row>
    <row r="378" spans="8:12" ht="13.2">
      <c r="H378" s="24"/>
      <c r="K378" s="242"/>
      <c r="L378" s="176"/>
    </row>
    <row r="379" spans="8:12" ht="13.2">
      <c r="H379" s="24"/>
      <c r="K379" s="242"/>
      <c r="L379" s="176"/>
    </row>
    <row r="380" spans="8:12" ht="13.2">
      <c r="H380" s="24"/>
      <c r="K380" s="242"/>
      <c r="L380" s="176"/>
    </row>
    <row r="381" spans="8:12" ht="13.2">
      <c r="H381" s="24"/>
      <c r="K381" s="242"/>
      <c r="L381" s="176"/>
    </row>
    <row r="382" spans="8:12" ht="13.2">
      <c r="H382" s="24"/>
      <c r="K382" s="242"/>
      <c r="L382" s="176"/>
    </row>
    <row r="383" spans="8:12" ht="13.2">
      <c r="H383" s="24"/>
      <c r="K383" s="242"/>
      <c r="L383" s="176"/>
    </row>
    <row r="384" spans="8:12" ht="13.2">
      <c r="H384" s="24"/>
      <c r="K384" s="242"/>
      <c r="L384" s="176"/>
    </row>
    <row r="385" spans="8:12" ht="13.2">
      <c r="H385" s="24"/>
      <c r="K385" s="242"/>
      <c r="L385" s="176"/>
    </row>
    <row r="386" spans="8:12" ht="13.2">
      <c r="H386" s="24"/>
      <c r="K386" s="242"/>
      <c r="L386" s="176"/>
    </row>
    <row r="387" spans="8:12" ht="13.2">
      <c r="H387" s="24"/>
      <c r="K387" s="242"/>
      <c r="L387" s="176"/>
    </row>
    <row r="388" spans="8:12" ht="13.2">
      <c r="H388" s="24"/>
      <c r="K388" s="242"/>
      <c r="L388" s="176"/>
    </row>
    <row r="389" spans="8:12" ht="13.2">
      <c r="H389" s="24"/>
      <c r="K389" s="242"/>
      <c r="L389" s="176"/>
    </row>
    <row r="390" spans="8:12" ht="13.2">
      <c r="H390" s="24"/>
      <c r="K390" s="242"/>
      <c r="L390" s="176"/>
    </row>
    <row r="391" spans="8:12" ht="13.2">
      <c r="H391" s="24"/>
      <c r="K391" s="242"/>
      <c r="L391" s="176"/>
    </row>
    <row r="392" spans="8:12" ht="13.2">
      <c r="H392" s="24"/>
      <c r="K392" s="242"/>
      <c r="L392" s="176"/>
    </row>
    <row r="393" spans="8:12" ht="13.2">
      <c r="H393" s="24"/>
      <c r="K393" s="242"/>
      <c r="L393" s="176"/>
    </row>
    <row r="394" spans="8:12" ht="13.2">
      <c r="H394" s="24"/>
      <c r="K394" s="242"/>
      <c r="L394" s="176"/>
    </row>
    <row r="395" spans="8:12" ht="13.2">
      <c r="H395" s="24"/>
      <c r="K395" s="242"/>
      <c r="L395" s="176"/>
    </row>
    <row r="396" spans="8:12" ht="13.2">
      <c r="H396" s="24"/>
      <c r="K396" s="242"/>
      <c r="L396" s="176"/>
    </row>
    <row r="397" spans="8:12" ht="13.2">
      <c r="H397" s="24"/>
      <c r="K397" s="242"/>
      <c r="L397" s="176"/>
    </row>
    <row r="398" spans="8:12" ht="13.2">
      <c r="H398" s="24"/>
      <c r="K398" s="242"/>
      <c r="L398" s="176"/>
    </row>
    <row r="399" spans="8:12" ht="13.2">
      <c r="H399" s="24"/>
      <c r="K399" s="242"/>
      <c r="L399" s="176"/>
    </row>
    <row r="400" spans="8:12" ht="13.2">
      <c r="H400" s="24"/>
      <c r="K400" s="242"/>
      <c r="L400" s="176"/>
    </row>
    <row r="401" spans="8:12" ht="13.2">
      <c r="H401" s="24"/>
      <c r="K401" s="242"/>
      <c r="L401" s="176"/>
    </row>
    <row r="402" spans="8:12" ht="13.2">
      <c r="H402" s="24"/>
      <c r="K402" s="242"/>
      <c r="L402" s="176"/>
    </row>
    <row r="403" spans="8:12" ht="13.2">
      <c r="H403" s="24"/>
      <c r="K403" s="242"/>
      <c r="L403" s="176"/>
    </row>
    <row r="404" spans="8:12" ht="13.2">
      <c r="H404" s="24"/>
      <c r="K404" s="242"/>
      <c r="L404" s="176"/>
    </row>
    <row r="405" spans="8:12" ht="13.2">
      <c r="H405" s="24"/>
      <c r="K405" s="242"/>
      <c r="L405" s="176"/>
    </row>
    <row r="406" spans="8:12" ht="13.2">
      <c r="H406" s="24"/>
      <c r="K406" s="242"/>
      <c r="L406" s="176"/>
    </row>
    <row r="407" spans="8:12" ht="13.2">
      <c r="H407" s="24"/>
      <c r="K407" s="242"/>
      <c r="L407" s="176"/>
    </row>
    <row r="408" spans="8:12" ht="13.2">
      <c r="H408" s="24"/>
      <c r="K408" s="242"/>
      <c r="L408" s="176"/>
    </row>
    <row r="409" spans="8:12" ht="13.2">
      <c r="H409" s="24"/>
      <c r="K409" s="242"/>
      <c r="L409" s="176"/>
    </row>
    <row r="410" spans="8:12" ht="13.2">
      <c r="H410" s="24"/>
      <c r="K410" s="242"/>
      <c r="L410" s="176"/>
    </row>
    <row r="411" spans="8:12" ht="13.2">
      <c r="H411" s="24"/>
      <c r="K411" s="242"/>
      <c r="L411" s="176"/>
    </row>
    <row r="412" spans="8:12" ht="13.2">
      <c r="H412" s="24"/>
      <c r="K412" s="242"/>
      <c r="L412" s="176"/>
    </row>
    <row r="413" spans="8:12" ht="13.2">
      <c r="H413" s="24"/>
      <c r="K413" s="242"/>
      <c r="L413" s="176"/>
    </row>
    <row r="414" spans="8:12" ht="13.2">
      <c r="H414" s="24"/>
      <c r="K414" s="242"/>
      <c r="L414" s="176"/>
    </row>
    <row r="415" spans="8:12" ht="13.2">
      <c r="H415" s="24"/>
      <c r="K415" s="242"/>
      <c r="L415" s="176"/>
    </row>
    <row r="416" spans="8:12" ht="13.2">
      <c r="H416" s="24"/>
      <c r="K416" s="242"/>
      <c r="L416" s="176"/>
    </row>
    <row r="417" spans="8:12" ht="13.2">
      <c r="H417" s="24"/>
      <c r="K417" s="242"/>
      <c r="L417" s="176"/>
    </row>
    <row r="418" spans="8:12" ht="13.2">
      <c r="H418" s="24"/>
      <c r="K418" s="242"/>
      <c r="L418" s="176"/>
    </row>
    <row r="419" spans="8:12" ht="13.2">
      <c r="H419" s="24"/>
      <c r="K419" s="242"/>
      <c r="L419" s="176"/>
    </row>
    <row r="420" spans="8:12" ht="13.2">
      <c r="H420" s="24"/>
      <c r="K420" s="242"/>
      <c r="L420" s="176"/>
    </row>
    <row r="421" spans="8:12" ht="13.2">
      <c r="H421" s="24"/>
      <c r="K421" s="242"/>
      <c r="L421" s="176"/>
    </row>
    <row r="422" spans="8:12" ht="13.2">
      <c r="H422" s="24"/>
      <c r="K422" s="242"/>
      <c r="L422" s="176"/>
    </row>
    <row r="423" spans="8:12" ht="13.2">
      <c r="H423" s="24"/>
      <c r="K423" s="242"/>
      <c r="L423" s="176"/>
    </row>
    <row r="424" spans="8:12" ht="13.2">
      <c r="H424" s="24"/>
      <c r="K424" s="242"/>
      <c r="L424" s="176"/>
    </row>
    <row r="425" spans="8:12" ht="13.2">
      <c r="H425" s="24"/>
      <c r="K425" s="242"/>
      <c r="L425" s="176"/>
    </row>
    <row r="426" spans="8:12" ht="13.2">
      <c r="H426" s="24"/>
      <c r="K426" s="242"/>
      <c r="L426" s="176"/>
    </row>
    <row r="427" spans="8:12" ht="13.2">
      <c r="H427" s="24"/>
      <c r="K427" s="242"/>
      <c r="L427" s="176"/>
    </row>
    <row r="428" spans="8:12" ht="13.2">
      <c r="H428" s="24"/>
      <c r="K428" s="242"/>
      <c r="L428" s="176"/>
    </row>
    <row r="429" spans="8:12" ht="13.2">
      <c r="H429" s="24"/>
      <c r="K429" s="242"/>
      <c r="L429" s="176"/>
    </row>
    <row r="430" spans="8:12" ht="13.2">
      <c r="H430" s="24"/>
      <c r="K430" s="242"/>
      <c r="L430" s="176"/>
    </row>
    <row r="431" spans="8:12" ht="13.2">
      <c r="H431" s="24"/>
      <c r="K431" s="242"/>
      <c r="L431" s="176"/>
    </row>
    <row r="432" spans="8:12" ht="13.2">
      <c r="H432" s="24"/>
      <c r="K432" s="242"/>
      <c r="L432" s="176"/>
    </row>
    <row r="433" spans="8:12" ht="13.2">
      <c r="H433" s="24"/>
      <c r="K433" s="242"/>
      <c r="L433" s="176"/>
    </row>
    <row r="434" spans="8:12" ht="13.2">
      <c r="H434" s="24"/>
      <c r="K434" s="242"/>
      <c r="L434" s="176"/>
    </row>
    <row r="435" spans="8:12" ht="13.2">
      <c r="H435" s="24"/>
      <c r="K435" s="242"/>
      <c r="L435" s="176"/>
    </row>
    <row r="436" spans="8:12" ht="13.2">
      <c r="H436" s="24"/>
      <c r="K436" s="242"/>
      <c r="L436" s="176"/>
    </row>
    <row r="437" spans="8:12" ht="13.2">
      <c r="H437" s="24"/>
      <c r="K437" s="242"/>
      <c r="L437" s="176"/>
    </row>
    <row r="438" spans="8:12" ht="13.2">
      <c r="H438" s="24"/>
      <c r="K438" s="242"/>
      <c r="L438" s="176"/>
    </row>
    <row r="439" spans="8:12" ht="13.2">
      <c r="H439" s="24"/>
      <c r="K439" s="242"/>
      <c r="L439" s="176"/>
    </row>
    <row r="440" spans="8:12" ht="13.2">
      <c r="H440" s="24"/>
      <c r="K440" s="242"/>
      <c r="L440" s="176"/>
    </row>
    <row r="441" spans="8:12" ht="13.2">
      <c r="H441" s="24"/>
      <c r="K441" s="242"/>
      <c r="L441" s="176"/>
    </row>
    <row r="442" spans="8:12" ht="13.2">
      <c r="H442" s="24"/>
      <c r="K442" s="242"/>
      <c r="L442" s="176"/>
    </row>
    <row r="443" spans="8:12" ht="13.2">
      <c r="H443" s="24"/>
      <c r="K443" s="242"/>
      <c r="L443" s="176"/>
    </row>
    <row r="444" spans="8:12" ht="13.2">
      <c r="H444" s="24"/>
      <c r="K444" s="242"/>
      <c r="L444" s="176"/>
    </row>
    <row r="445" spans="8:12" ht="13.2">
      <c r="H445" s="24"/>
      <c r="K445" s="242"/>
      <c r="L445" s="176"/>
    </row>
    <row r="446" spans="8:12" ht="13.2">
      <c r="H446" s="24"/>
      <c r="K446" s="242"/>
      <c r="L446" s="176"/>
    </row>
    <row r="447" spans="8:12" ht="13.2">
      <c r="H447" s="24"/>
      <c r="K447" s="242"/>
      <c r="L447" s="176"/>
    </row>
    <row r="448" spans="8:12" ht="13.2">
      <c r="H448" s="24"/>
      <c r="K448" s="242"/>
      <c r="L448" s="176"/>
    </row>
    <row r="449" spans="8:12" ht="13.2">
      <c r="H449" s="24"/>
      <c r="K449" s="242"/>
      <c r="L449" s="176"/>
    </row>
    <row r="450" spans="8:12" ht="13.2">
      <c r="H450" s="24"/>
      <c r="K450" s="242"/>
      <c r="L450" s="176"/>
    </row>
    <row r="451" spans="8:12" ht="13.2">
      <c r="H451" s="24"/>
      <c r="K451" s="242"/>
      <c r="L451" s="176"/>
    </row>
    <row r="452" spans="8:12" ht="13.2">
      <c r="H452" s="24"/>
      <c r="K452" s="242"/>
      <c r="L452" s="176"/>
    </row>
    <row r="453" spans="8:12" ht="13.2">
      <c r="H453" s="24"/>
      <c r="K453" s="242"/>
      <c r="L453" s="176"/>
    </row>
    <row r="454" spans="8:12" ht="13.2">
      <c r="H454" s="24"/>
      <c r="K454" s="242"/>
      <c r="L454" s="176"/>
    </row>
    <row r="455" spans="8:12" ht="13.2">
      <c r="H455" s="24"/>
      <c r="K455" s="242"/>
      <c r="L455" s="176"/>
    </row>
    <row r="456" spans="8:12" ht="13.2">
      <c r="H456" s="24"/>
      <c r="K456" s="242"/>
      <c r="L456" s="176"/>
    </row>
    <row r="457" spans="8:12" ht="13.2">
      <c r="H457" s="24"/>
      <c r="K457" s="242"/>
      <c r="L457" s="176"/>
    </row>
    <row r="458" spans="8:12" ht="13.2">
      <c r="H458" s="24"/>
      <c r="K458" s="242"/>
      <c r="L458" s="176"/>
    </row>
    <row r="459" spans="8:12" ht="13.2">
      <c r="H459" s="24"/>
      <c r="K459" s="242"/>
      <c r="L459" s="176"/>
    </row>
    <row r="460" spans="8:12" ht="13.2">
      <c r="H460" s="24"/>
      <c r="K460" s="242"/>
      <c r="L460" s="176"/>
    </row>
    <row r="461" spans="8:12" ht="13.2">
      <c r="H461" s="24"/>
      <c r="K461" s="242"/>
      <c r="L461" s="176"/>
    </row>
    <row r="462" spans="8:12" ht="13.2">
      <c r="H462" s="24"/>
      <c r="K462" s="242"/>
      <c r="L462" s="176"/>
    </row>
    <row r="463" spans="8:12" ht="13.2">
      <c r="H463" s="24"/>
      <c r="K463" s="242"/>
      <c r="L463" s="176"/>
    </row>
    <row r="464" spans="8:12" ht="13.2">
      <c r="H464" s="24"/>
      <c r="K464" s="242"/>
      <c r="L464" s="176"/>
    </row>
    <row r="465" spans="8:12" ht="13.2">
      <c r="H465" s="24"/>
      <c r="K465" s="242"/>
      <c r="L465" s="176"/>
    </row>
    <row r="466" spans="8:12" ht="13.2">
      <c r="H466" s="24"/>
      <c r="K466" s="242"/>
      <c r="L466" s="176"/>
    </row>
    <row r="467" spans="8:12" ht="13.2">
      <c r="H467" s="24"/>
      <c r="K467" s="242"/>
      <c r="L467" s="176"/>
    </row>
    <row r="468" spans="8:12" ht="13.2">
      <c r="H468" s="24"/>
      <c r="K468" s="242"/>
      <c r="L468" s="176"/>
    </row>
    <row r="469" spans="8:12" ht="13.2">
      <c r="H469" s="24"/>
      <c r="K469" s="242"/>
      <c r="L469" s="176"/>
    </row>
    <row r="470" spans="8:12" ht="13.2">
      <c r="H470" s="24"/>
      <c r="K470" s="242"/>
      <c r="L470" s="176"/>
    </row>
    <row r="471" spans="8:12" ht="13.2">
      <c r="H471" s="24"/>
      <c r="K471" s="242"/>
      <c r="L471" s="176"/>
    </row>
    <row r="472" spans="8:12" ht="13.2">
      <c r="H472" s="24"/>
      <c r="K472" s="242"/>
      <c r="L472" s="176"/>
    </row>
    <row r="473" spans="8:12" ht="13.2">
      <c r="H473" s="24"/>
      <c r="K473" s="242"/>
      <c r="L473" s="176"/>
    </row>
    <row r="474" spans="8:12" ht="13.2">
      <c r="H474" s="24"/>
      <c r="K474" s="242"/>
      <c r="L474" s="176"/>
    </row>
    <row r="475" spans="8:12" ht="13.2">
      <c r="H475" s="24"/>
      <c r="K475" s="242"/>
      <c r="L475" s="176"/>
    </row>
    <row r="476" spans="8:12" ht="13.2">
      <c r="H476" s="24"/>
      <c r="K476" s="242"/>
      <c r="L476" s="176"/>
    </row>
    <row r="477" spans="8:12" ht="13.2">
      <c r="H477" s="24"/>
      <c r="K477" s="242"/>
      <c r="L477" s="176"/>
    </row>
    <row r="478" spans="8:12" ht="13.2">
      <c r="H478" s="24"/>
      <c r="K478" s="242"/>
      <c r="L478" s="176"/>
    </row>
    <row r="479" spans="8:12" ht="13.2">
      <c r="H479" s="24"/>
      <c r="K479" s="242"/>
      <c r="L479" s="176"/>
    </row>
    <row r="480" spans="8:12" ht="13.2">
      <c r="H480" s="24"/>
      <c r="K480" s="242"/>
      <c r="L480" s="176"/>
    </row>
    <row r="481" spans="8:12" ht="13.2">
      <c r="H481" s="24"/>
      <c r="K481" s="242"/>
      <c r="L481" s="176"/>
    </row>
    <row r="482" spans="8:12" ht="13.2">
      <c r="H482" s="24"/>
      <c r="K482" s="242"/>
      <c r="L482" s="176"/>
    </row>
    <row r="483" spans="8:12" ht="13.2">
      <c r="H483" s="24"/>
      <c r="K483" s="242"/>
      <c r="L483" s="176"/>
    </row>
    <row r="484" spans="8:12" ht="13.2">
      <c r="H484" s="24"/>
      <c r="K484" s="242"/>
      <c r="L484" s="176"/>
    </row>
    <row r="485" spans="8:12" ht="13.2">
      <c r="H485" s="24"/>
      <c r="K485" s="242"/>
      <c r="L485" s="176"/>
    </row>
    <row r="486" spans="8:12" ht="13.2">
      <c r="H486" s="24"/>
      <c r="K486" s="242"/>
      <c r="L486" s="176"/>
    </row>
    <row r="487" spans="8:12" ht="13.2">
      <c r="H487" s="24"/>
      <c r="K487" s="242"/>
      <c r="L487" s="176"/>
    </row>
    <row r="488" spans="8:12" ht="13.2">
      <c r="H488" s="24"/>
      <c r="K488" s="242"/>
      <c r="L488" s="176"/>
    </row>
    <row r="489" spans="8:12" ht="13.2">
      <c r="H489" s="24"/>
      <c r="K489" s="242"/>
      <c r="L489" s="176"/>
    </row>
    <row r="490" spans="8:12" ht="13.2">
      <c r="H490" s="24"/>
      <c r="K490" s="242"/>
      <c r="L490" s="176"/>
    </row>
    <row r="491" spans="8:12" ht="13.2">
      <c r="H491" s="24"/>
      <c r="K491" s="242"/>
      <c r="L491" s="176"/>
    </row>
    <row r="492" spans="8:12" ht="13.2">
      <c r="H492" s="24"/>
      <c r="K492" s="242"/>
      <c r="L492" s="176"/>
    </row>
    <row r="493" spans="8:12" ht="13.2">
      <c r="H493" s="24"/>
      <c r="K493" s="242"/>
      <c r="L493" s="176"/>
    </row>
    <row r="494" spans="8:12" ht="13.2">
      <c r="H494" s="24"/>
      <c r="K494" s="242"/>
      <c r="L494" s="176"/>
    </row>
    <row r="495" spans="8:12" ht="13.2">
      <c r="H495" s="24"/>
      <c r="K495" s="242"/>
      <c r="L495" s="176"/>
    </row>
    <row r="496" spans="8:12" ht="13.2">
      <c r="H496" s="24"/>
      <c r="K496" s="242"/>
      <c r="L496" s="176"/>
    </row>
    <row r="497" spans="8:12" ht="13.2">
      <c r="H497" s="24"/>
      <c r="K497" s="242"/>
      <c r="L497" s="176"/>
    </row>
    <row r="498" spans="8:12" ht="13.2">
      <c r="H498" s="24"/>
      <c r="K498" s="242"/>
      <c r="L498" s="176"/>
    </row>
    <row r="499" spans="8:12" ht="13.2">
      <c r="H499" s="24"/>
      <c r="K499" s="242"/>
      <c r="L499" s="176"/>
    </row>
    <row r="500" spans="8:12" ht="13.2">
      <c r="H500" s="24"/>
      <c r="K500" s="242"/>
      <c r="L500" s="176"/>
    </row>
    <row r="501" spans="8:12" ht="13.2">
      <c r="H501" s="24"/>
      <c r="K501" s="242"/>
      <c r="L501" s="176"/>
    </row>
    <row r="502" spans="8:12" ht="13.2">
      <c r="H502" s="24"/>
      <c r="K502" s="242"/>
      <c r="L502" s="176"/>
    </row>
    <row r="503" spans="8:12" ht="13.2">
      <c r="H503" s="24"/>
      <c r="K503" s="242"/>
      <c r="L503" s="176"/>
    </row>
    <row r="504" spans="8:12" ht="13.2">
      <c r="H504" s="24"/>
      <c r="K504" s="242"/>
      <c r="L504" s="176"/>
    </row>
    <row r="505" spans="8:12" ht="13.2">
      <c r="H505" s="24"/>
      <c r="K505" s="242"/>
      <c r="L505" s="176"/>
    </row>
    <row r="506" spans="8:12" ht="13.2">
      <c r="H506" s="24"/>
      <c r="K506" s="242"/>
      <c r="L506" s="176"/>
    </row>
    <row r="507" spans="8:12" ht="13.2">
      <c r="H507" s="24"/>
      <c r="K507" s="242"/>
      <c r="L507" s="176"/>
    </row>
    <row r="508" spans="8:12" ht="13.2">
      <c r="H508" s="24"/>
      <c r="K508" s="242"/>
      <c r="L508" s="176"/>
    </row>
    <row r="509" spans="8:12" ht="13.2">
      <c r="H509" s="24"/>
      <c r="K509" s="242"/>
      <c r="L509" s="176"/>
    </row>
    <row r="510" spans="8:12" ht="13.2">
      <c r="H510" s="24"/>
      <c r="K510" s="242"/>
      <c r="L510" s="176"/>
    </row>
    <row r="511" spans="8:12" ht="13.2">
      <c r="H511" s="24"/>
      <c r="K511" s="242"/>
      <c r="L511" s="176"/>
    </row>
    <row r="512" spans="8:12" ht="13.2">
      <c r="H512" s="24"/>
      <c r="K512" s="242"/>
      <c r="L512" s="176"/>
    </row>
    <row r="513" spans="8:12" ht="13.2">
      <c r="H513" s="24"/>
      <c r="K513" s="242"/>
      <c r="L513" s="176"/>
    </row>
    <row r="514" spans="8:12" ht="13.2">
      <c r="H514" s="24"/>
      <c r="K514" s="242"/>
      <c r="L514" s="176"/>
    </row>
    <row r="515" spans="8:12" ht="13.2">
      <c r="H515" s="24"/>
      <c r="K515" s="242"/>
      <c r="L515" s="176"/>
    </row>
    <row r="516" spans="8:12" ht="13.2">
      <c r="H516" s="24"/>
      <c r="K516" s="242"/>
      <c r="L516" s="176"/>
    </row>
    <row r="517" spans="8:12" ht="13.2">
      <c r="H517" s="24"/>
      <c r="K517" s="242"/>
      <c r="L517" s="176"/>
    </row>
    <row r="518" spans="8:12" ht="13.2">
      <c r="H518" s="24"/>
      <c r="K518" s="242"/>
      <c r="L518" s="176"/>
    </row>
    <row r="519" spans="8:12" ht="13.2">
      <c r="H519" s="24"/>
      <c r="K519" s="242"/>
      <c r="L519" s="176"/>
    </row>
    <row r="520" spans="8:12" ht="13.2">
      <c r="H520" s="24"/>
      <c r="K520" s="242"/>
      <c r="L520" s="176"/>
    </row>
    <row r="521" spans="8:12" ht="13.2">
      <c r="H521" s="24"/>
      <c r="K521" s="242"/>
      <c r="L521" s="176"/>
    </row>
    <row r="522" spans="8:12" ht="13.2">
      <c r="H522" s="24"/>
      <c r="K522" s="242"/>
      <c r="L522" s="176"/>
    </row>
    <row r="523" spans="8:12" ht="13.2">
      <c r="H523" s="24"/>
      <c r="K523" s="242"/>
      <c r="L523" s="176"/>
    </row>
    <row r="524" spans="8:12" ht="13.2">
      <c r="H524" s="24"/>
      <c r="K524" s="242"/>
      <c r="L524" s="176"/>
    </row>
    <row r="525" spans="8:12" ht="13.2">
      <c r="H525" s="24"/>
      <c r="K525" s="242"/>
      <c r="L525" s="176"/>
    </row>
    <row r="526" spans="8:12" ht="13.2">
      <c r="H526" s="24"/>
      <c r="K526" s="242"/>
      <c r="L526" s="176"/>
    </row>
    <row r="527" spans="8:12" ht="13.2">
      <c r="H527" s="24"/>
      <c r="K527" s="242"/>
      <c r="L527" s="176"/>
    </row>
    <row r="528" spans="8:12" ht="13.2">
      <c r="H528" s="24"/>
      <c r="K528" s="242"/>
      <c r="L528" s="176"/>
    </row>
    <row r="529" spans="8:12" ht="13.2">
      <c r="H529" s="24"/>
      <c r="K529" s="242"/>
      <c r="L529" s="176"/>
    </row>
    <row r="530" spans="8:12" ht="13.2">
      <c r="H530" s="24"/>
      <c r="K530" s="242"/>
      <c r="L530" s="176"/>
    </row>
    <row r="531" spans="8:12" ht="13.2">
      <c r="H531" s="24"/>
      <c r="K531" s="242"/>
      <c r="L531" s="176"/>
    </row>
    <row r="532" spans="8:12" ht="13.2">
      <c r="H532" s="24"/>
      <c r="K532" s="242"/>
      <c r="L532" s="176"/>
    </row>
    <row r="533" spans="8:12" ht="13.2">
      <c r="H533" s="24"/>
      <c r="K533" s="242"/>
      <c r="L533" s="176"/>
    </row>
    <row r="534" spans="8:12" ht="13.2">
      <c r="H534" s="24"/>
      <c r="K534" s="242"/>
      <c r="L534" s="176"/>
    </row>
    <row r="535" spans="8:12" ht="13.2">
      <c r="H535" s="24"/>
      <c r="K535" s="242"/>
      <c r="L535" s="176"/>
    </row>
    <row r="536" spans="8:12" ht="13.2">
      <c r="H536" s="24"/>
      <c r="K536" s="242"/>
      <c r="L536" s="176"/>
    </row>
    <row r="537" spans="8:12" ht="13.2">
      <c r="H537" s="24"/>
      <c r="K537" s="242"/>
      <c r="L537" s="176"/>
    </row>
    <row r="538" spans="8:12" ht="13.2">
      <c r="H538" s="24"/>
      <c r="K538" s="242"/>
      <c r="L538" s="176"/>
    </row>
    <row r="539" spans="8:12" ht="13.2">
      <c r="H539" s="24"/>
      <c r="K539" s="242"/>
      <c r="L539" s="176"/>
    </row>
    <row r="540" spans="8:12" ht="13.2">
      <c r="H540" s="24"/>
      <c r="K540" s="242"/>
      <c r="L540" s="176"/>
    </row>
    <row r="541" spans="8:12" ht="13.2">
      <c r="H541" s="24"/>
      <c r="K541" s="242"/>
      <c r="L541" s="176"/>
    </row>
    <row r="542" spans="8:12" ht="13.2">
      <c r="H542" s="24"/>
      <c r="K542" s="242"/>
      <c r="L542" s="176"/>
    </row>
    <row r="543" spans="8:12" ht="13.2">
      <c r="H543" s="24"/>
      <c r="K543" s="242"/>
      <c r="L543" s="176"/>
    </row>
    <row r="544" spans="8:12" ht="13.2">
      <c r="H544" s="24"/>
      <c r="K544" s="242"/>
      <c r="L544" s="176"/>
    </row>
    <row r="545" spans="8:12" ht="13.2">
      <c r="H545" s="24"/>
      <c r="K545" s="242"/>
      <c r="L545" s="176"/>
    </row>
    <row r="546" spans="8:12" ht="13.2">
      <c r="H546" s="24"/>
      <c r="K546" s="242"/>
      <c r="L546" s="176"/>
    </row>
    <row r="547" spans="8:12" ht="13.2">
      <c r="H547" s="24"/>
      <c r="K547" s="242"/>
      <c r="L547" s="176"/>
    </row>
    <row r="548" spans="8:12" ht="13.2">
      <c r="H548" s="24"/>
      <c r="K548" s="242"/>
      <c r="L548" s="176"/>
    </row>
    <row r="549" spans="8:12" ht="13.2">
      <c r="H549" s="24"/>
      <c r="K549" s="242"/>
      <c r="L549" s="176"/>
    </row>
    <row r="550" spans="8:12" ht="13.2">
      <c r="H550" s="24"/>
      <c r="K550" s="242"/>
      <c r="L550" s="176"/>
    </row>
    <row r="551" spans="8:12" ht="13.2">
      <c r="H551" s="24"/>
      <c r="K551" s="242"/>
      <c r="L551" s="176"/>
    </row>
    <row r="552" spans="8:12" ht="13.2">
      <c r="H552" s="24"/>
      <c r="K552" s="242"/>
      <c r="L552" s="176"/>
    </row>
    <row r="553" spans="8:12" ht="13.2">
      <c r="H553" s="24"/>
      <c r="K553" s="242"/>
      <c r="L553" s="176"/>
    </row>
    <row r="554" spans="8:12" ht="13.2">
      <c r="H554" s="24"/>
      <c r="K554" s="242"/>
      <c r="L554" s="176"/>
    </row>
    <row r="555" spans="8:12" ht="13.2">
      <c r="H555" s="24"/>
      <c r="K555" s="242"/>
      <c r="L555" s="176"/>
    </row>
    <row r="556" spans="8:12" ht="13.2">
      <c r="H556" s="24"/>
      <c r="K556" s="242"/>
      <c r="L556" s="176"/>
    </row>
    <row r="557" spans="8:12" ht="13.2">
      <c r="H557" s="24"/>
      <c r="K557" s="242"/>
      <c r="L557" s="176"/>
    </row>
    <row r="558" spans="8:12" ht="13.2">
      <c r="H558" s="24"/>
      <c r="K558" s="242"/>
      <c r="L558" s="176"/>
    </row>
    <row r="559" spans="8:12" ht="13.2">
      <c r="H559" s="24"/>
      <c r="K559" s="242"/>
      <c r="L559" s="176"/>
    </row>
    <row r="560" spans="8:12" ht="13.2">
      <c r="H560" s="24"/>
      <c r="K560" s="242"/>
      <c r="L560" s="176"/>
    </row>
    <row r="561" spans="8:12" ht="13.2">
      <c r="H561" s="24"/>
      <c r="K561" s="242"/>
      <c r="L561" s="176"/>
    </row>
    <row r="562" spans="8:12" ht="13.2">
      <c r="H562" s="24"/>
      <c r="K562" s="242"/>
      <c r="L562" s="176"/>
    </row>
    <row r="563" spans="8:12" ht="13.2">
      <c r="H563" s="24"/>
      <c r="K563" s="242"/>
      <c r="L563" s="176"/>
    </row>
    <row r="564" spans="8:12" ht="13.2">
      <c r="H564" s="24"/>
      <c r="K564" s="242"/>
      <c r="L564" s="176"/>
    </row>
    <row r="565" spans="8:12" ht="13.2">
      <c r="H565" s="24"/>
      <c r="K565" s="242"/>
      <c r="L565" s="176"/>
    </row>
    <row r="566" spans="8:12" ht="13.2">
      <c r="H566" s="24"/>
      <c r="K566" s="242"/>
      <c r="L566" s="176"/>
    </row>
    <row r="567" spans="8:12" ht="13.2">
      <c r="H567" s="24"/>
      <c r="K567" s="242"/>
      <c r="L567" s="176"/>
    </row>
    <row r="568" spans="8:12" ht="13.2">
      <c r="H568" s="24"/>
      <c r="K568" s="242"/>
      <c r="L568" s="176"/>
    </row>
    <row r="569" spans="8:12" ht="13.2">
      <c r="H569" s="24"/>
      <c r="K569" s="242"/>
      <c r="L569" s="176"/>
    </row>
    <row r="570" spans="8:12" ht="13.2">
      <c r="H570" s="24"/>
      <c r="K570" s="242"/>
      <c r="L570" s="176"/>
    </row>
    <row r="571" spans="8:12" ht="13.2">
      <c r="H571" s="24"/>
      <c r="K571" s="242"/>
      <c r="L571" s="176"/>
    </row>
    <row r="572" spans="8:12" ht="13.2">
      <c r="H572" s="24"/>
      <c r="K572" s="242"/>
      <c r="L572" s="176"/>
    </row>
    <row r="573" spans="8:12" ht="13.2">
      <c r="H573" s="24"/>
      <c r="K573" s="242"/>
      <c r="L573" s="176"/>
    </row>
    <row r="574" spans="8:12" ht="13.2">
      <c r="H574" s="24"/>
      <c r="K574" s="242"/>
      <c r="L574" s="176"/>
    </row>
    <row r="575" spans="8:12" ht="13.2">
      <c r="H575" s="24"/>
      <c r="K575" s="242"/>
      <c r="L575" s="176"/>
    </row>
    <row r="576" spans="8:12" ht="13.2">
      <c r="H576" s="24"/>
      <c r="K576" s="242"/>
      <c r="L576" s="176"/>
    </row>
    <row r="577" spans="8:12" ht="13.2">
      <c r="H577" s="24"/>
      <c r="K577" s="242"/>
      <c r="L577" s="176"/>
    </row>
    <row r="578" spans="8:12" ht="13.2">
      <c r="H578" s="24"/>
      <c r="K578" s="242"/>
      <c r="L578" s="176"/>
    </row>
    <row r="579" spans="8:12" ht="13.2">
      <c r="H579" s="24"/>
      <c r="K579" s="242"/>
      <c r="L579" s="176"/>
    </row>
    <row r="580" spans="8:12" ht="13.2">
      <c r="H580" s="24"/>
      <c r="K580" s="242"/>
      <c r="L580" s="176"/>
    </row>
    <row r="581" spans="8:12" ht="13.2">
      <c r="H581" s="24"/>
      <c r="K581" s="242"/>
      <c r="L581" s="176"/>
    </row>
    <row r="582" spans="8:12" ht="13.2">
      <c r="H582" s="24"/>
      <c r="K582" s="242"/>
      <c r="L582" s="176"/>
    </row>
    <row r="583" spans="8:12" ht="13.2">
      <c r="H583" s="24"/>
      <c r="K583" s="242"/>
      <c r="L583" s="176"/>
    </row>
    <row r="584" spans="8:12" ht="13.2">
      <c r="H584" s="24"/>
      <c r="K584" s="242"/>
      <c r="L584" s="176"/>
    </row>
    <row r="585" spans="8:12" ht="13.2">
      <c r="H585" s="24"/>
      <c r="K585" s="242"/>
      <c r="L585" s="176"/>
    </row>
    <row r="586" spans="8:12" ht="13.2">
      <c r="H586" s="24"/>
      <c r="K586" s="242"/>
      <c r="L586" s="176"/>
    </row>
    <row r="587" spans="8:12" ht="13.2">
      <c r="H587" s="24"/>
      <c r="K587" s="242"/>
      <c r="L587" s="176"/>
    </row>
    <row r="588" spans="8:12" ht="13.2">
      <c r="H588" s="24"/>
      <c r="K588" s="242"/>
      <c r="L588" s="176"/>
    </row>
    <row r="589" spans="8:12" ht="13.2">
      <c r="H589" s="24"/>
      <c r="K589" s="242"/>
      <c r="L589" s="176"/>
    </row>
    <row r="590" spans="8:12" ht="13.2">
      <c r="H590" s="24"/>
      <c r="K590" s="242"/>
      <c r="L590" s="176"/>
    </row>
    <row r="591" spans="8:12" ht="13.2">
      <c r="H591" s="24"/>
      <c r="K591" s="242"/>
      <c r="L591" s="176"/>
    </row>
    <row r="592" spans="8:12" ht="13.2">
      <c r="H592" s="24"/>
      <c r="K592" s="242"/>
      <c r="L592" s="176"/>
    </row>
    <row r="593" spans="8:12" ht="13.2">
      <c r="H593" s="24"/>
      <c r="K593" s="242"/>
      <c r="L593" s="176"/>
    </row>
    <row r="594" spans="8:12" ht="13.2">
      <c r="H594" s="24"/>
      <c r="K594" s="242"/>
      <c r="L594" s="176"/>
    </row>
    <row r="595" spans="8:12" ht="13.2">
      <c r="H595" s="24"/>
      <c r="K595" s="242"/>
      <c r="L595" s="176"/>
    </row>
    <row r="596" spans="8:12" ht="13.2">
      <c r="H596" s="24"/>
      <c r="K596" s="242"/>
      <c r="L596" s="176"/>
    </row>
    <row r="597" spans="8:12" ht="13.2">
      <c r="H597" s="24"/>
      <c r="K597" s="242"/>
      <c r="L597" s="176"/>
    </row>
    <row r="598" spans="8:12" ht="13.2">
      <c r="H598" s="24"/>
      <c r="K598" s="242"/>
      <c r="L598" s="176"/>
    </row>
    <row r="599" spans="8:12" ht="13.2">
      <c r="H599" s="24"/>
      <c r="K599" s="242"/>
      <c r="L599" s="176"/>
    </row>
    <row r="600" spans="8:12" ht="13.2">
      <c r="H600" s="24"/>
      <c r="K600" s="242"/>
      <c r="L600" s="176"/>
    </row>
    <row r="601" spans="8:12" ht="13.2">
      <c r="H601" s="24"/>
      <c r="K601" s="242"/>
      <c r="L601" s="176"/>
    </row>
    <row r="602" spans="8:12" ht="13.2">
      <c r="H602" s="24"/>
      <c r="K602" s="242"/>
      <c r="L602" s="176"/>
    </row>
    <row r="603" spans="8:12" ht="13.2">
      <c r="H603" s="24"/>
      <c r="K603" s="242"/>
      <c r="L603" s="176"/>
    </row>
    <row r="604" spans="8:12" ht="13.2">
      <c r="H604" s="24"/>
      <c r="K604" s="242"/>
      <c r="L604" s="176"/>
    </row>
    <row r="605" spans="8:12" ht="13.2">
      <c r="H605" s="24"/>
      <c r="K605" s="242"/>
      <c r="L605" s="176"/>
    </row>
    <row r="606" spans="8:12" ht="13.2">
      <c r="H606" s="24"/>
      <c r="K606" s="242"/>
      <c r="L606" s="176"/>
    </row>
    <row r="607" spans="8:12" ht="13.2">
      <c r="H607" s="24"/>
      <c r="K607" s="242"/>
      <c r="L607" s="176"/>
    </row>
    <row r="608" spans="8:12" ht="13.2">
      <c r="H608" s="24"/>
      <c r="K608" s="242"/>
      <c r="L608" s="176"/>
    </row>
    <row r="609" spans="8:12" ht="13.2">
      <c r="H609" s="24"/>
      <c r="K609" s="242"/>
      <c r="L609" s="176"/>
    </row>
    <row r="610" spans="8:12" ht="13.2">
      <c r="H610" s="24"/>
      <c r="K610" s="242"/>
      <c r="L610" s="176"/>
    </row>
    <row r="611" spans="8:12" ht="13.2">
      <c r="H611" s="24"/>
      <c r="K611" s="242"/>
      <c r="L611" s="176"/>
    </row>
    <row r="612" spans="8:12" ht="13.2">
      <c r="H612" s="24"/>
      <c r="K612" s="242"/>
      <c r="L612" s="176"/>
    </row>
    <row r="613" spans="8:12" ht="13.2">
      <c r="H613" s="24"/>
      <c r="K613" s="242"/>
      <c r="L613" s="176"/>
    </row>
    <row r="614" spans="8:12" ht="13.2">
      <c r="H614" s="24"/>
      <c r="K614" s="242"/>
      <c r="L614" s="176"/>
    </row>
    <row r="615" spans="8:12" ht="13.2">
      <c r="H615" s="24"/>
      <c r="K615" s="242"/>
      <c r="L615" s="176"/>
    </row>
    <row r="616" spans="8:12" ht="13.2">
      <c r="H616" s="24"/>
      <c r="K616" s="242"/>
      <c r="L616" s="176"/>
    </row>
    <row r="617" spans="8:12" ht="13.2">
      <c r="H617" s="24"/>
      <c r="K617" s="242"/>
      <c r="L617" s="176"/>
    </row>
    <row r="618" spans="8:12" ht="13.2">
      <c r="H618" s="24"/>
      <c r="K618" s="242"/>
      <c r="L618" s="176"/>
    </row>
    <row r="619" spans="8:12" ht="13.2">
      <c r="H619" s="24"/>
      <c r="K619" s="242"/>
      <c r="L619" s="176"/>
    </row>
    <row r="620" spans="8:12" ht="13.2">
      <c r="H620" s="24"/>
      <c r="K620" s="242"/>
      <c r="L620" s="176"/>
    </row>
    <row r="621" spans="8:12" ht="13.2">
      <c r="H621" s="24"/>
      <c r="K621" s="242"/>
      <c r="L621" s="176"/>
    </row>
    <row r="622" spans="8:12" ht="13.2">
      <c r="H622" s="24"/>
      <c r="K622" s="242"/>
      <c r="L622" s="176"/>
    </row>
    <row r="623" spans="8:12" ht="13.2">
      <c r="H623" s="24"/>
      <c r="K623" s="242"/>
      <c r="L623" s="176"/>
    </row>
    <row r="624" spans="8:12" ht="13.2">
      <c r="H624" s="24"/>
      <c r="K624" s="242"/>
      <c r="L624" s="176"/>
    </row>
    <row r="625" spans="8:12" ht="13.2">
      <c r="H625" s="24"/>
      <c r="K625" s="242"/>
      <c r="L625" s="176"/>
    </row>
    <row r="626" spans="8:12" ht="13.2">
      <c r="H626" s="24"/>
      <c r="K626" s="242"/>
      <c r="L626" s="176"/>
    </row>
    <row r="627" spans="8:12" ht="13.2">
      <c r="H627" s="24"/>
      <c r="K627" s="242"/>
      <c r="L627" s="176"/>
    </row>
    <row r="628" spans="8:12" ht="13.2">
      <c r="H628" s="24"/>
      <c r="K628" s="242"/>
      <c r="L628" s="176"/>
    </row>
    <row r="629" spans="8:12" ht="13.2">
      <c r="H629" s="24"/>
      <c r="K629" s="242"/>
      <c r="L629" s="176"/>
    </row>
    <row r="630" spans="8:12" ht="13.2">
      <c r="H630" s="24"/>
      <c r="K630" s="242"/>
      <c r="L630" s="176"/>
    </row>
    <row r="631" spans="8:12" ht="13.2">
      <c r="H631" s="24"/>
      <c r="K631" s="242"/>
      <c r="L631" s="176"/>
    </row>
    <row r="632" spans="8:12" ht="13.2">
      <c r="H632" s="24"/>
      <c r="K632" s="242"/>
      <c r="L632" s="176"/>
    </row>
    <row r="633" spans="8:12" ht="13.2">
      <c r="H633" s="24"/>
      <c r="K633" s="242"/>
      <c r="L633" s="176"/>
    </row>
    <row r="634" spans="8:12" ht="13.2">
      <c r="H634" s="24"/>
      <c r="K634" s="242"/>
      <c r="L634" s="176"/>
    </row>
    <row r="635" spans="8:12" ht="13.2">
      <c r="H635" s="24"/>
      <c r="K635" s="242"/>
      <c r="L635" s="176"/>
    </row>
    <row r="636" spans="8:12" ht="13.2">
      <c r="H636" s="24"/>
      <c r="K636" s="242"/>
      <c r="L636" s="176"/>
    </row>
    <row r="637" spans="8:12" ht="13.2">
      <c r="H637" s="24"/>
      <c r="K637" s="242"/>
      <c r="L637" s="176"/>
    </row>
    <row r="638" spans="8:12" ht="13.2">
      <c r="H638" s="24"/>
      <c r="K638" s="242"/>
      <c r="L638" s="176"/>
    </row>
    <row r="639" spans="8:12" ht="13.2">
      <c r="H639" s="24"/>
      <c r="K639" s="242"/>
      <c r="L639" s="176"/>
    </row>
    <row r="640" spans="8:12" ht="13.2">
      <c r="H640" s="24"/>
      <c r="K640" s="242"/>
      <c r="L640" s="176"/>
    </row>
    <row r="641" spans="8:12" ht="13.2">
      <c r="H641" s="24"/>
      <c r="K641" s="242"/>
      <c r="L641" s="176"/>
    </row>
    <row r="642" spans="8:12" ht="13.2">
      <c r="H642" s="24"/>
      <c r="K642" s="242"/>
      <c r="L642" s="176"/>
    </row>
    <row r="643" spans="8:12" ht="13.2">
      <c r="H643" s="24"/>
      <c r="K643" s="242"/>
      <c r="L643" s="176"/>
    </row>
    <row r="644" spans="8:12" ht="13.2">
      <c r="H644" s="24"/>
      <c r="K644" s="242"/>
      <c r="L644" s="176"/>
    </row>
    <row r="645" spans="8:12" ht="13.2">
      <c r="H645" s="24"/>
      <c r="K645" s="242"/>
      <c r="L645" s="176"/>
    </row>
    <row r="646" spans="8:12" ht="13.2">
      <c r="H646" s="24"/>
      <c r="K646" s="242"/>
      <c r="L646" s="176"/>
    </row>
    <row r="647" spans="8:12" ht="13.2">
      <c r="H647" s="24"/>
      <c r="K647" s="242"/>
      <c r="L647" s="176"/>
    </row>
    <row r="648" spans="8:12" ht="13.2">
      <c r="H648" s="24"/>
      <c r="K648" s="242"/>
      <c r="L648" s="176"/>
    </row>
    <row r="649" spans="8:12" ht="13.2">
      <c r="H649" s="24"/>
      <c r="K649" s="242"/>
      <c r="L649" s="176"/>
    </row>
    <row r="650" spans="8:12" ht="13.2">
      <c r="H650" s="24"/>
      <c r="K650" s="242"/>
      <c r="L650" s="176"/>
    </row>
    <row r="651" spans="8:12" ht="13.2">
      <c r="H651" s="24"/>
      <c r="K651" s="242"/>
      <c r="L651" s="176"/>
    </row>
    <row r="652" spans="8:12" ht="13.2">
      <c r="H652" s="24"/>
      <c r="K652" s="242"/>
      <c r="L652" s="176"/>
    </row>
    <row r="653" spans="8:12" ht="13.2">
      <c r="H653" s="24"/>
      <c r="K653" s="242"/>
      <c r="L653" s="176"/>
    </row>
    <row r="654" spans="8:12" ht="13.2">
      <c r="H654" s="24"/>
      <c r="K654" s="242"/>
      <c r="L654" s="176"/>
    </row>
    <row r="655" spans="8:12" ht="13.2">
      <c r="H655" s="24"/>
      <c r="K655" s="242"/>
      <c r="L655" s="176"/>
    </row>
    <row r="656" spans="8:12" ht="13.2">
      <c r="H656" s="24"/>
      <c r="K656" s="242"/>
      <c r="L656" s="176"/>
    </row>
    <row r="657" spans="8:12" ht="13.2">
      <c r="H657" s="24"/>
      <c r="K657" s="242"/>
      <c r="L657" s="176"/>
    </row>
    <row r="658" spans="8:12" ht="13.2">
      <c r="H658" s="24"/>
      <c r="K658" s="242"/>
      <c r="L658" s="176"/>
    </row>
    <row r="659" spans="8:12" ht="13.2">
      <c r="H659" s="24"/>
      <c r="K659" s="242"/>
      <c r="L659" s="176"/>
    </row>
    <row r="660" spans="8:12" ht="13.2">
      <c r="H660" s="24"/>
      <c r="K660" s="242"/>
      <c r="L660" s="176"/>
    </row>
    <row r="661" spans="8:12" ht="13.2">
      <c r="H661" s="24"/>
      <c r="K661" s="242"/>
      <c r="L661" s="176"/>
    </row>
    <row r="662" spans="8:12" ht="13.2">
      <c r="H662" s="24"/>
      <c r="K662" s="242"/>
      <c r="L662" s="176"/>
    </row>
    <row r="663" spans="8:12" ht="13.2">
      <c r="H663" s="24"/>
      <c r="K663" s="242"/>
      <c r="L663" s="176"/>
    </row>
    <row r="664" spans="8:12" ht="13.2">
      <c r="H664" s="24"/>
      <c r="K664" s="242"/>
      <c r="L664" s="176"/>
    </row>
    <row r="665" spans="8:12" ht="13.2">
      <c r="H665" s="24"/>
      <c r="K665" s="242"/>
      <c r="L665" s="176"/>
    </row>
    <row r="666" spans="8:12" ht="13.2">
      <c r="H666" s="24"/>
      <c r="K666" s="242"/>
      <c r="L666" s="176"/>
    </row>
    <row r="667" spans="8:12" ht="13.2">
      <c r="H667" s="24"/>
      <c r="K667" s="242"/>
      <c r="L667" s="176"/>
    </row>
    <row r="668" spans="8:12" ht="13.2">
      <c r="H668" s="24"/>
      <c r="K668" s="242"/>
      <c r="L668" s="176"/>
    </row>
    <row r="669" spans="8:12" ht="13.2">
      <c r="H669" s="24"/>
      <c r="K669" s="242"/>
      <c r="L669" s="176"/>
    </row>
    <row r="670" spans="8:12" ht="13.2">
      <c r="H670" s="24"/>
      <c r="K670" s="242"/>
      <c r="L670" s="176"/>
    </row>
    <row r="671" spans="8:12" ht="13.2">
      <c r="H671" s="24"/>
      <c r="K671" s="242"/>
      <c r="L671" s="176"/>
    </row>
    <row r="672" spans="8:12" ht="13.2">
      <c r="H672" s="24"/>
      <c r="K672" s="242"/>
      <c r="L672" s="176"/>
    </row>
    <row r="673" spans="8:12" ht="13.2">
      <c r="H673" s="24"/>
      <c r="K673" s="242"/>
      <c r="L673" s="176"/>
    </row>
    <row r="674" spans="8:12" ht="13.2">
      <c r="H674" s="24"/>
      <c r="K674" s="242"/>
      <c r="L674" s="176"/>
    </row>
    <row r="675" spans="8:12" ht="13.2">
      <c r="H675" s="24"/>
      <c r="K675" s="242"/>
      <c r="L675" s="176"/>
    </row>
    <row r="676" spans="8:12" ht="13.2">
      <c r="H676" s="24"/>
      <c r="K676" s="242"/>
      <c r="L676" s="176"/>
    </row>
    <row r="677" spans="8:12" ht="13.2">
      <c r="H677" s="24"/>
      <c r="K677" s="242"/>
      <c r="L677" s="176"/>
    </row>
    <row r="678" spans="8:12" ht="13.2">
      <c r="H678" s="24"/>
      <c r="K678" s="242"/>
      <c r="L678" s="176"/>
    </row>
    <row r="679" spans="8:12" ht="13.2">
      <c r="H679" s="24"/>
      <c r="K679" s="242"/>
      <c r="L679" s="176"/>
    </row>
    <row r="680" spans="8:12" ht="13.2">
      <c r="H680" s="24"/>
      <c r="K680" s="242"/>
      <c r="L680" s="176"/>
    </row>
    <row r="681" spans="8:12" ht="13.2">
      <c r="H681" s="24"/>
      <c r="K681" s="242"/>
      <c r="L681" s="176"/>
    </row>
    <row r="682" spans="8:12" ht="13.2">
      <c r="H682" s="24"/>
      <c r="K682" s="242"/>
      <c r="L682" s="176"/>
    </row>
    <row r="683" spans="8:12" ht="13.2">
      <c r="H683" s="24"/>
      <c r="K683" s="242"/>
      <c r="L683" s="176"/>
    </row>
    <row r="684" spans="8:12" ht="13.2">
      <c r="H684" s="24"/>
      <c r="K684" s="242"/>
      <c r="L684" s="176"/>
    </row>
    <row r="685" spans="8:12" ht="13.2">
      <c r="H685" s="24"/>
      <c r="K685" s="242"/>
      <c r="L685" s="176"/>
    </row>
    <row r="686" spans="8:12" ht="13.2">
      <c r="H686" s="24"/>
      <c r="K686" s="242"/>
      <c r="L686" s="176"/>
    </row>
    <row r="687" spans="8:12" ht="13.2">
      <c r="H687" s="24"/>
      <c r="K687" s="242"/>
      <c r="L687" s="176"/>
    </row>
    <row r="688" spans="8:12" ht="13.2">
      <c r="H688" s="24"/>
      <c r="K688" s="242"/>
      <c r="L688" s="176"/>
    </row>
    <row r="689" spans="8:12" ht="13.2">
      <c r="H689" s="24"/>
      <c r="K689" s="242"/>
      <c r="L689" s="176"/>
    </row>
    <row r="690" spans="8:12" ht="13.2">
      <c r="H690" s="24"/>
      <c r="K690" s="242"/>
      <c r="L690" s="176"/>
    </row>
    <row r="691" spans="8:12" ht="13.2">
      <c r="H691" s="24"/>
      <c r="K691" s="242"/>
      <c r="L691" s="176"/>
    </row>
    <row r="692" spans="8:12" ht="13.2">
      <c r="H692" s="24"/>
      <c r="K692" s="242"/>
      <c r="L692" s="176"/>
    </row>
    <row r="693" spans="8:12" ht="13.2">
      <c r="H693" s="24"/>
      <c r="K693" s="242"/>
      <c r="L693" s="176"/>
    </row>
    <row r="694" spans="8:12" ht="13.2">
      <c r="H694" s="24"/>
      <c r="K694" s="242"/>
      <c r="L694" s="176"/>
    </row>
    <row r="695" spans="8:12" ht="13.2">
      <c r="H695" s="24"/>
      <c r="K695" s="242"/>
      <c r="L695" s="176"/>
    </row>
    <row r="696" spans="8:12" ht="13.2">
      <c r="H696" s="24"/>
      <c r="K696" s="242"/>
      <c r="L696" s="176"/>
    </row>
    <row r="697" spans="8:12" ht="13.2">
      <c r="H697" s="24"/>
      <c r="K697" s="242"/>
      <c r="L697" s="176"/>
    </row>
    <row r="698" spans="8:12" ht="13.2">
      <c r="H698" s="24"/>
      <c r="K698" s="242"/>
      <c r="L698" s="176"/>
    </row>
    <row r="699" spans="8:12" ht="13.2">
      <c r="H699" s="24"/>
      <c r="K699" s="242"/>
      <c r="L699" s="176"/>
    </row>
    <row r="700" spans="8:12" ht="13.2">
      <c r="H700" s="24"/>
      <c r="K700" s="242"/>
      <c r="L700" s="176"/>
    </row>
    <row r="701" spans="8:12" ht="13.2">
      <c r="H701" s="24"/>
      <c r="K701" s="242"/>
      <c r="L701" s="176"/>
    </row>
    <row r="702" spans="8:12" ht="13.2">
      <c r="H702" s="24"/>
      <c r="K702" s="242"/>
      <c r="L702" s="176"/>
    </row>
    <row r="703" spans="8:12" ht="13.2">
      <c r="H703" s="24"/>
      <c r="K703" s="242"/>
      <c r="L703" s="176"/>
    </row>
    <row r="704" spans="8:12" ht="13.2">
      <c r="H704" s="24"/>
      <c r="K704" s="242"/>
      <c r="L704" s="176"/>
    </row>
    <row r="705" spans="8:12" ht="13.2">
      <c r="H705" s="24"/>
      <c r="K705" s="242"/>
      <c r="L705" s="176"/>
    </row>
    <row r="706" spans="8:12" ht="13.2">
      <c r="H706" s="24"/>
      <c r="K706" s="242"/>
      <c r="L706" s="176"/>
    </row>
    <row r="707" spans="8:12" ht="13.2">
      <c r="H707" s="24"/>
      <c r="K707" s="242"/>
      <c r="L707" s="176"/>
    </row>
    <row r="708" spans="8:12" ht="13.2">
      <c r="H708" s="24"/>
      <c r="K708" s="242"/>
      <c r="L708" s="176"/>
    </row>
    <row r="709" spans="8:12" ht="13.2">
      <c r="H709" s="24"/>
      <c r="K709" s="242"/>
      <c r="L709" s="176"/>
    </row>
    <row r="710" spans="8:12" ht="13.2">
      <c r="H710" s="24"/>
      <c r="K710" s="242"/>
      <c r="L710" s="176"/>
    </row>
    <row r="711" spans="8:12" ht="13.2">
      <c r="H711" s="24"/>
      <c r="K711" s="242"/>
      <c r="L711" s="176"/>
    </row>
    <row r="712" spans="8:12" ht="13.2">
      <c r="H712" s="24"/>
      <c r="K712" s="242"/>
      <c r="L712" s="176"/>
    </row>
    <row r="713" spans="8:12" ht="13.2">
      <c r="H713" s="24"/>
      <c r="K713" s="242"/>
      <c r="L713" s="176"/>
    </row>
    <row r="714" spans="8:12" ht="13.2">
      <c r="H714" s="24"/>
      <c r="K714" s="242"/>
      <c r="L714" s="176"/>
    </row>
    <row r="715" spans="8:12" ht="13.2">
      <c r="H715" s="24"/>
      <c r="K715" s="242"/>
      <c r="L715" s="176"/>
    </row>
    <row r="716" spans="8:12" ht="13.2">
      <c r="H716" s="24"/>
      <c r="K716" s="242"/>
      <c r="L716" s="176"/>
    </row>
    <row r="717" spans="8:12" ht="13.2">
      <c r="H717" s="24"/>
      <c r="K717" s="242"/>
      <c r="L717" s="176"/>
    </row>
    <row r="718" spans="8:12" ht="13.2">
      <c r="H718" s="24"/>
      <c r="K718" s="242"/>
      <c r="L718" s="176"/>
    </row>
    <row r="719" spans="8:12" ht="13.2">
      <c r="H719" s="24"/>
      <c r="K719" s="242"/>
      <c r="L719" s="176"/>
    </row>
    <row r="720" spans="8:12" ht="13.2">
      <c r="H720" s="24"/>
      <c r="K720" s="242"/>
      <c r="L720" s="176"/>
    </row>
    <row r="721" spans="8:12" ht="13.2">
      <c r="H721" s="24"/>
      <c r="K721" s="242"/>
      <c r="L721" s="176"/>
    </row>
    <row r="722" spans="8:12" ht="13.2">
      <c r="H722" s="24"/>
      <c r="K722" s="242"/>
      <c r="L722" s="176"/>
    </row>
    <row r="723" spans="8:12" ht="13.2">
      <c r="H723" s="24"/>
      <c r="K723" s="242"/>
      <c r="L723" s="176"/>
    </row>
    <row r="724" spans="8:12" ht="13.2">
      <c r="H724" s="24"/>
      <c r="K724" s="242"/>
      <c r="L724" s="176"/>
    </row>
    <row r="725" spans="8:12" ht="13.2">
      <c r="H725" s="24"/>
      <c r="K725" s="242"/>
      <c r="L725" s="176"/>
    </row>
    <row r="726" spans="8:12" ht="13.2">
      <c r="H726" s="24"/>
      <c r="K726" s="242"/>
      <c r="L726" s="176"/>
    </row>
    <row r="727" spans="8:12" ht="13.2">
      <c r="H727" s="24"/>
      <c r="K727" s="242"/>
      <c r="L727" s="176"/>
    </row>
    <row r="728" spans="8:12" ht="13.2">
      <c r="H728" s="24"/>
      <c r="K728" s="242"/>
      <c r="L728" s="176"/>
    </row>
    <row r="729" spans="8:12" ht="13.2">
      <c r="H729" s="24"/>
      <c r="K729" s="242"/>
      <c r="L729" s="176"/>
    </row>
    <row r="730" spans="8:12" ht="13.2">
      <c r="H730" s="24"/>
      <c r="K730" s="242"/>
      <c r="L730" s="176"/>
    </row>
    <row r="731" spans="8:12" ht="13.2">
      <c r="H731" s="24"/>
      <c r="K731" s="242"/>
      <c r="L731" s="176"/>
    </row>
    <row r="732" spans="8:12" ht="13.2">
      <c r="H732" s="24"/>
      <c r="K732" s="242"/>
      <c r="L732" s="176"/>
    </row>
    <row r="733" spans="8:12" ht="13.2">
      <c r="H733" s="24"/>
      <c r="K733" s="242"/>
      <c r="L733" s="176"/>
    </row>
    <row r="734" spans="8:12" ht="13.2">
      <c r="H734" s="24"/>
      <c r="K734" s="242"/>
      <c r="L734" s="176"/>
    </row>
    <row r="735" spans="8:12" ht="13.2">
      <c r="H735" s="24"/>
      <c r="K735" s="242"/>
      <c r="L735" s="176"/>
    </row>
    <row r="736" spans="8:12" ht="13.2">
      <c r="H736" s="24"/>
      <c r="K736" s="242"/>
      <c r="L736" s="176"/>
    </row>
    <row r="737" spans="8:12" ht="13.2">
      <c r="H737" s="24"/>
      <c r="K737" s="242"/>
      <c r="L737" s="176"/>
    </row>
    <row r="738" spans="8:12" ht="13.2">
      <c r="H738" s="24"/>
      <c r="K738" s="242"/>
      <c r="L738" s="176"/>
    </row>
    <row r="739" spans="8:12" ht="13.2">
      <c r="H739" s="24"/>
      <c r="K739" s="242"/>
      <c r="L739" s="176"/>
    </row>
    <row r="740" spans="8:12" ht="13.2">
      <c r="H740" s="24"/>
      <c r="K740" s="242"/>
      <c r="L740" s="176"/>
    </row>
    <row r="741" spans="8:12" ht="13.2">
      <c r="H741" s="24"/>
      <c r="K741" s="242"/>
      <c r="L741" s="176"/>
    </row>
    <row r="742" spans="8:12" ht="13.2">
      <c r="H742" s="24"/>
      <c r="K742" s="242"/>
      <c r="L742" s="176"/>
    </row>
    <row r="743" spans="8:12" ht="13.2">
      <c r="H743" s="24"/>
      <c r="K743" s="242"/>
      <c r="L743" s="176"/>
    </row>
    <row r="744" spans="8:12" ht="13.2">
      <c r="H744" s="24"/>
      <c r="K744" s="242"/>
      <c r="L744" s="176"/>
    </row>
    <row r="745" spans="8:12" ht="13.2">
      <c r="H745" s="24"/>
      <c r="K745" s="242"/>
      <c r="L745" s="176"/>
    </row>
    <row r="746" spans="8:12" ht="13.2">
      <c r="H746" s="24"/>
      <c r="K746" s="242"/>
      <c r="L746" s="176"/>
    </row>
    <row r="747" spans="8:12" ht="13.2">
      <c r="H747" s="24"/>
      <c r="K747" s="242"/>
      <c r="L747" s="176"/>
    </row>
    <row r="748" spans="8:12" ht="13.2">
      <c r="H748" s="24"/>
      <c r="K748" s="242"/>
      <c r="L748" s="176"/>
    </row>
    <row r="749" spans="8:12" ht="13.2">
      <c r="H749" s="24"/>
      <c r="K749" s="242"/>
      <c r="L749" s="176"/>
    </row>
    <row r="750" spans="8:12" ht="13.2">
      <c r="H750" s="24"/>
      <c r="K750" s="242"/>
      <c r="L750" s="176"/>
    </row>
    <row r="751" spans="8:12" ht="13.2">
      <c r="H751" s="24"/>
      <c r="K751" s="242"/>
      <c r="L751" s="176"/>
    </row>
    <row r="752" spans="8:12" ht="13.2">
      <c r="H752" s="24"/>
      <c r="K752" s="242"/>
      <c r="L752" s="176"/>
    </row>
    <row r="753" spans="8:12" ht="13.2">
      <c r="H753" s="24"/>
      <c r="K753" s="242"/>
      <c r="L753" s="176"/>
    </row>
    <row r="754" spans="8:12" ht="13.2">
      <c r="H754" s="24"/>
      <c r="K754" s="242"/>
      <c r="L754" s="176"/>
    </row>
    <row r="755" spans="8:12" ht="13.2">
      <c r="H755" s="24"/>
      <c r="K755" s="242"/>
      <c r="L755" s="176"/>
    </row>
    <row r="756" spans="8:12" ht="13.2">
      <c r="H756" s="24"/>
      <c r="K756" s="242"/>
      <c r="L756" s="176"/>
    </row>
    <row r="757" spans="8:12" ht="13.2">
      <c r="H757" s="24"/>
      <c r="K757" s="242"/>
      <c r="L757" s="176"/>
    </row>
    <row r="758" spans="8:12" ht="13.2">
      <c r="H758" s="24"/>
      <c r="K758" s="242"/>
      <c r="L758" s="176"/>
    </row>
    <row r="759" spans="8:12" ht="13.2">
      <c r="H759" s="24"/>
      <c r="K759" s="242"/>
      <c r="L759" s="176"/>
    </row>
    <row r="760" spans="8:12" ht="13.2">
      <c r="H760" s="24"/>
      <c r="K760" s="242"/>
      <c r="L760" s="176"/>
    </row>
    <row r="761" spans="8:12" ht="13.2">
      <c r="H761" s="24"/>
      <c r="K761" s="242"/>
      <c r="L761" s="176"/>
    </row>
    <row r="762" spans="8:12" ht="13.2">
      <c r="H762" s="24"/>
      <c r="K762" s="242"/>
      <c r="L762" s="176"/>
    </row>
    <row r="763" spans="8:12" ht="13.2">
      <c r="H763" s="24"/>
      <c r="K763" s="242"/>
      <c r="L763" s="176"/>
    </row>
    <row r="764" spans="8:12" ht="13.2">
      <c r="H764" s="24"/>
      <c r="K764" s="242"/>
      <c r="L764" s="176"/>
    </row>
    <row r="765" spans="8:12" ht="13.2">
      <c r="H765" s="24"/>
      <c r="K765" s="242"/>
      <c r="L765" s="176"/>
    </row>
    <row r="766" spans="8:12" ht="13.2">
      <c r="H766" s="24"/>
      <c r="K766" s="242"/>
      <c r="L766" s="176"/>
    </row>
    <row r="767" spans="8:12" ht="13.2">
      <c r="H767" s="24"/>
      <c r="K767" s="242"/>
      <c r="L767" s="176"/>
    </row>
    <row r="768" spans="8:12" ht="13.2">
      <c r="H768" s="24"/>
      <c r="K768" s="242"/>
      <c r="L768" s="176"/>
    </row>
    <row r="769" spans="8:12" ht="13.2">
      <c r="H769" s="24"/>
      <c r="K769" s="242"/>
      <c r="L769" s="176"/>
    </row>
    <row r="770" spans="8:12" ht="13.2">
      <c r="H770" s="24"/>
      <c r="K770" s="242"/>
      <c r="L770" s="176"/>
    </row>
    <row r="771" spans="8:12" ht="13.2">
      <c r="H771" s="24"/>
      <c r="K771" s="242"/>
      <c r="L771" s="176"/>
    </row>
    <row r="772" spans="8:12" ht="13.2">
      <c r="H772" s="24"/>
      <c r="K772" s="242"/>
      <c r="L772" s="176"/>
    </row>
    <row r="773" spans="8:12" ht="13.2">
      <c r="H773" s="24"/>
      <c r="K773" s="242"/>
      <c r="L773" s="176"/>
    </row>
    <row r="774" spans="8:12" ht="13.2">
      <c r="H774" s="24"/>
      <c r="K774" s="242"/>
      <c r="L774" s="176"/>
    </row>
    <row r="775" spans="8:12" ht="13.2">
      <c r="H775" s="24"/>
      <c r="K775" s="242"/>
      <c r="L775" s="176"/>
    </row>
    <row r="776" spans="8:12" ht="13.2">
      <c r="H776" s="24"/>
      <c r="K776" s="242"/>
      <c r="L776" s="176"/>
    </row>
    <row r="777" spans="8:12" ht="13.2">
      <c r="H777" s="24"/>
      <c r="K777" s="242"/>
      <c r="L777" s="176"/>
    </row>
    <row r="778" spans="8:12" ht="13.2">
      <c r="H778" s="24"/>
      <c r="K778" s="242"/>
      <c r="L778" s="176"/>
    </row>
    <row r="779" spans="8:12" ht="13.2">
      <c r="H779" s="24"/>
      <c r="K779" s="242"/>
      <c r="L779" s="176"/>
    </row>
    <row r="780" spans="8:12" ht="13.2">
      <c r="H780" s="24"/>
      <c r="K780" s="242"/>
      <c r="L780" s="176"/>
    </row>
    <row r="781" spans="8:12" ht="13.2">
      <c r="H781" s="24"/>
      <c r="K781" s="242"/>
      <c r="L781" s="176"/>
    </row>
    <row r="782" spans="8:12" ht="13.2">
      <c r="H782" s="24"/>
      <c r="K782" s="242"/>
      <c r="L782" s="176"/>
    </row>
    <row r="783" spans="8:12" ht="13.2">
      <c r="H783" s="24"/>
      <c r="K783" s="242"/>
      <c r="L783" s="176"/>
    </row>
    <row r="784" spans="8:12" ht="13.2">
      <c r="H784" s="24"/>
      <c r="K784" s="242"/>
      <c r="L784" s="176"/>
    </row>
    <row r="785" spans="8:12" ht="13.2">
      <c r="H785" s="24"/>
      <c r="K785" s="242"/>
      <c r="L785" s="176"/>
    </row>
    <row r="786" spans="8:12" ht="13.2">
      <c r="H786" s="24"/>
      <c r="K786" s="242"/>
      <c r="L786" s="176"/>
    </row>
    <row r="787" spans="8:12" ht="13.2">
      <c r="H787" s="24"/>
      <c r="K787" s="242"/>
      <c r="L787" s="176"/>
    </row>
    <row r="788" spans="8:12" ht="13.2">
      <c r="H788" s="24"/>
      <c r="K788" s="242"/>
      <c r="L788" s="176"/>
    </row>
    <row r="789" spans="8:12" ht="13.2">
      <c r="H789" s="24"/>
      <c r="K789" s="242"/>
      <c r="L789" s="176"/>
    </row>
    <row r="790" spans="8:12" ht="13.2">
      <c r="H790" s="24"/>
      <c r="K790" s="242"/>
      <c r="L790" s="176"/>
    </row>
    <row r="791" spans="8:12" ht="13.2">
      <c r="H791" s="24"/>
      <c r="K791" s="242"/>
      <c r="L791" s="176"/>
    </row>
    <row r="792" spans="8:12" ht="13.2">
      <c r="H792" s="24"/>
      <c r="K792" s="242"/>
      <c r="L792" s="176"/>
    </row>
    <row r="793" spans="8:12" ht="13.2">
      <c r="H793" s="24"/>
      <c r="K793" s="242"/>
      <c r="L793" s="176"/>
    </row>
    <row r="794" spans="8:12" ht="13.2">
      <c r="H794" s="24"/>
      <c r="K794" s="242"/>
      <c r="L794" s="176"/>
    </row>
    <row r="795" spans="8:12" ht="13.2">
      <c r="H795" s="24"/>
      <c r="K795" s="242"/>
      <c r="L795" s="176"/>
    </row>
    <row r="796" spans="8:12" ht="13.2">
      <c r="H796" s="24"/>
      <c r="K796" s="242"/>
      <c r="L796" s="176"/>
    </row>
    <row r="797" spans="8:12" ht="13.2">
      <c r="H797" s="24"/>
      <c r="K797" s="242"/>
      <c r="L797" s="176"/>
    </row>
    <row r="798" spans="8:12" ht="13.2">
      <c r="H798" s="24"/>
      <c r="K798" s="242"/>
      <c r="L798" s="176"/>
    </row>
    <row r="799" spans="8:12" ht="13.2">
      <c r="H799" s="24"/>
      <c r="K799" s="242"/>
      <c r="L799" s="176"/>
    </row>
    <row r="800" spans="8:12" ht="13.2">
      <c r="H800" s="24"/>
      <c r="K800" s="242"/>
      <c r="L800" s="176"/>
    </row>
    <row r="801" spans="8:12" ht="13.2">
      <c r="H801" s="24"/>
      <c r="K801" s="242"/>
      <c r="L801" s="176"/>
    </row>
    <row r="802" spans="8:12" ht="13.2">
      <c r="H802" s="24"/>
      <c r="K802" s="242"/>
      <c r="L802" s="176"/>
    </row>
    <row r="803" spans="8:12" ht="13.2">
      <c r="H803" s="24"/>
      <c r="K803" s="242"/>
      <c r="L803" s="176"/>
    </row>
    <row r="804" spans="8:12" ht="13.2">
      <c r="H804" s="24"/>
      <c r="K804" s="242"/>
      <c r="L804" s="176"/>
    </row>
    <row r="805" spans="8:12" ht="13.2">
      <c r="H805" s="24"/>
      <c r="K805" s="242"/>
      <c r="L805" s="176"/>
    </row>
    <row r="806" spans="8:12" ht="13.2">
      <c r="H806" s="24"/>
      <c r="K806" s="242"/>
      <c r="L806" s="176"/>
    </row>
    <row r="807" spans="8:12" ht="13.2">
      <c r="H807" s="24"/>
      <c r="K807" s="242"/>
      <c r="L807" s="176"/>
    </row>
    <row r="808" spans="8:12" ht="13.2">
      <c r="H808" s="24"/>
      <c r="K808" s="242"/>
      <c r="L808" s="176"/>
    </row>
    <row r="809" spans="8:12" ht="13.2">
      <c r="H809" s="24"/>
      <c r="K809" s="242"/>
      <c r="L809" s="176"/>
    </row>
    <row r="810" spans="8:12" ht="13.2">
      <c r="H810" s="24"/>
      <c r="K810" s="242"/>
      <c r="L810" s="176"/>
    </row>
    <row r="811" spans="8:12" ht="13.2">
      <c r="H811" s="24"/>
      <c r="K811" s="242"/>
      <c r="L811" s="176"/>
    </row>
    <row r="812" spans="8:12" ht="13.2">
      <c r="H812" s="24"/>
      <c r="K812" s="242"/>
      <c r="L812" s="176"/>
    </row>
    <row r="813" spans="8:12" ht="13.2">
      <c r="H813" s="24"/>
      <c r="K813" s="242"/>
      <c r="L813" s="176"/>
    </row>
    <row r="814" spans="8:12" ht="13.2">
      <c r="H814" s="24"/>
      <c r="K814" s="242"/>
      <c r="L814" s="176"/>
    </row>
    <row r="815" spans="8:12" ht="13.2">
      <c r="H815" s="24"/>
      <c r="K815" s="242"/>
      <c r="L815" s="176"/>
    </row>
    <row r="816" spans="8:12" ht="13.2">
      <c r="H816" s="24"/>
      <c r="K816" s="242"/>
      <c r="L816" s="176"/>
    </row>
    <row r="817" spans="8:12" ht="13.2">
      <c r="H817" s="24"/>
      <c r="K817" s="242"/>
      <c r="L817" s="176"/>
    </row>
    <row r="818" spans="8:12" ht="13.2">
      <c r="H818" s="24"/>
      <c r="K818" s="242"/>
      <c r="L818" s="176"/>
    </row>
    <row r="819" spans="8:12" ht="13.2">
      <c r="H819" s="24"/>
      <c r="K819" s="242"/>
      <c r="L819" s="176"/>
    </row>
    <row r="820" spans="8:12" ht="13.2">
      <c r="H820" s="24"/>
      <c r="K820" s="242"/>
      <c r="L820" s="176"/>
    </row>
    <row r="821" spans="8:12" ht="13.2">
      <c r="H821" s="24"/>
      <c r="K821" s="242"/>
      <c r="L821" s="176"/>
    </row>
    <row r="822" spans="8:12" ht="13.2">
      <c r="H822" s="24"/>
      <c r="K822" s="242"/>
      <c r="L822" s="176"/>
    </row>
    <row r="823" spans="8:12" ht="13.2">
      <c r="H823" s="24"/>
      <c r="K823" s="242"/>
      <c r="L823" s="176"/>
    </row>
    <row r="824" spans="8:12" ht="13.2">
      <c r="H824" s="24"/>
      <c r="K824" s="242"/>
      <c r="L824" s="176"/>
    </row>
    <row r="825" spans="8:12" ht="13.2">
      <c r="H825" s="24"/>
      <c r="K825" s="242"/>
      <c r="L825" s="176"/>
    </row>
    <row r="826" spans="8:12" ht="13.2">
      <c r="H826" s="24"/>
      <c r="K826" s="242"/>
      <c r="L826" s="176"/>
    </row>
    <row r="827" spans="8:12" ht="13.2">
      <c r="H827" s="24"/>
      <c r="K827" s="242"/>
      <c r="L827" s="176"/>
    </row>
    <row r="828" spans="8:12" ht="13.2">
      <c r="H828" s="24"/>
      <c r="K828" s="242"/>
      <c r="L828" s="176"/>
    </row>
    <row r="829" spans="8:12" ht="13.2">
      <c r="H829" s="24"/>
      <c r="K829" s="242"/>
      <c r="L829" s="176"/>
    </row>
    <row r="830" spans="8:12" ht="13.2">
      <c r="H830" s="24"/>
      <c r="K830" s="242"/>
      <c r="L830" s="176"/>
    </row>
    <row r="831" spans="8:12" ht="13.2">
      <c r="H831" s="24"/>
      <c r="K831" s="242"/>
      <c r="L831" s="176"/>
    </row>
    <row r="832" spans="8:12" ht="13.2">
      <c r="H832" s="24"/>
      <c r="K832" s="242"/>
      <c r="L832" s="176"/>
    </row>
    <row r="833" spans="8:12" ht="13.2">
      <c r="H833" s="24"/>
      <c r="K833" s="242"/>
      <c r="L833" s="176"/>
    </row>
    <row r="834" spans="8:12" ht="13.2">
      <c r="H834" s="24"/>
      <c r="K834" s="242"/>
      <c r="L834" s="176"/>
    </row>
    <row r="835" spans="8:12" ht="13.2">
      <c r="H835" s="24"/>
      <c r="K835" s="242"/>
      <c r="L835" s="176"/>
    </row>
    <row r="836" spans="8:12" ht="13.2">
      <c r="H836" s="24"/>
      <c r="K836" s="242"/>
      <c r="L836" s="176"/>
    </row>
    <row r="837" spans="8:12" ht="13.2">
      <c r="H837" s="24"/>
      <c r="K837" s="242"/>
      <c r="L837" s="176"/>
    </row>
    <row r="838" spans="8:12" ht="13.2">
      <c r="H838" s="24"/>
      <c r="K838" s="242"/>
      <c r="L838" s="176"/>
    </row>
    <row r="839" spans="8:12" ht="13.2">
      <c r="H839" s="24"/>
      <c r="K839" s="242"/>
      <c r="L839" s="176"/>
    </row>
    <row r="840" spans="8:12" ht="13.2">
      <c r="H840" s="24"/>
      <c r="K840" s="242"/>
      <c r="L840" s="176"/>
    </row>
    <row r="841" spans="8:12" ht="13.2">
      <c r="H841" s="24"/>
      <c r="K841" s="242"/>
      <c r="L841" s="176"/>
    </row>
    <row r="842" spans="8:12" ht="13.2">
      <c r="H842" s="24"/>
      <c r="K842" s="242"/>
      <c r="L842" s="176"/>
    </row>
    <row r="843" spans="8:12" ht="13.2">
      <c r="H843" s="24"/>
      <c r="K843" s="242"/>
      <c r="L843" s="176"/>
    </row>
    <row r="844" spans="8:12" ht="13.2">
      <c r="H844" s="24"/>
      <c r="K844" s="242"/>
      <c r="L844" s="176"/>
    </row>
    <row r="845" spans="8:12" ht="13.2">
      <c r="H845" s="24"/>
      <c r="K845" s="242"/>
      <c r="L845" s="176"/>
    </row>
    <row r="846" spans="8:12" ht="13.2">
      <c r="H846" s="24"/>
      <c r="K846" s="242"/>
      <c r="L846" s="176"/>
    </row>
    <row r="847" spans="8:12" ht="13.2">
      <c r="H847" s="24"/>
      <c r="K847" s="242"/>
      <c r="L847" s="176"/>
    </row>
    <row r="848" spans="8:12" ht="13.2">
      <c r="H848" s="24"/>
      <c r="K848" s="242"/>
      <c r="L848" s="176"/>
    </row>
    <row r="849" spans="8:12" ht="13.2">
      <c r="H849" s="24"/>
      <c r="K849" s="242"/>
      <c r="L849" s="176"/>
    </row>
    <row r="850" spans="8:12" ht="13.2">
      <c r="H850" s="24"/>
      <c r="K850" s="242"/>
      <c r="L850" s="176"/>
    </row>
    <row r="851" spans="8:12" ht="13.2">
      <c r="H851" s="24"/>
      <c r="K851" s="242"/>
      <c r="L851" s="176"/>
    </row>
    <row r="852" spans="8:12" ht="13.2">
      <c r="H852" s="24"/>
      <c r="K852" s="242"/>
      <c r="L852" s="176"/>
    </row>
    <row r="853" spans="8:12" ht="13.2">
      <c r="H853" s="24"/>
      <c r="K853" s="242"/>
      <c r="L853" s="176"/>
    </row>
    <row r="854" spans="8:12" ht="13.2">
      <c r="H854" s="24"/>
      <c r="K854" s="242"/>
      <c r="L854" s="176"/>
    </row>
    <row r="855" spans="8:12" ht="13.2">
      <c r="H855" s="24"/>
      <c r="K855" s="242"/>
      <c r="L855" s="176"/>
    </row>
    <row r="856" spans="8:12" ht="13.2">
      <c r="H856" s="24"/>
      <c r="K856" s="242"/>
      <c r="L856" s="176"/>
    </row>
    <row r="857" spans="8:12" ht="13.2">
      <c r="H857" s="24"/>
      <c r="K857" s="242"/>
      <c r="L857" s="176"/>
    </row>
    <row r="858" spans="8:12" ht="13.2">
      <c r="H858" s="24"/>
      <c r="K858" s="242"/>
      <c r="L858" s="176"/>
    </row>
    <row r="859" spans="8:12" ht="13.2">
      <c r="H859" s="24"/>
      <c r="K859" s="242"/>
      <c r="L859" s="176"/>
    </row>
    <row r="860" spans="8:12" ht="13.2">
      <c r="H860" s="24"/>
      <c r="K860" s="242"/>
      <c r="L860" s="176"/>
    </row>
    <row r="861" spans="8:12" ht="13.2">
      <c r="H861" s="24"/>
      <c r="K861" s="242"/>
      <c r="L861" s="176"/>
    </row>
    <row r="862" spans="8:12" ht="13.2">
      <c r="H862" s="24"/>
      <c r="K862" s="242"/>
      <c r="L862" s="176"/>
    </row>
    <row r="863" spans="8:12" ht="13.2">
      <c r="H863" s="24"/>
      <c r="K863" s="242"/>
      <c r="L863" s="176"/>
    </row>
    <row r="864" spans="8:12" ht="13.2">
      <c r="H864" s="24"/>
      <c r="K864" s="242"/>
      <c r="L864" s="176"/>
    </row>
    <row r="865" spans="8:12" ht="13.2">
      <c r="H865" s="24"/>
      <c r="K865" s="242"/>
      <c r="L865" s="176"/>
    </row>
    <row r="866" spans="8:12" ht="13.2">
      <c r="H866" s="24"/>
      <c r="K866" s="242"/>
      <c r="L866" s="176"/>
    </row>
    <row r="867" spans="8:12" ht="13.2">
      <c r="H867" s="24"/>
      <c r="K867" s="242"/>
      <c r="L867" s="176"/>
    </row>
    <row r="868" spans="8:12" ht="13.2">
      <c r="H868" s="24"/>
      <c r="K868" s="242"/>
      <c r="L868" s="176"/>
    </row>
    <row r="869" spans="8:12" ht="13.2">
      <c r="H869" s="24"/>
      <c r="K869" s="242"/>
      <c r="L869" s="176"/>
    </row>
    <row r="870" spans="8:12" ht="13.2">
      <c r="H870" s="24"/>
      <c r="K870" s="242"/>
      <c r="L870" s="176"/>
    </row>
    <row r="871" spans="8:12" ht="13.2">
      <c r="H871" s="24"/>
      <c r="K871" s="242"/>
      <c r="L871" s="176"/>
    </row>
    <row r="872" spans="8:12" ht="13.2">
      <c r="H872" s="24"/>
      <c r="K872" s="242"/>
      <c r="L872" s="176"/>
    </row>
    <row r="873" spans="8:12" ht="13.2">
      <c r="H873" s="24"/>
      <c r="K873" s="242"/>
      <c r="L873" s="176"/>
    </row>
    <row r="874" spans="8:12" ht="13.2">
      <c r="H874" s="24"/>
      <c r="K874" s="242"/>
      <c r="L874" s="176"/>
    </row>
    <row r="875" spans="8:12" ht="13.2">
      <c r="H875" s="24"/>
      <c r="K875" s="242"/>
      <c r="L875" s="176"/>
    </row>
    <row r="876" spans="8:12" ht="13.2">
      <c r="H876" s="24"/>
      <c r="K876" s="242"/>
      <c r="L876" s="176"/>
    </row>
    <row r="877" spans="8:12" ht="13.2">
      <c r="H877" s="24"/>
      <c r="K877" s="242"/>
      <c r="L877" s="176"/>
    </row>
    <row r="878" spans="8:12" ht="13.2">
      <c r="H878" s="24"/>
      <c r="K878" s="242"/>
      <c r="L878" s="176"/>
    </row>
    <row r="879" spans="8:12" ht="13.2">
      <c r="H879" s="24"/>
      <c r="K879" s="242"/>
      <c r="L879" s="176"/>
    </row>
    <row r="880" spans="8:12" ht="13.2">
      <c r="H880" s="24"/>
      <c r="K880" s="242"/>
      <c r="L880" s="176"/>
    </row>
    <row r="881" spans="8:12" ht="13.2">
      <c r="H881" s="24"/>
      <c r="K881" s="242"/>
      <c r="L881" s="176"/>
    </row>
    <row r="882" spans="8:12" ht="13.2">
      <c r="H882" s="24"/>
      <c r="K882" s="242"/>
      <c r="L882" s="176"/>
    </row>
    <row r="883" spans="8:12" ht="13.2">
      <c r="H883" s="24"/>
      <c r="K883" s="242"/>
      <c r="L883" s="176"/>
    </row>
    <row r="884" spans="8:12" ht="13.2">
      <c r="H884" s="24"/>
      <c r="K884" s="242"/>
      <c r="L884" s="176"/>
    </row>
    <row r="885" spans="8:12" ht="13.2">
      <c r="H885" s="24"/>
      <c r="K885" s="242"/>
      <c r="L885" s="176"/>
    </row>
    <row r="886" spans="8:12" ht="13.2">
      <c r="H886" s="24"/>
      <c r="K886" s="242"/>
      <c r="L886" s="176"/>
    </row>
    <row r="887" spans="8:12" ht="13.2">
      <c r="H887" s="24"/>
      <c r="K887" s="242"/>
      <c r="L887" s="176"/>
    </row>
    <row r="888" spans="8:12" ht="13.2">
      <c r="H888" s="24"/>
      <c r="K888" s="242"/>
      <c r="L888" s="176"/>
    </row>
    <row r="889" spans="8:12" ht="13.2">
      <c r="H889" s="24"/>
      <c r="K889" s="242"/>
      <c r="L889" s="176"/>
    </row>
    <row r="890" spans="8:12" ht="13.2">
      <c r="H890" s="24"/>
      <c r="K890" s="242"/>
      <c r="L890" s="176"/>
    </row>
    <row r="891" spans="8:12" ht="13.2">
      <c r="H891" s="24"/>
      <c r="K891" s="242"/>
      <c r="L891" s="176"/>
    </row>
    <row r="892" spans="8:12" ht="13.2">
      <c r="H892" s="24"/>
      <c r="K892" s="242"/>
      <c r="L892" s="176"/>
    </row>
    <row r="893" spans="8:12" ht="13.2">
      <c r="H893" s="24"/>
      <c r="K893" s="242"/>
      <c r="L893" s="176"/>
    </row>
    <row r="894" spans="8:12" ht="13.2">
      <c r="H894" s="24"/>
      <c r="K894" s="242"/>
      <c r="L894" s="176"/>
    </row>
    <row r="895" spans="8:12" ht="13.2">
      <c r="H895" s="24"/>
      <c r="K895" s="242"/>
      <c r="L895" s="176"/>
    </row>
    <row r="896" spans="8:12" ht="13.2">
      <c r="H896" s="24"/>
      <c r="K896" s="242"/>
      <c r="L896" s="176"/>
    </row>
    <row r="897" spans="8:12" ht="13.2">
      <c r="H897" s="24"/>
      <c r="K897" s="242"/>
      <c r="L897" s="176"/>
    </row>
    <row r="898" spans="8:12" ht="13.2">
      <c r="H898" s="24"/>
      <c r="K898" s="242"/>
      <c r="L898" s="176"/>
    </row>
    <row r="899" spans="8:12" ht="13.2">
      <c r="H899" s="24"/>
      <c r="K899" s="242"/>
      <c r="L899" s="176"/>
    </row>
    <row r="900" spans="8:12" ht="13.2">
      <c r="H900" s="24"/>
      <c r="K900" s="242"/>
      <c r="L900" s="176"/>
    </row>
    <row r="901" spans="8:12" ht="13.2">
      <c r="H901" s="24"/>
      <c r="K901" s="242"/>
      <c r="L901" s="176"/>
    </row>
    <row r="902" spans="8:12" ht="13.2">
      <c r="H902" s="24"/>
      <c r="K902" s="242"/>
      <c r="L902" s="176"/>
    </row>
    <row r="903" spans="8:12" ht="13.2">
      <c r="H903" s="24"/>
      <c r="K903" s="242"/>
      <c r="L903" s="176"/>
    </row>
    <row r="904" spans="8:12" ht="13.2">
      <c r="H904" s="24"/>
      <c r="K904" s="242"/>
      <c r="L904" s="176"/>
    </row>
    <row r="905" spans="8:12" ht="13.2">
      <c r="H905" s="24"/>
      <c r="K905" s="242"/>
      <c r="L905" s="176"/>
    </row>
    <row r="906" spans="8:12" ht="13.2">
      <c r="H906" s="24"/>
      <c r="K906" s="242"/>
      <c r="L906" s="176"/>
    </row>
    <row r="907" spans="8:12" ht="13.2">
      <c r="H907" s="24"/>
      <c r="K907" s="242"/>
      <c r="L907" s="176"/>
    </row>
    <row r="908" spans="8:12" ht="13.2">
      <c r="H908" s="24"/>
      <c r="K908" s="242"/>
      <c r="L908" s="176"/>
    </row>
    <row r="909" spans="8:12" ht="13.2">
      <c r="H909" s="24"/>
      <c r="K909" s="242"/>
      <c r="L909" s="176"/>
    </row>
    <row r="910" spans="8:12" ht="13.2">
      <c r="H910" s="24"/>
      <c r="K910" s="242"/>
      <c r="L910" s="176"/>
    </row>
    <row r="911" spans="8:12" ht="13.2">
      <c r="H911" s="24"/>
      <c r="K911" s="242"/>
      <c r="L911" s="176"/>
    </row>
    <row r="912" spans="8:12" ht="13.2">
      <c r="H912" s="24"/>
      <c r="K912" s="242"/>
      <c r="L912" s="176"/>
    </row>
    <row r="913" spans="8:12" ht="13.2">
      <c r="H913" s="24"/>
      <c r="K913" s="242"/>
      <c r="L913" s="176"/>
    </row>
    <row r="914" spans="8:12" ht="13.2">
      <c r="H914" s="24"/>
      <c r="K914" s="242"/>
      <c r="L914" s="176"/>
    </row>
    <row r="915" spans="8:12" ht="13.2">
      <c r="H915" s="24"/>
      <c r="K915" s="242"/>
      <c r="L915" s="176"/>
    </row>
    <row r="916" spans="8:12" ht="13.2">
      <c r="H916" s="24"/>
      <c r="K916" s="242"/>
      <c r="L916" s="176"/>
    </row>
    <row r="917" spans="8:12" ht="13.2">
      <c r="H917" s="24"/>
      <c r="K917" s="242"/>
      <c r="L917" s="176"/>
    </row>
    <row r="918" spans="8:12" ht="13.2">
      <c r="H918" s="24"/>
      <c r="K918" s="242"/>
      <c r="L918" s="176"/>
    </row>
    <row r="919" spans="8:12" ht="13.2">
      <c r="H919" s="24"/>
      <c r="K919" s="242"/>
      <c r="L919" s="176"/>
    </row>
    <row r="920" spans="8:12" ht="13.2">
      <c r="H920" s="24"/>
      <c r="K920" s="242"/>
      <c r="L920" s="176"/>
    </row>
    <row r="921" spans="8:12" ht="13.2">
      <c r="H921" s="24"/>
      <c r="K921" s="242"/>
      <c r="L921" s="176"/>
    </row>
    <row r="922" spans="8:12" ht="13.2">
      <c r="H922" s="24"/>
      <c r="K922" s="242"/>
      <c r="L922" s="176"/>
    </row>
    <row r="923" spans="8:12" ht="13.2">
      <c r="H923" s="24"/>
      <c r="K923" s="242"/>
      <c r="L923" s="176"/>
    </row>
    <row r="924" spans="8:12" ht="13.2">
      <c r="H924" s="24"/>
      <c r="K924" s="242"/>
      <c r="L924" s="176"/>
    </row>
    <row r="925" spans="8:12" ht="13.2">
      <c r="H925" s="24"/>
      <c r="K925" s="242"/>
      <c r="L925" s="176"/>
    </row>
    <row r="926" spans="8:12" ht="13.2">
      <c r="H926" s="24"/>
      <c r="K926" s="242"/>
      <c r="L926" s="176"/>
    </row>
    <row r="927" spans="8:12" ht="13.2">
      <c r="H927" s="24"/>
      <c r="K927" s="242"/>
      <c r="L927" s="176"/>
    </row>
    <row r="928" spans="8:12" ht="13.2">
      <c r="H928" s="24"/>
      <c r="K928" s="242"/>
      <c r="L928" s="176"/>
    </row>
    <row r="929" spans="8:12" ht="13.2">
      <c r="H929" s="24"/>
      <c r="K929" s="242"/>
      <c r="L929" s="176"/>
    </row>
    <row r="930" spans="8:12" ht="13.2">
      <c r="H930" s="24"/>
      <c r="K930" s="242"/>
      <c r="L930" s="176"/>
    </row>
    <row r="931" spans="8:12" ht="13.2">
      <c r="H931" s="24"/>
      <c r="K931" s="242"/>
      <c r="L931" s="176"/>
    </row>
    <row r="932" spans="8:12" ht="13.2">
      <c r="H932" s="24"/>
      <c r="K932" s="242"/>
      <c r="L932" s="176"/>
    </row>
    <row r="933" spans="8:12" ht="13.2">
      <c r="H933" s="24"/>
      <c r="K933" s="242"/>
      <c r="L933" s="176"/>
    </row>
    <row r="934" spans="8:12" ht="13.2">
      <c r="H934" s="24"/>
      <c r="K934" s="242"/>
      <c r="L934" s="176"/>
    </row>
    <row r="935" spans="8:12" ht="13.2">
      <c r="H935" s="24"/>
      <c r="K935" s="242"/>
      <c r="L935" s="176"/>
    </row>
    <row r="936" spans="8:12" ht="13.2">
      <c r="H936" s="24"/>
      <c r="K936" s="242"/>
      <c r="L936" s="176"/>
    </row>
    <row r="937" spans="8:12" ht="13.2">
      <c r="H937" s="24"/>
      <c r="K937" s="242"/>
      <c r="L937" s="176"/>
    </row>
    <row r="938" spans="8:12" ht="13.2">
      <c r="H938" s="24"/>
      <c r="K938" s="242"/>
      <c r="L938" s="176"/>
    </row>
    <row r="939" spans="8:12" ht="13.2">
      <c r="H939" s="24"/>
      <c r="K939" s="242"/>
      <c r="L939" s="176"/>
    </row>
    <row r="940" spans="8:12" ht="13.2">
      <c r="H940" s="24"/>
      <c r="K940" s="242"/>
      <c r="L940" s="176"/>
    </row>
    <row r="941" spans="8:12" ht="13.2">
      <c r="H941" s="24"/>
      <c r="K941" s="242"/>
      <c r="L941" s="176"/>
    </row>
    <row r="942" spans="8:12" ht="13.2">
      <c r="H942" s="24"/>
      <c r="K942" s="242"/>
      <c r="L942" s="176"/>
    </row>
    <row r="943" spans="8:12" ht="13.2">
      <c r="H943" s="24"/>
      <c r="K943" s="242"/>
      <c r="L943" s="176"/>
    </row>
    <row r="944" spans="8:12" ht="13.2">
      <c r="H944" s="24"/>
      <c r="K944" s="242"/>
      <c r="L944" s="176"/>
    </row>
    <row r="945" spans="8:12" ht="13.2">
      <c r="H945" s="24"/>
      <c r="K945" s="242"/>
      <c r="L945" s="176"/>
    </row>
    <row r="946" spans="8:12" ht="13.2">
      <c r="H946" s="24"/>
      <c r="K946" s="242"/>
      <c r="L946" s="176"/>
    </row>
    <row r="947" spans="8:12" ht="13.2">
      <c r="H947" s="24"/>
      <c r="K947" s="242"/>
      <c r="L947" s="176"/>
    </row>
    <row r="948" spans="8:12" ht="13.2">
      <c r="H948" s="24"/>
      <c r="K948" s="242"/>
      <c r="L948" s="176"/>
    </row>
    <row r="949" spans="8:12" ht="13.2">
      <c r="H949" s="24"/>
      <c r="K949" s="242"/>
      <c r="L949" s="176"/>
    </row>
    <row r="950" spans="8:12" ht="13.2">
      <c r="H950" s="24"/>
      <c r="K950" s="242"/>
      <c r="L950" s="176"/>
    </row>
    <row r="951" spans="8:12" ht="13.2">
      <c r="H951" s="24"/>
      <c r="K951" s="242"/>
      <c r="L951" s="176"/>
    </row>
    <row r="952" spans="8:12" ht="13.2">
      <c r="H952" s="24"/>
      <c r="K952" s="242"/>
      <c r="L952" s="176"/>
    </row>
    <row r="953" spans="8:12" ht="13.2">
      <c r="H953" s="24"/>
      <c r="K953" s="242"/>
      <c r="L953" s="176"/>
    </row>
    <row r="954" spans="8:12" ht="13.2">
      <c r="H954" s="24"/>
      <c r="K954" s="242"/>
      <c r="L954" s="176"/>
    </row>
    <row r="955" spans="8:12" ht="13.2">
      <c r="H955" s="24"/>
      <c r="K955" s="242"/>
      <c r="L955" s="176"/>
    </row>
    <row r="956" spans="8:12" ht="13.2">
      <c r="H956" s="24"/>
      <c r="K956" s="242"/>
      <c r="L956" s="176"/>
    </row>
    <row r="957" spans="8:12" ht="13.2">
      <c r="H957" s="24"/>
      <c r="K957" s="242"/>
      <c r="L957" s="176"/>
    </row>
    <row r="958" spans="8:12" ht="13.2">
      <c r="H958" s="24"/>
      <c r="K958" s="242"/>
      <c r="L958" s="176"/>
    </row>
    <row r="959" spans="8:12" ht="13.2">
      <c r="H959" s="24"/>
      <c r="K959" s="242"/>
      <c r="L959" s="176"/>
    </row>
    <row r="960" spans="8:12" ht="13.2">
      <c r="H960" s="24"/>
      <c r="K960" s="242"/>
      <c r="L960" s="176"/>
    </row>
    <row r="961" spans="8:12" ht="13.2">
      <c r="H961" s="24"/>
      <c r="K961" s="242"/>
      <c r="L961" s="176"/>
    </row>
    <row r="962" spans="8:12" ht="13.2">
      <c r="H962" s="24"/>
      <c r="K962" s="242"/>
      <c r="L962" s="176"/>
    </row>
    <row r="963" spans="8:12" ht="13.2">
      <c r="H963" s="24"/>
      <c r="K963" s="242"/>
      <c r="L963" s="176"/>
    </row>
    <row r="964" spans="8:12" ht="13.2">
      <c r="H964" s="24"/>
      <c r="K964" s="242"/>
      <c r="L964" s="176"/>
    </row>
    <row r="965" spans="8:12" ht="13.2">
      <c r="H965" s="24"/>
      <c r="K965" s="242"/>
      <c r="L965" s="176"/>
    </row>
    <row r="966" spans="8:12" ht="13.2">
      <c r="H966" s="24"/>
      <c r="K966" s="242"/>
      <c r="L966" s="176"/>
    </row>
    <row r="967" spans="8:12" ht="13.2">
      <c r="H967" s="24"/>
      <c r="K967" s="242"/>
      <c r="L967" s="176"/>
    </row>
    <row r="968" spans="8:12" ht="13.2">
      <c r="H968" s="24"/>
      <c r="K968" s="242"/>
      <c r="L968" s="176"/>
    </row>
    <row r="969" spans="8:12" ht="13.2">
      <c r="H969" s="24"/>
      <c r="K969" s="242"/>
      <c r="L969" s="176"/>
    </row>
    <row r="970" spans="8:12" ht="13.2">
      <c r="H970" s="24"/>
      <c r="K970" s="242"/>
      <c r="L970" s="176"/>
    </row>
    <row r="971" spans="8:12" ht="13.2">
      <c r="H971" s="24"/>
      <c r="K971" s="242"/>
      <c r="L971" s="176"/>
    </row>
    <row r="972" spans="8:12" ht="13.2">
      <c r="H972" s="24"/>
      <c r="K972" s="242"/>
      <c r="L972" s="176"/>
    </row>
    <row r="973" spans="8:12" ht="13.2">
      <c r="H973" s="24"/>
      <c r="K973" s="242"/>
      <c r="L973" s="176"/>
    </row>
    <row r="974" spans="8:12" ht="13.2">
      <c r="H974" s="24"/>
      <c r="K974" s="242"/>
      <c r="L974" s="176"/>
    </row>
    <row r="975" spans="8:12" ht="13.2">
      <c r="H975" s="24"/>
      <c r="K975" s="242"/>
      <c r="L975" s="176"/>
    </row>
    <row r="976" spans="8:12" ht="13.2">
      <c r="H976" s="24"/>
      <c r="K976" s="242"/>
      <c r="L976" s="176"/>
    </row>
    <row r="977" spans="8:12" ht="13.2">
      <c r="H977" s="24"/>
      <c r="K977" s="242"/>
      <c r="L977" s="176"/>
    </row>
    <row r="978" spans="8:12" ht="13.2">
      <c r="H978" s="24"/>
      <c r="K978" s="242"/>
      <c r="L978" s="176"/>
    </row>
    <row r="979" spans="8:12" ht="13.2">
      <c r="H979" s="24"/>
      <c r="K979" s="242"/>
      <c r="L979" s="176"/>
    </row>
    <row r="980" spans="8:12" ht="13.2">
      <c r="H980" s="24"/>
      <c r="K980" s="242"/>
      <c r="L980" s="176"/>
    </row>
    <row r="981" spans="8:12" ht="13.2">
      <c r="H981" s="24"/>
      <c r="K981" s="242"/>
      <c r="L981" s="176"/>
    </row>
    <row r="982" spans="8:12" ht="13.2">
      <c r="H982" s="24"/>
      <c r="K982" s="242"/>
      <c r="L982" s="176"/>
    </row>
    <row r="983" spans="8:12" ht="13.2">
      <c r="H983" s="24"/>
      <c r="K983" s="242"/>
      <c r="L983" s="176"/>
    </row>
    <row r="984" spans="8:12" ht="13.2">
      <c r="H984" s="24"/>
      <c r="K984" s="242"/>
      <c r="L984" s="176"/>
    </row>
    <row r="985" spans="8:12" ht="13.2">
      <c r="H985" s="24"/>
      <c r="K985" s="242"/>
      <c r="L985" s="176"/>
    </row>
    <row r="986" spans="8:12" ht="13.2">
      <c r="H986" s="24"/>
      <c r="K986" s="242"/>
      <c r="L986" s="176"/>
    </row>
    <row r="987" spans="8:12" ht="13.2">
      <c r="H987" s="24"/>
      <c r="K987" s="242"/>
      <c r="L987" s="176"/>
    </row>
    <row r="988" spans="8:12" ht="13.2">
      <c r="H988" s="24"/>
      <c r="K988" s="242"/>
      <c r="L988" s="176"/>
    </row>
    <row r="989" spans="8:12" ht="13.2">
      <c r="H989" s="24"/>
      <c r="K989" s="242"/>
      <c r="L989" s="176"/>
    </row>
    <row r="990" spans="8:12" ht="13.2">
      <c r="H990" s="24"/>
      <c r="K990" s="242"/>
      <c r="L990" s="176"/>
    </row>
    <row r="991" spans="8:12" ht="13.2">
      <c r="H991" s="24"/>
      <c r="K991" s="242"/>
      <c r="L991" s="176"/>
    </row>
    <row r="992" spans="8:12" ht="13.2">
      <c r="H992" s="24"/>
      <c r="K992" s="242"/>
      <c r="L992" s="176"/>
    </row>
    <row r="993" spans="8:12" ht="13.2">
      <c r="H993" s="24"/>
      <c r="K993" s="242"/>
      <c r="L993" s="176"/>
    </row>
    <row r="994" spans="8:12" ht="13.2">
      <c r="H994" s="24"/>
      <c r="K994" s="242"/>
      <c r="L994" s="176"/>
    </row>
    <row r="995" spans="8:12" ht="13.2">
      <c r="H995" s="24"/>
      <c r="K995" s="242"/>
      <c r="L995" s="176"/>
    </row>
    <row r="996" spans="8:12" ht="13.2">
      <c r="H996" s="24"/>
      <c r="K996" s="242"/>
      <c r="L996" s="176"/>
    </row>
    <row r="997" spans="8:12" ht="13.2">
      <c r="H997" s="24"/>
      <c r="K997" s="242"/>
      <c r="L997" s="176"/>
    </row>
    <row r="998" spans="8:12" ht="13.2">
      <c r="H998" s="24"/>
      <c r="K998" s="242"/>
      <c r="L998" s="176"/>
    </row>
    <row r="999" spans="8:12" ht="13.2">
      <c r="H999" s="24"/>
      <c r="K999" s="242"/>
      <c r="L999" s="176"/>
    </row>
    <row r="1000" spans="8:12" ht="13.2">
      <c r="H1000" s="32"/>
      <c r="I1000" s="12"/>
      <c r="J1000" s="12"/>
      <c r="K1000" s="243"/>
      <c r="L1000" s="167"/>
    </row>
  </sheetData>
  <mergeCells count="1003">
    <mergeCell ref="K676:L676"/>
    <mergeCell ref="K677:L677"/>
    <mergeCell ref="K678:L678"/>
    <mergeCell ref="K679:L679"/>
    <mergeCell ref="K680:L680"/>
    <mergeCell ref="K681:L681"/>
    <mergeCell ref="K682:L682"/>
    <mergeCell ref="K683:L683"/>
    <mergeCell ref="K659:L659"/>
    <mergeCell ref="K660:L660"/>
    <mergeCell ref="K661:L661"/>
    <mergeCell ref="K662:L662"/>
    <mergeCell ref="K663:L663"/>
    <mergeCell ref="K664:L664"/>
    <mergeCell ref="K665:L665"/>
    <mergeCell ref="K666:L666"/>
    <mergeCell ref="K667:L667"/>
    <mergeCell ref="K668:L668"/>
    <mergeCell ref="K669:L669"/>
    <mergeCell ref="K670:L670"/>
    <mergeCell ref="K671:L671"/>
    <mergeCell ref="K672:L672"/>
    <mergeCell ref="K673:L673"/>
    <mergeCell ref="K674:L674"/>
    <mergeCell ref="K675:L675"/>
    <mergeCell ref="K642:L642"/>
    <mergeCell ref="K643:L643"/>
    <mergeCell ref="K644:L644"/>
    <mergeCell ref="K645:L645"/>
    <mergeCell ref="K646:L646"/>
    <mergeCell ref="K647:L647"/>
    <mergeCell ref="K648:L648"/>
    <mergeCell ref="K649:L649"/>
    <mergeCell ref="K650:L650"/>
    <mergeCell ref="K651:L651"/>
    <mergeCell ref="K652:L652"/>
    <mergeCell ref="K653:L653"/>
    <mergeCell ref="K654:L654"/>
    <mergeCell ref="K655:L655"/>
    <mergeCell ref="K656:L656"/>
    <mergeCell ref="K657:L657"/>
    <mergeCell ref="K658:L658"/>
    <mergeCell ref="K625:L625"/>
    <mergeCell ref="K626:L626"/>
    <mergeCell ref="K627:L627"/>
    <mergeCell ref="K628:L628"/>
    <mergeCell ref="K629:L629"/>
    <mergeCell ref="K630:L630"/>
    <mergeCell ref="K631:L631"/>
    <mergeCell ref="K632:L632"/>
    <mergeCell ref="K633:L633"/>
    <mergeCell ref="K634:L634"/>
    <mergeCell ref="K635:L635"/>
    <mergeCell ref="K636:L636"/>
    <mergeCell ref="K637:L637"/>
    <mergeCell ref="K638:L638"/>
    <mergeCell ref="K639:L639"/>
    <mergeCell ref="K640:L640"/>
    <mergeCell ref="K641:L641"/>
    <mergeCell ref="K608:L608"/>
    <mergeCell ref="K609:L609"/>
    <mergeCell ref="K610:L610"/>
    <mergeCell ref="K611:L611"/>
    <mergeCell ref="K612:L612"/>
    <mergeCell ref="K613:L613"/>
    <mergeCell ref="K614:L614"/>
    <mergeCell ref="K615:L615"/>
    <mergeCell ref="K616:L616"/>
    <mergeCell ref="K617:L617"/>
    <mergeCell ref="K618:L618"/>
    <mergeCell ref="K619:L619"/>
    <mergeCell ref="K620:L620"/>
    <mergeCell ref="K621:L621"/>
    <mergeCell ref="K622:L622"/>
    <mergeCell ref="K623:L623"/>
    <mergeCell ref="K624:L624"/>
    <mergeCell ref="K591:L591"/>
    <mergeCell ref="K592:L592"/>
    <mergeCell ref="K593:L593"/>
    <mergeCell ref="K594:L594"/>
    <mergeCell ref="K595:L595"/>
    <mergeCell ref="K596:L596"/>
    <mergeCell ref="K597:L597"/>
    <mergeCell ref="K598:L598"/>
    <mergeCell ref="K599:L599"/>
    <mergeCell ref="K600:L600"/>
    <mergeCell ref="K601:L601"/>
    <mergeCell ref="K602:L602"/>
    <mergeCell ref="K603:L603"/>
    <mergeCell ref="K604:L604"/>
    <mergeCell ref="K605:L605"/>
    <mergeCell ref="K606:L606"/>
    <mergeCell ref="K607:L607"/>
    <mergeCell ref="K574:L574"/>
    <mergeCell ref="K575:L575"/>
    <mergeCell ref="K576:L576"/>
    <mergeCell ref="K577:L577"/>
    <mergeCell ref="K578:L578"/>
    <mergeCell ref="K579:L579"/>
    <mergeCell ref="K580:L580"/>
    <mergeCell ref="K581:L581"/>
    <mergeCell ref="K582:L582"/>
    <mergeCell ref="K583:L583"/>
    <mergeCell ref="K584:L584"/>
    <mergeCell ref="K585:L585"/>
    <mergeCell ref="K586:L586"/>
    <mergeCell ref="K587:L587"/>
    <mergeCell ref="K588:L588"/>
    <mergeCell ref="K589:L589"/>
    <mergeCell ref="K590:L590"/>
    <mergeCell ref="K557:L557"/>
    <mergeCell ref="K558:L558"/>
    <mergeCell ref="K559:L559"/>
    <mergeCell ref="K560:L560"/>
    <mergeCell ref="K561:L561"/>
    <mergeCell ref="K562:L562"/>
    <mergeCell ref="K563:L563"/>
    <mergeCell ref="K564:L564"/>
    <mergeCell ref="K565:L565"/>
    <mergeCell ref="K566:L566"/>
    <mergeCell ref="K567:L567"/>
    <mergeCell ref="K568:L568"/>
    <mergeCell ref="K569:L569"/>
    <mergeCell ref="K570:L570"/>
    <mergeCell ref="K571:L571"/>
    <mergeCell ref="K572:L572"/>
    <mergeCell ref="K573:L573"/>
    <mergeCell ref="K540:L540"/>
    <mergeCell ref="K541:L541"/>
    <mergeCell ref="K542:L542"/>
    <mergeCell ref="K543:L543"/>
    <mergeCell ref="K544:L544"/>
    <mergeCell ref="K545:L545"/>
    <mergeCell ref="K546:L546"/>
    <mergeCell ref="K547:L547"/>
    <mergeCell ref="K548:L548"/>
    <mergeCell ref="K549:L549"/>
    <mergeCell ref="K550:L550"/>
    <mergeCell ref="K551:L551"/>
    <mergeCell ref="K552:L552"/>
    <mergeCell ref="K553:L553"/>
    <mergeCell ref="K554:L554"/>
    <mergeCell ref="K555:L555"/>
    <mergeCell ref="K556:L556"/>
    <mergeCell ref="K523:L523"/>
    <mergeCell ref="K524:L524"/>
    <mergeCell ref="K525:L525"/>
    <mergeCell ref="K526:L526"/>
    <mergeCell ref="K527:L527"/>
    <mergeCell ref="K528:L528"/>
    <mergeCell ref="K529:L529"/>
    <mergeCell ref="K530:L530"/>
    <mergeCell ref="K531:L531"/>
    <mergeCell ref="K532:L532"/>
    <mergeCell ref="K533:L533"/>
    <mergeCell ref="K534:L534"/>
    <mergeCell ref="K535:L535"/>
    <mergeCell ref="K536:L536"/>
    <mergeCell ref="K537:L537"/>
    <mergeCell ref="K538:L538"/>
    <mergeCell ref="K539:L539"/>
    <mergeCell ref="K506:L506"/>
    <mergeCell ref="K507:L507"/>
    <mergeCell ref="K508:L508"/>
    <mergeCell ref="K509:L509"/>
    <mergeCell ref="K510:L510"/>
    <mergeCell ref="K511:L511"/>
    <mergeCell ref="K512:L512"/>
    <mergeCell ref="K513:L513"/>
    <mergeCell ref="K514:L514"/>
    <mergeCell ref="K515:L515"/>
    <mergeCell ref="K516:L516"/>
    <mergeCell ref="K517:L517"/>
    <mergeCell ref="K518:L518"/>
    <mergeCell ref="K519:L519"/>
    <mergeCell ref="K520:L520"/>
    <mergeCell ref="K521:L521"/>
    <mergeCell ref="K522:L522"/>
    <mergeCell ref="K489:L489"/>
    <mergeCell ref="K490:L490"/>
    <mergeCell ref="K491:L491"/>
    <mergeCell ref="K492:L492"/>
    <mergeCell ref="K493:L493"/>
    <mergeCell ref="K494:L494"/>
    <mergeCell ref="K495:L495"/>
    <mergeCell ref="K496:L496"/>
    <mergeCell ref="K497:L497"/>
    <mergeCell ref="K498:L498"/>
    <mergeCell ref="K499:L499"/>
    <mergeCell ref="K500:L500"/>
    <mergeCell ref="K501:L501"/>
    <mergeCell ref="K502:L502"/>
    <mergeCell ref="K503:L503"/>
    <mergeCell ref="K504:L504"/>
    <mergeCell ref="K505:L505"/>
    <mergeCell ref="K472:L472"/>
    <mergeCell ref="K473:L473"/>
    <mergeCell ref="K474:L474"/>
    <mergeCell ref="K475:L475"/>
    <mergeCell ref="K476:L476"/>
    <mergeCell ref="K477:L477"/>
    <mergeCell ref="K478:L478"/>
    <mergeCell ref="K479:L479"/>
    <mergeCell ref="K480:L480"/>
    <mergeCell ref="K481:L481"/>
    <mergeCell ref="K482:L482"/>
    <mergeCell ref="K483:L483"/>
    <mergeCell ref="K484:L484"/>
    <mergeCell ref="K485:L485"/>
    <mergeCell ref="K486:L486"/>
    <mergeCell ref="K487:L487"/>
    <mergeCell ref="K488:L488"/>
    <mergeCell ref="K455:L455"/>
    <mergeCell ref="K456:L456"/>
    <mergeCell ref="K457:L457"/>
    <mergeCell ref="K458:L458"/>
    <mergeCell ref="K459:L459"/>
    <mergeCell ref="K460:L460"/>
    <mergeCell ref="K461:L461"/>
    <mergeCell ref="K462:L462"/>
    <mergeCell ref="K463:L463"/>
    <mergeCell ref="K464:L464"/>
    <mergeCell ref="K465:L465"/>
    <mergeCell ref="K466:L466"/>
    <mergeCell ref="K467:L467"/>
    <mergeCell ref="K468:L468"/>
    <mergeCell ref="K469:L469"/>
    <mergeCell ref="K470:L470"/>
    <mergeCell ref="K471:L471"/>
    <mergeCell ref="K438:L438"/>
    <mergeCell ref="K439:L439"/>
    <mergeCell ref="K440:L440"/>
    <mergeCell ref="K441:L441"/>
    <mergeCell ref="K442:L442"/>
    <mergeCell ref="K443:L443"/>
    <mergeCell ref="K444:L444"/>
    <mergeCell ref="K445:L445"/>
    <mergeCell ref="K446:L446"/>
    <mergeCell ref="K447:L447"/>
    <mergeCell ref="K448:L448"/>
    <mergeCell ref="K449:L449"/>
    <mergeCell ref="K450:L450"/>
    <mergeCell ref="K451:L451"/>
    <mergeCell ref="K452:L452"/>
    <mergeCell ref="K453:L453"/>
    <mergeCell ref="K454:L454"/>
    <mergeCell ref="K421:L421"/>
    <mergeCell ref="K422:L422"/>
    <mergeCell ref="K423:L423"/>
    <mergeCell ref="K424:L424"/>
    <mergeCell ref="K425:L425"/>
    <mergeCell ref="K426:L426"/>
    <mergeCell ref="K427:L427"/>
    <mergeCell ref="K428:L428"/>
    <mergeCell ref="K429:L429"/>
    <mergeCell ref="K430:L430"/>
    <mergeCell ref="K431:L431"/>
    <mergeCell ref="K432:L432"/>
    <mergeCell ref="K433:L433"/>
    <mergeCell ref="K434:L434"/>
    <mergeCell ref="K435:L435"/>
    <mergeCell ref="K436:L436"/>
    <mergeCell ref="K437:L437"/>
    <mergeCell ref="K404:L404"/>
    <mergeCell ref="K405:L405"/>
    <mergeCell ref="K406:L406"/>
    <mergeCell ref="K407:L407"/>
    <mergeCell ref="K408:L408"/>
    <mergeCell ref="K409:L409"/>
    <mergeCell ref="K410:L410"/>
    <mergeCell ref="K411:L411"/>
    <mergeCell ref="K412:L412"/>
    <mergeCell ref="K413:L413"/>
    <mergeCell ref="K414:L414"/>
    <mergeCell ref="K415:L415"/>
    <mergeCell ref="K416:L416"/>
    <mergeCell ref="K417:L417"/>
    <mergeCell ref="K418:L418"/>
    <mergeCell ref="K419:L419"/>
    <mergeCell ref="K420:L420"/>
    <mergeCell ref="K387:L387"/>
    <mergeCell ref="K388:L388"/>
    <mergeCell ref="K389:L389"/>
    <mergeCell ref="K390:L390"/>
    <mergeCell ref="K391:L391"/>
    <mergeCell ref="K392:L392"/>
    <mergeCell ref="K393:L393"/>
    <mergeCell ref="K394:L394"/>
    <mergeCell ref="K395:L395"/>
    <mergeCell ref="K396:L396"/>
    <mergeCell ref="K397:L397"/>
    <mergeCell ref="K398:L398"/>
    <mergeCell ref="K399:L399"/>
    <mergeCell ref="K400:L400"/>
    <mergeCell ref="K401:L401"/>
    <mergeCell ref="K402:L402"/>
    <mergeCell ref="K403:L403"/>
    <mergeCell ref="K977:L977"/>
    <mergeCell ref="K341:L341"/>
    <mergeCell ref="K342:L342"/>
    <mergeCell ref="K343:L343"/>
    <mergeCell ref="K344:L344"/>
    <mergeCell ref="K345:L345"/>
    <mergeCell ref="K346:L346"/>
    <mergeCell ref="K347:L347"/>
    <mergeCell ref="K348:L348"/>
    <mergeCell ref="K349:L349"/>
    <mergeCell ref="K350:L350"/>
    <mergeCell ref="K351:L351"/>
    <mergeCell ref="K352:L352"/>
    <mergeCell ref="K353:L353"/>
    <mergeCell ref="K354:L354"/>
    <mergeCell ref="K355:L355"/>
    <mergeCell ref="K356:L356"/>
    <mergeCell ref="K357:L357"/>
    <mergeCell ref="K358:L358"/>
    <mergeCell ref="K359:L359"/>
    <mergeCell ref="K360:L360"/>
    <mergeCell ref="K361:L361"/>
    <mergeCell ref="K362:L362"/>
    <mergeCell ref="K363:L363"/>
    <mergeCell ref="K364:L364"/>
    <mergeCell ref="K365:L365"/>
    <mergeCell ref="K366:L366"/>
    <mergeCell ref="K367:L367"/>
    <mergeCell ref="K368:L368"/>
    <mergeCell ref="K369:L369"/>
    <mergeCell ref="K370:L370"/>
    <mergeCell ref="K371:L371"/>
    <mergeCell ref="K960:L960"/>
    <mergeCell ref="K961:L961"/>
    <mergeCell ref="K962:L962"/>
    <mergeCell ref="K963:L963"/>
    <mergeCell ref="K964:L964"/>
    <mergeCell ref="K965:L965"/>
    <mergeCell ref="K966:L966"/>
    <mergeCell ref="K967:L967"/>
    <mergeCell ref="K968:L968"/>
    <mergeCell ref="K969:L969"/>
    <mergeCell ref="K970:L970"/>
    <mergeCell ref="K971:L971"/>
    <mergeCell ref="K972:L972"/>
    <mergeCell ref="K973:L973"/>
    <mergeCell ref="K974:L974"/>
    <mergeCell ref="K975:L975"/>
    <mergeCell ref="K976:L976"/>
    <mergeCell ref="K985:L985"/>
    <mergeCell ref="K986:L986"/>
    <mergeCell ref="K987:L987"/>
    <mergeCell ref="K988:L988"/>
    <mergeCell ref="K989:L989"/>
    <mergeCell ref="K990:L990"/>
    <mergeCell ref="K991:L991"/>
    <mergeCell ref="K999:L999"/>
    <mergeCell ref="K1000:L1000"/>
    <mergeCell ref="K992:L992"/>
    <mergeCell ref="K993:L993"/>
    <mergeCell ref="K994:L994"/>
    <mergeCell ref="K995:L995"/>
    <mergeCell ref="K996:L996"/>
    <mergeCell ref="K997:L997"/>
    <mergeCell ref="K998:L998"/>
    <mergeCell ref="K929:L929"/>
    <mergeCell ref="K930:L930"/>
    <mergeCell ref="K931:L931"/>
    <mergeCell ref="K932:L932"/>
    <mergeCell ref="K933:L933"/>
    <mergeCell ref="K934:L934"/>
    <mergeCell ref="K935:L935"/>
    <mergeCell ref="K936:L936"/>
    <mergeCell ref="K937:L937"/>
    <mergeCell ref="K938:L938"/>
    <mergeCell ref="K939:L939"/>
    <mergeCell ref="K940:L940"/>
    <mergeCell ref="K941:L941"/>
    <mergeCell ref="K942:L942"/>
    <mergeCell ref="K943:L943"/>
    <mergeCell ref="K944:L944"/>
    <mergeCell ref="K919:L919"/>
    <mergeCell ref="K920:L920"/>
    <mergeCell ref="K921:L921"/>
    <mergeCell ref="K922:L922"/>
    <mergeCell ref="K923:L923"/>
    <mergeCell ref="K924:L924"/>
    <mergeCell ref="K925:L925"/>
    <mergeCell ref="K926:L926"/>
    <mergeCell ref="K927:L927"/>
    <mergeCell ref="K928:L928"/>
    <mergeCell ref="K978:L978"/>
    <mergeCell ref="K979:L979"/>
    <mergeCell ref="K980:L980"/>
    <mergeCell ref="K981:L981"/>
    <mergeCell ref="K982:L982"/>
    <mergeCell ref="K983:L983"/>
    <mergeCell ref="K984:L984"/>
    <mergeCell ref="K945:L945"/>
    <mergeCell ref="K946:L946"/>
    <mergeCell ref="K947:L947"/>
    <mergeCell ref="K948:L948"/>
    <mergeCell ref="K949:L949"/>
    <mergeCell ref="K950:L950"/>
    <mergeCell ref="K951:L951"/>
    <mergeCell ref="K952:L952"/>
    <mergeCell ref="K953:L953"/>
    <mergeCell ref="K954:L954"/>
    <mergeCell ref="K955:L955"/>
    <mergeCell ref="K956:L956"/>
    <mergeCell ref="K957:L957"/>
    <mergeCell ref="K958:L958"/>
    <mergeCell ref="K959:L959"/>
    <mergeCell ref="K902:L902"/>
    <mergeCell ref="K903:L903"/>
    <mergeCell ref="K904:L904"/>
    <mergeCell ref="K905:L905"/>
    <mergeCell ref="K906:L906"/>
    <mergeCell ref="K907:L907"/>
    <mergeCell ref="K908:L908"/>
    <mergeCell ref="K909:L909"/>
    <mergeCell ref="K910:L910"/>
    <mergeCell ref="K911:L911"/>
    <mergeCell ref="K912:L912"/>
    <mergeCell ref="K913:L913"/>
    <mergeCell ref="K914:L914"/>
    <mergeCell ref="K915:L915"/>
    <mergeCell ref="K916:L916"/>
    <mergeCell ref="K917:L917"/>
    <mergeCell ref="K918:L918"/>
    <mergeCell ref="K885:L885"/>
    <mergeCell ref="K886:L886"/>
    <mergeCell ref="K887:L887"/>
    <mergeCell ref="K888:L888"/>
    <mergeCell ref="K889:L889"/>
    <mergeCell ref="K890:L890"/>
    <mergeCell ref="K891:L891"/>
    <mergeCell ref="K892:L892"/>
    <mergeCell ref="K893:L893"/>
    <mergeCell ref="K894:L894"/>
    <mergeCell ref="K895:L895"/>
    <mergeCell ref="K896:L896"/>
    <mergeCell ref="K897:L897"/>
    <mergeCell ref="K898:L898"/>
    <mergeCell ref="K899:L899"/>
    <mergeCell ref="K900:L900"/>
    <mergeCell ref="K901:L901"/>
    <mergeCell ref="K868:L868"/>
    <mergeCell ref="K869:L869"/>
    <mergeCell ref="K870:L870"/>
    <mergeCell ref="K871:L871"/>
    <mergeCell ref="K872:L872"/>
    <mergeCell ref="K873:L873"/>
    <mergeCell ref="K874:L874"/>
    <mergeCell ref="K875:L875"/>
    <mergeCell ref="K876:L876"/>
    <mergeCell ref="K877:L877"/>
    <mergeCell ref="K878:L878"/>
    <mergeCell ref="K879:L879"/>
    <mergeCell ref="K880:L880"/>
    <mergeCell ref="K881:L881"/>
    <mergeCell ref="K882:L882"/>
    <mergeCell ref="K883:L883"/>
    <mergeCell ref="K884:L884"/>
    <mergeCell ref="K851:L851"/>
    <mergeCell ref="K852:L852"/>
    <mergeCell ref="K853:L853"/>
    <mergeCell ref="K854:L854"/>
    <mergeCell ref="K855:L855"/>
    <mergeCell ref="K856:L856"/>
    <mergeCell ref="K857:L857"/>
    <mergeCell ref="K858:L858"/>
    <mergeCell ref="K859:L859"/>
    <mergeCell ref="K860:L860"/>
    <mergeCell ref="K861:L861"/>
    <mergeCell ref="K862:L862"/>
    <mergeCell ref="K863:L863"/>
    <mergeCell ref="K864:L864"/>
    <mergeCell ref="K865:L865"/>
    <mergeCell ref="K866:L866"/>
    <mergeCell ref="K867:L867"/>
    <mergeCell ref="K834:L834"/>
    <mergeCell ref="K835:L835"/>
    <mergeCell ref="K836:L836"/>
    <mergeCell ref="K837:L837"/>
    <mergeCell ref="K838:L838"/>
    <mergeCell ref="K839:L839"/>
    <mergeCell ref="K840:L840"/>
    <mergeCell ref="K841:L841"/>
    <mergeCell ref="K842:L842"/>
    <mergeCell ref="K843:L843"/>
    <mergeCell ref="K844:L844"/>
    <mergeCell ref="K845:L845"/>
    <mergeCell ref="K846:L846"/>
    <mergeCell ref="K847:L847"/>
    <mergeCell ref="K848:L848"/>
    <mergeCell ref="K849:L849"/>
    <mergeCell ref="K850:L850"/>
    <mergeCell ref="K817:L817"/>
    <mergeCell ref="K818:L818"/>
    <mergeCell ref="K819:L819"/>
    <mergeCell ref="K820:L820"/>
    <mergeCell ref="K821:L821"/>
    <mergeCell ref="K822:L822"/>
    <mergeCell ref="K823:L823"/>
    <mergeCell ref="K824:L824"/>
    <mergeCell ref="K825:L825"/>
    <mergeCell ref="K826:L826"/>
    <mergeCell ref="K827:L827"/>
    <mergeCell ref="K828:L828"/>
    <mergeCell ref="K829:L829"/>
    <mergeCell ref="K830:L830"/>
    <mergeCell ref="K831:L831"/>
    <mergeCell ref="K832:L832"/>
    <mergeCell ref="K833:L833"/>
    <mergeCell ref="K800:L800"/>
    <mergeCell ref="K801:L801"/>
    <mergeCell ref="K802:L802"/>
    <mergeCell ref="K803:L803"/>
    <mergeCell ref="K804:L804"/>
    <mergeCell ref="K805:L805"/>
    <mergeCell ref="K806:L806"/>
    <mergeCell ref="K807:L807"/>
    <mergeCell ref="K808:L808"/>
    <mergeCell ref="K809:L809"/>
    <mergeCell ref="K810:L810"/>
    <mergeCell ref="K811:L811"/>
    <mergeCell ref="K812:L812"/>
    <mergeCell ref="K813:L813"/>
    <mergeCell ref="K814:L814"/>
    <mergeCell ref="K815:L815"/>
    <mergeCell ref="K816:L816"/>
    <mergeCell ref="K783:L783"/>
    <mergeCell ref="K784:L784"/>
    <mergeCell ref="K785:L785"/>
    <mergeCell ref="K786:L786"/>
    <mergeCell ref="K787:L787"/>
    <mergeCell ref="K788:L788"/>
    <mergeCell ref="K789:L789"/>
    <mergeCell ref="K790:L790"/>
    <mergeCell ref="K791:L791"/>
    <mergeCell ref="K792:L792"/>
    <mergeCell ref="K793:L793"/>
    <mergeCell ref="K794:L794"/>
    <mergeCell ref="K795:L795"/>
    <mergeCell ref="K796:L796"/>
    <mergeCell ref="K797:L797"/>
    <mergeCell ref="K798:L798"/>
    <mergeCell ref="K799:L799"/>
    <mergeCell ref="K766:L766"/>
    <mergeCell ref="K767:L767"/>
    <mergeCell ref="K768:L768"/>
    <mergeCell ref="K769:L769"/>
    <mergeCell ref="K770:L770"/>
    <mergeCell ref="K771:L771"/>
    <mergeCell ref="K772:L772"/>
    <mergeCell ref="K773:L773"/>
    <mergeCell ref="K774:L774"/>
    <mergeCell ref="K775:L775"/>
    <mergeCell ref="K776:L776"/>
    <mergeCell ref="K777:L777"/>
    <mergeCell ref="K778:L778"/>
    <mergeCell ref="K779:L779"/>
    <mergeCell ref="K780:L780"/>
    <mergeCell ref="K781:L781"/>
    <mergeCell ref="K782:L782"/>
    <mergeCell ref="K749:L749"/>
    <mergeCell ref="K750:L750"/>
    <mergeCell ref="K751:L751"/>
    <mergeCell ref="K752:L752"/>
    <mergeCell ref="K753:L753"/>
    <mergeCell ref="K754:L754"/>
    <mergeCell ref="K755:L755"/>
    <mergeCell ref="K756:L756"/>
    <mergeCell ref="K757:L757"/>
    <mergeCell ref="K758:L758"/>
    <mergeCell ref="K759:L759"/>
    <mergeCell ref="K760:L760"/>
    <mergeCell ref="K761:L761"/>
    <mergeCell ref="K762:L762"/>
    <mergeCell ref="K763:L763"/>
    <mergeCell ref="K764:L764"/>
    <mergeCell ref="K765:L765"/>
    <mergeCell ref="K732:L732"/>
    <mergeCell ref="K733:L733"/>
    <mergeCell ref="K734:L734"/>
    <mergeCell ref="K735:L735"/>
    <mergeCell ref="K736:L736"/>
    <mergeCell ref="K737:L737"/>
    <mergeCell ref="K738:L738"/>
    <mergeCell ref="K739:L739"/>
    <mergeCell ref="K740:L740"/>
    <mergeCell ref="K741:L741"/>
    <mergeCell ref="K742:L742"/>
    <mergeCell ref="K743:L743"/>
    <mergeCell ref="K744:L744"/>
    <mergeCell ref="K745:L745"/>
    <mergeCell ref="K746:L746"/>
    <mergeCell ref="K747:L747"/>
    <mergeCell ref="K748:L748"/>
    <mergeCell ref="K715:L715"/>
    <mergeCell ref="K716:L716"/>
    <mergeCell ref="K717:L717"/>
    <mergeCell ref="K718:L718"/>
    <mergeCell ref="K719:L719"/>
    <mergeCell ref="K720:L720"/>
    <mergeCell ref="K721:L721"/>
    <mergeCell ref="K722:L722"/>
    <mergeCell ref="K723:L723"/>
    <mergeCell ref="K724:L724"/>
    <mergeCell ref="K725:L725"/>
    <mergeCell ref="K726:L726"/>
    <mergeCell ref="K727:L727"/>
    <mergeCell ref="K728:L728"/>
    <mergeCell ref="K729:L729"/>
    <mergeCell ref="K730:L730"/>
    <mergeCell ref="K731:L731"/>
    <mergeCell ref="K698:L698"/>
    <mergeCell ref="K699:L699"/>
    <mergeCell ref="K700:L700"/>
    <mergeCell ref="K701:L701"/>
    <mergeCell ref="K702:L702"/>
    <mergeCell ref="K703:L703"/>
    <mergeCell ref="K704:L704"/>
    <mergeCell ref="K705:L705"/>
    <mergeCell ref="K706:L706"/>
    <mergeCell ref="K707:L707"/>
    <mergeCell ref="K708:L708"/>
    <mergeCell ref="K709:L709"/>
    <mergeCell ref="K710:L710"/>
    <mergeCell ref="K711:L711"/>
    <mergeCell ref="K712:L712"/>
    <mergeCell ref="K713:L713"/>
    <mergeCell ref="K714:L714"/>
    <mergeCell ref="K338:L338"/>
    <mergeCell ref="K339:L339"/>
    <mergeCell ref="K340:L340"/>
    <mergeCell ref="K684:L684"/>
    <mergeCell ref="K685:L685"/>
    <mergeCell ref="K686:L686"/>
    <mergeCell ref="K687:L687"/>
    <mergeCell ref="K688:L688"/>
    <mergeCell ref="K689:L689"/>
    <mergeCell ref="K690:L690"/>
    <mergeCell ref="K691:L691"/>
    <mergeCell ref="K692:L692"/>
    <mergeCell ref="K693:L693"/>
    <mergeCell ref="K694:L694"/>
    <mergeCell ref="K695:L695"/>
    <mergeCell ref="K696:L696"/>
    <mergeCell ref="K697:L697"/>
    <mergeCell ref="K372:L372"/>
    <mergeCell ref="K373:L373"/>
    <mergeCell ref="K374:L374"/>
    <mergeCell ref="K375:L375"/>
    <mergeCell ref="K376:L376"/>
    <mergeCell ref="K377:L377"/>
    <mergeCell ref="K378:L378"/>
    <mergeCell ref="K379:L379"/>
    <mergeCell ref="K380:L380"/>
    <mergeCell ref="K381:L381"/>
    <mergeCell ref="K382:L382"/>
    <mergeCell ref="K383:L383"/>
    <mergeCell ref="K384:L384"/>
    <mergeCell ref="K385:L385"/>
    <mergeCell ref="K386:L386"/>
    <mergeCell ref="K321:L321"/>
    <mergeCell ref="K322:L322"/>
    <mergeCell ref="K323:L323"/>
    <mergeCell ref="K324:L324"/>
    <mergeCell ref="K325:L325"/>
    <mergeCell ref="K326:L326"/>
    <mergeCell ref="K327:L327"/>
    <mergeCell ref="K328:L328"/>
    <mergeCell ref="K329:L329"/>
    <mergeCell ref="K330:L330"/>
    <mergeCell ref="K331:L331"/>
    <mergeCell ref="K332:L332"/>
    <mergeCell ref="K333:L333"/>
    <mergeCell ref="K334:L334"/>
    <mergeCell ref="K335:L335"/>
    <mergeCell ref="K336:L336"/>
    <mergeCell ref="K337:L337"/>
    <mergeCell ref="K304:L304"/>
    <mergeCell ref="K305:L305"/>
    <mergeCell ref="K306:L306"/>
    <mergeCell ref="K307:L307"/>
    <mergeCell ref="K308:L308"/>
    <mergeCell ref="K309:L309"/>
    <mergeCell ref="K310:L310"/>
    <mergeCell ref="K311:L311"/>
    <mergeCell ref="K312:L312"/>
    <mergeCell ref="K313:L313"/>
    <mergeCell ref="K314:L314"/>
    <mergeCell ref="K315:L315"/>
    <mergeCell ref="K316:L316"/>
    <mergeCell ref="K317:L317"/>
    <mergeCell ref="K318:L318"/>
    <mergeCell ref="K319:L319"/>
    <mergeCell ref="K320:L320"/>
    <mergeCell ref="K287:L287"/>
    <mergeCell ref="K288:L288"/>
    <mergeCell ref="K289:L289"/>
    <mergeCell ref="K290:L290"/>
    <mergeCell ref="K291:L291"/>
    <mergeCell ref="K292:L292"/>
    <mergeCell ref="K293:L293"/>
    <mergeCell ref="K294:L294"/>
    <mergeCell ref="K295:L295"/>
    <mergeCell ref="K296:L296"/>
    <mergeCell ref="K297:L297"/>
    <mergeCell ref="K298:L298"/>
    <mergeCell ref="K299:L299"/>
    <mergeCell ref="K300:L300"/>
    <mergeCell ref="K301:L301"/>
    <mergeCell ref="K302:L302"/>
    <mergeCell ref="K303:L303"/>
    <mergeCell ref="K270:L270"/>
    <mergeCell ref="K271:L271"/>
    <mergeCell ref="K272:L272"/>
    <mergeCell ref="K273:L273"/>
    <mergeCell ref="K274:L274"/>
    <mergeCell ref="K275:L275"/>
    <mergeCell ref="K276:L276"/>
    <mergeCell ref="K277:L277"/>
    <mergeCell ref="K278:L278"/>
    <mergeCell ref="K279:L279"/>
    <mergeCell ref="K280:L280"/>
    <mergeCell ref="K281:L281"/>
    <mergeCell ref="K282:L282"/>
    <mergeCell ref="K283:L283"/>
    <mergeCell ref="K284:L284"/>
    <mergeCell ref="K285:L285"/>
    <mergeCell ref="K286:L286"/>
    <mergeCell ref="K253:L253"/>
    <mergeCell ref="K254:L254"/>
    <mergeCell ref="K255:L255"/>
    <mergeCell ref="K256:L256"/>
    <mergeCell ref="K257:L257"/>
    <mergeCell ref="K258:L258"/>
    <mergeCell ref="K259:L259"/>
    <mergeCell ref="K260:L260"/>
    <mergeCell ref="K261:L261"/>
    <mergeCell ref="K262:L262"/>
    <mergeCell ref="K263:L263"/>
    <mergeCell ref="K264:L264"/>
    <mergeCell ref="K265:L265"/>
    <mergeCell ref="K266:L266"/>
    <mergeCell ref="K267:L267"/>
    <mergeCell ref="K268:L268"/>
    <mergeCell ref="K269:L269"/>
    <mergeCell ref="K236:L236"/>
    <mergeCell ref="K237:L237"/>
    <mergeCell ref="K238:L238"/>
    <mergeCell ref="K239:L239"/>
    <mergeCell ref="K240:L240"/>
    <mergeCell ref="K241:L241"/>
    <mergeCell ref="K242:L242"/>
    <mergeCell ref="K243:L243"/>
    <mergeCell ref="K244:L244"/>
    <mergeCell ref="K245:L245"/>
    <mergeCell ref="K246:L246"/>
    <mergeCell ref="K247:L247"/>
    <mergeCell ref="K248:L248"/>
    <mergeCell ref="K249:L249"/>
    <mergeCell ref="K250:L250"/>
    <mergeCell ref="K251:L251"/>
    <mergeCell ref="K252:L252"/>
    <mergeCell ref="K219:L219"/>
    <mergeCell ref="K220:L220"/>
    <mergeCell ref="K221:L221"/>
    <mergeCell ref="K222:L222"/>
    <mergeCell ref="K223:L223"/>
    <mergeCell ref="K224:L224"/>
    <mergeCell ref="K225:L225"/>
    <mergeCell ref="K226:L226"/>
    <mergeCell ref="K227:L227"/>
    <mergeCell ref="K228:L228"/>
    <mergeCell ref="K229:L229"/>
    <mergeCell ref="K230:L230"/>
    <mergeCell ref="K231:L231"/>
    <mergeCell ref="K232:L232"/>
    <mergeCell ref="K233:L233"/>
    <mergeCell ref="K234:L234"/>
    <mergeCell ref="K235:L235"/>
    <mergeCell ref="K202:L202"/>
    <mergeCell ref="K203:L203"/>
    <mergeCell ref="K204:L204"/>
    <mergeCell ref="K205:L205"/>
    <mergeCell ref="K206:L206"/>
    <mergeCell ref="K207:L207"/>
    <mergeCell ref="K208:L208"/>
    <mergeCell ref="K209:L209"/>
    <mergeCell ref="K210:L210"/>
    <mergeCell ref="K211:L211"/>
    <mergeCell ref="K212:L212"/>
    <mergeCell ref="K213:L213"/>
    <mergeCell ref="K214:L214"/>
    <mergeCell ref="K215:L215"/>
    <mergeCell ref="K216:L216"/>
    <mergeCell ref="K217:L217"/>
    <mergeCell ref="K218:L218"/>
    <mergeCell ref="K185:L185"/>
    <mergeCell ref="K186:L186"/>
    <mergeCell ref="K187:L187"/>
    <mergeCell ref="K188:L188"/>
    <mergeCell ref="K189:L189"/>
    <mergeCell ref="K190:L190"/>
    <mergeCell ref="K191:L191"/>
    <mergeCell ref="K192:L192"/>
    <mergeCell ref="K193:L193"/>
    <mergeCell ref="K194:L194"/>
    <mergeCell ref="K195:L195"/>
    <mergeCell ref="K196:L196"/>
    <mergeCell ref="K197:L197"/>
    <mergeCell ref="K198:L198"/>
    <mergeCell ref="K199:L199"/>
    <mergeCell ref="K200:L200"/>
    <mergeCell ref="K201:L201"/>
    <mergeCell ref="K168:L168"/>
    <mergeCell ref="K169:L169"/>
    <mergeCell ref="K170:L170"/>
    <mergeCell ref="K171:L171"/>
    <mergeCell ref="K172:L172"/>
    <mergeCell ref="K173:L173"/>
    <mergeCell ref="K174:L174"/>
    <mergeCell ref="K175:L175"/>
    <mergeCell ref="K176:L176"/>
    <mergeCell ref="K177:L177"/>
    <mergeCell ref="K178:L178"/>
    <mergeCell ref="K179:L179"/>
    <mergeCell ref="K180:L180"/>
    <mergeCell ref="K181:L181"/>
    <mergeCell ref="K182:L182"/>
    <mergeCell ref="K183:L183"/>
    <mergeCell ref="K184:L184"/>
    <mergeCell ref="K151:L151"/>
    <mergeCell ref="K152:L152"/>
    <mergeCell ref="K153:L153"/>
    <mergeCell ref="K154:L154"/>
    <mergeCell ref="K155:L155"/>
    <mergeCell ref="K156:L156"/>
    <mergeCell ref="K157:L157"/>
    <mergeCell ref="K158:L158"/>
    <mergeCell ref="K159:L159"/>
    <mergeCell ref="K160:L160"/>
    <mergeCell ref="K161:L161"/>
    <mergeCell ref="K162:L162"/>
    <mergeCell ref="K163:L163"/>
    <mergeCell ref="K164:L164"/>
    <mergeCell ref="K165:L165"/>
    <mergeCell ref="K166:L166"/>
    <mergeCell ref="K167:L167"/>
    <mergeCell ref="K134:L134"/>
    <mergeCell ref="K135:L135"/>
    <mergeCell ref="K136:L136"/>
    <mergeCell ref="K137:L137"/>
    <mergeCell ref="K138:L138"/>
    <mergeCell ref="K139:L139"/>
    <mergeCell ref="K140:L140"/>
    <mergeCell ref="K141:L141"/>
    <mergeCell ref="K142:L142"/>
    <mergeCell ref="K143:L143"/>
    <mergeCell ref="K144:L144"/>
    <mergeCell ref="K145:L145"/>
    <mergeCell ref="K146:L146"/>
    <mergeCell ref="K147:L147"/>
    <mergeCell ref="K148:L148"/>
    <mergeCell ref="K149:L149"/>
    <mergeCell ref="K150:L150"/>
    <mergeCell ref="K117:L117"/>
    <mergeCell ref="K118:L118"/>
    <mergeCell ref="K119:L119"/>
    <mergeCell ref="K120:L120"/>
    <mergeCell ref="K121:L121"/>
    <mergeCell ref="K122:L122"/>
    <mergeCell ref="K123:L123"/>
    <mergeCell ref="K124:L124"/>
    <mergeCell ref="K125:L125"/>
    <mergeCell ref="K126:L126"/>
    <mergeCell ref="K127:L127"/>
    <mergeCell ref="K128:L128"/>
    <mergeCell ref="K129:L129"/>
    <mergeCell ref="K130:L130"/>
    <mergeCell ref="K131:L131"/>
    <mergeCell ref="K132:L132"/>
    <mergeCell ref="K133:L133"/>
    <mergeCell ref="K100:L100"/>
    <mergeCell ref="K101:L101"/>
    <mergeCell ref="K102:L102"/>
    <mergeCell ref="K103:L103"/>
    <mergeCell ref="K104:L104"/>
    <mergeCell ref="K105:L105"/>
    <mergeCell ref="K106:L106"/>
    <mergeCell ref="K107:L107"/>
    <mergeCell ref="K108:L108"/>
    <mergeCell ref="K109:L109"/>
    <mergeCell ref="K110:L110"/>
    <mergeCell ref="K111:L111"/>
    <mergeCell ref="K112:L112"/>
    <mergeCell ref="K113:L113"/>
    <mergeCell ref="K114:L114"/>
    <mergeCell ref="K115:L115"/>
    <mergeCell ref="K116:L116"/>
    <mergeCell ref="K83:L83"/>
    <mergeCell ref="K84:L84"/>
    <mergeCell ref="K85:L85"/>
    <mergeCell ref="K86:L86"/>
    <mergeCell ref="K87:L87"/>
    <mergeCell ref="K88:L88"/>
    <mergeCell ref="K89:L89"/>
    <mergeCell ref="K90:L90"/>
    <mergeCell ref="K91:L91"/>
    <mergeCell ref="K92:L92"/>
    <mergeCell ref="K93:L93"/>
    <mergeCell ref="K94:L94"/>
    <mergeCell ref="K95:L95"/>
    <mergeCell ref="K96:L96"/>
    <mergeCell ref="K97:L97"/>
    <mergeCell ref="K98:L98"/>
    <mergeCell ref="K99:L99"/>
    <mergeCell ref="K66:L66"/>
    <mergeCell ref="K67:L67"/>
    <mergeCell ref="K68:L68"/>
    <mergeCell ref="K69:L69"/>
    <mergeCell ref="K70:L70"/>
    <mergeCell ref="K71:L71"/>
    <mergeCell ref="K72:L72"/>
    <mergeCell ref="K73:L73"/>
    <mergeCell ref="K74:L74"/>
    <mergeCell ref="K75:L75"/>
    <mergeCell ref="K76:L76"/>
    <mergeCell ref="K77:L77"/>
    <mergeCell ref="K78:L78"/>
    <mergeCell ref="K79:L79"/>
    <mergeCell ref="K80:L80"/>
    <mergeCell ref="K81:L81"/>
    <mergeCell ref="K82:L82"/>
    <mergeCell ref="K49:L49"/>
    <mergeCell ref="K50:L50"/>
    <mergeCell ref="K51:L51"/>
    <mergeCell ref="K52:L52"/>
    <mergeCell ref="K53:L53"/>
    <mergeCell ref="K54:L54"/>
    <mergeCell ref="K55:L55"/>
    <mergeCell ref="K56:L56"/>
    <mergeCell ref="K57:L57"/>
    <mergeCell ref="K58:L58"/>
    <mergeCell ref="K59:L59"/>
    <mergeCell ref="K60:L60"/>
    <mergeCell ref="K61:L61"/>
    <mergeCell ref="K62:L62"/>
    <mergeCell ref="K63:L63"/>
    <mergeCell ref="K64:L64"/>
    <mergeCell ref="K65:L65"/>
    <mergeCell ref="K32:L32"/>
    <mergeCell ref="K33:L33"/>
    <mergeCell ref="K34:L34"/>
    <mergeCell ref="K35:L35"/>
    <mergeCell ref="K36:L36"/>
    <mergeCell ref="K37:L37"/>
    <mergeCell ref="K38:L38"/>
    <mergeCell ref="K39:L39"/>
    <mergeCell ref="K40:L40"/>
    <mergeCell ref="K41:L41"/>
    <mergeCell ref="K42:L42"/>
    <mergeCell ref="K43:L43"/>
    <mergeCell ref="K44:L44"/>
    <mergeCell ref="K45:L45"/>
    <mergeCell ref="K46:L46"/>
    <mergeCell ref="K47:L47"/>
    <mergeCell ref="K48:L48"/>
    <mergeCell ref="K15:L15"/>
    <mergeCell ref="K16:L16"/>
    <mergeCell ref="K17:L17"/>
    <mergeCell ref="K18:L18"/>
    <mergeCell ref="K19:L19"/>
    <mergeCell ref="K20:L20"/>
    <mergeCell ref="K21:L21"/>
    <mergeCell ref="K22:L22"/>
    <mergeCell ref="K23:L23"/>
    <mergeCell ref="K24:L24"/>
    <mergeCell ref="K25:L25"/>
    <mergeCell ref="K26:L26"/>
    <mergeCell ref="K27:L27"/>
    <mergeCell ref="K28:L28"/>
    <mergeCell ref="K29:L29"/>
    <mergeCell ref="K30:L30"/>
    <mergeCell ref="K31:L31"/>
    <mergeCell ref="A1:B1"/>
    <mergeCell ref="C1:E1"/>
    <mergeCell ref="H1:I1"/>
    <mergeCell ref="K1:L1"/>
    <mergeCell ref="K2:L2"/>
    <mergeCell ref="K3:L3"/>
    <mergeCell ref="K4:L4"/>
    <mergeCell ref="K5:L5"/>
    <mergeCell ref="K6:L6"/>
    <mergeCell ref="K7:L7"/>
    <mergeCell ref="K8:L8"/>
    <mergeCell ref="K9:L9"/>
    <mergeCell ref="K10:L10"/>
    <mergeCell ref="K11:L11"/>
    <mergeCell ref="K12:L12"/>
    <mergeCell ref="K13:L13"/>
    <mergeCell ref="K14:L14"/>
  </mergeCells>
  <conditionalFormatting sqref="K3:K1000">
    <cfRule type="colorScale" priority="1">
      <colorScale>
        <cfvo type="min"/>
        <cfvo type="percentile" val="50"/>
        <cfvo type="max"/>
        <color rgb="FFFF0000"/>
        <color rgb="FFFFD666"/>
        <color rgb="FF00FF00"/>
      </colorScale>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600-000000000000}">
          <x14:formula1>
            <xm:f>NPCVar!$C$2:$C1000</xm:f>
          </x14:formula1>
          <xm:sqref>A1</xm:sqref>
        </x14:dataValidation>
        <x14:dataValidation type="list" allowBlank="1" showErrorMessage="1" xr:uid="{00000000-0002-0000-0600-000001000000}">
          <x14:formula1>
            <xm:f>NPCVar!$D$2:$D1000</xm:f>
          </x14:formula1>
          <xm:sqref>H1</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BW1000"/>
  <sheetViews>
    <sheetView workbookViewId="0">
      <selection sqref="A1:B1"/>
    </sheetView>
  </sheetViews>
  <sheetFormatPr defaultColWidth="12.6640625" defaultRowHeight="15.75" customHeight="1"/>
  <cols>
    <col min="1" max="2" width="11.88671875" customWidth="1"/>
  </cols>
  <sheetData>
    <row r="1" spans="1:75" ht="15.75" customHeight="1">
      <c r="A1" s="244"/>
      <c r="B1" s="173"/>
      <c r="C1" s="126"/>
      <c r="D1" s="127"/>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c r="BG1" s="53"/>
      <c r="BH1" s="53"/>
      <c r="BI1" s="53"/>
      <c r="BJ1" s="53"/>
      <c r="BK1" s="53"/>
      <c r="BL1" s="53"/>
      <c r="BM1" s="53"/>
      <c r="BN1" s="53"/>
      <c r="BO1" s="53"/>
      <c r="BP1" s="53"/>
      <c r="BQ1" s="53"/>
      <c r="BR1" s="53"/>
      <c r="BS1" s="53"/>
      <c r="BT1" s="53"/>
      <c r="BU1" s="53"/>
      <c r="BV1" s="53"/>
      <c r="BW1" s="53"/>
    </row>
    <row r="2" spans="1:75" ht="15.75" customHeight="1">
      <c r="A2" s="54"/>
      <c r="B2" s="245" t="s">
        <v>841</v>
      </c>
      <c r="C2" s="246"/>
      <c r="D2" s="246"/>
      <c r="E2" s="129"/>
      <c r="F2" s="129"/>
      <c r="G2" s="247" t="s">
        <v>842</v>
      </c>
      <c r="H2" s="248" t="s">
        <v>843</v>
      </c>
      <c r="I2" s="173"/>
      <c r="J2" s="173"/>
      <c r="K2" s="173"/>
      <c r="L2" s="173"/>
      <c r="M2" s="173"/>
      <c r="N2" s="129"/>
      <c r="O2" s="128" t="s">
        <v>844</v>
      </c>
      <c r="P2" s="129"/>
      <c r="Q2" s="249" t="s">
        <v>845</v>
      </c>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row>
    <row r="3" spans="1:75" ht="15.75" customHeight="1">
      <c r="A3" s="54"/>
      <c r="B3" s="250" t="s">
        <v>846</v>
      </c>
      <c r="C3" s="173"/>
      <c r="D3" s="173"/>
      <c r="E3" s="129"/>
      <c r="F3" s="129"/>
      <c r="G3" s="176"/>
      <c r="H3" s="173"/>
      <c r="I3" s="173"/>
      <c r="J3" s="173"/>
      <c r="K3" s="173"/>
      <c r="L3" s="173"/>
      <c r="M3" s="173"/>
      <c r="N3" s="129"/>
      <c r="O3" s="249">
        <v>0</v>
      </c>
      <c r="P3" s="129"/>
      <c r="Q3" s="246"/>
      <c r="R3" s="129"/>
      <c r="S3" s="129"/>
      <c r="T3" s="129"/>
      <c r="U3" s="129"/>
      <c r="V3" s="129"/>
      <c r="W3" s="129"/>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row>
    <row r="4" spans="1:75" ht="15.75" customHeight="1">
      <c r="A4" s="54"/>
      <c r="B4" s="173"/>
      <c r="C4" s="173"/>
      <c r="D4" s="173"/>
      <c r="E4" s="129"/>
      <c r="F4" s="129"/>
      <c r="G4" s="176"/>
      <c r="H4" s="173"/>
      <c r="I4" s="173"/>
      <c r="J4" s="173"/>
      <c r="K4" s="173"/>
      <c r="L4" s="173"/>
      <c r="M4" s="173"/>
      <c r="N4" s="129"/>
      <c r="O4" s="173"/>
      <c r="P4" s="129"/>
      <c r="Q4" s="130">
        <v>548</v>
      </c>
      <c r="R4" s="129"/>
      <c r="S4" s="129"/>
      <c r="T4" s="129"/>
      <c r="U4" s="129"/>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row>
    <row r="5" spans="1:75" ht="15.75" customHeight="1">
      <c r="A5" s="231"/>
      <c r="B5" s="173"/>
      <c r="C5" s="126"/>
      <c r="D5" s="127"/>
      <c r="E5" s="129"/>
      <c r="F5" s="129"/>
      <c r="G5" s="129"/>
      <c r="H5" s="129"/>
      <c r="I5" s="129"/>
      <c r="J5" s="129"/>
      <c r="K5" s="129"/>
      <c r="L5" s="129"/>
      <c r="M5" s="129"/>
      <c r="N5" s="129"/>
      <c r="O5" s="129"/>
      <c r="P5" s="129"/>
      <c r="Q5" s="129"/>
      <c r="R5" s="129"/>
      <c r="S5" s="129"/>
      <c r="T5" s="129"/>
      <c r="U5" s="129"/>
      <c r="V5" s="129"/>
      <c r="W5" s="129"/>
      <c r="X5" s="129"/>
      <c r="Y5" s="129"/>
      <c r="Z5" s="129"/>
      <c r="AA5" s="129"/>
      <c r="AB5" s="129"/>
      <c r="AC5" s="129"/>
      <c r="AD5" s="129"/>
      <c r="AE5" s="129"/>
      <c r="AF5" s="129"/>
      <c r="AG5" s="129"/>
      <c r="AH5" s="129"/>
      <c r="AI5" s="129"/>
      <c r="AJ5" s="129"/>
      <c r="AK5" s="129"/>
      <c r="AL5" s="129"/>
      <c r="AM5" s="129"/>
      <c r="AN5" s="129"/>
      <c r="AO5" s="129"/>
      <c r="AP5" s="129"/>
      <c r="AQ5" s="129"/>
      <c r="AR5" s="129"/>
      <c r="AS5" s="129"/>
      <c r="AT5" s="129"/>
      <c r="AU5" s="129"/>
      <c r="AV5" s="129"/>
      <c r="AW5" s="129"/>
      <c r="AX5" s="129"/>
      <c r="AY5" s="129"/>
      <c r="AZ5" s="129"/>
      <c r="BA5" s="129"/>
      <c r="BB5" s="129"/>
      <c r="BC5" s="129"/>
      <c r="BD5" s="129"/>
      <c r="BE5" s="129"/>
      <c r="BF5" s="129"/>
      <c r="BG5" s="129"/>
      <c r="BH5" s="129"/>
      <c r="BI5" s="129"/>
      <c r="BJ5" s="129"/>
      <c r="BK5" s="129"/>
      <c r="BL5" s="129"/>
      <c r="BM5" s="129"/>
      <c r="BN5" s="129"/>
      <c r="BO5" s="129"/>
      <c r="BP5" s="129"/>
      <c r="BQ5" s="129"/>
      <c r="BR5" s="129"/>
      <c r="BS5" s="129"/>
      <c r="BT5" s="129"/>
      <c r="BU5" s="129"/>
      <c r="BV5" s="129"/>
      <c r="BW5" s="129"/>
    </row>
    <row r="6" spans="1:75" ht="15.75" customHeight="1">
      <c r="A6" s="131" t="str">
        <f ca="1">CONCATENATE(COUNTA(C6:BW6),"/",COUNTA(NPCLName))</f>
        <v>14/30</v>
      </c>
      <c r="B6" s="132" t="s">
        <v>847</v>
      </c>
      <c r="C6" s="133">
        <f ca="1">IFERROR(__xludf.DUMMYFUNCTION("TRANSPOSE(QUERY('NPC List'!A1:AF1000, ""Select A WHERE Y = 'Land Lord'"",0))"),94)</f>
        <v>94</v>
      </c>
      <c r="D6" s="134">
        <f ca="1">IFERROR(__xludf.DUMMYFUNCTION("""COMPUTED_VALUE"""),99)</f>
        <v>99</v>
      </c>
      <c r="E6" s="135">
        <f ca="1">IFERROR(__xludf.DUMMYFUNCTION("""COMPUTED_VALUE"""),181)</f>
        <v>181</v>
      </c>
      <c r="F6" s="135">
        <f ca="1">IFERROR(__xludf.DUMMYFUNCTION("""COMPUTED_VALUE"""),268)</f>
        <v>268</v>
      </c>
      <c r="G6" s="135">
        <f ca="1">IFERROR(__xludf.DUMMYFUNCTION("""COMPUTED_VALUE"""),350)</f>
        <v>350</v>
      </c>
      <c r="H6" s="135">
        <f ca="1">IFERROR(__xludf.DUMMYFUNCTION("""COMPUTED_VALUE"""),355)</f>
        <v>355</v>
      </c>
      <c r="I6" s="135">
        <f ca="1">IFERROR(__xludf.DUMMYFUNCTION("""COMPUTED_VALUE"""),437)</f>
        <v>437</v>
      </c>
      <c r="J6" s="135">
        <f ca="1">IFERROR(__xludf.DUMMYFUNCTION("""COMPUTED_VALUE"""),524)</f>
        <v>524</v>
      </c>
      <c r="K6" s="135">
        <f ca="1">IFERROR(__xludf.DUMMYFUNCTION("""COMPUTED_VALUE"""),606)</f>
        <v>606</v>
      </c>
      <c r="L6" s="135">
        <f ca="1">IFERROR(__xludf.DUMMYFUNCTION("""COMPUTED_VALUE"""),611)</f>
        <v>611</v>
      </c>
      <c r="M6" s="135">
        <f ca="1">IFERROR(__xludf.DUMMYFUNCTION("""COMPUTED_VALUE"""),693)</f>
        <v>693</v>
      </c>
      <c r="N6" s="135">
        <f ca="1">IFERROR(__xludf.DUMMYFUNCTION("""COMPUTED_VALUE"""),780)</f>
        <v>780</v>
      </c>
      <c r="O6" s="135">
        <f ca="1">IFERROR(__xludf.DUMMYFUNCTION("""COMPUTED_VALUE"""),862)</f>
        <v>862</v>
      </c>
      <c r="P6" s="135">
        <f ca="1">IFERROR(__xludf.DUMMYFUNCTION("""COMPUTED_VALUE"""),949)</f>
        <v>949</v>
      </c>
      <c r="Q6" s="135"/>
      <c r="R6" s="135"/>
      <c r="S6" s="135"/>
      <c r="T6" s="135"/>
      <c r="U6" s="135"/>
      <c r="V6" s="135"/>
      <c r="W6" s="135"/>
      <c r="X6" s="135"/>
      <c r="Y6" s="135"/>
      <c r="Z6" s="135"/>
      <c r="AA6" s="135"/>
      <c r="AB6" s="136"/>
      <c r="AC6" s="136"/>
      <c r="AD6" s="136"/>
      <c r="AE6" s="136"/>
      <c r="AF6" s="136"/>
      <c r="AG6" s="136"/>
      <c r="AH6" s="136"/>
      <c r="AI6" s="136"/>
      <c r="AJ6" s="136"/>
      <c r="AK6" s="136"/>
      <c r="AL6" s="136"/>
      <c r="AM6" s="136"/>
      <c r="AN6" s="136"/>
      <c r="AO6" s="136"/>
      <c r="AP6" s="136"/>
      <c r="AQ6" s="136"/>
      <c r="AR6" s="136"/>
      <c r="AS6" s="136"/>
      <c r="AT6" s="136"/>
      <c r="AU6" s="136"/>
      <c r="AV6" s="136"/>
      <c r="AW6" s="136"/>
      <c r="AX6" s="136"/>
      <c r="AY6" s="136"/>
      <c r="AZ6" s="136"/>
      <c r="BA6" s="136"/>
      <c r="BB6" s="136"/>
      <c r="BC6" s="136"/>
      <c r="BD6" s="136"/>
      <c r="BE6" s="136"/>
      <c r="BF6" s="136"/>
      <c r="BG6" s="136"/>
      <c r="BH6" s="136"/>
      <c r="BI6" s="136"/>
      <c r="BJ6" s="136"/>
      <c r="BK6" s="136"/>
      <c r="BL6" s="136"/>
      <c r="BM6" s="136"/>
      <c r="BN6" s="136"/>
      <c r="BO6" s="136"/>
      <c r="BP6" s="136"/>
      <c r="BQ6" s="136"/>
      <c r="BR6" s="136"/>
      <c r="BS6" s="136"/>
      <c r="BT6" s="136"/>
      <c r="BU6" s="136"/>
      <c r="BV6" s="136"/>
      <c r="BW6" s="136"/>
    </row>
    <row r="7" spans="1:75" ht="15.75" customHeight="1">
      <c r="A7" s="251" t="str">
        <f>CONCATENATE("World Locations"," (",COUNTA(A8:A1000),")")</f>
        <v>World Locations (20)</v>
      </c>
      <c r="B7" s="173"/>
      <c r="C7" s="137" t="s">
        <v>848</v>
      </c>
      <c r="D7" s="138" t="s">
        <v>849</v>
      </c>
      <c r="E7" s="59"/>
      <c r="F7" s="59"/>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row>
    <row r="8" spans="1:75" ht="15.75" customHeight="1">
      <c r="A8" s="193" t="s">
        <v>98</v>
      </c>
      <c r="B8" s="173"/>
      <c r="C8" s="139" t="str">
        <f ca="1">IFERROR(__xludf.DUMMYFUNCTION("if(ISBLANK(INDIRECT(ADDRESS(6,(ROW()-5)))),,QUERY('NPC List'!$1:$1000, ""Select C,D WHERE A = ""&amp;INDIRECT(ADDRESS(6,(ROW()-5)))&amp;"""",0))"),"Zoru")</f>
        <v>Zoru</v>
      </c>
      <c r="D8" s="140" t="str">
        <f ca="1">IFERROR(__xludf.DUMMYFUNCTION("""COMPUTED_VALUE"""),"Stillspell")</f>
        <v>Stillspell</v>
      </c>
    </row>
    <row r="9" spans="1:75" ht="15.75" customHeight="1">
      <c r="A9" s="193" t="s">
        <v>110</v>
      </c>
      <c r="B9" s="173"/>
      <c r="C9" s="139" t="str">
        <f ca="1">IFERROR(__xludf.DUMMYFUNCTION("if(ISBLANK(INDIRECT(ADDRESS(6,(ROW()-5)))),,QUERY('NPC List'!$1:$1000, ""Select C,D WHERE A = ""&amp;INDIRECT(ADDRESS(6,(ROW()-5)))&amp;"""",0))"),"Wuthmon")</f>
        <v>Wuthmon</v>
      </c>
      <c r="D9" s="140" t="str">
        <f ca="1">IFERROR(__xludf.DUMMYFUNCTION("""COMPUTED_VALUE"""),"Stillspell")</f>
        <v>Stillspell</v>
      </c>
    </row>
    <row r="10" spans="1:75" ht="15.75" customHeight="1">
      <c r="A10" s="193" t="s">
        <v>122</v>
      </c>
      <c r="B10" s="173"/>
      <c r="C10" s="139" t="str">
        <f ca="1">IFERROR(__xludf.DUMMYFUNCTION("if(ISBLANK(INDIRECT(ADDRESS(6,(ROW()-5)))),,QUERY('NPC List'!$1:$1000, ""Select C,D WHERE A = ""&amp;INDIRECT(ADDRESS(6,(ROW()-5)))&amp;"""",0))"),"Zecane")</f>
        <v>Zecane</v>
      </c>
      <c r="D10" s="140" t="str">
        <f ca="1">IFERROR(__xludf.DUMMYFUNCTION("""COMPUTED_VALUE"""),"Stillspell")</f>
        <v>Stillspell</v>
      </c>
    </row>
    <row r="11" spans="1:75" ht="15.75" customHeight="1">
      <c r="A11" s="193" t="s">
        <v>133</v>
      </c>
      <c r="B11" s="173"/>
      <c r="C11" s="139" t="str">
        <f ca="1">IFERROR(__xludf.DUMMYFUNCTION("if(ISBLANK(INDIRECT(ADDRESS(6,(ROW()-5)))),,QUERY('NPC List'!$1:$1000, ""Select C,D WHERE A = ""&amp;INDIRECT(ADDRESS(6,(ROW()-5)))&amp;"""",0))"),"Xuio")</f>
        <v>Xuio</v>
      </c>
      <c r="D11" s="140" t="str">
        <f ca="1">IFERROR(__xludf.DUMMYFUNCTION("""COMPUTED_VALUE"""),"Stillspell")</f>
        <v>Stillspell</v>
      </c>
    </row>
    <row r="12" spans="1:75" ht="15.75" customHeight="1">
      <c r="A12" s="193" t="s">
        <v>144</v>
      </c>
      <c r="B12" s="173"/>
      <c r="C12" s="139" t="str">
        <f ca="1">IFERROR(__xludf.DUMMYFUNCTION("if(ISBLANK(INDIRECT(ADDRESS(6,(ROW()-5)))),,QUERY('NPC List'!$1:$1000, ""Select C,D WHERE A = ""&amp;INDIRECT(ADDRESS(6,(ROW()-5)))&amp;"""",0))"),"Zoru")</f>
        <v>Zoru</v>
      </c>
      <c r="D12" s="140" t="str">
        <f ca="1">IFERROR(__xludf.DUMMYFUNCTION("""COMPUTED_VALUE"""),"Stillspell")</f>
        <v>Stillspell</v>
      </c>
    </row>
    <row r="13" spans="1:75" ht="15.75" customHeight="1">
      <c r="A13" s="193" t="s">
        <v>155</v>
      </c>
      <c r="B13" s="173"/>
      <c r="C13" s="139" t="str">
        <f ca="1">IFERROR(__xludf.DUMMYFUNCTION("if(ISBLANK(INDIRECT(ADDRESS(6,(ROW()-5)))),,QUERY('NPC List'!$1:$1000, ""Select C,D WHERE A = ""&amp;INDIRECT(ADDRESS(6,(ROW()-5)))&amp;"""",0))"),"Witfar")</f>
        <v>Witfar</v>
      </c>
      <c r="D13" s="140" t="str">
        <f ca="1">IFERROR(__xludf.DUMMYFUNCTION("""COMPUTED_VALUE"""),"Stillspell")</f>
        <v>Stillspell</v>
      </c>
    </row>
    <row r="14" spans="1:75" ht="15.75" customHeight="1">
      <c r="A14" s="193" t="s">
        <v>164</v>
      </c>
      <c r="B14" s="173"/>
      <c r="C14" s="139" t="str">
        <f ca="1">IFERROR(__xludf.DUMMYFUNCTION("if(ISBLANK(INDIRECT(ADDRESS(6,(ROW()-5)))),,QUERY('NPC List'!$1:$1000, ""Select C,D WHERE A = ""&amp;INDIRECT(ADDRESS(6,(ROW()-5)))&amp;"""",0))"),"Yssith")</f>
        <v>Yssith</v>
      </c>
      <c r="D14" s="140" t="str">
        <f ca="1">IFERROR(__xludf.DUMMYFUNCTION("""COMPUTED_VALUE"""),"Stillspell")</f>
        <v>Stillspell</v>
      </c>
    </row>
    <row r="15" spans="1:75" ht="15.75" customHeight="1">
      <c r="A15" s="193" t="s">
        <v>173</v>
      </c>
      <c r="B15" s="173"/>
      <c r="C15" s="139" t="str">
        <f ca="1">IFERROR(__xludf.DUMMYFUNCTION("if(ISBLANK(INDIRECT(ADDRESS(6,(ROW()-5)))),,QUERY('NPC List'!$1:$1000, ""Select C,D WHERE A = ""&amp;INDIRECT(ADDRESS(6,(ROW()-5)))&amp;"""",0))"),"Xenil")</f>
        <v>Xenil</v>
      </c>
      <c r="D15" s="140" t="str">
        <f ca="1">IFERROR(__xludf.DUMMYFUNCTION("""COMPUTED_VALUE"""),"Stillspell")</f>
        <v>Stillspell</v>
      </c>
    </row>
    <row r="16" spans="1:75" ht="15.75" customHeight="1">
      <c r="A16" s="193" t="s">
        <v>182</v>
      </c>
      <c r="B16" s="173"/>
      <c r="C16" s="139" t="str">
        <f ca="1">IFERROR(__xludf.DUMMYFUNCTION("if(ISBLANK(INDIRECT(ADDRESS(6,(ROW()-5)))),,QUERY('NPC List'!$1:$1000, ""Select C,D WHERE A = ""&amp;INDIRECT(ADDRESS(6,(ROW()-5)))&amp;"""",0))"),"Zile")</f>
        <v>Zile</v>
      </c>
      <c r="D16" s="140" t="str">
        <f ca="1">IFERROR(__xludf.DUMMYFUNCTION("""COMPUTED_VALUE"""),"Stillspell")</f>
        <v>Stillspell</v>
      </c>
    </row>
    <row r="17" spans="1:4" ht="15.75" customHeight="1">
      <c r="A17" s="193" t="s">
        <v>190</v>
      </c>
      <c r="B17" s="173"/>
      <c r="C17" s="139" t="str">
        <f ca="1">IFERROR(__xludf.DUMMYFUNCTION("if(ISBLANK(INDIRECT(ADDRESS(6,(ROW()-5)))),,QUERY('NPC List'!$1:$1000, ""Select C,D WHERE A = ""&amp;INDIRECT(ADDRESS(6,(ROW()-5)))&amp;"""",0))"),"Witfar")</f>
        <v>Witfar</v>
      </c>
      <c r="D17" s="140" t="str">
        <f ca="1">IFERROR(__xludf.DUMMYFUNCTION("""COMPUTED_VALUE"""),"Stillspell")</f>
        <v>Stillspell</v>
      </c>
    </row>
    <row r="18" spans="1:4" ht="15.75" customHeight="1">
      <c r="A18" s="193" t="s">
        <v>196</v>
      </c>
      <c r="B18" s="173"/>
      <c r="C18" s="139" t="str">
        <f ca="1">IFERROR(__xludf.DUMMYFUNCTION("if(ISBLANK(INDIRECT(ADDRESS(6,(ROW()-5)))),,QUERY('NPC List'!$1:$1000, ""Select C,D WHERE A = ""&amp;INDIRECT(ADDRESS(6,(ROW()-5)))&amp;"""",0))"),"Yssith")</f>
        <v>Yssith</v>
      </c>
      <c r="D18" s="140" t="str">
        <f ca="1">IFERROR(__xludf.DUMMYFUNCTION("""COMPUTED_VALUE"""),"Stillspell")</f>
        <v>Stillspell</v>
      </c>
    </row>
    <row r="19" spans="1:4" ht="15.75" customHeight="1">
      <c r="A19" s="193" t="s">
        <v>201</v>
      </c>
      <c r="B19" s="173"/>
      <c r="C19" s="139" t="str">
        <f ca="1">IFERROR(__xludf.DUMMYFUNCTION("if(ISBLANK(INDIRECT(ADDRESS(6,(ROW()-5)))),,QUERY('NPC List'!$1:$1000, ""Select C,D WHERE A = ""&amp;INDIRECT(ADDRESS(6,(ROW()-5)))&amp;"""",0))"),"Wyvorn")</f>
        <v>Wyvorn</v>
      </c>
      <c r="D19" s="140" t="str">
        <f ca="1">IFERROR(__xludf.DUMMYFUNCTION("""COMPUTED_VALUE"""),"Stillspell")</f>
        <v>Stillspell</v>
      </c>
    </row>
    <row r="20" spans="1:4" ht="15.75" customHeight="1">
      <c r="A20" s="193" t="s">
        <v>205</v>
      </c>
      <c r="B20" s="173"/>
      <c r="C20" s="139" t="str">
        <f ca="1">IFERROR(__xludf.DUMMYFUNCTION("if(ISBLANK(INDIRECT(ADDRESS(6,(ROW()-5)))),,QUERY('NPC List'!$1:$1000, ""Select C,D WHERE A = ""&amp;INDIRECT(ADDRESS(6,(ROW()-5)))&amp;"""",0))"),"Zessfar")</f>
        <v>Zessfar</v>
      </c>
      <c r="D20" s="140" t="str">
        <f ca="1">IFERROR(__xludf.DUMMYFUNCTION("""COMPUTED_VALUE"""),"Stillspell")</f>
        <v>Stillspell</v>
      </c>
    </row>
    <row r="21" spans="1:4" ht="15.75" customHeight="1">
      <c r="A21" s="193" t="s">
        <v>208</v>
      </c>
      <c r="B21" s="173"/>
      <c r="C21" s="139" t="str">
        <f ca="1">IFERROR(__xludf.DUMMYFUNCTION("if(ISBLANK(INDIRECT(ADDRESS(6,(ROW()-5)))),,QUERY('NPC List'!$1:$1000, ""Select C,D WHERE A = ""&amp;INDIRECT(ADDRESS(6,(ROW()-5)))&amp;"""",0))"),"Yepal")</f>
        <v>Yepal</v>
      </c>
      <c r="D21" s="140" t="str">
        <f ca="1">IFERROR(__xludf.DUMMYFUNCTION("""COMPUTED_VALUE"""),"Stillspell")</f>
        <v>Stillspell</v>
      </c>
    </row>
    <row r="22" spans="1:4" ht="15.75" customHeight="1">
      <c r="A22" s="193" t="s">
        <v>208</v>
      </c>
      <c r="B22" s="173"/>
      <c r="C22" s="139" t="str">
        <f ca="1">IFERROR(__xludf.DUMMYFUNCTION("if(ISBLANK(INDIRECT(ADDRESS(6,(ROW()-5)))),,QUERY('NPC List'!$1:$1000, ""Select C,D WHERE A = ""&amp;INDIRECT(ADDRESS(6,(ROW()-5)))&amp;"""",0))"),"")</f>
        <v/>
      </c>
      <c r="D22" s="140"/>
    </row>
    <row r="23" spans="1:4" ht="15.75" customHeight="1">
      <c r="A23" s="193" t="s">
        <v>213</v>
      </c>
      <c r="B23" s="173"/>
      <c r="C23" s="139" t="str">
        <f ca="1">IFERROR(__xludf.DUMMYFUNCTION("if(ISBLANK(INDIRECT(ADDRESS(6,(ROW()-5)))),,QUERY('NPC List'!$1:$1000, ""Select C,D WHERE A = ""&amp;INDIRECT(ADDRESS(6,(ROW()-5)))&amp;"""",0))"),"")</f>
        <v/>
      </c>
      <c r="D23" s="140"/>
    </row>
    <row r="24" spans="1:4" ht="15.75" customHeight="1">
      <c r="A24" s="193" t="s">
        <v>216</v>
      </c>
      <c r="B24" s="173"/>
      <c r="C24" s="139" t="str">
        <f ca="1">IFERROR(__xludf.DUMMYFUNCTION("if(ISBLANK(INDIRECT(ADDRESS(6,(ROW()-5)))),,QUERY('NPC List'!$1:$1000, ""Select C,D WHERE A = ""&amp;INDIRECT(ADDRESS(6,(ROW()-5)))&amp;"""",0))"),"")</f>
        <v/>
      </c>
      <c r="D24" s="140"/>
    </row>
    <row r="25" spans="1:4" ht="15.75" customHeight="1">
      <c r="A25" s="193" t="s">
        <v>219</v>
      </c>
      <c r="B25" s="173"/>
      <c r="C25" s="139" t="str">
        <f ca="1">IFERROR(__xludf.DUMMYFUNCTION("if(ISBLANK(INDIRECT(ADDRESS(6,(ROW()-5)))),,QUERY('NPC List'!$1:$1000, ""Select C,D WHERE A = ""&amp;INDIRECT(ADDRESS(6,(ROW()-5)))&amp;"""",0))"),"")</f>
        <v/>
      </c>
      <c r="D25" s="140"/>
    </row>
    <row r="26" spans="1:4" ht="15.75" customHeight="1">
      <c r="A26" s="193" t="s">
        <v>222</v>
      </c>
      <c r="B26" s="173"/>
      <c r="C26" s="139" t="str">
        <f ca="1">IFERROR(__xludf.DUMMYFUNCTION("if(ISBLANK(INDIRECT(ADDRESS(6,(ROW()-5)))),,QUERY('NPC List'!$1:$1000, ""Select C,D WHERE A = ""&amp;INDIRECT(ADDRESS(6,(ROW()-5)))&amp;"""",0))"),"")</f>
        <v/>
      </c>
      <c r="D26" s="140"/>
    </row>
    <row r="27" spans="1:4" ht="15.75" customHeight="1">
      <c r="A27" s="193" t="s">
        <v>225</v>
      </c>
      <c r="B27" s="173"/>
      <c r="C27" s="139" t="str">
        <f ca="1">IFERROR(__xludf.DUMMYFUNCTION("if(ISBLANK(INDIRECT(ADDRESS(6,(ROW()-5)))),,QUERY('NPC List'!$1:$1000, ""Select C,D WHERE A = ""&amp;INDIRECT(ADDRESS(6,(ROW()-5)))&amp;"""",0))"),"")</f>
        <v/>
      </c>
      <c r="D27" s="140"/>
    </row>
    <row r="28" spans="1:4" ht="13.2">
      <c r="A28" s="193"/>
      <c r="B28" s="173"/>
      <c r="C28" s="139" t="str">
        <f ca="1">IFERROR(__xludf.DUMMYFUNCTION("if(ISBLANK(INDIRECT(ADDRESS(6,(ROW()-5)))),,QUERY('NPC List'!$1:$1000, ""Select C,D WHERE A = ""&amp;INDIRECT(ADDRESS(6,(ROW()-5)))&amp;"""",0))"),"")</f>
        <v/>
      </c>
      <c r="D28" s="140"/>
    </row>
    <row r="29" spans="1:4" ht="13.2">
      <c r="A29" s="193"/>
      <c r="B29" s="173"/>
      <c r="C29" s="139" t="str">
        <f ca="1">IFERROR(__xludf.DUMMYFUNCTION("if(ISBLANK(INDIRECT(ADDRESS(6,(ROW()-5)))),,QUERY('NPC List'!$1:$1000, ""Select C,D WHERE A = ""&amp;INDIRECT(ADDRESS(6,(ROW()-5)))&amp;"""",0))"),"")</f>
        <v/>
      </c>
      <c r="D29" s="140"/>
    </row>
    <row r="30" spans="1:4" ht="13.2">
      <c r="A30" s="193"/>
      <c r="B30" s="173"/>
      <c r="C30" s="139" t="str">
        <f ca="1">IFERROR(__xludf.DUMMYFUNCTION("if(ISBLANK(INDIRECT(ADDRESS(6,(ROW()-5)))),,QUERY('NPC List'!$1:$1000, ""Select C,D WHERE A = ""&amp;INDIRECT(ADDRESS(6,(ROW()-5)))&amp;"""",0))"),"")</f>
        <v/>
      </c>
      <c r="D30" s="140"/>
    </row>
    <row r="31" spans="1:4" ht="13.2">
      <c r="A31" s="193"/>
      <c r="B31" s="173"/>
      <c r="C31" s="139" t="str">
        <f ca="1">IFERROR(__xludf.DUMMYFUNCTION("if(ISBLANK(INDIRECT(ADDRESS(6,(ROW()-5)))),,QUERY('NPC List'!$1:$1000, ""Select C,D WHERE A = ""&amp;INDIRECT(ADDRESS(6,(ROW()-5)))&amp;"""",0))"),"")</f>
        <v/>
      </c>
      <c r="D31" s="140"/>
    </row>
    <row r="32" spans="1:4" ht="13.2">
      <c r="A32" s="193"/>
      <c r="B32" s="173"/>
      <c r="C32" s="139" t="str">
        <f ca="1">IFERROR(__xludf.DUMMYFUNCTION("if(ISBLANK(INDIRECT(ADDRESS(6,(ROW()-5)))),,QUERY('NPC List'!$1:$1000, ""Select C,D WHERE A = ""&amp;INDIRECT(ADDRESS(6,(ROW()-5)))&amp;"""",0))"),"")</f>
        <v/>
      </c>
      <c r="D32" s="140"/>
    </row>
    <row r="33" spans="1:4" ht="13.2">
      <c r="A33" s="193"/>
      <c r="B33" s="173"/>
      <c r="C33" s="139" t="str">
        <f ca="1">IFERROR(__xludf.DUMMYFUNCTION("if(ISBLANK(INDIRECT(ADDRESS(6,(ROW()-5)))),,QUERY('NPC List'!$1:$1000, ""Select C,D WHERE A = ""&amp;INDIRECT(ADDRESS(6,(ROW()-5)))&amp;"""",0))"),"")</f>
        <v/>
      </c>
      <c r="D33" s="140"/>
    </row>
    <row r="34" spans="1:4" ht="13.2">
      <c r="A34" s="193"/>
      <c r="B34" s="173"/>
      <c r="C34" s="139" t="str">
        <f ca="1">IFERROR(__xludf.DUMMYFUNCTION("if(ISBLANK(INDIRECT(ADDRESS(6,(ROW()-5)))),,QUERY('NPC List'!$1:$1000, ""Select C,D WHERE A = ""&amp;INDIRECT(ADDRESS(6,(ROW()-5)))&amp;"""",0))"),"")</f>
        <v/>
      </c>
      <c r="D34" s="140"/>
    </row>
    <row r="35" spans="1:4" ht="13.2">
      <c r="A35" s="193"/>
      <c r="B35" s="173"/>
      <c r="C35" s="139" t="str">
        <f ca="1">IFERROR(__xludf.DUMMYFUNCTION("if(ISBLANK(INDIRECT(ADDRESS(6,(ROW()-5)))),,QUERY('NPC List'!$1:$1000, ""Select C,D WHERE A = ""&amp;INDIRECT(ADDRESS(6,(ROW()-5)))&amp;"""",0))"),"")</f>
        <v/>
      </c>
      <c r="D35" s="140"/>
    </row>
    <row r="36" spans="1:4" ht="13.2">
      <c r="A36" s="193"/>
      <c r="B36" s="173"/>
      <c r="C36" s="139" t="str">
        <f ca="1">IFERROR(__xludf.DUMMYFUNCTION("if(ISBLANK(INDIRECT(ADDRESS(6,(ROW()-5)))),,QUERY('NPC List'!$1:$1000, ""Select C,D WHERE A = ""&amp;INDIRECT(ADDRESS(6,(ROW()-5)))&amp;"""",0))"),"")</f>
        <v/>
      </c>
      <c r="D36" s="140"/>
    </row>
    <row r="37" spans="1:4" ht="13.2">
      <c r="A37" s="193"/>
      <c r="B37" s="173"/>
      <c r="C37" s="139" t="str">
        <f ca="1">IFERROR(__xludf.DUMMYFUNCTION("if(ISBLANK(INDIRECT(ADDRESS(6,(ROW()-5)))),,QUERY('NPC List'!$1:$1000, ""Select C,D WHERE A = ""&amp;INDIRECT(ADDRESS(6,(ROW()-5)))&amp;"""",0))"),"")</f>
        <v/>
      </c>
      <c r="D37" s="140"/>
    </row>
    <row r="38" spans="1:4" ht="13.2">
      <c r="A38" s="193"/>
      <c r="B38" s="173"/>
      <c r="C38" s="139" t="str">
        <f ca="1">IFERROR(__xludf.DUMMYFUNCTION("if(ISBLANK(INDIRECT(ADDRESS(6,(ROW()-5)))),,QUERY('NPC List'!$1:$1000, ""Select C,D WHERE A = ""&amp;INDIRECT(ADDRESS(6,(ROW()-5)))&amp;"""",0))"),"")</f>
        <v/>
      </c>
      <c r="D38" s="140"/>
    </row>
    <row r="39" spans="1:4" ht="13.2">
      <c r="A39" s="193"/>
      <c r="B39" s="173"/>
      <c r="C39" s="139" t="str">
        <f ca="1">IFERROR(__xludf.DUMMYFUNCTION("if(ISBLANK(INDIRECT(ADDRESS(6,(ROW()-5)))),,QUERY('NPC List'!$1:$1000, ""Select C,D WHERE A = ""&amp;INDIRECT(ADDRESS(6,(ROW()-5)))&amp;"""",0))"),"")</f>
        <v/>
      </c>
      <c r="D39" s="140"/>
    </row>
    <row r="40" spans="1:4" ht="13.2">
      <c r="A40" s="193"/>
      <c r="B40" s="173"/>
      <c r="C40" s="139" t="str">
        <f ca="1">IFERROR(__xludf.DUMMYFUNCTION("if(ISBLANK(INDIRECT(ADDRESS(6,(ROW()-5)))),,QUERY('NPC List'!$1:$1000, ""Select C,D WHERE A = ""&amp;INDIRECT(ADDRESS(6,(ROW()-5)))&amp;"""",0))"),"")</f>
        <v/>
      </c>
      <c r="D40" s="140"/>
    </row>
    <row r="41" spans="1:4" ht="13.2">
      <c r="A41" s="193"/>
      <c r="B41" s="173"/>
      <c r="C41" s="139" t="str">
        <f ca="1">IFERROR(__xludf.DUMMYFUNCTION("if(ISBLANK(INDIRECT(ADDRESS(6,(ROW()-5)))),,QUERY('NPC List'!$1:$1000, ""Select C,D WHERE A = ""&amp;INDIRECT(ADDRESS(6,(ROW()-5)))&amp;"""",0))"),"")</f>
        <v/>
      </c>
      <c r="D41" s="140"/>
    </row>
    <row r="42" spans="1:4" ht="13.2">
      <c r="A42" s="193"/>
      <c r="B42" s="173"/>
      <c r="C42" s="139" t="str">
        <f ca="1">IFERROR(__xludf.DUMMYFUNCTION("if(ISBLANK(INDIRECT(ADDRESS(6,(ROW()-5)))),,QUERY('NPC List'!$1:$1000, ""Select C,D WHERE A = ""&amp;INDIRECT(ADDRESS(6,(ROW()-5)))&amp;"""",0))"),"")</f>
        <v/>
      </c>
      <c r="D42" s="140"/>
    </row>
    <row r="43" spans="1:4" ht="13.2">
      <c r="A43" s="193"/>
      <c r="B43" s="173"/>
      <c r="C43" s="139" t="str">
        <f ca="1">IFERROR(__xludf.DUMMYFUNCTION("if(ISBLANK(INDIRECT(ADDRESS(6,(ROW()-5)))),,QUERY('NPC List'!$1:$1000, ""Select C,D WHERE A = ""&amp;INDIRECT(ADDRESS(6,(ROW()-5)))&amp;"""",0))"),"")</f>
        <v/>
      </c>
      <c r="D43" s="140"/>
    </row>
    <row r="44" spans="1:4" ht="13.2">
      <c r="A44" s="193"/>
      <c r="B44" s="173"/>
      <c r="C44" s="139" t="str">
        <f ca="1">IFERROR(__xludf.DUMMYFUNCTION("if(ISBLANK(INDIRECT(ADDRESS(6,(ROW()-5)))),,QUERY('NPC List'!$1:$1000, ""Select C,D WHERE A = ""&amp;INDIRECT(ADDRESS(6,(ROW()-5)))&amp;"""",0))"),"")</f>
        <v/>
      </c>
      <c r="D44" s="140"/>
    </row>
    <row r="45" spans="1:4" ht="13.2">
      <c r="A45" s="193"/>
      <c r="B45" s="173"/>
      <c r="C45" s="139" t="str">
        <f ca="1">IFERROR(__xludf.DUMMYFUNCTION("if(ISBLANK(INDIRECT(ADDRESS(6,(ROW()-5)))),,QUERY('NPC List'!$1:$1000, ""Select C,D WHERE A = ""&amp;INDIRECT(ADDRESS(6,(ROW()-5)))&amp;"""",0))"),"")</f>
        <v/>
      </c>
      <c r="D45" s="140"/>
    </row>
    <row r="46" spans="1:4" ht="13.2">
      <c r="A46" s="193"/>
      <c r="B46" s="173"/>
      <c r="C46" s="139" t="str">
        <f ca="1">IFERROR(__xludf.DUMMYFUNCTION("if(ISBLANK(INDIRECT(ADDRESS(6,(ROW()-5)))),,QUERY('NPC List'!$1:$1000, ""Select C,D WHERE A = ""&amp;INDIRECT(ADDRESS(6,(ROW()-5)))&amp;"""",0))"),"")</f>
        <v/>
      </c>
      <c r="D46" s="140"/>
    </row>
    <row r="47" spans="1:4" ht="13.2">
      <c r="A47" s="193"/>
      <c r="B47" s="173"/>
      <c r="C47" s="139" t="str">
        <f ca="1">IFERROR(__xludf.DUMMYFUNCTION("if(ISBLANK(INDIRECT(ADDRESS(6,(ROW()-5)))),,QUERY('NPC List'!$1:$1000, ""Select C,D WHERE A = ""&amp;INDIRECT(ADDRESS(6,(ROW()-5)))&amp;"""",0))"),"")</f>
        <v/>
      </c>
      <c r="D47" s="140"/>
    </row>
    <row r="48" spans="1:4" ht="13.2">
      <c r="A48" s="193"/>
      <c r="B48" s="173"/>
      <c r="C48" s="139" t="str">
        <f ca="1">IFERROR(__xludf.DUMMYFUNCTION("if(ISBLANK(INDIRECT(ADDRESS(6,(ROW()-5)))),,QUERY('NPC List'!$1:$1000, ""Select C,D WHERE A = ""&amp;INDIRECT(ADDRESS(6,(ROW()-5)))&amp;"""",0))"),"")</f>
        <v/>
      </c>
      <c r="D48" s="140"/>
    </row>
    <row r="49" spans="1:4" ht="13.2">
      <c r="A49" s="193"/>
      <c r="B49" s="173"/>
      <c r="C49" s="139" t="str">
        <f ca="1">IFERROR(__xludf.DUMMYFUNCTION("if(ISBLANK(INDIRECT(ADDRESS(6,(ROW()-5)))),,QUERY('NPC List'!$1:$1000, ""Select C,D WHERE A = ""&amp;INDIRECT(ADDRESS(6,(ROW()-5)))&amp;"""",0))"),"")</f>
        <v/>
      </c>
      <c r="D49" s="140"/>
    </row>
    <row r="50" spans="1:4" ht="13.2">
      <c r="A50" s="193"/>
      <c r="B50" s="173"/>
      <c r="C50" s="139" t="str">
        <f ca="1">IFERROR(__xludf.DUMMYFUNCTION("if(ISBLANK(INDIRECT(ADDRESS(6,(ROW()-5)))),,QUERY('NPC List'!$1:$1000, ""Select C,D WHERE A = ""&amp;INDIRECT(ADDRESS(6,(ROW()-5)))&amp;"""",0))"),"")</f>
        <v/>
      </c>
      <c r="D50" s="140"/>
    </row>
    <row r="51" spans="1:4" ht="13.2">
      <c r="A51" s="193"/>
      <c r="B51" s="173"/>
      <c r="C51" s="139" t="str">
        <f ca="1">IFERROR(__xludf.DUMMYFUNCTION("if(ISBLANK(INDIRECT(ADDRESS(6,(ROW()-5)))),,QUERY('NPC List'!$1:$1000, ""Select C,D WHERE A = ""&amp;INDIRECT(ADDRESS(6,(ROW()-5)))&amp;"""",0))"),"")</f>
        <v/>
      </c>
      <c r="D51" s="140"/>
    </row>
    <row r="52" spans="1:4" ht="13.2">
      <c r="A52" s="193"/>
      <c r="B52" s="173"/>
      <c r="C52" s="139" t="str">
        <f ca="1">IFERROR(__xludf.DUMMYFUNCTION("if(ISBLANK(INDIRECT(ADDRESS(6,(ROW()-5)))),,QUERY('NPC List'!$1:$1000, ""Select C,D WHERE A = ""&amp;INDIRECT(ADDRESS(6,(ROW()-5)))&amp;"""",0))"),"")</f>
        <v/>
      </c>
      <c r="D52" s="140"/>
    </row>
    <row r="53" spans="1:4" ht="13.2">
      <c r="A53" s="193"/>
      <c r="B53" s="173"/>
      <c r="C53" s="139" t="str">
        <f ca="1">IFERROR(__xludf.DUMMYFUNCTION("if(ISBLANK(INDIRECT(ADDRESS(6,(ROW()-5)))),,QUERY('NPC List'!$1:$1000, ""Select C,D WHERE A = ""&amp;INDIRECT(ADDRESS(6,(ROW()-5)))&amp;"""",0))"),"")</f>
        <v/>
      </c>
      <c r="D53" s="140"/>
    </row>
    <row r="54" spans="1:4" ht="13.2">
      <c r="A54" s="193"/>
      <c r="B54" s="173"/>
      <c r="C54" s="139" t="str">
        <f ca="1">IFERROR(__xludf.DUMMYFUNCTION("if(ISBLANK(INDIRECT(ADDRESS(6,(ROW()-5)))),,QUERY('NPC List'!$1:$1000, ""Select C,D WHERE A = ""&amp;INDIRECT(ADDRESS(6,(ROW()-5)))&amp;"""",0))"),"")</f>
        <v/>
      </c>
      <c r="D54" s="140"/>
    </row>
    <row r="55" spans="1:4" ht="13.2">
      <c r="A55" s="193"/>
      <c r="B55" s="173"/>
      <c r="C55" s="139" t="str">
        <f ca="1">IFERROR(__xludf.DUMMYFUNCTION("if(ISBLANK(INDIRECT(ADDRESS(6,(ROW()-5)))),,QUERY('NPC List'!$1:$1000, ""Select C,D WHERE A = ""&amp;INDIRECT(ADDRESS(6,(ROW()-5)))&amp;"""",0))"),"")</f>
        <v/>
      </c>
      <c r="D55" s="140"/>
    </row>
    <row r="56" spans="1:4" ht="13.2">
      <c r="A56" s="193"/>
      <c r="B56" s="173"/>
      <c r="C56" s="139" t="str">
        <f ca="1">IFERROR(__xludf.DUMMYFUNCTION("if(ISBLANK(INDIRECT(ADDRESS(6,(ROW()-5)))),,QUERY('NPC List'!$1:$1000, ""Select C,D WHERE A = ""&amp;INDIRECT(ADDRESS(6,(ROW()-5)))&amp;"""",0))"),"")</f>
        <v/>
      </c>
      <c r="D56" s="140"/>
    </row>
    <row r="57" spans="1:4" ht="13.2">
      <c r="A57" s="193"/>
      <c r="B57" s="173"/>
      <c r="C57" s="139" t="str">
        <f ca="1">IFERROR(__xludf.DUMMYFUNCTION("if(ISBLANK(INDIRECT(ADDRESS(6,(ROW()-5)))),,QUERY('NPC List'!$1:$1000, ""Select C,D WHERE A = ""&amp;INDIRECT(ADDRESS(6,(ROW()-5)))&amp;"""",0))"),"")</f>
        <v/>
      </c>
      <c r="D57" s="140"/>
    </row>
    <row r="58" spans="1:4" ht="13.2">
      <c r="A58" s="193"/>
      <c r="B58" s="173"/>
      <c r="C58" s="139" t="str">
        <f ca="1">IFERROR(__xludf.DUMMYFUNCTION("if(ISBLANK(INDIRECT(ADDRESS(6,(ROW()-5)))),,QUERY('NPC List'!$1:$1000, ""Select C,D WHERE A = ""&amp;INDIRECT(ADDRESS(6,(ROW()-5)))&amp;"""",0))"),"")</f>
        <v/>
      </c>
      <c r="D58" s="140"/>
    </row>
    <row r="59" spans="1:4" ht="13.2">
      <c r="A59" s="193"/>
      <c r="B59" s="173"/>
      <c r="C59" s="139" t="str">
        <f ca="1">IFERROR(__xludf.DUMMYFUNCTION("if(ISBLANK(INDIRECT(ADDRESS(6,(ROW()-5)))),,QUERY('NPC List'!$1:$1000, ""Select C,D WHERE A = ""&amp;INDIRECT(ADDRESS(6,(ROW()-5)))&amp;"""",0))"),"")</f>
        <v/>
      </c>
      <c r="D59" s="140"/>
    </row>
    <row r="60" spans="1:4" ht="13.2">
      <c r="A60" s="193"/>
      <c r="B60" s="173"/>
      <c r="C60" s="139" t="str">
        <f ca="1">IFERROR(__xludf.DUMMYFUNCTION("if(ISBLANK(INDIRECT(ADDRESS(6,(ROW()-5)))),,QUERY('NPC List'!$1:$1000, ""Select C,D WHERE A = ""&amp;INDIRECT(ADDRESS(6,(ROW()-5)))&amp;"""",0))"),"")</f>
        <v/>
      </c>
      <c r="D60" s="140"/>
    </row>
    <row r="61" spans="1:4" ht="13.2">
      <c r="A61" s="193"/>
      <c r="B61" s="173"/>
      <c r="C61" s="139" t="str">
        <f ca="1">IFERROR(__xludf.DUMMYFUNCTION("if(ISBLANK(INDIRECT(ADDRESS(6,(ROW()-5)))),,QUERY('NPC List'!$1:$1000, ""Select C,D WHERE A = ""&amp;INDIRECT(ADDRESS(6,(ROW()-5)))&amp;"""",0))"),"")</f>
        <v/>
      </c>
      <c r="D61" s="140"/>
    </row>
    <row r="62" spans="1:4" ht="13.2">
      <c r="A62" s="193"/>
      <c r="B62" s="173"/>
      <c r="C62" s="139" t="str">
        <f ca="1">IFERROR(__xludf.DUMMYFUNCTION("if(ISBLANK(INDIRECT(ADDRESS(6,(ROW()-5)))),,QUERY('NPC List'!$1:$1000, ""Select C,D WHERE A = ""&amp;INDIRECT(ADDRESS(6,(ROW()-5)))&amp;"""",0))"),"")</f>
        <v/>
      </c>
      <c r="D62" s="140"/>
    </row>
    <row r="63" spans="1:4" ht="13.2">
      <c r="A63" s="193"/>
      <c r="B63" s="173"/>
      <c r="C63" s="139" t="str">
        <f ca="1">IFERROR(__xludf.DUMMYFUNCTION("if(ISBLANK(INDIRECT(ADDRESS(6,(ROW()-5)))),,QUERY('NPC List'!$1:$1000, ""Select C,D WHERE A = ""&amp;INDIRECT(ADDRESS(6,(ROW()-5)))&amp;"""",0))"),"")</f>
        <v/>
      </c>
      <c r="D63" s="140"/>
    </row>
    <row r="64" spans="1:4" ht="13.2">
      <c r="A64" s="193"/>
      <c r="B64" s="173"/>
      <c r="C64" s="139" t="str">
        <f ca="1">IFERROR(__xludf.DUMMYFUNCTION("if(ISBLANK(INDIRECT(ADDRESS(6,(ROW()-5)))),,QUERY('NPC List'!$1:$1000, ""Select C,D WHERE A = ""&amp;INDIRECT(ADDRESS(6,(ROW()-5)))&amp;"""",0))"),"")</f>
        <v/>
      </c>
      <c r="D64" s="140"/>
    </row>
    <row r="65" spans="1:4" ht="13.2">
      <c r="A65" s="193"/>
      <c r="B65" s="173"/>
      <c r="C65" s="139" t="str">
        <f ca="1">IFERROR(__xludf.DUMMYFUNCTION("if(ISBLANK(INDIRECT(ADDRESS(6,(ROW()-5)))),,QUERY('NPC List'!$1:$1000, ""Select C,D WHERE A = ""&amp;INDIRECT(ADDRESS(6,(ROW()-5)))&amp;"""",0))"),"")</f>
        <v/>
      </c>
      <c r="D65" s="140"/>
    </row>
    <row r="66" spans="1:4" ht="13.2">
      <c r="A66" s="193"/>
      <c r="B66" s="173"/>
      <c r="C66" s="139" t="str">
        <f ca="1">IFERROR(__xludf.DUMMYFUNCTION("if(ISBLANK(INDIRECT(ADDRESS(6,(ROW()-5)))),,QUERY('NPC List'!$1:$1000, ""Select C,D WHERE A = ""&amp;INDIRECT(ADDRESS(6,(ROW()-5)))&amp;"""",0))"),"")</f>
        <v/>
      </c>
      <c r="D66" s="140"/>
    </row>
    <row r="67" spans="1:4" ht="13.2">
      <c r="A67" s="193"/>
      <c r="B67" s="173"/>
      <c r="C67" s="139" t="str">
        <f ca="1">IFERROR(__xludf.DUMMYFUNCTION("if(ISBLANK(INDIRECT(ADDRESS(6,(ROW()-5)))),,QUERY('NPC List'!$1:$1000, ""Select C,D WHERE A = ""&amp;INDIRECT(ADDRESS(6,(ROW()-5)))&amp;"""",0))"),"")</f>
        <v/>
      </c>
      <c r="D67" s="140"/>
    </row>
    <row r="68" spans="1:4" ht="13.2">
      <c r="A68" s="193"/>
      <c r="B68" s="173"/>
      <c r="C68" s="139" t="str">
        <f ca="1">IFERROR(__xludf.DUMMYFUNCTION("if(ISBLANK(INDIRECT(ADDRESS(6,(ROW()-5)))),,QUERY('NPC List'!$1:$1000, ""Select C,D WHERE A = ""&amp;INDIRECT(ADDRESS(6,(ROW()-5)))&amp;"""",0))"),"")</f>
        <v/>
      </c>
      <c r="D68" s="140"/>
    </row>
    <row r="69" spans="1:4" ht="13.2">
      <c r="A69" s="193"/>
      <c r="B69" s="173"/>
      <c r="C69" s="139" t="str">
        <f ca="1">IFERROR(__xludf.DUMMYFUNCTION("if(ISBLANK(INDIRECT(ADDRESS(6,(ROW()-5)))),,QUERY('NPC List'!$1:$1000, ""Select C,D WHERE A = ""&amp;INDIRECT(ADDRESS(6,(ROW()-5)))&amp;"""",0))"),"")</f>
        <v/>
      </c>
      <c r="D69" s="140"/>
    </row>
    <row r="70" spans="1:4" ht="13.2">
      <c r="A70" s="193"/>
      <c r="B70" s="173"/>
      <c r="C70" s="139" t="str">
        <f ca="1">IFERROR(__xludf.DUMMYFUNCTION("if(ISBLANK(INDIRECT(ADDRESS(6,(ROW()-5)))),,QUERY('NPC List'!$1:$1000, ""Select C,D WHERE A = ""&amp;INDIRECT(ADDRESS(6,(ROW()-5)))&amp;"""",0))"),"")</f>
        <v/>
      </c>
      <c r="D70" s="140"/>
    </row>
    <row r="71" spans="1:4" ht="13.2">
      <c r="A71" s="193"/>
      <c r="B71" s="173"/>
      <c r="C71" s="139" t="str">
        <f ca="1">IFERROR(__xludf.DUMMYFUNCTION("if(ISBLANK(INDIRECT(ADDRESS(6,(ROW()-5)))),,QUERY('NPC List'!$1:$1000, ""Select C,D WHERE A = ""&amp;INDIRECT(ADDRESS(6,(ROW()-5)))&amp;"""",0))"),"")</f>
        <v/>
      </c>
      <c r="D71" s="140"/>
    </row>
    <row r="72" spans="1:4" ht="13.2">
      <c r="A72" s="193"/>
      <c r="B72" s="173"/>
      <c r="C72" s="139" t="str">
        <f ca="1">IFERROR(__xludf.DUMMYFUNCTION("if(ISBLANK(INDIRECT(ADDRESS(6,(ROW()-5)))),,QUERY('NPC List'!$1:$1000, ""Select C,D WHERE A = ""&amp;INDIRECT(ADDRESS(6,(ROW()-5)))&amp;"""",0))"),"")</f>
        <v/>
      </c>
      <c r="D72" s="140"/>
    </row>
    <row r="73" spans="1:4" ht="13.2">
      <c r="A73" s="193"/>
      <c r="B73" s="173"/>
      <c r="C73" s="139" t="str">
        <f ca="1">IFERROR(__xludf.DUMMYFUNCTION("if(ISBLANK(INDIRECT(ADDRESS(6,(ROW()-5)))),,QUERY('NPC List'!$1:$1000, ""Select C,D WHERE A = ""&amp;INDIRECT(ADDRESS(6,(ROW()-5)))&amp;"""",0))"),"")</f>
        <v/>
      </c>
      <c r="D73" s="140"/>
    </row>
    <row r="74" spans="1:4" ht="13.2">
      <c r="A74" s="193"/>
      <c r="B74" s="173"/>
      <c r="C74" s="139" t="str">
        <f ca="1">IFERROR(__xludf.DUMMYFUNCTION("if(ISBLANK(INDIRECT(ADDRESS(6,(ROW()-5)))),,QUERY('NPC List'!$1:$1000, ""Select C,D WHERE A = ""&amp;INDIRECT(ADDRESS(6,(ROW()-5)))&amp;"""",0))"),"")</f>
        <v/>
      </c>
      <c r="D74" s="140"/>
    </row>
    <row r="75" spans="1:4" ht="13.2">
      <c r="A75" s="193"/>
      <c r="B75" s="173"/>
      <c r="C75" s="139" t="str">
        <f ca="1">IFERROR(__xludf.DUMMYFUNCTION("if(ISBLANK(INDIRECT(ADDRESS(6,(ROW()-5)))),,QUERY('NPC List'!$1:$1000, ""Select C,D WHERE A = ""&amp;INDIRECT(ADDRESS(6,(ROW()-5)))&amp;"""",0))"),"")</f>
        <v/>
      </c>
      <c r="D75" s="140"/>
    </row>
    <row r="76" spans="1:4" ht="13.2">
      <c r="A76" s="193"/>
      <c r="B76" s="173"/>
      <c r="C76" s="139" t="str">
        <f ca="1">IFERROR(__xludf.DUMMYFUNCTION("if(ISBLANK(INDIRECT(ADDRESS(6,(ROW()-5)))),,QUERY('NPC List'!$1:$1000, ""Select C,D WHERE A = ""&amp;INDIRECT(ADDRESS(6,(ROW()-5)))&amp;"""",0))"),"")</f>
        <v/>
      </c>
      <c r="D76" s="140"/>
    </row>
    <row r="77" spans="1:4" ht="13.2">
      <c r="A77" s="193"/>
      <c r="B77" s="173"/>
      <c r="C77" s="139" t="str">
        <f ca="1">IFERROR(__xludf.DUMMYFUNCTION("if(ISBLANK(INDIRECT(ADDRESS(6,(ROW()-5)))),,QUERY('NPC List'!$1:$1000, ""Select C,D WHERE A = ""&amp;INDIRECT(ADDRESS(6,(ROW()-5)))&amp;"""",0))"),"")</f>
        <v/>
      </c>
      <c r="D77" s="140"/>
    </row>
    <row r="78" spans="1:4" ht="13.2">
      <c r="A78" s="193"/>
      <c r="B78" s="173"/>
      <c r="C78" s="139" t="str">
        <f ca="1">IFERROR(__xludf.DUMMYFUNCTION("if(ISBLANK(INDIRECT(ADDRESS(6,(ROW()-5)))),,QUERY('NPC List'!$1:$1000, ""Select C,D WHERE A = ""&amp;INDIRECT(ADDRESS(6,(ROW()-5)))&amp;"""",0))"),"")</f>
        <v/>
      </c>
      <c r="D78" s="140"/>
    </row>
    <row r="79" spans="1:4" ht="13.2">
      <c r="A79" s="193"/>
      <c r="B79" s="173"/>
      <c r="C79" s="139" t="str">
        <f ca="1">IFERROR(__xludf.DUMMYFUNCTION("if(ISBLANK(INDIRECT(ADDRESS(6,(ROW()-5)))),,QUERY('NPC List'!$1:$1000, ""Select C,D WHERE A = ""&amp;INDIRECT(ADDRESS(6,(ROW()-5)))&amp;"""",0))"),"")</f>
        <v/>
      </c>
      <c r="D79" s="140"/>
    </row>
    <row r="80" spans="1:4" ht="13.2">
      <c r="A80" s="193"/>
      <c r="B80" s="173"/>
      <c r="C80" s="139" t="str">
        <f ca="1">IFERROR(__xludf.DUMMYFUNCTION("if(ISBLANK(INDIRECT(ADDRESS(6,(ROW()-5)))),,QUERY('NPC List'!$1:$1000, ""Select C,D WHERE A = ""&amp;INDIRECT(ADDRESS(6,(ROW()-5)))&amp;"""",0))"),"")</f>
        <v/>
      </c>
      <c r="D80" s="140"/>
    </row>
    <row r="81" spans="1:4" ht="13.2">
      <c r="A81" s="193"/>
      <c r="B81" s="173"/>
      <c r="C81" s="139" t="str">
        <f ca="1">IFERROR(__xludf.DUMMYFUNCTION("if(ISBLANK(INDIRECT(ADDRESS(6,(ROW()-5)))),,QUERY('NPC List'!$1:$1000, ""Select C,D WHERE A = ""&amp;INDIRECT(ADDRESS(6,(ROW()-5)))&amp;"""",0))"),"")</f>
        <v/>
      </c>
      <c r="D81" s="140"/>
    </row>
    <row r="82" spans="1:4" ht="13.2">
      <c r="A82" s="193"/>
      <c r="B82" s="173"/>
      <c r="C82" s="139" t="str">
        <f ca="1">IFERROR(__xludf.DUMMYFUNCTION("if(ISBLANK(INDIRECT(ADDRESS(6,(ROW()-5)))),,QUERY('NPC List'!$1:$1000, ""Select C,D WHERE A = ""&amp;INDIRECT(ADDRESS(6,(ROW()-5)))&amp;"""",0))"),"")</f>
        <v/>
      </c>
      <c r="D82" s="140"/>
    </row>
    <row r="83" spans="1:4" ht="13.2">
      <c r="A83" s="193"/>
      <c r="B83" s="173"/>
      <c r="C83" s="139" t="str">
        <f ca="1">IFERROR(__xludf.DUMMYFUNCTION("if(ISBLANK(INDIRECT(ADDRESS(6,(ROW()-5)))),,QUERY('NPC List'!$1:$1000, ""Select C,D WHERE A = ""&amp;INDIRECT(ADDRESS(6,(ROW()-5)))&amp;"""",0))"),"")</f>
        <v/>
      </c>
      <c r="D83" s="140"/>
    </row>
    <row r="84" spans="1:4" ht="13.2">
      <c r="A84" s="193"/>
      <c r="B84" s="173"/>
      <c r="C84" s="139" t="str">
        <f ca="1">IFERROR(__xludf.DUMMYFUNCTION("if(ISBLANK(INDIRECT(ADDRESS(6,(ROW()-5)))),,QUERY('NPC List'!$1:$1000, ""Select C,D WHERE A = ""&amp;INDIRECT(ADDRESS(6,(ROW()-5)))&amp;"""",0))"),"")</f>
        <v/>
      </c>
      <c r="D84" s="140"/>
    </row>
    <row r="85" spans="1:4" ht="13.2">
      <c r="A85" s="193"/>
      <c r="B85" s="173"/>
      <c r="C85" s="139" t="str">
        <f ca="1">IFERROR(__xludf.DUMMYFUNCTION("if(ISBLANK(INDIRECT(ADDRESS(6,(ROW()-5)))),,QUERY('NPC List'!$1:$1000, ""Select C,D WHERE A = ""&amp;INDIRECT(ADDRESS(6,(ROW()-5)))&amp;"""",0))"),"")</f>
        <v/>
      </c>
      <c r="D85" s="140"/>
    </row>
    <row r="86" spans="1:4" ht="13.2">
      <c r="A86" s="193"/>
      <c r="B86" s="173"/>
      <c r="C86" s="139" t="str">
        <f ca="1">IFERROR(__xludf.DUMMYFUNCTION("if(ISBLANK(INDIRECT(ADDRESS(6,(ROW()-5)))),,QUERY('NPC List'!$1:$1000, ""Select C,D WHERE A = ""&amp;INDIRECT(ADDRESS(6,(ROW()-5)))&amp;"""",0))"),"")</f>
        <v/>
      </c>
      <c r="D86" s="140"/>
    </row>
    <row r="87" spans="1:4" ht="13.2">
      <c r="A87" s="193"/>
      <c r="B87" s="173"/>
      <c r="C87" s="139" t="str">
        <f ca="1">IFERROR(__xludf.DUMMYFUNCTION("if(ISBLANK(INDIRECT(ADDRESS(6,(ROW()-5)))),,QUERY('NPC List'!$1:$1000, ""Select C,D WHERE A = ""&amp;INDIRECT(ADDRESS(6,(ROW()-5)))&amp;"""",0))"),"")</f>
        <v/>
      </c>
      <c r="D87" s="140"/>
    </row>
    <row r="88" spans="1:4" ht="13.2">
      <c r="A88" s="193"/>
      <c r="B88" s="173"/>
      <c r="C88" s="139" t="str">
        <f ca="1">IFERROR(__xludf.DUMMYFUNCTION("if(ISBLANK(INDIRECT(ADDRESS(6,(ROW()-5)))),,QUERY('NPC List'!$1:$1000, ""Select C,D WHERE A = ""&amp;INDIRECT(ADDRESS(6,(ROW()-5)))&amp;"""",0))"),"")</f>
        <v/>
      </c>
      <c r="D88" s="140"/>
    </row>
    <row r="89" spans="1:4" ht="13.2">
      <c r="A89" s="193"/>
      <c r="B89" s="173"/>
      <c r="C89" s="139" t="str">
        <f ca="1">IFERROR(__xludf.DUMMYFUNCTION("if(ISBLANK(INDIRECT(ADDRESS(6,(ROW()-5)))),,QUERY('NPC List'!$1:$1000, ""Select C,D WHERE A = ""&amp;INDIRECT(ADDRESS(6,(ROW()-5)))&amp;"""",0))"),"")</f>
        <v/>
      </c>
      <c r="D89" s="140"/>
    </row>
    <row r="90" spans="1:4" ht="13.2">
      <c r="A90" s="193"/>
      <c r="B90" s="173"/>
      <c r="C90" s="139" t="str">
        <f ca="1">IFERROR(__xludf.DUMMYFUNCTION("if(ISBLANK(INDIRECT(ADDRESS(6,(ROW()-5)))),,QUERY('NPC List'!$1:$1000, ""Select C,D WHERE A = ""&amp;INDIRECT(ADDRESS(6,(ROW()-5)))&amp;"""",0))"),"")</f>
        <v/>
      </c>
      <c r="D90" s="140"/>
    </row>
    <row r="91" spans="1:4" ht="13.2">
      <c r="A91" s="193"/>
      <c r="B91" s="173"/>
      <c r="C91" s="139" t="str">
        <f ca="1">IFERROR(__xludf.DUMMYFUNCTION("if(ISBLANK(INDIRECT(ADDRESS(6,(ROW()-5)))),,QUERY('NPC List'!$1:$1000, ""Select C,D WHERE A = ""&amp;INDIRECT(ADDRESS(6,(ROW()-5)))&amp;"""",0))"),"")</f>
        <v/>
      </c>
      <c r="D91" s="140"/>
    </row>
    <row r="92" spans="1:4" ht="13.2">
      <c r="A92" s="193"/>
      <c r="B92" s="173"/>
      <c r="C92" s="139" t="str">
        <f ca="1">IFERROR(__xludf.DUMMYFUNCTION("if(ISBLANK(INDIRECT(ADDRESS(6,(ROW()-5)))),,QUERY('NPC List'!$1:$1000, ""Select C,D WHERE A = ""&amp;INDIRECT(ADDRESS(6,(ROW()-5)))&amp;"""",0))"),"")</f>
        <v/>
      </c>
      <c r="D92" s="140"/>
    </row>
    <row r="93" spans="1:4" ht="13.2">
      <c r="A93" s="193"/>
      <c r="B93" s="173"/>
      <c r="C93" s="139" t="str">
        <f ca="1">IFERROR(__xludf.DUMMYFUNCTION("if(ISBLANK(INDIRECT(ADDRESS(6,(ROW()-5)))),,QUERY('NPC List'!$1:$1000, ""Select C,D WHERE A = ""&amp;INDIRECT(ADDRESS(6,(ROW()-5)))&amp;"""",0))"),"")</f>
        <v/>
      </c>
      <c r="D93" s="140"/>
    </row>
    <row r="94" spans="1:4" ht="13.2">
      <c r="A94" s="193"/>
      <c r="B94" s="173"/>
      <c r="C94" s="139" t="str">
        <f ca="1">IFERROR(__xludf.DUMMYFUNCTION("if(ISBLANK(INDIRECT(ADDRESS(6,(ROW()-5)))),,QUERY('NPC List'!$1:$1000, ""Select C,D WHERE A = ""&amp;INDIRECT(ADDRESS(6,(ROW()-5)))&amp;"""",0))"),"")</f>
        <v/>
      </c>
      <c r="D94" s="140"/>
    </row>
    <row r="95" spans="1:4" ht="13.2">
      <c r="A95" s="193"/>
      <c r="B95" s="173"/>
      <c r="C95" s="139" t="str">
        <f ca="1">IFERROR(__xludf.DUMMYFUNCTION("if(ISBLANK(INDIRECT(ADDRESS(6,(ROW()-5)))),,QUERY('NPC List'!$1:$1000, ""Select C,D WHERE A = ""&amp;INDIRECT(ADDRESS(6,(ROW()-5)))&amp;"""",0))"),"")</f>
        <v/>
      </c>
      <c r="D95" s="140"/>
    </row>
    <row r="96" spans="1:4" ht="13.2">
      <c r="A96" s="193"/>
      <c r="B96" s="173"/>
      <c r="C96" s="139" t="str">
        <f ca="1">IFERROR(__xludf.DUMMYFUNCTION("if(ISBLANK(INDIRECT(ADDRESS(6,(ROW()-5)))),,QUERY('NPC List'!$1:$1000, ""Select C,D WHERE A = ""&amp;INDIRECT(ADDRESS(6,(ROW()-5)))&amp;"""",0))"),"")</f>
        <v/>
      </c>
      <c r="D96" s="140"/>
    </row>
    <row r="97" spans="1:4" ht="13.2">
      <c r="A97" s="193"/>
      <c r="B97" s="173"/>
      <c r="C97" s="139" t="str">
        <f ca="1">IFERROR(__xludf.DUMMYFUNCTION("if(ISBLANK(INDIRECT(ADDRESS(6,(ROW()-5)))),,QUERY('NPC List'!$1:$1000, ""Select C,D WHERE A = ""&amp;INDIRECT(ADDRESS(6,(ROW()-5)))&amp;"""",0))"),"")</f>
        <v/>
      </c>
      <c r="D97" s="140"/>
    </row>
    <row r="98" spans="1:4" ht="13.2">
      <c r="A98" s="193"/>
      <c r="B98" s="173"/>
      <c r="C98" s="139" t="str">
        <f ca="1">IFERROR(__xludf.DUMMYFUNCTION("if(ISBLANK(INDIRECT(ADDRESS(6,(ROW()-5)))),,QUERY('NPC List'!$1:$1000, ""Select C,D WHERE A = ""&amp;INDIRECT(ADDRESS(6,(ROW()-5)))&amp;"""",0))"),"")</f>
        <v/>
      </c>
      <c r="D98" s="140"/>
    </row>
    <row r="99" spans="1:4" ht="13.2">
      <c r="A99" s="193"/>
      <c r="B99" s="173"/>
      <c r="C99" s="139" t="str">
        <f ca="1">IFERROR(__xludf.DUMMYFUNCTION("if(ISBLANK(INDIRECT(ADDRESS(6,(ROW()-5)))),,QUERY('NPC List'!$1:$1000, ""Select C,D WHERE A = ""&amp;INDIRECT(ADDRESS(6,(ROW()-5)))&amp;"""",0))"),"")</f>
        <v/>
      </c>
      <c r="D99" s="140"/>
    </row>
    <row r="100" spans="1:4" ht="13.2">
      <c r="A100" s="193"/>
      <c r="B100" s="173"/>
      <c r="C100" s="139" t="str">
        <f ca="1">IFERROR(__xludf.DUMMYFUNCTION("if(ISBLANK(INDIRECT(ADDRESS(6,(ROW()-5)))),,QUERY('NPC List'!$1:$1000, ""Select C,D WHERE A = ""&amp;INDIRECT(ADDRESS(6,(ROW()-5)))&amp;"""",0))"),"")</f>
        <v/>
      </c>
      <c r="D100" s="140"/>
    </row>
    <row r="101" spans="1:4" ht="13.2">
      <c r="A101" s="193"/>
      <c r="B101" s="173"/>
      <c r="C101" s="139" t="str">
        <f ca="1">IFERROR(__xludf.DUMMYFUNCTION("if(ISBLANK(INDIRECT(ADDRESS(6,(ROW()-5)))),,QUERY('NPC List'!$1:$1000, ""Select C,D WHERE A = ""&amp;INDIRECT(ADDRESS(6,(ROW()-5)))&amp;"""",0))"),"")</f>
        <v/>
      </c>
      <c r="D101" s="140"/>
    </row>
    <row r="102" spans="1:4" ht="13.2">
      <c r="A102" s="193"/>
      <c r="B102" s="173"/>
      <c r="C102" s="139" t="str">
        <f ca="1">IFERROR(__xludf.DUMMYFUNCTION("if(ISBLANK(INDIRECT(ADDRESS(6,(ROW()-5)))),,QUERY('NPC List'!$1:$1000, ""Select C,D WHERE A = ""&amp;INDIRECT(ADDRESS(6,(ROW()-5)))&amp;"""",0))"),"")</f>
        <v/>
      </c>
      <c r="D102" s="140"/>
    </row>
    <row r="103" spans="1:4" ht="13.2">
      <c r="A103" s="193"/>
      <c r="B103" s="173"/>
      <c r="C103" s="139" t="str">
        <f ca="1">IFERROR(__xludf.DUMMYFUNCTION("if(ISBLANK(INDIRECT(ADDRESS(6,(ROW()-5)))),,QUERY('NPC List'!$1:$1000, ""Select C,D WHERE A = ""&amp;INDIRECT(ADDRESS(6,(ROW()-5)))&amp;"""",0))"),"")</f>
        <v/>
      </c>
      <c r="D103" s="140"/>
    </row>
    <row r="104" spans="1:4" ht="13.2">
      <c r="A104" s="193"/>
      <c r="B104" s="173"/>
      <c r="C104" s="139" t="str">
        <f ca="1">IFERROR(__xludf.DUMMYFUNCTION("if(ISBLANK(INDIRECT(ADDRESS(6,(ROW()-5)))),,QUERY('NPC List'!$1:$1000, ""Select C,D WHERE A = ""&amp;INDIRECT(ADDRESS(6,(ROW()-5)))&amp;"""",0))"),"")</f>
        <v/>
      </c>
      <c r="D104" s="140"/>
    </row>
    <row r="105" spans="1:4" ht="13.2">
      <c r="A105" s="193"/>
      <c r="B105" s="173"/>
      <c r="C105" s="139" t="str">
        <f ca="1">IFERROR(__xludf.DUMMYFUNCTION("if(ISBLANK(INDIRECT(ADDRESS(6,(ROW()-5)))),,QUERY('NPC List'!$1:$1000, ""Select C,D WHERE A = ""&amp;INDIRECT(ADDRESS(6,(ROW()-5)))&amp;"""",0))"),"")</f>
        <v/>
      </c>
      <c r="D105" s="140"/>
    </row>
    <row r="106" spans="1:4" ht="13.2">
      <c r="A106" s="193"/>
      <c r="B106" s="173"/>
      <c r="C106" s="139" t="str">
        <f ca="1">IFERROR(__xludf.DUMMYFUNCTION("if(ISBLANK(INDIRECT(ADDRESS(6,(ROW()-5)))),,QUERY('NPC List'!$1:$1000, ""Select C,D WHERE A = ""&amp;INDIRECT(ADDRESS(6,(ROW()-5)))&amp;"""",0))"),"")</f>
        <v/>
      </c>
      <c r="D106" s="140"/>
    </row>
    <row r="107" spans="1:4" ht="13.2">
      <c r="A107" s="193"/>
      <c r="B107" s="173"/>
      <c r="C107" s="139" t="str">
        <f ca="1">IFERROR(__xludf.DUMMYFUNCTION("if(ISBLANK(INDIRECT(ADDRESS(6,(ROW()-5)))),,QUERY('NPC List'!$1:$1000, ""Select C,D WHERE A = ""&amp;INDIRECT(ADDRESS(6,(ROW()-5)))&amp;"""",0))"),"")</f>
        <v/>
      </c>
      <c r="D107" s="140"/>
    </row>
    <row r="108" spans="1:4" ht="13.2">
      <c r="A108" s="193"/>
      <c r="B108" s="173"/>
      <c r="C108" s="139" t="str">
        <f ca="1">IFERROR(__xludf.DUMMYFUNCTION("if(ISBLANK(INDIRECT(ADDRESS(6,(ROW()-5)))),,QUERY('NPC List'!$1:$1000, ""Select C,D WHERE A = ""&amp;INDIRECT(ADDRESS(6,(ROW()-5)))&amp;"""",0))"),"")</f>
        <v/>
      </c>
      <c r="D108" s="140"/>
    </row>
    <row r="109" spans="1:4" ht="13.2">
      <c r="A109" s="193"/>
      <c r="B109" s="173"/>
      <c r="C109" s="139" t="str">
        <f ca="1">IFERROR(__xludf.DUMMYFUNCTION("if(ISBLANK(INDIRECT(ADDRESS(6,(ROW()-5)))),,QUERY('NPC List'!$1:$1000, ""Select C,D WHERE A = ""&amp;INDIRECT(ADDRESS(6,(ROW()-5)))&amp;"""",0))"),"")</f>
        <v/>
      </c>
      <c r="D109" s="140"/>
    </row>
    <row r="110" spans="1:4" ht="13.2">
      <c r="A110" s="193"/>
      <c r="B110" s="173"/>
      <c r="C110" s="139" t="str">
        <f ca="1">IFERROR(__xludf.DUMMYFUNCTION("if(ISBLANK(INDIRECT(ADDRESS(6,(ROW()-5)))),,QUERY('NPC List'!$1:$1000, ""Select C,D WHERE A = ""&amp;INDIRECT(ADDRESS(6,(ROW()-5)))&amp;"""",0))"),"")</f>
        <v/>
      </c>
      <c r="D110" s="140"/>
    </row>
    <row r="111" spans="1:4" ht="13.2">
      <c r="A111" s="193"/>
      <c r="B111" s="173"/>
      <c r="C111" s="139" t="str">
        <f ca="1">IFERROR(__xludf.DUMMYFUNCTION("if(ISBLANK(INDIRECT(ADDRESS(6,(ROW()-5)))),,QUERY('NPC List'!$1:$1000, ""Select C,D WHERE A = ""&amp;INDIRECT(ADDRESS(6,(ROW()-5)))&amp;"""",0))"),"")</f>
        <v/>
      </c>
      <c r="D111" s="140"/>
    </row>
    <row r="112" spans="1:4" ht="13.2">
      <c r="A112" s="193"/>
      <c r="B112" s="173"/>
      <c r="C112" s="139" t="str">
        <f ca="1">IFERROR(__xludf.DUMMYFUNCTION("if(ISBLANK(INDIRECT(ADDRESS(6,(ROW()-5)))),,QUERY('NPC List'!$1:$1000, ""Select C,D WHERE A = ""&amp;INDIRECT(ADDRESS(6,(ROW()-5)))&amp;"""",0))"),"")</f>
        <v/>
      </c>
      <c r="D112" s="140"/>
    </row>
    <row r="113" spans="1:4" ht="13.2">
      <c r="A113" s="193"/>
      <c r="B113" s="173"/>
      <c r="C113" s="139" t="str">
        <f ca="1">IFERROR(__xludf.DUMMYFUNCTION("if(ISBLANK(INDIRECT(ADDRESS(6,(ROW()-5)))),,QUERY('NPC List'!$1:$1000, ""Select C,D WHERE A = ""&amp;INDIRECT(ADDRESS(6,(ROW()-5)))&amp;"""",0))"),"")</f>
        <v/>
      </c>
      <c r="D113" s="140"/>
    </row>
    <row r="114" spans="1:4" ht="13.2">
      <c r="A114" s="193"/>
      <c r="B114" s="173"/>
      <c r="C114" s="139" t="str">
        <f ca="1">IFERROR(__xludf.DUMMYFUNCTION("if(ISBLANK(INDIRECT(ADDRESS(6,(ROW()-5)))),,QUERY('NPC List'!$1:$1000, ""Select C,D WHERE A = ""&amp;INDIRECT(ADDRESS(6,(ROW()-5)))&amp;"""",0))"),"")</f>
        <v/>
      </c>
      <c r="D114" s="140"/>
    </row>
    <row r="115" spans="1:4" ht="13.2">
      <c r="A115" s="193"/>
      <c r="B115" s="173"/>
      <c r="C115" s="139" t="str">
        <f ca="1">IFERROR(__xludf.DUMMYFUNCTION("if(ISBLANK(INDIRECT(ADDRESS(6,(ROW()-5)))),,QUERY('NPC List'!$1:$1000, ""Select C,D WHERE A = ""&amp;INDIRECT(ADDRESS(6,(ROW()-5)))&amp;"""",0))"),"")</f>
        <v/>
      </c>
      <c r="D115" s="140"/>
    </row>
    <row r="116" spans="1:4" ht="13.2">
      <c r="A116" s="193"/>
      <c r="B116" s="173"/>
      <c r="C116" s="139" t="str">
        <f ca="1">IFERROR(__xludf.DUMMYFUNCTION("if(ISBLANK(INDIRECT(ADDRESS(6,(ROW()-5)))),,QUERY('NPC List'!$1:$1000, ""Select C,D WHERE A = ""&amp;INDIRECT(ADDRESS(6,(ROW()-5)))&amp;"""",0))"),"")</f>
        <v/>
      </c>
      <c r="D116" s="140"/>
    </row>
    <row r="117" spans="1:4" ht="13.2">
      <c r="A117" s="193"/>
      <c r="B117" s="173"/>
      <c r="C117" s="139" t="str">
        <f ca="1">IFERROR(__xludf.DUMMYFUNCTION("if(ISBLANK(INDIRECT(ADDRESS(6,(ROW()-5)))),,QUERY('NPC List'!$1:$1000, ""Select C,D WHERE A = ""&amp;INDIRECT(ADDRESS(6,(ROW()-5)))&amp;"""",0))"),"")</f>
        <v/>
      </c>
      <c r="D117" s="140"/>
    </row>
    <row r="118" spans="1:4" ht="13.2">
      <c r="A118" s="193"/>
      <c r="B118" s="173"/>
      <c r="C118" s="139" t="str">
        <f ca="1">IFERROR(__xludf.DUMMYFUNCTION("if(ISBLANK(INDIRECT(ADDRESS(6,(ROW()-5)))),,QUERY('NPC List'!$1:$1000, ""Select C,D WHERE A = ""&amp;INDIRECT(ADDRESS(6,(ROW()-5)))&amp;"""",0))"),"")</f>
        <v/>
      </c>
      <c r="D118" s="140"/>
    </row>
    <row r="119" spans="1:4" ht="13.2">
      <c r="A119" s="193"/>
      <c r="B119" s="173"/>
      <c r="C119" s="139" t="str">
        <f ca="1">IFERROR(__xludf.DUMMYFUNCTION("if(ISBLANK(INDIRECT(ADDRESS(6,(ROW()-5)))),,QUERY('NPC List'!$1:$1000, ""Select C,D WHERE A = ""&amp;INDIRECT(ADDRESS(6,(ROW()-5)))&amp;"""",0))"),"")</f>
        <v/>
      </c>
      <c r="D119" s="140"/>
    </row>
    <row r="120" spans="1:4" ht="13.2">
      <c r="A120" s="193"/>
      <c r="B120" s="173"/>
      <c r="C120" s="139" t="str">
        <f ca="1">IFERROR(__xludf.DUMMYFUNCTION("if(ISBLANK(INDIRECT(ADDRESS(6,(ROW()-5)))),,QUERY('NPC List'!$1:$1000, ""Select C,D WHERE A = ""&amp;INDIRECT(ADDRESS(6,(ROW()-5)))&amp;"""",0))"),"")</f>
        <v/>
      </c>
      <c r="D120" s="140"/>
    </row>
    <row r="121" spans="1:4" ht="13.2">
      <c r="A121" s="193"/>
      <c r="B121" s="173"/>
      <c r="C121" s="139" t="str">
        <f ca="1">IFERROR(__xludf.DUMMYFUNCTION("if(ISBLANK(INDIRECT(ADDRESS(6,(ROW()-5)))),,QUERY('NPC List'!$1:$1000, ""Select C,D WHERE A = ""&amp;INDIRECT(ADDRESS(6,(ROW()-5)))&amp;"""",0))"),"")</f>
        <v/>
      </c>
      <c r="D121" s="140"/>
    </row>
    <row r="122" spans="1:4" ht="13.2">
      <c r="A122" s="193"/>
      <c r="B122" s="173"/>
      <c r="C122" s="139" t="str">
        <f ca="1">IFERROR(__xludf.DUMMYFUNCTION("if(ISBLANK(INDIRECT(ADDRESS(6,(ROW()-5)))),,QUERY('NPC List'!$1:$1000, ""Select C,D WHERE A = ""&amp;INDIRECT(ADDRESS(6,(ROW()-5)))&amp;"""",0))"),"")</f>
        <v/>
      </c>
      <c r="D122" s="140"/>
    </row>
    <row r="123" spans="1:4" ht="13.2">
      <c r="A123" s="193"/>
      <c r="B123" s="173"/>
      <c r="C123" s="139" t="str">
        <f ca="1">IFERROR(__xludf.DUMMYFUNCTION("if(ISBLANK(INDIRECT(ADDRESS(6,(ROW()-5)))),,QUERY('NPC List'!$1:$1000, ""Select C,D WHERE A = ""&amp;INDIRECT(ADDRESS(6,(ROW()-5)))&amp;"""",0))"),"")</f>
        <v/>
      </c>
      <c r="D123" s="140"/>
    </row>
    <row r="124" spans="1:4" ht="13.2">
      <c r="A124" s="193"/>
      <c r="B124" s="173"/>
      <c r="C124" s="139" t="str">
        <f ca="1">IFERROR(__xludf.DUMMYFUNCTION("if(ISBLANK(INDIRECT(ADDRESS(6,(ROW()-5)))),,QUERY('NPC List'!$1:$1000, ""Select C,D WHERE A = ""&amp;INDIRECT(ADDRESS(6,(ROW()-5)))&amp;"""",0))"),"")</f>
        <v/>
      </c>
      <c r="D124" s="140"/>
    </row>
    <row r="125" spans="1:4" ht="13.2">
      <c r="A125" s="193"/>
      <c r="B125" s="173"/>
      <c r="C125" s="139" t="str">
        <f ca="1">IFERROR(__xludf.DUMMYFUNCTION("if(ISBLANK(INDIRECT(ADDRESS(6,(ROW()-5)))),,QUERY('NPC List'!$1:$1000, ""Select C,D WHERE A = ""&amp;INDIRECT(ADDRESS(6,(ROW()-5)))&amp;"""",0))"),"")</f>
        <v/>
      </c>
      <c r="D125" s="140"/>
    </row>
    <row r="126" spans="1:4" ht="13.2">
      <c r="A126" s="193"/>
      <c r="B126" s="173"/>
      <c r="C126" s="139" t="str">
        <f ca="1">IFERROR(__xludf.DUMMYFUNCTION("if(ISBLANK(INDIRECT(ADDRESS(6,(ROW()-5)))),,QUERY('NPC List'!$1:$1000, ""Select C,D WHERE A = ""&amp;INDIRECT(ADDRESS(6,(ROW()-5)))&amp;"""",0))"),"")</f>
        <v/>
      </c>
      <c r="D126" s="140"/>
    </row>
    <row r="127" spans="1:4" ht="13.2">
      <c r="A127" s="193"/>
      <c r="B127" s="173"/>
      <c r="C127" s="139" t="str">
        <f ca="1">IFERROR(__xludf.DUMMYFUNCTION("if(ISBLANK(INDIRECT(ADDRESS(6,(ROW()-5)))),,QUERY('NPC List'!$1:$1000, ""Select C,D WHERE A = ""&amp;INDIRECT(ADDRESS(6,(ROW()-5)))&amp;"""",0))"),"")</f>
        <v/>
      </c>
      <c r="D127" s="140"/>
    </row>
    <row r="128" spans="1:4" ht="13.2">
      <c r="A128" s="193"/>
      <c r="B128" s="173"/>
      <c r="C128" s="139" t="str">
        <f ca="1">IFERROR(__xludf.DUMMYFUNCTION("if(ISBLANK(INDIRECT(ADDRESS(6,(ROW()-5)))),,QUERY('NPC List'!$1:$1000, ""Select C,D WHERE A = ""&amp;INDIRECT(ADDRESS(6,(ROW()-5)))&amp;"""",0))"),"")</f>
        <v/>
      </c>
      <c r="D128" s="140"/>
    </row>
    <row r="129" spans="1:4" ht="13.2">
      <c r="A129" s="193"/>
      <c r="B129" s="173"/>
      <c r="C129" s="139" t="str">
        <f ca="1">IFERROR(__xludf.DUMMYFUNCTION("if(ISBLANK(INDIRECT(ADDRESS(6,(ROW()-5)))),,QUERY('NPC List'!$1:$1000, ""Select C,D WHERE A = ""&amp;INDIRECT(ADDRESS(6,(ROW()-5)))&amp;"""",0))"),"")</f>
        <v/>
      </c>
      <c r="D129" s="140"/>
    </row>
    <row r="130" spans="1:4" ht="13.2">
      <c r="A130" s="193"/>
      <c r="B130" s="173"/>
      <c r="C130" s="139" t="str">
        <f ca="1">IFERROR(__xludf.DUMMYFUNCTION("if(ISBLANK(INDIRECT(ADDRESS(6,(ROW()-5)))),,QUERY('NPC List'!$1:$1000, ""Select C,D WHERE A = ""&amp;INDIRECT(ADDRESS(6,(ROW()-5)))&amp;"""",0))"),"")</f>
        <v/>
      </c>
      <c r="D130" s="140"/>
    </row>
    <row r="131" spans="1:4" ht="13.2">
      <c r="A131" s="193"/>
      <c r="B131" s="173"/>
      <c r="C131" s="139" t="str">
        <f ca="1">IFERROR(__xludf.DUMMYFUNCTION("if(ISBLANK(INDIRECT(ADDRESS(6,(ROW()-5)))),,QUERY('NPC List'!$1:$1000, ""Select C,D WHERE A = ""&amp;INDIRECT(ADDRESS(6,(ROW()-5)))&amp;"""",0))"),"")</f>
        <v/>
      </c>
      <c r="D131" s="140"/>
    </row>
    <row r="132" spans="1:4" ht="13.2">
      <c r="A132" s="193"/>
      <c r="B132" s="173"/>
      <c r="C132" s="139" t="str">
        <f ca="1">IFERROR(__xludf.DUMMYFUNCTION("if(ISBLANK(INDIRECT(ADDRESS(6,(ROW()-5)))),,QUERY('NPC List'!$1:$1000, ""Select C,D WHERE A = ""&amp;INDIRECT(ADDRESS(6,(ROW()-5)))&amp;"""",0))"),"")</f>
        <v/>
      </c>
      <c r="D132" s="140"/>
    </row>
    <row r="133" spans="1:4" ht="13.2">
      <c r="A133" s="193"/>
      <c r="B133" s="173"/>
      <c r="C133" s="139" t="str">
        <f ca="1">IFERROR(__xludf.DUMMYFUNCTION("if(ISBLANK(INDIRECT(ADDRESS(6,(ROW()-5)))),,QUERY('NPC List'!$1:$1000, ""Select C,D WHERE A = ""&amp;INDIRECT(ADDRESS(6,(ROW()-5)))&amp;"""",0))"),"")</f>
        <v/>
      </c>
      <c r="D133" s="140"/>
    </row>
    <row r="134" spans="1:4" ht="13.2">
      <c r="A134" s="193"/>
      <c r="B134" s="173"/>
      <c r="C134" s="139" t="str">
        <f ca="1">IFERROR(__xludf.DUMMYFUNCTION("if(ISBLANK(INDIRECT(ADDRESS(6,(ROW()-5)))),,QUERY('NPC List'!$1:$1000, ""Select C,D WHERE A = ""&amp;INDIRECT(ADDRESS(6,(ROW()-5)))&amp;"""",0))"),"")</f>
        <v/>
      </c>
      <c r="D134" s="140"/>
    </row>
    <row r="135" spans="1:4" ht="13.2">
      <c r="A135" s="193"/>
      <c r="B135" s="173"/>
      <c r="C135" s="139" t="str">
        <f ca="1">IFERROR(__xludf.DUMMYFUNCTION("if(ISBLANK(INDIRECT(ADDRESS(6,(ROW()-5)))),,QUERY('NPC List'!$1:$1000, ""Select C,D WHERE A = ""&amp;INDIRECT(ADDRESS(6,(ROW()-5)))&amp;"""",0))"),"")</f>
        <v/>
      </c>
      <c r="D135" s="140"/>
    </row>
    <row r="136" spans="1:4" ht="13.2">
      <c r="A136" s="193"/>
      <c r="B136" s="173"/>
      <c r="C136" s="139" t="str">
        <f ca="1">IFERROR(__xludf.DUMMYFUNCTION("if(ISBLANK(INDIRECT(ADDRESS(6,(ROW()-5)))),,QUERY('NPC List'!$1:$1000, ""Select C,D WHERE A = ""&amp;INDIRECT(ADDRESS(6,(ROW()-5)))&amp;"""",0))"),"")</f>
        <v/>
      </c>
      <c r="D136" s="140"/>
    </row>
    <row r="137" spans="1:4" ht="13.2">
      <c r="A137" s="193"/>
      <c r="B137" s="173"/>
      <c r="C137" s="139" t="str">
        <f ca="1">IFERROR(__xludf.DUMMYFUNCTION("if(ISBLANK(INDIRECT(ADDRESS(6,(ROW()-5)))),,QUERY('NPC List'!$1:$1000, ""Select C,D WHERE A = ""&amp;INDIRECT(ADDRESS(6,(ROW()-5)))&amp;"""",0))"),"")</f>
        <v/>
      </c>
      <c r="D137" s="140"/>
    </row>
    <row r="138" spans="1:4" ht="13.2">
      <c r="A138" s="193"/>
      <c r="B138" s="173"/>
      <c r="C138" s="139" t="str">
        <f ca="1">IFERROR(__xludf.DUMMYFUNCTION("if(ISBLANK(INDIRECT(ADDRESS(6,(ROW()-5)))),,QUERY('NPC List'!$1:$1000, ""Select C,D WHERE A = ""&amp;INDIRECT(ADDRESS(6,(ROW()-5)))&amp;"""",0))"),"")</f>
        <v/>
      </c>
      <c r="D138" s="140"/>
    </row>
    <row r="139" spans="1:4" ht="13.2">
      <c r="A139" s="193"/>
      <c r="B139" s="173"/>
      <c r="C139" s="139" t="str">
        <f ca="1">IFERROR(__xludf.DUMMYFUNCTION("if(ISBLANK(INDIRECT(ADDRESS(6,(ROW()-5)))),,QUERY('NPC List'!$1:$1000, ""Select C,D WHERE A = ""&amp;INDIRECT(ADDRESS(6,(ROW()-5)))&amp;"""",0))"),"")</f>
        <v/>
      </c>
      <c r="D139" s="140"/>
    </row>
    <row r="140" spans="1:4" ht="13.2">
      <c r="A140" s="193"/>
      <c r="B140" s="173"/>
      <c r="C140" s="139" t="str">
        <f ca="1">IFERROR(__xludf.DUMMYFUNCTION("if(ISBLANK(INDIRECT(ADDRESS(6,(ROW()-5)))),,QUERY('NPC List'!$1:$1000, ""Select C,D WHERE A = ""&amp;INDIRECT(ADDRESS(6,(ROW()-5)))&amp;"""",0))"),"")</f>
        <v/>
      </c>
      <c r="D140" s="140"/>
    </row>
    <row r="141" spans="1:4" ht="13.2">
      <c r="A141" s="193"/>
      <c r="B141" s="173"/>
      <c r="C141" s="139" t="str">
        <f ca="1">IFERROR(__xludf.DUMMYFUNCTION("if(ISBLANK(INDIRECT(ADDRESS(6,(ROW()-5)))),,QUERY('NPC List'!$1:$1000, ""Select C,D WHERE A = ""&amp;INDIRECT(ADDRESS(6,(ROW()-5)))&amp;"""",0))"),"")</f>
        <v/>
      </c>
      <c r="D141" s="140"/>
    </row>
    <row r="142" spans="1:4" ht="13.2">
      <c r="A142" s="193"/>
      <c r="B142" s="173"/>
      <c r="C142" s="139" t="str">
        <f ca="1">IFERROR(__xludf.DUMMYFUNCTION("if(ISBLANK(INDIRECT(ADDRESS(6,(ROW()-5)))),,QUERY('NPC List'!$1:$1000, ""Select C,D WHERE A = ""&amp;INDIRECT(ADDRESS(6,(ROW()-5)))&amp;"""",0))"),"")</f>
        <v/>
      </c>
      <c r="D142" s="140"/>
    </row>
    <row r="143" spans="1:4" ht="13.2">
      <c r="A143" s="193"/>
      <c r="B143" s="173"/>
      <c r="C143" s="139" t="str">
        <f ca="1">IFERROR(__xludf.DUMMYFUNCTION("if(ISBLANK(INDIRECT(ADDRESS(6,(ROW()-5)))),,QUERY('NPC List'!$1:$1000, ""Select C,D WHERE A = ""&amp;INDIRECT(ADDRESS(6,(ROW()-5)))&amp;"""",0))"),"")</f>
        <v/>
      </c>
      <c r="D143" s="140"/>
    </row>
    <row r="144" spans="1:4" ht="13.2">
      <c r="A144" s="193"/>
      <c r="B144" s="173"/>
      <c r="C144" s="139" t="str">
        <f ca="1">IFERROR(__xludf.DUMMYFUNCTION("if(ISBLANK(INDIRECT(ADDRESS(6,(ROW()-5)))),,QUERY('NPC List'!$1:$1000, ""Select C,D WHERE A = ""&amp;INDIRECT(ADDRESS(6,(ROW()-5)))&amp;"""",0))"),"")</f>
        <v/>
      </c>
      <c r="D144" s="140"/>
    </row>
    <row r="145" spans="1:4" ht="13.2">
      <c r="A145" s="193"/>
      <c r="B145" s="173"/>
      <c r="C145" s="139" t="str">
        <f ca="1">IFERROR(__xludf.DUMMYFUNCTION("if(ISBLANK(INDIRECT(ADDRESS(6,(ROW()-5)))),,QUERY('NPC List'!$1:$1000, ""Select C,D WHERE A = ""&amp;INDIRECT(ADDRESS(6,(ROW()-5)))&amp;"""",0))"),"")</f>
        <v/>
      </c>
      <c r="D145" s="140"/>
    </row>
    <row r="146" spans="1:4" ht="13.2">
      <c r="A146" s="193"/>
      <c r="B146" s="173"/>
      <c r="C146" s="139" t="str">
        <f ca="1">IFERROR(__xludf.DUMMYFUNCTION("if(ISBLANK(INDIRECT(ADDRESS(6,(ROW()-5)))),,QUERY('NPC List'!$1:$1000, ""Select C,D WHERE A = ""&amp;INDIRECT(ADDRESS(6,(ROW()-5)))&amp;"""",0))"),"")</f>
        <v/>
      </c>
      <c r="D146" s="140"/>
    </row>
    <row r="147" spans="1:4" ht="13.2">
      <c r="A147" s="193"/>
      <c r="B147" s="173"/>
      <c r="C147" s="139" t="str">
        <f ca="1">IFERROR(__xludf.DUMMYFUNCTION("if(ISBLANK(INDIRECT(ADDRESS(6,(ROW()-5)))),,QUERY('NPC List'!$1:$1000, ""Select C,D WHERE A = ""&amp;INDIRECT(ADDRESS(6,(ROW()-5)))&amp;"""",0))"),"")</f>
        <v/>
      </c>
      <c r="D147" s="140"/>
    </row>
    <row r="148" spans="1:4" ht="13.2">
      <c r="A148" s="193"/>
      <c r="B148" s="173"/>
      <c r="C148" s="139" t="str">
        <f ca="1">IFERROR(__xludf.DUMMYFUNCTION("if(ISBLANK(INDIRECT(ADDRESS(6,(ROW()-5)))),,QUERY('NPC List'!$1:$1000, ""Select C,D WHERE A = ""&amp;INDIRECT(ADDRESS(6,(ROW()-5)))&amp;"""",0))"),"")</f>
        <v/>
      </c>
      <c r="D148" s="140"/>
    </row>
    <row r="149" spans="1:4" ht="13.2">
      <c r="A149" s="193"/>
      <c r="B149" s="173"/>
      <c r="C149" s="139" t="str">
        <f ca="1">IFERROR(__xludf.DUMMYFUNCTION("if(ISBLANK(INDIRECT(ADDRESS(6,(ROW()-5)))),,QUERY('NPC List'!$1:$1000, ""Select C,D WHERE A = ""&amp;INDIRECT(ADDRESS(6,(ROW()-5)))&amp;"""",0))"),"")</f>
        <v/>
      </c>
      <c r="D149" s="140"/>
    </row>
    <row r="150" spans="1:4" ht="13.2">
      <c r="A150" s="193"/>
      <c r="B150" s="173"/>
      <c r="C150" s="139" t="str">
        <f ca="1">IFERROR(__xludf.DUMMYFUNCTION("if(ISBLANK(INDIRECT(ADDRESS(6,(ROW()-5)))),,QUERY('NPC List'!$1:$1000, ""Select C,D WHERE A = ""&amp;INDIRECT(ADDRESS(6,(ROW()-5)))&amp;"""",0))"),"")</f>
        <v/>
      </c>
      <c r="D150" s="140"/>
    </row>
    <row r="151" spans="1:4" ht="13.2">
      <c r="A151" s="193"/>
      <c r="B151" s="173"/>
      <c r="C151" s="139" t="str">
        <f ca="1">IFERROR(__xludf.DUMMYFUNCTION("if(ISBLANK(INDIRECT(ADDRESS(6,(ROW()-5)))),,QUERY('NPC List'!$1:$1000, ""Select C,D WHERE A = ""&amp;INDIRECT(ADDRESS(6,(ROW()-5)))&amp;"""",0))"),"")</f>
        <v/>
      </c>
      <c r="D151" s="140"/>
    </row>
    <row r="152" spans="1:4" ht="13.2">
      <c r="A152" s="193"/>
      <c r="B152" s="173"/>
      <c r="C152" s="139" t="str">
        <f ca="1">IFERROR(__xludf.DUMMYFUNCTION("if(ISBLANK(INDIRECT(ADDRESS(6,(ROW()-5)))),,QUERY('NPC List'!$1:$1000, ""Select C,D WHERE A = ""&amp;INDIRECT(ADDRESS(6,(ROW()-5)))&amp;"""",0))"),"")</f>
        <v/>
      </c>
      <c r="D152" s="140"/>
    </row>
    <row r="153" spans="1:4" ht="13.2">
      <c r="A153" s="193"/>
      <c r="B153" s="173"/>
      <c r="C153" s="139" t="str">
        <f ca="1">IFERROR(__xludf.DUMMYFUNCTION("if(ISBLANK(INDIRECT(ADDRESS(6,(ROW()-5)))),,QUERY('NPC List'!$1:$1000, ""Select C,D WHERE A = ""&amp;INDIRECT(ADDRESS(6,(ROW()-5)))&amp;"""",0))"),"")</f>
        <v/>
      </c>
      <c r="D153" s="140"/>
    </row>
    <row r="154" spans="1:4" ht="13.2">
      <c r="A154" s="193"/>
      <c r="B154" s="173"/>
      <c r="C154" s="139" t="str">
        <f ca="1">IFERROR(__xludf.DUMMYFUNCTION("if(ISBLANK(INDIRECT(ADDRESS(6,(ROW()-5)))),,QUERY('NPC List'!$1:$1000, ""Select C,D WHERE A = ""&amp;INDIRECT(ADDRESS(6,(ROW()-5)))&amp;"""",0))"),"")</f>
        <v/>
      </c>
      <c r="D154" s="140"/>
    </row>
    <row r="155" spans="1:4" ht="13.2">
      <c r="A155" s="193"/>
      <c r="B155" s="173"/>
      <c r="C155" s="139" t="str">
        <f ca="1">IFERROR(__xludf.DUMMYFUNCTION("if(ISBLANK(INDIRECT(ADDRESS(6,(ROW()-5)))),,QUERY('NPC List'!$1:$1000, ""Select C,D WHERE A = ""&amp;INDIRECT(ADDRESS(6,(ROW()-5)))&amp;"""",0))"),"")</f>
        <v/>
      </c>
      <c r="D155" s="140"/>
    </row>
    <row r="156" spans="1:4" ht="13.2">
      <c r="A156" s="193"/>
      <c r="B156" s="173"/>
      <c r="C156" s="139" t="str">
        <f ca="1">IFERROR(__xludf.DUMMYFUNCTION("if(ISBLANK(INDIRECT(ADDRESS(6,(ROW()-5)))),,QUERY('NPC List'!$1:$1000, ""Select C,D WHERE A = ""&amp;INDIRECT(ADDRESS(6,(ROW()-5)))&amp;"""",0))"),"")</f>
        <v/>
      </c>
      <c r="D156" s="140"/>
    </row>
    <row r="157" spans="1:4" ht="13.2">
      <c r="A157" s="193"/>
      <c r="B157" s="173"/>
      <c r="C157" s="139" t="str">
        <f ca="1">IFERROR(__xludf.DUMMYFUNCTION("if(ISBLANK(INDIRECT(ADDRESS(6,(ROW()-5)))),,QUERY('NPC List'!$1:$1000, ""Select C,D WHERE A = ""&amp;INDIRECT(ADDRESS(6,(ROW()-5)))&amp;"""",0))"),"")</f>
        <v/>
      </c>
      <c r="D157" s="140"/>
    </row>
    <row r="158" spans="1:4" ht="13.2">
      <c r="A158" s="193"/>
      <c r="B158" s="173"/>
      <c r="C158" s="139" t="str">
        <f ca="1">IFERROR(__xludf.DUMMYFUNCTION("if(ISBLANK(INDIRECT(ADDRESS(6,(ROW()-5)))),,QUERY('NPC List'!$1:$1000, ""Select C,D WHERE A = ""&amp;INDIRECT(ADDRESS(6,(ROW()-5)))&amp;"""",0))"),"")</f>
        <v/>
      </c>
      <c r="D158" s="140"/>
    </row>
    <row r="159" spans="1:4" ht="13.2">
      <c r="A159" s="193"/>
      <c r="B159" s="173"/>
      <c r="C159" s="139" t="str">
        <f ca="1">IFERROR(__xludf.DUMMYFUNCTION("if(ISBLANK(INDIRECT(ADDRESS(6,(ROW()-5)))),,QUERY('NPC List'!$1:$1000, ""Select C,D WHERE A = ""&amp;INDIRECT(ADDRESS(6,(ROW()-5)))&amp;"""",0))"),"")</f>
        <v/>
      </c>
      <c r="D159" s="140"/>
    </row>
    <row r="160" spans="1:4" ht="13.2">
      <c r="A160" s="193"/>
      <c r="B160" s="173"/>
      <c r="C160" s="139" t="str">
        <f ca="1">IFERROR(__xludf.DUMMYFUNCTION("if(ISBLANK(INDIRECT(ADDRESS(6,(ROW()-5)))),,QUERY('NPC List'!$1:$1000, ""Select C,D WHERE A = ""&amp;INDIRECT(ADDRESS(6,(ROW()-5)))&amp;"""",0))"),"")</f>
        <v/>
      </c>
      <c r="D160" s="140"/>
    </row>
    <row r="161" spans="1:4" ht="13.2">
      <c r="A161" s="193"/>
      <c r="B161" s="173"/>
      <c r="C161" s="139" t="str">
        <f ca="1">IFERROR(__xludf.DUMMYFUNCTION("if(ISBLANK(INDIRECT(ADDRESS(6,(ROW()-5)))),,QUERY('NPC List'!$1:$1000, ""Select C,D WHERE A = ""&amp;INDIRECT(ADDRESS(6,(ROW()-5)))&amp;"""",0))"),"")</f>
        <v/>
      </c>
      <c r="D161" s="140"/>
    </row>
    <row r="162" spans="1:4" ht="13.2">
      <c r="A162" s="193"/>
      <c r="B162" s="173"/>
      <c r="C162" s="139" t="str">
        <f ca="1">IFERROR(__xludf.DUMMYFUNCTION("if(ISBLANK(INDIRECT(ADDRESS(6,(ROW()-5)))),,QUERY('NPC List'!$1:$1000, ""Select C,D WHERE A = ""&amp;INDIRECT(ADDRESS(6,(ROW()-5)))&amp;"""",0))"),"")</f>
        <v/>
      </c>
      <c r="D162" s="140"/>
    </row>
    <row r="163" spans="1:4" ht="13.2">
      <c r="A163" s="193"/>
      <c r="B163" s="173"/>
      <c r="C163" s="139" t="str">
        <f ca="1">IFERROR(__xludf.DUMMYFUNCTION("if(ISBLANK(INDIRECT(ADDRESS(6,(ROW()-5)))),,QUERY('NPC List'!$1:$1000, ""Select C,D WHERE A = ""&amp;INDIRECT(ADDRESS(6,(ROW()-5)))&amp;"""",0))"),"")</f>
        <v/>
      </c>
      <c r="D163" s="140"/>
    </row>
    <row r="164" spans="1:4" ht="13.2">
      <c r="A164" s="193"/>
      <c r="B164" s="173"/>
      <c r="C164" s="139" t="str">
        <f ca="1">IFERROR(__xludf.DUMMYFUNCTION("if(ISBLANK(INDIRECT(ADDRESS(6,(ROW()-5)))),,QUERY('NPC List'!$1:$1000, ""Select C,D WHERE A = ""&amp;INDIRECT(ADDRESS(6,(ROW()-5)))&amp;"""",0))"),"")</f>
        <v/>
      </c>
      <c r="D164" s="140"/>
    </row>
    <row r="165" spans="1:4" ht="13.2">
      <c r="A165" s="193"/>
      <c r="B165" s="173"/>
      <c r="C165" s="139" t="str">
        <f ca="1">IFERROR(__xludf.DUMMYFUNCTION("if(ISBLANK(INDIRECT(ADDRESS(6,(ROW()-5)))),,QUERY('NPC List'!$1:$1000, ""Select C,D WHERE A = ""&amp;INDIRECT(ADDRESS(6,(ROW()-5)))&amp;"""",0))"),"")</f>
        <v/>
      </c>
      <c r="D165" s="140"/>
    </row>
    <row r="166" spans="1:4" ht="13.2">
      <c r="A166" s="193"/>
      <c r="B166" s="173"/>
      <c r="C166" s="139" t="str">
        <f ca="1">IFERROR(__xludf.DUMMYFUNCTION("if(ISBLANK(INDIRECT(ADDRESS(6,(ROW()-5)))),,QUERY('NPC List'!$1:$1000, ""Select C,D WHERE A = ""&amp;INDIRECT(ADDRESS(6,(ROW()-5)))&amp;"""",0))"),"")</f>
        <v/>
      </c>
      <c r="D166" s="140"/>
    </row>
    <row r="167" spans="1:4" ht="13.2">
      <c r="A167" s="193"/>
      <c r="B167" s="173"/>
      <c r="C167" s="139" t="str">
        <f ca="1">IFERROR(__xludf.DUMMYFUNCTION("if(ISBLANK(INDIRECT(ADDRESS(6,(ROW()-5)))),,QUERY('NPC List'!$1:$1000, ""Select C,D WHERE A = ""&amp;INDIRECT(ADDRESS(6,(ROW()-5)))&amp;"""",0))"),"")</f>
        <v/>
      </c>
      <c r="D167" s="140"/>
    </row>
    <row r="168" spans="1:4" ht="13.2">
      <c r="A168" s="193"/>
      <c r="B168" s="173"/>
      <c r="C168" s="139" t="str">
        <f ca="1">IFERROR(__xludf.DUMMYFUNCTION("if(ISBLANK(INDIRECT(ADDRESS(6,(ROW()-5)))),,QUERY('NPC List'!$1:$1000, ""Select C,D WHERE A = ""&amp;INDIRECT(ADDRESS(6,(ROW()-5)))&amp;"""",0))"),"")</f>
        <v/>
      </c>
      <c r="D168" s="140"/>
    </row>
    <row r="169" spans="1:4" ht="13.2">
      <c r="A169" s="193"/>
      <c r="B169" s="173"/>
      <c r="C169" s="139" t="str">
        <f ca="1">IFERROR(__xludf.DUMMYFUNCTION("if(ISBLANK(INDIRECT(ADDRESS(6,(ROW()-5)))),,QUERY('NPC List'!$1:$1000, ""Select C,D WHERE A = ""&amp;INDIRECT(ADDRESS(6,(ROW()-5)))&amp;"""",0))"),"")</f>
        <v/>
      </c>
      <c r="D169" s="140"/>
    </row>
    <row r="170" spans="1:4" ht="13.2">
      <c r="A170" s="193"/>
      <c r="B170" s="173"/>
      <c r="C170" s="139" t="str">
        <f ca="1">IFERROR(__xludf.DUMMYFUNCTION("if(ISBLANK(INDIRECT(ADDRESS(6,(ROW()-5)))),,QUERY('NPC List'!$1:$1000, ""Select C,D WHERE A = ""&amp;INDIRECT(ADDRESS(6,(ROW()-5)))&amp;"""",0))"),"")</f>
        <v/>
      </c>
      <c r="D170" s="140"/>
    </row>
    <row r="171" spans="1:4" ht="13.2">
      <c r="A171" s="193"/>
      <c r="B171" s="173"/>
      <c r="C171" s="139" t="str">
        <f ca="1">IFERROR(__xludf.DUMMYFUNCTION("if(ISBLANK(INDIRECT(ADDRESS(6,(ROW()-5)))),,QUERY('NPC List'!$1:$1000, ""Select C,D WHERE A = ""&amp;INDIRECT(ADDRESS(6,(ROW()-5)))&amp;"""",0))"),"")</f>
        <v/>
      </c>
      <c r="D171" s="140"/>
    </row>
    <row r="172" spans="1:4" ht="13.2">
      <c r="A172" s="193"/>
      <c r="B172" s="173"/>
      <c r="C172" s="139" t="str">
        <f ca="1">IFERROR(__xludf.DUMMYFUNCTION("if(ISBLANK(INDIRECT(ADDRESS(6,(ROW()-5)))),,QUERY('NPC List'!$1:$1000, ""Select C,D WHERE A = ""&amp;INDIRECT(ADDRESS(6,(ROW()-5)))&amp;"""",0))"),"")</f>
        <v/>
      </c>
      <c r="D172" s="140"/>
    </row>
    <row r="173" spans="1:4" ht="13.2">
      <c r="A173" s="193"/>
      <c r="B173" s="173"/>
      <c r="C173" s="139" t="str">
        <f ca="1">IFERROR(__xludf.DUMMYFUNCTION("if(ISBLANK(INDIRECT(ADDRESS(6,(ROW()-5)))),,QUERY('NPC List'!$1:$1000, ""Select C,D WHERE A = ""&amp;INDIRECT(ADDRESS(6,(ROW()-5)))&amp;"""",0))"),"")</f>
        <v/>
      </c>
      <c r="D173" s="140"/>
    </row>
    <row r="174" spans="1:4" ht="13.2">
      <c r="A174" s="193"/>
      <c r="B174" s="173"/>
      <c r="C174" s="139" t="str">
        <f ca="1">IFERROR(__xludf.DUMMYFUNCTION("if(ISBLANK(INDIRECT(ADDRESS(6,(ROW()-5)))),,QUERY('NPC List'!$1:$1000, ""Select C,D WHERE A = ""&amp;INDIRECT(ADDRESS(6,(ROW()-5)))&amp;"""",0))"),"")</f>
        <v/>
      </c>
      <c r="D174" s="140"/>
    </row>
    <row r="175" spans="1:4" ht="13.2">
      <c r="A175" s="193"/>
      <c r="B175" s="173"/>
      <c r="C175" s="139" t="str">
        <f ca="1">IFERROR(__xludf.DUMMYFUNCTION("if(ISBLANK(INDIRECT(ADDRESS(6,(ROW()-5)))),,QUERY('NPC List'!$1:$1000, ""Select C,D WHERE A = ""&amp;INDIRECT(ADDRESS(6,(ROW()-5)))&amp;"""",0))"),"")</f>
        <v/>
      </c>
      <c r="D175" s="140"/>
    </row>
    <row r="176" spans="1:4" ht="13.2">
      <c r="A176" s="193"/>
      <c r="B176" s="173"/>
      <c r="C176" s="139" t="str">
        <f ca="1">IFERROR(__xludf.DUMMYFUNCTION("if(ISBLANK(INDIRECT(ADDRESS(6,(ROW()-5)))),,QUERY('NPC List'!$1:$1000, ""Select C,D WHERE A = ""&amp;INDIRECT(ADDRESS(6,(ROW()-5)))&amp;"""",0))"),"")</f>
        <v/>
      </c>
      <c r="D176" s="140"/>
    </row>
    <row r="177" spans="1:4" ht="13.2">
      <c r="A177" s="193"/>
      <c r="B177" s="173"/>
      <c r="C177" s="139" t="str">
        <f ca="1">IFERROR(__xludf.DUMMYFUNCTION("if(ISBLANK(INDIRECT(ADDRESS(6,(ROW()-5)))),,QUERY('NPC List'!$1:$1000, ""Select C,D WHERE A = ""&amp;INDIRECT(ADDRESS(6,(ROW()-5)))&amp;"""",0))"),"")</f>
        <v/>
      </c>
      <c r="D177" s="140"/>
    </row>
    <row r="178" spans="1:4" ht="13.2">
      <c r="A178" s="193"/>
      <c r="B178" s="173"/>
      <c r="C178" s="139" t="str">
        <f ca="1">IFERROR(__xludf.DUMMYFUNCTION("if(ISBLANK(INDIRECT(ADDRESS(6,(ROW()-5)))),,QUERY('NPC List'!$1:$1000, ""Select C,D WHERE A = ""&amp;INDIRECT(ADDRESS(6,(ROW()-5)))&amp;"""",0))"),"")</f>
        <v/>
      </c>
      <c r="D178" s="140"/>
    </row>
    <row r="179" spans="1:4" ht="13.2">
      <c r="A179" s="193"/>
      <c r="B179" s="173"/>
      <c r="C179" s="139" t="str">
        <f ca="1">IFERROR(__xludf.DUMMYFUNCTION("if(ISBLANK(INDIRECT(ADDRESS(6,(ROW()-5)))),,QUERY('NPC List'!$1:$1000, ""Select C,D WHERE A = ""&amp;INDIRECT(ADDRESS(6,(ROW()-5)))&amp;"""",0))"),"")</f>
        <v/>
      </c>
      <c r="D179" s="140"/>
    </row>
    <row r="180" spans="1:4" ht="13.2">
      <c r="A180" s="193"/>
      <c r="B180" s="173"/>
      <c r="C180" s="139" t="str">
        <f ca="1">IFERROR(__xludf.DUMMYFUNCTION("if(ISBLANK(INDIRECT(ADDRESS(6,(ROW()-5)))),,QUERY('NPC List'!$1:$1000, ""Select C,D WHERE A = ""&amp;INDIRECT(ADDRESS(6,(ROW()-5)))&amp;"""",0))"),"")</f>
        <v/>
      </c>
      <c r="D180" s="140"/>
    </row>
    <row r="181" spans="1:4" ht="13.2">
      <c r="A181" s="193"/>
      <c r="B181" s="173"/>
      <c r="C181" s="139" t="str">
        <f ca="1">IFERROR(__xludf.DUMMYFUNCTION("if(ISBLANK(INDIRECT(ADDRESS(6,(ROW()-5)))),,QUERY('NPC List'!$1:$1000, ""Select C,D WHERE A = ""&amp;INDIRECT(ADDRESS(6,(ROW()-5)))&amp;"""",0))"),"")</f>
        <v/>
      </c>
      <c r="D181" s="140"/>
    </row>
    <row r="182" spans="1:4" ht="13.2">
      <c r="A182" s="193"/>
      <c r="B182" s="173"/>
      <c r="C182" s="139" t="str">
        <f ca="1">IFERROR(__xludf.DUMMYFUNCTION("if(ISBLANK(INDIRECT(ADDRESS(6,(ROW()-5)))),,QUERY('NPC List'!$1:$1000, ""Select C,D WHERE A = ""&amp;INDIRECT(ADDRESS(6,(ROW()-5)))&amp;"""",0))"),"")</f>
        <v/>
      </c>
      <c r="D182" s="140"/>
    </row>
    <row r="183" spans="1:4" ht="13.2">
      <c r="A183" s="193"/>
      <c r="B183" s="173"/>
      <c r="C183" s="139" t="str">
        <f ca="1">IFERROR(__xludf.DUMMYFUNCTION("if(ISBLANK(INDIRECT(ADDRESS(6,(ROW()-5)))),,QUERY('NPC List'!$1:$1000, ""Select C,D WHERE A = ""&amp;INDIRECT(ADDRESS(6,(ROW()-5)))&amp;"""",0))"),"")</f>
        <v/>
      </c>
      <c r="D183" s="140"/>
    </row>
    <row r="184" spans="1:4" ht="13.2">
      <c r="A184" s="193"/>
      <c r="B184" s="173"/>
      <c r="C184" s="139" t="str">
        <f ca="1">IFERROR(__xludf.DUMMYFUNCTION("if(ISBLANK(INDIRECT(ADDRESS(6,(ROW()-5)))),,QUERY('NPC List'!$1:$1000, ""Select C,D WHERE A = ""&amp;INDIRECT(ADDRESS(6,(ROW()-5)))&amp;"""",0))"),"")</f>
        <v/>
      </c>
      <c r="D184" s="140"/>
    </row>
    <row r="185" spans="1:4" ht="13.2">
      <c r="A185" s="193"/>
      <c r="B185" s="173"/>
      <c r="C185" s="139" t="str">
        <f ca="1">IFERROR(__xludf.DUMMYFUNCTION("if(ISBLANK(INDIRECT(ADDRESS(6,(ROW()-5)))),,QUERY('NPC List'!$1:$1000, ""Select C,D WHERE A = ""&amp;INDIRECT(ADDRESS(6,(ROW()-5)))&amp;"""",0))"),"")</f>
        <v/>
      </c>
      <c r="D185" s="140"/>
    </row>
    <row r="186" spans="1:4" ht="13.2">
      <c r="A186" s="193"/>
      <c r="B186" s="173"/>
      <c r="C186" s="139" t="str">
        <f ca="1">IFERROR(__xludf.DUMMYFUNCTION("if(ISBLANK(INDIRECT(ADDRESS(6,(ROW()-5)))),,QUERY('NPC List'!$1:$1000, ""Select C,D WHERE A = ""&amp;INDIRECT(ADDRESS(6,(ROW()-5)))&amp;"""",0))"),"")</f>
        <v/>
      </c>
      <c r="D186" s="140"/>
    </row>
    <row r="187" spans="1:4" ht="13.2">
      <c r="A187" s="193"/>
      <c r="B187" s="173"/>
      <c r="C187" s="139" t="str">
        <f ca="1">IFERROR(__xludf.DUMMYFUNCTION("if(ISBLANK(INDIRECT(ADDRESS(6,(ROW()-5)))),,QUERY('NPC List'!$1:$1000, ""Select C,D WHERE A = ""&amp;INDIRECT(ADDRESS(6,(ROW()-5)))&amp;"""",0))"),"")</f>
        <v/>
      </c>
      <c r="D187" s="140"/>
    </row>
    <row r="188" spans="1:4" ht="13.2">
      <c r="A188" s="193"/>
      <c r="B188" s="173"/>
      <c r="C188" s="139" t="str">
        <f ca="1">IFERROR(__xludf.DUMMYFUNCTION("if(ISBLANK(INDIRECT(ADDRESS(6,(ROW()-5)))),,QUERY('NPC List'!$1:$1000, ""Select C,D WHERE A = ""&amp;INDIRECT(ADDRESS(6,(ROW()-5)))&amp;"""",0))"),"")</f>
        <v/>
      </c>
      <c r="D188" s="140"/>
    </row>
    <row r="189" spans="1:4" ht="13.2">
      <c r="A189" s="193"/>
      <c r="B189" s="173"/>
      <c r="C189" s="139" t="str">
        <f ca="1">IFERROR(__xludf.DUMMYFUNCTION("if(ISBLANK(INDIRECT(ADDRESS(6,(ROW()-5)))),,QUERY('NPC List'!$1:$1000, ""Select C,D WHERE A = ""&amp;INDIRECT(ADDRESS(6,(ROW()-5)))&amp;"""",0))"),"")</f>
        <v/>
      </c>
      <c r="D189" s="140"/>
    </row>
    <row r="190" spans="1:4" ht="13.2">
      <c r="A190" s="193"/>
      <c r="B190" s="173"/>
      <c r="C190" s="139" t="str">
        <f ca="1">IFERROR(__xludf.DUMMYFUNCTION("if(ISBLANK(INDIRECT(ADDRESS(6,(ROW()-5)))),,QUERY('NPC List'!$1:$1000, ""Select C,D WHERE A = ""&amp;INDIRECT(ADDRESS(6,(ROW()-5)))&amp;"""",0))"),"")</f>
        <v/>
      </c>
      <c r="D190" s="140"/>
    </row>
    <row r="191" spans="1:4" ht="13.2">
      <c r="A191" s="193"/>
      <c r="B191" s="173"/>
      <c r="C191" s="139" t="str">
        <f ca="1">IFERROR(__xludf.DUMMYFUNCTION("if(ISBLANK(INDIRECT(ADDRESS(6,(ROW()-5)))),,QUERY('NPC List'!$1:$1000, ""Select C,D WHERE A = ""&amp;INDIRECT(ADDRESS(6,(ROW()-5)))&amp;"""",0))"),"")</f>
        <v/>
      </c>
      <c r="D191" s="140"/>
    </row>
    <row r="192" spans="1:4" ht="13.2">
      <c r="A192" s="193"/>
      <c r="B192" s="173"/>
      <c r="C192" s="139" t="str">
        <f ca="1">IFERROR(__xludf.DUMMYFUNCTION("if(ISBLANK(INDIRECT(ADDRESS(6,(ROW()-5)))),,QUERY('NPC List'!$1:$1000, ""Select C,D WHERE A = ""&amp;INDIRECT(ADDRESS(6,(ROW()-5)))&amp;"""",0))"),"")</f>
        <v/>
      </c>
      <c r="D192" s="140"/>
    </row>
    <row r="193" spans="1:4" ht="13.2">
      <c r="A193" s="193"/>
      <c r="B193" s="173"/>
      <c r="C193" s="139" t="str">
        <f ca="1">IFERROR(__xludf.DUMMYFUNCTION("if(ISBLANK(INDIRECT(ADDRESS(6,(ROW()-5)))),,QUERY('NPC List'!$1:$1000, ""Select C,D WHERE A = ""&amp;INDIRECT(ADDRESS(6,(ROW()-5)))&amp;"""",0))"),"")</f>
        <v/>
      </c>
      <c r="D193" s="140"/>
    </row>
    <row r="194" spans="1:4" ht="13.2">
      <c r="A194" s="193"/>
      <c r="B194" s="173"/>
      <c r="C194" s="139" t="str">
        <f ca="1">IFERROR(__xludf.DUMMYFUNCTION("if(ISBLANK(INDIRECT(ADDRESS(6,(ROW()-5)))),,QUERY('NPC List'!$1:$1000, ""Select C,D WHERE A = ""&amp;INDIRECT(ADDRESS(6,(ROW()-5)))&amp;"""",0))"),"")</f>
        <v/>
      </c>
      <c r="D194" s="140"/>
    </row>
    <row r="195" spans="1:4" ht="13.2">
      <c r="A195" s="193"/>
      <c r="B195" s="173"/>
      <c r="C195" s="139" t="str">
        <f ca="1">IFERROR(__xludf.DUMMYFUNCTION("if(ISBLANK(INDIRECT(ADDRESS(6,(ROW()-5)))),,QUERY('NPC List'!$1:$1000, ""Select C,D WHERE A = ""&amp;INDIRECT(ADDRESS(6,(ROW()-5)))&amp;"""",0))"),"")</f>
        <v/>
      </c>
      <c r="D195" s="140"/>
    </row>
    <row r="196" spans="1:4" ht="13.2">
      <c r="A196" s="193"/>
      <c r="B196" s="173"/>
      <c r="C196" s="139" t="str">
        <f ca="1">IFERROR(__xludf.DUMMYFUNCTION("if(ISBLANK(INDIRECT(ADDRESS(6,(ROW()-5)))),,QUERY('NPC List'!$1:$1000, ""Select C,D WHERE A = ""&amp;INDIRECT(ADDRESS(6,(ROW()-5)))&amp;"""",0))"),"")</f>
        <v/>
      </c>
      <c r="D196" s="140"/>
    </row>
    <row r="197" spans="1:4" ht="13.2">
      <c r="A197" s="193"/>
      <c r="B197" s="173"/>
      <c r="C197" s="139" t="str">
        <f ca="1">IFERROR(__xludf.DUMMYFUNCTION("if(ISBLANK(INDIRECT(ADDRESS(6,(ROW()-5)))),,QUERY('NPC List'!$1:$1000, ""Select C,D WHERE A = ""&amp;INDIRECT(ADDRESS(6,(ROW()-5)))&amp;"""",0))"),"")</f>
        <v/>
      </c>
      <c r="D197" s="140"/>
    </row>
    <row r="198" spans="1:4" ht="13.2">
      <c r="A198" s="193"/>
      <c r="B198" s="173"/>
      <c r="C198" s="139" t="str">
        <f ca="1">IFERROR(__xludf.DUMMYFUNCTION("if(ISBLANK(INDIRECT(ADDRESS(6,(ROW()-5)))),,QUERY('NPC List'!$1:$1000, ""Select C,D WHERE A = ""&amp;INDIRECT(ADDRESS(6,(ROW()-5)))&amp;"""",0))"),"")</f>
        <v/>
      </c>
      <c r="D198" s="140"/>
    </row>
    <row r="199" spans="1:4" ht="13.2">
      <c r="A199" s="193"/>
      <c r="B199" s="173"/>
      <c r="C199" s="139" t="str">
        <f ca="1">IFERROR(__xludf.DUMMYFUNCTION("if(ISBLANK(INDIRECT(ADDRESS(6,(ROW()-5)))),,QUERY('NPC List'!$1:$1000, ""Select C,D WHERE A = ""&amp;INDIRECT(ADDRESS(6,(ROW()-5)))&amp;"""",0))"),"")</f>
        <v/>
      </c>
      <c r="D199" s="140"/>
    </row>
    <row r="200" spans="1:4" ht="13.2">
      <c r="A200" s="193"/>
      <c r="B200" s="173"/>
      <c r="C200" s="139" t="str">
        <f ca="1">IFERROR(__xludf.DUMMYFUNCTION("if(ISBLANK(INDIRECT(ADDRESS(6,(ROW()-5)))),,QUERY('NPC List'!$1:$1000, ""Select C,D WHERE A = ""&amp;INDIRECT(ADDRESS(6,(ROW()-5)))&amp;"""",0))"),"")</f>
        <v/>
      </c>
      <c r="D200" s="140"/>
    </row>
    <row r="201" spans="1:4" ht="13.2">
      <c r="A201" s="193"/>
      <c r="B201" s="173"/>
      <c r="C201" s="139" t="str">
        <f ca="1">IFERROR(__xludf.DUMMYFUNCTION("if(ISBLANK(INDIRECT(ADDRESS(6,(ROW()-5)))),,QUERY('NPC List'!$1:$1000, ""Select C,D WHERE A = ""&amp;INDIRECT(ADDRESS(6,(ROW()-5)))&amp;"""",0))"),"")</f>
        <v/>
      </c>
      <c r="D201" s="140"/>
    </row>
    <row r="202" spans="1:4" ht="13.2">
      <c r="A202" s="193"/>
      <c r="B202" s="173"/>
      <c r="C202" s="139" t="str">
        <f ca="1">IFERROR(__xludf.DUMMYFUNCTION("if(ISBLANK(INDIRECT(ADDRESS(6,(ROW()-5)))),,QUERY('NPC List'!$1:$1000, ""Select C,D WHERE A = ""&amp;INDIRECT(ADDRESS(6,(ROW()-5)))&amp;"""",0))"),"")</f>
        <v/>
      </c>
      <c r="D202" s="140"/>
    </row>
    <row r="203" spans="1:4" ht="13.2">
      <c r="A203" s="193"/>
      <c r="B203" s="173"/>
      <c r="C203" s="139" t="str">
        <f ca="1">IFERROR(__xludf.DUMMYFUNCTION("if(ISBLANK(INDIRECT(ADDRESS(6,(ROW()-5)))),,QUERY('NPC List'!$1:$1000, ""Select C,D WHERE A = ""&amp;INDIRECT(ADDRESS(6,(ROW()-5)))&amp;"""",0))"),"")</f>
        <v/>
      </c>
      <c r="D203" s="140"/>
    </row>
    <row r="204" spans="1:4" ht="13.2">
      <c r="A204" s="193"/>
      <c r="B204" s="173"/>
      <c r="C204" s="139" t="str">
        <f ca="1">IFERROR(__xludf.DUMMYFUNCTION("if(ISBLANK(INDIRECT(ADDRESS(6,(ROW()-5)))),,QUERY('NPC List'!$1:$1000, ""Select C,D WHERE A = ""&amp;INDIRECT(ADDRESS(6,(ROW()-5)))&amp;"""",0))"),"")</f>
        <v/>
      </c>
      <c r="D204" s="140"/>
    </row>
    <row r="205" spans="1:4" ht="13.2">
      <c r="A205" s="193"/>
      <c r="B205" s="173"/>
      <c r="C205" s="139" t="str">
        <f ca="1">IFERROR(__xludf.DUMMYFUNCTION("if(ISBLANK(INDIRECT(ADDRESS(6,(ROW()-5)))),,QUERY('NPC List'!$1:$1000, ""Select C,D WHERE A = ""&amp;INDIRECT(ADDRESS(6,(ROW()-5)))&amp;"""",0))"),"")</f>
        <v/>
      </c>
      <c r="D205" s="140"/>
    </row>
    <row r="206" spans="1:4" ht="13.2">
      <c r="A206" s="193"/>
      <c r="B206" s="173"/>
      <c r="C206" s="139" t="str">
        <f ca="1">IFERROR(__xludf.DUMMYFUNCTION("if(ISBLANK(INDIRECT(ADDRESS(6,(ROW()-5)))),,QUERY('NPC List'!$1:$1000, ""Select C,D WHERE A = ""&amp;INDIRECT(ADDRESS(6,(ROW()-5)))&amp;"""",0))"),"")</f>
        <v/>
      </c>
      <c r="D206" s="140"/>
    </row>
    <row r="207" spans="1:4" ht="13.2">
      <c r="A207" s="193"/>
      <c r="B207" s="173"/>
      <c r="C207" s="139" t="str">
        <f ca="1">IFERROR(__xludf.DUMMYFUNCTION("if(ISBLANK(INDIRECT(ADDRESS(6,(ROW()-5)))),,QUERY('NPC List'!$1:$1000, ""Select C,D WHERE A = ""&amp;INDIRECT(ADDRESS(6,(ROW()-5)))&amp;"""",0))"),"")</f>
        <v/>
      </c>
      <c r="D207" s="140"/>
    </row>
    <row r="208" spans="1:4" ht="13.2">
      <c r="A208" s="193"/>
      <c r="B208" s="173"/>
      <c r="C208" s="139" t="str">
        <f ca="1">IFERROR(__xludf.DUMMYFUNCTION("if(ISBLANK(INDIRECT(ADDRESS(6,(ROW()-5)))),,QUERY('NPC List'!$1:$1000, ""Select C,D WHERE A = ""&amp;INDIRECT(ADDRESS(6,(ROW()-5)))&amp;"""",0))"),"")</f>
        <v/>
      </c>
      <c r="D208" s="140"/>
    </row>
    <row r="209" spans="1:4" ht="13.2">
      <c r="A209" s="193"/>
      <c r="B209" s="173"/>
      <c r="C209" s="139" t="str">
        <f ca="1">IFERROR(__xludf.DUMMYFUNCTION("if(ISBLANK(INDIRECT(ADDRESS(6,(ROW()-5)))),,QUERY('NPC List'!$1:$1000, ""Select C,D WHERE A = ""&amp;INDIRECT(ADDRESS(6,(ROW()-5)))&amp;"""",0))"),"")</f>
        <v/>
      </c>
      <c r="D209" s="140"/>
    </row>
    <row r="210" spans="1:4" ht="13.2">
      <c r="A210" s="193"/>
      <c r="B210" s="173"/>
      <c r="C210" s="139" t="str">
        <f ca="1">IFERROR(__xludf.DUMMYFUNCTION("if(ISBLANK(INDIRECT(ADDRESS(6,(ROW()-5)))),,QUERY('NPC List'!$1:$1000, ""Select C,D WHERE A = ""&amp;INDIRECT(ADDRESS(6,(ROW()-5)))&amp;"""",0))"),"")</f>
        <v/>
      </c>
      <c r="D210" s="140"/>
    </row>
    <row r="211" spans="1:4" ht="13.2">
      <c r="A211" s="193"/>
      <c r="B211" s="173"/>
      <c r="C211" s="139" t="str">
        <f ca="1">IFERROR(__xludf.DUMMYFUNCTION("if(ISBLANK(INDIRECT(ADDRESS(6,(ROW()-5)))),,QUERY('NPC List'!$1:$1000, ""Select C,D WHERE A = ""&amp;INDIRECT(ADDRESS(6,(ROW()-5)))&amp;"""",0))"),"")</f>
        <v/>
      </c>
      <c r="D211" s="140"/>
    </row>
    <row r="212" spans="1:4" ht="13.2">
      <c r="A212" s="193"/>
      <c r="B212" s="173"/>
      <c r="C212" s="139" t="str">
        <f ca="1">IFERROR(__xludf.DUMMYFUNCTION("if(ISBLANK(INDIRECT(ADDRESS(6,(ROW()-5)))),,QUERY('NPC List'!$1:$1000, ""Select C,D WHERE A = ""&amp;INDIRECT(ADDRESS(6,(ROW()-5)))&amp;"""",0))"),"")</f>
        <v/>
      </c>
      <c r="D212" s="140"/>
    </row>
    <row r="213" spans="1:4" ht="13.2">
      <c r="A213" s="193"/>
      <c r="B213" s="173"/>
      <c r="C213" s="139" t="str">
        <f ca="1">IFERROR(__xludf.DUMMYFUNCTION("if(ISBLANK(INDIRECT(ADDRESS(6,(ROW()-5)))),,QUERY('NPC List'!$1:$1000, ""Select C,D WHERE A = ""&amp;INDIRECT(ADDRESS(6,(ROW()-5)))&amp;"""",0))"),"")</f>
        <v/>
      </c>
      <c r="D213" s="140"/>
    </row>
    <row r="214" spans="1:4" ht="13.2">
      <c r="A214" s="193"/>
      <c r="B214" s="173"/>
      <c r="C214" s="139" t="str">
        <f ca="1">IFERROR(__xludf.DUMMYFUNCTION("if(ISBLANK(INDIRECT(ADDRESS(6,(ROW()-5)))),,QUERY('NPC List'!$1:$1000, ""Select C,D WHERE A = ""&amp;INDIRECT(ADDRESS(6,(ROW()-5)))&amp;"""",0))"),"")</f>
        <v/>
      </c>
      <c r="D214" s="140"/>
    </row>
    <row r="215" spans="1:4" ht="13.2">
      <c r="A215" s="193"/>
      <c r="B215" s="173"/>
      <c r="C215" s="139" t="str">
        <f ca="1">IFERROR(__xludf.DUMMYFUNCTION("if(ISBLANK(INDIRECT(ADDRESS(6,(ROW()-5)))),,QUERY('NPC List'!$1:$1000, ""Select C,D WHERE A = ""&amp;INDIRECT(ADDRESS(6,(ROW()-5)))&amp;"""",0))"),"")</f>
        <v/>
      </c>
      <c r="D215" s="140"/>
    </row>
    <row r="216" spans="1:4" ht="13.2">
      <c r="A216" s="193"/>
      <c r="B216" s="173"/>
      <c r="C216" s="139" t="str">
        <f ca="1">IFERROR(__xludf.DUMMYFUNCTION("if(ISBLANK(INDIRECT(ADDRESS(6,(ROW()-5)))),,QUERY('NPC List'!$1:$1000, ""Select C,D WHERE A = ""&amp;INDIRECT(ADDRESS(6,(ROW()-5)))&amp;"""",0))"),"")</f>
        <v/>
      </c>
      <c r="D216" s="140"/>
    </row>
    <row r="217" spans="1:4" ht="13.2">
      <c r="A217" s="193"/>
      <c r="B217" s="173"/>
      <c r="C217" s="139" t="str">
        <f ca="1">IFERROR(__xludf.DUMMYFUNCTION("if(ISBLANK(INDIRECT(ADDRESS(6,(ROW()-5)))),,QUERY('NPC List'!$1:$1000, ""Select C,D WHERE A = ""&amp;INDIRECT(ADDRESS(6,(ROW()-5)))&amp;"""",0))"),"")</f>
        <v/>
      </c>
      <c r="D217" s="140"/>
    </row>
    <row r="218" spans="1:4" ht="13.2">
      <c r="A218" s="193"/>
      <c r="B218" s="173"/>
      <c r="C218" s="139" t="str">
        <f ca="1">IFERROR(__xludf.DUMMYFUNCTION("if(ISBLANK(INDIRECT(ADDRESS(6,(ROW()-5)))),,QUERY('NPC List'!$1:$1000, ""Select C,D WHERE A = ""&amp;INDIRECT(ADDRESS(6,(ROW()-5)))&amp;"""",0))"),"")</f>
        <v/>
      </c>
      <c r="D218" s="140"/>
    </row>
    <row r="219" spans="1:4" ht="13.2">
      <c r="A219" s="193"/>
      <c r="B219" s="173"/>
      <c r="C219" s="139" t="str">
        <f ca="1">IFERROR(__xludf.DUMMYFUNCTION("if(ISBLANK(INDIRECT(ADDRESS(6,(ROW()-5)))),,QUERY('NPC List'!$1:$1000, ""Select C,D WHERE A = ""&amp;INDIRECT(ADDRESS(6,(ROW()-5)))&amp;"""",0))"),"")</f>
        <v/>
      </c>
      <c r="D219" s="140"/>
    </row>
    <row r="220" spans="1:4" ht="13.2">
      <c r="A220" s="193"/>
      <c r="B220" s="173"/>
      <c r="C220" s="139" t="str">
        <f ca="1">IFERROR(__xludf.DUMMYFUNCTION("if(ISBLANK(INDIRECT(ADDRESS(6,(ROW()-5)))),,QUERY('NPC List'!$1:$1000, ""Select C,D WHERE A = ""&amp;INDIRECT(ADDRESS(6,(ROW()-5)))&amp;"""",0))"),"")</f>
        <v/>
      </c>
      <c r="D220" s="140"/>
    </row>
    <row r="221" spans="1:4" ht="13.2">
      <c r="A221" s="193"/>
      <c r="B221" s="173"/>
      <c r="C221" s="139" t="str">
        <f ca="1">IFERROR(__xludf.DUMMYFUNCTION("if(ISBLANK(INDIRECT(ADDRESS(6,(ROW()-5)))),,QUERY('NPC List'!$1:$1000, ""Select C,D WHERE A = ""&amp;INDIRECT(ADDRESS(6,(ROW()-5)))&amp;"""",0))"),"")</f>
        <v/>
      </c>
      <c r="D221" s="140"/>
    </row>
    <row r="222" spans="1:4" ht="13.2">
      <c r="A222" s="193"/>
      <c r="B222" s="173"/>
      <c r="C222" s="139" t="str">
        <f ca="1">IFERROR(__xludf.DUMMYFUNCTION("if(ISBLANK(INDIRECT(ADDRESS(6,(ROW()-5)))),,QUERY('NPC List'!$1:$1000, ""Select C,D WHERE A = ""&amp;INDIRECT(ADDRESS(6,(ROW()-5)))&amp;"""",0))"),"")</f>
        <v/>
      </c>
      <c r="D222" s="140"/>
    </row>
    <row r="223" spans="1:4" ht="13.2">
      <c r="A223" s="193"/>
      <c r="B223" s="173"/>
      <c r="C223" s="139" t="str">
        <f ca="1">IFERROR(__xludf.DUMMYFUNCTION("if(ISBLANK(INDIRECT(ADDRESS(6,(ROW()-5)))),,QUERY('NPC List'!$1:$1000, ""Select C,D WHERE A = ""&amp;INDIRECT(ADDRESS(6,(ROW()-5)))&amp;"""",0))"),"")</f>
        <v/>
      </c>
      <c r="D223" s="140"/>
    </row>
    <row r="224" spans="1:4" ht="13.2">
      <c r="A224" s="193"/>
      <c r="B224" s="173"/>
      <c r="C224" s="139" t="str">
        <f ca="1">IFERROR(__xludf.DUMMYFUNCTION("if(ISBLANK(INDIRECT(ADDRESS(6,(ROW()-5)))),,QUERY('NPC List'!$1:$1000, ""Select C,D WHERE A = ""&amp;INDIRECT(ADDRESS(6,(ROW()-5)))&amp;"""",0))"),"")</f>
        <v/>
      </c>
      <c r="D224" s="140"/>
    </row>
    <row r="225" spans="1:4" ht="13.2">
      <c r="A225" s="193"/>
      <c r="B225" s="173"/>
      <c r="C225" s="139" t="str">
        <f ca="1">IFERROR(__xludf.DUMMYFUNCTION("if(ISBLANK(INDIRECT(ADDRESS(6,(ROW()-5)))),,QUERY('NPC List'!$1:$1000, ""Select C,D WHERE A = ""&amp;INDIRECT(ADDRESS(6,(ROW()-5)))&amp;"""",0))"),"")</f>
        <v/>
      </c>
      <c r="D225" s="140"/>
    </row>
    <row r="226" spans="1:4" ht="13.2">
      <c r="A226" s="193"/>
      <c r="B226" s="173"/>
      <c r="C226" s="139" t="str">
        <f ca="1">IFERROR(__xludf.DUMMYFUNCTION("if(ISBLANK(INDIRECT(ADDRESS(6,(ROW()-5)))),,QUERY('NPC List'!$1:$1000, ""Select C,D WHERE A = ""&amp;INDIRECT(ADDRESS(6,(ROW()-5)))&amp;"""",0))"),"")</f>
        <v/>
      </c>
      <c r="D226" s="140"/>
    </row>
    <row r="227" spans="1:4" ht="13.2">
      <c r="A227" s="193"/>
      <c r="B227" s="173"/>
      <c r="C227" s="139" t="str">
        <f ca="1">IFERROR(__xludf.DUMMYFUNCTION("if(ISBLANK(INDIRECT(ADDRESS(6,(ROW()-5)))),,QUERY('NPC List'!$1:$1000, ""Select C,D WHERE A = ""&amp;INDIRECT(ADDRESS(6,(ROW()-5)))&amp;"""",0))"),"")</f>
        <v/>
      </c>
      <c r="D227" s="140"/>
    </row>
    <row r="228" spans="1:4" ht="13.2">
      <c r="A228" s="193"/>
      <c r="B228" s="173"/>
      <c r="C228" s="139" t="str">
        <f ca="1">IFERROR(__xludf.DUMMYFUNCTION("if(ISBLANK(INDIRECT(ADDRESS(6,(ROW()-5)))),,QUERY('NPC List'!$1:$1000, ""Select C,D WHERE A = ""&amp;INDIRECT(ADDRESS(6,(ROW()-5)))&amp;"""",0))"),"")</f>
        <v/>
      </c>
      <c r="D228" s="140"/>
    </row>
    <row r="229" spans="1:4" ht="13.2">
      <c r="A229" s="193"/>
      <c r="B229" s="173"/>
      <c r="C229" s="139" t="str">
        <f ca="1">IFERROR(__xludf.DUMMYFUNCTION("if(ISBLANK(INDIRECT(ADDRESS(6,(ROW()-5)))),,QUERY('NPC List'!$1:$1000, ""Select C,D WHERE A = ""&amp;INDIRECT(ADDRESS(6,(ROW()-5)))&amp;"""",0))"),"")</f>
        <v/>
      </c>
      <c r="D229" s="140"/>
    </row>
    <row r="230" spans="1:4" ht="13.2">
      <c r="A230" s="193"/>
      <c r="B230" s="173"/>
      <c r="C230" s="139" t="str">
        <f ca="1">IFERROR(__xludf.DUMMYFUNCTION("if(ISBLANK(INDIRECT(ADDRESS(6,(ROW()-5)))),,QUERY('NPC List'!$1:$1000, ""Select C,D WHERE A = ""&amp;INDIRECT(ADDRESS(6,(ROW()-5)))&amp;"""",0))"),"")</f>
        <v/>
      </c>
      <c r="D230" s="140"/>
    </row>
    <row r="231" spans="1:4" ht="13.2">
      <c r="A231" s="193"/>
      <c r="B231" s="173"/>
      <c r="C231" s="139" t="str">
        <f ca="1">IFERROR(__xludf.DUMMYFUNCTION("if(ISBLANK(INDIRECT(ADDRESS(6,(ROW()-5)))),,QUERY('NPC List'!$1:$1000, ""Select C,D WHERE A = ""&amp;INDIRECT(ADDRESS(6,(ROW()-5)))&amp;"""",0))"),"")</f>
        <v/>
      </c>
      <c r="D231" s="140"/>
    </row>
    <row r="232" spans="1:4" ht="13.2">
      <c r="A232" s="193"/>
      <c r="B232" s="173"/>
      <c r="C232" s="139" t="str">
        <f ca="1">IFERROR(__xludf.DUMMYFUNCTION("if(ISBLANK(INDIRECT(ADDRESS(6,(ROW()-5)))),,QUERY('NPC List'!$1:$1000, ""Select C,D WHERE A = ""&amp;INDIRECT(ADDRESS(6,(ROW()-5)))&amp;"""",0))"),"")</f>
        <v/>
      </c>
      <c r="D232" s="140"/>
    </row>
    <row r="233" spans="1:4" ht="13.2">
      <c r="A233" s="193"/>
      <c r="B233" s="173"/>
      <c r="C233" s="139" t="str">
        <f ca="1">IFERROR(__xludf.DUMMYFUNCTION("if(ISBLANK(INDIRECT(ADDRESS(6,(ROW()-5)))),,QUERY('NPC List'!$1:$1000, ""Select C,D WHERE A = ""&amp;INDIRECT(ADDRESS(6,(ROW()-5)))&amp;"""",0))"),"")</f>
        <v/>
      </c>
      <c r="D233" s="140"/>
    </row>
    <row r="234" spans="1:4" ht="13.2">
      <c r="A234" s="193"/>
      <c r="B234" s="173"/>
      <c r="C234" s="139" t="str">
        <f ca="1">IFERROR(__xludf.DUMMYFUNCTION("if(ISBLANK(INDIRECT(ADDRESS(6,(ROW()-5)))),,QUERY('NPC List'!$1:$1000, ""Select C,D WHERE A = ""&amp;INDIRECT(ADDRESS(6,(ROW()-5)))&amp;"""",0))"),"")</f>
        <v/>
      </c>
      <c r="D234" s="140"/>
    </row>
    <row r="235" spans="1:4" ht="13.2">
      <c r="A235" s="193"/>
      <c r="B235" s="173"/>
      <c r="C235" s="139" t="str">
        <f ca="1">IFERROR(__xludf.DUMMYFUNCTION("if(ISBLANK(INDIRECT(ADDRESS(6,(ROW()-5)))),,QUERY('NPC List'!$1:$1000, ""Select C,D WHERE A = ""&amp;INDIRECT(ADDRESS(6,(ROW()-5)))&amp;"""",0))"),"")</f>
        <v/>
      </c>
      <c r="D235" s="140"/>
    </row>
    <row r="236" spans="1:4" ht="13.2">
      <c r="A236" s="193"/>
      <c r="B236" s="173"/>
      <c r="C236" s="139" t="str">
        <f ca="1">IFERROR(__xludf.DUMMYFUNCTION("if(ISBLANK(INDIRECT(ADDRESS(6,(ROW()-5)))),,QUERY('NPC List'!$1:$1000, ""Select C,D WHERE A = ""&amp;INDIRECT(ADDRESS(6,(ROW()-5)))&amp;"""",0))"),"")</f>
        <v/>
      </c>
      <c r="D236" s="140"/>
    </row>
    <row r="237" spans="1:4" ht="13.2">
      <c r="A237" s="193"/>
      <c r="B237" s="173"/>
      <c r="C237" s="139" t="str">
        <f ca="1">IFERROR(__xludf.DUMMYFUNCTION("if(ISBLANK(INDIRECT(ADDRESS(6,(ROW()-5)))),,QUERY('NPC List'!$1:$1000, ""Select C,D WHERE A = ""&amp;INDIRECT(ADDRESS(6,(ROW()-5)))&amp;"""",0))"),"")</f>
        <v/>
      </c>
      <c r="D237" s="140"/>
    </row>
    <row r="238" spans="1:4" ht="13.2">
      <c r="A238" s="193"/>
      <c r="B238" s="173"/>
      <c r="C238" s="139" t="str">
        <f ca="1">IFERROR(__xludf.DUMMYFUNCTION("if(ISBLANK(INDIRECT(ADDRESS(6,(ROW()-5)))),,QUERY('NPC List'!$1:$1000, ""Select C,D WHERE A = ""&amp;INDIRECT(ADDRESS(6,(ROW()-5)))&amp;"""",0))"),"")</f>
        <v/>
      </c>
      <c r="D238" s="140"/>
    </row>
    <row r="239" spans="1:4" ht="13.2">
      <c r="A239" s="193"/>
      <c r="B239" s="173"/>
      <c r="C239" s="139" t="str">
        <f ca="1">IFERROR(__xludf.DUMMYFUNCTION("if(ISBLANK(INDIRECT(ADDRESS(6,(ROW()-5)))),,QUERY('NPC List'!$1:$1000, ""Select C,D WHERE A = ""&amp;INDIRECT(ADDRESS(6,(ROW()-5)))&amp;"""",0))"),"")</f>
        <v/>
      </c>
      <c r="D239" s="140"/>
    </row>
    <row r="240" spans="1:4" ht="13.2">
      <c r="A240" s="193"/>
      <c r="B240" s="173"/>
      <c r="C240" s="139" t="str">
        <f ca="1">IFERROR(__xludf.DUMMYFUNCTION("if(ISBLANK(INDIRECT(ADDRESS(6,(ROW()-5)))),,QUERY('NPC List'!$1:$1000, ""Select C,D WHERE A = ""&amp;INDIRECT(ADDRESS(6,(ROW()-5)))&amp;"""",0))"),"")</f>
        <v/>
      </c>
      <c r="D240" s="140"/>
    </row>
    <row r="241" spans="1:4" ht="13.2">
      <c r="A241" s="193"/>
      <c r="B241" s="173"/>
      <c r="C241" s="139" t="str">
        <f ca="1">IFERROR(__xludf.DUMMYFUNCTION("if(ISBLANK(INDIRECT(ADDRESS(6,(ROW()-5)))),,QUERY('NPC List'!$1:$1000, ""Select C,D WHERE A = ""&amp;INDIRECT(ADDRESS(6,(ROW()-5)))&amp;"""",0))"),"")</f>
        <v/>
      </c>
      <c r="D241" s="140"/>
    </row>
    <row r="242" spans="1:4" ht="13.2">
      <c r="A242" s="193"/>
      <c r="B242" s="173"/>
      <c r="C242" s="139" t="str">
        <f ca="1">IFERROR(__xludf.DUMMYFUNCTION("if(ISBLANK(INDIRECT(ADDRESS(6,(ROW()-5)))),,QUERY('NPC List'!$1:$1000, ""Select C,D WHERE A = ""&amp;INDIRECT(ADDRESS(6,(ROW()-5)))&amp;"""",0))"),"")</f>
        <v/>
      </c>
      <c r="D242" s="140"/>
    </row>
    <row r="243" spans="1:4" ht="13.2">
      <c r="A243" s="193"/>
      <c r="B243" s="173"/>
      <c r="C243" s="139" t="str">
        <f ca="1">IFERROR(__xludf.DUMMYFUNCTION("if(ISBLANK(INDIRECT(ADDRESS(6,(ROW()-5)))),,QUERY('NPC List'!$1:$1000, ""Select C,D WHERE A = ""&amp;INDIRECT(ADDRESS(6,(ROW()-5)))&amp;"""",0))"),"")</f>
        <v/>
      </c>
      <c r="D243" s="140"/>
    </row>
    <row r="244" spans="1:4" ht="13.2">
      <c r="A244" s="193"/>
      <c r="B244" s="173"/>
      <c r="C244" s="139" t="str">
        <f ca="1">IFERROR(__xludf.DUMMYFUNCTION("if(ISBLANK(INDIRECT(ADDRESS(6,(ROW()-5)))),,QUERY('NPC List'!$1:$1000, ""Select C,D WHERE A = ""&amp;INDIRECT(ADDRESS(6,(ROW()-5)))&amp;"""",0))"),"")</f>
        <v/>
      </c>
      <c r="D244" s="140"/>
    </row>
    <row r="245" spans="1:4" ht="13.2">
      <c r="A245" s="193"/>
      <c r="B245" s="173"/>
      <c r="C245" s="139" t="str">
        <f ca="1">IFERROR(__xludf.DUMMYFUNCTION("if(ISBLANK(INDIRECT(ADDRESS(6,(ROW()-5)))),,QUERY('NPC List'!$1:$1000, ""Select C,D WHERE A = ""&amp;INDIRECT(ADDRESS(6,(ROW()-5)))&amp;"""",0))"),"")</f>
        <v/>
      </c>
      <c r="D245" s="140"/>
    </row>
    <row r="246" spans="1:4" ht="13.2">
      <c r="A246" s="193"/>
      <c r="B246" s="173"/>
      <c r="C246" s="139" t="str">
        <f ca="1">IFERROR(__xludf.DUMMYFUNCTION("if(ISBLANK(INDIRECT(ADDRESS(6,(ROW()-5)))),,QUERY('NPC List'!$1:$1000, ""Select C,D WHERE A = ""&amp;INDIRECT(ADDRESS(6,(ROW()-5)))&amp;"""",0))"),"")</f>
        <v/>
      </c>
      <c r="D246" s="140"/>
    </row>
    <row r="247" spans="1:4" ht="13.2">
      <c r="A247" s="193"/>
      <c r="B247" s="173"/>
      <c r="C247" s="139" t="str">
        <f ca="1">IFERROR(__xludf.DUMMYFUNCTION("if(ISBLANK(INDIRECT(ADDRESS(6,(ROW()-5)))),,QUERY('NPC List'!$1:$1000, ""Select C,D WHERE A = ""&amp;INDIRECT(ADDRESS(6,(ROW()-5)))&amp;"""",0))"),"")</f>
        <v/>
      </c>
      <c r="D247" s="140"/>
    </row>
    <row r="248" spans="1:4" ht="13.2">
      <c r="A248" s="193"/>
      <c r="B248" s="173"/>
      <c r="C248" s="139" t="str">
        <f ca="1">IFERROR(__xludf.DUMMYFUNCTION("if(ISBLANK(INDIRECT(ADDRESS(6,(ROW()-5)))),,QUERY('NPC List'!$1:$1000, ""Select C,D WHERE A = ""&amp;INDIRECT(ADDRESS(6,(ROW()-5)))&amp;"""",0))"),"")</f>
        <v/>
      </c>
      <c r="D248" s="140"/>
    </row>
    <row r="249" spans="1:4" ht="13.2">
      <c r="A249" s="193"/>
      <c r="B249" s="173"/>
      <c r="C249" s="139" t="str">
        <f ca="1">IFERROR(__xludf.DUMMYFUNCTION("if(ISBLANK(INDIRECT(ADDRESS(6,(ROW()-5)))),,QUERY('NPC List'!$1:$1000, ""Select C,D WHERE A = ""&amp;INDIRECT(ADDRESS(6,(ROW()-5)))&amp;"""",0))"),"")</f>
        <v/>
      </c>
      <c r="D249" s="140"/>
    </row>
    <row r="250" spans="1:4" ht="13.2">
      <c r="A250" s="193"/>
      <c r="B250" s="173"/>
      <c r="C250" s="139" t="str">
        <f ca="1">IFERROR(__xludf.DUMMYFUNCTION("if(ISBLANK(INDIRECT(ADDRESS(6,(ROW()-5)))),,QUERY('NPC List'!$1:$1000, ""Select C,D WHERE A = ""&amp;INDIRECT(ADDRESS(6,(ROW()-5)))&amp;"""",0))"),"")</f>
        <v/>
      </c>
      <c r="D250" s="140"/>
    </row>
    <row r="251" spans="1:4" ht="13.2">
      <c r="A251" s="193"/>
      <c r="B251" s="173"/>
      <c r="C251" s="139" t="str">
        <f ca="1">IFERROR(__xludf.DUMMYFUNCTION("if(ISBLANK(INDIRECT(ADDRESS(6,(ROW()-5)))),,QUERY('NPC List'!$1:$1000, ""Select C,D WHERE A = ""&amp;INDIRECT(ADDRESS(6,(ROW()-5)))&amp;"""",0))"),"")</f>
        <v/>
      </c>
      <c r="D251" s="140"/>
    </row>
    <row r="252" spans="1:4" ht="13.2">
      <c r="A252" s="193"/>
      <c r="B252" s="173"/>
      <c r="C252" s="139" t="str">
        <f ca="1">IFERROR(__xludf.DUMMYFUNCTION("if(ISBLANK(INDIRECT(ADDRESS(6,(ROW()-5)))),,QUERY('NPC List'!$1:$1000, ""Select C,D WHERE A = ""&amp;INDIRECT(ADDRESS(6,(ROW()-5)))&amp;"""",0))"),"")</f>
        <v/>
      </c>
      <c r="D252" s="140"/>
    </row>
    <row r="253" spans="1:4" ht="13.2">
      <c r="A253" s="193"/>
      <c r="B253" s="173"/>
      <c r="C253" s="139" t="str">
        <f ca="1">IFERROR(__xludf.DUMMYFUNCTION("if(ISBLANK(INDIRECT(ADDRESS(6,(ROW()-5)))),,QUERY('NPC List'!$1:$1000, ""Select C,D WHERE A = ""&amp;INDIRECT(ADDRESS(6,(ROW()-5)))&amp;"""",0))"),"")</f>
        <v/>
      </c>
      <c r="D253" s="140"/>
    </row>
    <row r="254" spans="1:4" ht="13.2">
      <c r="A254" s="193"/>
      <c r="B254" s="173"/>
      <c r="C254" s="139" t="str">
        <f ca="1">IFERROR(__xludf.DUMMYFUNCTION("if(ISBLANK(INDIRECT(ADDRESS(6,(ROW()-5)))),,QUERY('NPC List'!$1:$1000, ""Select C,D WHERE A = ""&amp;INDIRECT(ADDRESS(6,(ROW()-5)))&amp;"""",0))"),"")</f>
        <v/>
      </c>
      <c r="D254" s="140"/>
    </row>
    <row r="255" spans="1:4" ht="13.2">
      <c r="A255" s="193"/>
      <c r="B255" s="173"/>
      <c r="C255" s="139" t="str">
        <f ca="1">IFERROR(__xludf.DUMMYFUNCTION("if(ISBLANK(INDIRECT(ADDRESS(6,(ROW()-5)))),,QUERY('NPC List'!$1:$1000, ""Select C,D WHERE A = ""&amp;INDIRECT(ADDRESS(6,(ROW()-5)))&amp;"""",0))"),"")</f>
        <v/>
      </c>
      <c r="D255" s="140"/>
    </row>
    <row r="256" spans="1:4" ht="13.2">
      <c r="A256" s="193"/>
      <c r="B256" s="173"/>
      <c r="C256" s="139" t="str">
        <f ca="1">IFERROR(__xludf.DUMMYFUNCTION("if(ISBLANK(INDIRECT(ADDRESS(6,(ROW()-5)))),,QUERY('NPC List'!$1:$1000, ""Select C,D WHERE A = ""&amp;INDIRECT(ADDRESS(6,(ROW()-5)))&amp;"""",0))"),"")</f>
        <v/>
      </c>
      <c r="D256" s="140"/>
    </row>
    <row r="257" spans="1:4" ht="13.2">
      <c r="A257" s="193"/>
      <c r="B257" s="173"/>
      <c r="C257" s="139" t="str">
        <f ca="1">IFERROR(__xludf.DUMMYFUNCTION("if(ISBLANK(INDIRECT(ADDRESS(6,(ROW()-5)))),,QUERY('NPC List'!$1:$1000, ""Select C,D WHERE A = ""&amp;INDIRECT(ADDRESS(6,(ROW()-5)))&amp;"""",0))"),"")</f>
        <v/>
      </c>
      <c r="D257" s="140"/>
    </row>
    <row r="258" spans="1:4" ht="13.2">
      <c r="A258" s="193"/>
      <c r="B258" s="173"/>
      <c r="C258" s="139" t="str">
        <f ca="1">IFERROR(__xludf.DUMMYFUNCTION("if(ISBLANK(INDIRECT(ADDRESS(6,(ROW()-5)))),,QUERY('NPC List'!$1:$1000, ""Select C,D WHERE A = ""&amp;INDIRECT(ADDRESS(6,(ROW()-5)))&amp;"""",0))"),"")</f>
        <v/>
      </c>
      <c r="D258" s="140"/>
    </row>
    <row r="259" spans="1:4" ht="13.2">
      <c r="A259" s="193"/>
      <c r="B259" s="173"/>
      <c r="C259" s="139" t="str">
        <f ca="1">IFERROR(__xludf.DUMMYFUNCTION("if(ISBLANK(INDIRECT(ADDRESS(6,(ROW()-5)))),,QUERY('NPC List'!$1:$1000, ""Select C,D WHERE A = ""&amp;INDIRECT(ADDRESS(6,(ROW()-5)))&amp;"""",0))"),"")</f>
        <v/>
      </c>
      <c r="D259" s="140"/>
    </row>
    <row r="260" spans="1:4" ht="13.2">
      <c r="A260" s="193"/>
      <c r="B260" s="173"/>
      <c r="C260" s="139" t="str">
        <f ca="1">IFERROR(__xludf.DUMMYFUNCTION("if(ISBLANK(INDIRECT(ADDRESS(6,(ROW()-5)))),,QUERY('NPC List'!$1:$1000, ""Select C,D WHERE A = ""&amp;INDIRECT(ADDRESS(6,(ROW()-5)))&amp;"""",0))"),"")</f>
        <v/>
      </c>
      <c r="D260" s="140"/>
    </row>
    <row r="261" spans="1:4" ht="13.2">
      <c r="A261" s="193"/>
      <c r="B261" s="173"/>
      <c r="C261" s="139" t="str">
        <f ca="1">IFERROR(__xludf.DUMMYFUNCTION("if(ISBLANK(INDIRECT(ADDRESS(6,(ROW()-5)))),,QUERY('NPC List'!$1:$1000, ""Select C,D WHERE A = ""&amp;INDIRECT(ADDRESS(6,(ROW()-5)))&amp;"""",0))"),"")</f>
        <v/>
      </c>
      <c r="D261" s="140"/>
    </row>
    <row r="262" spans="1:4" ht="13.2">
      <c r="A262" s="193"/>
      <c r="B262" s="173"/>
      <c r="C262" s="139" t="str">
        <f ca="1">IFERROR(__xludf.DUMMYFUNCTION("if(ISBLANK(INDIRECT(ADDRESS(6,(ROW()-5)))),,QUERY('NPC List'!$1:$1000, ""Select C,D WHERE A = ""&amp;INDIRECT(ADDRESS(6,(ROW()-5)))&amp;"""",0))"),"")</f>
        <v/>
      </c>
      <c r="D262" s="140"/>
    </row>
    <row r="263" spans="1:4" ht="13.2">
      <c r="A263" s="193"/>
      <c r="B263" s="173"/>
      <c r="C263" s="139" t="str">
        <f ca="1">IFERROR(__xludf.DUMMYFUNCTION("if(ISBLANK(INDIRECT(ADDRESS(6,(ROW()-5)))),,QUERY('NPC List'!$1:$1000, ""Select C,D WHERE A = ""&amp;INDIRECT(ADDRESS(6,(ROW()-5)))&amp;"""",0))"),"")</f>
        <v/>
      </c>
      <c r="D263" s="140"/>
    </row>
    <row r="264" spans="1:4" ht="13.2">
      <c r="A264" s="193"/>
      <c r="B264" s="173"/>
      <c r="C264" s="139" t="str">
        <f ca="1">IFERROR(__xludf.DUMMYFUNCTION("if(ISBLANK(INDIRECT(ADDRESS(6,(ROW()-5)))),,QUERY('NPC List'!$1:$1000, ""Select C,D WHERE A = ""&amp;INDIRECT(ADDRESS(6,(ROW()-5)))&amp;"""",0))"),"")</f>
        <v/>
      </c>
      <c r="D264" s="140"/>
    </row>
    <row r="265" spans="1:4" ht="13.2">
      <c r="A265" s="193"/>
      <c r="B265" s="173"/>
      <c r="C265" s="139" t="str">
        <f ca="1">IFERROR(__xludf.DUMMYFUNCTION("if(ISBLANK(INDIRECT(ADDRESS(6,(ROW()-5)))),,QUERY('NPC List'!$1:$1000, ""Select C,D WHERE A = ""&amp;INDIRECT(ADDRESS(6,(ROW()-5)))&amp;"""",0))"),"")</f>
        <v/>
      </c>
      <c r="D265" s="140"/>
    </row>
    <row r="266" spans="1:4" ht="13.2">
      <c r="A266" s="193"/>
      <c r="B266" s="173"/>
      <c r="C266" s="139" t="str">
        <f ca="1">IFERROR(__xludf.DUMMYFUNCTION("if(ISBLANK(INDIRECT(ADDRESS(6,(ROW()-5)))),,QUERY('NPC List'!$1:$1000, ""Select C,D WHERE A = ""&amp;INDIRECT(ADDRESS(6,(ROW()-5)))&amp;"""",0))"),"")</f>
        <v/>
      </c>
      <c r="D266" s="140"/>
    </row>
    <row r="267" spans="1:4" ht="13.2">
      <c r="A267" s="193"/>
      <c r="B267" s="173"/>
      <c r="C267" s="139" t="str">
        <f ca="1">IFERROR(__xludf.DUMMYFUNCTION("if(ISBLANK(INDIRECT(ADDRESS(6,(ROW()-5)))),,QUERY('NPC List'!$1:$1000, ""Select C,D WHERE A = ""&amp;INDIRECT(ADDRESS(6,(ROW()-5)))&amp;"""",0))"),"")</f>
        <v/>
      </c>
      <c r="D267" s="140"/>
    </row>
    <row r="268" spans="1:4" ht="13.2">
      <c r="A268" s="193"/>
      <c r="B268" s="173"/>
      <c r="C268" s="139" t="str">
        <f ca="1">IFERROR(__xludf.DUMMYFUNCTION("if(ISBLANK(INDIRECT(ADDRESS(6,(ROW()-5)))),,QUERY('NPC List'!$1:$1000, ""Select C,D WHERE A = ""&amp;INDIRECT(ADDRESS(6,(ROW()-5)))&amp;"""",0))"),"")</f>
        <v/>
      </c>
      <c r="D268" s="140"/>
    </row>
    <row r="269" spans="1:4" ht="13.2">
      <c r="A269" s="193"/>
      <c r="B269" s="173"/>
      <c r="C269" s="139" t="str">
        <f ca="1">IFERROR(__xludf.DUMMYFUNCTION("if(ISBLANK(INDIRECT(ADDRESS(6,(ROW()-5)))),,QUERY('NPC List'!$1:$1000, ""Select C,D WHERE A = ""&amp;INDIRECT(ADDRESS(6,(ROW()-5)))&amp;"""",0))"),"")</f>
        <v/>
      </c>
      <c r="D269" s="140"/>
    </row>
    <row r="270" spans="1:4" ht="13.2">
      <c r="A270" s="193"/>
      <c r="B270" s="173"/>
      <c r="C270" s="139" t="str">
        <f ca="1">IFERROR(__xludf.DUMMYFUNCTION("if(ISBLANK(INDIRECT(ADDRESS(6,(ROW()-5)))),,QUERY('NPC List'!$1:$1000, ""Select C,D WHERE A = ""&amp;INDIRECT(ADDRESS(6,(ROW()-5)))&amp;"""",0))"),"")</f>
        <v/>
      </c>
      <c r="D270" s="140"/>
    </row>
    <row r="271" spans="1:4" ht="13.2">
      <c r="A271" s="193"/>
      <c r="B271" s="173"/>
      <c r="C271" s="139" t="str">
        <f ca="1">IFERROR(__xludf.DUMMYFUNCTION("if(ISBLANK(INDIRECT(ADDRESS(6,(ROW()-5)))),,QUERY('NPC List'!$1:$1000, ""Select C,D WHERE A = ""&amp;INDIRECT(ADDRESS(6,(ROW()-5)))&amp;"""",0))"),"")</f>
        <v/>
      </c>
      <c r="D271" s="140"/>
    </row>
    <row r="272" spans="1:4" ht="13.2">
      <c r="A272" s="193"/>
      <c r="B272" s="173"/>
      <c r="C272" s="139" t="str">
        <f ca="1">IFERROR(__xludf.DUMMYFUNCTION("if(ISBLANK(INDIRECT(ADDRESS(6,(ROW()-5)))),,QUERY('NPC List'!$1:$1000, ""Select C,D WHERE A = ""&amp;INDIRECT(ADDRESS(6,(ROW()-5)))&amp;"""",0))"),"")</f>
        <v/>
      </c>
      <c r="D272" s="140"/>
    </row>
    <row r="273" spans="1:4" ht="13.2">
      <c r="A273" s="193"/>
      <c r="B273" s="173"/>
      <c r="C273" s="139" t="str">
        <f ca="1">IFERROR(__xludf.DUMMYFUNCTION("if(ISBLANK(INDIRECT(ADDRESS(6,(ROW()-5)))),,QUERY('NPC List'!$1:$1000, ""Select C,D WHERE A = ""&amp;INDIRECT(ADDRESS(6,(ROW()-5)))&amp;"""",0))"),"")</f>
        <v/>
      </c>
      <c r="D273" s="140"/>
    </row>
    <row r="274" spans="1:4" ht="13.2">
      <c r="A274" s="193"/>
      <c r="B274" s="173"/>
      <c r="C274" s="139" t="str">
        <f ca="1">IFERROR(__xludf.DUMMYFUNCTION("if(ISBLANK(INDIRECT(ADDRESS(6,(ROW()-5)))),,QUERY('NPC List'!$1:$1000, ""Select C,D WHERE A = ""&amp;INDIRECT(ADDRESS(6,(ROW()-5)))&amp;"""",0))"),"")</f>
        <v/>
      </c>
      <c r="D274" s="140"/>
    </row>
    <row r="275" spans="1:4" ht="13.2">
      <c r="A275" s="193"/>
      <c r="B275" s="173"/>
      <c r="C275" s="139" t="str">
        <f ca="1">IFERROR(__xludf.DUMMYFUNCTION("if(ISBLANK(INDIRECT(ADDRESS(6,(ROW()-5)))),,QUERY('NPC List'!$1:$1000, ""Select C,D WHERE A = ""&amp;INDIRECT(ADDRESS(6,(ROW()-5)))&amp;"""",0))"),"")</f>
        <v/>
      </c>
      <c r="D275" s="140"/>
    </row>
    <row r="276" spans="1:4" ht="13.2">
      <c r="A276" s="193"/>
      <c r="B276" s="173"/>
      <c r="C276" s="139" t="str">
        <f ca="1">IFERROR(__xludf.DUMMYFUNCTION("if(ISBLANK(INDIRECT(ADDRESS(6,(ROW()-5)))),,QUERY('NPC List'!$1:$1000, ""Select C,D WHERE A = ""&amp;INDIRECT(ADDRESS(6,(ROW()-5)))&amp;"""",0))"),"")</f>
        <v/>
      </c>
      <c r="D276" s="140"/>
    </row>
    <row r="277" spans="1:4" ht="13.2">
      <c r="A277" s="193"/>
      <c r="B277" s="173"/>
      <c r="C277" s="139" t="str">
        <f ca="1">IFERROR(__xludf.DUMMYFUNCTION("if(ISBLANK(INDIRECT(ADDRESS(6,(ROW()-5)))),,QUERY('NPC List'!$1:$1000, ""Select C,D WHERE A = ""&amp;INDIRECT(ADDRESS(6,(ROW()-5)))&amp;"""",0))"),"")</f>
        <v/>
      </c>
      <c r="D277" s="140"/>
    </row>
    <row r="278" spans="1:4" ht="13.2">
      <c r="A278" s="193"/>
      <c r="B278" s="173"/>
      <c r="C278" s="139" t="str">
        <f ca="1">IFERROR(__xludf.DUMMYFUNCTION("if(ISBLANK(INDIRECT(ADDRESS(6,(ROW()-5)))),,QUERY('NPC List'!$1:$1000, ""Select C,D WHERE A = ""&amp;INDIRECT(ADDRESS(6,(ROW()-5)))&amp;"""",0))"),"")</f>
        <v/>
      </c>
      <c r="D278" s="140"/>
    </row>
    <row r="279" spans="1:4" ht="13.2">
      <c r="A279" s="193"/>
      <c r="B279" s="173"/>
      <c r="C279" s="139" t="str">
        <f ca="1">IFERROR(__xludf.DUMMYFUNCTION("if(ISBLANK(INDIRECT(ADDRESS(6,(ROW()-5)))),,QUERY('NPC List'!$1:$1000, ""Select C,D WHERE A = ""&amp;INDIRECT(ADDRESS(6,(ROW()-5)))&amp;"""",0))"),"")</f>
        <v/>
      </c>
      <c r="D279" s="140"/>
    </row>
    <row r="280" spans="1:4" ht="13.2">
      <c r="A280" s="193"/>
      <c r="B280" s="173"/>
      <c r="C280" s="139" t="str">
        <f ca="1">IFERROR(__xludf.DUMMYFUNCTION("if(ISBLANK(INDIRECT(ADDRESS(6,(ROW()-5)))),,QUERY('NPC List'!$1:$1000, ""Select C,D WHERE A = ""&amp;INDIRECT(ADDRESS(6,(ROW()-5)))&amp;"""",0))"),"")</f>
        <v/>
      </c>
      <c r="D280" s="140"/>
    </row>
    <row r="281" spans="1:4" ht="13.2">
      <c r="A281" s="193"/>
      <c r="B281" s="173"/>
      <c r="C281" s="139" t="str">
        <f ca="1">IFERROR(__xludf.DUMMYFUNCTION("if(ISBLANK(INDIRECT(ADDRESS(6,(ROW()-5)))),,QUERY('NPC List'!$1:$1000, ""Select C,D WHERE A = ""&amp;INDIRECT(ADDRESS(6,(ROW()-5)))&amp;"""",0))"),"")</f>
        <v/>
      </c>
      <c r="D281" s="140"/>
    </row>
    <row r="282" spans="1:4" ht="13.2">
      <c r="A282" s="193"/>
      <c r="B282" s="173"/>
      <c r="C282" s="139" t="str">
        <f ca="1">IFERROR(__xludf.DUMMYFUNCTION("if(ISBLANK(INDIRECT(ADDRESS(6,(ROW()-5)))),,QUERY('NPC List'!$1:$1000, ""Select C,D WHERE A = ""&amp;INDIRECT(ADDRESS(6,(ROW()-5)))&amp;"""",0))"),"")</f>
        <v/>
      </c>
      <c r="D282" s="140"/>
    </row>
    <row r="283" spans="1:4" ht="13.2">
      <c r="A283" s="193"/>
      <c r="B283" s="173"/>
      <c r="C283" s="139" t="str">
        <f ca="1">IFERROR(__xludf.DUMMYFUNCTION("if(ISBLANK(INDIRECT(ADDRESS(6,(ROW()-5)))),,QUERY('NPC List'!$1:$1000, ""Select C,D WHERE A = ""&amp;INDIRECT(ADDRESS(6,(ROW()-5)))&amp;"""",0))"),"")</f>
        <v/>
      </c>
      <c r="D283" s="140"/>
    </row>
    <row r="284" spans="1:4" ht="13.2">
      <c r="A284" s="193"/>
      <c r="B284" s="173"/>
      <c r="C284" s="139" t="str">
        <f ca="1">IFERROR(__xludf.DUMMYFUNCTION("if(ISBLANK(INDIRECT(ADDRESS(6,(ROW()-5)))),,QUERY('NPC List'!$1:$1000, ""Select C,D WHERE A = ""&amp;INDIRECT(ADDRESS(6,(ROW()-5)))&amp;"""",0))"),"")</f>
        <v/>
      </c>
      <c r="D284" s="140"/>
    </row>
    <row r="285" spans="1:4" ht="13.2">
      <c r="A285" s="193"/>
      <c r="B285" s="173"/>
      <c r="C285" s="139" t="str">
        <f ca="1">IFERROR(__xludf.DUMMYFUNCTION("if(ISBLANK(INDIRECT(ADDRESS(6,(ROW()-5)))),,QUERY('NPC List'!$1:$1000, ""Select C,D WHERE A = ""&amp;INDIRECT(ADDRESS(6,(ROW()-5)))&amp;"""",0))"),"")</f>
        <v/>
      </c>
      <c r="D285" s="140"/>
    </row>
    <row r="286" spans="1:4" ht="13.2">
      <c r="A286" s="193"/>
      <c r="B286" s="173"/>
      <c r="C286" s="139" t="str">
        <f ca="1">IFERROR(__xludf.DUMMYFUNCTION("if(ISBLANK(INDIRECT(ADDRESS(6,(ROW()-5)))),,QUERY('NPC List'!$1:$1000, ""Select C,D WHERE A = ""&amp;INDIRECT(ADDRESS(6,(ROW()-5)))&amp;"""",0))"),"")</f>
        <v/>
      </c>
      <c r="D286" s="140"/>
    </row>
    <row r="287" spans="1:4" ht="13.2">
      <c r="A287" s="193"/>
      <c r="B287" s="173"/>
      <c r="C287" s="139" t="str">
        <f ca="1">IFERROR(__xludf.DUMMYFUNCTION("if(ISBLANK(INDIRECT(ADDRESS(6,(ROW()-5)))),,QUERY('NPC List'!$1:$1000, ""Select C,D WHERE A = ""&amp;INDIRECT(ADDRESS(6,(ROW()-5)))&amp;"""",0))"),"")</f>
        <v/>
      </c>
      <c r="D287" s="140"/>
    </row>
    <row r="288" spans="1:4" ht="13.2">
      <c r="A288" s="193"/>
      <c r="B288" s="173"/>
      <c r="C288" s="139" t="str">
        <f ca="1">IFERROR(__xludf.DUMMYFUNCTION("if(ISBLANK(INDIRECT(ADDRESS(6,(ROW()-5)))),,QUERY('NPC List'!$1:$1000, ""Select C,D WHERE A = ""&amp;INDIRECT(ADDRESS(6,(ROW()-5)))&amp;"""",0))"),"")</f>
        <v/>
      </c>
      <c r="D288" s="140"/>
    </row>
    <row r="289" spans="1:4" ht="13.2">
      <c r="A289" s="193"/>
      <c r="B289" s="173"/>
      <c r="C289" s="139" t="str">
        <f ca="1">IFERROR(__xludf.DUMMYFUNCTION("if(ISBLANK(INDIRECT(ADDRESS(6,(ROW()-5)))),,QUERY('NPC List'!$1:$1000, ""Select C,D WHERE A = ""&amp;INDIRECT(ADDRESS(6,(ROW()-5)))&amp;"""",0))"),"")</f>
        <v/>
      </c>
      <c r="D289" s="140"/>
    </row>
    <row r="290" spans="1:4" ht="13.2">
      <c r="A290" s="193"/>
      <c r="B290" s="173"/>
      <c r="C290" s="139" t="str">
        <f ca="1">IFERROR(__xludf.DUMMYFUNCTION("if(ISBLANK(INDIRECT(ADDRESS(6,(ROW()-5)))),,QUERY('NPC List'!$1:$1000, ""Select C,D WHERE A = ""&amp;INDIRECT(ADDRESS(6,(ROW()-5)))&amp;"""",0))"),"")</f>
        <v/>
      </c>
      <c r="D290" s="140"/>
    </row>
    <row r="291" spans="1:4" ht="13.2">
      <c r="A291" s="193"/>
      <c r="B291" s="173"/>
      <c r="C291" s="139" t="str">
        <f ca="1">IFERROR(__xludf.DUMMYFUNCTION("if(ISBLANK(INDIRECT(ADDRESS(6,(ROW()-5)))),,QUERY('NPC List'!$1:$1000, ""Select C,D WHERE A = ""&amp;INDIRECT(ADDRESS(6,(ROW()-5)))&amp;"""",0))"),"")</f>
        <v/>
      </c>
      <c r="D291" s="140"/>
    </row>
    <row r="292" spans="1:4" ht="13.2">
      <c r="A292" s="193"/>
      <c r="B292" s="173"/>
      <c r="C292" s="139" t="str">
        <f ca="1">IFERROR(__xludf.DUMMYFUNCTION("if(ISBLANK(INDIRECT(ADDRESS(6,(ROW()-5)))),,QUERY('NPC List'!$1:$1000, ""Select C,D WHERE A = ""&amp;INDIRECT(ADDRESS(6,(ROW()-5)))&amp;"""",0))"),"")</f>
        <v/>
      </c>
      <c r="D292" s="140"/>
    </row>
    <row r="293" spans="1:4" ht="13.2">
      <c r="A293" s="193"/>
      <c r="B293" s="173"/>
      <c r="C293" s="139" t="str">
        <f ca="1">IFERROR(__xludf.DUMMYFUNCTION("if(ISBLANK(INDIRECT(ADDRESS(6,(ROW()-5)))),,QUERY('NPC List'!$1:$1000, ""Select C,D WHERE A = ""&amp;INDIRECT(ADDRESS(6,(ROW()-5)))&amp;"""",0))"),"")</f>
        <v/>
      </c>
      <c r="D293" s="140"/>
    </row>
    <row r="294" spans="1:4" ht="13.2">
      <c r="A294" s="193"/>
      <c r="B294" s="173"/>
      <c r="C294" s="139" t="str">
        <f ca="1">IFERROR(__xludf.DUMMYFUNCTION("if(ISBLANK(INDIRECT(ADDRESS(6,(ROW()-5)))),,QUERY('NPC List'!$1:$1000, ""Select C,D WHERE A = ""&amp;INDIRECT(ADDRESS(6,(ROW()-5)))&amp;"""",0))"),"")</f>
        <v/>
      </c>
      <c r="D294" s="140"/>
    </row>
    <row r="295" spans="1:4" ht="13.2">
      <c r="A295" s="193"/>
      <c r="B295" s="173"/>
      <c r="C295" s="139" t="str">
        <f ca="1">IFERROR(__xludf.DUMMYFUNCTION("if(ISBLANK(INDIRECT(ADDRESS(6,(ROW()-5)))),,QUERY('NPC List'!$1:$1000, ""Select C,D WHERE A = ""&amp;INDIRECT(ADDRESS(6,(ROW()-5)))&amp;"""",0))"),"")</f>
        <v/>
      </c>
      <c r="D295" s="140"/>
    </row>
    <row r="296" spans="1:4" ht="13.2">
      <c r="A296" s="193"/>
      <c r="B296" s="173"/>
      <c r="C296" s="139" t="str">
        <f ca="1">IFERROR(__xludf.DUMMYFUNCTION("if(ISBLANK(INDIRECT(ADDRESS(6,(ROW()-5)))),,QUERY('NPC List'!$1:$1000, ""Select C,D WHERE A = ""&amp;INDIRECT(ADDRESS(6,(ROW()-5)))&amp;"""",0))"),"")</f>
        <v/>
      </c>
      <c r="D296" s="140"/>
    </row>
    <row r="297" spans="1:4" ht="13.2">
      <c r="A297" s="193"/>
      <c r="B297" s="173"/>
      <c r="C297" s="139" t="str">
        <f ca="1">IFERROR(__xludf.DUMMYFUNCTION("if(ISBLANK(INDIRECT(ADDRESS(6,(ROW()-5)))),,QUERY('NPC List'!$1:$1000, ""Select C,D WHERE A = ""&amp;INDIRECT(ADDRESS(6,(ROW()-5)))&amp;"""",0))"),"")</f>
        <v/>
      </c>
      <c r="D297" s="140"/>
    </row>
    <row r="298" spans="1:4" ht="13.2">
      <c r="A298" s="193"/>
      <c r="B298" s="173"/>
      <c r="C298" s="139" t="str">
        <f ca="1">IFERROR(__xludf.DUMMYFUNCTION("if(ISBLANK(INDIRECT(ADDRESS(6,(ROW()-5)))),,QUERY('NPC List'!$1:$1000, ""Select C,D WHERE A = ""&amp;INDIRECT(ADDRESS(6,(ROW()-5)))&amp;"""",0))"),"")</f>
        <v/>
      </c>
      <c r="D298" s="140"/>
    </row>
    <row r="299" spans="1:4" ht="13.2">
      <c r="A299" s="193"/>
      <c r="B299" s="173"/>
      <c r="C299" s="139" t="str">
        <f ca="1">IFERROR(__xludf.DUMMYFUNCTION("if(ISBLANK(INDIRECT(ADDRESS(6,(ROW()-5)))),,QUERY('NPC List'!$1:$1000, ""Select C,D WHERE A = ""&amp;INDIRECT(ADDRESS(6,(ROW()-5)))&amp;"""",0))"),"")</f>
        <v/>
      </c>
      <c r="D299" s="140"/>
    </row>
    <row r="300" spans="1:4" ht="13.2">
      <c r="A300" s="193"/>
      <c r="B300" s="173"/>
      <c r="C300" s="139" t="str">
        <f ca="1">IFERROR(__xludf.DUMMYFUNCTION("if(ISBLANK(INDIRECT(ADDRESS(6,(ROW()-5)))),,QUERY('NPC List'!$1:$1000, ""Select C,D WHERE A = ""&amp;INDIRECT(ADDRESS(6,(ROW()-5)))&amp;"""",0))"),"")</f>
        <v/>
      </c>
      <c r="D300" s="140"/>
    </row>
    <row r="301" spans="1:4" ht="13.2">
      <c r="A301" s="193"/>
      <c r="B301" s="173"/>
      <c r="C301" s="139" t="str">
        <f ca="1">IFERROR(__xludf.DUMMYFUNCTION("if(ISBLANK(INDIRECT(ADDRESS(6,(ROW()-5)))),,QUERY('NPC List'!$1:$1000, ""Select C,D WHERE A = ""&amp;INDIRECT(ADDRESS(6,(ROW()-5)))&amp;"""",0))"),"")</f>
        <v/>
      </c>
      <c r="D301" s="140"/>
    </row>
    <row r="302" spans="1:4" ht="13.2">
      <c r="A302" s="193"/>
      <c r="B302" s="173"/>
      <c r="C302" s="139" t="str">
        <f ca="1">IFERROR(__xludf.DUMMYFUNCTION("if(ISBLANK(INDIRECT(ADDRESS(6,(ROW()-5)))),,QUERY('NPC List'!$1:$1000, ""Select C,D WHERE A = ""&amp;INDIRECT(ADDRESS(6,(ROW()-5)))&amp;"""",0))"),"")</f>
        <v/>
      </c>
      <c r="D302" s="140"/>
    </row>
    <row r="303" spans="1:4" ht="13.2">
      <c r="A303" s="193"/>
      <c r="B303" s="173"/>
      <c r="C303" s="139" t="str">
        <f ca="1">IFERROR(__xludf.DUMMYFUNCTION("if(ISBLANK(INDIRECT(ADDRESS(6,(ROW()-5)))),,QUERY('NPC List'!$1:$1000, ""Select C,D WHERE A = ""&amp;INDIRECT(ADDRESS(6,(ROW()-5)))&amp;"""",0))"),"")</f>
        <v/>
      </c>
      <c r="D303" s="140"/>
    </row>
    <row r="304" spans="1:4" ht="13.2">
      <c r="A304" s="193"/>
      <c r="B304" s="173"/>
      <c r="C304" s="139" t="str">
        <f ca="1">IFERROR(__xludf.DUMMYFUNCTION("if(ISBLANK(INDIRECT(ADDRESS(6,(ROW()-5)))),,QUERY('NPC List'!$1:$1000, ""Select C,D WHERE A = ""&amp;INDIRECT(ADDRESS(6,(ROW()-5)))&amp;"""",0))"),"")</f>
        <v/>
      </c>
      <c r="D304" s="140"/>
    </row>
    <row r="305" spans="1:4" ht="13.2">
      <c r="A305" s="193"/>
      <c r="B305" s="173"/>
      <c r="C305" s="139" t="str">
        <f ca="1">IFERROR(__xludf.DUMMYFUNCTION("if(ISBLANK(INDIRECT(ADDRESS(6,(ROW()-5)))),,QUERY('NPC List'!$1:$1000, ""Select C,D WHERE A = ""&amp;INDIRECT(ADDRESS(6,(ROW()-5)))&amp;"""",0))"),"")</f>
        <v/>
      </c>
      <c r="D305" s="140"/>
    </row>
    <row r="306" spans="1:4" ht="13.2">
      <c r="A306" s="193"/>
      <c r="B306" s="173"/>
      <c r="C306" s="139" t="str">
        <f ca="1">IFERROR(__xludf.DUMMYFUNCTION("if(ISBLANK(INDIRECT(ADDRESS(6,(ROW()-5)))),,QUERY('NPC List'!$1:$1000, ""Select C,D WHERE A = ""&amp;INDIRECT(ADDRESS(6,(ROW()-5)))&amp;"""",0))"),"")</f>
        <v/>
      </c>
      <c r="D306" s="140"/>
    </row>
    <row r="307" spans="1:4" ht="13.2">
      <c r="A307" s="193"/>
      <c r="B307" s="173"/>
      <c r="C307" s="139" t="str">
        <f ca="1">IFERROR(__xludf.DUMMYFUNCTION("if(ISBLANK(INDIRECT(ADDRESS(6,(ROW()-5)))),,QUERY('NPC List'!$1:$1000, ""Select C,D WHERE A = ""&amp;INDIRECT(ADDRESS(6,(ROW()-5)))&amp;"""",0))"),"")</f>
        <v/>
      </c>
      <c r="D307" s="140"/>
    </row>
    <row r="308" spans="1:4" ht="13.2">
      <c r="A308" s="193"/>
      <c r="B308" s="173"/>
      <c r="C308" s="139" t="str">
        <f ca="1">IFERROR(__xludf.DUMMYFUNCTION("if(ISBLANK(INDIRECT(ADDRESS(6,(ROW()-5)))),,QUERY('NPC List'!$1:$1000, ""Select C,D WHERE A = ""&amp;INDIRECT(ADDRESS(6,(ROW()-5)))&amp;"""",0))"),"")</f>
        <v/>
      </c>
      <c r="D308" s="140"/>
    </row>
    <row r="309" spans="1:4" ht="13.2">
      <c r="A309" s="193"/>
      <c r="B309" s="173"/>
      <c r="C309" s="139" t="str">
        <f ca="1">IFERROR(__xludf.DUMMYFUNCTION("if(ISBLANK(INDIRECT(ADDRESS(6,(ROW()-5)))),,QUERY('NPC List'!$1:$1000, ""Select C,D WHERE A = ""&amp;INDIRECT(ADDRESS(6,(ROW()-5)))&amp;"""",0))"),"")</f>
        <v/>
      </c>
      <c r="D309" s="140"/>
    </row>
    <row r="310" spans="1:4" ht="13.2">
      <c r="A310" s="193"/>
      <c r="B310" s="173"/>
      <c r="C310" s="139" t="str">
        <f ca="1">IFERROR(__xludf.DUMMYFUNCTION("if(ISBLANK(INDIRECT(ADDRESS(6,(ROW()-5)))),,QUERY('NPC List'!$1:$1000, ""Select C,D WHERE A = ""&amp;INDIRECT(ADDRESS(6,(ROW()-5)))&amp;"""",0))"),"")</f>
        <v/>
      </c>
      <c r="D310" s="140"/>
    </row>
    <row r="311" spans="1:4" ht="13.2">
      <c r="A311" s="193"/>
      <c r="B311" s="173"/>
      <c r="C311" s="139" t="str">
        <f ca="1">IFERROR(__xludf.DUMMYFUNCTION("if(ISBLANK(INDIRECT(ADDRESS(6,(ROW()-5)))),,QUERY('NPC List'!$1:$1000, ""Select C,D WHERE A = ""&amp;INDIRECT(ADDRESS(6,(ROW()-5)))&amp;"""",0))"),"")</f>
        <v/>
      </c>
      <c r="D311" s="140"/>
    </row>
    <row r="312" spans="1:4" ht="13.2">
      <c r="A312" s="193"/>
      <c r="B312" s="173"/>
      <c r="C312" s="139" t="str">
        <f ca="1">IFERROR(__xludf.DUMMYFUNCTION("if(ISBLANK(INDIRECT(ADDRESS(6,(ROW()-5)))),,QUERY('NPC List'!$1:$1000, ""Select C,D WHERE A = ""&amp;INDIRECT(ADDRESS(6,(ROW()-5)))&amp;"""",0))"),"")</f>
        <v/>
      </c>
      <c r="D312" s="140"/>
    </row>
    <row r="313" spans="1:4" ht="13.2">
      <c r="A313" s="193"/>
      <c r="B313" s="173"/>
      <c r="C313" s="139" t="str">
        <f ca="1">IFERROR(__xludf.DUMMYFUNCTION("if(ISBLANK(INDIRECT(ADDRESS(6,(ROW()-5)))),,QUERY('NPC List'!$1:$1000, ""Select C,D WHERE A = ""&amp;INDIRECT(ADDRESS(6,(ROW()-5)))&amp;"""",0))"),"")</f>
        <v/>
      </c>
      <c r="D313" s="140"/>
    </row>
    <row r="314" spans="1:4" ht="13.2">
      <c r="A314" s="193"/>
      <c r="B314" s="173"/>
      <c r="C314" s="139" t="str">
        <f ca="1">IFERROR(__xludf.DUMMYFUNCTION("if(ISBLANK(INDIRECT(ADDRESS(6,(ROW()-5)))),,QUERY('NPC List'!$1:$1000, ""Select C,D WHERE A = ""&amp;INDIRECT(ADDRESS(6,(ROW()-5)))&amp;"""",0))"),"")</f>
        <v/>
      </c>
      <c r="D314" s="140"/>
    </row>
    <row r="315" spans="1:4" ht="13.2">
      <c r="A315" s="193"/>
      <c r="B315" s="173"/>
      <c r="C315" s="139" t="str">
        <f ca="1">IFERROR(__xludf.DUMMYFUNCTION("if(ISBLANK(INDIRECT(ADDRESS(6,(ROW()-5)))),,QUERY('NPC List'!$1:$1000, ""Select C,D WHERE A = ""&amp;INDIRECT(ADDRESS(6,(ROW()-5)))&amp;"""",0))"),"")</f>
        <v/>
      </c>
      <c r="D315" s="140"/>
    </row>
    <row r="316" spans="1:4" ht="13.2">
      <c r="A316" s="193"/>
      <c r="B316" s="173"/>
      <c r="C316" s="139" t="str">
        <f ca="1">IFERROR(__xludf.DUMMYFUNCTION("if(ISBLANK(INDIRECT(ADDRESS(6,(ROW()-5)))),,QUERY('NPC List'!$1:$1000, ""Select C,D WHERE A = ""&amp;INDIRECT(ADDRESS(6,(ROW()-5)))&amp;"""",0))"),"")</f>
        <v/>
      </c>
      <c r="D316" s="140"/>
    </row>
    <row r="317" spans="1:4" ht="13.2">
      <c r="A317" s="193"/>
      <c r="B317" s="173"/>
      <c r="C317" s="139" t="str">
        <f ca="1">IFERROR(__xludf.DUMMYFUNCTION("if(ISBLANK(INDIRECT(ADDRESS(6,(ROW()-5)))),,QUERY('NPC List'!$1:$1000, ""Select C,D WHERE A = ""&amp;INDIRECT(ADDRESS(6,(ROW()-5)))&amp;"""",0))"),"")</f>
        <v/>
      </c>
      <c r="D317" s="140"/>
    </row>
    <row r="318" spans="1:4" ht="13.2">
      <c r="A318" s="193"/>
      <c r="B318" s="173"/>
      <c r="C318" s="139" t="str">
        <f ca="1">IFERROR(__xludf.DUMMYFUNCTION("if(ISBLANK(INDIRECT(ADDRESS(6,(ROW()-5)))),,QUERY('NPC List'!$1:$1000, ""Select C,D WHERE A = ""&amp;INDIRECT(ADDRESS(6,(ROW()-5)))&amp;"""",0))"),"")</f>
        <v/>
      </c>
      <c r="D318" s="140"/>
    </row>
    <row r="319" spans="1:4" ht="13.2">
      <c r="A319" s="193"/>
      <c r="B319" s="173"/>
      <c r="C319" s="139" t="str">
        <f ca="1">IFERROR(__xludf.DUMMYFUNCTION("if(ISBLANK(INDIRECT(ADDRESS(6,(ROW()-5)))),,QUERY('NPC List'!$1:$1000, ""Select C,D WHERE A = ""&amp;INDIRECT(ADDRESS(6,(ROW()-5)))&amp;"""",0))"),"")</f>
        <v/>
      </c>
      <c r="D319" s="140"/>
    </row>
    <row r="320" spans="1:4" ht="13.2">
      <c r="A320" s="193"/>
      <c r="B320" s="173"/>
      <c r="C320" s="139" t="str">
        <f ca="1">IFERROR(__xludf.DUMMYFUNCTION("if(ISBLANK(INDIRECT(ADDRESS(6,(ROW()-5)))),,QUERY('NPC List'!$1:$1000, ""Select C,D WHERE A = ""&amp;INDIRECT(ADDRESS(6,(ROW()-5)))&amp;"""",0))"),"")</f>
        <v/>
      </c>
      <c r="D320" s="140"/>
    </row>
    <row r="321" spans="1:4" ht="13.2">
      <c r="A321" s="193"/>
      <c r="B321" s="173"/>
      <c r="C321" s="139" t="str">
        <f ca="1">IFERROR(__xludf.DUMMYFUNCTION("if(ISBLANK(INDIRECT(ADDRESS(6,(ROW()-5)))),,QUERY('NPC List'!$1:$1000, ""Select C,D WHERE A = ""&amp;INDIRECT(ADDRESS(6,(ROW()-5)))&amp;"""",0))"),"")</f>
        <v/>
      </c>
      <c r="D321" s="140"/>
    </row>
    <row r="322" spans="1:4" ht="13.2">
      <c r="A322" s="193"/>
      <c r="B322" s="173"/>
      <c r="C322" s="139" t="str">
        <f ca="1">IFERROR(__xludf.DUMMYFUNCTION("if(ISBLANK(INDIRECT(ADDRESS(6,(ROW()-5)))),,QUERY('NPC List'!$1:$1000, ""Select C,D WHERE A = ""&amp;INDIRECT(ADDRESS(6,(ROW()-5)))&amp;"""",0))"),"")</f>
        <v/>
      </c>
      <c r="D322" s="140"/>
    </row>
    <row r="323" spans="1:4" ht="13.2">
      <c r="A323" s="193"/>
      <c r="B323" s="173"/>
      <c r="C323" s="139" t="str">
        <f ca="1">IFERROR(__xludf.DUMMYFUNCTION("if(ISBLANK(INDIRECT(ADDRESS(6,(ROW()-5)))),,QUERY('NPC List'!$1:$1000, ""Select C,D WHERE A = ""&amp;INDIRECT(ADDRESS(6,(ROW()-5)))&amp;"""",0))"),"")</f>
        <v/>
      </c>
      <c r="D323" s="140"/>
    </row>
    <row r="324" spans="1:4" ht="13.2">
      <c r="A324" s="193"/>
      <c r="B324" s="173"/>
      <c r="C324" s="139" t="str">
        <f ca="1">IFERROR(__xludf.DUMMYFUNCTION("if(ISBLANK(INDIRECT(ADDRESS(6,(ROW()-5)))),,QUERY('NPC List'!$1:$1000, ""Select C,D WHERE A = ""&amp;INDIRECT(ADDRESS(6,(ROW()-5)))&amp;"""",0))"),"")</f>
        <v/>
      </c>
      <c r="D324" s="140"/>
    </row>
    <row r="325" spans="1:4" ht="13.2">
      <c r="A325" s="193"/>
      <c r="B325" s="173"/>
      <c r="C325" s="139" t="str">
        <f ca="1">IFERROR(__xludf.DUMMYFUNCTION("if(ISBLANK(INDIRECT(ADDRESS(6,(ROW()-5)))),,QUERY('NPC List'!$1:$1000, ""Select C,D WHERE A = ""&amp;INDIRECT(ADDRESS(6,(ROW()-5)))&amp;"""",0))"),"")</f>
        <v/>
      </c>
      <c r="D325" s="140"/>
    </row>
    <row r="326" spans="1:4" ht="13.2">
      <c r="A326" s="193"/>
      <c r="B326" s="173"/>
      <c r="C326" s="139" t="str">
        <f ca="1">IFERROR(__xludf.DUMMYFUNCTION("if(ISBLANK(INDIRECT(ADDRESS(6,(ROW()-5)))),,QUERY('NPC List'!$1:$1000, ""Select C,D WHERE A = ""&amp;INDIRECT(ADDRESS(6,(ROW()-5)))&amp;"""",0))"),"")</f>
        <v/>
      </c>
      <c r="D326" s="140"/>
    </row>
    <row r="327" spans="1:4" ht="13.2">
      <c r="A327" s="193"/>
      <c r="B327" s="173"/>
      <c r="C327" s="139" t="str">
        <f ca="1">IFERROR(__xludf.DUMMYFUNCTION("if(ISBLANK(INDIRECT(ADDRESS(6,(ROW()-5)))),,QUERY('NPC List'!$1:$1000, ""Select C,D WHERE A = ""&amp;INDIRECT(ADDRESS(6,(ROW()-5)))&amp;"""",0))"),"")</f>
        <v/>
      </c>
      <c r="D327" s="140"/>
    </row>
    <row r="328" spans="1:4" ht="13.2">
      <c r="A328" s="193"/>
      <c r="B328" s="173"/>
      <c r="C328" s="139" t="str">
        <f ca="1">IFERROR(__xludf.DUMMYFUNCTION("if(ISBLANK(INDIRECT(ADDRESS(6,(ROW()-5)))),,QUERY('NPC List'!$1:$1000, ""Select C,D WHERE A = ""&amp;INDIRECT(ADDRESS(6,(ROW()-5)))&amp;"""",0))"),"")</f>
        <v/>
      </c>
      <c r="D328" s="140"/>
    </row>
    <row r="329" spans="1:4" ht="13.2">
      <c r="A329" s="193"/>
      <c r="B329" s="173"/>
      <c r="C329" s="139" t="str">
        <f ca="1">IFERROR(__xludf.DUMMYFUNCTION("if(ISBLANK(INDIRECT(ADDRESS(6,(ROW()-5)))),,QUERY('NPC List'!$1:$1000, ""Select C,D WHERE A = ""&amp;INDIRECT(ADDRESS(6,(ROW()-5)))&amp;"""",0))"),"")</f>
        <v/>
      </c>
      <c r="D329" s="140"/>
    </row>
    <row r="330" spans="1:4" ht="13.2">
      <c r="A330" s="193"/>
      <c r="B330" s="173"/>
      <c r="C330" s="139" t="str">
        <f ca="1">IFERROR(__xludf.DUMMYFUNCTION("if(ISBLANK(INDIRECT(ADDRESS(6,(ROW()-5)))),,QUERY('NPC List'!$1:$1000, ""Select C,D WHERE A = ""&amp;INDIRECT(ADDRESS(6,(ROW()-5)))&amp;"""",0))"),"")</f>
        <v/>
      </c>
      <c r="D330" s="140"/>
    </row>
    <row r="331" spans="1:4" ht="13.2">
      <c r="A331" s="193"/>
      <c r="B331" s="173"/>
      <c r="C331" s="139" t="str">
        <f ca="1">IFERROR(__xludf.DUMMYFUNCTION("if(ISBLANK(INDIRECT(ADDRESS(6,(ROW()-5)))),,QUERY('NPC List'!$1:$1000, ""Select C,D WHERE A = ""&amp;INDIRECT(ADDRESS(6,(ROW()-5)))&amp;"""",0))"),"")</f>
        <v/>
      </c>
      <c r="D331" s="140"/>
    </row>
    <row r="332" spans="1:4" ht="13.2">
      <c r="A332" s="193"/>
      <c r="B332" s="173"/>
      <c r="C332" s="139" t="str">
        <f ca="1">IFERROR(__xludf.DUMMYFUNCTION("if(ISBLANK(INDIRECT(ADDRESS(6,(ROW()-5)))),,QUERY('NPC List'!$1:$1000, ""Select C,D WHERE A = ""&amp;INDIRECT(ADDRESS(6,(ROW()-5)))&amp;"""",0))"),"")</f>
        <v/>
      </c>
      <c r="D332" s="140"/>
    </row>
    <row r="333" spans="1:4" ht="13.2">
      <c r="A333" s="193"/>
      <c r="B333" s="173"/>
      <c r="C333" s="139" t="str">
        <f ca="1">IFERROR(__xludf.DUMMYFUNCTION("if(ISBLANK(INDIRECT(ADDRESS(6,(ROW()-5)))),,QUERY('NPC List'!$1:$1000, ""Select C,D WHERE A = ""&amp;INDIRECT(ADDRESS(6,(ROW()-5)))&amp;"""",0))"),"")</f>
        <v/>
      </c>
      <c r="D333" s="140"/>
    </row>
    <row r="334" spans="1:4" ht="13.2">
      <c r="A334" s="193"/>
      <c r="B334" s="173"/>
      <c r="C334" s="139" t="str">
        <f ca="1">IFERROR(__xludf.DUMMYFUNCTION("if(ISBLANK(INDIRECT(ADDRESS(6,(ROW()-5)))),,QUERY('NPC List'!$1:$1000, ""Select C,D WHERE A = ""&amp;INDIRECT(ADDRESS(6,(ROW()-5)))&amp;"""",0))"),"")</f>
        <v/>
      </c>
      <c r="D334" s="140"/>
    </row>
    <row r="335" spans="1:4" ht="13.2">
      <c r="A335" s="193"/>
      <c r="B335" s="173"/>
      <c r="C335" s="139" t="str">
        <f ca="1">IFERROR(__xludf.DUMMYFUNCTION("if(ISBLANK(INDIRECT(ADDRESS(6,(ROW()-5)))),,QUERY('NPC List'!$1:$1000, ""Select C,D WHERE A = ""&amp;INDIRECT(ADDRESS(6,(ROW()-5)))&amp;"""",0))"),"")</f>
        <v/>
      </c>
      <c r="D335" s="140"/>
    </row>
    <row r="336" spans="1:4" ht="13.2">
      <c r="A336" s="193"/>
      <c r="B336" s="173"/>
      <c r="C336" s="139" t="str">
        <f ca="1">IFERROR(__xludf.DUMMYFUNCTION("if(ISBLANK(INDIRECT(ADDRESS(6,(ROW()-5)))),,QUERY('NPC List'!$1:$1000, ""Select C,D WHERE A = ""&amp;INDIRECT(ADDRESS(6,(ROW()-5)))&amp;"""",0))"),"")</f>
        <v/>
      </c>
      <c r="D336" s="140"/>
    </row>
    <row r="337" spans="1:4" ht="13.2">
      <c r="A337" s="193"/>
      <c r="B337" s="173"/>
      <c r="C337" s="139" t="str">
        <f ca="1">IFERROR(__xludf.DUMMYFUNCTION("if(ISBLANK(INDIRECT(ADDRESS(6,(ROW()-5)))),,QUERY('NPC List'!$1:$1000, ""Select C,D WHERE A = ""&amp;INDIRECT(ADDRESS(6,(ROW()-5)))&amp;"""",0))"),"")</f>
        <v/>
      </c>
      <c r="D337" s="140"/>
    </row>
    <row r="338" spans="1:4" ht="13.2">
      <c r="A338" s="193"/>
      <c r="B338" s="173"/>
      <c r="C338" s="139" t="str">
        <f ca="1">IFERROR(__xludf.DUMMYFUNCTION("if(ISBLANK(INDIRECT(ADDRESS(6,(ROW()-5)))),,QUERY('NPC List'!$1:$1000, ""Select C,D WHERE A = ""&amp;INDIRECT(ADDRESS(6,(ROW()-5)))&amp;"""",0))"),"")</f>
        <v/>
      </c>
      <c r="D338" s="140"/>
    </row>
    <row r="339" spans="1:4" ht="13.2">
      <c r="A339" s="193"/>
      <c r="B339" s="173"/>
      <c r="C339" s="139" t="str">
        <f ca="1">IFERROR(__xludf.DUMMYFUNCTION("if(ISBLANK(INDIRECT(ADDRESS(6,(ROW()-5)))),,QUERY('NPC List'!$1:$1000, ""Select C,D WHERE A = ""&amp;INDIRECT(ADDRESS(6,(ROW()-5)))&amp;"""",0))"),"")</f>
        <v/>
      </c>
      <c r="D339" s="140"/>
    </row>
    <row r="340" spans="1:4" ht="13.2">
      <c r="A340" s="193"/>
      <c r="B340" s="173"/>
      <c r="C340" s="139" t="str">
        <f ca="1">IFERROR(__xludf.DUMMYFUNCTION("if(ISBLANK(INDIRECT(ADDRESS(6,(ROW()-5)))),,QUERY('NPC List'!$1:$1000, ""Select C,D WHERE A = ""&amp;INDIRECT(ADDRESS(6,(ROW()-5)))&amp;"""",0))"),"")</f>
        <v/>
      </c>
      <c r="D340" s="140"/>
    </row>
    <row r="341" spans="1:4" ht="13.2">
      <c r="A341" s="193"/>
      <c r="B341" s="173"/>
      <c r="C341" s="139" t="str">
        <f ca="1">IFERROR(__xludf.DUMMYFUNCTION("if(ISBLANK(INDIRECT(ADDRESS(6,(ROW()-5)))),,QUERY('NPC List'!$1:$1000, ""Select C,D WHERE A = ""&amp;INDIRECT(ADDRESS(6,(ROW()-5)))&amp;"""",0))"),"")</f>
        <v/>
      </c>
      <c r="D341" s="140"/>
    </row>
    <row r="342" spans="1:4" ht="13.2">
      <c r="A342" s="193"/>
      <c r="B342" s="173"/>
      <c r="C342" s="139" t="str">
        <f ca="1">IFERROR(__xludf.DUMMYFUNCTION("if(ISBLANK(INDIRECT(ADDRESS(6,(ROW()-5)))),,QUERY('NPC List'!$1:$1000, ""Select C,D WHERE A = ""&amp;INDIRECT(ADDRESS(6,(ROW()-5)))&amp;"""",0))"),"")</f>
        <v/>
      </c>
      <c r="D342" s="140"/>
    </row>
    <row r="343" spans="1:4" ht="13.2">
      <c r="A343" s="193"/>
      <c r="B343" s="173"/>
      <c r="C343" s="139" t="str">
        <f ca="1">IFERROR(__xludf.DUMMYFUNCTION("if(ISBLANK(INDIRECT(ADDRESS(6,(ROW()-5)))),,QUERY('NPC List'!$1:$1000, ""Select C,D WHERE A = ""&amp;INDIRECT(ADDRESS(6,(ROW()-5)))&amp;"""",0))"),"")</f>
        <v/>
      </c>
      <c r="D343" s="140"/>
    </row>
    <row r="344" spans="1:4" ht="13.2">
      <c r="A344" s="193"/>
      <c r="B344" s="173"/>
      <c r="C344" s="139" t="str">
        <f ca="1">IFERROR(__xludf.DUMMYFUNCTION("if(ISBLANK(INDIRECT(ADDRESS(6,(ROW()-5)))),,QUERY('NPC List'!$1:$1000, ""Select C,D WHERE A = ""&amp;INDIRECT(ADDRESS(6,(ROW()-5)))&amp;"""",0))"),"")</f>
        <v/>
      </c>
      <c r="D344" s="140"/>
    </row>
    <row r="345" spans="1:4" ht="13.2">
      <c r="A345" s="193"/>
      <c r="B345" s="173"/>
      <c r="C345" s="139" t="str">
        <f ca="1">IFERROR(__xludf.DUMMYFUNCTION("if(ISBLANK(INDIRECT(ADDRESS(6,(ROW()-5)))),,QUERY('NPC List'!$1:$1000, ""Select C,D WHERE A = ""&amp;INDIRECT(ADDRESS(6,(ROW()-5)))&amp;"""",0))"),"")</f>
        <v/>
      </c>
      <c r="D345" s="140"/>
    </row>
    <row r="346" spans="1:4" ht="13.2">
      <c r="A346" s="193"/>
      <c r="B346" s="173"/>
      <c r="C346" s="139" t="str">
        <f ca="1">IFERROR(__xludf.DUMMYFUNCTION("if(ISBLANK(INDIRECT(ADDRESS(6,(ROW()-5)))),,QUERY('NPC List'!$1:$1000, ""Select C,D WHERE A = ""&amp;INDIRECT(ADDRESS(6,(ROW()-5)))&amp;"""",0))"),"")</f>
        <v/>
      </c>
      <c r="D346" s="140"/>
    </row>
    <row r="347" spans="1:4" ht="13.2">
      <c r="A347" s="193"/>
      <c r="B347" s="173"/>
      <c r="C347" s="139" t="str">
        <f ca="1">IFERROR(__xludf.DUMMYFUNCTION("if(ISBLANK(INDIRECT(ADDRESS(6,(ROW()-5)))),,QUERY('NPC List'!$1:$1000, ""Select C,D WHERE A = ""&amp;INDIRECT(ADDRESS(6,(ROW()-5)))&amp;"""",0))"),"")</f>
        <v/>
      </c>
      <c r="D347" s="140"/>
    </row>
    <row r="348" spans="1:4" ht="13.2">
      <c r="A348" s="193"/>
      <c r="B348" s="173"/>
      <c r="C348" s="139" t="str">
        <f ca="1">IFERROR(__xludf.DUMMYFUNCTION("if(ISBLANK(INDIRECT(ADDRESS(6,(ROW()-5)))),,QUERY('NPC List'!$1:$1000, ""Select C,D WHERE A = ""&amp;INDIRECT(ADDRESS(6,(ROW()-5)))&amp;"""",0))"),"")</f>
        <v/>
      </c>
      <c r="D348" s="140"/>
    </row>
    <row r="349" spans="1:4" ht="13.2">
      <c r="A349" s="193"/>
      <c r="B349" s="173"/>
      <c r="C349" s="139" t="str">
        <f ca="1">IFERROR(__xludf.DUMMYFUNCTION("if(ISBLANK(INDIRECT(ADDRESS(6,(ROW()-5)))),,QUERY('NPC List'!$1:$1000, ""Select C,D WHERE A = ""&amp;INDIRECT(ADDRESS(6,(ROW()-5)))&amp;"""",0))"),"")</f>
        <v/>
      </c>
      <c r="D349" s="140"/>
    </row>
    <row r="350" spans="1:4" ht="13.2">
      <c r="A350" s="193"/>
      <c r="B350" s="173"/>
      <c r="C350" s="139" t="str">
        <f ca="1">IFERROR(__xludf.DUMMYFUNCTION("if(ISBLANK(INDIRECT(ADDRESS(6,(ROW()-5)))),,QUERY('NPC List'!$1:$1000, ""Select C,D WHERE A = ""&amp;INDIRECT(ADDRESS(6,(ROW()-5)))&amp;"""",0))"),"")</f>
        <v/>
      </c>
      <c r="D350" s="140"/>
    </row>
    <row r="351" spans="1:4" ht="13.2">
      <c r="A351" s="193"/>
      <c r="B351" s="173"/>
      <c r="C351" s="139" t="str">
        <f ca="1">IFERROR(__xludf.DUMMYFUNCTION("if(ISBLANK(INDIRECT(ADDRESS(6,(ROW()-5)))),,QUERY('NPC List'!$1:$1000, ""Select C,D WHERE A = ""&amp;INDIRECT(ADDRESS(6,(ROW()-5)))&amp;"""",0))"),"")</f>
        <v/>
      </c>
      <c r="D351" s="140"/>
    </row>
    <row r="352" spans="1:4" ht="13.2">
      <c r="A352" s="193"/>
      <c r="B352" s="173"/>
      <c r="C352" s="139" t="str">
        <f ca="1">IFERROR(__xludf.DUMMYFUNCTION("if(ISBLANK(INDIRECT(ADDRESS(6,(ROW()-5)))),,QUERY('NPC List'!$1:$1000, ""Select C,D WHERE A = ""&amp;INDIRECT(ADDRESS(6,(ROW()-5)))&amp;"""",0))"),"")</f>
        <v/>
      </c>
      <c r="D352" s="140"/>
    </row>
    <row r="353" spans="1:4" ht="13.2">
      <c r="A353" s="193"/>
      <c r="B353" s="173"/>
      <c r="C353" s="139" t="str">
        <f ca="1">IFERROR(__xludf.DUMMYFUNCTION("if(ISBLANK(INDIRECT(ADDRESS(6,(ROW()-5)))),,QUERY('NPC List'!$1:$1000, ""Select C,D WHERE A = ""&amp;INDIRECT(ADDRESS(6,(ROW()-5)))&amp;"""",0))"),"")</f>
        <v/>
      </c>
      <c r="D353" s="140"/>
    </row>
    <row r="354" spans="1:4" ht="13.2">
      <c r="A354" s="193"/>
      <c r="B354" s="173"/>
      <c r="C354" s="139" t="str">
        <f ca="1">IFERROR(__xludf.DUMMYFUNCTION("if(ISBLANK(INDIRECT(ADDRESS(6,(ROW()-5)))),,QUERY('NPC List'!$1:$1000, ""Select C,D WHERE A = ""&amp;INDIRECT(ADDRESS(6,(ROW()-5)))&amp;"""",0))"),"")</f>
        <v/>
      </c>
      <c r="D354" s="140"/>
    </row>
    <row r="355" spans="1:4" ht="13.2">
      <c r="A355" s="193"/>
      <c r="B355" s="173"/>
      <c r="C355" s="139" t="str">
        <f ca="1">IFERROR(__xludf.DUMMYFUNCTION("if(ISBLANK(INDIRECT(ADDRESS(6,(ROW()-5)))),,QUERY('NPC List'!$1:$1000, ""Select C,D WHERE A = ""&amp;INDIRECT(ADDRESS(6,(ROW()-5)))&amp;"""",0))"),"")</f>
        <v/>
      </c>
      <c r="D355" s="140"/>
    </row>
    <row r="356" spans="1:4" ht="13.2">
      <c r="A356" s="193"/>
      <c r="B356" s="173"/>
      <c r="C356" s="139" t="str">
        <f ca="1">IFERROR(__xludf.DUMMYFUNCTION("if(ISBLANK(INDIRECT(ADDRESS(6,(ROW()-5)))),,QUERY('NPC List'!$1:$1000, ""Select C,D WHERE A = ""&amp;INDIRECT(ADDRESS(6,(ROW()-5)))&amp;"""",0))"),"")</f>
        <v/>
      </c>
      <c r="D356" s="140"/>
    </row>
    <row r="357" spans="1:4" ht="13.2">
      <c r="A357" s="193"/>
      <c r="B357" s="173"/>
      <c r="C357" s="139" t="str">
        <f ca="1">IFERROR(__xludf.DUMMYFUNCTION("if(ISBLANK(INDIRECT(ADDRESS(6,(ROW()-5)))),,QUERY('NPC List'!$1:$1000, ""Select C,D WHERE A = ""&amp;INDIRECT(ADDRESS(6,(ROW()-5)))&amp;"""",0))"),"")</f>
        <v/>
      </c>
      <c r="D357" s="140"/>
    </row>
    <row r="358" spans="1:4" ht="13.2">
      <c r="A358" s="193"/>
      <c r="B358" s="173"/>
      <c r="C358" s="139" t="str">
        <f ca="1">IFERROR(__xludf.DUMMYFUNCTION("if(ISBLANK(INDIRECT(ADDRESS(6,(ROW()-5)))),,QUERY('NPC List'!$1:$1000, ""Select C,D WHERE A = ""&amp;INDIRECT(ADDRESS(6,(ROW()-5)))&amp;"""",0))"),"")</f>
        <v/>
      </c>
      <c r="D358" s="140"/>
    </row>
    <row r="359" spans="1:4" ht="13.2">
      <c r="A359" s="193"/>
      <c r="B359" s="173"/>
      <c r="C359" s="139" t="str">
        <f ca="1">IFERROR(__xludf.DUMMYFUNCTION("if(ISBLANK(INDIRECT(ADDRESS(6,(ROW()-5)))),,QUERY('NPC List'!$1:$1000, ""Select C,D WHERE A = ""&amp;INDIRECT(ADDRESS(6,(ROW()-5)))&amp;"""",0))"),"")</f>
        <v/>
      </c>
      <c r="D359" s="140"/>
    </row>
    <row r="360" spans="1:4" ht="13.2">
      <c r="A360" s="193"/>
      <c r="B360" s="173"/>
      <c r="C360" s="139" t="str">
        <f ca="1">IFERROR(__xludf.DUMMYFUNCTION("if(ISBLANK(INDIRECT(ADDRESS(6,(ROW()-5)))),,QUERY('NPC List'!$1:$1000, ""Select C,D WHERE A = ""&amp;INDIRECT(ADDRESS(6,(ROW()-5)))&amp;"""",0))"),"")</f>
        <v/>
      </c>
      <c r="D360" s="140"/>
    </row>
    <row r="361" spans="1:4" ht="13.2">
      <c r="A361" s="193"/>
      <c r="B361" s="173"/>
      <c r="C361" s="139" t="str">
        <f ca="1">IFERROR(__xludf.DUMMYFUNCTION("if(ISBLANK(INDIRECT(ADDRESS(6,(ROW()-5)))),,QUERY('NPC List'!$1:$1000, ""Select C,D WHERE A = ""&amp;INDIRECT(ADDRESS(6,(ROW()-5)))&amp;"""",0))"),"")</f>
        <v/>
      </c>
      <c r="D361" s="140"/>
    </row>
    <row r="362" spans="1:4" ht="13.2">
      <c r="A362" s="193"/>
      <c r="B362" s="173"/>
      <c r="C362" s="139" t="str">
        <f ca="1">IFERROR(__xludf.DUMMYFUNCTION("if(ISBLANK(INDIRECT(ADDRESS(6,(ROW()-5)))),,QUERY('NPC List'!$1:$1000, ""Select C,D WHERE A = ""&amp;INDIRECT(ADDRESS(6,(ROW()-5)))&amp;"""",0))"),"")</f>
        <v/>
      </c>
      <c r="D362" s="140"/>
    </row>
    <row r="363" spans="1:4" ht="13.2">
      <c r="A363" s="193"/>
      <c r="B363" s="173"/>
      <c r="C363" s="139" t="str">
        <f ca="1">IFERROR(__xludf.DUMMYFUNCTION("if(ISBLANK(INDIRECT(ADDRESS(6,(ROW()-5)))),,QUERY('NPC List'!$1:$1000, ""Select C,D WHERE A = ""&amp;INDIRECT(ADDRESS(6,(ROW()-5)))&amp;"""",0))"),"")</f>
        <v/>
      </c>
      <c r="D363" s="140"/>
    </row>
    <row r="364" spans="1:4" ht="13.2">
      <c r="A364" s="193"/>
      <c r="B364" s="173"/>
      <c r="C364" s="139" t="str">
        <f ca="1">IFERROR(__xludf.DUMMYFUNCTION("if(ISBLANK(INDIRECT(ADDRESS(6,(ROW()-5)))),,QUERY('NPC List'!$1:$1000, ""Select C,D WHERE A = ""&amp;INDIRECT(ADDRESS(6,(ROW()-5)))&amp;"""",0))"),"")</f>
        <v/>
      </c>
      <c r="D364" s="140"/>
    </row>
    <row r="365" spans="1:4" ht="13.2">
      <c r="A365" s="193"/>
      <c r="B365" s="173"/>
      <c r="C365" s="139" t="str">
        <f ca="1">IFERROR(__xludf.DUMMYFUNCTION("if(ISBLANK(INDIRECT(ADDRESS(6,(ROW()-5)))),,QUERY('NPC List'!$1:$1000, ""Select C,D WHERE A = ""&amp;INDIRECT(ADDRESS(6,(ROW()-5)))&amp;"""",0))"),"")</f>
        <v/>
      </c>
      <c r="D365" s="140"/>
    </row>
    <row r="366" spans="1:4" ht="13.2">
      <c r="A366" s="193"/>
      <c r="B366" s="173"/>
      <c r="C366" s="139" t="str">
        <f ca="1">IFERROR(__xludf.DUMMYFUNCTION("if(ISBLANK(INDIRECT(ADDRESS(6,(ROW()-5)))),,QUERY('NPC List'!$1:$1000, ""Select C,D WHERE A = ""&amp;INDIRECT(ADDRESS(6,(ROW()-5)))&amp;"""",0))"),"")</f>
        <v/>
      </c>
      <c r="D366" s="140"/>
    </row>
    <row r="367" spans="1:4" ht="13.2">
      <c r="A367" s="193"/>
      <c r="B367" s="173"/>
      <c r="C367" s="139" t="str">
        <f ca="1">IFERROR(__xludf.DUMMYFUNCTION("if(ISBLANK(INDIRECT(ADDRESS(6,(ROW()-5)))),,QUERY('NPC List'!$1:$1000, ""Select C,D WHERE A = ""&amp;INDIRECT(ADDRESS(6,(ROW()-5)))&amp;"""",0))"),"")</f>
        <v/>
      </c>
      <c r="D367" s="140"/>
    </row>
    <row r="368" spans="1:4" ht="13.2">
      <c r="A368" s="193"/>
      <c r="B368" s="173"/>
      <c r="C368" s="139" t="str">
        <f ca="1">IFERROR(__xludf.DUMMYFUNCTION("if(ISBLANK(INDIRECT(ADDRESS(6,(ROW()-5)))),,QUERY('NPC List'!$1:$1000, ""Select C,D WHERE A = ""&amp;INDIRECT(ADDRESS(6,(ROW()-5)))&amp;"""",0))"),"")</f>
        <v/>
      </c>
      <c r="D368" s="140"/>
    </row>
    <row r="369" spans="1:4" ht="13.2">
      <c r="A369" s="193"/>
      <c r="B369" s="173"/>
      <c r="C369" s="139" t="str">
        <f ca="1">IFERROR(__xludf.DUMMYFUNCTION("if(ISBLANK(INDIRECT(ADDRESS(6,(ROW()-5)))),,QUERY('NPC List'!$1:$1000, ""Select C,D WHERE A = ""&amp;INDIRECT(ADDRESS(6,(ROW()-5)))&amp;"""",0))"),"")</f>
        <v/>
      </c>
      <c r="D369" s="140"/>
    </row>
    <row r="370" spans="1:4" ht="13.2">
      <c r="A370" s="193"/>
      <c r="B370" s="173"/>
      <c r="C370" s="139" t="str">
        <f ca="1">IFERROR(__xludf.DUMMYFUNCTION("if(ISBLANK(INDIRECT(ADDRESS(6,(ROW()-5)))),,QUERY('NPC List'!$1:$1000, ""Select C,D WHERE A = ""&amp;INDIRECT(ADDRESS(6,(ROW()-5)))&amp;"""",0))"),"")</f>
        <v/>
      </c>
      <c r="D370" s="140"/>
    </row>
    <row r="371" spans="1:4" ht="13.2">
      <c r="A371" s="193"/>
      <c r="B371" s="173"/>
      <c r="C371" s="139" t="str">
        <f ca="1">IFERROR(__xludf.DUMMYFUNCTION("if(ISBLANK(INDIRECT(ADDRESS(6,(ROW()-5)))),,QUERY('NPC List'!$1:$1000, ""Select C,D WHERE A = ""&amp;INDIRECT(ADDRESS(6,(ROW()-5)))&amp;"""",0))"),"")</f>
        <v/>
      </c>
      <c r="D371" s="140"/>
    </row>
    <row r="372" spans="1:4" ht="13.2">
      <c r="A372" s="193"/>
      <c r="B372" s="173"/>
      <c r="C372" s="139" t="str">
        <f ca="1">IFERROR(__xludf.DUMMYFUNCTION("if(ISBLANK(INDIRECT(ADDRESS(6,(ROW()-5)))),,QUERY('NPC List'!$1:$1000, ""Select C,D WHERE A = ""&amp;INDIRECT(ADDRESS(6,(ROW()-5)))&amp;"""",0))"),"")</f>
        <v/>
      </c>
      <c r="D372" s="140"/>
    </row>
    <row r="373" spans="1:4" ht="13.2">
      <c r="A373" s="193"/>
      <c r="B373" s="173"/>
      <c r="C373" s="139" t="str">
        <f ca="1">IFERROR(__xludf.DUMMYFUNCTION("if(ISBLANK(INDIRECT(ADDRESS(6,(ROW()-5)))),,QUERY('NPC List'!$1:$1000, ""Select C,D WHERE A = ""&amp;INDIRECT(ADDRESS(6,(ROW()-5)))&amp;"""",0))"),"")</f>
        <v/>
      </c>
      <c r="D373" s="140"/>
    </row>
    <row r="374" spans="1:4" ht="13.2">
      <c r="A374" s="193"/>
      <c r="B374" s="173"/>
      <c r="C374" s="139" t="str">
        <f ca="1">IFERROR(__xludf.DUMMYFUNCTION("if(ISBLANK(INDIRECT(ADDRESS(6,(ROW()-5)))),,QUERY('NPC List'!$1:$1000, ""Select C,D WHERE A = ""&amp;INDIRECT(ADDRESS(6,(ROW()-5)))&amp;"""",0))"),"")</f>
        <v/>
      </c>
      <c r="D374" s="140"/>
    </row>
    <row r="375" spans="1:4" ht="13.2">
      <c r="A375" s="193"/>
      <c r="B375" s="173"/>
      <c r="C375" s="139" t="str">
        <f ca="1">IFERROR(__xludf.DUMMYFUNCTION("if(ISBLANK(INDIRECT(ADDRESS(6,(ROW()-5)))),,QUERY('NPC List'!$1:$1000, ""Select C,D WHERE A = ""&amp;INDIRECT(ADDRESS(6,(ROW()-5)))&amp;"""",0))"),"")</f>
        <v/>
      </c>
      <c r="D375" s="140"/>
    </row>
    <row r="376" spans="1:4" ht="13.2">
      <c r="A376" s="193"/>
      <c r="B376" s="173"/>
      <c r="C376" s="139" t="str">
        <f ca="1">IFERROR(__xludf.DUMMYFUNCTION("if(ISBLANK(INDIRECT(ADDRESS(6,(ROW()-5)))),,QUERY('NPC List'!$1:$1000, ""Select C,D WHERE A = ""&amp;INDIRECT(ADDRESS(6,(ROW()-5)))&amp;"""",0))"),"")</f>
        <v/>
      </c>
      <c r="D376" s="140"/>
    </row>
    <row r="377" spans="1:4" ht="13.2">
      <c r="A377" s="193"/>
      <c r="B377" s="173"/>
      <c r="C377" s="139" t="str">
        <f ca="1">IFERROR(__xludf.DUMMYFUNCTION("if(ISBLANK(INDIRECT(ADDRESS(6,(ROW()-5)))),,QUERY('NPC List'!$1:$1000, ""Select C,D WHERE A = ""&amp;INDIRECT(ADDRESS(6,(ROW()-5)))&amp;"""",0))"),"")</f>
        <v/>
      </c>
      <c r="D377" s="140"/>
    </row>
    <row r="378" spans="1:4" ht="13.2">
      <c r="A378" s="193"/>
      <c r="B378" s="173"/>
      <c r="C378" s="139" t="str">
        <f ca="1">IFERROR(__xludf.DUMMYFUNCTION("if(ISBLANK(INDIRECT(ADDRESS(6,(ROW()-5)))),,QUERY('NPC List'!$1:$1000, ""Select C,D WHERE A = ""&amp;INDIRECT(ADDRESS(6,(ROW()-5)))&amp;"""",0))"),"")</f>
        <v/>
      </c>
      <c r="D378" s="140"/>
    </row>
    <row r="379" spans="1:4" ht="13.2">
      <c r="A379" s="193"/>
      <c r="B379" s="173"/>
      <c r="C379" s="139" t="str">
        <f ca="1">IFERROR(__xludf.DUMMYFUNCTION("if(ISBLANK(INDIRECT(ADDRESS(6,(ROW()-5)))),,QUERY('NPC List'!$1:$1000, ""Select C,D WHERE A = ""&amp;INDIRECT(ADDRESS(6,(ROW()-5)))&amp;"""",0))"),"")</f>
        <v/>
      </c>
      <c r="D379" s="140"/>
    </row>
    <row r="380" spans="1:4" ht="13.2">
      <c r="A380" s="193"/>
      <c r="B380" s="173"/>
      <c r="C380" s="139" t="str">
        <f ca="1">IFERROR(__xludf.DUMMYFUNCTION("if(ISBLANK(INDIRECT(ADDRESS(6,(ROW()-5)))),,QUERY('NPC List'!$1:$1000, ""Select C,D WHERE A = ""&amp;INDIRECT(ADDRESS(6,(ROW()-5)))&amp;"""",0))"),"")</f>
        <v/>
      </c>
      <c r="D380" s="140"/>
    </row>
    <row r="381" spans="1:4" ht="13.2">
      <c r="A381" s="193"/>
      <c r="B381" s="173"/>
      <c r="C381" s="139" t="str">
        <f ca="1">IFERROR(__xludf.DUMMYFUNCTION("if(ISBLANK(INDIRECT(ADDRESS(6,(ROW()-5)))),,QUERY('NPC List'!$1:$1000, ""Select C,D WHERE A = ""&amp;INDIRECT(ADDRESS(6,(ROW()-5)))&amp;"""",0))"),"")</f>
        <v/>
      </c>
      <c r="D381" s="140"/>
    </row>
    <row r="382" spans="1:4" ht="13.2">
      <c r="A382" s="193"/>
      <c r="B382" s="173"/>
      <c r="C382" s="139" t="str">
        <f ca="1">IFERROR(__xludf.DUMMYFUNCTION("if(ISBLANK(INDIRECT(ADDRESS(6,(ROW()-5)))),,QUERY('NPC List'!$1:$1000, ""Select C,D WHERE A = ""&amp;INDIRECT(ADDRESS(6,(ROW()-5)))&amp;"""",0))"),"")</f>
        <v/>
      </c>
      <c r="D382" s="140"/>
    </row>
    <row r="383" spans="1:4" ht="13.2">
      <c r="A383" s="193"/>
      <c r="B383" s="173"/>
      <c r="C383" s="139" t="str">
        <f ca="1">IFERROR(__xludf.DUMMYFUNCTION("if(ISBLANK(INDIRECT(ADDRESS(6,(ROW()-5)))),,QUERY('NPC List'!$1:$1000, ""Select C,D WHERE A = ""&amp;INDIRECT(ADDRESS(6,(ROW()-5)))&amp;"""",0))"),"")</f>
        <v/>
      </c>
      <c r="D383" s="140"/>
    </row>
    <row r="384" spans="1:4" ht="13.2">
      <c r="A384" s="193"/>
      <c r="B384" s="173"/>
      <c r="C384" s="139" t="str">
        <f ca="1">IFERROR(__xludf.DUMMYFUNCTION("if(ISBLANK(INDIRECT(ADDRESS(6,(ROW()-5)))),,QUERY('NPC List'!$1:$1000, ""Select C,D WHERE A = ""&amp;INDIRECT(ADDRESS(6,(ROW()-5)))&amp;"""",0))"),"")</f>
        <v/>
      </c>
      <c r="D384" s="140"/>
    </row>
    <row r="385" spans="1:4" ht="13.2">
      <c r="A385" s="193"/>
      <c r="B385" s="173"/>
      <c r="C385" s="139" t="str">
        <f ca="1">IFERROR(__xludf.DUMMYFUNCTION("if(ISBLANK(INDIRECT(ADDRESS(6,(ROW()-5)))),,QUERY('NPC List'!$1:$1000, ""Select C,D WHERE A = ""&amp;INDIRECT(ADDRESS(6,(ROW()-5)))&amp;"""",0))"),"")</f>
        <v/>
      </c>
      <c r="D385" s="140"/>
    </row>
    <row r="386" spans="1:4" ht="13.2">
      <c r="A386" s="193"/>
      <c r="B386" s="173"/>
      <c r="C386" s="139" t="str">
        <f ca="1">IFERROR(__xludf.DUMMYFUNCTION("if(ISBLANK(INDIRECT(ADDRESS(6,(ROW()-5)))),,QUERY('NPC List'!$1:$1000, ""Select C,D WHERE A = ""&amp;INDIRECT(ADDRESS(6,(ROW()-5)))&amp;"""",0))"),"")</f>
        <v/>
      </c>
      <c r="D386" s="140"/>
    </row>
    <row r="387" spans="1:4" ht="13.2">
      <c r="A387" s="193"/>
      <c r="B387" s="173"/>
      <c r="C387" s="139" t="str">
        <f ca="1">IFERROR(__xludf.DUMMYFUNCTION("if(ISBLANK(INDIRECT(ADDRESS(6,(ROW()-5)))),,QUERY('NPC List'!$1:$1000, ""Select C,D WHERE A = ""&amp;INDIRECT(ADDRESS(6,(ROW()-5)))&amp;"""",0))"),"")</f>
        <v/>
      </c>
      <c r="D387" s="140"/>
    </row>
    <row r="388" spans="1:4" ht="13.2">
      <c r="A388" s="193"/>
      <c r="B388" s="173"/>
      <c r="C388" s="139" t="str">
        <f ca="1">IFERROR(__xludf.DUMMYFUNCTION("if(ISBLANK(INDIRECT(ADDRESS(6,(ROW()-5)))),,QUERY('NPC List'!$1:$1000, ""Select C,D WHERE A = ""&amp;INDIRECT(ADDRESS(6,(ROW()-5)))&amp;"""",0))"),"")</f>
        <v/>
      </c>
      <c r="D388" s="140"/>
    </row>
    <row r="389" spans="1:4" ht="13.2">
      <c r="A389" s="193"/>
      <c r="B389" s="173"/>
      <c r="C389" s="139" t="str">
        <f ca="1">IFERROR(__xludf.DUMMYFUNCTION("if(ISBLANK(INDIRECT(ADDRESS(6,(ROW()-5)))),,QUERY('NPC List'!$1:$1000, ""Select C,D WHERE A = ""&amp;INDIRECT(ADDRESS(6,(ROW()-5)))&amp;"""",0))"),"")</f>
        <v/>
      </c>
      <c r="D389" s="140"/>
    </row>
    <row r="390" spans="1:4" ht="13.2">
      <c r="A390" s="193"/>
      <c r="B390" s="173"/>
      <c r="C390" s="139" t="str">
        <f ca="1">IFERROR(__xludf.DUMMYFUNCTION("if(ISBLANK(INDIRECT(ADDRESS(6,(ROW()-5)))),,QUERY('NPC List'!$1:$1000, ""Select C,D WHERE A = ""&amp;INDIRECT(ADDRESS(6,(ROW()-5)))&amp;"""",0))"),"")</f>
        <v/>
      </c>
      <c r="D390" s="140"/>
    </row>
    <row r="391" spans="1:4" ht="13.2">
      <c r="A391" s="193"/>
      <c r="B391" s="173"/>
      <c r="C391" s="139" t="str">
        <f ca="1">IFERROR(__xludf.DUMMYFUNCTION("if(ISBLANK(INDIRECT(ADDRESS(6,(ROW()-5)))),,QUERY('NPC List'!$1:$1000, ""Select C,D WHERE A = ""&amp;INDIRECT(ADDRESS(6,(ROW()-5)))&amp;"""",0))"),"")</f>
        <v/>
      </c>
      <c r="D391" s="140"/>
    </row>
    <row r="392" spans="1:4" ht="13.2">
      <c r="A392" s="193"/>
      <c r="B392" s="173"/>
      <c r="C392" s="139" t="str">
        <f ca="1">IFERROR(__xludf.DUMMYFUNCTION("if(ISBLANK(INDIRECT(ADDRESS(6,(ROW()-5)))),,QUERY('NPC List'!$1:$1000, ""Select C,D WHERE A = ""&amp;INDIRECT(ADDRESS(6,(ROW()-5)))&amp;"""",0))"),"")</f>
        <v/>
      </c>
      <c r="D392" s="140"/>
    </row>
    <row r="393" spans="1:4" ht="13.2">
      <c r="A393" s="193"/>
      <c r="B393" s="173"/>
      <c r="C393" s="139" t="str">
        <f ca="1">IFERROR(__xludf.DUMMYFUNCTION("if(ISBLANK(INDIRECT(ADDRESS(6,(ROW()-5)))),,QUERY('NPC List'!$1:$1000, ""Select C,D WHERE A = ""&amp;INDIRECT(ADDRESS(6,(ROW()-5)))&amp;"""",0))"),"")</f>
        <v/>
      </c>
      <c r="D393" s="140"/>
    </row>
    <row r="394" spans="1:4" ht="13.2">
      <c r="A394" s="193"/>
      <c r="B394" s="173"/>
      <c r="C394" s="139" t="str">
        <f ca="1">IFERROR(__xludf.DUMMYFUNCTION("if(ISBLANK(INDIRECT(ADDRESS(6,(ROW()-5)))),,QUERY('NPC List'!$1:$1000, ""Select C,D WHERE A = ""&amp;INDIRECT(ADDRESS(6,(ROW()-5)))&amp;"""",0))"),"")</f>
        <v/>
      </c>
      <c r="D394" s="140"/>
    </row>
    <row r="395" spans="1:4" ht="13.2">
      <c r="A395" s="193"/>
      <c r="B395" s="173"/>
      <c r="C395" s="139" t="str">
        <f ca="1">IFERROR(__xludf.DUMMYFUNCTION("if(ISBLANK(INDIRECT(ADDRESS(6,(ROW()-5)))),,QUERY('NPC List'!$1:$1000, ""Select C,D WHERE A = ""&amp;INDIRECT(ADDRESS(6,(ROW()-5)))&amp;"""",0))"),"")</f>
        <v/>
      </c>
      <c r="D395" s="140"/>
    </row>
    <row r="396" spans="1:4" ht="13.2">
      <c r="A396" s="193"/>
      <c r="B396" s="173"/>
      <c r="C396" s="139" t="str">
        <f ca="1">IFERROR(__xludf.DUMMYFUNCTION("if(ISBLANK(INDIRECT(ADDRESS(6,(ROW()-5)))),,QUERY('NPC List'!$1:$1000, ""Select C,D WHERE A = ""&amp;INDIRECT(ADDRESS(6,(ROW()-5)))&amp;"""",0))"),"")</f>
        <v/>
      </c>
      <c r="D396" s="140"/>
    </row>
    <row r="397" spans="1:4" ht="13.2">
      <c r="A397" s="193"/>
      <c r="B397" s="173"/>
      <c r="C397" s="139" t="str">
        <f ca="1">IFERROR(__xludf.DUMMYFUNCTION("if(ISBLANK(INDIRECT(ADDRESS(6,(ROW()-5)))),,QUERY('NPC List'!$1:$1000, ""Select C,D WHERE A = ""&amp;INDIRECT(ADDRESS(6,(ROW()-5)))&amp;"""",0))"),"")</f>
        <v/>
      </c>
      <c r="D397" s="140"/>
    </row>
    <row r="398" spans="1:4" ht="13.2">
      <c r="A398" s="193"/>
      <c r="B398" s="173"/>
      <c r="C398" s="139" t="str">
        <f ca="1">IFERROR(__xludf.DUMMYFUNCTION("if(ISBLANK(INDIRECT(ADDRESS(6,(ROW()-5)))),,QUERY('NPC List'!$1:$1000, ""Select C,D WHERE A = ""&amp;INDIRECT(ADDRESS(6,(ROW()-5)))&amp;"""",0))"),"")</f>
        <v/>
      </c>
      <c r="D398" s="140"/>
    </row>
    <row r="399" spans="1:4" ht="13.2">
      <c r="A399" s="193"/>
      <c r="B399" s="173"/>
      <c r="C399" s="139" t="str">
        <f ca="1">IFERROR(__xludf.DUMMYFUNCTION("if(ISBLANK(INDIRECT(ADDRESS(6,(ROW()-5)))),,QUERY('NPC List'!$1:$1000, ""Select C,D WHERE A = ""&amp;INDIRECT(ADDRESS(6,(ROW()-5)))&amp;"""",0))"),"")</f>
        <v/>
      </c>
      <c r="D399" s="140"/>
    </row>
    <row r="400" spans="1:4" ht="13.2">
      <c r="A400" s="193"/>
      <c r="B400" s="173"/>
      <c r="C400" s="139" t="str">
        <f ca="1">IFERROR(__xludf.DUMMYFUNCTION("if(ISBLANK(INDIRECT(ADDRESS(6,(ROW()-5)))),,QUERY('NPC List'!$1:$1000, ""Select C,D WHERE A = ""&amp;INDIRECT(ADDRESS(6,(ROW()-5)))&amp;"""",0))"),"")</f>
        <v/>
      </c>
      <c r="D400" s="140"/>
    </row>
    <row r="401" spans="1:4" ht="13.2">
      <c r="A401" s="193"/>
      <c r="B401" s="173"/>
      <c r="C401" s="139" t="str">
        <f ca="1">IFERROR(__xludf.DUMMYFUNCTION("if(ISBLANK(INDIRECT(ADDRESS(6,(ROW()-5)))),,QUERY('NPC List'!$1:$1000, ""Select C,D WHERE A = ""&amp;INDIRECT(ADDRESS(6,(ROW()-5)))&amp;"""",0))"),"")</f>
        <v/>
      </c>
      <c r="D401" s="140"/>
    </row>
    <row r="402" spans="1:4" ht="13.2">
      <c r="A402" s="193"/>
      <c r="B402" s="173"/>
      <c r="C402" s="139" t="str">
        <f ca="1">IFERROR(__xludf.DUMMYFUNCTION("if(ISBLANK(INDIRECT(ADDRESS(6,(ROW()-5)))),,QUERY('NPC List'!$1:$1000, ""Select C,D WHERE A = ""&amp;INDIRECT(ADDRESS(6,(ROW()-5)))&amp;"""",0))"),"")</f>
        <v/>
      </c>
      <c r="D402" s="140"/>
    </row>
    <row r="403" spans="1:4" ht="13.2">
      <c r="A403" s="193"/>
      <c r="B403" s="173"/>
      <c r="C403" s="139" t="str">
        <f ca="1">IFERROR(__xludf.DUMMYFUNCTION("if(ISBLANK(INDIRECT(ADDRESS(6,(ROW()-5)))),,QUERY('NPC List'!$1:$1000, ""Select C,D WHERE A = ""&amp;INDIRECT(ADDRESS(6,(ROW()-5)))&amp;"""",0))"),"")</f>
        <v/>
      </c>
      <c r="D403" s="140"/>
    </row>
    <row r="404" spans="1:4" ht="13.2">
      <c r="A404" s="193"/>
      <c r="B404" s="173"/>
      <c r="C404" s="139" t="str">
        <f ca="1">IFERROR(__xludf.DUMMYFUNCTION("if(ISBLANK(INDIRECT(ADDRESS(6,(ROW()-5)))),,QUERY('NPC List'!$1:$1000, ""Select C,D WHERE A = ""&amp;INDIRECT(ADDRESS(6,(ROW()-5)))&amp;"""",0))"),"")</f>
        <v/>
      </c>
      <c r="D404" s="140"/>
    </row>
    <row r="405" spans="1:4" ht="13.2">
      <c r="A405" s="193"/>
      <c r="B405" s="173"/>
      <c r="C405" s="139" t="str">
        <f ca="1">IFERROR(__xludf.DUMMYFUNCTION("if(ISBLANK(INDIRECT(ADDRESS(6,(ROW()-5)))),,QUERY('NPC List'!$1:$1000, ""Select C,D WHERE A = ""&amp;INDIRECT(ADDRESS(6,(ROW()-5)))&amp;"""",0))"),"")</f>
        <v/>
      </c>
      <c r="D405" s="140"/>
    </row>
    <row r="406" spans="1:4" ht="13.2">
      <c r="A406" s="193"/>
      <c r="B406" s="173"/>
      <c r="C406" s="139" t="str">
        <f ca="1">IFERROR(__xludf.DUMMYFUNCTION("if(ISBLANK(INDIRECT(ADDRESS(6,(ROW()-5)))),,QUERY('NPC List'!$1:$1000, ""Select C,D WHERE A = ""&amp;INDIRECT(ADDRESS(6,(ROW()-5)))&amp;"""",0))"),"")</f>
        <v/>
      </c>
      <c r="D406" s="140"/>
    </row>
    <row r="407" spans="1:4" ht="13.2">
      <c r="A407" s="193"/>
      <c r="B407" s="173"/>
      <c r="C407" s="139" t="str">
        <f ca="1">IFERROR(__xludf.DUMMYFUNCTION("if(ISBLANK(INDIRECT(ADDRESS(6,(ROW()-5)))),,QUERY('NPC List'!$1:$1000, ""Select C,D WHERE A = ""&amp;INDIRECT(ADDRESS(6,(ROW()-5)))&amp;"""",0))"),"")</f>
        <v/>
      </c>
      <c r="D407" s="140"/>
    </row>
    <row r="408" spans="1:4" ht="13.2">
      <c r="A408" s="193"/>
      <c r="B408" s="173"/>
      <c r="C408" s="139" t="str">
        <f ca="1">IFERROR(__xludf.DUMMYFUNCTION("if(ISBLANK(INDIRECT(ADDRESS(6,(ROW()-5)))),,QUERY('NPC List'!$1:$1000, ""Select C,D WHERE A = ""&amp;INDIRECT(ADDRESS(6,(ROW()-5)))&amp;"""",0))"),"")</f>
        <v/>
      </c>
      <c r="D408" s="140"/>
    </row>
    <row r="409" spans="1:4" ht="13.2">
      <c r="A409" s="193"/>
      <c r="B409" s="173"/>
      <c r="C409" s="139" t="str">
        <f ca="1">IFERROR(__xludf.DUMMYFUNCTION("if(ISBLANK(INDIRECT(ADDRESS(6,(ROW()-5)))),,QUERY('NPC List'!$1:$1000, ""Select C,D WHERE A = ""&amp;INDIRECT(ADDRESS(6,(ROW()-5)))&amp;"""",0))"),"")</f>
        <v/>
      </c>
      <c r="D409" s="140"/>
    </row>
    <row r="410" spans="1:4" ht="13.2">
      <c r="A410" s="193"/>
      <c r="B410" s="173"/>
      <c r="C410" s="139" t="str">
        <f ca="1">IFERROR(__xludf.DUMMYFUNCTION("if(ISBLANK(INDIRECT(ADDRESS(6,(ROW()-5)))),,QUERY('NPC List'!$1:$1000, ""Select C,D WHERE A = ""&amp;INDIRECT(ADDRESS(6,(ROW()-5)))&amp;"""",0))"),"")</f>
        <v/>
      </c>
      <c r="D410" s="140"/>
    </row>
    <row r="411" spans="1:4" ht="13.2">
      <c r="A411" s="193"/>
      <c r="B411" s="173"/>
      <c r="C411" s="139" t="str">
        <f ca="1">IFERROR(__xludf.DUMMYFUNCTION("if(ISBLANK(INDIRECT(ADDRESS(6,(ROW()-5)))),,QUERY('NPC List'!$1:$1000, ""Select C,D WHERE A = ""&amp;INDIRECT(ADDRESS(6,(ROW()-5)))&amp;"""",0))"),"")</f>
        <v/>
      </c>
      <c r="D411" s="140"/>
    </row>
    <row r="412" spans="1:4" ht="13.2">
      <c r="A412" s="193"/>
      <c r="B412" s="173"/>
      <c r="C412" s="139" t="str">
        <f ca="1">IFERROR(__xludf.DUMMYFUNCTION("if(ISBLANK(INDIRECT(ADDRESS(6,(ROW()-5)))),,QUERY('NPC List'!$1:$1000, ""Select C,D WHERE A = ""&amp;INDIRECT(ADDRESS(6,(ROW()-5)))&amp;"""",0))"),"")</f>
        <v/>
      </c>
      <c r="D412" s="140"/>
    </row>
    <row r="413" spans="1:4" ht="13.2">
      <c r="A413" s="193"/>
      <c r="B413" s="173"/>
      <c r="C413" s="139" t="str">
        <f ca="1">IFERROR(__xludf.DUMMYFUNCTION("if(ISBLANK(INDIRECT(ADDRESS(6,(ROW()-5)))),,QUERY('NPC List'!$1:$1000, ""Select C,D WHERE A = ""&amp;INDIRECT(ADDRESS(6,(ROW()-5)))&amp;"""",0))"),"")</f>
        <v/>
      </c>
      <c r="D413" s="140"/>
    </row>
    <row r="414" spans="1:4" ht="13.2">
      <c r="A414" s="193"/>
      <c r="B414" s="173"/>
      <c r="C414" s="139" t="str">
        <f ca="1">IFERROR(__xludf.DUMMYFUNCTION("if(ISBLANK(INDIRECT(ADDRESS(6,(ROW()-5)))),,QUERY('NPC List'!$1:$1000, ""Select C,D WHERE A = ""&amp;INDIRECT(ADDRESS(6,(ROW()-5)))&amp;"""",0))"),"")</f>
        <v/>
      </c>
      <c r="D414" s="140"/>
    </row>
    <row r="415" spans="1:4" ht="13.2">
      <c r="A415" s="193"/>
      <c r="B415" s="173"/>
      <c r="C415" s="139" t="str">
        <f ca="1">IFERROR(__xludf.DUMMYFUNCTION("if(ISBLANK(INDIRECT(ADDRESS(6,(ROW()-5)))),,QUERY('NPC List'!$1:$1000, ""Select C,D WHERE A = ""&amp;INDIRECT(ADDRESS(6,(ROW()-5)))&amp;"""",0))"),"")</f>
        <v/>
      </c>
      <c r="D415" s="140"/>
    </row>
    <row r="416" spans="1:4" ht="13.2">
      <c r="A416" s="193"/>
      <c r="B416" s="173"/>
      <c r="C416" s="139" t="str">
        <f ca="1">IFERROR(__xludf.DUMMYFUNCTION("if(ISBLANK(INDIRECT(ADDRESS(6,(ROW()-5)))),,QUERY('NPC List'!$1:$1000, ""Select C,D WHERE A = ""&amp;INDIRECT(ADDRESS(6,(ROW()-5)))&amp;"""",0))"),"")</f>
        <v/>
      </c>
      <c r="D416" s="140"/>
    </row>
    <row r="417" spans="1:4" ht="13.2">
      <c r="A417" s="193"/>
      <c r="B417" s="173"/>
      <c r="C417" s="139" t="str">
        <f ca="1">IFERROR(__xludf.DUMMYFUNCTION("if(ISBLANK(INDIRECT(ADDRESS(6,(ROW()-5)))),,QUERY('NPC List'!$1:$1000, ""Select C,D WHERE A = ""&amp;INDIRECT(ADDRESS(6,(ROW()-5)))&amp;"""",0))"),"")</f>
        <v/>
      </c>
      <c r="D417" s="140"/>
    </row>
    <row r="418" spans="1:4" ht="13.2">
      <c r="A418" s="193"/>
      <c r="B418" s="173"/>
      <c r="C418" s="139" t="str">
        <f ca="1">IFERROR(__xludf.DUMMYFUNCTION("if(ISBLANK(INDIRECT(ADDRESS(6,(ROW()-5)))),,QUERY('NPC List'!$1:$1000, ""Select C,D WHERE A = ""&amp;INDIRECT(ADDRESS(6,(ROW()-5)))&amp;"""",0))"),"")</f>
        <v/>
      </c>
      <c r="D418" s="140"/>
    </row>
    <row r="419" spans="1:4" ht="13.2">
      <c r="A419" s="193"/>
      <c r="B419" s="173"/>
      <c r="C419" s="139" t="str">
        <f ca="1">IFERROR(__xludf.DUMMYFUNCTION("if(ISBLANK(INDIRECT(ADDRESS(6,(ROW()-5)))),,QUERY('NPC List'!$1:$1000, ""Select C,D WHERE A = ""&amp;INDIRECT(ADDRESS(6,(ROW()-5)))&amp;"""",0))"),"")</f>
        <v/>
      </c>
      <c r="D419" s="140"/>
    </row>
    <row r="420" spans="1:4" ht="13.2">
      <c r="A420" s="193"/>
      <c r="B420" s="173"/>
      <c r="C420" s="139" t="str">
        <f ca="1">IFERROR(__xludf.DUMMYFUNCTION("if(ISBLANK(INDIRECT(ADDRESS(6,(ROW()-5)))),,QUERY('NPC List'!$1:$1000, ""Select C,D WHERE A = ""&amp;INDIRECT(ADDRESS(6,(ROW()-5)))&amp;"""",0))"),"")</f>
        <v/>
      </c>
      <c r="D420" s="140"/>
    </row>
    <row r="421" spans="1:4" ht="13.2">
      <c r="A421" s="193"/>
      <c r="B421" s="173"/>
      <c r="C421" s="139" t="str">
        <f ca="1">IFERROR(__xludf.DUMMYFUNCTION("if(ISBLANK(INDIRECT(ADDRESS(6,(ROW()-5)))),,QUERY('NPC List'!$1:$1000, ""Select C,D WHERE A = ""&amp;INDIRECT(ADDRESS(6,(ROW()-5)))&amp;"""",0))"),"")</f>
        <v/>
      </c>
      <c r="D421" s="140"/>
    </row>
    <row r="422" spans="1:4" ht="13.2">
      <c r="A422" s="193"/>
      <c r="B422" s="173"/>
      <c r="C422" s="139" t="str">
        <f ca="1">IFERROR(__xludf.DUMMYFUNCTION("if(ISBLANK(INDIRECT(ADDRESS(6,(ROW()-5)))),,QUERY('NPC List'!$1:$1000, ""Select C,D WHERE A = ""&amp;INDIRECT(ADDRESS(6,(ROW()-5)))&amp;"""",0))"),"")</f>
        <v/>
      </c>
      <c r="D422" s="140"/>
    </row>
    <row r="423" spans="1:4" ht="13.2">
      <c r="A423" s="193"/>
      <c r="B423" s="173"/>
      <c r="C423" s="139" t="str">
        <f ca="1">IFERROR(__xludf.DUMMYFUNCTION("if(ISBLANK(INDIRECT(ADDRESS(6,(ROW()-5)))),,QUERY('NPC List'!$1:$1000, ""Select C,D WHERE A = ""&amp;INDIRECT(ADDRESS(6,(ROW()-5)))&amp;"""",0))"),"")</f>
        <v/>
      </c>
      <c r="D423" s="140"/>
    </row>
    <row r="424" spans="1:4" ht="13.2">
      <c r="A424" s="193"/>
      <c r="B424" s="173"/>
      <c r="C424" s="139" t="str">
        <f ca="1">IFERROR(__xludf.DUMMYFUNCTION("if(ISBLANK(INDIRECT(ADDRESS(6,(ROW()-5)))),,QUERY('NPC List'!$1:$1000, ""Select C,D WHERE A = ""&amp;INDIRECT(ADDRESS(6,(ROW()-5)))&amp;"""",0))"),"")</f>
        <v/>
      </c>
      <c r="D424" s="140"/>
    </row>
    <row r="425" spans="1:4" ht="13.2">
      <c r="A425" s="193"/>
      <c r="B425" s="173"/>
      <c r="C425" s="139" t="str">
        <f ca="1">IFERROR(__xludf.DUMMYFUNCTION("if(ISBLANK(INDIRECT(ADDRESS(6,(ROW()-5)))),,QUERY('NPC List'!$1:$1000, ""Select C,D WHERE A = ""&amp;INDIRECT(ADDRESS(6,(ROW()-5)))&amp;"""",0))"),"")</f>
        <v/>
      </c>
      <c r="D425" s="140"/>
    </row>
    <row r="426" spans="1:4" ht="13.2">
      <c r="A426" s="193"/>
      <c r="B426" s="173"/>
      <c r="C426" s="139" t="str">
        <f ca="1">IFERROR(__xludf.DUMMYFUNCTION("if(ISBLANK(INDIRECT(ADDRESS(6,(ROW()-5)))),,QUERY('NPC List'!$1:$1000, ""Select C,D WHERE A = ""&amp;INDIRECT(ADDRESS(6,(ROW()-5)))&amp;"""",0))"),"")</f>
        <v/>
      </c>
      <c r="D426" s="140"/>
    </row>
    <row r="427" spans="1:4" ht="13.2">
      <c r="A427" s="193"/>
      <c r="B427" s="173"/>
      <c r="C427" s="139" t="str">
        <f ca="1">IFERROR(__xludf.DUMMYFUNCTION("if(ISBLANK(INDIRECT(ADDRESS(6,(ROW()-5)))),,QUERY('NPC List'!$1:$1000, ""Select C,D WHERE A = ""&amp;INDIRECT(ADDRESS(6,(ROW()-5)))&amp;"""",0))"),"")</f>
        <v/>
      </c>
      <c r="D427" s="140"/>
    </row>
    <row r="428" spans="1:4" ht="13.2">
      <c r="A428" s="193"/>
      <c r="B428" s="173"/>
      <c r="C428" s="139" t="str">
        <f ca="1">IFERROR(__xludf.DUMMYFUNCTION("if(ISBLANK(INDIRECT(ADDRESS(6,(ROW()-5)))),,QUERY('NPC List'!$1:$1000, ""Select C,D WHERE A = ""&amp;INDIRECT(ADDRESS(6,(ROW()-5)))&amp;"""",0))"),"")</f>
        <v/>
      </c>
      <c r="D428" s="140"/>
    </row>
    <row r="429" spans="1:4" ht="13.2">
      <c r="A429" s="193"/>
      <c r="B429" s="173"/>
      <c r="C429" s="139" t="str">
        <f ca="1">IFERROR(__xludf.DUMMYFUNCTION("if(ISBLANK(INDIRECT(ADDRESS(6,(ROW()-5)))),,QUERY('NPC List'!$1:$1000, ""Select C,D WHERE A = ""&amp;INDIRECT(ADDRESS(6,(ROW()-5)))&amp;"""",0))"),"")</f>
        <v/>
      </c>
      <c r="D429" s="140"/>
    </row>
    <row r="430" spans="1:4" ht="13.2">
      <c r="A430" s="193"/>
      <c r="B430" s="173"/>
      <c r="C430" s="139" t="str">
        <f ca="1">IFERROR(__xludf.DUMMYFUNCTION("if(ISBLANK(INDIRECT(ADDRESS(6,(ROW()-5)))),,QUERY('NPC List'!$1:$1000, ""Select C,D WHERE A = ""&amp;INDIRECT(ADDRESS(6,(ROW()-5)))&amp;"""",0))"),"")</f>
        <v/>
      </c>
      <c r="D430" s="140"/>
    </row>
    <row r="431" spans="1:4" ht="13.2">
      <c r="A431" s="193"/>
      <c r="B431" s="173"/>
      <c r="C431" s="139" t="str">
        <f ca="1">IFERROR(__xludf.DUMMYFUNCTION("if(ISBLANK(INDIRECT(ADDRESS(6,(ROW()-5)))),,QUERY('NPC List'!$1:$1000, ""Select C,D WHERE A = ""&amp;INDIRECT(ADDRESS(6,(ROW()-5)))&amp;"""",0))"),"")</f>
        <v/>
      </c>
      <c r="D431" s="140"/>
    </row>
    <row r="432" spans="1:4" ht="13.2">
      <c r="A432" s="193"/>
      <c r="B432" s="173"/>
      <c r="C432" s="139" t="str">
        <f ca="1">IFERROR(__xludf.DUMMYFUNCTION("if(ISBLANK(INDIRECT(ADDRESS(6,(ROW()-5)))),,QUERY('NPC List'!$1:$1000, ""Select C,D WHERE A = ""&amp;INDIRECT(ADDRESS(6,(ROW()-5)))&amp;"""",0))"),"")</f>
        <v/>
      </c>
      <c r="D432" s="140"/>
    </row>
    <row r="433" spans="1:4" ht="13.2">
      <c r="A433" s="193"/>
      <c r="B433" s="173"/>
      <c r="C433" s="139" t="str">
        <f ca="1">IFERROR(__xludf.DUMMYFUNCTION("if(ISBLANK(INDIRECT(ADDRESS(6,(ROW()-5)))),,QUERY('NPC List'!$1:$1000, ""Select C,D WHERE A = ""&amp;INDIRECT(ADDRESS(6,(ROW()-5)))&amp;"""",0))"),"")</f>
        <v/>
      </c>
      <c r="D433" s="140"/>
    </row>
    <row r="434" spans="1:4" ht="13.2">
      <c r="A434" s="193"/>
      <c r="B434" s="173"/>
      <c r="C434" s="139" t="str">
        <f ca="1">IFERROR(__xludf.DUMMYFUNCTION("if(ISBLANK(INDIRECT(ADDRESS(6,(ROW()-5)))),,QUERY('NPC List'!$1:$1000, ""Select C,D WHERE A = ""&amp;INDIRECT(ADDRESS(6,(ROW()-5)))&amp;"""",0))"),"")</f>
        <v/>
      </c>
      <c r="D434" s="140"/>
    </row>
    <row r="435" spans="1:4" ht="13.2">
      <c r="A435" s="193"/>
      <c r="B435" s="173"/>
      <c r="C435" s="139" t="str">
        <f ca="1">IFERROR(__xludf.DUMMYFUNCTION("if(ISBLANK(INDIRECT(ADDRESS(6,(ROW()-5)))),,QUERY('NPC List'!$1:$1000, ""Select C,D WHERE A = ""&amp;INDIRECT(ADDRESS(6,(ROW()-5)))&amp;"""",0))"),"")</f>
        <v/>
      </c>
      <c r="D435" s="140"/>
    </row>
    <row r="436" spans="1:4" ht="13.2">
      <c r="A436" s="193"/>
      <c r="B436" s="173"/>
      <c r="C436" s="139" t="str">
        <f ca="1">IFERROR(__xludf.DUMMYFUNCTION("if(ISBLANK(INDIRECT(ADDRESS(6,(ROW()-5)))),,QUERY('NPC List'!$1:$1000, ""Select C,D WHERE A = ""&amp;INDIRECT(ADDRESS(6,(ROW()-5)))&amp;"""",0))"),"")</f>
        <v/>
      </c>
      <c r="D436" s="140"/>
    </row>
    <row r="437" spans="1:4" ht="13.2">
      <c r="A437" s="193"/>
      <c r="B437" s="173"/>
      <c r="C437" s="139" t="str">
        <f ca="1">IFERROR(__xludf.DUMMYFUNCTION("if(ISBLANK(INDIRECT(ADDRESS(6,(ROW()-5)))),,QUERY('NPC List'!$1:$1000, ""Select C,D WHERE A = ""&amp;INDIRECT(ADDRESS(6,(ROW()-5)))&amp;"""",0))"),"")</f>
        <v/>
      </c>
      <c r="D437" s="140"/>
    </row>
    <row r="438" spans="1:4" ht="13.2">
      <c r="A438" s="193"/>
      <c r="B438" s="173"/>
      <c r="C438" s="139" t="str">
        <f ca="1">IFERROR(__xludf.DUMMYFUNCTION("if(ISBLANK(INDIRECT(ADDRESS(6,(ROW()-5)))),,QUERY('NPC List'!$1:$1000, ""Select C,D WHERE A = ""&amp;INDIRECT(ADDRESS(6,(ROW()-5)))&amp;"""",0))"),"")</f>
        <v/>
      </c>
      <c r="D438" s="140"/>
    </row>
    <row r="439" spans="1:4" ht="13.2">
      <c r="A439" s="193"/>
      <c r="B439" s="173"/>
      <c r="C439" s="139" t="str">
        <f ca="1">IFERROR(__xludf.DUMMYFUNCTION("if(ISBLANK(INDIRECT(ADDRESS(6,(ROW()-5)))),,QUERY('NPC List'!$1:$1000, ""Select C,D WHERE A = ""&amp;INDIRECT(ADDRESS(6,(ROW()-5)))&amp;"""",0))"),"")</f>
        <v/>
      </c>
      <c r="D439" s="140"/>
    </row>
    <row r="440" spans="1:4" ht="13.2">
      <c r="A440" s="193"/>
      <c r="B440" s="173"/>
      <c r="C440" s="139" t="str">
        <f ca="1">IFERROR(__xludf.DUMMYFUNCTION("if(ISBLANK(INDIRECT(ADDRESS(6,(ROW()-5)))),,QUERY('NPC List'!$1:$1000, ""Select C,D WHERE A = ""&amp;INDIRECT(ADDRESS(6,(ROW()-5)))&amp;"""",0))"),"")</f>
        <v/>
      </c>
      <c r="D440" s="140"/>
    </row>
    <row r="441" spans="1:4" ht="13.2">
      <c r="A441" s="193"/>
      <c r="B441" s="173"/>
      <c r="C441" s="139" t="str">
        <f ca="1">IFERROR(__xludf.DUMMYFUNCTION("if(ISBLANK(INDIRECT(ADDRESS(6,(ROW()-5)))),,QUERY('NPC List'!$1:$1000, ""Select C,D WHERE A = ""&amp;INDIRECT(ADDRESS(6,(ROW()-5)))&amp;"""",0))"),"")</f>
        <v/>
      </c>
      <c r="D441" s="140"/>
    </row>
    <row r="442" spans="1:4" ht="13.2">
      <c r="A442" s="193"/>
      <c r="B442" s="173"/>
      <c r="C442" s="139" t="str">
        <f ca="1">IFERROR(__xludf.DUMMYFUNCTION("if(ISBLANK(INDIRECT(ADDRESS(6,(ROW()-5)))),,QUERY('NPC List'!$1:$1000, ""Select C,D WHERE A = ""&amp;INDIRECT(ADDRESS(6,(ROW()-5)))&amp;"""",0))"),"")</f>
        <v/>
      </c>
      <c r="D442" s="140"/>
    </row>
    <row r="443" spans="1:4" ht="13.2">
      <c r="A443" s="193"/>
      <c r="B443" s="173"/>
      <c r="C443" s="139" t="str">
        <f ca="1">IFERROR(__xludf.DUMMYFUNCTION("if(ISBLANK(INDIRECT(ADDRESS(6,(ROW()-5)))),,QUERY('NPC List'!$1:$1000, ""Select C,D WHERE A = ""&amp;INDIRECT(ADDRESS(6,(ROW()-5)))&amp;"""",0))"),"")</f>
        <v/>
      </c>
      <c r="D443" s="140"/>
    </row>
    <row r="444" spans="1:4" ht="13.2">
      <c r="A444" s="193"/>
      <c r="B444" s="173"/>
      <c r="C444" s="139" t="str">
        <f ca="1">IFERROR(__xludf.DUMMYFUNCTION("if(ISBLANK(INDIRECT(ADDRESS(6,(ROW()-5)))),,QUERY('NPC List'!$1:$1000, ""Select C,D WHERE A = ""&amp;INDIRECT(ADDRESS(6,(ROW()-5)))&amp;"""",0))"),"")</f>
        <v/>
      </c>
      <c r="D444" s="140"/>
    </row>
    <row r="445" spans="1:4" ht="13.2">
      <c r="A445" s="193"/>
      <c r="B445" s="173"/>
      <c r="C445" s="139" t="str">
        <f ca="1">IFERROR(__xludf.DUMMYFUNCTION("if(ISBLANK(INDIRECT(ADDRESS(6,(ROW()-5)))),,QUERY('NPC List'!$1:$1000, ""Select C,D WHERE A = ""&amp;INDIRECT(ADDRESS(6,(ROW()-5)))&amp;"""",0))"),"")</f>
        <v/>
      </c>
      <c r="D445" s="140"/>
    </row>
    <row r="446" spans="1:4" ht="13.2">
      <c r="A446" s="193"/>
      <c r="B446" s="173"/>
      <c r="C446" s="139" t="str">
        <f ca="1">IFERROR(__xludf.DUMMYFUNCTION("if(ISBLANK(INDIRECT(ADDRESS(6,(ROW()-5)))),,QUERY('NPC List'!$1:$1000, ""Select C,D WHERE A = ""&amp;INDIRECT(ADDRESS(6,(ROW()-5)))&amp;"""",0))"),"")</f>
        <v/>
      </c>
      <c r="D446" s="140"/>
    </row>
    <row r="447" spans="1:4" ht="13.2">
      <c r="A447" s="193"/>
      <c r="B447" s="173"/>
      <c r="C447" s="139" t="str">
        <f ca="1">IFERROR(__xludf.DUMMYFUNCTION("if(ISBLANK(INDIRECT(ADDRESS(6,(ROW()-5)))),,QUERY('NPC List'!$1:$1000, ""Select C,D WHERE A = ""&amp;INDIRECT(ADDRESS(6,(ROW()-5)))&amp;"""",0))"),"")</f>
        <v/>
      </c>
      <c r="D447" s="140"/>
    </row>
    <row r="448" spans="1:4" ht="13.2">
      <c r="A448" s="193"/>
      <c r="B448" s="173"/>
      <c r="C448" s="139" t="str">
        <f ca="1">IFERROR(__xludf.DUMMYFUNCTION("if(ISBLANK(INDIRECT(ADDRESS(6,(ROW()-5)))),,QUERY('NPC List'!$1:$1000, ""Select C,D WHERE A = ""&amp;INDIRECT(ADDRESS(6,(ROW()-5)))&amp;"""",0))"),"")</f>
        <v/>
      </c>
      <c r="D448" s="140"/>
    </row>
    <row r="449" spans="1:4" ht="13.2">
      <c r="A449" s="193"/>
      <c r="B449" s="173"/>
      <c r="C449" s="139" t="str">
        <f ca="1">IFERROR(__xludf.DUMMYFUNCTION("if(ISBLANK(INDIRECT(ADDRESS(6,(ROW()-5)))),,QUERY('NPC List'!$1:$1000, ""Select C,D WHERE A = ""&amp;INDIRECT(ADDRESS(6,(ROW()-5)))&amp;"""",0))"),"")</f>
        <v/>
      </c>
      <c r="D449" s="140"/>
    </row>
    <row r="450" spans="1:4" ht="13.2">
      <c r="A450" s="193"/>
      <c r="B450" s="173"/>
      <c r="C450" s="139" t="str">
        <f ca="1">IFERROR(__xludf.DUMMYFUNCTION("if(ISBLANK(INDIRECT(ADDRESS(6,(ROW()-5)))),,QUERY('NPC List'!$1:$1000, ""Select C,D WHERE A = ""&amp;INDIRECT(ADDRESS(6,(ROW()-5)))&amp;"""",0))"),"")</f>
        <v/>
      </c>
      <c r="D450" s="140"/>
    </row>
    <row r="451" spans="1:4" ht="13.2">
      <c r="A451" s="193"/>
      <c r="B451" s="173"/>
      <c r="C451" s="139" t="str">
        <f ca="1">IFERROR(__xludf.DUMMYFUNCTION("if(ISBLANK(INDIRECT(ADDRESS(6,(ROW()-5)))),,QUERY('NPC List'!$1:$1000, ""Select C,D WHERE A = ""&amp;INDIRECT(ADDRESS(6,(ROW()-5)))&amp;"""",0))"),"")</f>
        <v/>
      </c>
      <c r="D451" s="140"/>
    </row>
    <row r="452" spans="1:4" ht="13.2">
      <c r="A452" s="193"/>
      <c r="B452" s="173"/>
      <c r="C452" s="139" t="str">
        <f ca="1">IFERROR(__xludf.DUMMYFUNCTION("if(ISBLANK(INDIRECT(ADDRESS(6,(ROW()-5)))),,QUERY('NPC List'!$1:$1000, ""Select C,D WHERE A = ""&amp;INDIRECT(ADDRESS(6,(ROW()-5)))&amp;"""",0))"),"")</f>
        <v/>
      </c>
      <c r="D452" s="140"/>
    </row>
    <row r="453" spans="1:4" ht="13.2">
      <c r="A453" s="193"/>
      <c r="B453" s="173"/>
      <c r="C453" s="139" t="str">
        <f ca="1">IFERROR(__xludf.DUMMYFUNCTION("if(ISBLANK(INDIRECT(ADDRESS(6,(ROW()-5)))),,QUERY('NPC List'!$1:$1000, ""Select C,D WHERE A = ""&amp;INDIRECT(ADDRESS(6,(ROW()-5)))&amp;"""",0))"),"")</f>
        <v/>
      </c>
      <c r="D453" s="140"/>
    </row>
    <row r="454" spans="1:4" ht="13.2">
      <c r="A454" s="193"/>
      <c r="B454" s="173"/>
      <c r="C454" s="139" t="str">
        <f ca="1">IFERROR(__xludf.DUMMYFUNCTION("if(ISBLANK(INDIRECT(ADDRESS(6,(ROW()-5)))),,QUERY('NPC List'!$1:$1000, ""Select C,D WHERE A = ""&amp;INDIRECT(ADDRESS(6,(ROW()-5)))&amp;"""",0))"),"")</f>
        <v/>
      </c>
      <c r="D454" s="140"/>
    </row>
    <row r="455" spans="1:4" ht="13.2">
      <c r="A455" s="193"/>
      <c r="B455" s="173"/>
      <c r="C455" s="139" t="str">
        <f ca="1">IFERROR(__xludf.DUMMYFUNCTION("if(ISBLANK(INDIRECT(ADDRESS(6,(ROW()-5)))),,QUERY('NPC List'!$1:$1000, ""Select C,D WHERE A = ""&amp;INDIRECT(ADDRESS(6,(ROW()-5)))&amp;"""",0))"),"")</f>
        <v/>
      </c>
      <c r="D455" s="140"/>
    </row>
    <row r="456" spans="1:4" ht="13.2">
      <c r="A456" s="193"/>
      <c r="B456" s="173"/>
      <c r="C456" s="139" t="str">
        <f ca="1">IFERROR(__xludf.DUMMYFUNCTION("if(ISBLANK(INDIRECT(ADDRESS(6,(ROW()-5)))),,QUERY('NPC List'!$1:$1000, ""Select C,D WHERE A = ""&amp;INDIRECT(ADDRESS(6,(ROW()-5)))&amp;"""",0))"),"")</f>
        <v/>
      </c>
      <c r="D456" s="140"/>
    </row>
    <row r="457" spans="1:4" ht="13.2">
      <c r="A457" s="193"/>
      <c r="B457" s="173"/>
      <c r="C457" s="139" t="str">
        <f ca="1">IFERROR(__xludf.DUMMYFUNCTION("if(ISBLANK(INDIRECT(ADDRESS(6,(ROW()-5)))),,QUERY('NPC List'!$1:$1000, ""Select C,D WHERE A = ""&amp;INDIRECT(ADDRESS(6,(ROW()-5)))&amp;"""",0))"),"")</f>
        <v/>
      </c>
      <c r="D457" s="140"/>
    </row>
    <row r="458" spans="1:4" ht="13.2">
      <c r="A458" s="193"/>
      <c r="B458" s="173"/>
      <c r="C458" s="139" t="str">
        <f ca="1">IFERROR(__xludf.DUMMYFUNCTION("if(ISBLANK(INDIRECT(ADDRESS(6,(ROW()-5)))),,QUERY('NPC List'!$1:$1000, ""Select C,D WHERE A = ""&amp;INDIRECT(ADDRESS(6,(ROW()-5)))&amp;"""",0))"),"")</f>
        <v/>
      </c>
      <c r="D458" s="140"/>
    </row>
    <row r="459" spans="1:4" ht="13.2">
      <c r="A459" s="193"/>
      <c r="B459" s="173"/>
      <c r="C459" s="139" t="str">
        <f ca="1">IFERROR(__xludf.DUMMYFUNCTION("if(ISBLANK(INDIRECT(ADDRESS(6,(ROW()-5)))),,QUERY('NPC List'!$1:$1000, ""Select C,D WHERE A = ""&amp;INDIRECT(ADDRESS(6,(ROW()-5)))&amp;"""",0))"),"")</f>
        <v/>
      </c>
      <c r="D459" s="140"/>
    </row>
    <row r="460" spans="1:4" ht="13.2">
      <c r="A460" s="193"/>
      <c r="B460" s="173"/>
      <c r="C460" s="139" t="str">
        <f ca="1">IFERROR(__xludf.DUMMYFUNCTION("if(ISBLANK(INDIRECT(ADDRESS(6,(ROW()-5)))),,QUERY('NPC List'!$1:$1000, ""Select C,D WHERE A = ""&amp;INDIRECT(ADDRESS(6,(ROW()-5)))&amp;"""",0))"),"")</f>
        <v/>
      </c>
      <c r="D460" s="140"/>
    </row>
    <row r="461" spans="1:4" ht="13.2">
      <c r="A461" s="193"/>
      <c r="B461" s="173"/>
      <c r="C461" s="139" t="str">
        <f ca="1">IFERROR(__xludf.DUMMYFUNCTION("if(ISBLANK(INDIRECT(ADDRESS(6,(ROW()-5)))),,QUERY('NPC List'!$1:$1000, ""Select C,D WHERE A = ""&amp;INDIRECT(ADDRESS(6,(ROW()-5)))&amp;"""",0))"),"")</f>
        <v/>
      </c>
      <c r="D461" s="140"/>
    </row>
    <row r="462" spans="1:4" ht="13.2">
      <c r="A462" s="193"/>
      <c r="B462" s="173"/>
      <c r="C462" s="139" t="str">
        <f ca="1">IFERROR(__xludf.DUMMYFUNCTION("if(ISBLANK(INDIRECT(ADDRESS(6,(ROW()-5)))),,QUERY('NPC List'!$1:$1000, ""Select C,D WHERE A = ""&amp;INDIRECT(ADDRESS(6,(ROW()-5)))&amp;"""",0))"),"")</f>
        <v/>
      </c>
      <c r="D462" s="140"/>
    </row>
    <row r="463" spans="1:4" ht="13.2">
      <c r="A463" s="193"/>
      <c r="B463" s="173"/>
      <c r="C463" s="139" t="str">
        <f ca="1">IFERROR(__xludf.DUMMYFUNCTION("if(ISBLANK(INDIRECT(ADDRESS(6,(ROW()-5)))),,QUERY('NPC List'!$1:$1000, ""Select C,D WHERE A = ""&amp;INDIRECT(ADDRESS(6,(ROW()-5)))&amp;"""",0))"),"")</f>
        <v/>
      </c>
      <c r="D463" s="140"/>
    </row>
    <row r="464" spans="1:4" ht="13.2">
      <c r="A464" s="193"/>
      <c r="B464" s="173"/>
      <c r="C464" s="139" t="str">
        <f ca="1">IFERROR(__xludf.DUMMYFUNCTION("if(ISBLANK(INDIRECT(ADDRESS(6,(ROW()-5)))),,QUERY('NPC List'!$1:$1000, ""Select C,D WHERE A = ""&amp;INDIRECT(ADDRESS(6,(ROW()-5)))&amp;"""",0))"),"")</f>
        <v/>
      </c>
      <c r="D464" s="140"/>
    </row>
    <row r="465" spans="1:4" ht="13.2">
      <c r="A465" s="193"/>
      <c r="B465" s="173"/>
      <c r="C465" s="139" t="str">
        <f ca="1">IFERROR(__xludf.DUMMYFUNCTION("if(ISBLANK(INDIRECT(ADDRESS(6,(ROW()-5)))),,QUERY('NPC List'!$1:$1000, ""Select C,D WHERE A = ""&amp;INDIRECT(ADDRESS(6,(ROW()-5)))&amp;"""",0))"),"")</f>
        <v/>
      </c>
      <c r="D465" s="140"/>
    </row>
    <row r="466" spans="1:4" ht="13.2">
      <c r="A466" s="193"/>
      <c r="B466" s="173"/>
      <c r="C466" s="139" t="str">
        <f ca="1">IFERROR(__xludf.DUMMYFUNCTION("if(ISBLANK(INDIRECT(ADDRESS(6,(ROW()-5)))),,QUERY('NPC List'!$1:$1000, ""Select C,D WHERE A = ""&amp;INDIRECT(ADDRESS(6,(ROW()-5)))&amp;"""",0))"),"")</f>
        <v/>
      </c>
      <c r="D466" s="140"/>
    </row>
    <row r="467" spans="1:4" ht="13.2">
      <c r="A467" s="193"/>
      <c r="B467" s="173"/>
      <c r="C467" s="139" t="str">
        <f ca="1">IFERROR(__xludf.DUMMYFUNCTION("if(ISBLANK(INDIRECT(ADDRESS(6,(ROW()-5)))),,QUERY('NPC List'!$1:$1000, ""Select C,D WHERE A = ""&amp;INDIRECT(ADDRESS(6,(ROW()-5)))&amp;"""",0))"),"")</f>
        <v/>
      </c>
      <c r="D467" s="140"/>
    </row>
    <row r="468" spans="1:4" ht="13.2">
      <c r="A468" s="193"/>
      <c r="B468" s="173"/>
      <c r="C468" s="139" t="str">
        <f ca="1">IFERROR(__xludf.DUMMYFUNCTION("if(ISBLANK(INDIRECT(ADDRESS(6,(ROW()-5)))),,QUERY('NPC List'!$1:$1000, ""Select C,D WHERE A = ""&amp;INDIRECT(ADDRESS(6,(ROW()-5)))&amp;"""",0))"),"")</f>
        <v/>
      </c>
      <c r="D468" s="140"/>
    </row>
    <row r="469" spans="1:4" ht="13.2">
      <c r="A469" s="193"/>
      <c r="B469" s="173"/>
      <c r="C469" s="139" t="str">
        <f ca="1">IFERROR(__xludf.DUMMYFUNCTION("if(ISBLANK(INDIRECT(ADDRESS(6,(ROW()-5)))),,QUERY('NPC List'!$1:$1000, ""Select C,D WHERE A = ""&amp;INDIRECT(ADDRESS(6,(ROW()-5)))&amp;"""",0))"),"")</f>
        <v/>
      </c>
      <c r="D469" s="140"/>
    </row>
    <row r="470" spans="1:4" ht="13.2">
      <c r="A470" s="193"/>
      <c r="B470" s="173"/>
      <c r="C470" s="139" t="str">
        <f ca="1">IFERROR(__xludf.DUMMYFUNCTION("if(ISBLANK(INDIRECT(ADDRESS(6,(ROW()-5)))),,QUERY('NPC List'!$1:$1000, ""Select C,D WHERE A = ""&amp;INDIRECT(ADDRESS(6,(ROW()-5)))&amp;"""",0))"),"")</f>
        <v/>
      </c>
      <c r="D470" s="140"/>
    </row>
    <row r="471" spans="1:4" ht="13.2">
      <c r="A471" s="193"/>
      <c r="B471" s="173"/>
      <c r="C471" s="139" t="str">
        <f ca="1">IFERROR(__xludf.DUMMYFUNCTION("if(ISBLANK(INDIRECT(ADDRESS(6,(ROW()-5)))),,QUERY('NPC List'!$1:$1000, ""Select C,D WHERE A = ""&amp;INDIRECT(ADDRESS(6,(ROW()-5)))&amp;"""",0))"),"")</f>
        <v/>
      </c>
      <c r="D471" s="140"/>
    </row>
    <row r="472" spans="1:4" ht="13.2">
      <c r="A472" s="193"/>
      <c r="B472" s="173"/>
      <c r="C472" s="139" t="str">
        <f ca="1">IFERROR(__xludf.DUMMYFUNCTION("if(ISBLANK(INDIRECT(ADDRESS(6,(ROW()-5)))),,QUERY('NPC List'!$1:$1000, ""Select C,D WHERE A = ""&amp;INDIRECT(ADDRESS(6,(ROW()-5)))&amp;"""",0))"),"")</f>
        <v/>
      </c>
      <c r="D472" s="140"/>
    </row>
    <row r="473" spans="1:4" ht="13.2">
      <c r="A473" s="193"/>
      <c r="B473" s="173"/>
      <c r="C473" s="139" t="str">
        <f ca="1">IFERROR(__xludf.DUMMYFUNCTION("if(ISBLANK(INDIRECT(ADDRESS(6,(ROW()-5)))),,QUERY('NPC List'!$1:$1000, ""Select C,D WHERE A = ""&amp;INDIRECT(ADDRESS(6,(ROW()-5)))&amp;"""",0))"),"")</f>
        <v/>
      </c>
      <c r="D473" s="140"/>
    </row>
    <row r="474" spans="1:4" ht="13.2">
      <c r="A474" s="193"/>
      <c r="B474" s="173"/>
      <c r="C474" s="139" t="str">
        <f ca="1">IFERROR(__xludf.DUMMYFUNCTION("if(ISBLANK(INDIRECT(ADDRESS(6,(ROW()-5)))),,QUERY('NPC List'!$1:$1000, ""Select C,D WHERE A = ""&amp;INDIRECT(ADDRESS(6,(ROW()-5)))&amp;"""",0))"),"")</f>
        <v/>
      </c>
      <c r="D474" s="140"/>
    </row>
    <row r="475" spans="1:4" ht="13.2">
      <c r="A475" s="193"/>
      <c r="B475" s="173"/>
      <c r="C475" s="139" t="str">
        <f ca="1">IFERROR(__xludf.DUMMYFUNCTION("if(ISBLANK(INDIRECT(ADDRESS(6,(ROW()-5)))),,QUERY('NPC List'!$1:$1000, ""Select C,D WHERE A = ""&amp;INDIRECT(ADDRESS(6,(ROW()-5)))&amp;"""",0))"),"")</f>
        <v/>
      </c>
      <c r="D475" s="140"/>
    </row>
    <row r="476" spans="1:4" ht="13.2">
      <c r="A476" s="193"/>
      <c r="B476" s="173"/>
      <c r="C476" s="139" t="str">
        <f ca="1">IFERROR(__xludf.DUMMYFUNCTION("if(ISBLANK(INDIRECT(ADDRESS(6,(ROW()-5)))),,QUERY('NPC List'!$1:$1000, ""Select C,D WHERE A = ""&amp;INDIRECT(ADDRESS(6,(ROW()-5)))&amp;"""",0))"),"")</f>
        <v/>
      </c>
      <c r="D476" s="140"/>
    </row>
    <row r="477" spans="1:4" ht="13.2">
      <c r="A477" s="193"/>
      <c r="B477" s="173"/>
      <c r="C477" s="139" t="str">
        <f ca="1">IFERROR(__xludf.DUMMYFUNCTION("if(ISBLANK(INDIRECT(ADDRESS(6,(ROW()-5)))),,QUERY('NPC List'!$1:$1000, ""Select C,D WHERE A = ""&amp;INDIRECT(ADDRESS(6,(ROW()-5)))&amp;"""",0))"),"")</f>
        <v/>
      </c>
      <c r="D477" s="140"/>
    </row>
    <row r="478" spans="1:4" ht="13.2">
      <c r="A478" s="193"/>
      <c r="B478" s="173"/>
      <c r="C478" s="139" t="str">
        <f ca="1">IFERROR(__xludf.DUMMYFUNCTION("if(ISBLANK(INDIRECT(ADDRESS(6,(ROW()-5)))),,QUERY('NPC List'!$1:$1000, ""Select C,D WHERE A = ""&amp;INDIRECT(ADDRESS(6,(ROW()-5)))&amp;"""",0))"),"")</f>
        <v/>
      </c>
      <c r="D478" s="140"/>
    </row>
    <row r="479" spans="1:4" ht="13.2">
      <c r="A479" s="193"/>
      <c r="B479" s="173"/>
      <c r="C479" s="139" t="str">
        <f ca="1">IFERROR(__xludf.DUMMYFUNCTION("if(ISBLANK(INDIRECT(ADDRESS(6,(ROW()-5)))),,QUERY('NPC List'!$1:$1000, ""Select C,D WHERE A = ""&amp;INDIRECT(ADDRESS(6,(ROW()-5)))&amp;"""",0))"),"")</f>
        <v/>
      </c>
      <c r="D479" s="140"/>
    </row>
    <row r="480" spans="1:4" ht="13.2">
      <c r="A480" s="193"/>
      <c r="B480" s="173"/>
      <c r="C480" s="139" t="str">
        <f ca="1">IFERROR(__xludf.DUMMYFUNCTION("if(ISBLANK(INDIRECT(ADDRESS(6,(ROW()-5)))),,QUERY('NPC List'!$1:$1000, ""Select C,D WHERE A = ""&amp;INDIRECT(ADDRESS(6,(ROW()-5)))&amp;"""",0))"),"")</f>
        <v/>
      </c>
      <c r="D480" s="140"/>
    </row>
    <row r="481" spans="1:4" ht="13.2">
      <c r="A481" s="193"/>
      <c r="B481" s="173"/>
      <c r="C481" s="139" t="str">
        <f ca="1">IFERROR(__xludf.DUMMYFUNCTION("if(ISBLANK(INDIRECT(ADDRESS(6,(ROW()-5)))),,QUERY('NPC List'!$1:$1000, ""Select C,D WHERE A = ""&amp;INDIRECT(ADDRESS(6,(ROW()-5)))&amp;"""",0))"),"")</f>
        <v/>
      </c>
      <c r="D481" s="140"/>
    </row>
    <row r="482" spans="1:4" ht="13.2">
      <c r="A482" s="193"/>
      <c r="B482" s="173"/>
      <c r="C482" s="139" t="str">
        <f ca="1">IFERROR(__xludf.DUMMYFUNCTION("if(ISBLANK(INDIRECT(ADDRESS(6,(ROW()-5)))),,QUERY('NPC List'!$1:$1000, ""Select C,D WHERE A = ""&amp;INDIRECT(ADDRESS(6,(ROW()-5)))&amp;"""",0))"),"")</f>
        <v/>
      </c>
      <c r="D482" s="140"/>
    </row>
    <row r="483" spans="1:4" ht="13.2">
      <c r="A483" s="193"/>
      <c r="B483" s="173"/>
      <c r="C483" s="139" t="str">
        <f ca="1">IFERROR(__xludf.DUMMYFUNCTION("if(ISBLANK(INDIRECT(ADDRESS(6,(ROW()-5)))),,QUERY('NPC List'!$1:$1000, ""Select C,D WHERE A = ""&amp;INDIRECT(ADDRESS(6,(ROW()-5)))&amp;"""",0))"),"")</f>
        <v/>
      </c>
      <c r="D483" s="140"/>
    </row>
    <row r="484" spans="1:4" ht="13.2">
      <c r="A484" s="193"/>
      <c r="B484" s="173"/>
      <c r="C484" s="139" t="str">
        <f ca="1">IFERROR(__xludf.DUMMYFUNCTION("if(ISBLANK(INDIRECT(ADDRESS(6,(ROW()-5)))),,QUERY('NPC List'!$1:$1000, ""Select C,D WHERE A = ""&amp;INDIRECT(ADDRESS(6,(ROW()-5)))&amp;"""",0))"),"")</f>
        <v/>
      </c>
      <c r="D484" s="140"/>
    </row>
    <row r="485" spans="1:4" ht="13.2">
      <c r="A485" s="193"/>
      <c r="B485" s="173"/>
      <c r="C485" s="139" t="str">
        <f ca="1">IFERROR(__xludf.DUMMYFUNCTION("if(ISBLANK(INDIRECT(ADDRESS(6,(ROW()-5)))),,QUERY('NPC List'!$1:$1000, ""Select C,D WHERE A = ""&amp;INDIRECT(ADDRESS(6,(ROW()-5)))&amp;"""",0))"),"")</f>
        <v/>
      </c>
      <c r="D485" s="140"/>
    </row>
    <row r="486" spans="1:4" ht="13.2">
      <c r="A486" s="193"/>
      <c r="B486" s="173"/>
      <c r="C486" s="139" t="str">
        <f ca="1">IFERROR(__xludf.DUMMYFUNCTION("if(ISBLANK(INDIRECT(ADDRESS(6,(ROW()-5)))),,QUERY('NPC List'!$1:$1000, ""Select C,D WHERE A = ""&amp;INDIRECT(ADDRESS(6,(ROW()-5)))&amp;"""",0))"),"")</f>
        <v/>
      </c>
      <c r="D486" s="140"/>
    </row>
    <row r="487" spans="1:4" ht="13.2">
      <c r="A487" s="193"/>
      <c r="B487" s="173"/>
      <c r="C487" s="139" t="str">
        <f ca="1">IFERROR(__xludf.DUMMYFUNCTION("if(ISBLANK(INDIRECT(ADDRESS(6,(ROW()-5)))),,QUERY('NPC List'!$1:$1000, ""Select C,D WHERE A = ""&amp;INDIRECT(ADDRESS(6,(ROW()-5)))&amp;"""",0))"),"")</f>
        <v/>
      </c>
      <c r="D487" s="140"/>
    </row>
    <row r="488" spans="1:4" ht="13.2">
      <c r="A488" s="193"/>
      <c r="B488" s="173"/>
      <c r="C488" s="139" t="str">
        <f ca="1">IFERROR(__xludf.DUMMYFUNCTION("if(ISBLANK(INDIRECT(ADDRESS(6,(ROW()-5)))),,QUERY('NPC List'!$1:$1000, ""Select C,D WHERE A = ""&amp;INDIRECT(ADDRESS(6,(ROW()-5)))&amp;"""",0))"),"")</f>
        <v/>
      </c>
      <c r="D488" s="140"/>
    </row>
    <row r="489" spans="1:4" ht="13.2">
      <c r="A489" s="193"/>
      <c r="B489" s="173"/>
      <c r="C489" s="139" t="str">
        <f ca="1">IFERROR(__xludf.DUMMYFUNCTION("if(ISBLANK(INDIRECT(ADDRESS(6,(ROW()-5)))),,QUERY('NPC List'!$1:$1000, ""Select C,D WHERE A = ""&amp;INDIRECT(ADDRESS(6,(ROW()-5)))&amp;"""",0))"),"")</f>
        <v/>
      </c>
      <c r="D489" s="140"/>
    </row>
    <row r="490" spans="1:4" ht="13.2">
      <c r="A490" s="193"/>
      <c r="B490" s="173"/>
      <c r="C490" s="139" t="str">
        <f ca="1">IFERROR(__xludf.DUMMYFUNCTION("if(ISBLANK(INDIRECT(ADDRESS(6,(ROW()-5)))),,QUERY('NPC List'!$1:$1000, ""Select C,D WHERE A = ""&amp;INDIRECT(ADDRESS(6,(ROW()-5)))&amp;"""",0))"),"")</f>
        <v/>
      </c>
      <c r="D490" s="140"/>
    </row>
    <row r="491" spans="1:4" ht="13.2">
      <c r="A491" s="193"/>
      <c r="B491" s="173"/>
      <c r="C491" s="139" t="str">
        <f ca="1">IFERROR(__xludf.DUMMYFUNCTION("if(ISBLANK(INDIRECT(ADDRESS(6,(ROW()-5)))),,QUERY('NPC List'!$1:$1000, ""Select C,D WHERE A = ""&amp;INDIRECT(ADDRESS(6,(ROW()-5)))&amp;"""",0))"),"")</f>
        <v/>
      </c>
      <c r="D491" s="140"/>
    </row>
    <row r="492" spans="1:4" ht="13.2">
      <c r="A492" s="193"/>
      <c r="B492" s="173"/>
      <c r="C492" s="139" t="str">
        <f ca="1">IFERROR(__xludf.DUMMYFUNCTION("if(ISBLANK(INDIRECT(ADDRESS(6,(ROW()-5)))),,QUERY('NPC List'!$1:$1000, ""Select C,D WHERE A = ""&amp;INDIRECT(ADDRESS(6,(ROW()-5)))&amp;"""",0))"),"")</f>
        <v/>
      </c>
      <c r="D492" s="140"/>
    </row>
    <row r="493" spans="1:4" ht="13.2">
      <c r="A493" s="193"/>
      <c r="B493" s="173"/>
      <c r="C493" s="139" t="str">
        <f ca="1">IFERROR(__xludf.DUMMYFUNCTION("if(ISBLANK(INDIRECT(ADDRESS(6,(ROW()-5)))),,QUERY('NPC List'!$1:$1000, ""Select C,D WHERE A = ""&amp;INDIRECT(ADDRESS(6,(ROW()-5)))&amp;"""",0))"),"")</f>
        <v/>
      </c>
      <c r="D493" s="140"/>
    </row>
    <row r="494" spans="1:4" ht="13.2">
      <c r="A494" s="193"/>
      <c r="B494" s="173"/>
      <c r="C494" s="139" t="str">
        <f ca="1">IFERROR(__xludf.DUMMYFUNCTION("if(ISBLANK(INDIRECT(ADDRESS(6,(ROW()-5)))),,QUERY('NPC List'!$1:$1000, ""Select C,D WHERE A = ""&amp;INDIRECT(ADDRESS(6,(ROW()-5)))&amp;"""",0))"),"")</f>
        <v/>
      </c>
      <c r="D494" s="140"/>
    </row>
    <row r="495" spans="1:4" ht="13.2">
      <c r="A495" s="193"/>
      <c r="B495" s="173"/>
      <c r="C495" s="139" t="str">
        <f ca="1">IFERROR(__xludf.DUMMYFUNCTION("if(ISBLANK(INDIRECT(ADDRESS(6,(ROW()-5)))),,QUERY('NPC List'!$1:$1000, ""Select C,D WHERE A = ""&amp;INDIRECT(ADDRESS(6,(ROW()-5)))&amp;"""",0))"),"")</f>
        <v/>
      </c>
      <c r="D495" s="140"/>
    </row>
    <row r="496" spans="1:4" ht="13.2">
      <c r="A496" s="193"/>
      <c r="B496" s="173"/>
      <c r="C496" s="139" t="str">
        <f ca="1">IFERROR(__xludf.DUMMYFUNCTION("if(ISBLANK(INDIRECT(ADDRESS(6,(ROW()-5)))),,QUERY('NPC List'!$1:$1000, ""Select C,D WHERE A = ""&amp;INDIRECT(ADDRESS(6,(ROW()-5)))&amp;"""",0))"),"")</f>
        <v/>
      </c>
      <c r="D496" s="140"/>
    </row>
    <row r="497" spans="1:4" ht="13.2">
      <c r="A497" s="193"/>
      <c r="B497" s="173"/>
      <c r="C497" s="139" t="str">
        <f ca="1">IFERROR(__xludf.DUMMYFUNCTION("if(ISBLANK(INDIRECT(ADDRESS(6,(ROW()-5)))),,QUERY('NPC List'!$1:$1000, ""Select C,D WHERE A = ""&amp;INDIRECT(ADDRESS(6,(ROW()-5)))&amp;"""",0))"),"")</f>
        <v/>
      </c>
      <c r="D497" s="140"/>
    </row>
    <row r="498" spans="1:4" ht="13.2">
      <c r="A498" s="193"/>
      <c r="B498" s="173"/>
      <c r="C498" s="139" t="str">
        <f ca="1">IFERROR(__xludf.DUMMYFUNCTION("if(ISBLANK(INDIRECT(ADDRESS(6,(ROW()-5)))),,QUERY('NPC List'!$1:$1000, ""Select C,D WHERE A = ""&amp;INDIRECT(ADDRESS(6,(ROW()-5)))&amp;"""",0))"),"")</f>
        <v/>
      </c>
      <c r="D498" s="140"/>
    </row>
    <row r="499" spans="1:4" ht="13.2">
      <c r="A499" s="193"/>
      <c r="B499" s="173"/>
      <c r="C499" s="139" t="str">
        <f ca="1">IFERROR(__xludf.DUMMYFUNCTION("if(ISBLANK(INDIRECT(ADDRESS(6,(ROW()-5)))),,QUERY('NPC List'!$1:$1000, ""Select C,D WHERE A = ""&amp;INDIRECT(ADDRESS(6,(ROW()-5)))&amp;"""",0))"),"")</f>
        <v/>
      </c>
      <c r="D499" s="140"/>
    </row>
    <row r="500" spans="1:4" ht="13.2">
      <c r="A500" s="193"/>
      <c r="B500" s="173"/>
      <c r="C500" s="139" t="str">
        <f ca="1">IFERROR(__xludf.DUMMYFUNCTION("if(ISBLANK(INDIRECT(ADDRESS(6,(ROW()-5)))),,QUERY('NPC List'!$1:$1000, ""Select C,D WHERE A = ""&amp;INDIRECT(ADDRESS(6,(ROW()-5)))&amp;"""",0))"),"")</f>
        <v/>
      </c>
      <c r="D500" s="140"/>
    </row>
    <row r="501" spans="1:4" ht="13.2">
      <c r="A501" s="193"/>
      <c r="B501" s="173"/>
      <c r="C501" s="139" t="str">
        <f ca="1">IFERROR(__xludf.DUMMYFUNCTION("if(ISBLANK(INDIRECT(ADDRESS(6,(ROW()-5)))),,QUERY('NPC List'!$1:$1000, ""Select C,D WHERE A = ""&amp;INDIRECT(ADDRESS(6,(ROW()-5)))&amp;"""",0))"),"")</f>
        <v/>
      </c>
      <c r="D501" s="140"/>
    </row>
    <row r="502" spans="1:4" ht="13.2">
      <c r="A502" s="193"/>
      <c r="B502" s="173"/>
      <c r="C502" s="139" t="str">
        <f ca="1">IFERROR(__xludf.DUMMYFUNCTION("if(ISBLANK(INDIRECT(ADDRESS(6,(ROW()-5)))),,QUERY('NPC List'!$1:$1000, ""Select C,D WHERE A = ""&amp;INDIRECT(ADDRESS(6,(ROW()-5)))&amp;"""",0))"),"")</f>
        <v/>
      </c>
      <c r="D502" s="140"/>
    </row>
    <row r="503" spans="1:4" ht="13.2">
      <c r="A503" s="193"/>
      <c r="B503" s="173"/>
      <c r="C503" s="139" t="str">
        <f ca="1">IFERROR(__xludf.DUMMYFUNCTION("if(ISBLANK(INDIRECT(ADDRESS(6,(ROW()-5)))),,QUERY('NPC List'!$1:$1000, ""Select C,D WHERE A = ""&amp;INDIRECT(ADDRESS(6,(ROW()-5)))&amp;"""",0))"),"")</f>
        <v/>
      </c>
      <c r="D503" s="140"/>
    </row>
    <row r="504" spans="1:4" ht="13.2">
      <c r="A504" s="193"/>
      <c r="B504" s="173"/>
      <c r="C504" s="139" t="str">
        <f ca="1">IFERROR(__xludf.DUMMYFUNCTION("if(ISBLANK(INDIRECT(ADDRESS(6,(ROW()-5)))),,QUERY('NPC List'!$1:$1000, ""Select C,D WHERE A = ""&amp;INDIRECT(ADDRESS(6,(ROW()-5)))&amp;"""",0))"),"")</f>
        <v/>
      </c>
      <c r="D504" s="140"/>
    </row>
    <row r="505" spans="1:4" ht="13.2">
      <c r="A505" s="193"/>
      <c r="B505" s="173"/>
      <c r="C505" s="139" t="str">
        <f ca="1">IFERROR(__xludf.DUMMYFUNCTION("if(ISBLANK(INDIRECT(ADDRESS(6,(ROW()-5)))),,QUERY('NPC List'!$1:$1000, ""Select C,D WHERE A = ""&amp;INDIRECT(ADDRESS(6,(ROW()-5)))&amp;"""",0))"),"")</f>
        <v/>
      </c>
      <c r="D505" s="140"/>
    </row>
    <row r="506" spans="1:4" ht="13.2">
      <c r="A506" s="193"/>
      <c r="B506" s="173"/>
      <c r="C506" s="139" t="str">
        <f ca="1">IFERROR(__xludf.DUMMYFUNCTION("if(ISBLANK(INDIRECT(ADDRESS(6,(ROW()-5)))),,QUERY('NPC List'!$1:$1000, ""Select C,D WHERE A = ""&amp;INDIRECT(ADDRESS(6,(ROW()-5)))&amp;"""",0))"),"")</f>
        <v/>
      </c>
      <c r="D506" s="140"/>
    </row>
    <row r="507" spans="1:4" ht="13.2">
      <c r="A507" s="193"/>
      <c r="B507" s="173"/>
      <c r="C507" s="139" t="str">
        <f ca="1">IFERROR(__xludf.DUMMYFUNCTION("if(ISBLANK(INDIRECT(ADDRESS(6,(ROW()-5)))),,QUERY('NPC List'!$1:$1000, ""Select C,D WHERE A = ""&amp;INDIRECT(ADDRESS(6,(ROW()-5)))&amp;"""",0))"),"")</f>
        <v/>
      </c>
      <c r="D507" s="140"/>
    </row>
    <row r="508" spans="1:4" ht="13.2">
      <c r="A508" s="193"/>
      <c r="B508" s="173"/>
      <c r="C508" s="139" t="str">
        <f ca="1">IFERROR(__xludf.DUMMYFUNCTION("if(ISBLANK(INDIRECT(ADDRESS(6,(ROW()-5)))),,QUERY('NPC List'!$1:$1000, ""Select C,D WHERE A = ""&amp;INDIRECT(ADDRESS(6,(ROW()-5)))&amp;"""",0))"),"")</f>
        <v/>
      </c>
      <c r="D508" s="140"/>
    </row>
    <row r="509" spans="1:4" ht="13.2">
      <c r="A509" s="193"/>
      <c r="B509" s="173"/>
      <c r="C509" s="139" t="str">
        <f ca="1">IFERROR(__xludf.DUMMYFUNCTION("if(ISBLANK(INDIRECT(ADDRESS(6,(ROW()-5)))),,QUERY('NPC List'!$1:$1000, ""Select C,D WHERE A = ""&amp;INDIRECT(ADDRESS(6,(ROW()-5)))&amp;"""",0))"),"")</f>
        <v/>
      </c>
      <c r="D509" s="140"/>
    </row>
    <row r="510" spans="1:4" ht="13.2">
      <c r="A510" s="193"/>
      <c r="B510" s="173"/>
      <c r="C510" s="139" t="str">
        <f ca="1">IFERROR(__xludf.DUMMYFUNCTION("if(ISBLANK(INDIRECT(ADDRESS(6,(ROW()-5)))),,QUERY('NPC List'!$1:$1000, ""Select C,D WHERE A = ""&amp;INDIRECT(ADDRESS(6,(ROW()-5)))&amp;"""",0))"),"")</f>
        <v/>
      </c>
      <c r="D510" s="140"/>
    </row>
    <row r="511" spans="1:4" ht="13.2">
      <c r="A511" s="193"/>
      <c r="B511" s="173"/>
      <c r="C511" s="139" t="str">
        <f ca="1">IFERROR(__xludf.DUMMYFUNCTION("if(ISBLANK(INDIRECT(ADDRESS(6,(ROW()-5)))),,QUERY('NPC List'!$1:$1000, ""Select C,D WHERE A = ""&amp;INDIRECT(ADDRESS(6,(ROW()-5)))&amp;"""",0))"),"")</f>
        <v/>
      </c>
      <c r="D511" s="140"/>
    </row>
    <row r="512" spans="1:4" ht="13.2">
      <c r="A512" s="193"/>
      <c r="B512" s="173"/>
      <c r="C512" s="139" t="str">
        <f ca="1">IFERROR(__xludf.DUMMYFUNCTION("if(ISBLANK(INDIRECT(ADDRESS(6,(ROW()-5)))),,QUERY('NPC List'!$1:$1000, ""Select C,D WHERE A = ""&amp;INDIRECT(ADDRESS(6,(ROW()-5)))&amp;"""",0))"),"")</f>
        <v/>
      </c>
      <c r="D512" s="140"/>
    </row>
    <row r="513" spans="1:4" ht="13.2">
      <c r="A513" s="193"/>
      <c r="B513" s="173"/>
      <c r="C513" s="139" t="str">
        <f ca="1">IFERROR(__xludf.DUMMYFUNCTION("if(ISBLANK(INDIRECT(ADDRESS(6,(ROW()-5)))),,QUERY('NPC List'!$1:$1000, ""Select C,D WHERE A = ""&amp;INDIRECT(ADDRESS(6,(ROW()-5)))&amp;"""",0))"),"")</f>
        <v/>
      </c>
      <c r="D513" s="140"/>
    </row>
    <row r="514" spans="1:4" ht="13.2">
      <c r="A514" s="193"/>
      <c r="B514" s="173"/>
      <c r="C514" s="139" t="str">
        <f ca="1">IFERROR(__xludf.DUMMYFUNCTION("if(ISBLANK(INDIRECT(ADDRESS(6,(ROW()-5)))),,QUERY('NPC List'!$1:$1000, ""Select C,D WHERE A = ""&amp;INDIRECT(ADDRESS(6,(ROW()-5)))&amp;"""",0))"),"")</f>
        <v/>
      </c>
      <c r="D514" s="140"/>
    </row>
    <row r="515" spans="1:4" ht="13.2">
      <c r="A515" s="193"/>
      <c r="B515" s="173"/>
      <c r="C515" s="139" t="str">
        <f ca="1">IFERROR(__xludf.DUMMYFUNCTION("if(ISBLANK(INDIRECT(ADDRESS(6,(ROW()-5)))),,QUERY('NPC List'!$1:$1000, ""Select C,D WHERE A = ""&amp;INDIRECT(ADDRESS(6,(ROW()-5)))&amp;"""",0))"),"")</f>
        <v/>
      </c>
      <c r="D515" s="140"/>
    </row>
    <row r="516" spans="1:4" ht="13.2">
      <c r="A516" s="193"/>
      <c r="B516" s="173"/>
      <c r="C516" s="139" t="str">
        <f ca="1">IFERROR(__xludf.DUMMYFUNCTION("if(ISBLANK(INDIRECT(ADDRESS(6,(ROW()-5)))),,QUERY('NPC List'!$1:$1000, ""Select C,D WHERE A = ""&amp;INDIRECT(ADDRESS(6,(ROW()-5)))&amp;"""",0))"),"")</f>
        <v/>
      </c>
      <c r="D516" s="140"/>
    </row>
    <row r="517" spans="1:4" ht="13.2">
      <c r="A517" s="193"/>
      <c r="B517" s="173"/>
      <c r="C517" s="139" t="str">
        <f ca="1">IFERROR(__xludf.DUMMYFUNCTION("if(ISBLANK(INDIRECT(ADDRESS(6,(ROW()-5)))),,QUERY('NPC List'!$1:$1000, ""Select C,D WHERE A = ""&amp;INDIRECT(ADDRESS(6,(ROW()-5)))&amp;"""",0))"),"")</f>
        <v/>
      </c>
      <c r="D517" s="140"/>
    </row>
    <row r="518" spans="1:4" ht="13.2">
      <c r="A518" s="193"/>
      <c r="B518" s="173"/>
      <c r="C518" s="139" t="str">
        <f ca="1">IFERROR(__xludf.DUMMYFUNCTION("if(ISBLANK(INDIRECT(ADDRESS(6,(ROW()-5)))),,QUERY('NPC List'!$1:$1000, ""Select C,D WHERE A = ""&amp;INDIRECT(ADDRESS(6,(ROW()-5)))&amp;"""",0))"),"")</f>
        <v/>
      </c>
      <c r="D518" s="140"/>
    </row>
    <row r="519" spans="1:4" ht="13.2">
      <c r="A519" s="193"/>
      <c r="B519" s="173"/>
      <c r="C519" s="139" t="str">
        <f ca="1">IFERROR(__xludf.DUMMYFUNCTION("if(ISBLANK(INDIRECT(ADDRESS(6,(ROW()-5)))),,QUERY('NPC List'!$1:$1000, ""Select C,D WHERE A = ""&amp;INDIRECT(ADDRESS(6,(ROW()-5)))&amp;"""",0))"),"")</f>
        <v/>
      </c>
      <c r="D519" s="140"/>
    </row>
    <row r="520" spans="1:4" ht="13.2">
      <c r="A520" s="193"/>
      <c r="B520" s="173"/>
      <c r="C520" s="139" t="str">
        <f ca="1">IFERROR(__xludf.DUMMYFUNCTION("if(ISBLANK(INDIRECT(ADDRESS(6,(ROW()-5)))),,QUERY('NPC List'!$1:$1000, ""Select C,D WHERE A = ""&amp;INDIRECT(ADDRESS(6,(ROW()-5)))&amp;"""",0))"),"")</f>
        <v/>
      </c>
      <c r="D520" s="140"/>
    </row>
    <row r="521" spans="1:4" ht="13.2">
      <c r="A521" s="193"/>
      <c r="B521" s="173"/>
      <c r="C521" s="139" t="str">
        <f ca="1">IFERROR(__xludf.DUMMYFUNCTION("if(ISBLANK(INDIRECT(ADDRESS(6,(ROW()-5)))),,QUERY('NPC List'!$1:$1000, ""Select C,D WHERE A = ""&amp;INDIRECT(ADDRESS(6,(ROW()-5)))&amp;"""",0))"),"")</f>
        <v/>
      </c>
      <c r="D521" s="140"/>
    </row>
    <row r="522" spans="1:4" ht="13.2">
      <c r="A522" s="193"/>
      <c r="B522" s="173"/>
      <c r="C522" s="139" t="str">
        <f ca="1">IFERROR(__xludf.DUMMYFUNCTION("if(ISBLANK(INDIRECT(ADDRESS(6,(ROW()-5)))),,QUERY('NPC List'!$1:$1000, ""Select C,D WHERE A = ""&amp;INDIRECT(ADDRESS(6,(ROW()-5)))&amp;"""",0))"),"")</f>
        <v/>
      </c>
      <c r="D522" s="140"/>
    </row>
    <row r="523" spans="1:4" ht="13.2">
      <c r="A523" s="193"/>
      <c r="B523" s="173"/>
      <c r="C523" s="139" t="str">
        <f ca="1">IFERROR(__xludf.DUMMYFUNCTION("if(ISBLANK(INDIRECT(ADDRESS(6,(ROW()-5)))),,QUERY('NPC List'!$1:$1000, ""Select C,D WHERE A = ""&amp;INDIRECT(ADDRESS(6,(ROW()-5)))&amp;"""",0))"),"")</f>
        <v/>
      </c>
      <c r="D523" s="140"/>
    </row>
    <row r="524" spans="1:4" ht="13.2">
      <c r="A524" s="193"/>
      <c r="B524" s="173"/>
      <c r="C524" s="139" t="str">
        <f ca="1">IFERROR(__xludf.DUMMYFUNCTION("if(ISBLANK(INDIRECT(ADDRESS(6,(ROW()-5)))),,QUERY('NPC List'!$1:$1000, ""Select C,D WHERE A = ""&amp;INDIRECT(ADDRESS(6,(ROW()-5)))&amp;"""",0))"),"")</f>
        <v/>
      </c>
      <c r="D524" s="140"/>
    </row>
    <row r="525" spans="1:4" ht="13.2">
      <c r="A525" s="193"/>
      <c r="B525" s="173"/>
      <c r="C525" s="139" t="str">
        <f ca="1">IFERROR(__xludf.DUMMYFUNCTION("if(ISBLANK(INDIRECT(ADDRESS(6,(ROW()-5)))),,QUERY('NPC List'!$1:$1000, ""Select C,D WHERE A = ""&amp;INDIRECT(ADDRESS(6,(ROW()-5)))&amp;"""",0))"),"")</f>
        <v/>
      </c>
      <c r="D525" s="140"/>
    </row>
    <row r="526" spans="1:4" ht="13.2">
      <c r="A526" s="193"/>
      <c r="B526" s="173"/>
      <c r="C526" s="139" t="str">
        <f ca="1">IFERROR(__xludf.DUMMYFUNCTION("if(ISBLANK(INDIRECT(ADDRESS(6,(ROW()-5)))),,QUERY('NPC List'!$1:$1000, ""Select C,D WHERE A = ""&amp;INDIRECT(ADDRESS(6,(ROW()-5)))&amp;"""",0))"),"")</f>
        <v/>
      </c>
      <c r="D526" s="140"/>
    </row>
    <row r="527" spans="1:4" ht="13.2">
      <c r="A527" s="193"/>
      <c r="B527" s="173"/>
      <c r="C527" s="139" t="str">
        <f ca="1">IFERROR(__xludf.DUMMYFUNCTION("if(ISBLANK(INDIRECT(ADDRESS(6,(ROW()-5)))),,QUERY('NPC List'!$1:$1000, ""Select C,D WHERE A = ""&amp;INDIRECT(ADDRESS(6,(ROW()-5)))&amp;"""",0))"),"")</f>
        <v/>
      </c>
      <c r="D527" s="140"/>
    </row>
    <row r="528" spans="1:4" ht="13.2">
      <c r="A528" s="193"/>
      <c r="B528" s="173"/>
      <c r="C528" s="139" t="str">
        <f ca="1">IFERROR(__xludf.DUMMYFUNCTION("if(ISBLANK(INDIRECT(ADDRESS(6,(ROW()-5)))),,QUERY('NPC List'!$1:$1000, ""Select C,D WHERE A = ""&amp;INDIRECT(ADDRESS(6,(ROW()-5)))&amp;"""",0))"),"")</f>
        <v/>
      </c>
      <c r="D528" s="140"/>
    </row>
    <row r="529" spans="1:4" ht="13.2">
      <c r="A529" s="193"/>
      <c r="B529" s="173"/>
      <c r="C529" s="139" t="str">
        <f ca="1">IFERROR(__xludf.DUMMYFUNCTION("if(ISBLANK(INDIRECT(ADDRESS(6,(ROW()-5)))),,QUERY('NPC List'!$1:$1000, ""Select C,D WHERE A = ""&amp;INDIRECT(ADDRESS(6,(ROW()-5)))&amp;"""",0))"),"")</f>
        <v/>
      </c>
      <c r="D529" s="140"/>
    </row>
    <row r="530" spans="1:4" ht="13.2">
      <c r="A530" s="193"/>
      <c r="B530" s="173"/>
      <c r="C530" s="139" t="str">
        <f ca="1">IFERROR(__xludf.DUMMYFUNCTION("if(ISBLANK(INDIRECT(ADDRESS(6,(ROW()-5)))),,QUERY('NPC List'!$1:$1000, ""Select C,D WHERE A = ""&amp;INDIRECT(ADDRESS(6,(ROW()-5)))&amp;"""",0))"),"")</f>
        <v/>
      </c>
      <c r="D530" s="140"/>
    </row>
    <row r="531" spans="1:4" ht="13.2">
      <c r="A531" s="193"/>
      <c r="B531" s="173"/>
      <c r="C531" s="139" t="str">
        <f ca="1">IFERROR(__xludf.DUMMYFUNCTION("if(ISBLANK(INDIRECT(ADDRESS(6,(ROW()-5)))),,QUERY('NPC List'!$1:$1000, ""Select C,D WHERE A = ""&amp;INDIRECT(ADDRESS(6,(ROW()-5)))&amp;"""",0))"),"")</f>
        <v/>
      </c>
      <c r="D531" s="140"/>
    </row>
    <row r="532" spans="1:4" ht="13.2">
      <c r="A532" s="193"/>
      <c r="B532" s="173"/>
      <c r="C532" s="139" t="str">
        <f ca="1">IFERROR(__xludf.DUMMYFUNCTION("if(ISBLANK(INDIRECT(ADDRESS(6,(ROW()-5)))),,QUERY('NPC List'!$1:$1000, ""Select C,D WHERE A = ""&amp;INDIRECT(ADDRESS(6,(ROW()-5)))&amp;"""",0))"),"")</f>
        <v/>
      </c>
      <c r="D532" s="140"/>
    </row>
    <row r="533" spans="1:4" ht="13.2">
      <c r="A533" s="193"/>
      <c r="B533" s="173"/>
      <c r="C533" s="139" t="str">
        <f ca="1">IFERROR(__xludf.DUMMYFUNCTION("if(ISBLANK(INDIRECT(ADDRESS(6,(ROW()-5)))),,QUERY('NPC List'!$1:$1000, ""Select C,D WHERE A = ""&amp;INDIRECT(ADDRESS(6,(ROW()-5)))&amp;"""",0))"),"")</f>
        <v/>
      </c>
      <c r="D533" s="140"/>
    </row>
    <row r="534" spans="1:4" ht="13.2">
      <c r="A534" s="193"/>
      <c r="B534" s="173"/>
      <c r="C534" s="139" t="str">
        <f ca="1">IFERROR(__xludf.DUMMYFUNCTION("if(ISBLANK(INDIRECT(ADDRESS(6,(ROW()-5)))),,QUERY('NPC List'!$1:$1000, ""Select C,D WHERE A = ""&amp;INDIRECT(ADDRESS(6,(ROW()-5)))&amp;"""",0))"),"")</f>
        <v/>
      </c>
      <c r="D534" s="140"/>
    </row>
    <row r="535" spans="1:4" ht="13.2">
      <c r="A535" s="193"/>
      <c r="B535" s="173"/>
      <c r="C535" s="139" t="str">
        <f ca="1">IFERROR(__xludf.DUMMYFUNCTION("if(ISBLANK(INDIRECT(ADDRESS(6,(ROW()-5)))),,QUERY('NPC List'!$1:$1000, ""Select C,D WHERE A = ""&amp;INDIRECT(ADDRESS(6,(ROW()-5)))&amp;"""",0))"),"")</f>
        <v/>
      </c>
      <c r="D535" s="140"/>
    </row>
    <row r="536" spans="1:4" ht="13.2">
      <c r="A536" s="193"/>
      <c r="B536" s="173"/>
      <c r="C536" s="139" t="str">
        <f ca="1">IFERROR(__xludf.DUMMYFUNCTION("if(ISBLANK(INDIRECT(ADDRESS(6,(ROW()-5)))),,QUERY('NPC List'!$1:$1000, ""Select C,D WHERE A = ""&amp;INDIRECT(ADDRESS(6,(ROW()-5)))&amp;"""",0))"),"")</f>
        <v/>
      </c>
      <c r="D536" s="140"/>
    </row>
    <row r="537" spans="1:4" ht="13.2">
      <c r="A537" s="193"/>
      <c r="B537" s="173"/>
      <c r="C537" s="139" t="str">
        <f ca="1">IFERROR(__xludf.DUMMYFUNCTION("if(ISBLANK(INDIRECT(ADDRESS(6,(ROW()-5)))),,QUERY('NPC List'!$1:$1000, ""Select C,D WHERE A = ""&amp;INDIRECT(ADDRESS(6,(ROW()-5)))&amp;"""",0))"),"")</f>
        <v/>
      </c>
      <c r="D537" s="140"/>
    </row>
    <row r="538" spans="1:4" ht="13.2">
      <c r="A538" s="193"/>
      <c r="B538" s="173"/>
      <c r="C538" s="139" t="str">
        <f ca="1">IFERROR(__xludf.DUMMYFUNCTION("if(ISBLANK(INDIRECT(ADDRESS(6,(ROW()-5)))),,QUERY('NPC List'!$1:$1000, ""Select C,D WHERE A = ""&amp;INDIRECT(ADDRESS(6,(ROW()-5)))&amp;"""",0))"),"")</f>
        <v/>
      </c>
      <c r="D538" s="140"/>
    </row>
    <row r="539" spans="1:4" ht="13.2">
      <c r="A539" s="193"/>
      <c r="B539" s="173"/>
      <c r="C539" s="139" t="str">
        <f ca="1">IFERROR(__xludf.DUMMYFUNCTION("if(ISBLANK(INDIRECT(ADDRESS(6,(ROW()-5)))),,QUERY('NPC List'!$1:$1000, ""Select C,D WHERE A = ""&amp;INDIRECT(ADDRESS(6,(ROW()-5)))&amp;"""",0))"),"")</f>
        <v/>
      </c>
      <c r="D539" s="140"/>
    </row>
    <row r="540" spans="1:4" ht="13.2">
      <c r="A540" s="193"/>
      <c r="B540" s="173"/>
      <c r="C540" s="139" t="str">
        <f ca="1">IFERROR(__xludf.DUMMYFUNCTION("if(ISBLANK(INDIRECT(ADDRESS(6,(ROW()-5)))),,QUERY('NPC List'!$1:$1000, ""Select C,D WHERE A = ""&amp;INDIRECT(ADDRESS(6,(ROW()-5)))&amp;"""",0))"),"")</f>
        <v/>
      </c>
      <c r="D540" s="140"/>
    </row>
    <row r="541" spans="1:4" ht="13.2">
      <c r="A541" s="193"/>
      <c r="B541" s="173"/>
      <c r="C541" s="139" t="str">
        <f ca="1">IFERROR(__xludf.DUMMYFUNCTION("if(ISBLANK(INDIRECT(ADDRESS(6,(ROW()-5)))),,QUERY('NPC List'!$1:$1000, ""Select C,D WHERE A = ""&amp;INDIRECT(ADDRESS(6,(ROW()-5)))&amp;"""",0))"),"")</f>
        <v/>
      </c>
      <c r="D541" s="140"/>
    </row>
    <row r="542" spans="1:4" ht="13.2">
      <c r="A542" s="193"/>
      <c r="B542" s="173"/>
      <c r="C542" s="139" t="str">
        <f ca="1">IFERROR(__xludf.DUMMYFUNCTION("if(ISBLANK(INDIRECT(ADDRESS(6,(ROW()-5)))),,QUERY('NPC List'!$1:$1000, ""Select C,D WHERE A = ""&amp;INDIRECT(ADDRESS(6,(ROW()-5)))&amp;"""",0))"),"")</f>
        <v/>
      </c>
      <c r="D542" s="140"/>
    </row>
    <row r="543" spans="1:4" ht="13.2">
      <c r="A543" s="193"/>
      <c r="B543" s="173"/>
      <c r="C543" s="139" t="str">
        <f ca="1">IFERROR(__xludf.DUMMYFUNCTION("if(ISBLANK(INDIRECT(ADDRESS(6,(ROW()-5)))),,QUERY('NPC List'!$1:$1000, ""Select C,D WHERE A = ""&amp;INDIRECT(ADDRESS(6,(ROW()-5)))&amp;"""",0))"),"")</f>
        <v/>
      </c>
      <c r="D543" s="140"/>
    </row>
    <row r="544" spans="1:4" ht="13.2">
      <c r="A544" s="193"/>
      <c r="B544" s="173"/>
      <c r="C544" s="139" t="str">
        <f ca="1">IFERROR(__xludf.DUMMYFUNCTION("if(ISBLANK(INDIRECT(ADDRESS(6,(ROW()-5)))),,QUERY('NPC List'!$1:$1000, ""Select C,D WHERE A = ""&amp;INDIRECT(ADDRESS(6,(ROW()-5)))&amp;"""",0))"),"")</f>
        <v/>
      </c>
      <c r="D544" s="140"/>
    </row>
    <row r="545" spans="1:4" ht="13.2">
      <c r="A545" s="193"/>
      <c r="B545" s="173"/>
      <c r="C545" s="139" t="str">
        <f ca="1">IFERROR(__xludf.DUMMYFUNCTION("if(ISBLANK(INDIRECT(ADDRESS(6,(ROW()-5)))),,QUERY('NPC List'!$1:$1000, ""Select C,D WHERE A = ""&amp;INDIRECT(ADDRESS(6,(ROW()-5)))&amp;"""",0))"),"")</f>
        <v/>
      </c>
      <c r="D545" s="140"/>
    </row>
    <row r="546" spans="1:4" ht="13.2">
      <c r="A546" s="193"/>
      <c r="B546" s="173"/>
      <c r="C546" s="139" t="str">
        <f ca="1">IFERROR(__xludf.DUMMYFUNCTION("if(ISBLANK(INDIRECT(ADDRESS(6,(ROW()-5)))),,QUERY('NPC List'!$1:$1000, ""Select C,D WHERE A = ""&amp;INDIRECT(ADDRESS(6,(ROW()-5)))&amp;"""",0))"),"")</f>
        <v/>
      </c>
      <c r="D546" s="140"/>
    </row>
    <row r="547" spans="1:4" ht="13.2">
      <c r="A547" s="193"/>
      <c r="B547" s="173"/>
      <c r="C547" s="139" t="str">
        <f ca="1">IFERROR(__xludf.DUMMYFUNCTION("if(ISBLANK(INDIRECT(ADDRESS(6,(ROW()-5)))),,QUERY('NPC List'!$1:$1000, ""Select C,D WHERE A = ""&amp;INDIRECT(ADDRESS(6,(ROW()-5)))&amp;"""",0))"),"")</f>
        <v/>
      </c>
      <c r="D547" s="140"/>
    </row>
    <row r="548" spans="1:4" ht="13.2">
      <c r="A548" s="193"/>
      <c r="B548" s="173"/>
      <c r="C548" s="139" t="str">
        <f ca="1">IFERROR(__xludf.DUMMYFUNCTION("if(ISBLANK(INDIRECT(ADDRESS(6,(ROW()-5)))),,QUERY('NPC List'!$1:$1000, ""Select C,D WHERE A = ""&amp;INDIRECT(ADDRESS(6,(ROW()-5)))&amp;"""",0))"),"")</f>
        <v/>
      </c>
      <c r="D548" s="140"/>
    </row>
    <row r="549" spans="1:4" ht="13.2">
      <c r="A549" s="193"/>
      <c r="B549" s="173"/>
      <c r="C549" s="139" t="str">
        <f ca="1">IFERROR(__xludf.DUMMYFUNCTION("if(ISBLANK(INDIRECT(ADDRESS(6,(ROW()-5)))),,QUERY('NPC List'!$1:$1000, ""Select C,D WHERE A = ""&amp;INDIRECT(ADDRESS(6,(ROW()-5)))&amp;"""",0))"),"")</f>
        <v/>
      </c>
      <c r="D549" s="140"/>
    </row>
    <row r="550" spans="1:4" ht="13.2">
      <c r="A550" s="193"/>
      <c r="B550" s="173"/>
      <c r="C550" s="139" t="str">
        <f ca="1">IFERROR(__xludf.DUMMYFUNCTION("if(ISBLANK(INDIRECT(ADDRESS(6,(ROW()-5)))),,QUERY('NPC List'!$1:$1000, ""Select C,D WHERE A = ""&amp;INDIRECT(ADDRESS(6,(ROW()-5)))&amp;"""",0))"),"")</f>
        <v/>
      </c>
      <c r="D550" s="140"/>
    </row>
    <row r="551" spans="1:4" ht="13.2">
      <c r="A551" s="193"/>
      <c r="B551" s="173"/>
      <c r="C551" s="139" t="str">
        <f ca="1">IFERROR(__xludf.DUMMYFUNCTION("if(ISBLANK(INDIRECT(ADDRESS(6,(ROW()-5)))),,QUERY('NPC List'!$1:$1000, ""Select C,D WHERE A = ""&amp;INDIRECT(ADDRESS(6,(ROW()-5)))&amp;"""",0))"),"")</f>
        <v/>
      </c>
      <c r="D551" s="140"/>
    </row>
    <row r="552" spans="1:4" ht="13.2">
      <c r="A552" s="193"/>
      <c r="B552" s="173"/>
      <c r="C552" s="139" t="str">
        <f ca="1">IFERROR(__xludf.DUMMYFUNCTION("if(ISBLANK(INDIRECT(ADDRESS(6,(ROW()-5)))),,QUERY('NPC List'!$1:$1000, ""Select C,D WHERE A = ""&amp;INDIRECT(ADDRESS(6,(ROW()-5)))&amp;"""",0))"),"")</f>
        <v/>
      </c>
      <c r="D552" s="140"/>
    </row>
    <row r="553" spans="1:4" ht="13.2">
      <c r="A553" s="193"/>
      <c r="B553" s="173"/>
      <c r="C553" s="139" t="str">
        <f ca="1">IFERROR(__xludf.DUMMYFUNCTION("if(ISBLANK(INDIRECT(ADDRESS(6,(ROW()-5)))),,QUERY('NPC List'!$1:$1000, ""Select C,D WHERE A = ""&amp;INDIRECT(ADDRESS(6,(ROW()-5)))&amp;"""",0))"),"")</f>
        <v/>
      </c>
      <c r="D553" s="140"/>
    </row>
    <row r="554" spans="1:4" ht="13.2">
      <c r="A554" s="193"/>
      <c r="B554" s="173"/>
      <c r="C554" s="139" t="str">
        <f ca="1">IFERROR(__xludf.DUMMYFUNCTION("if(ISBLANK(INDIRECT(ADDRESS(6,(ROW()-5)))),,QUERY('NPC List'!$1:$1000, ""Select C,D WHERE A = ""&amp;INDIRECT(ADDRESS(6,(ROW()-5)))&amp;"""",0))"),"")</f>
        <v/>
      </c>
      <c r="D554" s="140"/>
    </row>
    <row r="555" spans="1:4" ht="13.2">
      <c r="A555" s="193"/>
      <c r="B555" s="173"/>
      <c r="C555" s="139" t="str">
        <f ca="1">IFERROR(__xludf.DUMMYFUNCTION("if(ISBLANK(INDIRECT(ADDRESS(6,(ROW()-5)))),,QUERY('NPC List'!$1:$1000, ""Select C,D WHERE A = ""&amp;INDIRECT(ADDRESS(6,(ROW()-5)))&amp;"""",0))"),"")</f>
        <v/>
      </c>
      <c r="D555" s="140"/>
    </row>
    <row r="556" spans="1:4" ht="13.2">
      <c r="A556" s="193"/>
      <c r="B556" s="173"/>
      <c r="C556" s="139" t="str">
        <f ca="1">IFERROR(__xludf.DUMMYFUNCTION("if(ISBLANK(INDIRECT(ADDRESS(6,(ROW()-5)))),,QUERY('NPC List'!$1:$1000, ""Select C,D WHERE A = ""&amp;INDIRECT(ADDRESS(6,(ROW()-5)))&amp;"""",0))"),"")</f>
        <v/>
      </c>
      <c r="D556" s="140"/>
    </row>
    <row r="557" spans="1:4" ht="13.2">
      <c r="A557" s="193"/>
      <c r="B557" s="173"/>
      <c r="C557" s="139" t="str">
        <f ca="1">IFERROR(__xludf.DUMMYFUNCTION("if(ISBLANK(INDIRECT(ADDRESS(6,(ROW()-5)))),,QUERY('NPC List'!$1:$1000, ""Select C,D WHERE A = ""&amp;INDIRECT(ADDRESS(6,(ROW()-5)))&amp;"""",0))"),"")</f>
        <v/>
      </c>
      <c r="D557" s="140"/>
    </row>
    <row r="558" spans="1:4" ht="13.2">
      <c r="A558" s="193"/>
      <c r="B558" s="173"/>
      <c r="C558" s="139" t="str">
        <f ca="1">IFERROR(__xludf.DUMMYFUNCTION("if(ISBLANK(INDIRECT(ADDRESS(6,(ROW()-5)))),,QUERY('NPC List'!$1:$1000, ""Select C,D WHERE A = ""&amp;INDIRECT(ADDRESS(6,(ROW()-5)))&amp;"""",0))"),"")</f>
        <v/>
      </c>
      <c r="D558" s="140"/>
    </row>
    <row r="559" spans="1:4" ht="13.2">
      <c r="A559" s="193"/>
      <c r="B559" s="173"/>
      <c r="C559" s="139" t="str">
        <f ca="1">IFERROR(__xludf.DUMMYFUNCTION("if(ISBLANK(INDIRECT(ADDRESS(6,(ROW()-5)))),,QUERY('NPC List'!$1:$1000, ""Select C,D WHERE A = ""&amp;INDIRECT(ADDRESS(6,(ROW()-5)))&amp;"""",0))"),"")</f>
        <v/>
      </c>
      <c r="D559" s="140"/>
    </row>
    <row r="560" spans="1:4" ht="13.2">
      <c r="A560" s="193"/>
      <c r="B560" s="173"/>
      <c r="C560" s="139" t="str">
        <f ca="1">IFERROR(__xludf.DUMMYFUNCTION("if(ISBLANK(INDIRECT(ADDRESS(6,(ROW()-5)))),,QUERY('NPC List'!$1:$1000, ""Select C,D WHERE A = ""&amp;INDIRECT(ADDRESS(6,(ROW()-5)))&amp;"""",0))"),"")</f>
        <v/>
      </c>
      <c r="D560" s="140"/>
    </row>
    <row r="561" spans="1:4" ht="13.2">
      <c r="A561" s="193"/>
      <c r="B561" s="173"/>
      <c r="C561" s="139" t="str">
        <f ca="1">IFERROR(__xludf.DUMMYFUNCTION("if(ISBLANK(INDIRECT(ADDRESS(6,(ROW()-5)))),,QUERY('NPC List'!$1:$1000, ""Select C,D WHERE A = ""&amp;INDIRECT(ADDRESS(6,(ROW()-5)))&amp;"""",0))"),"")</f>
        <v/>
      </c>
      <c r="D561" s="140"/>
    </row>
    <row r="562" spans="1:4" ht="13.2">
      <c r="A562" s="193"/>
      <c r="B562" s="173"/>
      <c r="C562" s="139" t="str">
        <f ca="1">IFERROR(__xludf.DUMMYFUNCTION("if(ISBLANK(INDIRECT(ADDRESS(6,(ROW()-5)))),,QUERY('NPC List'!$1:$1000, ""Select C,D WHERE A = ""&amp;INDIRECT(ADDRESS(6,(ROW()-5)))&amp;"""",0))"),"")</f>
        <v/>
      </c>
      <c r="D562" s="140"/>
    </row>
    <row r="563" spans="1:4" ht="13.2">
      <c r="A563" s="193"/>
      <c r="B563" s="173"/>
      <c r="C563" s="139" t="str">
        <f ca="1">IFERROR(__xludf.DUMMYFUNCTION("if(ISBLANK(INDIRECT(ADDRESS(6,(ROW()-5)))),,QUERY('NPC List'!$1:$1000, ""Select C,D WHERE A = ""&amp;INDIRECT(ADDRESS(6,(ROW()-5)))&amp;"""",0))"),"")</f>
        <v/>
      </c>
      <c r="D563" s="140"/>
    </row>
    <row r="564" spans="1:4" ht="13.2">
      <c r="A564" s="193"/>
      <c r="B564" s="173"/>
      <c r="C564" s="139" t="str">
        <f ca="1">IFERROR(__xludf.DUMMYFUNCTION("if(ISBLANK(INDIRECT(ADDRESS(6,(ROW()-5)))),,QUERY('NPC List'!$1:$1000, ""Select C,D WHERE A = ""&amp;INDIRECT(ADDRESS(6,(ROW()-5)))&amp;"""",0))"),"")</f>
        <v/>
      </c>
      <c r="D564" s="140"/>
    </row>
    <row r="565" spans="1:4" ht="13.2">
      <c r="A565" s="193"/>
      <c r="B565" s="173"/>
      <c r="C565" s="139" t="str">
        <f ca="1">IFERROR(__xludf.DUMMYFUNCTION("if(ISBLANK(INDIRECT(ADDRESS(6,(ROW()-5)))),,QUERY('NPC List'!$1:$1000, ""Select C,D WHERE A = ""&amp;INDIRECT(ADDRESS(6,(ROW()-5)))&amp;"""",0))"),"")</f>
        <v/>
      </c>
      <c r="D565" s="140"/>
    </row>
    <row r="566" spans="1:4" ht="13.2">
      <c r="A566" s="193"/>
      <c r="B566" s="173"/>
      <c r="C566" s="139" t="str">
        <f ca="1">IFERROR(__xludf.DUMMYFUNCTION("if(ISBLANK(INDIRECT(ADDRESS(6,(ROW()-5)))),,QUERY('NPC List'!$1:$1000, ""Select C,D WHERE A = ""&amp;INDIRECT(ADDRESS(6,(ROW()-5)))&amp;"""",0))"),"")</f>
        <v/>
      </c>
      <c r="D566" s="140"/>
    </row>
    <row r="567" spans="1:4" ht="13.2">
      <c r="A567" s="193"/>
      <c r="B567" s="173"/>
      <c r="C567" s="139" t="str">
        <f ca="1">IFERROR(__xludf.DUMMYFUNCTION("if(ISBLANK(INDIRECT(ADDRESS(6,(ROW()-5)))),,QUERY('NPC List'!$1:$1000, ""Select C,D WHERE A = ""&amp;INDIRECT(ADDRESS(6,(ROW()-5)))&amp;"""",0))"),"")</f>
        <v/>
      </c>
      <c r="D567" s="140"/>
    </row>
    <row r="568" spans="1:4" ht="13.2">
      <c r="A568" s="193"/>
      <c r="B568" s="173"/>
      <c r="C568" s="139" t="str">
        <f ca="1">IFERROR(__xludf.DUMMYFUNCTION("if(ISBLANK(INDIRECT(ADDRESS(6,(ROW()-5)))),,QUERY('NPC List'!$1:$1000, ""Select C,D WHERE A = ""&amp;INDIRECT(ADDRESS(6,(ROW()-5)))&amp;"""",0))"),"")</f>
        <v/>
      </c>
      <c r="D568" s="140"/>
    </row>
    <row r="569" spans="1:4" ht="13.2">
      <c r="A569" s="193"/>
      <c r="B569" s="173"/>
      <c r="C569" s="139" t="str">
        <f ca="1">IFERROR(__xludf.DUMMYFUNCTION("if(ISBLANK(INDIRECT(ADDRESS(6,(ROW()-5)))),,QUERY('NPC List'!$1:$1000, ""Select C,D WHERE A = ""&amp;INDIRECT(ADDRESS(6,(ROW()-5)))&amp;"""",0))"),"")</f>
        <v/>
      </c>
      <c r="D569" s="140"/>
    </row>
    <row r="570" spans="1:4" ht="13.2">
      <c r="A570" s="193"/>
      <c r="B570" s="173"/>
      <c r="C570" s="139" t="str">
        <f ca="1">IFERROR(__xludf.DUMMYFUNCTION("if(ISBLANK(INDIRECT(ADDRESS(6,(ROW()-5)))),,QUERY('NPC List'!$1:$1000, ""Select C,D WHERE A = ""&amp;INDIRECT(ADDRESS(6,(ROW()-5)))&amp;"""",0))"),"")</f>
        <v/>
      </c>
      <c r="D570" s="140"/>
    </row>
    <row r="571" spans="1:4" ht="13.2">
      <c r="A571" s="193"/>
      <c r="B571" s="173"/>
      <c r="C571" s="139" t="str">
        <f ca="1">IFERROR(__xludf.DUMMYFUNCTION("if(ISBLANK(INDIRECT(ADDRESS(6,(ROW()-5)))),,QUERY('NPC List'!$1:$1000, ""Select C,D WHERE A = ""&amp;INDIRECT(ADDRESS(6,(ROW()-5)))&amp;"""",0))"),"")</f>
        <v/>
      </c>
      <c r="D571" s="140"/>
    </row>
    <row r="572" spans="1:4" ht="13.2">
      <c r="A572" s="193"/>
      <c r="B572" s="173"/>
      <c r="C572" s="139" t="str">
        <f ca="1">IFERROR(__xludf.DUMMYFUNCTION("if(ISBLANK(INDIRECT(ADDRESS(6,(ROW()-5)))),,QUERY('NPC List'!$1:$1000, ""Select C,D WHERE A = ""&amp;INDIRECT(ADDRESS(6,(ROW()-5)))&amp;"""",0))"),"")</f>
        <v/>
      </c>
      <c r="D572" s="140"/>
    </row>
    <row r="573" spans="1:4" ht="13.2">
      <c r="A573" s="193"/>
      <c r="B573" s="173"/>
      <c r="C573" s="139" t="str">
        <f ca="1">IFERROR(__xludf.DUMMYFUNCTION("if(ISBLANK(INDIRECT(ADDRESS(6,(ROW()-5)))),,QUERY('NPC List'!$1:$1000, ""Select C,D WHERE A = ""&amp;INDIRECT(ADDRESS(6,(ROW()-5)))&amp;"""",0))"),"")</f>
        <v/>
      </c>
      <c r="D573" s="140"/>
    </row>
    <row r="574" spans="1:4" ht="13.2">
      <c r="A574" s="193"/>
      <c r="B574" s="173"/>
      <c r="C574" s="139" t="str">
        <f ca="1">IFERROR(__xludf.DUMMYFUNCTION("if(ISBLANK(INDIRECT(ADDRESS(6,(ROW()-5)))),,QUERY('NPC List'!$1:$1000, ""Select C,D WHERE A = ""&amp;INDIRECT(ADDRESS(6,(ROW()-5)))&amp;"""",0))"),"")</f>
        <v/>
      </c>
      <c r="D574" s="140"/>
    </row>
    <row r="575" spans="1:4" ht="13.2">
      <c r="A575" s="193"/>
      <c r="B575" s="173"/>
      <c r="C575" s="139" t="str">
        <f ca="1">IFERROR(__xludf.DUMMYFUNCTION("if(ISBLANK(INDIRECT(ADDRESS(6,(ROW()-5)))),,QUERY('NPC List'!$1:$1000, ""Select C,D WHERE A = ""&amp;INDIRECT(ADDRESS(6,(ROW()-5)))&amp;"""",0))"),"")</f>
        <v/>
      </c>
      <c r="D575" s="140"/>
    </row>
    <row r="576" spans="1:4" ht="13.2">
      <c r="A576" s="193"/>
      <c r="B576" s="173"/>
      <c r="C576" s="139" t="str">
        <f ca="1">IFERROR(__xludf.DUMMYFUNCTION("if(ISBLANK(INDIRECT(ADDRESS(6,(ROW()-5)))),,QUERY('NPC List'!$1:$1000, ""Select C,D WHERE A = ""&amp;INDIRECT(ADDRESS(6,(ROW()-5)))&amp;"""",0))"),"")</f>
        <v/>
      </c>
      <c r="D576" s="140"/>
    </row>
    <row r="577" spans="1:4" ht="13.2">
      <c r="A577" s="193"/>
      <c r="B577" s="173"/>
      <c r="C577" s="139" t="str">
        <f ca="1">IFERROR(__xludf.DUMMYFUNCTION("if(ISBLANK(INDIRECT(ADDRESS(6,(ROW()-5)))),,QUERY('NPC List'!$1:$1000, ""Select C,D WHERE A = ""&amp;INDIRECT(ADDRESS(6,(ROW()-5)))&amp;"""",0))"),"")</f>
        <v/>
      </c>
      <c r="D577" s="140"/>
    </row>
    <row r="578" spans="1:4" ht="13.2">
      <c r="A578" s="193"/>
      <c r="B578" s="173"/>
      <c r="C578" s="139" t="str">
        <f ca="1">IFERROR(__xludf.DUMMYFUNCTION("if(ISBLANK(INDIRECT(ADDRESS(6,(ROW()-5)))),,QUERY('NPC List'!$1:$1000, ""Select C,D WHERE A = ""&amp;INDIRECT(ADDRESS(6,(ROW()-5)))&amp;"""",0))"),"")</f>
        <v/>
      </c>
      <c r="D578" s="140"/>
    </row>
    <row r="579" spans="1:4" ht="13.2">
      <c r="A579" s="193"/>
      <c r="B579" s="173"/>
      <c r="C579" s="139" t="str">
        <f ca="1">IFERROR(__xludf.DUMMYFUNCTION("if(ISBLANK(INDIRECT(ADDRESS(6,(ROW()-5)))),,QUERY('NPC List'!$1:$1000, ""Select C,D WHERE A = ""&amp;INDIRECT(ADDRESS(6,(ROW()-5)))&amp;"""",0))"),"")</f>
        <v/>
      </c>
      <c r="D579" s="140"/>
    </row>
    <row r="580" spans="1:4" ht="13.2">
      <c r="A580" s="193"/>
      <c r="B580" s="173"/>
      <c r="C580" s="139" t="str">
        <f ca="1">IFERROR(__xludf.DUMMYFUNCTION("if(ISBLANK(INDIRECT(ADDRESS(6,(ROW()-5)))),,QUERY('NPC List'!$1:$1000, ""Select C,D WHERE A = ""&amp;INDIRECT(ADDRESS(6,(ROW()-5)))&amp;"""",0))"),"")</f>
        <v/>
      </c>
      <c r="D580" s="140"/>
    </row>
    <row r="581" spans="1:4" ht="13.2">
      <c r="A581" s="193"/>
      <c r="B581" s="173"/>
      <c r="C581" s="139" t="str">
        <f ca="1">IFERROR(__xludf.DUMMYFUNCTION("if(ISBLANK(INDIRECT(ADDRESS(6,(ROW()-5)))),,QUERY('NPC List'!$1:$1000, ""Select C,D WHERE A = ""&amp;INDIRECT(ADDRESS(6,(ROW()-5)))&amp;"""",0))"),"")</f>
        <v/>
      </c>
      <c r="D581" s="140"/>
    </row>
    <row r="582" spans="1:4" ht="13.2">
      <c r="A582" s="193"/>
      <c r="B582" s="173"/>
      <c r="C582" s="139" t="str">
        <f ca="1">IFERROR(__xludf.DUMMYFUNCTION("if(ISBLANK(INDIRECT(ADDRESS(6,(ROW()-5)))),,QUERY('NPC List'!$1:$1000, ""Select C,D WHERE A = ""&amp;INDIRECT(ADDRESS(6,(ROW()-5)))&amp;"""",0))"),"")</f>
        <v/>
      </c>
      <c r="D582" s="140"/>
    </row>
    <row r="583" spans="1:4" ht="13.2">
      <c r="A583" s="193"/>
      <c r="B583" s="173"/>
      <c r="C583" s="139" t="str">
        <f ca="1">IFERROR(__xludf.DUMMYFUNCTION("if(ISBLANK(INDIRECT(ADDRESS(6,(ROW()-5)))),,QUERY('NPC List'!$1:$1000, ""Select C,D WHERE A = ""&amp;INDIRECT(ADDRESS(6,(ROW()-5)))&amp;"""",0))"),"")</f>
        <v/>
      </c>
      <c r="D583" s="140"/>
    </row>
    <row r="584" spans="1:4" ht="13.2">
      <c r="A584" s="193"/>
      <c r="B584" s="173"/>
      <c r="C584" s="139" t="str">
        <f ca="1">IFERROR(__xludf.DUMMYFUNCTION("if(ISBLANK(INDIRECT(ADDRESS(6,(ROW()-5)))),,QUERY('NPC List'!$1:$1000, ""Select C,D WHERE A = ""&amp;INDIRECT(ADDRESS(6,(ROW()-5)))&amp;"""",0))"),"")</f>
        <v/>
      </c>
      <c r="D584" s="140"/>
    </row>
    <row r="585" spans="1:4" ht="13.2">
      <c r="A585" s="193"/>
      <c r="B585" s="173"/>
      <c r="C585" s="139" t="str">
        <f ca="1">IFERROR(__xludf.DUMMYFUNCTION("if(ISBLANK(INDIRECT(ADDRESS(6,(ROW()-5)))),,QUERY('NPC List'!$1:$1000, ""Select C,D WHERE A = ""&amp;INDIRECT(ADDRESS(6,(ROW()-5)))&amp;"""",0))"),"")</f>
        <v/>
      </c>
      <c r="D585" s="140"/>
    </row>
    <row r="586" spans="1:4" ht="13.2">
      <c r="A586" s="193"/>
      <c r="B586" s="173"/>
      <c r="C586" s="139" t="str">
        <f ca="1">IFERROR(__xludf.DUMMYFUNCTION("if(ISBLANK(INDIRECT(ADDRESS(6,(ROW()-5)))),,QUERY('NPC List'!$1:$1000, ""Select C,D WHERE A = ""&amp;INDIRECT(ADDRESS(6,(ROW()-5)))&amp;"""",0))"),"")</f>
        <v/>
      </c>
      <c r="D586" s="140"/>
    </row>
    <row r="587" spans="1:4" ht="13.2">
      <c r="A587" s="193"/>
      <c r="B587" s="173"/>
      <c r="C587" s="139" t="str">
        <f ca="1">IFERROR(__xludf.DUMMYFUNCTION("if(ISBLANK(INDIRECT(ADDRESS(6,(ROW()-5)))),,QUERY('NPC List'!$1:$1000, ""Select C,D WHERE A = ""&amp;INDIRECT(ADDRESS(6,(ROW()-5)))&amp;"""",0))"),"")</f>
        <v/>
      </c>
      <c r="D587" s="140"/>
    </row>
    <row r="588" spans="1:4" ht="13.2">
      <c r="A588" s="193"/>
      <c r="B588" s="173"/>
      <c r="C588" s="139" t="str">
        <f ca="1">IFERROR(__xludf.DUMMYFUNCTION("if(ISBLANK(INDIRECT(ADDRESS(6,(ROW()-5)))),,QUERY('NPC List'!$1:$1000, ""Select C,D WHERE A = ""&amp;INDIRECT(ADDRESS(6,(ROW()-5)))&amp;"""",0))"),"")</f>
        <v/>
      </c>
      <c r="D588" s="140"/>
    </row>
    <row r="589" spans="1:4" ht="13.2">
      <c r="A589" s="193"/>
      <c r="B589" s="173"/>
      <c r="C589" s="139" t="str">
        <f ca="1">IFERROR(__xludf.DUMMYFUNCTION("if(ISBLANK(INDIRECT(ADDRESS(6,(ROW()-5)))),,QUERY('NPC List'!$1:$1000, ""Select C,D WHERE A = ""&amp;INDIRECT(ADDRESS(6,(ROW()-5)))&amp;"""",0))"),"")</f>
        <v/>
      </c>
      <c r="D589" s="140"/>
    </row>
    <row r="590" spans="1:4" ht="13.2">
      <c r="A590" s="193"/>
      <c r="B590" s="173"/>
      <c r="C590" s="139" t="str">
        <f ca="1">IFERROR(__xludf.DUMMYFUNCTION("if(ISBLANK(INDIRECT(ADDRESS(6,(ROW()-5)))),,QUERY('NPC List'!$1:$1000, ""Select C,D WHERE A = ""&amp;INDIRECT(ADDRESS(6,(ROW()-5)))&amp;"""",0))"),"")</f>
        <v/>
      </c>
      <c r="D590" s="140"/>
    </row>
    <row r="591" spans="1:4" ht="13.2">
      <c r="A591" s="193"/>
      <c r="B591" s="173"/>
      <c r="C591" s="139" t="str">
        <f ca="1">IFERROR(__xludf.DUMMYFUNCTION("if(ISBLANK(INDIRECT(ADDRESS(6,(ROW()-5)))),,QUERY('NPC List'!$1:$1000, ""Select C,D WHERE A = ""&amp;INDIRECT(ADDRESS(6,(ROW()-5)))&amp;"""",0))"),"")</f>
        <v/>
      </c>
      <c r="D591" s="140"/>
    </row>
    <row r="592" spans="1:4" ht="13.2">
      <c r="A592" s="193"/>
      <c r="B592" s="173"/>
      <c r="C592" s="139" t="str">
        <f ca="1">IFERROR(__xludf.DUMMYFUNCTION("if(ISBLANK(INDIRECT(ADDRESS(6,(ROW()-5)))),,QUERY('NPC List'!$1:$1000, ""Select C,D WHERE A = ""&amp;INDIRECT(ADDRESS(6,(ROW()-5)))&amp;"""",0))"),"")</f>
        <v/>
      </c>
      <c r="D592" s="140"/>
    </row>
    <row r="593" spans="1:4" ht="13.2">
      <c r="A593" s="193"/>
      <c r="B593" s="173"/>
      <c r="C593" s="139" t="str">
        <f ca="1">IFERROR(__xludf.DUMMYFUNCTION("if(ISBLANK(INDIRECT(ADDRESS(6,(ROW()-5)))),,QUERY('NPC List'!$1:$1000, ""Select C,D WHERE A = ""&amp;INDIRECT(ADDRESS(6,(ROW()-5)))&amp;"""",0))"),"")</f>
        <v/>
      </c>
      <c r="D593" s="140"/>
    </row>
    <row r="594" spans="1:4" ht="13.2">
      <c r="A594" s="193"/>
      <c r="B594" s="173"/>
      <c r="C594" s="139" t="str">
        <f ca="1">IFERROR(__xludf.DUMMYFUNCTION("if(ISBLANK(INDIRECT(ADDRESS(6,(ROW()-5)))),,QUERY('NPC List'!$1:$1000, ""Select C,D WHERE A = ""&amp;INDIRECT(ADDRESS(6,(ROW()-5)))&amp;"""",0))"),"")</f>
        <v/>
      </c>
      <c r="D594" s="140"/>
    </row>
    <row r="595" spans="1:4" ht="13.2">
      <c r="A595" s="193"/>
      <c r="B595" s="173"/>
      <c r="C595" s="139" t="str">
        <f ca="1">IFERROR(__xludf.DUMMYFUNCTION("if(ISBLANK(INDIRECT(ADDRESS(6,(ROW()-5)))),,QUERY('NPC List'!$1:$1000, ""Select C,D WHERE A = ""&amp;INDIRECT(ADDRESS(6,(ROW()-5)))&amp;"""",0))"),"")</f>
        <v/>
      </c>
      <c r="D595" s="140"/>
    </row>
    <row r="596" spans="1:4" ht="13.2">
      <c r="A596" s="193"/>
      <c r="B596" s="173"/>
      <c r="C596" s="139" t="str">
        <f ca="1">IFERROR(__xludf.DUMMYFUNCTION("if(ISBLANK(INDIRECT(ADDRESS(6,(ROW()-5)))),,QUERY('NPC List'!$1:$1000, ""Select C,D WHERE A = ""&amp;INDIRECT(ADDRESS(6,(ROW()-5)))&amp;"""",0))"),"")</f>
        <v/>
      </c>
      <c r="D596" s="140"/>
    </row>
    <row r="597" spans="1:4" ht="13.2">
      <c r="A597" s="193"/>
      <c r="B597" s="173"/>
      <c r="C597" s="139" t="str">
        <f ca="1">IFERROR(__xludf.DUMMYFUNCTION("if(ISBLANK(INDIRECT(ADDRESS(6,(ROW()-5)))),,QUERY('NPC List'!$1:$1000, ""Select C,D WHERE A = ""&amp;INDIRECT(ADDRESS(6,(ROW()-5)))&amp;"""",0))"),"")</f>
        <v/>
      </c>
      <c r="D597" s="140"/>
    </row>
    <row r="598" spans="1:4" ht="13.2">
      <c r="A598" s="193"/>
      <c r="B598" s="173"/>
      <c r="C598" s="139" t="str">
        <f ca="1">IFERROR(__xludf.DUMMYFUNCTION("if(ISBLANK(INDIRECT(ADDRESS(6,(ROW()-5)))),,QUERY('NPC List'!$1:$1000, ""Select C,D WHERE A = ""&amp;INDIRECT(ADDRESS(6,(ROW()-5)))&amp;"""",0))"),"")</f>
        <v/>
      </c>
      <c r="D598" s="140"/>
    </row>
    <row r="599" spans="1:4" ht="13.2">
      <c r="A599" s="193"/>
      <c r="B599" s="173"/>
      <c r="C599" s="139" t="str">
        <f ca="1">IFERROR(__xludf.DUMMYFUNCTION("if(ISBLANK(INDIRECT(ADDRESS(6,(ROW()-5)))),,QUERY('NPC List'!$1:$1000, ""Select C,D WHERE A = ""&amp;INDIRECT(ADDRESS(6,(ROW()-5)))&amp;"""",0))"),"")</f>
        <v/>
      </c>
      <c r="D599" s="140"/>
    </row>
    <row r="600" spans="1:4" ht="13.2">
      <c r="A600" s="193"/>
      <c r="B600" s="173"/>
      <c r="C600" s="139" t="str">
        <f ca="1">IFERROR(__xludf.DUMMYFUNCTION("if(ISBLANK(INDIRECT(ADDRESS(6,(ROW()-5)))),,QUERY('NPC List'!$1:$1000, ""Select C,D WHERE A = ""&amp;INDIRECT(ADDRESS(6,(ROW()-5)))&amp;"""",0))"),"")</f>
        <v/>
      </c>
      <c r="D600" s="140"/>
    </row>
    <row r="601" spans="1:4" ht="13.2">
      <c r="A601" s="193"/>
      <c r="B601" s="173"/>
      <c r="C601" s="139" t="str">
        <f ca="1">IFERROR(__xludf.DUMMYFUNCTION("if(ISBLANK(INDIRECT(ADDRESS(6,(ROW()-5)))),,QUERY('NPC List'!$1:$1000, ""Select C,D WHERE A = ""&amp;INDIRECT(ADDRESS(6,(ROW()-5)))&amp;"""",0))"),"")</f>
        <v/>
      </c>
      <c r="D601" s="140"/>
    </row>
    <row r="602" spans="1:4" ht="13.2">
      <c r="A602" s="193"/>
      <c r="B602" s="173"/>
      <c r="C602" s="139" t="str">
        <f ca="1">IFERROR(__xludf.DUMMYFUNCTION("if(ISBLANK(INDIRECT(ADDRESS(6,(ROW()-5)))),,QUERY('NPC List'!$1:$1000, ""Select C,D WHERE A = ""&amp;INDIRECT(ADDRESS(6,(ROW()-5)))&amp;"""",0))"),"")</f>
        <v/>
      </c>
      <c r="D602" s="140"/>
    </row>
    <row r="603" spans="1:4" ht="13.2">
      <c r="A603" s="193"/>
      <c r="B603" s="173"/>
      <c r="C603" s="139" t="str">
        <f ca="1">IFERROR(__xludf.DUMMYFUNCTION("if(ISBLANK(INDIRECT(ADDRESS(6,(ROW()-5)))),,QUERY('NPC List'!$1:$1000, ""Select C,D WHERE A = ""&amp;INDIRECT(ADDRESS(6,(ROW()-5)))&amp;"""",0))"),"")</f>
        <v/>
      </c>
      <c r="D603" s="140"/>
    </row>
    <row r="604" spans="1:4" ht="13.2">
      <c r="A604" s="193"/>
      <c r="B604" s="173"/>
      <c r="C604" s="139" t="str">
        <f ca="1">IFERROR(__xludf.DUMMYFUNCTION("if(ISBLANK(INDIRECT(ADDRESS(6,(ROW()-5)))),,QUERY('NPC List'!$1:$1000, ""Select C,D WHERE A = ""&amp;INDIRECT(ADDRESS(6,(ROW()-5)))&amp;"""",0))"),"")</f>
        <v/>
      </c>
      <c r="D604" s="140"/>
    </row>
    <row r="605" spans="1:4" ht="13.2">
      <c r="A605" s="193"/>
      <c r="B605" s="173"/>
      <c r="C605" s="139" t="str">
        <f ca="1">IFERROR(__xludf.DUMMYFUNCTION("if(ISBLANK(INDIRECT(ADDRESS(6,(ROW()-5)))),,QUERY('NPC List'!$1:$1000, ""Select C,D WHERE A = ""&amp;INDIRECT(ADDRESS(6,(ROW()-5)))&amp;"""",0))"),"")</f>
        <v/>
      </c>
      <c r="D605" s="140"/>
    </row>
    <row r="606" spans="1:4" ht="13.2">
      <c r="A606" s="193"/>
      <c r="B606" s="173"/>
      <c r="C606" s="139" t="str">
        <f ca="1">IFERROR(__xludf.DUMMYFUNCTION("if(ISBLANK(INDIRECT(ADDRESS(6,(ROW()-5)))),,QUERY('NPC List'!$1:$1000, ""Select C,D WHERE A = ""&amp;INDIRECT(ADDRESS(6,(ROW()-5)))&amp;"""",0))"),"")</f>
        <v/>
      </c>
      <c r="D606" s="140"/>
    </row>
    <row r="607" spans="1:4" ht="13.2">
      <c r="A607" s="193"/>
      <c r="B607" s="173"/>
      <c r="C607" s="139" t="str">
        <f ca="1">IFERROR(__xludf.DUMMYFUNCTION("if(ISBLANK(INDIRECT(ADDRESS(6,(ROW()-5)))),,QUERY('NPC List'!$1:$1000, ""Select C,D WHERE A = ""&amp;INDIRECT(ADDRESS(6,(ROW()-5)))&amp;"""",0))"),"")</f>
        <v/>
      </c>
      <c r="D607" s="140"/>
    </row>
    <row r="608" spans="1:4" ht="13.2">
      <c r="A608" s="193"/>
      <c r="B608" s="173"/>
      <c r="C608" s="139" t="str">
        <f ca="1">IFERROR(__xludf.DUMMYFUNCTION("if(ISBLANK(INDIRECT(ADDRESS(6,(ROW()-5)))),,QUERY('NPC List'!$1:$1000, ""Select C,D WHERE A = ""&amp;INDIRECT(ADDRESS(6,(ROW()-5)))&amp;"""",0))"),"")</f>
        <v/>
      </c>
      <c r="D608" s="140"/>
    </row>
    <row r="609" spans="1:4" ht="13.2">
      <c r="A609" s="193"/>
      <c r="B609" s="173"/>
      <c r="C609" s="139" t="str">
        <f ca="1">IFERROR(__xludf.DUMMYFUNCTION("if(ISBLANK(INDIRECT(ADDRESS(6,(ROW()-5)))),,QUERY('NPC List'!$1:$1000, ""Select C,D WHERE A = ""&amp;INDIRECT(ADDRESS(6,(ROW()-5)))&amp;"""",0))"),"")</f>
        <v/>
      </c>
      <c r="D609" s="140"/>
    </row>
    <row r="610" spans="1:4" ht="13.2">
      <c r="A610" s="193"/>
      <c r="B610" s="173"/>
      <c r="C610" s="139" t="str">
        <f ca="1">IFERROR(__xludf.DUMMYFUNCTION("if(ISBLANK(INDIRECT(ADDRESS(6,(ROW()-5)))),,QUERY('NPC List'!$1:$1000, ""Select C,D WHERE A = ""&amp;INDIRECT(ADDRESS(6,(ROW()-5)))&amp;"""",0))"),"")</f>
        <v/>
      </c>
      <c r="D610" s="140"/>
    </row>
    <row r="611" spans="1:4" ht="13.2">
      <c r="A611" s="193"/>
      <c r="B611" s="173"/>
      <c r="C611" s="139" t="str">
        <f ca="1">IFERROR(__xludf.DUMMYFUNCTION("if(ISBLANK(INDIRECT(ADDRESS(6,(ROW()-5)))),,QUERY('NPC List'!$1:$1000, ""Select C,D WHERE A = ""&amp;INDIRECT(ADDRESS(6,(ROW()-5)))&amp;"""",0))"),"")</f>
        <v/>
      </c>
      <c r="D611" s="140"/>
    </row>
    <row r="612" spans="1:4" ht="13.2">
      <c r="A612" s="193"/>
      <c r="B612" s="173"/>
      <c r="C612" s="139" t="str">
        <f ca="1">IFERROR(__xludf.DUMMYFUNCTION("if(ISBLANK(INDIRECT(ADDRESS(6,(ROW()-5)))),,QUERY('NPC List'!$1:$1000, ""Select C,D WHERE A = ""&amp;INDIRECT(ADDRESS(6,(ROW()-5)))&amp;"""",0))"),"")</f>
        <v/>
      </c>
      <c r="D612" s="140"/>
    </row>
    <row r="613" spans="1:4" ht="13.2">
      <c r="A613" s="193"/>
      <c r="B613" s="173"/>
      <c r="C613" s="139" t="str">
        <f ca="1">IFERROR(__xludf.DUMMYFUNCTION("if(ISBLANK(INDIRECT(ADDRESS(6,(ROW()-5)))),,QUERY('NPC List'!$1:$1000, ""Select C,D WHERE A = ""&amp;INDIRECT(ADDRESS(6,(ROW()-5)))&amp;"""",0))"),"")</f>
        <v/>
      </c>
      <c r="D613" s="140"/>
    </row>
    <row r="614" spans="1:4" ht="13.2">
      <c r="A614" s="193"/>
      <c r="B614" s="173"/>
      <c r="C614" s="139" t="str">
        <f ca="1">IFERROR(__xludf.DUMMYFUNCTION("if(ISBLANK(INDIRECT(ADDRESS(6,(ROW()-5)))),,QUERY('NPC List'!$1:$1000, ""Select C,D WHERE A = ""&amp;INDIRECT(ADDRESS(6,(ROW()-5)))&amp;"""",0))"),"")</f>
        <v/>
      </c>
      <c r="D614" s="140"/>
    </row>
    <row r="615" spans="1:4" ht="13.2">
      <c r="A615" s="193"/>
      <c r="B615" s="173"/>
      <c r="C615" s="139" t="str">
        <f ca="1">IFERROR(__xludf.DUMMYFUNCTION("if(ISBLANK(INDIRECT(ADDRESS(6,(ROW()-5)))),,QUERY('NPC List'!$1:$1000, ""Select C,D WHERE A = ""&amp;INDIRECT(ADDRESS(6,(ROW()-5)))&amp;"""",0))"),"")</f>
        <v/>
      </c>
      <c r="D615" s="140"/>
    </row>
    <row r="616" spans="1:4" ht="13.2">
      <c r="A616" s="193"/>
      <c r="B616" s="173"/>
      <c r="C616" s="139" t="str">
        <f ca="1">IFERROR(__xludf.DUMMYFUNCTION("if(ISBLANK(INDIRECT(ADDRESS(6,(ROW()-5)))),,QUERY('NPC List'!$1:$1000, ""Select C,D WHERE A = ""&amp;INDIRECT(ADDRESS(6,(ROW()-5)))&amp;"""",0))"),"")</f>
        <v/>
      </c>
      <c r="D616" s="140"/>
    </row>
    <row r="617" spans="1:4" ht="13.2">
      <c r="A617" s="193"/>
      <c r="B617" s="173"/>
      <c r="C617" s="139" t="str">
        <f ca="1">IFERROR(__xludf.DUMMYFUNCTION("if(ISBLANK(INDIRECT(ADDRESS(6,(ROW()-5)))),,QUERY('NPC List'!$1:$1000, ""Select C,D WHERE A = ""&amp;INDIRECT(ADDRESS(6,(ROW()-5)))&amp;"""",0))"),"")</f>
        <v/>
      </c>
      <c r="D617" s="140"/>
    </row>
    <row r="618" spans="1:4" ht="13.2">
      <c r="A618" s="193"/>
      <c r="B618" s="173"/>
      <c r="C618" s="139" t="str">
        <f ca="1">IFERROR(__xludf.DUMMYFUNCTION("if(ISBLANK(INDIRECT(ADDRESS(6,(ROW()-5)))),,QUERY('NPC List'!$1:$1000, ""Select C,D WHERE A = ""&amp;INDIRECT(ADDRESS(6,(ROW()-5)))&amp;"""",0))"),"")</f>
        <v/>
      </c>
      <c r="D618" s="140"/>
    </row>
    <row r="619" spans="1:4" ht="13.2">
      <c r="A619" s="193"/>
      <c r="B619" s="173"/>
      <c r="C619" s="139" t="str">
        <f ca="1">IFERROR(__xludf.DUMMYFUNCTION("if(ISBLANK(INDIRECT(ADDRESS(6,(ROW()-5)))),,QUERY('NPC List'!$1:$1000, ""Select C,D WHERE A = ""&amp;INDIRECT(ADDRESS(6,(ROW()-5)))&amp;"""",0))"),"")</f>
        <v/>
      </c>
      <c r="D619" s="140"/>
    </row>
    <row r="620" spans="1:4" ht="13.2">
      <c r="A620" s="193"/>
      <c r="B620" s="173"/>
      <c r="C620" s="139" t="str">
        <f ca="1">IFERROR(__xludf.DUMMYFUNCTION("if(ISBLANK(INDIRECT(ADDRESS(6,(ROW()-5)))),,QUERY('NPC List'!$1:$1000, ""Select C,D WHERE A = ""&amp;INDIRECT(ADDRESS(6,(ROW()-5)))&amp;"""",0))"),"")</f>
        <v/>
      </c>
      <c r="D620" s="140"/>
    </row>
    <row r="621" spans="1:4" ht="13.2">
      <c r="A621" s="193"/>
      <c r="B621" s="173"/>
      <c r="C621" s="139" t="str">
        <f ca="1">IFERROR(__xludf.DUMMYFUNCTION("if(ISBLANK(INDIRECT(ADDRESS(6,(ROW()-5)))),,QUERY('NPC List'!$1:$1000, ""Select C,D WHERE A = ""&amp;INDIRECT(ADDRESS(6,(ROW()-5)))&amp;"""",0))"),"")</f>
        <v/>
      </c>
      <c r="D621" s="140"/>
    </row>
    <row r="622" spans="1:4" ht="13.2">
      <c r="A622" s="193"/>
      <c r="B622" s="173"/>
      <c r="C622" s="139" t="str">
        <f ca="1">IFERROR(__xludf.DUMMYFUNCTION("if(ISBLANK(INDIRECT(ADDRESS(6,(ROW()-5)))),,QUERY('NPC List'!$1:$1000, ""Select C,D WHERE A = ""&amp;INDIRECT(ADDRESS(6,(ROW()-5)))&amp;"""",0))"),"")</f>
        <v/>
      </c>
      <c r="D622" s="140"/>
    </row>
    <row r="623" spans="1:4" ht="13.2">
      <c r="A623" s="193"/>
      <c r="B623" s="173"/>
      <c r="C623" s="139" t="str">
        <f ca="1">IFERROR(__xludf.DUMMYFUNCTION("if(ISBLANK(INDIRECT(ADDRESS(6,(ROW()-5)))),,QUERY('NPC List'!$1:$1000, ""Select C,D WHERE A = ""&amp;INDIRECT(ADDRESS(6,(ROW()-5)))&amp;"""",0))"),"")</f>
        <v/>
      </c>
      <c r="D623" s="140"/>
    </row>
    <row r="624" spans="1:4" ht="13.2">
      <c r="A624" s="193"/>
      <c r="B624" s="173"/>
      <c r="C624" s="139" t="str">
        <f ca="1">IFERROR(__xludf.DUMMYFUNCTION("if(ISBLANK(INDIRECT(ADDRESS(6,(ROW()-5)))),,QUERY('NPC List'!$1:$1000, ""Select C,D WHERE A = ""&amp;INDIRECT(ADDRESS(6,(ROW()-5)))&amp;"""",0))"),"")</f>
        <v/>
      </c>
      <c r="D624" s="140"/>
    </row>
    <row r="625" spans="1:4" ht="13.2">
      <c r="A625" s="193"/>
      <c r="B625" s="173"/>
      <c r="C625" s="139" t="str">
        <f ca="1">IFERROR(__xludf.DUMMYFUNCTION("if(ISBLANK(INDIRECT(ADDRESS(6,(ROW()-5)))),,QUERY('NPC List'!$1:$1000, ""Select C,D WHERE A = ""&amp;INDIRECT(ADDRESS(6,(ROW()-5)))&amp;"""",0))"),"")</f>
        <v/>
      </c>
      <c r="D625" s="140"/>
    </row>
    <row r="626" spans="1:4" ht="13.2">
      <c r="A626" s="193"/>
      <c r="B626" s="173"/>
      <c r="C626" s="139" t="str">
        <f ca="1">IFERROR(__xludf.DUMMYFUNCTION("if(ISBLANK(INDIRECT(ADDRESS(6,(ROW()-5)))),,QUERY('NPC List'!$1:$1000, ""Select C,D WHERE A = ""&amp;INDIRECT(ADDRESS(6,(ROW()-5)))&amp;"""",0))"),"")</f>
        <v/>
      </c>
      <c r="D626" s="140"/>
    </row>
    <row r="627" spans="1:4" ht="13.2">
      <c r="A627" s="193"/>
      <c r="B627" s="173"/>
      <c r="C627" s="139" t="str">
        <f ca="1">IFERROR(__xludf.DUMMYFUNCTION("if(ISBLANK(INDIRECT(ADDRESS(6,(ROW()-5)))),,QUERY('NPC List'!$1:$1000, ""Select C,D WHERE A = ""&amp;INDIRECT(ADDRESS(6,(ROW()-5)))&amp;"""",0))"),"")</f>
        <v/>
      </c>
      <c r="D627" s="140"/>
    </row>
    <row r="628" spans="1:4" ht="13.2">
      <c r="A628" s="193"/>
      <c r="B628" s="173"/>
      <c r="C628" s="139" t="str">
        <f ca="1">IFERROR(__xludf.DUMMYFUNCTION("if(ISBLANK(INDIRECT(ADDRESS(6,(ROW()-5)))),,QUERY('NPC List'!$1:$1000, ""Select C,D WHERE A = ""&amp;INDIRECT(ADDRESS(6,(ROW()-5)))&amp;"""",0))"),"")</f>
        <v/>
      </c>
      <c r="D628" s="140"/>
    </row>
    <row r="629" spans="1:4" ht="13.2">
      <c r="A629" s="193"/>
      <c r="B629" s="173"/>
      <c r="C629" s="139" t="str">
        <f ca="1">IFERROR(__xludf.DUMMYFUNCTION("if(ISBLANK(INDIRECT(ADDRESS(6,(ROW()-5)))),,QUERY('NPC List'!$1:$1000, ""Select C,D WHERE A = ""&amp;INDIRECT(ADDRESS(6,(ROW()-5)))&amp;"""",0))"),"")</f>
        <v/>
      </c>
      <c r="D629" s="140"/>
    </row>
    <row r="630" spans="1:4" ht="13.2">
      <c r="A630" s="193"/>
      <c r="B630" s="173"/>
      <c r="C630" s="139" t="str">
        <f ca="1">IFERROR(__xludf.DUMMYFUNCTION("if(ISBLANK(INDIRECT(ADDRESS(6,(ROW()-5)))),,QUERY('NPC List'!$1:$1000, ""Select C,D WHERE A = ""&amp;INDIRECT(ADDRESS(6,(ROW()-5)))&amp;"""",0))"),"")</f>
        <v/>
      </c>
      <c r="D630" s="140"/>
    </row>
    <row r="631" spans="1:4" ht="13.2">
      <c r="A631" s="193"/>
      <c r="B631" s="173"/>
      <c r="C631" s="139" t="str">
        <f ca="1">IFERROR(__xludf.DUMMYFUNCTION("if(ISBLANK(INDIRECT(ADDRESS(6,(ROW()-5)))),,QUERY('NPC List'!$1:$1000, ""Select C,D WHERE A = ""&amp;INDIRECT(ADDRESS(6,(ROW()-5)))&amp;"""",0))"),"")</f>
        <v/>
      </c>
      <c r="D631" s="140"/>
    </row>
    <row r="632" spans="1:4" ht="13.2">
      <c r="A632" s="193"/>
      <c r="B632" s="173"/>
      <c r="C632" s="139" t="str">
        <f ca="1">IFERROR(__xludf.DUMMYFUNCTION("if(ISBLANK(INDIRECT(ADDRESS(6,(ROW()-5)))),,QUERY('NPC List'!$1:$1000, ""Select C,D WHERE A = ""&amp;INDIRECT(ADDRESS(6,(ROW()-5)))&amp;"""",0))"),"")</f>
        <v/>
      </c>
      <c r="D632" s="140"/>
    </row>
    <row r="633" spans="1:4" ht="13.2">
      <c r="A633" s="193"/>
      <c r="B633" s="173"/>
      <c r="C633" s="139" t="str">
        <f ca="1">IFERROR(__xludf.DUMMYFUNCTION("if(ISBLANK(INDIRECT(ADDRESS(6,(ROW()-5)))),,QUERY('NPC List'!$1:$1000, ""Select C,D WHERE A = ""&amp;INDIRECT(ADDRESS(6,(ROW()-5)))&amp;"""",0))"),"")</f>
        <v/>
      </c>
      <c r="D633" s="140"/>
    </row>
    <row r="634" spans="1:4" ht="13.2">
      <c r="A634" s="193"/>
      <c r="B634" s="173"/>
      <c r="C634" s="139" t="str">
        <f ca="1">IFERROR(__xludf.DUMMYFUNCTION("if(ISBLANK(INDIRECT(ADDRESS(6,(ROW()-5)))),,QUERY('NPC List'!$1:$1000, ""Select C,D WHERE A = ""&amp;INDIRECT(ADDRESS(6,(ROW()-5)))&amp;"""",0))"),"")</f>
        <v/>
      </c>
      <c r="D634" s="140"/>
    </row>
    <row r="635" spans="1:4" ht="13.2">
      <c r="A635" s="193"/>
      <c r="B635" s="173"/>
      <c r="C635" s="139" t="str">
        <f ca="1">IFERROR(__xludf.DUMMYFUNCTION("if(ISBLANK(INDIRECT(ADDRESS(6,(ROW()-5)))),,QUERY('NPC List'!$1:$1000, ""Select C,D WHERE A = ""&amp;INDIRECT(ADDRESS(6,(ROW()-5)))&amp;"""",0))"),"")</f>
        <v/>
      </c>
      <c r="D635" s="140"/>
    </row>
    <row r="636" spans="1:4" ht="13.2">
      <c r="A636" s="193"/>
      <c r="B636" s="173"/>
      <c r="C636" s="139" t="str">
        <f ca="1">IFERROR(__xludf.DUMMYFUNCTION("if(ISBLANK(INDIRECT(ADDRESS(6,(ROW()-5)))),,QUERY('NPC List'!$1:$1000, ""Select C,D WHERE A = ""&amp;INDIRECT(ADDRESS(6,(ROW()-5)))&amp;"""",0))"),"")</f>
        <v/>
      </c>
      <c r="D636" s="140"/>
    </row>
    <row r="637" spans="1:4" ht="13.2">
      <c r="A637" s="193"/>
      <c r="B637" s="173"/>
      <c r="C637" s="139" t="str">
        <f ca="1">IFERROR(__xludf.DUMMYFUNCTION("if(ISBLANK(INDIRECT(ADDRESS(6,(ROW()-5)))),,QUERY('NPC List'!$1:$1000, ""Select C,D WHERE A = ""&amp;INDIRECT(ADDRESS(6,(ROW()-5)))&amp;"""",0))"),"")</f>
        <v/>
      </c>
      <c r="D637" s="140"/>
    </row>
    <row r="638" spans="1:4" ht="13.2">
      <c r="A638" s="193"/>
      <c r="B638" s="173"/>
      <c r="C638" s="139" t="str">
        <f ca="1">IFERROR(__xludf.DUMMYFUNCTION("if(ISBLANK(INDIRECT(ADDRESS(6,(ROW()-5)))),,QUERY('NPC List'!$1:$1000, ""Select C,D WHERE A = ""&amp;INDIRECT(ADDRESS(6,(ROW()-5)))&amp;"""",0))"),"")</f>
        <v/>
      </c>
      <c r="D638" s="140"/>
    </row>
    <row r="639" spans="1:4" ht="13.2">
      <c r="A639" s="193"/>
      <c r="B639" s="173"/>
      <c r="C639" s="139" t="str">
        <f ca="1">IFERROR(__xludf.DUMMYFUNCTION("if(ISBLANK(INDIRECT(ADDRESS(6,(ROW()-5)))),,QUERY('NPC List'!$1:$1000, ""Select C,D WHERE A = ""&amp;INDIRECT(ADDRESS(6,(ROW()-5)))&amp;"""",0))"),"")</f>
        <v/>
      </c>
      <c r="D639" s="140"/>
    </row>
    <row r="640" spans="1:4" ht="13.2">
      <c r="A640" s="193"/>
      <c r="B640" s="173"/>
      <c r="C640" s="139" t="str">
        <f ca="1">IFERROR(__xludf.DUMMYFUNCTION("if(ISBLANK(INDIRECT(ADDRESS(6,(ROW()-5)))),,QUERY('NPC List'!$1:$1000, ""Select C,D WHERE A = ""&amp;INDIRECT(ADDRESS(6,(ROW()-5)))&amp;"""",0))"),"")</f>
        <v/>
      </c>
      <c r="D640" s="140"/>
    </row>
    <row r="641" spans="1:4" ht="13.2">
      <c r="A641" s="193"/>
      <c r="B641" s="173"/>
      <c r="C641" s="139" t="str">
        <f ca="1">IFERROR(__xludf.DUMMYFUNCTION("if(ISBLANK(INDIRECT(ADDRESS(6,(ROW()-5)))),,QUERY('NPC List'!$1:$1000, ""Select C,D WHERE A = ""&amp;INDIRECT(ADDRESS(6,(ROW()-5)))&amp;"""",0))"),"")</f>
        <v/>
      </c>
      <c r="D641" s="140"/>
    </row>
    <row r="642" spans="1:4" ht="13.2">
      <c r="A642" s="193"/>
      <c r="B642" s="173"/>
      <c r="C642" s="139" t="str">
        <f ca="1">IFERROR(__xludf.DUMMYFUNCTION("if(ISBLANK(INDIRECT(ADDRESS(6,(ROW()-5)))),,QUERY('NPC List'!$1:$1000, ""Select C,D WHERE A = ""&amp;INDIRECT(ADDRESS(6,(ROW()-5)))&amp;"""",0))"),"")</f>
        <v/>
      </c>
      <c r="D642" s="140"/>
    </row>
    <row r="643" spans="1:4" ht="13.2">
      <c r="A643" s="193"/>
      <c r="B643" s="173"/>
      <c r="C643" s="139" t="str">
        <f ca="1">IFERROR(__xludf.DUMMYFUNCTION("if(ISBLANK(INDIRECT(ADDRESS(6,(ROW()-5)))),,QUERY('NPC List'!$1:$1000, ""Select C,D WHERE A = ""&amp;INDIRECT(ADDRESS(6,(ROW()-5)))&amp;"""",0))"),"")</f>
        <v/>
      </c>
      <c r="D643" s="140"/>
    </row>
    <row r="644" spans="1:4" ht="13.2">
      <c r="A644" s="193"/>
      <c r="B644" s="173"/>
      <c r="C644" s="139" t="str">
        <f ca="1">IFERROR(__xludf.DUMMYFUNCTION("if(ISBLANK(INDIRECT(ADDRESS(6,(ROW()-5)))),,QUERY('NPC List'!$1:$1000, ""Select C,D WHERE A = ""&amp;INDIRECT(ADDRESS(6,(ROW()-5)))&amp;"""",0))"),"")</f>
        <v/>
      </c>
      <c r="D644" s="140"/>
    </row>
    <row r="645" spans="1:4" ht="13.2">
      <c r="A645" s="193"/>
      <c r="B645" s="173"/>
      <c r="C645" s="139" t="str">
        <f ca="1">IFERROR(__xludf.DUMMYFUNCTION("if(ISBLANK(INDIRECT(ADDRESS(6,(ROW()-5)))),,QUERY('NPC List'!$1:$1000, ""Select C,D WHERE A = ""&amp;INDIRECT(ADDRESS(6,(ROW()-5)))&amp;"""",0))"),"")</f>
        <v/>
      </c>
      <c r="D645" s="140"/>
    </row>
    <row r="646" spans="1:4" ht="13.2">
      <c r="A646" s="193"/>
      <c r="B646" s="173"/>
      <c r="C646" s="139" t="str">
        <f ca="1">IFERROR(__xludf.DUMMYFUNCTION("if(ISBLANK(INDIRECT(ADDRESS(6,(ROW()-5)))),,QUERY('NPC List'!$1:$1000, ""Select C,D WHERE A = ""&amp;INDIRECT(ADDRESS(6,(ROW()-5)))&amp;"""",0))"),"")</f>
        <v/>
      </c>
      <c r="D646" s="140"/>
    </row>
    <row r="647" spans="1:4" ht="13.2">
      <c r="A647" s="193"/>
      <c r="B647" s="173"/>
      <c r="C647" s="139" t="str">
        <f ca="1">IFERROR(__xludf.DUMMYFUNCTION("if(ISBLANK(INDIRECT(ADDRESS(6,(ROW()-5)))),,QUERY('NPC List'!$1:$1000, ""Select C,D WHERE A = ""&amp;INDIRECT(ADDRESS(6,(ROW()-5)))&amp;"""",0))"),"")</f>
        <v/>
      </c>
      <c r="D647" s="140"/>
    </row>
    <row r="648" spans="1:4" ht="13.2">
      <c r="A648" s="193"/>
      <c r="B648" s="173"/>
      <c r="C648" s="139" t="str">
        <f ca="1">IFERROR(__xludf.DUMMYFUNCTION("if(ISBLANK(INDIRECT(ADDRESS(6,(ROW()-5)))),,QUERY('NPC List'!$1:$1000, ""Select C,D WHERE A = ""&amp;INDIRECT(ADDRESS(6,(ROW()-5)))&amp;"""",0))"),"")</f>
        <v/>
      </c>
      <c r="D648" s="140"/>
    </row>
    <row r="649" spans="1:4" ht="13.2">
      <c r="A649" s="193"/>
      <c r="B649" s="173"/>
      <c r="C649" s="139" t="str">
        <f ca="1">IFERROR(__xludf.DUMMYFUNCTION("if(ISBLANK(INDIRECT(ADDRESS(6,(ROW()-5)))),,QUERY('NPC List'!$1:$1000, ""Select C,D WHERE A = ""&amp;INDIRECT(ADDRESS(6,(ROW()-5)))&amp;"""",0))"),"")</f>
        <v/>
      </c>
      <c r="D649" s="140"/>
    </row>
    <row r="650" spans="1:4" ht="13.2">
      <c r="A650" s="193"/>
      <c r="B650" s="173"/>
      <c r="C650" s="139" t="str">
        <f ca="1">IFERROR(__xludf.DUMMYFUNCTION("if(ISBLANK(INDIRECT(ADDRESS(6,(ROW()-5)))),,QUERY('NPC List'!$1:$1000, ""Select C,D WHERE A = ""&amp;INDIRECT(ADDRESS(6,(ROW()-5)))&amp;"""",0))"),"")</f>
        <v/>
      </c>
      <c r="D650" s="140"/>
    </row>
    <row r="651" spans="1:4" ht="13.2">
      <c r="A651" s="193"/>
      <c r="B651" s="173"/>
      <c r="C651" s="139" t="str">
        <f ca="1">IFERROR(__xludf.DUMMYFUNCTION("if(ISBLANK(INDIRECT(ADDRESS(6,(ROW()-5)))),,QUERY('NPC List'!$1:$1000, ""Select C,D WHERE A = ""&amp;INDIRECT(ADDRESS(6,(ROW()-5)))&amp;"""",0))"),"")</f>
        <v/>
      </c>
      <c r="D651" s="140"/>
    </row>
    <row r="652" spans="1:4" ht="13.2">
      <c r="A652" s="193"/>
      <c r="B652" s="173"/>
      <c r="C652" s="139" t="str">
        <f ca="1">IFERROR(__xludf.DUMMYFUNCTION("if(ISBLANK(INDIRECT(ADDRESS(6,(ROW()-5)))),,QUERY('NPC List'!$1:$1000, ""Select C,D WHERE A = ""&amp;INDIRECT(ADDRESS(6,(ROW()-5)))&amp;"""",0))"),"")</f>
        <v/>
      </c>
      <c r="D652" s="140"/>
    </row>
    <row r="653" spans="1:4" ht="13.2">
      <c r="A653" s="193"/>
      <c r="B653" s="173"/>
      <c r="C653" s="139" t="str">
        <f ca="1">IFERROR(__xludf.DUMMYFUNCTION("if(ISBLANK(INDIRECT(ADDRESS(6,(ROW()-5)))),,QUERY('NPC List'!$1:$1000, ""Select C,D WHERE A = ""&amp;INDIRECT(ADDRESS(6,(ROW()-5)))&amp;"""",0))"),"")</f>
        <v/>
      </c>
      <c r="D653" s="140"/>
    </row>
    <row r="654" spans="1:4" ht="13.2">
      <c r="A654" s="193"/>
      <c r="B654" s="173"/>
      <c r="C654" s="139" t="str">
        <f ca="1">IFERROR(__xludf.DUMMYFUNCTION("if(ISBLANK(INDIRECT(ADDRESS(6,(ROW()-5)))),,QUERY('NPC List'!$1:$1000, ""Select C,D WHERE A = ""&amp;INDIRECT(ADDRESS(6,(ROW()-5)))&amp;"""",0))"),"")</f>
        <v/>
      </c>
      <c r="D654" s="140"/>
    </row>
    <row r="655" spans="1:4" ht="13.2">
      <c r="A655" s="193"/>
      <c r="B655" s="173"/>
      <c r="C655" s="139" t="str">
        <f ca="1">IFERROR(__xludf.DUMMYFUNCTION("if(ISBLANK(INDIRECT(ADDRESS(6,(ROW()-5)))),,QUERY('NPC List'!$1:$1000, ""Select C,D WHERE A = ""&amp;INDIRECT(ADDRESS(6,(ROW()-5)))&amp;"""",0))"),"")</f>
        <v/>
      </c>
      <c r="D655" s="140"/>
    </row>
    <row r="656" spans="1:4" ht="13.2">
      <c r="A656" s="193"/>
      <c r="B656" s="173"/>
      <c r="C656" s="139" t="str">
        <f ca="1">IFERROR(__xludf.DUMMYFUNCTION("if(ISBLANK(INDIRECT(ADDRESS(6,(ROW()-5)))),,QUERY('NPC List'!$1:$1000, ""Select C,D WHERE A = ""&amp;INDIRECT(ADDRESS(6,(ROW()-5)))&amp;"""",0))"),"")</f>
        <v/>
      </c>
      <c r="D656" s="140"/>
    </row>
    <row r="657" spans="1:4" ht="13.2">
      <c r="A657" s="193"/>
      <c r="B657" s="173"/>
      <c r="C657" s="139" t="str">
        <f ca="1">IFERROR(__xludf.DUMMYFUNCTION("if(ISBLANK(INDIRECT(ADDRESS(6,(ROW()-5)))),,QUERY('NPC List'!$1:$1000, ""Select C,D WHERE A = ""&amp;INDIRECT(ADDRESS(6,(ROW()-5)))&amp;"""",0))"),"")</f>
        <v/>
      </c>
      <c r="D657" s="140"/>
    </row>
    <row r="658" spans="1:4" ht="13.2">
      <c r="A658" s="193"/>
      <c r="B658" s="173"/>
      <c r="C658" s="139" t="str">
        <f ca="1">IFERROR(__xludf.DUMMYFUNCTION("if(ISBLANK(INDIRECT(ADDRESS(6,(ROW()-5)))),,QUERY('NPC List'!$1:$1000, ""Select C,D WHERE A = ""&amp;INDIRECT(ADDRESS(6,(ROW()-5)))&amp;"""",0))"),"")</f>
        <v/>
      </c>
      <c r="D658" s="140"/>
    </row>
    <row r="659" spans="1:4" ht="13.2">
      <c r="A659" s="193"/>
      <c r="B659" s="173"/>
      <c r="C659" s="139" t="str">
        <f ca="1">IFERROR(__xludf.DUMMYFUNCTION("if(ISBLANK(INDIRECT(ADDRESS(6,(ROW()-5)))),,QUERY('NPC List'!$1:$1000, ""Select C,D WHERE A = ""&amp;INDIRECT(ADDRESS(6,(ROW()-5)))&amp;"""",0))"),"")</f>
        <v/>
      </c>
      <c r="D659" s="140"/>
    </row>
    <row r="660" spans="1:4" ht="13.2">
      <c r="A660" s="193"/>
      <c r="B660" s="173"/>
      <c r="C660" s="139" t="str">
        <f ca="1">IFERROR(__xludf.DUMMYFUNCTION("if(ISBLANK(INDIRECT(ADDRESS(6,(ROW()-5)))),,QUERY('NPC List'!$1:$1000, ""Select C,D WHERE A = ""&amp;INDIRECT(ADDRESS(6,(ROW()-5)))&amp;"""",0))"),"")</f>
        <v/>
      </c>
      <c r="D660" s="140"/>
    </row>
    <row r="661" spans="1:4" ht="13.2">
      <c r="A661" s="193"/>
      <c r="B661" s="173"/>
      <c r="C661" s="139" t="str">
        <f ca="1">IFERROR(__xludf.DUMMYFUNCTION("if(ISBLANK(INDIRECT(ADDRESS(6,(ROW()-5)))),,QUERY('NPC List'!$1:$1000, ""Select C,D WHERE A = ""&amp;INDIRECT(ADDRESS(6,(ROW()-5)))&amp;"""",0))"),"")</f>
        <v/>
      </c>
      <c r="D661" s="140"/>
    </row>
    <row r="662" spans="1:4" ht="13.2">
      <c r="A662" s="193"/>
      <c r="B662" s="173"/>
      <c r="C662" s="139" t="str">
        <f ca="1">IFERROR(__xludf.DUMMYFUNCTION("if(ISBLANK(INDIRECT(ADDRESS(6,(ROW()-5)))),,QUERY('NPC List'!$1:$1000, ""Select C,D WHERE A = ""&amp;INDIRECT(ADDRESS(6,(ROW()-5)))&amp;"""",0))"),"")</f>
        <v/>
      </c>
      <c r="D662" s="140"/>
    </row>
    <row r="663" spans="1:4" ht="13.2">
      <c r="A663" s="193"/>
      <c r="B663" s="173"/>
      <c r="C663" s="139" t="str">
        <f ca="1">IFERROR(__xludf.DUMMYFUNCTION("if(ISBLANK(INDIRECT(ADDRESS(6,(ROW()-5)))),,QUERY('NPC List'!$1:$1000, ""Select C,D WHERE A = ""&amp;INDIRECT(ADDRESS(6,(ROW()-5)))&amp;"""",0))"),"")</f>
        <v/>
      </c>
      <c r="D663" s="140"/>
    </row>
    <row r="664" spans="1:4" ht="13.2">
      <c r="A664" s="193"/>
      <c r="B664" s="173"/>
      <c r="C664" s="139" t="str">
        <f ca="1">IFERROR(__xludf.DUMMYFUNCTION("if(ISBLANK(INDIRECT(ADDRESS(6,(ROW()-5)))),,QUERY('NPC List'!$1:$1000, ""Select C,D WHERE A = ""&amp;INDIRECT(ADDRESS(6,(ROW()-5)))&amp;"""",0))"),"")</f>
        <v/>
      </c>
      <c r="D664" s="140"/>
    </row>
    <row r="665" spans="1:4" ht="13.2">
      <c r="A665" s="193"/>
      <c r="B665" s="173"/>
      <c r="C665" s="139" t="str">
        <f ca="1">IFERROR(__xludf.DUMMYFUNCTION("if(ISBLANK(INDIRECT(ADDRESS(6,(ROW()-5)))),,QUERY('NPC List'!$1:$1000, ""Select C,D WHERE A = ""&amp;INDIRECT(ADDRESS(6,(ROW()-5)))&amp;"""",0))"),"")</f>
        <v/>
      </c>
      <c r="D665" s="140"/>
    </row>
    <row r="666" spans="1:4" ht="13.2">
      <c r="A666" s="193"/>
      <c r="B666" s="173"/>
      <c r="C666" s="139" t="str">
        <f ca="1">IFERROR(__xludf.DUMMYFUNCTION("if(ISBLANK(INDIRECT(ADDRESS(6,(ROW()-5)))),,QUERY('NPC List'!$1:$1000, ""Select C,D WHERE A = ""&amp;INDIRECT(ADDRESS(6,(ROW()-5)))&amp;"""",0))"),"")</f>
        <v/>
      </c>
      <c r="D666" s="140"/>
    </row>
    <row r="667" spans="1:4" ht="13.2">
      <c r="A667" s="193"/>
      <c r="B667" s="173"/>
      <c r="C667" s="139" t="str">
        <f ca="1">IFERROR(__xludf.DUMMYFUNCTION("if(ISBLANK(INDIRECT(ADDRESS(6,(ROW()-5)))),,QUERY('NPC List'!$1:$1000, ""Select C,D WHERE A = ""&amp;INDIRECT(ADDRESS(6,(ROW()-5)))&amp;"""",0))"),"")</f>
        <v/>
      </c>
      <c r="D667" s="140"/>
    </row>
    <row r="668" spans="1:4" ht="13.2">
      <c r="A668" s="193"/>
      <c r="B668" s="173"/>
      <c r="C668" s="139" t="str">
        <f ca="1">IFERROR(__xludf.DUMMYFUNCTION("if(ISBLANK(INDIRECT(ADDRESS(6,(ROW()-5)))),,QUERY('NPC List'!$1:$1000, ""Select C,D WHERE A = ""&amp;INDIRECT(ADDRESS(6,(ROW()-5)))&amp;"""",0))"),"")</f>
        <v/>
      </c>
      <c r="D668" s="140"/>
    </row>
    <row r="669" spans="1:4" ht="13.2">
      <c r="A669" s="193"/>
      <c r="B669" s="173"/>
      <c r="C669" s="139" t="str">
        <f ca="1">IFERROR(__xludf.DUMMYFUNCTION("if(ISBLANK(INDIRECT(ADDRESS(6,(ROW()-5)))),,QUERY('NPC List'!$1:$1000, ""Select C,D WHERE A = ""&amp;INDIRECT(ADDRESS(6,(ROW()-5)))&amp;"""",0))"),"")</f>
        <v/>
      </c>
      <c r="D669" s="140"/>
    </row>
    <row r="670" spans="1:4" ht="13.2">
      <c r="A670" s="193"/>
      <c r="B670" s="173"/>
      <c r="C670" s="139" t="str">
        <f ca="1">IFERROR(__xludf.DUMMYFUNCTION("if(ISBLANK(INDIRECT(ADDRESS(6,(ROW()-5)))),,QUERY('NPC List'!$1:$1000, ""Select C,D WHERE A = ""&amp;INDIRECT(ADDRESS(6,(ROW()-5)))&amp;"""",0))"),"")</f>
        <v/>
      </c>
      <c r="D670" s="140"/>
    </row>
    <row r="671" spans="1:4" ht="13.2">
      <c r="A671" s="193"/>
      <c r="B671" s="173"/>
      <c r="C671" s="139" t="str">
        <f ca="1">IFERROR(__xludf.DUMMYFUNCTION("if(ISBLANK(INDIRECT(ADDRESS(6,(ROW()-5)))),,QUERY('NPC List'!$1:$1000, ""Select C,D WHERE A = ""&amp;INDIRECT(ADDRESS(6,(ROW()-5)))&amp;"""",0))"),"")</f>
        <v/>
      </c>
      <c r="D671" s="140"/>
    </row>
    <row r="672" spans="1:4" ht="13.2">
      <c r="A672" s="193"/>
      <c r="B672" s="173"/>
      <c r="C672" s="139" t="str">
        <f ca="1">IFERROR(__xludf.DUMMYFUNCTION("if(ISBLANK(INDIRECT(ADDRESS(6,(ROW()-5)))),,QUERY('NPC List'!$1:$1000, ""Select C,D WHERE A = ""&amp;INDIRECT(ADDRESS(6,(ROW()-5)))&amp;"""",0))"),"")</f>
        <v/>
      </c>
      <c r="D672" s="140"/>
    </row>
    <row r="673" spans="1:4" ht="13.2">
      <c r="A673" s="193"/>
      <c r="B673" s="173"/>
      <c r="C673" s="139" t="str">
        <f ca="1">IFERROR(__xludf.DUMMYFUNCTION("if(ISBLANK(INDIRECT(ADDRESS(6,(ROW()-5)))),,QUERY('NPC List'!$1:$1000, ""Select C,D WHERE A = ""&amp;INDIRECT(ADDRESS(6,(ROW()-5)))&amp;"""",0))"),"")</f>
        <v/>
      </c>
      <c r="D673" s="140"/>
    </row>
    <row r="674" spans="1:4" ht="13.2">
      <c r="A674" s="193"/>
      <c r="B674" s="173"/>
      <c r="C674" s="139" t="str">
        <f ca="1">IFERROR(__xludf.DUMMYFUNCTION("if(ISBLANK(INDIRECT(ADDRESS(6,(ROW()-5)))),,QUERY('NPC List'!$1:$1000, ""Select C,D WHERE A = ""&amp;INDIRECT(ADDRESS(6,(ROW()-5)))&amp;"""",0))"),"")</f>
        <v/>
      </c>
      <c r="D674" s="140"/>
    </row>
    <row r="675" spans="1:4" ht="13.2">
      <c r="A675" s="193"/>
      <c r="B675" s="173"/>
      <c r="C675" s="139" t="str">
        <f ca="1">IFERROR(__xludf.DUMMYFUNCTION("if(ISBLANK(INDIRECT(ADDRESS(6,(ROW()-5)))),,QUERY('NPC List'!$1:$1000, ""Select C,D WHERE A = ""&amp;INDIRECT(ADDRESS(6,(ROW()-5)))&amp;"""",0))"),"")</f>
        <v/>
      </c>
      <c r="D675" s="140"/>
    </row>
    <row r="676" spans="1:4" ht="13.2">
      <c r="A676" s="193"/>
      <c r="B676" s="173"/>
      <c r="C676" s="139" t="str">
        <f ca="1">IFERROR(__xludf.DUMMYFUNCTION("if(ISBLANK(INDIRECT(ADDRESS(6,(ROW()-5)))),,QUERY('NPC List'!$1:$1000, ""Select C,D WHERE A = ""&amp;INDIRECT(ADDRESS(6,(ROW()-5)))&amp;"""",0))"),"")</f>
        <v/>
      </c>
      <c r="D676" s="140"/>
    </row>
    <row r="677" spans="1:4" ht="13.2">
      <c r="A677" s="193"/>
      <c r="B677" s="173"/>
      <c r="C677" s="139" t="str">
        <f ca="1">IFERROR(__xludf.DUMMYFUNCTION("if(ISBLANK(INDIRECT(ADDRESS(6,(ROW()-5)))),,QUERY('NPC List'!$1:$1000, ""Select C,D WHERE A = ""&amp;INDIRECT(ADDRESS(6,(ROW()-5)))&amp;"""",0))"),"")</f>
        <v/>
      </c>
      <c r="D677" s="140"/>
    </row>
    <row r="678" spans="1:4" ht="13.2">
      <c r="A678" s="193"/>
      <c r="B678" s="173"/>
      <c r="C678" s="139" t="str">
        <f ca="1">IFERROR(__xludf.DUMMYFUNCTION("if(ISBLANK(INDIRECT(ADDRESS(6,(ROW()-5)))),,QUERY('NPC List'!$1:$1000, ""Select C,D WHERE A = ""&amp;INDIRECT(ADDRESS(6,(ROW()-5)))&amp;"""",0))"),"")</f>
        <v/>
      </c>
      <c r="D678" s="140"/>
    </row>
    <row r="679" spans="1:4" ht="13.2">
      <c r="A679" s="193"/>
      <c r="B679" s="173"/>
      <c r="C679" s="139" t="str">
        <f ca="1">IFERROR(__xludf.DUMMYFUNCTION("if(ISBLANK(INDIRECT(ADDRESS(6,(ROW()-5)))),,QUERY('NPC List'!$1:$1000, ""Select C,D WHERE A = ""&amp;INDIRECT(ADDRESS(6,(ROW()-5)))&amp;"""",0))"),"")</f>
        <v/>
      </c>
      <c r="D679" s="140"/>
    </row>
    <row r="680" spans="1:4" ht="13.2">
      <c r="A680" s="193"/>
      <c r="B680" s="173"/>
      <c r="C680" s="139" t="str">
        <f ca="1">IFERROR(__xludf.DUMMYFUNCTION("if(ISBLANK(INDIRECT(ADDRESS(6,(ROW()-5)))),,QUERY('NPC List'!$1:$1000, ""Select C,D WHERE A = ""&amp;INDIRECT(ADDRESS(6,(ROW()-5)))&amp;"""",0))"),"")</f>
        <v/>
      </c>
      <c r="D680" s="140"/>
    </row>
    <row r="681" spans="1:4" ht="13.2">
      <c r="A681" s="193"/>
      <c r="B681" s="173"/>
      <c r="C681" s="139" t="str">
        <f ca="1">IFERROR(__xludf.DUMMYFUNCTION("if(ISBLANK(INDIRECT(ADDRESS(6,(ROW()-5)))),,QUERY('NPC List'!$1:$1000, ""Select C,D WHERE A = ""&amp;INDIRECT(ADDRESS(6,(ROW()-5)))&amp;"""",0))"),"")</f>
        <v/>
      </c>
      <c r="D681" s="140"/>
    </row>
    <row r="682" spans="1:4" ht="13.2">
      <c r="A682" s="193"/>
      <c r="B682" s="173"/>
      <c r="C682" s="139" t="str">
        <f ca="1">IFERROR(__xludf.DUMMYFUNCTION("if(ISBLANK(INDIRECT(ADDRESS(6,(ROW()-5)))),,QUERY('NPC List'!$1:$1000, ""Select C,D WHERE A = ""&amp;INDIRECT(ADDRESS(6,(ROW()-5)))&amp;"""",0))"),"")</f>
        <v/>
      </c>
      <c r="D682" s="140"/>
    </row>
    <row r="683" spans="1:4" ht="13.2">
      <c r="A683" s="193"/>
      <c r="B683" s="173"/>
      <c r="C683" s="139" t="str">
        <f ca="1">IFERROR(__xludf.DUMMYFUNCTION("if(ISBLANK(INDIRECT(ADDRESS(6,(ROW()-5)))),,QUERY('NPC List'!$1:$1000, ""Select C,D WHERE A = ""&amp;INDIRECT(ADDRESS(6,(ROW()-5)))&amp;"""",0))"),"")</f>
        <v/>
      </c>
      <c r="D683" s="140"/>
    </row>
    <row r="684" spans="1:4" ht="13.2">
      <c r="A684" s="193"/>
      <c r="B684" s="173"/>
      <c r="C684" s="139" t="str">
        <f ca="1">IFERROR(__xludf.DUMMYFUNCTION("if(ISBLANK(INDIRECT(ADDRESS(6,(ROW()-5)))),,QUERY('NPC List'!$1:$1000, ""Select C,D WHERE A = ""&amp;INDIRECT(ADDRESS(6,(ROW()-5)))&amp;"""",0))"),"")</f>
        <v/>
      </c>
      <c r="D684" s="140"/>
    </row>
    <row r="685" spans="1:4" ht="13.2">
      <c r="A685" s="193"/>
      <c r="B685" s="173"/>
      <c r="C685" s="139" t="str">
        <f ca="1">IFERROR(__xludf.DUMMYFUNCTION("if(ISBLANK(INDIRECT(ADDRESS(6,(ROW()-5)))),,QUERY('NPC List'!$1:$1000, ""Select C,D WHERE A = ""&amp;INDIRECT(ADDRESS(6,(ROW()-5)))&amp;"""",0))"),"")</f>
        <v/>
      </c>
      <c r="D685" s="140"/>
    </row>
    <row r="686" spans="1:4" ht="13.2">
      <c r="A686" s="193"/>
      <c r="B686" s="173"/>
      <c r="C686" s="139" t="str">
        <f ca="1">IFERROR(__xludf.DUMMYFUNCTION("if(ISBLANK(INDIRECT(ADDRESS(6,(ROW()-5)))),,QUERY('NPC List'!$1:$1000, ""Select C,D WHERE A = ""&amp;INDIRECT(ADDRESS(6,(ROW()-5)))&amp;"""",0))"),"")</f>
        <v/>
      </c>
      <c r="D686" s="140"/>
    </row>
    <row r="687" spans="1:4" ht="13.2">
      <c r="A687" s="193"/>
      <c r="B687" s="173"/>
      <c r="C687" s="139" t="str">
        <f ca="1">IFERROR(__xludf.DUMMYFUNCTION("if(ISBLANK(INDIRECT(ADDRESS(6,(ROW()-5)))),,QUERY('NPC List'!$1:$1000, ""Select C,D WHERE A = ""&amp;INDIRECT(ADDRESS(6,(ROW()-5)))&amp;"""",0))"),"")</f>
        <v/>
      </c>
      <c r="D687" s="140"/>
    </row>
    <row r="688" spans="1:4" ht="13.2">
      <c r="A688" s="193"/>
      <c r="B688" s="173"/>
      <c r="C688" s="139" t="str">
        <f ca="1">IFERROR(__xludf.DUMMYFUNCTION("if(ISBLANK(INDIRECT(ADDRESS(6,(ROW()-5)))),,QUERY('NPC List'!$1:$1000, ""Select C,D WHERE A = ""&amp;INDIRECT(ADDRESS(6,(ROW()-5)))&amp;"""",0))"),"")</f>
        <v/>
      </c>
      <c r="D688" s="140"/>
    </row>
    <row r="689" spans="1:4" ht="13.2">
      <c r="A689" s="193"/>
      <c r="B689" s="173"/>
      <c r="C689" s="139" t="str">
        <f ca="1">IFERROR(__xludf.DUMMYFUNCTION("if(ISBLANK(INDIRECT(ADDRESS(6,(ROW()-5)))),,QUERY('NPC List'!$1:$1000, ""Select C,D WHERE A = ""&amp;INDIRECT(ADDRESS(6,(ROW()-5)))&amp;"""",0))"),"")</f>
        <v/>
      </c>
      <c r="D689" s="140"/>
    </row>
    <row r="690" spans="1:4" ht="13.2">
      <c r="A690" s="193"/>
      <c r="B690" s="173"/>
      <c r="C690" s="139" t="str">
        <f ca="1">IFERROR(__xludf.DUMMYFUNCTION("if(ISBLANK(INDIRECT(ADDRESS(6,(ROW()-5)))),,QUERY('NPC List'!$1:$1000, ""Select C,D WHERE A = ""&amp;INDIRECT(ADDRESS(6,(ROW()-5)))&amp;"""",0))"),"")</f>
        <v/>
      </c>
      <c r="D690" s="140"/>
    </row>
    <row r="691" spans="1:4" ht="13.2">
      <c r="A691" s="193"/>
      <c r="B691" s="173"/>
      <c r="C691" s="139" t="str">
        <f ca="1">IFERROR(__xludf.DUMMYFUNCTION("if(ISBLANK(INDIRECT(ADDRESS(6,(ROW()-5)))),,QUERY('NPC List'!$1:$1000, ""Select C,D WHERE A = ""&amp;INDIRECT(ADDRESS(6,(ROW()-5)))&amp;"""",0))"),"")</f>
        <v/>
      </c>
      <c r="D691" s="140"/>
    </row>
    <row r="692" spans="1:4" ht="13.2">
      <c r="A692" s="193"/>
      <c r="B692" s="173"/>
      <c r="C692" s="139" t="str">
        <f ca="1">IFERROR(__xludf.DUMMYFUNCTION("if(ISBLANK(INDIRECT(ADDRESS(6,(ROW()-5)))),,QUERY('NPC List'!$1:$1000, ""Select C,D WHERE A = ""&amp;INDIRECT(ADDRESS(6,(ROW()-5)))&amp;"""",0))"),"")</f>
        <v/>
      </c>
      <c r="D692" s="140"/>
    </row>
    <row r="693" spans="1:4" ht="13.2">
      <c r="A693" s="193"/>
      <c r="B693" s="173"/>
      <c r="C693" s="139" t="str">
        <f ca="1">IFERROR(__xludf.DUMMYFUNCTION("if(ISBLANK(INDIRECT(ADDRESS(6,(ROW()-5)))),,QUERY('NPC List'!$1:$1000, ""Select C,D WHERE A = ""&amp;INDIRECT(ADDRESS(6,(ROW()-5)))&amp;"""",0))"),"")</f>
        <v/>
      </c>
      <c r="D693" s="140"/>
    </row>
    <row r="694" spans="1:4" ht="13.2">
      <c r="A694" s="193"/>
      <c r="B694" s="173"/>
      <c r="C694" s="139" t="str">
        <f ca="1">IFERROR(__xludf.DUMMYFUNCTION("if(ISBLANK(INDIRECT(ADDRESS(6,(ROW()-5)))),,QUERY('NPC List'!$1:$1000, ""Select C,D WHERE A = ""&amp;INDIRECT(ADDRESS(6,(ROW()-5)))&amp;"""",0))"),"")</f>
        <v/>
      </c>
      <c r="D694" s="140"/>
    </row>
    <row r="695" spans="1:4" ht="13.2">
      <c r="A695" s="193"/>
      <c r="B695" s="173"/>
      <c r="C695" s="139" t="str">
        <f ca="1">IFERROR(__xludf.DUMMYFUNCTION("if(ISBLANK(INDIRECT(ADDRESS(6,(ROW()-5)))),,QUERY('NPC List'!$1:$1000, ""Select C,D WHERE A = ""&amp;INDIRECT(ADDRESS(6,(ROW()-5)))&amp;"""",0))"),"")</f>
        <v/>
      </c>
      <c r="D695" s="140"/>
    </row>
    <row r="696" spans="1:4" ht="13.2">
      <c r="A696" s="193"/>
      <c r="B696" s="173"/>
      <c r="C696" s="139" t="str">
        <f ca="1">IFERROR(__xludf.DUMMYFUNCTION("if(ISBLANK(INDIRECT(ADDRESS(6,(ROW()-5)))),,QUERY('NPC List'!$1:$1000, ""Select C,D WHERE A = ""&amp;INDIRECT(ADDRESS(6,(ROW()-5)))&amp;"""",0))"),"")</f>
        <v/>
      </c>
      <c r="D696" s="140"/>
    </row>
    <row r="697" spans="1:4" ht="13.2">
      <c r="A697" s="193"/>
      <c r="B697" s="173"/>
      <c r="C697" s="139" t="str">
        <f ca="1">IFERROR(__xludf.DUMMYFUNCTION("if(ISBLANK(INDIRECT(ADDRESS(6,(ROW()-5)))),,QUERY('NPC List'!$1:$1000, ""Select C,D WHERE A = ""&amp;INDIRECT(ADDRESS(6,(ROW()-5)))&amp;"""",0))"),"")</f>
        <v/>
      </c>
      <c r="D697" s="140"/>
    </row>
    <row r="698" spans="1:4" ht="13.2">
      <c r="A698" s="193"/>
      <c r="B698" s="173"/>
      <c r="C698" s="139" t="str">
        <f ca="1">IFERROR(__xludf.DUMMYFUNCTION("if(ISBLANK(INDIRECT(ADDRESS(6,(ROW()-5)))),,QUERY('NPC List'!$1:$1000, ""Select C,D WHERE A = ""&amp;INDIRECT(ADDRESS(6,(ROW()-5)))&amp;"""",0))"),"")</f>
        <v/>
      </c>
      <c r="D698" s="140"/>
    </row>
    <row r="699" spans="1:4" ht="13.2">
      <c r="A699" s="193"/>
      <c r="B699" s="173"/>
      <c r="C699" s="139" t="str">
        <f ca="1">IFERROR(__xludf.DUMMYFUNCTION("if(ISBLANK(INDIRECT(ADDRESS(6,(ROW()-5)))),,QUERY('NPC List'!$1:$1000, ""Select C,D WHERE A = ""&amp;INDIRECT(ADDRESS(6,(ROW()-5)))&amp;"""",0))"),"")</f>
        <v/>
      </c>
      <c r="D699" s="140"/>
    </row>
    <row r="700" spans="1:4" ht="13.2">
      <c r="A700" s="193"/>
      <c r="B700" s="173"/>
      <c r="C700" s="139" t="str">
        <f ca="1">IFERROR(__xludf.DUMMYFUNCTION("if(ISBLANK(INDIRECT(ADDRESS(6,(ROW()-5)))),,QUERY('NPC List'!$1:$1000, ""Select C,D WHERE A = ""&amp;INDIRECT(ADDRESS(6,(ROW()-5)))&amp;"""",0))"),"")</f>
        <v/>
      </c>
      <c r="D700" s="140"/>
    </row>
    <row r="701" spans="1:4" ht="13.2">
      <c r="A701" s="193"/>
      <c r="B701" s="173"/>
      <c r="C701" s="139" t="str">
        <f ca="1">IFERROR(__xludf.DUMMYFUNCTION("if(ISBLANK(INDIRECT(ADDRESS(6,(ROW()-5)))),,QUERY('NPC List'!$1:$1000, ""Select C,D WHERE A = ""&amp;INDIRECT(ADDRESS(6,(ROW()-5)))&amp;"""",0))"),"")</f>
        <v/>
      </c>
      <c r="D701" s="140"/>
    </row>
    <row r="702" spans="1:4" ht="13.2">
      <c r="A702" s="193"/>
      <c r="B702" s="173"/>
      <c r="C702" s="139" t="str">
        <f ca="1">IFERROR(__xludf.DUMMYFUNCTION("if(ISBLANK(INDIRECT(ADDRESS(6,(ROW()-5)))),,QUERY('NPC List'!$1:$1000, ""Select C,D WHERE A = ""&amp;INDIRECT(ADDRESS(6,(ROW()-5)))&amp;"""",0))"),"")</f>
        <v/>
      </c>
      <c r="D702" s="140"/>
    </row>
    <row r="703" spans="1:4" ht="13.2">
      <c r="A703" s="193"/>
      <c r="B703" s="173"/>
      <c r="C703" s="139" t="str">
        <f ca="1">IFERROR(__xludf.DUMMYFUNCTION("if(ISBLANK(INDIRECT(ADDRESS(6,(ROW()-5)))),,QUERY('NPC List'!$1:$1000, ""Select C,D WHERE A = ""&amp;INDIRECT(ADDRESS(6,(ROW()-5)))&amp;"""",0))"),"")</f>
        <v/>
      </c>
      <c r="D703" s="140"/>
    </row>
    <row r="704" spans="1:4" ht="13.2">
      <c r="A704" s="193"/>
      <c r="B704" s="173"/>
      <c r="C704" s="139" t="str">
        <f ca="1">IFERROR(__xludf.DUMMYFUNCTION("if(ISBLANK(INDIRECT(ADDRESS(6,(ROW()-5)))),,QUERY('NPC List'!$1:$1000, ""Select C,D WHERE A = ""&amp;INDIRECT(ADDRESS(6,(ROW()-5)))&amp;"""",0))"),"")</f>
        <v/>
      </c>
      <c r="D704" s="140"/>
    </row>
    <row r="705" spans="1:4" ht="13.2">
      <c r="A705" s="193"/>
      <c r="B705" s="173"/>
      <c r="C705" s="139" t="str">
        <f ca="1">IFERROR(__xludf.DUMMYFUNCTION("if(ISBLANK(INDIRECT(ADDRESS(6,(ROW()-5)))),,QUERY('NPC List'!$1:$1000, ""Select C,D WHERE A = ""&amp;INDIRECT(ADDRESS(6,(ROW()-5)))&amp;"""",0))"),"")</f>
        <v/>
      </c>
      <c r="D705" s="140"/>
    </row>
    <row r="706" spans="1:4" ht="13.2">
      <c r="A706" s="193"/>
      <c r="B706" s="173"/>
      <c r="C706" s="139" t="str">
        <f ca="1">IFERROR(__xludf.DUMMYFUNCTION("if(ISBLANK(INDIRECT(ADDRESS(6,(ROW()-5)))),,QUERY('NPC List'!$1:$1000, ""Select C,D WHERE A = ""&amp;INDIRECT(ADDRESS(6,(ROW()-5)))&amp;"""",0))"),"")</f>
        <v/>
      </c>
      <c r="D706" s="140"/>
    </row>
    <row r="707" spans="1:4" ht="13.2">
      <c r="A707" s="193"/>
      <c r="B707" s="173"/>
      <c r="C707" s="139" t="str">
        <f ca="1">IFERROR(__xludf.DUMMYFUNCTION("if(ISBLANK(INDIRECT(ADDRESS(6,(ROW()-5)))),,QUERY('NPC List'!$1:$1000, ""Select C,D WHERE A = ""&amp;INDIRECT(ADDRESS(6,(ROW()-5)))&amp;"""",0))"),"")</f>
        <v/>
      </c>
      <c r="D707" s="140"/>
    </row>
    <row r="708" spans="1:4" ht="13.2">
      <c r="A708" s="193"/>
      <c r="B708" s="173"/>
      <c r="C708" s="139" t="str">
        <f ca="1">IFERROR(__xludf.DUMMYFUNCTION("if(ISBLANK(INDIRECT(ADDRESS(6,(ROW()-5)))),,QUERY('NPC List'!$1:$1000, ""Select C,D WHERE A = ""&amp;INDIRECT(ADDRESS(6,(ROW()-5)))&amp;"""",0))"),"")</f>
        <v/>
      </c>
      <c r="D708" s="140"/>
    </row>
    <row r="709" spans="1:4" ht="13.2">
      <c r="A709" s="193"/>
      <c r="B709" s="173"/>
      <c r="C709" s="139" t="str">
        <f ca="1">IFERROR(__xludf.DUMMYFUNCTION("if(ISBLANK(INDIRECT(ADDRESS(6,(ROW()-5)))),,QUERY('NPC List'!$1:$1000, ""Select C,D WHERE A = ""&amp;INDIRECT(ADDRESS(6,(ROW()-5)))&amp;"""",0))"),"")</f>
        <v/>
      </c>
      <c r="D709" s="140"/>
    </row>
    <row r="710" spans="1:4" ht="13.2">
      <c r="A710" s="193"/>
      <c r="B710" s="173"/>
      <c r="C710" s="139" t="str">
        <f ca="1">IFERROR(__xludf.DUMMYFUNCTION("if(ISBLANK(INDIRECT(ADDRESS(6,(ROW()-5)))),,QUERY('NPC List'!$1:$1000, ""Select C,D WHERE A = ""&amp;INDIRECT(ADDRESS(6,(ROW()-5)))&amp;"""",0))"),"")</f>
        <v/>
      </c>
      <c r="D710" s="140"/>
    </row>
    <row r="711" spans="1:4" ht="13.2">
      <c r="A711" s="193"/>
      <c r="B711" s="173"/>
      <c r="C711" s="139" t="str">
        <f ca="1">IFERROR(__xludf.DUMMYFUNCTION("if(ISBLANK(INDIRECT(ADDRESS(6,(ROW()-5)))),,QUERY('NPC List'!$1:$1000, ""Select C,D WHERE A = ""&amp;INDIRECT(ADDRESS(6,(ROW()-5)))&amp;"""",0))"),"")</f>
        <v/>
      </c>
      <c r="D711" s="140"/>
    </row>
    <row r="712" spans="1:4" ht="13.2">
      <c r="A712" s="193"/>
      <c r="B712" s="173"/>
      <c r="C712" s="139" t="str">
        <f ca="1">IFERROR(__xludf.DUMMYFUNCTION("if(ISBLANK(INDIRECT(ADDRESS(6,(ROW()-5)))),,QUERY('NPC List'!$1:$1000, ""Select C,D WHERE A = ""&amp;INDIRECT(ADDRESS(6,(ROW()-5)))&amp;"""",0))"),"")</f>
        <v/>
      </c>
      <c r="D712" s="140"/>
    </row>
    <row r="713" spans="1:4" ht="13.2">
      <c r="A713" s="193"/>
      <c r="B713" s="173"/>
      <c r="C713" s="139" t="str">
        <f ca="1">IFERROR(__xludf.DUMMYFUNCTION("if(ISBLANK(INDIRECT(ADDRESS(6,(ROW()-5)))),,QUERY('NPC List'!$1:$1000, ""Select C,D WHERE A = ""&amp;INDIRECT(ADDRESS(6,(ROW()-5)))&amp;"""",0))"),"")</f>
        <v/>
      </c>
      <c r="D713" s="140"/>
    </row>
    <row r="714" spans="1:4" ht="13.2">
      <c r="A714" s="193"/>
      <c r="B714" s="173"/>
      <c r="C714" s="139" t="str">
        <f ca="1">IFERROR(__xludf.DUMMYFUNCTION("if(ISBLANK(INDIRECT(ADDRESS(6,(ROW()-5)))),,QUERY('NPC List'!$1:$1000, ""Select C,D WHERE A = ""&amp;INDIRECT(ADDRESS(6,(ROW()-5)))&amp;"""",0))"),"")</f>
        <v/>
      </c>
      <c r="D714" s="140"/>
    </row>
    <row r="715" spans="1:4" ht="13.2">
      <c r="A715" s="193"/>
      <c r="B715" s="173"/>
      <c r="C715" s="139" t="str">
        <f ca="1">IFERROR(__xludf.DUMMYFUNCTION("if(ISBLANK(INDIRECT(ADDRESS(6,(ROW()-5)))),,QUERY('NPC List'!$1:$1000, ""Select C,D WHERE A = ""&amp;INDIRECT(ADDRESS(6,(ROW()-5)))&amp;"""",0))"),"")</f>
        <v/>
      </c>
      <c r="D715" s="140"/>
    </row>
    <row r="716" spans="1:4" ht="13.2">
      <c r="A716" s="193"/>
      <c r="B716" s="173"/>
      <c r="C716" s="139" t="str">
        <f ca="1">IFERROR(__xludf.DUMMYFUNCTION("if(ISBLANK(INDIRECT(ADDRESS(6,(ROW()-5)))),,QUERY('NPC List'!$1:$1000, ""Select C,D WHERE A = ""&amp;INDIRECT(ADDRESS(6,(ROW()-5)))&amp;"""",0))"),"")</f>
        <v/>
      </c>
      <c r="D716" s="140"/>
    </row>
    <row r="717" spans="1:4" ht="13.2">
      <c r="A717" s="193"/>
      <c r="B717" s="173"/>
      <c r="C717" s="139" t="str">
        <f ca="1">IFERROR(__xludf.DUMMYFUNCTION("if(ISBLANK(INDIRECT(ADDRESS(6,(ROW()-5)))),,QUERY('NPC List'!$1:$1000, ""Select C,D WHERE A = ""&amp;INDIRECT(ADDRESS(6,(ROW()-5)))&amp;"""",0))"),"")</f>
        <v/>
      </c>
      <c r="D717" s="140"/>
    </row>
    <row r="718" spans="1:4" ht="13.2">
      <c r="A718" s="193"/>
      <c r="B718" s="173"/>
      <c r="C718" s="139" t="str">
        <f ca="1">IFERROR(__xludf.DUMMYFUNCTION("if(ISBLANK(INDIRECT(ADDRESS(6,(ROW()-5)))),,QUERY('NPC List'!$1:$1000, ""Select C,D WHERE A = ""&amp;INDIRECT(ADDRESS(6,(ROW()-5)))&amp;"""",0))"),"")</f>
        <v/>
      </c>
      <c r="D718" s="140"/>
    </row>
    <row r="719" spans="1:4" ht="13.2">
      <c r="A719" s="193"/>
      <c r="B719" s="173"/>
      <c r="C719" s="139" t="str">
        <f ca="1">IFERROR(__xludf.DUMMYFUNCTION("if(ISBLANK(INDIRECT(ADDRESS(6,(ROW()-5)))),,QUERY('NPC List'!$1:$1000, ""Select C,D WHERE A = ""&amp;INDIRECT(ADDRESS(6,(ROW()-5)))&amp;"""",0))"),"")</f>
        <v/>
      </c>
      <c r="D719" s="140"/>
    </row>
    <row r="720" spans="1:4" ht="13.2">
      <c r="A720" s="193"/>
      <c r="B720" s="173"/>
      <c r="C720" s="139" t="str">
        <f ca="1">IFERROR(__xludf.DUMMYFUNCTION("if(ISBLANK(INDIRECT(ADDRESS(6,(ROW()-5)))),,QUERY('NPC List'!$1:$1000, ""Select C,D WHERE A = ""&amp;INDIRECT(ADDRESS(6,(ROW()-5)))&amp;"""",0))"),"")</f>
        <v/>
      </c>
      <c r="D720" s="140"/>
    </row>
    <row r="721" spans="1:4" ht="13.2">
      <c r="A721" s="193"/>
      <c r="B721" s="173"/>
      <c r="C721" s="139" t="str">
        <f ca="1">IFERROR(__xludf.DUMMYFUNCTION("if(ISBLANK(INDIRECT(ADDRESS(6,(ROW()-5)))),,QUERY('NPC List'!$1:$1000, ""Select C,D WHERE A = ""&amp;INDIRECT(ADDRESS(6,(ROW()-5)))&amp;"""",0))"),"")</f>
        <v/>
      </c>
      <c r="D721" s="140"/>
    </row>
    <row r="722" spans="1:4" ht="13.2">
      <c r="A722" s="193"/>
      <c r="B722" s="173"/>
      <c r="C722" s="139" t="str">
        <f ca="1">IFERROR(__xludf.DUMMYFUNCTION("if(ISBLANK(INDIRECT(ADDRESS(6,(ROW()-5)))),,QUERY('NPC List'!$1:$1000, ""Select C,D WHERE A = ""&amp;INDIRECT(ADDRESS(6,(ROW()-5)))&amp;"""",0))"),"")</f>
        <v/>
      </c>
      <c r="D722" s="140"/>
    </row>
    <row r="723" spans="1:4" ht="13.2">
      <c r="A723" s="193"/>
      <c r="B723" s="173"/>
      <c r="C723" s="139" t="str">
        <f ca="1">IFERROR(__xludf.DUMMYFUNCTION("if(ISBLANK(INDIRECT(ADDRESS(6,(ROW()-5)))),,QUERY('NPC List'!$1:$1000, ""Select C,D WHERE A = ""&amp;INDIRECT(ADDRESS(6,(ROW()-5)))&amp;"""",0))"),"")</f>
        <v/>
      </c>
      <c r="D723" s="140"/>
    </row>
    <row r="724" spans="1:4" ht="13.2">
      <c r="A724" s="193"/>
      <c r="B724" s="173"/>
      <c r="C724" s="139" t="str">
        <f ca="1">IFERROR(__xludf.DUMMYFUNCTION("if(ISBLANK(INDIRECT(ADDRESS(6,(ROW()-5)))),,QUERY('NPC List'!$1:$1000, ""Select C,D WHERE A = ""&amp;INDIRECT(ADDRESS(6,(ROW()-5)))&amp;"""",0))"),"")</f>
        <v/>
      </c>
      <c r="D724" s="140"/>
    </row>
    <row r="725" spans="1:4" ht="13.2">
      <c r="A725" s="193"/>
      <c r="B725" s="173"/>
      <c r="C725" s="139" t="str">
        <f ca="1">IFERROR(__xludf.DUMMYFUNCTION("if(ISBLANK(INDIRECT(ADDRESS(6,(ROW()-5)))),,QUERY('NPC List'!$1:$1000, ""Select C,D WHERE A = ""&amp;INDIRECT(ADDRESS(6,(ROW()-5)))&amp;"""",0))"),"")</f>
        <v/>
      </c>
      <c r="D725" s="140"/>
    </row>
    <row r="726" spans="1:4" ht="13.2">
      <c r="A726" s="193"/>
      <c r="B726" s="173"/>
      <c r="C726" s="139" t="str">
        <f ca="1">IFERROR(__xludf.DUMMYFUNCTION("if(ISBLANK(INDIRECT(ADDRESS(6,(ROW()-5)))),,QUERY('NPC List'!$1:$1000, ""Select C,D WHERE A = ""&amp;INDIRECT(ADDRESS(6,(ROW()-5)))&amp;"""",0))"),"")</f>
        <v/>
      </c>
      <c r="D726" s="140"/>
    </row>
    <row r="727" spans="1:4" ht="13.2">
      <c r="A727" s="193"/>
      <c r="B727" s="173"/>
      <c r="C727" s="139" t="str">
        <f ca="1">IFERROR(__xludf.DUMMYFUNCTION("if(ISBLANK(INDIRECT(ADDRESS(6,(ROW()-5)))),,QUERY('NPC List'!$1:$1000, ""Select C,D WHERE A = ""&amp;INDIRECT(ADDRESS(6,(ROW()-5)))&amp;"""",0))"),"")</f>
        <v/>
      </c>
      <c r="D727" s="140"/>
    </row>
    <row r="728" spans="1:4" ht="13.2">
      <c r="A728" s="193"/>
      <c r="B728" s="173"/>
      <c r="C728" s="139" t="str">
        <f ca="1">IFERROR(__xludf.DUMMYFUNCTION("if(ISBLANK(INDIRECT(ADDRESS(6,(ROW()-5)))),,QUERY('NPC List'!$1:$1000, ""Select C,D WHERE A = ""&amp;INDIRECT(ADDRESS(6,(ROW()-5)))&amp;"""",0))"),"")</f>
        <v/>
      </c>
      <c r="D728" s="140"/>
    </row>
    <row r="729" spans="1:4" ht="13.2">
      <c r="A729" s="193"/>
      <c r="B729" s="173"/>
      <c r="C729" s="139" t="str">
        <f ca="1">IFERROR(__xludf.DUMMYFUNCTION("if(ISBLANK(INDIRECT(ADDRESS(6,(ROW()-5)))),,QUERY('NPC List'!$1:$1000, ""Select C,D WHERE A = ""&amp;INDIRECT(ADDRESS(6,(ROW()-5)))&amp;"""",0))"),"")</f>
        <v/>
      </c>
      <c r="D729" s="140"/>
    </row>
    <row r="730" spans="1:4" ht="13.2">
      <c r="A730" s="193"/>
      <c r="B730" s="173"/>
      <c r="C730" s="139" t="str">
        <f ca="1">IFERROR(__xludf.DUMMYFUNCTION("if(ISBLANK(INDIRECT(ADDRESS(6,(ROW()-5)))),,QUERY('NPC List'!$1:$1000, ""Select C,D WHERE A = ""&amp;INDIRECT(ADDRESS(6,(ROW()-5)))&amp;"""",0))"),"")</f>
        <v/>
      </c>
      <c r="D730" s="140"/>
    </row>
    <row r="731" spans="1:4" ht="13.2">
      <c r="A731" s="193"/>
      <c r="B731" s="173"/>
      <c r="C731" s="139" t="str">
        <f ca="1">IFERROR(__xludf.DUMMYFUNCTION("if(ISBLANK(INDIRECT(ADDRESS(6,(ROW()-5)))),,QUERY('NPC List'!$1:$1000, ""Select C,D WHERE A = ""&amp;INDIRECT(ADDRESS(6,(ROW()-5)))&amp;"""",0))"),"")</f>
        <v/>
      </c>
      <c r="D731" s="140"/>
    </row>
    <row r="732" spans="1:4" ht="13.2">
      <c r="A732" s="193"/>
      <c r="B732" s="173"/>
      <c r="C732" s="139" t="str">
        <f ca="1">IFERROR(__xludf.DUMMYFUNCTION("if(ISBLANK(INDIRECT(ADDRESS(6,(ROW()-5)))),,QUERY('NPC List'!$1:$1000, ""Select C,D WHERE A = ""&amp;INDIRECT(ADDRESS(6,(ROW()-5)))&amp;"""",0))"),"")</f>
        <v/>
      </c>
      <c r="D732" s="140"/>
    </row>
    <row r="733" spans="1:4" ht="13.2">
      <c r="A733" s="193"/>
      <c r="B733" s="173"/>
      <c r="C733" s="139" t="str">
        <f ca="1">IFERROR(__xludf.DUMMYFUNCTION("if(ISBLANK(INDIRECT(ADDRESS(6,(ROW()-5)))),,QUERY('NPC List'!$1:$1000, ""Select C,D WHERE A = ""&amp;INDIRECT(ADDRESS(6,(ROW()-5)))&amp;"""",0))"),"")</f>
        <v/>
      </c>
      <c r="D733" s="140"/>
    </row>
    <row r="734" spans="1:4" ht="13.2">
      <c r="A734" s="193"/>
      <c r="B734" s="173"/>
      <c r="C734" s="139" t="str">
        <f ca="1">IFERROR(__xludf.DUMMYFUNCTION("if(ISBLANK(INDIRECT(ADDRESS(6,(ROW()-5)))),,QUERY('NPC List'!$1:$1000, ""Select C,D WHERE A = ""&amp;INDIRECT(ADDRESS(6,(ROW()-5)))&amp;"""",0))"),"")</f>
        <v/>
      </c>
      <c r="D734" s="140"/>
    </row>
    <row r="735" spans="1:4" ht="13.2">
      <c r="A735" s="193"/>
      <c r="B735" s="173"/>
      <c r="C735" s="139" t="str">
        <f ca="1">IFERROR(__xludf.DUMMYFUNCTION("if(ISBLANK(INDIRECT(ADDRESS(6,(ROW()-5)))),,QUERY('NPC List'!$1:$1000, ""Select C,D WHERE A = ""&amp;INDIRECT(ADDRESS(6,(ROW()-5)))&amp;"""",0))"),"")</f>
        <v/>
      </c>
      <c r="D735" s="140"/>
    </row>
    <row r="736" spans="1:4" ht="13.2">
      <c r="A736" s="193"/>
      <c r="B736" s="173"/>
      <c r="C736" s="139" t="str">
        <f ca="1">IFERROR(__xludf.DUMMYFUNCTION("if(ISBLANK(INDIRECT(ADDRESS(6,(ROW()-5)))),,QUERY('NPC List'!$1:$1000, ""Select C,D WHERE A = ""&amp;INDIRECT(ADDRESS(6,(ROW()-5)))&amp;"""",0))"),"")</f>
        <v/>
      </c>
      <c r="D736" s="140"/>
    </row>
    <row r="737" spans="1:4" ht="13.2">
      <c r="A737" s="193"/>
      <c r="B737" s="173"/>
      <c r="C737" s="139" t="str">
        <f ca="1">IFERROR(__xludf.DUMMYFUNCTION("if(ISBLANK(INDIRECT(ADDRESS(6,(ROW()-5)))),,QUERY('NPC List'!$1:$1000, ""Select C,D WHERE A = ""&amp;INDIRECT(ADDRESS(6,(ROW()-5)))&amp;"""",0))"),"")</f>
        <v/>
      </c>
      <c r="D737" s="140"/>
    </row>
    <row r="738" spans="1:4" ht="13.2">
      <c r="A738" s="193"/>
      <c r="B738" s="173"/>
      <c r="C738" s="139" t="str">
        <f ca="1">IFERROR(__xludf.DUMMYFUNCTION("if(ISBLANK(INDIRECT(ADDRESS(6,(ROW()-5)))),,QUERY('NPC List'!$1:$1000, ""Select C,D WHERE A = ""&amp;INDIRECT(ADDRESS(6,(ROW()-5)))&amp;"""",0))"),"")</f>
        <v/>
      </c>
      <c r="D738" s="140"/>
    </row>
    <row r="739" spans="1:4" ht="13.2">
      <c r="A739" s="193"/>
      <c r="B739" s="173"/>
      <c r="C739" s="139" t="str">
        <f ca="1">IFERROR(__xludf.DUMMYFUNCTION("if(ISBLANK(INDIRECT(ADDRESS(6,(ROW()-5)))),,QUERY('NPC List'!$1:$1000, ""Select C,D WHERE A = ""&amp;INDIRECT(ADDRESS(6,(ROW()-5)))&amp;"""",0))"),"")</f>
        <v/>
      </c>
      <c r="D739" s="140"/>
    </row>
    <row r="740" spans="1:4" ht="13.2">
      <c r="A740" s="193"/>
      <c r="B740" s="173"/>
      <c r="C740" s="139" t="str">
        <f ca="1">IFERROR(__xludf.DUMMYFUNCTION("if(ISBLANK(INDIRECT(ADDRESS(6,(ROW()-5)))),,QUERY('NPC List'!$1:$1000, ""Select C,D WHERE A = ""&amp;INDIRECT(ADDRESS(6,(ROW()-5)))&amp;"""",0))"),"")</f>
        <v/>
      </c>
      <c r="D740" s="140"/>
    </row>
    <row r="741" spans="1:4" ht="13.2">
      <c r="A741" s="193"/>
      <c r="B741" s="173"/>
      <c r="C741" s="139" t="str">
        <f ca="1">IFERROR(__xludf.DUMMYFUNCTION("if(ISBLANK(INDIRECT(ADDRESS(6,(ROW()-5)))),,QUERY('NPC List'!$1:$1000, ""Select C,D WHERE A = ""&amp;INDIRECT(ADDRESS(6,(ROW()-5)))&amp;"""",0))"),"")</f>
        <v/>
      </c>
      <c r="D741" s="140"/>
    </row>
    <row r="742" spans="1:4" ht="13.2">
      <c r="A742" s="193"/>
      <c r="B742" s="173"/>
      <c r="C742" s="139" t="str">
        <f ca="1">IFERROR(__xludf.DUMMYFUNCTION("if(ISBLANK(INDIRECT(ADDRESS(6,(ROW()-5)))),,QUERY('NPC List'!$1:$1000, ""Select C,D WHERE A = ""&amp;INDIRECT(ADDRESS(6,(ROW()-5)))&amp;"""",0))"),"")</f>
        <v/>
      </c>
      <c r="D742" s="140"/>
    </row>
    <row r="743" spans="1:4" ht="13.2">
      <c r="A743" s="193"/>
      <c r="B743" s="173"/>
      <c r="C743" s="139" t="str">
        <f ca="1">IFERROR(__xludf.DUMMYFUNCTION("if(ISBLANK(INDIRECT(ADDRESS(6,(ROW()-5)))),,QUERY('NPC List'!$1:$1000, ""Select C,D WHERE A = ""&amp;INDIRECT(ADDRESS(6,(ROW()-5)))&amp;"""",0))"),"")</f>
        <v/>
      </c>
      <c r="D743" s="140"/>
    </row>
    <row r="744" spans="1:4" ht="13.2">
      <c r="A744" s="193"/>
      <c r="B744" s="173"/>
      <c r="C744" s="139" t="str">
        <f ca="1">IFERROR(__xludf.DUMMYFUNCTION("if(ISBLANK(INDIRECT(ADDRESS(6,(ROW()-5)))),,QUERY('NPC List'!$1:$1000, ""Select C,D WHERE A = ""&amp;INDIRECT(ADDRESS(6,(ROW()-5)))&amp;"""",0))"),"")</f>
        <v/>
      </c>
      <c r="D744" s="140"/>
    </row>
    <row r="745" spans="1:4" ht="13.2">
      <c r="A745" s="193"/>
      <c r="B745" s="173"/>
      <c r="C745" s="139" t="str">
        <f ca="1">IFERROR(__xludf.DUMMYFUNCTION("if(ISBLANK(INDIRECT(ADDRESS(6,(ROW()-5)))),,QUERY('NPC List'!$1:$1000, ""Select C,D WHERE A = ""&amp;INDIRECT(ADDRESS(6,(ROW()-5)))&amp;"""",0))"),"")</f>
        <v/>
      </c>
      <c r="D745" s="140"/>
    </row>
    <row r="746" spans="1:4" ht="13.2">
      <c r="A746" s="193"/>
      <c r="B746" s="173"/>
      <c r="C746" s="139" t="str">
        <f ca="1">IFERROR(__xludf.DUMMYFUNCTION("if(ISBLANK(INDIRECT(ADDRESS(6,(ROW()-5)))),,QUERY('NPC List'!$1:$1000, ""Select C,D WHERE A = ""&amp;INDIRECT(ADDRESS(6,(ROW()-5)))&amp;"""",0))"),"")</f>
        <v/>
      </c>
      <c r="D746" s="140"/>
    </row>
    <row r="747" spans="1:4" ht="13.2">
      <c r="A747" s="193"/>
      <c r="B747" s="173"/>
      <c r="C747" s="139" t="str">
        <f ca="1">IFERROR(__xludf.DUMMYFUNCTION("if(ISBLANK(INDIRECT(ADDRESS(6,(ROW()-5)))),,QUERY('NPC List'!$1:$1000, ""Select C,D WHERE A = ""&amp;INDIRECT(ADDRESS(6,(ROW()-5)))&amp;"""",0))"),"")</f>
        <v/>
      </c>
      <c r="D747" s="140"/>
    </row>
    <row r="748" spans="1:4" ht="13.2">
      <c r="A748" s="193"/>
      <c r="B748" s="173"/>
      <c r="C748" s="139" t="str">
        <f ca="1">IFERROR(__xludf.DUMMYFUNCTION("if(ISBLANK(INDIRECT(ADDRESS(6,(ROW()-5)))),,QUERY('NPC List'!$1:$1000, ""Select C,D WHERE A = ""&amp;INDIRECT(ADDRESS(6,(ROW()-5)))&amp;"""",0))"),"")</f>
        <v/>
      </c>
      <c r="D748" s="140"/>
    </row>
    <row r="749" spans="1:4" ht="13.2">
      <c r="A749" s="193"/>
      <c r="B749" s="173"/>
      <c r="C749" s="139" t="str">
        <f ca="1">IFERROR(__xludf.DUMMYFUNCTION("if(ISBLANK(INDIRECT(ADDRESS(6,(ROW()-5)))),,QUERY('NPC List'!$1:$1000, ""Select C,D WHERE A = ""&amp;INDIRECT(ADDRESS(6,(ROW()-5)))&amp;"""",0))"),"")</f>
        <v/>
      </c>
      <c r="D749" s="140"/>
    </row>
    <row r="750" spans="1:4" ht="13.2">
      <c r="A750" s="193"/>
      <c r="B750" s="173"/>
      <c r="C750" s="139" t="str">
        <f ca="1">IFERROR(__xludf.DUMMYFUNCTION("if(ISBLANK(INDIRECT(ADDRESS(6,(ROW()-5)))),,QUERY('NPC List'!$1:$1000, ""Select C,D WHERE A = ""&amp;INDIRECT(ADDRESS(6,(ROW()-5)))&amp;"""",0))"),"")</f>
        <v/>
      </c>
      <c r="D750" s="140"/>
    </row>
    <row r="751" spans="1:4" ht="13.2">
      <c r="A751" s="193"/>
      <c r="B751" s="173"/>
      <c r="C751" s="139" t="str">
        <f ca="1">IFERROR(__xludf.DUMMYFUNCTION("if(ISBLANK(INDIRECT(ADDRESS(6,(ROW()-5)))),,QUERY('NPC List'!$1:$1000, ""Select C,D WHERE A = ""&amp;INDIRECT(ADDRESS(6,(ROW()-5)))&amp;"""",0))"),"")</f>
        <v/>
      </c>
      <c r="D751" s="140"/>
    </row>
    <row r="752" spans="1:4" ht="13.2">
      <c r="A752" s="193"/>
      <c r="B752" s="173"/>
      <c r="C752" s="139" t="str">
        <f ca="1">IFERROR(__xludf.DUMMYFUNCTION("if(ISBLANK(INDIRECT(ADDRESS(6,(ROW()-5)))),,QUERY('NPC List'!$1:$1000, ""Select C,D WHERE A = ""&amp;INDIRECT(ADDRESS(6,(ROW()-5)))&amp;"""",0))"),"")</f>
        <v/>
      </c>
      <c r="D752" s="140"/>
    </row>
    <row r="753" spans="1:4" ht="13.2">
      <c r="A753" s="193"/>
      <c r="B753" s="173"/>
      <c r="C753" s="139" t="str">
        <f ca="1">IFERROR(__xludf.DUMMYFUNCTION("if(ISBLANK(INDIRECT(ADDRESS(6,(ROW()-5)))),,QUERY('NPC List'!$1:$1000, ""Select C,D WHERE A = ""&amp;INDIRECT(ADDRESS(6,(ROW()-5)))&amp;"""",0))"),"")</f>
        <v/>
      </c>
      <c r="D753" s="140"/>
    </row>
    <row r="754" spans="1:4" ht="13.2">
      <c r="A754" s="193"/>
      <c r="B754" s="173"/>
      <c r="C754" s="139" t="str">
        <f ca="1">IFERROR(__xludf.DUMMYFUNCTION("if(ISBLANK(INDIRECT(ADDRESS(6,(ROW()-5)))),,QUERY('NPC List'!$1:$1000, ""Select C,D WHERE A = ""&amp;INDIRECT(ADDRESS(6,(ROW()-5)))&amp;"""",0))"),"")</f>
        <v/>
      </c>
      <c r="D754" s="140"/>
    </row>
    <row r="755" spans="1:4" ht="13.2">
      <c r="A755" s="193"/>
      <c r="B755" s="173"/>
      <c r="C755" s="139" t="str">
        <f ca="1">IFERROR(__xludf.DUMMYFUNCTION("if(ISBLANK(INDIRECT(ADDRESS(6,(ROW()-5)))),,QUERY('NPC List'!$1:$1000, ""Select C,D WHERE A = ""&amp;INDIRECT(ADDRESS(6,(ROW()-5)))&amp;"""",0))"),"")</f>
        <v/>
      </c>
      <c r="D755" s="140"/>
    </row>
    <row r="756" spans="1:4" ht="13.2">
      <c r="A756" s="193"/>
      <c r="B756" s="173"/>
      <c r="C756" s="139" t="str">
        <f ca="1">IFERROR(__xludf.DUMMYFUNCTION("if(ISBLANK(INDIRECT(ADDRESS(6,(ROW()-5)))),,QUERY('NPC List'!$1:$1000, ""Select C,D WHERE A = ""&amp;INDIRECT(ADDRESS(6,(ROW()-5)))&amp;"""",0))"),"")</f>
        <v/>
      </c>
      <c r="D756" s="140"/>
    </row>
    <row r="757" spans="1:4" ht="13.2">
      <c r="A757" s="193"/>
      <c r="B757" s="173"/>
      <c r="C757" s="139" t="str">
        <f ca="1">IFERROR(__xludf.DUMMYFUNCTION("if(ISBLANK(INDIRECT(ADDRESS(6,(ROW()-5)))),,QUERY('NPC List'!$1:$1000, ""Select C,D WHERE A = ""&amp;INDIRECT(ADDRESS(6,(ROW()-5)))&amp;"""",0))"),"")</f>
        <v/>
      </c>
      <c r="D757" s="140"/>
    </row>
    <row r="758" spans="1:4" ht="13.2">
      <c r="A758" s="193"/>
      <c r="B758" s="173"/>
      <c r="C758" s="139" t="str">
        <f ca="1">IFERROR(__xludf.DUMMYFUNCTION("if(ISBLANK(INDIRECT(ADDRESS(6,(ROW()-5)))),,QUERY('NPC List'!$1:$1000, ""Select C,D WHERE A = ""&amp;INDIRECT(ADDRESS(6,(ROW()-5)))&amp;"""",0))"),"")</f>
        <v/>
      </c>
      <c r="D758" s="140"/>
    </row>
    <row r="759" spans="1:4" ht="13.2">
      <c r="A759" s="193"/>
      <c r="B759" s="173"/>
      <c r="C759" s="139" t="str">
        <f ca="1">IFERROR(__xludf.DUMMYFUNCTION("if(ISBLANK(INDIRECT(ADDRESS(6,(ROW()-5)))),,QUERY('NPC List'!$1:$1000, ""Select C,D WHERE A = ""&amp;INDIRECT(ADDRESS(6,(ROW()-5)))&amp;"""",0))"),"")</f>
        <v/>
      </c>
      <c r="D759" s="140"/>
    </row>
    <row r="760" spans="1:4" ht="13.2">
      <c r="A760" s="193"/>
      <c r="B760" s="173"/>
      <c r="C760" s="139" t="str">
        <f ca="1">IFERROR(__xludf.DUMMYFUNCTION("if(ISBLANK(INDIRECT(ADDRESS(6,(ROW()-5)))),,QUERY('NPC List'!$1:$1000, ""Select C,D WHERE A = ""&amp;INDIRECT(ADDRESS(6,(ROW()-5)))&amp;"""",0))"),"")</f>
        <v/>
      </c>
      <c r="D760" s="140"/>
    </row>
    <row r="761" spans="1:4" ht="13.2">
      <c r="A761" s="193"/>
      <c r="B761" s="173"/>
      <c r="C761" s="139" t="str">
        <f ca="1">IFERROR(__xludf.DUMMYFUNCTION("if(ISBLANK(INDIRECT(ADDRESS(6,(ROW()-5)))),,QUERY('NPC List'!$1:$1000, ""Select C,D WHERE A = ""&amp;INDIRECT(ADDRESS(6,(ROW()-5)))&amp;"""",0))"),"")</f>
        <v/>
      </c>
      <c r="D761" s="140"/>
    </row>
    <row r="762" spans="1:4" ht="13.2">
      <c r="A762" s="193"/>
      <c r="B762" s="173"/>
      <c r="C762" s="139" t="str">
        <f ca="1">IFERROR(__xludf.DUMMYFUNCTION("if(ISBLANK(INDIRECT(ADDRESS(6,(ROW()-5)))),,QUERY('NPC List'!$1:$1000, ""Select C,D WHERE A = ""&amp;INDIRECT(ADDRESS(6,(ROW()-5)))&amp;"""",0))"),"")</f>
        <v/>
      </c>
      <c r="D762" s="140"/>
    </row>
    <row r="763" spans="1:4" ht="13.2">
      <c r="A763" s="193"/>
      <c r="B763" s="173"/>
      <c r="C763" s="139" t="str">
        <f ca="1">IFERROR(__xludf.DUMMYFUNCTION("if(ISBLANK(INDIRECT(ADDRESS(6,(ROW()-5)))),,QUERY('NPC List'!$1:$1000, ""Select C,D WHERE A = ""&amp;INDIRECT(ADDRESS(6,(ROW()-5)))&amp;"""",0))"),"")</f>
        <v/>
      </c>
      <c r="D763" s="140"/>
    </row>
    <row r="764" spans="1:4" ht="13.2">
      <c r="A764" s="193"/>
      <c r="B764" s="173"/>
      <c r="C764" s="139" t="str">
        <f ca="1">IFERROR(__xludf.DUMMYFUNCTION("if(ISBLANK(INDIRECT(ADDRESS(6,(ROW()-5)))),,QUERY('NPC List'!$1:$1000, ""Select C,D WHERE A = ""&amp;INDIRECT(ADDRESS(6,(ROW()-5)))&amp;"""",0))"),"")</f>
        <v/>
      </c>
      <c r="D764" s="140"/>
    </row>
    <row r="765" spans="1:4" ht="13.2">
      <c r="A765" s="193"/>
      <c r="B765" s="173"/>
      <c r="C765" s="139" t="str">
        <f ca="1">IFERROR(__xludf.DUMMYFUNCTION("if(ISBLANK(INDIRECT(ADDRESS(6,(ROW()-5)))),,QUERY('NPC List'!$1:$1000, ""Select C,D WHERE A = ""&amp;INDIRECT(ADDRESS(6,(ROW()-5)))&amp;"""",0))"),"")</f>
        <v/>
      </c>
      <c r="D765" s="140"/>
    </row>
    <row r="766" spans="1:4" ht="13.2">
      <c r="A766" s="193"/>
      <c r="B766" s="173"/>
      <c r="C766" s="139" t="str">
        <f ca="1">IFERROR(__xludf.DUMMYFUNCTION("if(ISBLANK(INDIRECT(ADDRESS(6,(ROW()-5)))),,QUERY('NPC List'!$1:$1000, ""Select C,D WHERE A = ""&amp;INDIRECT(ADDRESS(6,(ROW()-5)))&amp;"""",0))"),"")</f>
        <v/>
      </c>
      <c r="D766" s="140"/>
    </row>
    <row r="767" spans="1:4" ht="13.2">
      <c r="A767" s="193"/>
      <c r="B767" s="173"/>
      <c r="C767" s="139" t="str">
        <f ca="1">IFERROR(__xludf.DUMMYFUNCTION("if(ISBLANK(INDIRECT(ADDRESS(6,(ROW()-5)))),,QUERY('NPC List'!$1:$1000, ""Select C,D WHERE A = ""&amp;INDIRECT(ADDRESS(6,(ROW()-5)))&amp;"""",0))"),"")</f>
        <v/>
      </c>
      <c r="D767" s="140"/>
    </row>
    <row r="768" spans="1:4" ht="13.2">
      <c r="A768" s="193"/>
      <c r="B768" s="173"/>
      <c r="C768" s="139" t="str">
        <f ca="1">IFERROR(__xludf.DUMMYFUNCTION("if(ISBLANK(INDIRECT(ADDRESS(6,(ROW()-5)))),,QUERY('NPC List'!$1:$1000, ""Select C,D WHERE A = ""&amp;INDIRECT(ADDRESS(6,(ROW()-5)))&amp;"""",0))"),"")</f>
        <v/>
      </c>
      <c r="D768" s="140"/>
    </row>
    <row r="769" spans="1:4" ht="13.2">
      <c r="A769" s="193"/>
      <c r="B769" s="173"/>
      <c r="C769" s="139" t="str">
        <f ca="1">IFERROR(__xludf.DUMMYFUNCTION("if(ISBLANK(INDIRECT(ADDRESS(6,(ROW()-5)))),,QUERY('NPC List'!$1:$1000, ""Select C,D WHERE A = ""&amp;INDIRECT(ADDRESS(6,(ROW()-5)))&amp;"""",0))"),"")</f>
        <v/>
      </c>
      <c r="D769" s="140"/>
    </row>
    <row r="770" spans="1:4" ht="13.2">
      <c r="A770" s="193"/>
      <c r="B770" s="173"/>
      <c r="C770" s="139" t="str">
        <f ca="1">IFERROR(__xludf.DUMMYFUNCTION("if(ISBLANK(INDIRECT(ADDRESS(6,(ROW()-5)))),,QUERY('NPC List'!$1:$1000, ""Select C,D WHERE A = ""&amp;INDIRECT(ADDRESS(6,(ROW()-5)))&amp;"""",0))"),"")</f>
        <v/>
      </c>
      <c r="D770" s="140"/>
    </row>
    <row r="771" spans="1:4" ht="13.2">
      <c r="A771" s="193"/>
      <c r="B771" s="173"/>
      <c r="C771" s="139" t="str">
        <f ca="1">IFERROR(__xludf.DUMMYFUNCTION("if(ISBLANK(INDIRECT(ADDRESS(6,(ROW()-5)))),,QUERY('NPC List'!$1:$1000, ""Select C,D WHERE A = ""&amp;INDIRECT(ADDRESS(6,(ROW()-5)))&amp;"""",0))"),"")</f>
        <v/>
      </c>
      <c r="D771" s="140"/>
    </row>
    <row r="772" spans="1:4" ht="13.2">
      <c r="A772" s="193"/>
      <c r="B772" s="173"/>
      <c r="C772" s="139" t="str">
        <f ca="1">IFERROR(__xludf.DUMMYFUNCTION("if(ISBLANK(INDIRECT(ADDRESS(6,(ROW()-5)))),,QUERY('NPC List'!$1:$1000, ""Select C,D WHERE A = ""&amp;INDIRECT(ADDRESS(6,(ROW()-5)))&amp;"""",0))"),"")</f>
        <v/>
      </c>
      <c r="D772" s="140"/>
    </row>
    <row r="773" spans="1:4" ht="13.2">
      <c r="A773" s="193"/>
      <c r="B773" s="173"/>
      <c r="C773" s="139" t="str">
        <f ca="1">IFERROR(__xludf.DUMMYFUNCTION("if(ISBLANK(INDIRECT(ADDRESS(6,(ROW()-5)))),,QUERY('NPC List'!$1:$1000, ""Select C,D WHERE A = ""&amp;INDIRECT(ADDRESS(6,(ROW()-5)))&amp;"""",0))"),"")</f>
        <v/>
      </c>
      <c r="D773" s="140"/>
    </row>
    <row r="774" spans="1:4" ht="13.2">
      <c r="A774" s="193"/>
      <c r="B774" s="173"/>
      <c r="C774" s="139" t="str">
        <f ca="1">IFERROR(__xludf.DUMMYFUNCTION("if(ISBLANK(INDIRECT(ADDRESS(6,(ROW()-5)))),,QUERY('NPC List'!$1:$1000, ""Select C,D WHERE A = ""&amp;INDIRECT(ADDRESS(6,(ROW()-5)))&amp;"""",0))"),"")</f>
        <v/>
      </c>
      <c r="D774" s="140"/>
    </row>
    <row r="775" spans="1:4" ht="13.2">
      <c r="A775" s="193"/>
      <c r="B775" s="173"/>
      <c r="C775" s="139" t="str">
        <f ca="1">IFERROR(__xludf.DUMMYFUNCTION("if(ISBLANK(INDIRECT(ADDRESS(6,(ROW()-5)))),,QUERY('NPC List'!$1:$1000, ""Select C,D WHERE A = ""&amp;INDIRECT(ADDRESS(6,(ROW()-5)))&amp;"""",0))"),"")</f>
        <v/>
      </c>
      <c r="D775" s="140"/>
    </row>
    <row r="776" spans="1:4" ht="13.2">
      <c r="A776" s="193"/>
      <c r="B776" s="173"/>
      <c r="C776" s="139" t="str">
        <f ca="1">IFERROR(__xludf.DUMMYFUNCTION("if(ISBLANK(INDIRECT(ADDRESS(6,(ROW()-5)))),,QUERY('NPC List'!$1:$1000, ""Select C,D WHERE A = ""&amp;INDIRECT(ADDRESS(6,(ROW()-5)))&amp;"""",0))"),"")</f>
        <v/>
      </c>
      <c r="D776" s="140"/>
    </row>
    <row r="777" spans="1:4" ht="13.2">
      <c r="A777" s="193"/>
      <c r="B777" s="173"/>
      <c r="C777" s="139" t="str">
        <f ca="1">IFERROR(__xludf.DUMMYFUNCTION("if(ISBLANK(INDIRECT(ADDRESS(6,(ROW()-5)))),,QUERY('NPC List'!$1:$1000, ""Select C,D WHERE A = ""&amp;INDIRECT(ADDRESS(6,(ROW()-5)))&amp;"""",0))"),"")</f>
        <v/>
      </c>
      <c r="D777" s="140"/>
    </row>
    <row r="778" spans="1:4" ht="13.2">
      <c r="A778" s="193"/>
      <c r="B778" s="173"/>
      <c r="C778" s="139" t="str">
        <f ca="1">IFERROR(__xludf.DUMMYFUNCTION("if(ISBLANK(INDIRECT(ADDRESS(6,(ROW()-5)))),,QUERY('NPC List'!$1:$1000, ""Select C,D WHERE A = ""&amp;INDIRECT(ADDRESS(6,(ROW()-5)))&amp;"""",0))"),"")</f>
        <v/>
      </c>
      <c r="D778" s="140"/>
    </row>
    <row r="779" spans="1:4" ht="13.2">
      <c r="A779" s="193"/>
      <c r="B779" s="173"/>
      <c r="C779" s="139" t="str">
        <f ca="1">IFERROR(__xludf.DUMMYFUNCTION("if(ISBLANK(INDIRECT(ADDRESS(6,(ROW()-5)))),,QUERY('NPC List'!$1:$1000, ""Select C,D WHERE A = ""&amp;INDIRECT(ADDRESS(6,(ROW()-5)))&amp;"""",0))"),"")</f>
        <v/>
      </c>
      <c r="D779" s="140"/>
    </row>
    <row r="780" spans="1:4" ht="13.2">
      <c r="A780" s="193"/>
      <c r="B780" s="173"/>
      <c r="C780" s="139" t="str">
        <f ca="1">IFERROR(__xludf.DUMMYFUNCTION("if(ISBLANK(INDIRECT(ADDRESS(6,(ROW()-5)))),,QUERY('NPC List'!$1:$1000, ""Select C,D WHERE A = ""&amp;INDIRECT(ADDRESS(6,(ROW()-5)))&amp;"""",0))"),"")</f>
        <v/>
      </c>
      <c r="D780" s="140"/>
    </row>
    <row r="781" spans="1:4" ht="13.2">
      <c r="A781" s="193"/>
      <c r="B781" s="173"/>
      <c r="C781" s="139" t="str">
        <f ca="1">IFERROR(__xludf.DUMMYFUNCTION("if(ISBLANK(INDIRECT(ADDRESS(6,(ROW()-5)))),,QUERY('NPC List'!$1:$1000, ""Select C,D WHERE A = ""&amp;INDIRECT(ADDRESS(6,(ROW()-5)))&amp;"""",0))"),"")</f>
        <v/>
      </c>
      <c r="D781" s="140"/>
    </row>
    <row r="782" spans="1:4" ht="13.2">
      <c r="A782" s="193"/>
      <c r="B782" s="173"/>
      <c r="C782" s="139" t="str">
        <f ca="1">IFERROR(__xludf.DUMMYFUNCTION("if(ISBLANK(INDIRECT(ADDRESS(6,(ROW()-5)))),,QUERY('NPC List'!$1:$1000, ""Select C,D WHERE A = ""&amp;INDIRECT(ADDRESS(6,(ROW()-5)))&amp;"""",0))"),"")</f>
        <v/>
      </c>
      <c r="D782" s="140"/>
    </row>
    <row r="783" spans="1:4" ht="13.2">
      <c r="A783" s="193"/>
      <c r="B783" s="173"/>
      <c r="C783" s="139" t="str">
        <f ca="1">IFERROR(__xludf.DUMMYFUNCTION("if(ISBLANK(INDIRECT(ADDRESS(6,(ROW()-5)))),,QUERY('NPC List'!$1:$1000, ""Select C,D WHERE A = ""&amp;INDIRECT(ADDRESS(6,(ROW()-5)))&amp;"""",0))"),"")</f>
        <v/>
      </c>
      <c r="D783" s="140"/>
    </row>
    <row r="784" spans="1:4" ht="13.2">
      <c r="A784" s="193"/>
      <c r="B784" s="173"/>
      <c r="C784" s="139" t="str">
        <f ca="1">IFERROR(__xludf.DUMMYFUNCTION("if(ISBLANK(INDIRECT(ADDRESS(6,(ROW()-5)))),,QUERY('NPC List'!$1:$1000, ""Select C,D WHERE A = ""&amp;INDIRECT(ADDRESS(6,(ROW()-5)))&amp;"""",0))"),"")</f>
        <v/>
      </c>
      <c r="D784" s="140"/>
    </row>
    <row r="785" spans="1:4" ht="13.2">
      <c r="A785" s="193"/>
      <c r="B785" s="173"/>
      <c r="C785" s="139" t="str">
        <f ca="1">IFERROR(__xludf.DUMMYFUNCTION("if(ISBLANK(INDIRECT(ADDRESS(6,(ROW()-5)))),,QUERY('NPC List'!$1:$1000, ""Select C,D WHERE A = ""&amp;INDIRECT(ADDRESS(6,(ROW()-5)))&amp;"""",0))"),"")</f>
        <v/>
      </c>
      <c r="D785" s="140"/>
    </row>
    <row r="786" spans="1:4" ht="13.2">
      <c r="A786" s="193"/>
      <c r="B786" s="173"/>
      <c r="C786" s="139" t="str">
        <f ca="1">IFERROR(__xludf.DUMMYFUNCTION("if(ISBLANK(INDIRECT(ADDRESS(6,(ROW()-5)))),,QUERY('NPC List'!$1:$1000, ""Select C,D WHERE A = ""&amp;INDIRECT(ADDRESS(6,(ROW()-5)))&amp;"""",0))"),"")</f>
        <v/>
      </c>
      <c r="D786" s="140"/>
    </row>
    <row r="787" spans="1:4" ht="13.2">
      <c r="A787" s="193"/>
      <c r="B787" s="173"/>
      <c r="C787" s="139" t="str">
        <f ca="1">IFERROR(__xludf.DUMMYFUNCTION("if(ISBLANK(INDIRECT(ADDRESS(6,(ROW()-5)))),,QUERY('NPC List'!$1:$1000, ""Select C,D WHERE A = ""&amp;INDIRECT(ADDRESS(6,(ROW()-5)))&amp;"""",0))"),"")</f>
        <v/>
      </c>
      <c r="D787" s="140"/>
    </row>
    <row r="788" spans="1:4" ht="13.2">
      <c r="A788" s="193"/>
      <c r="B788" s="173"/>
      <c r="C788" s="139" t="str">
        <f ca="1">IFERROR(__xludf.DUMMYFUNCTION("if(ISBLANK(INDIRECT(ADDRESS(6,(ROW()-5)))),,QUERY('NPC List'!$1:$1000, ""Select C,D WHERE A = ""&amp;INDIRECT(ADDRESS(6,(ROW()-5)))&amp;"""",0))"),"")</f>
        <v/>
      </c>
      <c r="D788" s="140"/>
    </row>
    <row r="789" spans="1:4" ht="13.2">
      <c r="A789" s="193"/>
      <c r="B789" s="173"/>
      <c r="C789" s="139" t="str">
        <f ca="1">IFERROR(__xludf.DUMMYFUNCTION("if(ISBLANK(INDIRECT(ADDRESS(6,(ROW()-5)))),,QUERY('NPC List'!$1:$1000, ""Select C,D WHERE A = ""&amp;INDIRECT(ADDRESS(6,(ROW()-5)))&amp;"""",0))"),"")</f>
        <v/>
      </c>
      <c r="D789" s="140"/>
    </row>
    <row r="790" spans="1:4" ht="13.2">
      <c r="A790" s="193"/>
      <c r="B790" s="173"/>
      <c r="C790" s="139" t="str">
        <f ca="1">IFERROR(__xludf.DUMMYFUNCTION("if(ISBLANK(INDIRECT(ADDRESS(6,(ROW()-5)))),,QUERY('NPC List'!$1:$1000, ""Select C,D WHERE A = ""&amp;INDIRECT(ADDRESS(6,(ROW()-5)))&amp;"""",0))"),"")</f>
        <v/>
      </c>
      <c r="D790" s="140"/>
    </row>
    <row r="791" spans="1:4" ht="13.2">
      <c r="A791" s="193"/>
      <c r="B791" s="173"/>
      <c r="C791" s="139" t="str">
        <f ca="1">IFERROR(__xludf.DUMMYFUNCTION("if(ISBLANK(INDIRECT(ADDRESS(6,(ROW()-5)))),,QUERY('NPC List'!$1:$1000, ""Select C,D WHERE A = ""&amp;INDIRECT(ADDRESS(6,(ROW()-5)))&amp;"""",0))"),"")</f>
        <v/>
      </c>
      <c r="D791" s="140"/>
    </row>
    <row r="792" spans="1:4" ht="13.2">
      <c r="A792" s="193"/>
      <c r="B792" s="173"/>
      <c r="C792" s="139" t="str">
        <f ca="1">IFERROR(__xludf.DUMMYFUNCTION("if(ISBLANK(INDIRECT(ADDRESS(6,(ROW()-5)))),,QUERY('NPC List'!$1:$1000, ""Select C,D WHERE A = ""&amp;INDIRECT(ADDRESS(6,(ROW()-5)))&amp;"""",0))"),"")</f>
        <v/>
      </c>
      <c r="D792" s="140"/>
    </row>
    <row r="793" spans="1:4" ht="13.2">
      <c r="A793" s="193"/>
      <c r="B793" s="173"/>
      <c r="C793" s="139" t="str">
        <f ca="1">IFERROR(__xludf.DUMMYFUNCTION("if(ISBLANK(INDIRECT(ADDRESS(6,(ROW()-5)))),,QUERY('NPC List'!$1:$1000, ""Select C,D WHERE A = ""&amp;INDIRECT(ADDRESS(6,(ROW()-5)))&amp;"""",0))"),"")</f>
        <v/>
      </c>
      <c r="D793" s="140"/>
    </row>
    <row r="794" spans="1:4" ht="13.2">
      <c r="A794" s="193"/>
      <c r="B794" s="173"/>
      <c r="C794" s="139" t="str">
        <f ca="1">IFERROR(__xludf.DUMMYFUNCTION("if(ISBLANK(INDIRECT(ADDRESS(6,(ROW()-5)))),,QUERY('NPC List'!$1:$1000, ""Select C,D WHERE A = ""&amp;INDIRECT(ADDRESS(6,(ROW()-5)))&amp;"""",0))"),"")</f>
        <v/>
      </c>
      <c r="D794" s="140"/>
    </row>
    <row r="795" spans="1:4" ht="13.2">
      <c r="A795" s="193"/>
      <c r="B795" s="173"/>
      <c r="C795" s="139" t="str">
        <f ca="1">IFERROR(__xludf.DUMMYFUNCTION("if(ISBLANK(INDIRECT(ADDRESS(6,(ROW()-5)))),,QUERY('NPC List'!$1:$1000, ""Select C,D WHERE A = ""&amp;INDIRECT(ADDRESS(6,(ROW()-5)))&amp;"""",0))"),"")</f>
        <v/>
      </c>
      <c r="D795" s="140"/>
    </row>
    <row r="796" spans="1:4" ht="13.2">
      <c r="A796" s="193"/>
      <c r="B796" s="173"/>
      <c r="C796" s="139" t="str">
        <f ca="1">IFERROR(__xludf.DUMMYFUNCTION("if(ISBLANK(INDIRECT(ADDRESS(6,(ROW()-5)))),,QUERY('NPC List'!$1:$1000, ""Select C,D WHERE A = ""&amp;INDIRECT(ADDRESS(6,(ROW()-5)))&amp;"""",0))"),"")</f>
        <v/>
      </c>
      <c r="D796" s="140"/>
    </row>
    <row r="797" spans="1:4" ht="13.2">
      <c r="A797" s="193"/>
      <c r="B797" s="173"/>
      <c r="C797" s="139" t="str">
        <f ca="1">IFERROR(__xludf.DUMMYFUNCTION("if(ISBLANK(INDIRECT(ADDRESS(6,(ROW()-5)))),,QUERY('NPC List'!$1:$1000, ""Select C,D WHERE A = ""&amp;INDIRECT(ADDRESS(6,(ROW()-5)))&amp;"""",0))"),"")</f>
        <v/>
      </c>
      <c r="D797" s="140"/>
    </row>
    <row r="798" spans="1:4" ht="13.2">
      <c r="A798" s="193"/>
      <c r="B798" s="173"/>
      <c r="C798" s="139" t="str">
        <f ca="1">IFERROR(__xludf.DUMMYFUNCTION("if(ISBLANK(INDIRECT(ADDRESS(6,(ROW()-5)))),,QUERY('NPC List'!$1:$1000, ""Select C,D WHERE A = ""&amp;INDIRECT(ADDRESS(6,(ROW()-5)))&amp;"""",0))"),"")</f>
        <v/>
      </c>
      <c r="D798" s="140"/>
    </row>
    <row r="799" spans="1:4" ht="13.2">
      <c r="A799" s="193"/>
      <c r="B799" s="173"/>
      <c r="C799" s="139" t="str">
        <f ca="1">IFERROR(__xludf.DUMMYFUNCTION("if(ISBLANK(INDIRECT(ADDRESS(6,(ROW()-5)))),,QUERY('NPC List'!$1:$1000, ""Select C,D WHERE A = ""&amp;INDIRECT(ADDRESS(6,(ROW()-5)))&amp;"""",0))"),"")</f>
        <v/>
      </c>
      <c r="D799" s="140"/>
    </row>
    <row r="800" spans="1:4" ht="13.2">
      <c r="A800" s="193"/>
      <c r="B800" s="173"/>
      <c r="C800" s="139" t="str">
        <f ca="1">IFERROR(__xludf.DUMMYFUNCTION("if(ISBLANK(INDIRECT(ADDRESS(6,(ROW()-5)))),,QUERY('NPC List'!$1:$1000, ""Select C,D WHERE A = ""&amp;INDIRECT(ADDRESS(6,(ROW()-5)))&amp;"""",0))"),"")</f>
        <v/>
      </c>
      <c r="D800" s="140"/>
    </row>
    <row r="801" spans="1:4" ht="13.2">
      <c r="A801" s="193"/>
      <c r="B801" s="173"/>
      <c r="C801" s="139" t="str">
        <f ca="1">IFERROR(__xludf.DUMMYFUNCTION("if(ISBLANK(INDIRECT(ADDRESS(6,(ROW()-5)))),,QUERY('NPC List'!$1:$1000, ""Select C,D WHERE A = ""&amp;INDIRECT(ADDRESS(6,(ROW()-5)))&amp;"""",0))"),"")</f>
        <v/>
      </c>
      <c r="D801" s="140"/>
    </row>
    <row r="802" spans="1:4" ht="13.2">
      <c r="A802" s="193"/>
      <c r="B802" s="173"/>
      <c r="C802" s="139" t="str">
        <f ca="1">IFERROR(__xludf.DUMMYFUNCTION("if(ISBLANK(INDIRECT(ADDRESS(6,(ROW()-5)))),,QUERY('NPC List'!$1:$1000, ""Select C,D WHERE A = ""&amp;INDIRECT(ADDRESS(6,(ROW()-5)))&amp;"""",0))"),"")</f>
        <v/>
      </c>
      <c r="D802" s="140"/>
    </row>
    <row r="803" spans="1:4" ht="13.2">
      <c r="A803" s="193"/>
      <c r="B803" s="173"/>
      <c r="C803" s="139" t="str">
        <f ca="1">IFERROR(__xludf.DUMMYFUNCTION("if(ISBLANK(INDIRECT(ADDRESS(6,(ROW()-5)))),,QUERY('NPC List'!$1:$1000, ""Select C,D WHERE A = ""&amp;INDIRECT(ADDRESS(6,(ROW()-5)))&amp;"""",0))"),"")</f>
        <v/>
      </c>
      <c r="D803" s="140"/>
    </row>
    <row r="804" spans="1:4" ht="13.2">
      <c r="A804" s="193"/>
      <c r="B804" s="173"/>
      <c r="C804" s="139" t="str">
        <f ca="1">IFERROR(__xludf.DUMMYFUNCTION("if(ISBLANK(INDIRECT(ADDRESS(6,(ROW()-5)))),,QUERY('NPC List'!$1:$1000, ""Select C,D WHERE A = ""&amp;INDIRECT(ADDRESS(6,(ROW()-5)))&amp;"""",0))"),"")</f>
        <v/>
      </c>
      <c r="D804" s="140"/>
    </row>
    <row r="805" spans="1:4" ht="13.2">
      <c r="A805" s="193"/>
      <c r="B805" s="173"/>
      <c r="C805" s="139" t="str">
        <f ca="1">IFERROR(__xludf.DUMMYFUNCTION("if(ISBLANK(INDIRECT(ADDRESS(6,(ROW()-5)))),,QUERY('NPC List'!$1:$1000, ""Select C,D WHERE A = ""&amp;INDIRECT(ADDRESS(6,(ROW()-5)))&amp;"""",0))"),"")</f>
        <v/>
      </c>
      <c r="D805" s="140"/>
    </row>
    <row r="806" spans="1:4" ht="13.2">
      <c r="A806" s="193"/>
      <c r="B806" s="173"/>
      <c r="C806" s="139" t="str">
        <f ca="1">IFERROR(__xludf.DUMMYFUNCTION("if(ISBLANK(INDIRECT(ADDRESS(6,(ROW()-5)))),,QUERY('NPC List'!$1:$1000, ""Select C,D WHERE A = ""&amp;INDIRECT(ADDRESS(6,(ROW()-5)))&amp;"""",0))"),"")</f>
        <v/>
      </c>
      <c r="D806" s="140"/>
    </row>
    <row r="807" spans="1:4" ht="13.2">
      <c r="A807" s="193"/>
      <c r="B807" s="173"/>
      <c r="C807" s="139" t="str">
        <f ca="1">IFERROR(__xludf.DUMMYFUNCTION("if(ISBLANK(INDIRECT(ADDRESS(6,(ROW()-5)))),,QUERY('NPC List'!$1:$1000, ""Select C,D WHERE A = ""&amp;INDIRECT(ADDRESS(6,(ROW()-5)))&amp;"""",0))"),"")</f>
        <v/>
      </c>
      <c r="D807" s="140"/>
    </row>
    <row r="808" spans="1:4" ht="13.2">
      <c r="A808" s="193"/>
      <c r="B808" s="173"/>
      <c r="C808" s="139" t="str">
        <f ca="1">IFERROR(__xludf.DUMMYFUNCTION("if(ISBLANK(INDIRECT(ADDRESS(6,(ROW()-5)))),,QUERY('NPC List'!$1:$1000, ""Select C,D WHERE A = ""&amp;INDIRECT(ADDRESS(6,(ROW()-5)))&amp;"""",0))"),"")</f>
        <v/>
      </c>
      <c r="D808" s="140"/>
    </row>
    <row r="809" spans="1:4" ht="13.2">
      <c r="A809" s="193"/>
      <c r="B809" s="173"/>
      <c r="C809" s="139" t="str">
        <f ca="1">IFERROR(__xludf.DUMMYFUNCTION("if(ISBLANK(INDIRECT(ADDRESS(6,(ROW()-5)))),,QUERY('NPC List'!$1:$1000, ""Select C,D WHERE A = ""&amp;INDIRECT(ADDRESS(6,(ROW()-5)))&amp;"""",0))"),"")</f>
        <v/>
      </c>
      <c r="D809" s="140"/>
    </row>
    <row r="810" spans="1:4" ht="13.2">
      <c r="A810" s="193"/>
      <c r="B810" s="173"/>
      <c r="C810" s="139" t="str">
        <f ca="1">IFERROR(__xludf.DUMMYFUNCTION("if(ISBLANK(INDIRECT(ADDRESS(6,(ROW()-5)))),,QUERY('NPC List'!$1:$1000, ""Select C,D WHERE A = ""&amp;INDIRECT(ADDRESS(6,(ROW()-5)))&amp;"""",0))"),"")</f>
        <v/>
      </c>
      <c r="D810" s="140"/>
    </row>
    <row r="811" spans="1:4" ht="13.2">
      <c r="A811" s="193"/>
      <c r="B811" s="173"/>
      <c r="C811" s="139" t="str">
        <f ca="1">IFERROR(__xludf.DUMMYFUNCTION("if(ISBLANK(INDIRECT(ADDRESS(6,(ROW()-5)))),,QUERY('NPC List'!$1:$1000, ""Select C,D WHERE A = ""&amp;INDIRECT(ADDRESS(6,(ROW()-5)))&amp;"""",0))"),"")</f>
        <v/>
      </c>
      <c r="D811" s="140"/>
    </row>
    <row r="812" spans="1:4" ht="13.2">
      <c r="A812" s="193"/>
      <c r="B812" s="173"/>
      <c r="C812" s="139" t="str">
        <f ca="1">IFERROR(__xludf.DUMMYFUNCTION("if(ISBLANK(INDIRECT(ADDRESS(6,(ROW()-5)))),,QUERY('NPC List'!$1:$1000, ""Select C,D WHERE A = ""&amp;INDIRECT(ADDRESS(6,(ROW()-5)))&amp;"""",0))"),"")</f>
        <v/>
      </c>
      <c r="D812" s="140"/>
    </row>
    <row r="813" spans="1:4" ht="13.2">
      <c r="A813" s="193"/>
      <c r="B813" s="173"/>
      <c r="C813" s="139" t="str">
        <f ca="1">IFERROR(__xludf.DUMMYFUNCTION("if(ISBLANK(INDIRECT(ADDRESS(6,(ROW()-5)))),,QUERY('NPC List'!$1:$1000, ""Select C,D WHERE A = ""&amp;INDIRECT(ADDRESS(6,(ROW()-5)))&amp;"""",0))"),"")</f>
        <v/>
      </c>
      <c r="D813" s="140"/>
    </row>
    <row r="814" spans="1:4" ht="13.2">
      <c r="A814" s="193"/>
      <c r="B814" s="173"/>
      <c r="C814" s="139" t="str">
        <f ca="1">IFERROR(__xludf.DUMMYFUNCTION("if(ISBLANK(INDIRECT(ADDRESS(6,(ROW()-5)))),,QUERY('NPC List'!$1:$1000, ""Select C,D WHERE A = ""&amp;INDIRECT(ADDRESS(6,(ROW()-5)))&amp;"""",0))"),"")</f>
        <v/>
      </c>
      <c r="D814" s="140"/>
    </row>
    <row r="815" spans="1:4" ht="13.2">
      <c r="A815" s="193"/>
      <c r="B815" s="173"/>
      <c r="C815" s="139" t="str">
        <f ca="1">IFERROR(__xludf.DUMMYFUNCTION("if(ISBLANK(INDIRECT(ADDRESS(6,(ROW()-5)))),,QUERY('NPC List'!$1:$1000, ""Select C,D WHERE A = ""&amp;INDIRECT(ADDRESS(6,(ROW()-5)))&amp;"""",0))"),"")</f>
        <v/>
      </c>
      <c r="D815" s="140"/>
    </row>
    <row r="816" spans="1:4" ht="13.2">
      <c r="A816" s="193"/>
      <c r="B816" s="173"/>
      <c r="C816" s="139" t="str">
        <f ca="1">IFERROR(__xludf.DUMMYFUNCTION("if(ISBLANK(INDIRECT(ADDRESS(6,(ROW()-5)))),,QUERY('NPC List'!$1:$1000, ""Select C,D WHERE A = ""&amp;INDIRECT(ADDRESS(6,(ROW()-5)))&amp;"""",0))"),"")</f>
        <v/>
      </c>
      <c r="D816" s="140"/>
    </row>
    <row r="817" spans="1:4" ht="13.2">
      <c r="A817" s="193"/>
      <c r="B817" s="173"/>
      <c r="C817" s="139" t="str">
        <f ca="1">IFERROR(__xludf.DUMMYFUNCTION("if(ISBLANK(INDIRECT(ADDRESS(6,(ROW()-5)))),,QUERY('NPC List'!$1:$1000, ""Select C,D WHERE A = ""&amp;INDIRECT(ADDRESS(6,(ROW()-5)))&amp;"""",0))"),"")</f>
        <v/>
      </c>
      <c r="D817" s="140"/>
    </row>
    <row r="818" spans="1:4" ht="13.2">
      <c r="A818" s="193"/>
      <c r="B818" s="173"/>
      <c r="C818" s="139" t="str">
        <f ca="1">IFERROR(__xludf.DUMMYFUNCTION("if(ISBLANK(INDIRECT(ADDRESS(6,(ROW()-5)))),,QUERY('NPC List'!$1:$1000, ""Select C,D WHERE A = ""&amp;INDIRECT(ADDRESS(6,(ROW()-5)))&amp;"""",0))"),"")</f>
        <v/>
      </c>
      <c r="D818" s="140"/>
    </row>
    <row r="819" spans="1:4" ht="13.2">
      <c r="A819" s="193"/>
      <c r="B819" s="173"/>
      <c r="C819" s="139" t="str">
        <f ca="1">IFERROR(__xludf.DUMMYFUNCTION("if(ISBLANK(INDIRECT(ADDRESS(6,(ROW()-5)))),,QUERY('NPC List'!$1:$1000, ""Select C,D WHERE A = ""&amp;INDIRECT(ADDRESS(6,(ROW()-5)))&amp;"""",0))"),"")</f>
        <v/>
      </c>
      <c r="D819" s="140"/>
    </row>
    <row r="820" spans="1:4" ht="13.2">
      <c r="A820" s="193"/>
      <c r="B820" s="173"/>
      <c r="C820" s="139" t="str">
        <f ca="1">IFERROR(__xludf.DUMMYFUNCTION("if(ISBLANK(INDIRECT(ADDRESS(6,(ROW()-5)))),,QUERY('NPC List'!$1:$1000, ""Select C,D WHERE A = ""&amp;INDIRECT(ADDRESS(6,(ROW()-5)))&amp;"""",0))"),"")</f>
        <v/>
      </c>
      <c r="D820" s="140"/>
    </row>
    <row r="821" spans="1:4" ht="13.2">
      <c r="A821" s="193"/>
      <c r="B821" s="173"/>
      <c r="C821" s="139" t="str">
        <f ca="1">IFERROR(__xludf.DUMMYFUNCTION("if(ISBLANK(INDIRECT(ADDRESS(6,(ROW()-5)))),,QUERY('NPC List'!$1:$1000, ""Select C,D WHERE A = ""&amp;INDIRECT(ADDRESS(6,(ROW()-5)))&amp;"""",0))"),"")</f>
        <v/>
      </c>
      <c r="D821" s="140"/>
    </row>
    <row r="822" spans="1:4" ht="13.2">
      <c r="A822" s="193"/>
      <c r="B822" s="173"/>
      <c r="C822" s="139" t="str">
        <f ca="1">IFERROR(__xludf.DUMMYFUNCTION("if(ISBLANK(INDIRECT(ADDRESS(6,(ROW()-5)))),,QUERY('NPC List'!$1:$1000, ""Select C,D WHERE A = ""&amp;INDIRECT(ADDRESS(6,(ROW()-5)))&amp;"""",0))"),"")</f>
        <v/>
      </c>
      <c r="D822" s="140"/>
    </row>
    <row r="823" spans="1:4" ht="13.2">
      <c r="A823" s="193"/>
      <c r="B823" s="173"/>
      <c r="C823" s="139" t="str">
        <f ca="1">IFERROR(__xludf.DUMMYFUNCTION("if(ISBLANK(INDIRECT(ADDRESS(6,(ROW()-5)))),,QUERY('NPC List'!$1:$1000, ""Select C,D WHERE A = ""&amp;INDIRECT(ADDRESS(6,(ROW()-5)))&amp;"""",0))"),"")</f>
        <v/>
      </c>
      <c r="D823" s="140"/>
    </row>
    <row r="824" spans="1:4" ht="13.2">
      <c r="A824" s="193"/>
      <c r="B824" s="173"/>
      <c r="C824" s="139" t="str">
        <f ca="1">IFERROR(__xludf.DUMMYFUNCTION("if(ISBLANK(INDIRECT(ADDRESS(6,(ROW()-5)))),,QUERY('NPC List'!$1:$1000, ""Select C,D WHERE A = ""&amp;INDIRECT(ADDRESS(6,(ROW()-5)))&amp;"""",0))"),"")</f>
        <v/>
      </c>
      <c r="D824" s="140"/>
    </row>
    <row r="825" spans="1:4" ht="13.2">
      <c r="A825" s="193"/>
      <c r="B825" s="173"/>
      <c r="C825" s="139" t="str">
        <f ca="1">IFERROR(__xludf.DUMMYFUNCTION("if(ISBLANK(INDIRECT(ADDRESS(6,(ROW()-5)))),,QUERY('NPC List'!$1:$1000, ""Select C,D WHERE A = ""&amp;INDIRECT(ADDRESS(6,(ROW()-5)))&amp;"""",0))"),"")</f>
        <v/>
      </c>
      <c r="D825" s="140"/>
    </row>
    <row r="826" spans="1:4" ht="13.2">
      <c r="A826" s="193"/>
      <c r="B826" s="173"/>
      <c r="C826" s="139" t="str">
        <f ca="1">IFERROR(__xludf.DUMMYFUNCTION("if(ISBLANK(INDIRECT(ADDRESS(6,(ROW()-5)))),,QUERY('NPC List'!$1:$1000, ""Select C,D WHERE A = ""&amp;INDIRECT(ADDRESS(6,(ROW()-5)))&amp;"""",0))"),"")</f>
        <v/>
      </c>
      <c r="D826" s="140"/>
    </row>
    <row r="827" spans="1:4" ht="13.2">
      <c r="A827" s="193"/>
      <c r="B827" s="173"/>
      <c r="C827" s="139" t="str">
        <f ca="1">IFERROR(__xludf.DUMMYFUNCTION("if(ISBLANK(INDIRECT(ADDRESS(6,(ROW()-5)))),,QUERY('NPC List'!$1:$1000, ""Select C,D WHERE A = ""&amp;INDIRECT(ADDRESS(6,(ROW()-5)))&amp;"""",0))"),"")</f>
        <v/>
      </c>
      <c r="D827" s="140"/>
    </row>
    <row r="828" spans="1:4" ht="13.2">
      <c r="A828" s="193"/>
      <c r="B828" s="173"/>
      <c r="C828" s="139" t="str">
        <f ca="1">IFERROR(__xludf.DUMMYFUNCTION("if(ISBLANK(INDIRECT(ADDRESS(6,(ROW()-5)))),,QUERY('NPC List'!$1:$1000, ""Select C,D WHERE A = ""&amp;INDIRECT(ADDRESS(6,(ROW()-5)))&amp;"""",0))"),"")</f>
        <v/>
      </c>
      <c r="D828" s="140"/>
    </row>
    <row r="829" spans="1:4" ht="13.2">
      <c r="A829" s="193"/>
      <c r="B829" s="173"/>
      <c r="C829" s="139" t="str">
        <f ca="1">IFERROR(__xludf.DUMMYFUNCTION("if(ISBLANK(INDIRECT(ADDRESS(6,(ROW()-5)))),,QUERY('NPC List'!$1:$1000, ""Select C,D WHERE A = ""&amp;INDIRECT(ADDRESS(6,(ROW()-5)))&amp;"""",0))"),"")</f>
        <v/>
      </c>
      <c r="D829" s="140"/>
    </row>
    <row r="830" spans="1:4" ht="13.2">
      <c r="A830" s="193"/>
      <c r="B830" s="173"/>
      <c r="C830" s="139" t="str">
        <f ca="1">IFERROR(__xludf.DUMMYFUNCTION("if(ISBLANK(INDIRECT(ADDRESS(6,(ROW()-5)))),,QUERY('NPC List'!$1:$1000, ""Select C,D WHERE A = ""&amp;INDIRECT(ADDRESS(6,(ROW()-5)))&amp;"""",0))"),"")</f>
        <v/>
      </c>
      <c r="D830" s="140"/>
    </row>
    <row r="831" spans="1:4" ht="13.2">
      <c r="A831" s="193"/>
      <c r="B831" s="173"/>
      <c r="C831" s="139" t="str">
        <f ca="1">IFERROR(__xludf.DUMMYFUNCTION("if(ISBLANK(INDIRECT(ADDRESS(6,(ROW()-5)))),,QUERY('NPC List'!$1:$1000, ""Select C,D WHERE A = ""&amp;INDIRECT(ADDRESS(6,(ROW()-5)))&amp;"""",0))"),"")</f>
        <v/>
      </c>
      <c r="D831" s="140"/>
    </row>
    <row r="832" spans="1:4" ht="13.2">
      <c r="A832" s="193"/>
      <c r="B832" s="173"/>
      <c r="C832" s="139" t="str">
        <f ca="1">IFERROR(__xludf.DUMMYFUNCTION("if(ISBLANK(INDIRECT(ADDRESS(6,(ROW()-5)))),,QUERY('NPC List'!$1:$1000, ""Select C,D WHERE A = ""&amp;INDIRECT(ADDRESS(6,(ROW()-5)))&amp;"""",0))"),"")</f>
        <v/>
      </c>
      <c r="D832" s="140"/>
    </row>
    <row r="833" spans="1:4" ht="13.2">
      <c r="A833" s="193"/>
      <c r="B833" s="173"/>
      <c r="C833" s="139" t="str">
        <f ca="1">IFERROR(__xludf.DUMMYFUNCTION("if(ISBLANK(INDIRECT(ADDRESS(6,(ROW()-5)))),,QUERY('NPC List'!$1:$1000, ""Select C,D WHERE A = ""&amp;INDIRECT(ADDRESS(6,(ROW()-5)))&amp;"""",0))"),"")</f>
        <v/>
      </c>
      <c r="D833" s="140"/>
    </row>
    <row r="834" spans="1:4" ht="13.2">
      <c r="A834" s="193"/>
      <c r="B834" s="173"/>
      <c r="C834" s="139" t="str">
        <f ca="1">IFERROR(__xludf.DUMMYFUNCTION("if(ISBLANK(INDIRECT(ADDRESS(6,(ROW()-5)))),,QUERY('NPC List'!$1:$1000, ""Select C,D WHERE A = ""&amp;INDIRECT(ADDRESS(6,(ROW()-5)))&amp;"""",0))"),"")</f>
        <v/>
      </c>
      <c r="D834" s="140"/>
    </row>
    <row r="835" spans="1:4" ht="13.2">
      <c r="A835" s="193"/>
      <c r="B835" s="173"/>
      <c r="C835" s="139" t="str">
        <f ca="1">IFERROR(__xludf.DUMMYFUNCTION("if(ISBLANK(INDIRECT(ADDRESS(6,(ROW()-5)))),,QUERY('NPC List'!$1:$1000, ""Select C,D WHERE A = ""&amp;INDIRECT(ADDRESS(6,(ROW()-5)))&amp;"""",0))"),"")</f>
        <v/>
      </c>
      <c r="D835" s="140"/>
    </row>
    <row r="836" spans="1:4" ht="13.2">
      <c r="A836" s="193"/>
      <c r="B836" s="173"/>
      <c r="C836" s="139" t="str">
        <f ca="1">IFERROR(__xludf.DUMMYFUNCTION("if(ISBLANK(INDIRECT(ADDRESS(6,(ROW()-5)))),,QUERY('NPC List'!$1:$1000, ""Select C,D WHERE A = ""&amp;INDIRECT(ADDRESS(6,(ROW()-5)))&amp;"""",0))"),"")</f>
        <v/>
      </c>
      <c r="D836" s="140"/>
    </row>
    <row r="837" spans="1:4" ht="13.2">
      <c r="A837" s="193"/>
      <c r="B837" s="173"/>
      <c r="C837" s="139" t="str">
        <f ca="1">IFERROR(__xludf.DUMMYFUNCTION("if(ISBLANK(INDIRECT(ADDRESS(6,(ROW()-5)))),,QUERY('NPC List'!$1:$1000, ""Select C,D WHERE A = ""&amp;INDIRECT(ADDRESS(6,(ROW()-5)))&amp;"""",0))"),"")</f>
        <v/>
      </c>
      <c r="D837" s="140"/>
    </row>
    <row r="838" spans="1:4" ht="13.2">
      <c r="A838" s="193"/>
      <c r="B838" s="173"/>
      <c r="C838" s="139" t="str">
        <f ca="1">IFERROR(__xludf.DUMMYFUNCTION("if(ISBLANK(INDIRECT(ADDRESS(6,(ROW()-5)))),,QUERY('NPC List'!$1:$1000, ""Select C,D WHERE A = ""&amp;INDIRECT(ADDRESS(6,(ROW()-5)))&amp;"""",0))"),"")</f>
        <v/>
      </c>
      <c r="D838" s="140"/>
    </row>
    <row r="839" spans="1:4" ht="13.2">
      <c r="A839" s="193"/>
      <c r="B839" s="173"/>
      <c r="C839" s="139" t="str">
        <f ca="1">IFERROR(__xludf.DUMMYFUNCTION("if(ISBLANK(INDIRECT(ADDRESS(6,(ROW()-5)))),,QUERY('NPC List'!$1:$1000, ""Select C,D WHERE A = ""&amp;INDIRECT(ADDRESS(6,(ROW()-5)))&amp;"""",0))"),"")</f>
        <v/>
      </c>
      <c r="D839" s="140"/>
    </row>
    <row r="840" spans="1:4" ht="13.2">
      <c r="A840" s="193"/>
      <c r="B840" s="173"/>
      <c r="C840" s="139" t="str">
        <f ca="1">IFERROR(__xludf.DUMMYFUNCTION("if(ISBLANK(INDIRECT(ADDRESS(6,(ROW()-5)))),,QUERY('NPC List'!$1:$1000, ""Select C,D WHERE A = ""&amp;INDIRECT(ADDRESS(6,(ROW()-5)))&amp;"""",0))"),"")</f>
        <v/>
      </c>
      <c r="D840" s="140"/>
    </row>
    <row r="841" spans="1:4" ht="13.2">
      <c r="A841" s="193"/>
      <c r="B841" s="173"/>
      <c r="C841" s="139" t="str">
        <f ca="1">IFERROR(__xludf.DUMMYFUNCTION("if(ISBLANK(INDIRECT(ADDRESS(6,(ROW()-5)))),,QUERY('NPC List'!$1:$1000, ""Select C,D WHERE A = ""&amp;INDIRECT(ADDRESS(6,(ROW()-5)))&amp;"""",0))"),"")</f>
        <v/>
      </c>
      <c r="D841" s="140"/>
    </row>
    <row r="842" spans="1:4" ht="13.2">
      <c r="A842" s="193"/>
      <c r="B842" s="173"/>
      <c r="C842" s="139" t="str">
        <f ca="1">IFERROR(__xludf.DUMMYFUNCTION("if(ISBLANK(INDIRECT(ADDRESS(6,(ROW()-5)))),,QUERY('NPC List'!$1:$1000, ""Select C,D WHERE A = ""&amp;INDIRECT(ADDRESS(6,(ROW()-5)))&amp;"""",0))"),"")</f>
        <v/>
      </c>
      <c r="D842" s="140"/>
    </row>
    <row r="843" spans="1:4" ht="13.2">
      <c r="A843" s="193"/>
      <c r="B843" s="173"/>
      <c r="C843" s="139" t="str">
        <f ca="1">IFERROR(__xludf.DUMMYFUNCTION("if(ISBLANK(INDIRECT(ADDRESS(6,(ROW()-5)))),,QUERY('NPC List'!$1:$1000, ""Select C,D WHERE A = ""&amp;INDIRECT(ADDRESS(6,(ROW()-5)))&amp;"""",0))"),"")</f>
        <v/>
      </c>
      <c r="D843" s="140"/>
    </row>
    <row r="844" spans="1:4" ht="13.2">
      <c r="A844" s="193"/>
      <c r="B844" s="173"/>
      <c r="C844" s="139" t="str">
        <f ca="1">IFERROR(__xludf.DUMMYFUNCTION("if(ISBLANK(INDIRECT(ADDRESS(6,(ROW()-5)))),,QUERY('NPC List'!$1:$1000, ""Select C,D WHERE A = ""&amp;INDIRECT(ADDRESS(6,(ROW()-5)))&amp;"""",0))"),"")</f>
        <v/>
      </c>
      <c r="D844" s="140"/>
    </row>
    <row r="845" spans="1:4" ht="13.2">
      <c r="A845" s="193"/>
      <c r="B845" s="173"/>
      <c r="C845" s="139" t="str">
        <f ca="1">IFERROR(__xludf.DUMMYFUNCTION("if(ISBLANK(INDIRECT(ADDRESS(6,(ROW()-5)))),,QUERY('NPC List'!$1:$1000, ""Select C,D WHERE A = ""&amp;INDIRECT(ADDRESS(6,(ROW()-5)))&amp;"""",0))"),"")</f>
        <v/>
      </c>
      <c r="D845" s="140"/>
    </row>
    <row r="846" spans="1:4" ht="13.2">
      <c r="A846" s="193"/>
      <c r="B846" s="173"/>
      <c r="C846" s="139" t="str">
        <f ca="1">IFERROR(__xludf.DUMMYFUNCTION("if(ISBLANK(INDIRECT(ADDRESS(6,(ROW()-5)))),,QUERY('NPC List'!$1:$1000, ""Select C,D WHERE A = ""&amp;INDIRECT(ADDRESS(6,(ROW()-5)))&amp;"""",0))"),"")</f>
        <v/>
      </c>
      <c r="D846" s="140"/>
    </row>
    <row r="847" spans="1:4" ht="13.2">
      <c r="A847" s="193"/>
      <c r="B847" s="173"/>
      <c r="C847" s="139" t="str">
        <f ca="1">IFERROR(__xludf.DUMMYFUNCTION("if(ISBLANK(INDIRECT(ADDRESS(6,(ROW()-5)))),,QUERY('NPC List'!$1:$1000, ""Select C,D WHERE A = ""&amp;INDIRECT(ADDRESS(6,(ROW()-5)))&amp;"""",0))"),"")</f>
        <v/>
      </c>
      <c r="D847" s="140"/>
    </row>
    <row r="848" spans="1:4" ht="13.2">
      <c r="A848" s="193"/>
      <c r="B848" s="173"/>
      <c r="C848" s="139" t="str">
        <f ca="1">IFERROR(__xludf.DUMMYFUNCTION("if(ISBLANK(INDIRECT(ADDRESS(6,(ROW()-5)))),,QUERY('NPC List'!$1:$1000, ""Select C,D WHERE A = ""&amp;INDIRECT(ADDRESS(6,(ROW()-5)))&amp;"""",0))"),"")</f>
        <v/>
      </c>
      <c r="D848" s="140"/>
    </row>
    <row r="849" spans="1:4" ht="13.2">
      <c r="A849" s="193"/>
      <c r="B849" s="173"/>
      <c r="C849" s="139" t="str">
        <f ca="1">IFERROR(__xludf.DUMMYFUNCTION("if(ISBLANK(INDIRECT(ADDRESS(6,(ROW()-5)))),,QUERY('NPC List'!$1:$1000, ""Select C,D WHERE A = ""&amp;INDIRECT(ADDRESS(6,(ROW()-5)))&amp;"""",0))"),"")</f>
        <v/>
      </c>
      <c r="D849" s="140"/>
    </row>
    <row r="850" spans="1:4" ht="13.2">
      <c r="A850" s="193"/>
      <c r="B850" s="173"/>
      <c r="C850" s="139" t="str">
        <f ca="1">IFERROR(__xludf.DUMMYFUNCTION("if(ISBLANK(INDIRECT(ADDRESS(6,(ROW()-5)))),,QUERY('NPC List'!$1:$1000, ""Select C,D WHERE A = ""&amp;INDIRECT(ADDRESS(6,(ROW()-5)))&amp;"""",0))"),"")</f>
        <v/>
      </c>
      <c r="D850" s="140"/>
    </row>
    <row r="851" spans="1:4" ht="13.2">
      <c r="A851" s="193"/>
      <c r="B851" s="173"/>
      <c r="C851" s="139" t="str">
        <f ca="1">IFERROR(__xludf.DUMMYFUNCTION("if(ISBLANK(INDIRECT(ADDRESS(6,(ROW()-5)))),,QUERY('NPC List'!$1:$1000, ""Select C,D WHERE A = ""&amp;INDIRECT(ADDRESS(6,(ROW()-5)))&amp;"""",0))"),"")</f>
        <v/>
      </c>
      <c r="D851" s="140"/>
    </row>
    <row r="852" spans="1:4" ht="13.2">
      <c r="A852" s="193"/>
      <c r="B852" s="173"/>
      <c r="C852" s="139" t="str">
        <f ca="1">IFERROR(__xludf.DUMMYFUNCTION("if(ISBLANK(INDIRECT(ADDRESS(6,(ROW()-5)))),,QUERY('NPC List'!$1:$1000, ""Select C,D WHERE A = ""&amp;INDIRECT(ADDRESS(6,(ROW()-5)))&amp;"""",0))"),"")</f>
        <v/>
      </c>
      <c r="D852" s="140"/>
    </row>
    <row r="853" spans="1:4" ht="13.2">
      <c r="A853" s="193"/>
      <c r="B853" s="173"/>
      <c r="C853" s="139" t="str">
        <f ca="1">IFERROR(__xludf.DUMMYFUNCTION("if(ISBLANK(INDIRECT(ADDRESS(6,(ROW()-5)))),,QUERY('NPC List'!$1:$1000, ""Select C,D WHERE A = ""&amp;INDIRECT(ADDRESS(6,(ROW()-5)))&amp;"""",0))"),"")</f>
        <v/>
      </c>
      <c r="D853" s="140"/>
    </row>
    <row r="854" spans="1:4" ht="13.2">
      <c r="A854" s="193"/>
      <c r="B854" s="173"/>
      <c r="C854" s="139" t="str">
        <f ca="1">IFERROR(__xludf.DUMMYFUNCTION("if(ISBLANK(INDIRECT(ADDRESS(6,(ROW()-5)))),,QUERY('NPC List'!$1:$1000, ""Select C,D WHERE A = ""&amp;INDIRECT(ADDRESS(6,(ROW()-5)))&amp;"""",0))"),"")</f>
        <v/>
      </c>
      <c r="D854" s="140"/>
    </row>
    <row r="855" spans="1:4" ht="13.2">
      <c r="A855" s="193"/>
      <c r="B855" s="173"/>
      <c r="C855" s="139" t="str">
        <f ca="1">IFERROR(__xludf.DUMMYFUNCTION("if(ISBLANK(INDIRECT(ADDRESS(6,(ROW()-5)))),,QUERY('NPC List'!$1:$1000, ""Select C,D WHERE A = ""&amp;INDIRECT(ADDRESS(6,(ROW()-5)))&amp;"""",0))"),"")</f>
        <v/>
      </c>
      <c r="D855" s="140"/>
    </row>
    <row r="856" spans="1:4" ht="13.2">
      <c r="A856" s="193"/>
      <c r="B856" s="173"/>
      <c r="C856" s="139" t="str">
        <f ca="1">IFERROR(__xludf.DUMMYFUNCTION("if(ISBLANK(INDIRECT(ADDRESS(6,(ROW()-5)))),,QUERY('NPC List'!$1:$1000, ""Select C,D WHERE A = ""&amp;INDIRECT(ADDRESS(6,(ROW()-5)))&amp;"""",0))"),"")</f>
        <v/>
      </c>
      <c r="D856" s="140"/>
    </row>
    <row r="857" spans="1:4" ht="13.2">
      <c r="A857" s="193"/>
      <c r="B857" s="173"/>
      <c r="C857" s="139" t="str">
        <f ca="1">IFERROR(__xludf.DUMMYFUNCTION("if(ISBLANK(INDIRECT(ADDRESS(6,(ROW()-5)))),,QUERY('NPC List'!$1:$1000, ""Select C,D WHERE A = ""&amp;INDIRECT(ADDRESS(6,(ROW()-5)))&amp;"""",0))"),"")</f>
        <v/>
      </c>
      <c r="D857" s="140"/>
    </row>
    <row r="858" spans="1:4" ht="13.2">
      <c r="A858" s="193"/>
      <c r="B858" s="173"/>
      <c r="C858" s="139" t="str">
        <f ca="1">IFERROR(__xludf.DUMMYFUNCTION("if(ISBLANK(INDIRECT(ADDRESS(6,(ROW()-5)))),,QUERY('NPC List'!$1:$1000, ""Select C,D WHERE A = ""&amp;INDIRECT(ADDRESS(6,(ROW()-5)))&amp;"""",0))"),"")</f>
        <v/>
      </c>
      <c r="D858" s="140"/>
    </row>
    <row r="859" spans="1:4" ht="13.2">
      <c r="A859" s="193"/>
      <c r="B859" s="173"/>
      <c r="C859" s="139" t="str">
        <f ca="1">IFERROR(__xludf.DUMMYFUNCTION("if(ISBLANK(INDIRECT(ADDRESS(6,(ROW()-5)))),,QUERY('NPC List'!$1:$1000, ""Select C,D WHERE A = ""&amp;INDIRECT(ADDRESS(6,(ROW()-5)))&amp;"""",0))"),"")</f>
        <v/>
      </c>
      <c r="D859" s="140"/>
    </row>
    <row r="860" spans="1:4" ht="13.2">
      <c r="A860" s="193"/>
      <c r="B860" s="173"/>
      <c r="C860" s="139" t="str">
        <f ca="1">IFERROR(__xludf.DUMMYFUNCTION("if(ISBLANK(INDIRECT(ADDRESS(6,(ROW()-5)))),,QUERY('NPC List'!$1:$1000, ""Select C,D WHERE A = ""&amp;INDIRECT(ADDRESS(6,(ROW()-5)))&amp;"""",0))"),"")</f>
        <v/>
      </c>
      <c r="D860" s="140"/>
    </row>
    <row r="861" spans="1:4" ht="13.2">
      <c r="A861" s="193"/>
      <c r="B861" s="173"/>
      <c r="C861" s="139" t="str">
        <f ca="1">IFERROR(__xludf.DUMMYFUNCTION("if(ISBLANK(INDIRECT(ADDRESS(6,(ROW()-5)))),,QUERY('NPC List'!$1:$1000, ""Select C,D WHERE A = ""&amp;INDIRECT(ADDRESS(6,(ROW()-5)))&amp;"""",0))"),"")</f>
        <v/>
      </c>
      <c r="D861" s="140"/>
    </row>
    <row r="862" spans="1:4" ht="13.2">
      <c r="A862" s="193"/>
      <c r="B862" s="173"/>
      <c r="C862" s="139" t="str">
        <f ca="1">IFERROR(__xludf.DUMMYFUNCTION("if(ISBLANK(INDIRECT(ADDRESS(6,(ROW()-5)))),,QUERY('NPC List'!$1:$1000, ""Select C,D WHERE A = ""&amp;INDIRECT(ADDRESS(6,(ROW()-5)))&amp;"""",0))"),"")</f>
        <v/>
      </c>
      <c r="D862" s="140"/>
    </row>
    <row r="863" spans="1:4" ht="13.2">
      <c r="A863" s="193"/>
      <c r="B863" s="173"/>
      <c r="C863" s="139" t="str">
        <f ca="1">IFERROR(__xludf.DUMMYFUNCTION("if(ISBLANK(INDIRECT(ADDRESS(6,(ROW()-5)))),,QUERY('NPC List'!$1:$1000, ""Select C,D WHERE A = ""&amp;INDIRECT(ADDRESS(6,(ROW()-5)))&amp;"""",0))"),"")</f>
        <v/>
      </c>
      <c r="D863" s="140"/>
    </row>
    <row r="864" spans="1:4" ht="13.2">
      <c r="A864" s="193"/>
      <c r="B864" s="173"/>
      <c r="C864" s="139" t="str">
        <f ca="1">IFERROR(__xludf.DUMMYFUNCTION("if(ISBLANK(INDIRECT(ADDRESS(6,(ROW()-5)))),,QUERY('NPC List'!$1:$1000, ""Select C,D WHERE A = ""&amp;INDIRECT(ADDRESS(6,(ROW()-5)))&amp;"""",0))"),"")</f>
        <v/>
      </c>
      <c r="D864" s="140"/>
    </row>
    <row r="865" spans="1:4" ht="13.2">
      <c r="A865" s="193"/>
      <c r="B865" s="173"/>
      <c r="C865" s="139" t="str">
        <f ca="1">IFERROR(__xludf.DUMMYFUNCTION("if(ISBLANK(INDIRECT(ADDRESS(6,(ROW()-5)))),,QUERY('NPC List'!$1:$1000, ""Select C,D WHERE A = ""&amp;INDIRECT(ADDRESS(6,(ROW()-5)))&amp;"""",0))"),"")</f>
        <v/>
      </c>
      <c r="D865" s="140"/>
    </row>
    <row r="866" spans="1:4" ht="13.2">
      <c r="A866" s="193"/>
      <c r="B866" s="173"/>
      <c r="C866" s="139" t="str">
        <f ca="1">IFERROR(__xludf.DUMMYFUNCTION("if(ISBLANK(INDIRECT(ADDRESS(6,(ROW()-5)))),,QUERY('NPC List'!$1:$1000, ""Select C,D WHERE A = ""&amp;INDIRECT(ADDRESS(6,(ROW()-5)))&amp;"""",0))"),"")</f>
        <v/>
      </c>
      <c r="D866" s="140"/>
    </row>
    <row r="867" spans="1:4" ht="13.2">
      <c r="A867" s="193"/>
      <c r="B867" s="173"/>
      <c r="C867" s="139" t="str">
        <f ca="1">IFERROR(__xludf.DUMMYFUNCTION("if(ISBLANK(INDIRECT(ADDRESS(6,(ROW()-5)))),,QUERY('NPC List'!$1:$1000, ""Select C,D WHERE A = ""&amp;INDIRECT(ADDRESS(6,(ROW()-5)))&amp;"""",0))"),"")</f>
        <v/>
      </c>
      <c r="D867" s="140"/>
    </row>
    <row r="868" spans="1:4" ht="13.2">
      <c r="A868" s="193"/>
      <c r="B868" s="173"/>
      <c r="C868" s="139" t="str">
        <f ca="1">IFERROR(__xludf.DUMMYFUNCTION("if(ISBLANK(INDIRECT(ADDRESS(6,(ROW()-5)))),,QUERY('NPC List'!$1:$1000, ""Select C,D WHERE A = ""&amp;INDIRECT(ADDRESS(6,(ROW()-5)))&amp;"""",0))"),"")</f>
        <v/>
      </c>
      <c r="D868" s="140"/>
    </row>
    <row r="869" spans="1:4" ht="13.2">
      <c r="A869" s="193"/>
      <c r="B869" s="173"/>
      <c r="C869" s="139" t="str">
        <f ca="1">IFERROR(__xludf.DUMMYFUNCTION("if(ISBLANK(INDIRECT(ADDRESS(6,(ROW()-5)))),,QUERY('NPC List'!$1:$1000, ""Select C,D WHERE A = ""&amp;INDIRECT(ADDRESS(6,(ROW()-5)))&amp;"""",0))"),"")</f>
        <v/>
      </c>
      <c r="D869" s="140"/>
    </row>
    <row r="870" spans="1:4" ht="13.2">
      <c r="A870" s="193"/>
      <c r="B870" s="173"/>
      <c r="C870" s="139" t="str">
        <f ca="1">IFERROR(__xludf.DUMMYFUNCTION("if(ISBLANK(INDIRECT(ADDRESS(6,(ROW()-5)))),,QUERY('NPC List'!$1:$1000, ""Select C,D WHERE A = ""&amp;INDIRECT(ADDRESS(6,(ROW()-5)))&amp;"""",0))"),"")</f>
        <v/>
      </c>
      <c r="D870" s="140"/>
    </row>
    <row r="871" spans="1:4" ht="13.2">
      <c r="A871" s="193"/>
      <c r="B871" s="173"/>
      <c r="C871" s="139" t="str">
        <f ca="1">IFERROR(__xludf.DUMMYFUNCTION("if(ISBLANK(INDIRECT(ADDRESS(6,(ROW()-5)))),,QUERY('NPC List'!$1:$1000, ""Select C,D WHERE A = ""&amp;INDIRECT(ADDRESS(6,(ROW()-5)))&amp;"""",0))"),"")</f>
        <v/>
      </c>
      <c r="D871" s="140"/>
    </row>
    <row r="872" spans="1:4" ht="13.2">
      <c r="A872" s="193"/>
      <c r="B872" s="173"/>
      <c r="C872" s="139" t="str">
        <f ca="1">IFERROR(__xludf.DUMMYFUNCTION("if(ISBLANK(INDIRECT(ADDRESS(6,(ROW()-5)))),,QUERY('NPC List'!$1:$1000, ""Select C,D WHERE A = ""&amp;INDIRECT(ADDRESS(6,(ROW()-5)))&amp;"""",0))"),"")</f>
        <v/>
      </c>
      <c r="D872" s="140"/>
    </row>
    <row r="873" spans="1:4" ht="13.2">
      <c r="A873" s="193"/>
      <c r="B873" s="173"/>
      <c r="C873" s="139" t="str">
        <f ca="1">IFERROR(__xludf.DUMMYFUNCTION("if(ISBLANK(INDIRECT(ADDRESS(6,(ROW()-5)))),,QUERY('NPC List'!$1:$1000, ""Select C,D WHERE A = ""&amp;INDIRECT(ADDRESS(6,(ROW()-5)))&amp;"""",0))"),"")</f>
        <v/>
      </c>
      <c r="D873" s="140"/>
    </row>
    <row r="874" spans="1:4" ht="13.2">
      <c r="A874" s="193"/>
      <c r="B874" s="173"/>
      <c r="C874" s="139" t="str">
        <f ca="1">IFERROR(__xludf.DUMMYFUNCTION("if(ISBLANK(INDIRECT(ADDRESS(6,(ROW()-5)))),,QUERY('NPC List'!$1:$1000, ""Select C,D WHERE A = ""&amp;INDIRECT(ADDRESS(6,(ROW()-5)))&amp;"""",0))"),"")</f>
        <v/>
      </c>
      <c r="D874" s="140"/>
    </row>
    <row r="875" spans="1:4" ht="13.2">
      <c r="A875" s="193"/>
      <c r="B875" s="173"/>
      <c r="C875" s="139" t="str">
        <f ca="1">IFERROR(__xludf.DUMMYFUNCTION("if(ISBLANK(INDIRECT(ADDRESS(6,(ROW()-5)))),,QUERY('NPC List'!$1:$1000, ""Select C,D WHERE A = ""&amp;INDIRECT(ADDRESS(6,(ROW()-5)))&amp;"""",0))"),"")</f>
        <v/>
      </c>
      <c r="D875" s="140"/>
    </row>
    <row r="876" spans="1:4" ht="13.2">
      <c r="A876" s="193"/>
      <c r="B876" s="173"/>
      <c r="C876" s="139" t="str">
        <f ca="1">IFERROR(__xludf.DUMMYFUNCTION("if(ISBLANK(INDIRECT(ADDRESS(6,(ROW()-5)))),,QUERY('NPC List'!$1:$1000, ""Select C,D WHERE A = ""&amp;INDIRECT(ADDRESS(6,(ROW()-5)))&amp;"""",0))"),"")</f>
        <v/>
      </c>
      <c r="D876" s="140"/>
    </row>
    <row r="877" spans="1:4" ht="13.2">
      <c r="A877" s="193"/>
      <c r="B877" s="173"/>
      <c r="C877" s="139" t="str">
        <f ca="1">IFERROR(__xludf.DUMMYFUNCTION("if(ISBLANK(INDIRECT(ADDRESS(6,(ROW()-5)))),,QUERY('NPC List'!$1:$1000, ""Select C,D WHERE A = ""&amp;INDIRECT(ADDRESS(6,(ROW()-5)))&amp;"""",0))"),"")</f>
        <v/>
      </c>
      <c r="D877" s="140"/>
    </row>
    <row r="878" spans="1:4" ht="13.2">
      <c r="A878" s="193"/>
      <c r="B878" s="173"/>
      <c r="C878" s="139" t="str">
        <f ca="1">IFERROR(__xludf.DUMMYFUNCTION("if(ISBLANK(INDIRECT(ADDRESS(6,(ROW()-5)))),,QUERY('NPC List'!$1:$1000, ""Select C,D WHERE A = ""&amp;INDIRECT(ADDRESS(6,(ROW()-5)))&amp;"""",0))"),"")</f>
        <v/>
      </c>
      <c r="D878" s="140"/>
    </row>
    <row r="879" spans="1:4" ht="13.2">
      <c r="A879" s="193"/>
      <c r="B879" s="173"/>
      <c r="C879" s="139" t="str">
        <f ca="1">IFERROR(__xludf.DUMMYFUNCTION("if(ISBLANK(INDIRECT(ADDRESS(6,(ROW()-5)))),,QUERY('NPC List'!$1:$1000, ""Select C,D WHERE A = ""&amp;INDIRECT(ADDRESS(6,(ROW()-5)))&amp;"""",0))"),"")</f>
        <v/>
      </c>
      <c r="D879" s="140"/>
    </row>
    <row r="880" spans="1:4" ht="13.2">
      <c r="A880" s="193"/>
      <c r="B880" s="173"/>
      <c r="C880" s="139" t="str">
        <f ca="1">IFERROR(__xludf.DUMMYFUNCTION("if(ISBLANK(INDIRECT(ADDRESS(6,(ROW()-5)))),,QUERY('NPC List'!$1:$1000, ""Select C,D WHERE A = ""&amp;INDIRECT(ADDRESS(6,(ROW()-5)))&amp;"""",0))"),"")</f>
        <v/>
      </c>
      <c r="D880" s="140"/>
    </row>
    <row r="881" spans="1:4" ht="13.2">
      <c r="A881" s="193"/>
      <c r="B881" s="173"/>
      <c r="C881" s="139" t="str">
        <f ca="1">IFERROR(__xludf.DUMMYFUNCTION("if(ISBLANK(INDIRECT(ADDRESS(6,(ROW()-5)))),,QUERY('NPC List'!$1:$1000, ""Select C,D WHERE A = ""&amp;INDIRECT(ADDRESS(6,(ROW()-5)))&amp;"""",0))"),"")</f>
        <v/>
      </c>
      <c r="D881" s="140"/>
    </row>
    <row r="882" spans="1:4" ht="13.2">
      <c r="A882" s="193"/>
      <c r="B882" s="173"/>
      <c r="C882" s="139" t="str">
        <f ca="1">IFERROR(__xludf.DUMMYFUNCTION("if(ISBLANK(INDIRECT(ADDRESS(6,(ROW()-5)))),,QUERY('NPC List'!$1:$1000, ""Select C,D WHERE A = ""&amp;INDIRECT(ADDRESS(6,(ROW()-5)))&amp;"""",0))"),"")</f>
        <v/>
      </c>
      <c r="D882" s="140"/>
    </row>
    <row r="883" spans="1:4" ht="13.2">
      <c r="A883" s="193"/>
      <c r="B883" s="173"/>
      <c r="C883" s="139" t="str">
        <f ca="1">IFERROR(__xludf.DUMMYFUNCTION("if(ISBLANK(INDIRECT(ADDRESS(6,(ROW()-5)))),,QUERY('NPC List'!$1:$1000, ""Select C,D WHERE A = ""&amp;INDIRECT(ADDRESS(6,(ROW()-5)))&amp;"""",0))"),"")</f>
        <v/>
      </c>
      <c r="D883" s="140"/>
    </row>
    <row r="884" spans="1:4" ht="13.2">
      <c r="A884" s="193"/>
      <c r="B884" s="173"/>
      <c r="C884" s="139" t="str">
        <f ca="1">IFERROR(__xludf.DUMMYFUNCTION("if(ISBLANK(INDIRECT(ADDRESS(6,(ROW()-5)))),,QUERY('NPC List'!$1:$1000, ""Select C,D WHERE A = ""&amp;INDIRECT(ADDRESS(6,(ROW()-5)))&amp;"""",0))"),"")</f>
        <v/>
      </c>
      <c r="D884" s="140"/>
    </row>
    <row r="885" spans="1:4" ht="13.2">
      <c r="A885" s="193"/>
      <c r="B885" s="173"/>
      <c r="C885" s="139" t="str">
        <f ca="1">IFERROR(__xludf.DUMMYFUNCTION("if(ISBLANK(INDIRECT(ADDRESS(6,(ROW()-5)))),,QUERY('NPC List'!$1:$1000, ""Select C,D WHERE A = ""&amp;INDIRECT(ADDRESS(6,(ROW()-5)))&amp;"""",0))"),"")</f>
        <v/>
      </c>
      <c r="D885" s="140"/>
    </row>
    <row r="886" spans="1:4" ht="13.2">
      <c r="A886" s="193"/>
      <c r="B886" s="173"/>
      <c r="C886" s="139" t="str">
        <f ca="1">IFERROR(__xludf.DUMMYFUNCTION("if(ISBLANK(INDIRECT(ADDRESS(6,(ROW()-5)))),,QUERY('NPC List'!$1:$1000, ""Select C,D WHERE A = ""&amp;INDIRECT(ADDRESS(6,(ROW()-5)))&amp;"""",0))"),"")</f>
        <v/>
      </c>
      <c r="D886" s="140"/>
    </row>
    <row r="887" spans="1:4" ht="13.2">
      <c r="A887" s="193"/>
      <c r="B887" s="173"/>
      <c r="C887" s="139" t="str">
        <f ca="1">IFERROR(__xludf.DUMMYFUNCTION("if(ISBLANK(INDIRECT(ADDRESS(6,(ROW()-5)))),,QUERY('NPC List'!$1:$1000, ""Select C,D WHERE A = ""&amp;INDIRECT(ADDRESS(6,(ROW()-5)))&amp;"""",0))"),"")</f>
        <v/>
      </c>
      <c r="D887" s="140"/>
    </row>
    <row r="888" spans="1:4" ht="13.2">
      <c r="A888" s="193"/>
      <c r="B888" s="173"/>
      <c r="C888" s="139" t="str">
        <f ca="1">IFERROR(__xludf.DUMMYFUNCTION("if(ISBLANK(INDIRECT(ADDRESS(6,(ROW()-5)))),,QUERY('NPC List'!$1:$1000, ""Select C,D WHERE A = ""&amp;INDIRECT(ADDRESS(6,(ROW()-5)))&amp;"""",0))"),"")</f>
        <v/>
      </c>
      <c r="D888" s="140"/>
    </row>
    <row r="889" spans="1:4" ht="13.2">
      <c r="A889" s="193"/>
      <c r="B889" s="173"/>
      <c r="C889" s="139" t="str">
        <f ca="1">IFERROR(__xludf.DUMMYFUNCTION("if(ISBLANK(INDIRECT(ADDRESS(6,(ROW()-5)))),,QUERY('NPC List'!$1:$1000, ""Select C,D WHERE A = ""&amp;INDIRECT(ADDRESS(6,(ROW()-5)))&amp;"""",0))"),"")</f>
        <v/>
      </c>
      <c r="D889" s="140"/>
    </row>
    <row r="890" spans="1:4" ht="13.2">
      <c r="A890" s="193"/>
      <c r="B890" s="173"/>
      <c r="C890" s="139" t="str">
        <f ca="1">IFERROR(__xludf.DUMMYFUNCTION("if(ISBLANK(INDIRECT(ADDRESS(6,(ROW()-5)))),,QUERY('NPC List'!$1:$1000, ""Select C,D WHERE A = ""&amp;INDIRECT(ADDRESS(6,(ROW()-5)))&amp;"""",0))"),"")</f>
        <v/>
      </c>
      <c r="D890" s="140"/>
    </row>
    <row r="891" spans="1:4" ht="13.2">
      <c r="A891" s="193"/>
      <c r="B891" s="173"/>
      <c r="C891" s="139" t="str">
        <f ca="1">IFERROR(__xludf.DUMMYFUNCTION("if(ISBLANK(INDIRECT(ADDRESS(6,(ROW()-5)))),,QUERY('NPC List'!$1:$1000, ""Select C,D WHERE A = ""&amp;INDIRECT(ADDRESS(6,(ROW()-5)))&amp;"""",0))"),"")</f>
        <v/>
      </c>
      <c r="D891" s="140"/>
    </row>
    <row r="892" spans="1:4" ht="13.2">
      <c r="A892" s="193"/>
      <c r="B892" s="173"/>
      <c r="C892" s="139" t="str">
        <f ca="1">IFERROR(__xludf.DUMMYFUNCTION("if(ISBLANK(INDIRECT(ADDRESS(6,(ROW()-5)))),,QUERY('NPC List'!$1:$1000, ""Select C,D WHERE A = ""&amp;INDIRECT(ADDRESS(6,(ROW()-5)))&amp;"""",0))"),"")</f>
        <v/>
      </c>
      <c r="D892" s="140"/>
    </row>
    <row r="893" spans="1:4" ht="13.2">
      <c r="A893" s="193"/>
      <c r="B893" s="173"/>
      <c r="C893" s="139" t="str">
        <f ca="1">IFERROR(__xludf.DUMMYFUNCTION("if(ISBLANK(INDIRECT(ADDRESS(6,(ROW()-5)))),,QUERY('NPC List'!$1:$1000, ""Select C,D WHERE A = ""&amp;INDIRECT(ADDRESS(6,(ROW()-5)))&amp;"""",0))"),"")</f>
        <v/>
      </c>
      <c r="D893" s="140"/>
    </row>
    <row r="894" spans="1:4" ht="13.2">
      <c r="A894" s="193"/>
      <c r="B894" s="173"/>
      <c r="C894" s="139" t="str">
        <f ca="1">IFERROR(__xludf.DUMMYFUNCTION("if(ISBLANK(INDIRECT(ADDRESS(6,(ROW()-5)))),,QUERY('NPC List'!$1:$1000, ""Select C,D WHERE A = ""&amp;INDIRECT(ADDRESS(6,(ROW()-5)))&amp;"""",0))"),"")</f>
        <v/>
      </c>
      <c r="D894" s="140"/>
    </row>
    <row r="895" spans="1:4" ht="13.2">
      <c r="A895" s="193"/>
      <c r="B895" s="173"/>
      <c r="C895" s="139" t="str">
        <f ca="1">IFERROR(__xludf.DUMMYFUNCTION("if(ISBLANK(INDIRECT(ADDRESS(6,(ROW()-5)))),,QUERY('NPC List'!$1:$1000, ""Select C,D WHERE A = ""&amp;INDIRECT(ADDRESS(6,(ROW()-5)))&amp;"""",0))"),"")</f>
        <v/>
      </c>
      <c r="D895" s="140"/>
    </row>
    <row r="896" spans="1:4" ht="13.2">
      <c r="A896" s="193"/>
      <c r="B896" s="173"/>
      <c r="C896" s="139" t="str">
        <f ca="1">IFERROR(__xludf.DUMMYFUNCTION("if(ISBLANK(INDIRECT(ADDRESS(6,(ROW()-5)))),,QUERY('NPC List'!$1:$1000, ""Select C,D WHERE A = ""&amp;INDIRECT(ADDRESS(6,(ROW()-5)))&amp;"""",0))"),"")</f>
        <v/>
      </c>
      <c r="D896" s="140"/>
    </row>
    <row r="897" spans="1:4" ht="13.2">
      <c r="A897" s="193"/>
      <c r="B897" s="173"/>
      <c r="C897" s="139" t="str">
        <f ca="1">IFERROR(__xludf.DUMMYFUNCTION("if(ISBLANK(INDIRECT(ADDRESS(6,(ROW()-5)))),,QUERY('NPC List'!$1:$1000, ""Select C,D WHERE A = ""&amp;INDIRECT(ADDRESS(6,(ROW()-5)))&amp;"""",0))"),"")</f>
        <v/>
      </c>
      <c r="D897" s="140"/>
    </row>
    <row r="898" spans="1:4" ht="13.2">
      <c r="A898" s="193"/>
      <c r="B898" s="173"/>
      <c r="C898" s="139" t="str">
        <f ca="1">IFERROR(__xludf.DUMMYFUNCTION("if(ISBLANK(INDIRECT(ADDRESS(6,(ROW()-5)))),,QUERY('NPC List'!$1:$1000, ""Select C,D WHERE A = ""&amp;INDIRECT(ADDRESS(6,(ROW()-5)))&amp;"""",0))"),"")</f>
        <v/>
      </c>
      <c r="D898" s="140"/>
    </row>
    <row r="899" spans="1:4" ht="13.2">
      <c r="A899" s="193"/>
      <c r="B899" s="173"/>
      <c r="C899" s="139" t="str">
        <f ca="1">IFERROR(__xludf.DUMMYFUNCTION("if(ISBLANK(INDIRECT(ADDRESS(6,(ROW()-5)))),,QUERY('NPC List'!$1:$1000, ""Select C,D WHERE A = ""&amp;INDIRECT(ADDRESS(6,(ROW()-5)))&amp;"""",0))"),"")</f>
        <v/>
      </c>
      <c r="D899" s="140"/>
    </row>
    <row r="900" spans="1:4" ht="13.2">
      <c r="A900" s="193"/>
      <c r="B900" s="173"/>
      <c r="C900" s="139" t="str">
        <f ca="1">IFERROR(__xludf.DUMMYFUNCTION("if(ISBLANK(INDIRECT(ADDRESS(6,(ROW()-5)))),,QUERY('NPC List'!$1:$1000, ""Select C,D WHERE A = ""&amp;INDIRECT(ADDRESS(6,(ROW()-5)))&amp;"""",0))"),"")</f>
        <v/>
      </c>
      <c r="D900" s="140"/>
    </row>
    <row r="901" spans="1:4" ht="13.2">
      <c r="A901" s="193"/>
      <c r="B901" s="173"/>
      <c r="C901" s="139" t="str">
        <f ca="1">IFERROR(__xludf.DUMMYFUNCTION("if(ISBLANK(INDIRECT(ADDRESS(6,(ROW()-5)))),,QUERY('NPC List'!$1:$1000, ""Select C,D WHERE A = ""&amp;INDIRECT(ADDRESS(6,(ROW()-5)))&amp;"""",0))"),"")</f>
        <v/>
      </c>
      <c r="D901" s="140"/>
    </row>
    <row r="902" spans="1:4" ht="13.2">
      <c r="A902" s="193"/>
      <c r="B902" s="173"/>
      <c r="C902" s="139" t="str">
        <f ca="1">IFERROR(__xludf.DUMMYFUNCTION("if(ISBLANK(INDIRECT(ADDRESS(6,(ROW()-5)))),,QUERY('NPC List'!$1:$1000, ""Select C,D WHERE A = ""&amp;INDIRECT(ADDRESS(6,(ROW()-5)))&amp;"""",0))"),"")</f>
        <v/>
      </c>
      <c r="D902" s="140"/>
    </row>
    <row r="903" spans="1:4" ht="13.2">
      <c r="A903" s="193"/>
      <c r="B903" s="173"/>
      <c r="C903" s="139" t="str">
        <f ca="1">IFERROR(__xludf.DUMMYFUNCTION("if(ISBLANK(INDIRECT(ADDRESS(6,(ROW()-5)))),,QUERY('NPC List'!$1:$1000, ""Select C,D WHERE A = ""&amp;INDIRECT(ADDRESS(6,(ROW()-5)))&amp;"""",0))"),"")</f>
        <v/>
      </c>
      <c r="D903" s="140"/>
    </row>
    <row r="904" spans="1:4" ht="13.2">
      <c r="A904" s="193"/>
      <c r="B904" s="173"/>
      <c r="C904" s="139" t="str">
        <f ca="1">IFERROR(__xludf.DUMMYFUNCTION("if(ISBLANK(INDIRECT(ADDRESS(6,(ROW()-5)))),,QUERY('NPC List'!$1:$1000, ""Select C,D WHERE A = ""&amp;INDIRECT(ADDRESS(6,(ROW()-5)))&amp;"""",0))"),"")</f>
        <v/>
      </c>
      <c r="D904" s="140"/>
    </row>
    <row r="905" spans="1:4" ht="13.2">
      <c r="A905" s="193"/>
      <c r="B905" s="173"/>
      <c r="C905" s="139" t="str">
        <f ca="1">IFERROR(__xludf.DUMMYFUNCTION("if(ISBLANK(INDIRECT(ADDRESS(6,(ROW()-5)))),,QUERY('NPC List'!$1:$1000, ""Select C,D WHERE A = ""&amp;INDIRECT(ADDRESS(6,(ROW()-5)))&amp;"""",0))"),"")</f>
        <v/>
      </c>
      <c r="D905" s="140"/>
    </row>
    <row r="906" spans="1:4" ht="13.2">
      <c r="A906" s="193"/>
      <c r="B906" s="173"/>
      <c r="C906" s="139" t="str">
        <f ca="1">IFERROR(__xludf.DUMMYFUNCTION("if(ISBLANK(INDIRECT(ADDRESS(6,(ROW()-5)))),,QUERY('NPC List'!$1:$1000, ""Select C,D WHERE A = ""&amp;INDIRECT(ADDRESS(6,(ROW()-5)))&amp;"""",0))"),"")</f>
        <v/>
      </c>
      <c r="D906" s="140"/>
    </row>
    <row r="907" spans="1:4" ht="13.2">
      <c r="A907" s="193"/>
      <c r="B907" s="173"/>
      <c r="C907" s="139" t="str">
        <f ca="1">IFERROR(__xludf.DUMMYFUNCTION("if(ISBLANK(INDIRECT(ADDRESS(6,(ROW()-5)))),,QUERY('NPC List'!$1:$1000, ""Select C,D WHERE A = ""&amp;INDIRECT(ADDRESS(6,(ROW()-5)))&amp;"""",0))"),"")</f>
        <v/>
      </c>
      <c r="D907" s="140"/>
    </row>
    <row r="908" spans="1:4" ht="13.2">
      <c r="A908" s="193"/>
      <c r="B908" s="173"/>
      <c r="C908" s="139" t="str">
        <f ca="1">IFERROR(__xludf.DUMMYFUNCTION("if(ISBLANK(INDIRECT(ADDRESS(6,(ROW()-5)))),,QUERY('NPC List'!$1:$1000, ""Select C,D WHERE A = ""&amp;INDIRECT(ADDRESS(6,(ROW()-5)))&amp;"""",0))"),"")</f>
        <v/>
      </c>
      <c r="D908" s="140"/>
    </row>
    <row r="909" spans="1:4" ht="13.2">
      <c r="A909" s="193"/>
      <c r="B909" s="173"/>
      <c r="C909" s="139" t="str">
        <f ca="1">IFERROR(__xludf.DUMMYFUNCTION("if(ISBLANK(INDIRECT(ADDRESS(6,(ROW()-5)))),,QUERY('NPC List'!$1:$1000, ""Select C,D WHERE A = ""&amp;INDIRECT(ADDRESS(6,(ROW()-5)))&amp;"""",0))"),"")</f>
        <v/>
      </c>
      <c r="D909" s="140"/>
    </row>
    <row r="910" spans="1:4" ht="13.2">
      <c r="A910" s="193"/>
      <c r="B910" s="173"/>
      <c r="C910" s="139" t="str">
        <f ca="1">IFERROR(__xludf.DUMMYFUNCTION("if(ISBLANK(INDIRECT(ADDRESS(6,(ROW()-5)))),,QUERY('NPC List'!$1:$1000, ""Select C,D WHERE A = ""&amp;INDIRECT(ADDRESS(6,(ROW()-5)))&amp;"""",0))"),"")</f>
        <v/>
      </c>
      <c r="D910" s="140"/>
    </row>
    <row r="911" spans="1:4" ht="13.2">
      <c r="A911" s="193"/>
      <c r="B911" s="173"/>
      <c r="C911" s="139" t="str">
        <f ca="1">IFERROR(__xludf.DUMMYFUNCTION("if(ISBLANK(INDIRECT(ADDRESS(6,(ROW()-5)))),,QUERY('NPC List'!$1:$1000, ""Select C,D WHERE A = ""&amp;INDIRECT(ADDRESS(6,(ROW()-5)))&amp;"""",0))"),"")</f>
        <v/>
      </c>
      <c r="D911" s="140"/>
    </row>
    <row r="912" spans="1:4" ht="13.2">
      <c r="A912" s="193"/>
      <c r="B912" s="173"/>
      <c r="C912" s="139" t="str">
        <f ca="1">IFERROR(__xludf.DUMMYFUNCTION("if(ISBLANK(INDIRECT(ADDRESS(6,(ROW()-5)))),,QUERY('NPC List'!$1:$1000, ""Select C,D WHERE A = ""&amp;INDIRECT(ADDRESS(6,(ROW()-5)))&amp;"""",0))"),"")</f>
        <v/>
      </c>
      <c r="D912" s="140"/>
    </row>
    <row r="913" spans="1:4" ht="13.2">
      <c r="A913" s="193"/>
      <c r="B913" s="173"/>
      <c r="C913" s="139" t="str">
        <f ca="1">IFERROR(__xludf.DUMMYFUNCTION("if(ISBLANK(INDIRECT(ADDRESS(6,(ROW()-5)))),,QUERY('NPC List'!$1:$1000, ""Select C,D WHERE A = ""&amp;INDIRECT(ADDRESS(6,(ROW()-5)))&amp;"""",0))"),"")</f>
        <v/>
      </c>
      <c r="D913" s="140"/>
    </row>
    <row r="914" spans="1:4" ht="13.2">
      <c r="A914" s="193"/>
      <c r="B914" s="173"/>
      <c r="C914" s="139" t="str">
        <f ca="1">IFERROR(__xludf.DUMMYFUNCTION("if(ISBLANK(INDIRECT(ADDRESS(6,(ROW()-5)))),,QUERY('NPC List'!$1:$1000, ""Select C,D WHERE A = ""&amp;INDIRECT(ADDRESS(6,(ROW()-5)))&amp;"""",0))"),"")</f>
        <v/>
      </c>
      <c r="D914" s="140"/>
    </row>
    <row r="915" spans="1:4" ht="13.2">
      <c r="A915" s="193"/>
      <c r="B915" s="173"/>
      <c r="C915" s="139" t="str">
        <f ca="1">IFERROR(__xludf.DUMMYFUNCTION("if(ISBLANK(INDIRECT(ADDRESS(6,(ROW()-5)))),,QUERY('NPC List'!$1:$1000, ""Select C,D WHERE A = ""&amp;INDIRECT(ADDRESS(6,(ROW()-5)))&amp;"""",0))"),"")</f>
        <v/>
      </c>
      <c r="D915" s="140"/>
    </row>
    <row r="916" spans="1:4" ht="13.2">
      <c r="A916" s="193"/>
      <c r="B916" s="173"/>
      <c r="C916" s="139" t="str">
        <f ca="1">IFERROR(__xludf.DUMMYFUNCTION("if(ISBLANK(INDIRECT(ADDRESS(6,(ROW()-5)))),,QUERY('NPC List'!$1:$1000, ""Select C,D WHERE A = ""&amp;INDIRECT(ADDRESS(6,(ROW()-5)))&amp;"""",0))"),"")</f>
        <v/>
      </c>
      <c r="D916" s="140"/>
    </row>
    <row r="917" spans="1:4" ht="13.2">
      <c r="A917" s="193"/>
      <c r="B917" s="173"/>
      <c r="C917" s="139" t="str">
        <f ca="1">IFERROR(__xludf.DUMMYFUNCTION("if(ISBLANK(INDIRECT(ADDRESS(6,(ROW()-5)))),,QUERY('NPC List'!$1:$1000, ""Select C,D WHERE A = ""&amp;INDIRECT(ADDRESS(6,(ROW()-5)))&amp;"""",0))"),"")</f>
        <v/>
      </c>
      <c r="D917" s="140"/>
    </row>
    <row r="918" spans="1:4" ht="13.2">
      <c r="A918" s="193"/>
      <c r="B918" s="173"/>
      <c r="C918" s="139" t="str">
        <f ca="1">IFERROR(__xludf.DUMMYFUNCTION("if(ISBLANK(INDIRECT(ADDRESS(6,(ROW()-5)))),,QUERY('NPC List'!$1:$1000, ""Select C,D WHERE A = ""&amp;INDIRECT(ADDRESS(6,(ROW()-5)))&amp;"""",0))"),"")</f>
        <v/>
      </c>
      <c r="D918" s="140"/>
    </row>
    <row r="919" spans="1:4" ht="13.2">
      <c r="A919" s="193"/>
      <c r="B919" s="173"/>
      <c r="C919" s="139" t="str">
        <f ca="1">IFERROR(__xludf.DUMMYFUNCTION("if(ISBLANK(INDIRECT(ADDRESS(6,(ROW()-5)))),,QUERY('NPC List'!$1:$1000, ""Select C,D WHERE A = ""&amp;INDIRECT(ADDRESS(6,(ROW()-5)))&amp;"""",0))"),"")</f>
        <v/>
      </c>
      <c r="D919" s="140"/>
    </row>
    <row r="920" spans="1:4" ht="13.2">
      <c r="A920" s="193"/>
      <c r="B920" s="173"/>
      <c r="C920" s="139" t="str">
        <f ca="1">IFERROR(__xludf.DUMMYFUNCTION("if(ISBLANK(INDIRECT(ADDRESS(6,(ROW()-5)))),,QUERY('NPC List'!$1:$1000, ""Select C,D WHERE A = ""&amp;INDIRECT(ADDRESS(6,(ROW()-5)))&amp;"""",0))"),"")</f>
        <v/>
      </c>
      <c r="D920" s="140"/>
    </row>
    <row r="921" spans="1:4" ht="13.2">
      <c r="A921" s="193"/>
      <c r="B921" s="173"/>
      <c r="C921" s="139" t="str">
        <f ca="1">IFERROR(__xludf.DUMMYFUNCTION("if(ISBLANK(INDIRECT(ADDRESS(6,(ROW()-5)))),,QUERY('NPC List'!$1:$1000, ""Select C,D WHERE A = ""&amp;INDIRECT(ADDRESS(6,(ROW()-5)))&amp;"""",0))"),"")</f>
        <v/>
      </c>
      <c r="D921" s="140"/>
    </row>
    <row r="922" spans="1:4" ht="13.2">
      <c r="A922" s="193"/>
      <c r="B922" s="173"/>
      <c r="C922" s="139" t="str">
        <f ca="1">IFERROR(__xludf.DUMMYFUNCTION("if(ISBLANK(INDIRECT(ADDRESS(6,(ROW()-5)))),,QUERY('NPC List'!$1:$1000, ""Select C,D WHERE A = ""&amp;INDIRECT(ADDRESS(6,(ROW()-5)))&amp;"""",0))"),"")</f>
        <v/>
      </c>
      <c r="D922" s="140"/>
    </row>
    <row r="923" spans="1:4" ht="13.2">
      <c r="A923" s="193"/>
      <c r="B923" s="173"/>
      <c r="C923" s="139" t="str">
        <f ca="1">IFERROR(__xludf.DUMMYFUNCTION("if(ISBLANK(INDIRECT(ADDRESS(6,(ROW()-5)))),,QUERY('NPC List'!$1:$1000, ""Select C,D WHERE A = ""&amp;INDIRECT(ADDRESS(6,(ROW()-5)))&amp;"""",0))"),"")</f>
        <v/>
      </c>
      <c r="D923" s="140"/>
    </row>
    <row r="924" spans="1:4" ht="13.2">
      <c r="A924" s="193"/>
      <c r="B924" s="173"/>
      <c r="C924" s="139" t="str">
        <f ca="1">IFERROR(__xludf.DUMMYFUNCTION("if(ISBLANK(INDIRECT(ADDRESS(6,(ROW()-5)))),,QUERY('NPC List'!$1:$1000, ""Select C,D WHERE A = ""&amp;INDIRECT(ADDRESS(6,(ROW()-5)))&amp;"""",0))"),"")</f>
        <v/>
      </c>
      <c r="D924" s="140"/>
    </row>
    <row r="925" spans="1:4" ht="13.2">
      <c r="A925" s="193"/>
      <c r="B925" s="173"/>
      <c r="C925" s="139" t="str">
        <f ca="1">IFERROR(__xludf.DUMMYFUNCTION("if(ISBLANK(INDIRECT(ADDRESS(6,(ROW()-5)))),,QUERY('NPC List'!$1:$1000, ""Select C,D WHERE A = ""&amp;INDIRECT(ADDRESS(6,(ROW()-5)))&amp;"""",0))"),"")</f>
        <v/>
      </c>
      <c r="D925" s="140"/>
    </row>
    <row r="926" spans="1:4" ht="13.2">
      <c r="A926" s="193"/>
      <c r="B926" s="173"/>
      <c r="C926" s="139" t="str">
        <f ca="1">IFERROR(__xludf.DUMMYFUNCTION("if(ISBLANK(INDIRECT(ADDRESS(6,(ROW()-5)))),,QUERY('NPC List'!$1:$1000, ""Select C,D WHERE A = ""&amp;INDIRECT(ADDRESS(6,(ROW()-5)))&amp;"""",0))"),"")</f>
        <v/>
      </c>
      <c r="D926" s="140"/>
    </row>
    <row r="927" spans="1:4" ht="13.2">
      <c r="A927" s="193"/>
      <c r="B927" s="173"/>
      <c r="C927" s="139" t="str">
        <f ca="1">IFERROR(__xludf.DUMMYFUNCTION("if(ISBLANK(INDIRECT(ADDRESS(6,(ROW()-5)))),,QUERY('NPC List'!$1:$1000, ""Select C,D WHERE A = ""&amp;INDIRECT(ADDRESS(6,(ROW()-5)))&amp;"""",0))"),"")</f>
        <v/>
      </c>
      <c r="D927" s="140"/>
    </row>
    <row r="928" spans="1:4" ht="13.2">
      <c r="A928" s="193"/>
      <c r="B928" s="173"/>
      <c r="C928" s="139" t="str">
        <f ca="1">IFERROR(__xludf.DUMMYFUNCTION("if(ISBLANK(INDIRECT(ADDRESS(6,(ROW()-5)))),,QUERY('NPC List'!$1:$1000, ""Select C,D WHERE A = ""&amp;INDIRECT(ADDRESS(6,(ROW()-5)))&amp;"""",0))"),"")</f>
        <v/>
      </c>
      <c r="D928" s="140"/>
    </row>
    <row r="929" spans="1:4" ht="13.2">
      <c r="A929" s="193"/>
      <c r="B929" s="173"/>
      <c r="C929" s="139" t="str">
        <f ca="1">IFERROR(__xludf.DUMMYFUNCTION("if(ISBLANK(INDIRECT(ADDRESS(6,(ROW()-5)))),,QUERY('NPC List'!$1:$1000, ""Select C,D WHERE A = ""&amp;INDIRECT(ADDRESS(6,(ROW()-5)))&amp;"""",0))"),"")</f>
        <v/>
      </c>
      <c r="D929" s="140"/>
    </row>
    <row r="930" spans="1:4" ht="13.2">
      <c r="A930" s="193"/>
      <c r="B930" s="173"/>
      <c r="C930" s="139" t="str">
        <f ca="1">IFERROR(__xludf.DUMMYFUNCTION("if(ISBLANK(INDIRECT(ADDRESS(6,(ROW()-5)))),,QUERY('NPC List'!$1:$1000, ""Select C,D WHERE A = ""&amp;INDIRECT(ADDRESS(6,(ROW()-5)))&amp;"""",0))"),"")</f>
        <v/>
      </c>
      <c r="D930" s="140"/>
    </row>
    <row r="931" spans="1:4" ht="13.2">
      <c r="A931" s="193"/>
      <c r="B931" s="173"/>
      <c r="C931" s="139" t="str">
        <f ca="1">IFERROR(__xludf.DUMMYFUNCTION("if(ISBLANK(INDIRECT(ADDRESS(6,(ROW()-5)))),,QUERY('NPC List'!$1:$1000, ""Select C,D WHERE A = ""&amp;INDIRECT(ADDRESS(6,(ROW()-5)))&amp;"""",0))"),"")</f>
        <v/>
      </c>
      <c r="D931" s="140"/>
    </row>
    <row r="932" spans="1:4" ht="13.2">
      <c r="A932" s="193"/>
      <c r="B932" s="173"/>
      <c r="C932" s="139" t="str">
        <f ca="1">IFERROR(__xludf.DUMMYFUNCTION("if(ISBLANK(INDIRECT(ADDRESS(6,(ROW()-5)))),,QUERY('NPC List'!$1:$1000, ""Select C,D WHERE A = ""&amp;INDIRECT(ADDRESS(6,(ROW()-5)))&amp;"""",0))"),"")</f>
        <v/>
      </c>
      <c r="D932" s="140"/>
    </row>
    <row r="933" spans="1:4" ht="13.2">
      <c r="A933" s="193"/>
      <c r="B933" s="173"/>
      <c r="C933" s="139" t="str">
        <f ca="1">IFERROR(__xludf.DUMMYFUNCTION("if(ISBLANK(INDIRECT(ADDRESS(6,(ROW()-5)))),,QUERY('NPC List'!$1:$1000, ""Select C,D WHERE A = ""&amp;INDIRECT(ADDRESS(6,(ROW()-5)))&amp;"""",0))"),"")</f>
        <v/>
      </c>
      <c r="D933" s="140"/>
    </row>
    <row r="934" spans="1:4" ht="13.2">
      <c r="A934" s="193"/>
      <c r="B934" s="173"/>
      <c r="C934" s="139" t="str">
        <f ca="1">IFERROR(__xludf.DUMMYFUNCTION("if(ISBLANK(INDIRECT(ADDRESS(6,(ROW()-5)))),,QUERY('NPC List'!$1:$1000, ""Select C,D WHERE A = ""&amp;INDIRECT(ADDRESS(6,(ROW()-5)))&amp;"""",0))"),"")</f>
        <v/>
      </c>
      <c r="D934" s="140"/>
    </row>
    <row r="935" spans="1:4" ht="13.2">
      <c r="A935" s="193"/>
      <c r="B935" s="173"/>
      <c r="C935" s="139" t="str">
        <f ca="1">IFERROR(__xludf.DUMMYFUNCTION("if(ISBLANK(INDIRECT(ADDRESS(6,(ROW()-5)))),,QUERY('NPC List'!$1:$1000, ""Select C,D WHERE A = ""&amp;INDIRECT(ADDRESS(6,(ROW()-5)))&amp;"""",0))"),"")</f>
        <v/>
      </c>
      <c r="D935" s="140"/>
    </row>
    <row r="936" spans="1:4" ht="13.2">
      <c r="A936" s="193"/>
      <c r="B936" s="173"/>
      <c r="C936" s="139" t="str">
        <f ca="1">IFERROR(__xludf.DUMMYFUNCTION("if(ISBLANK(INDIRECT(ADDRESS(6,(ROW()-5)))),,QUERY('NPC List'!$1:$1000, ""Select C,D WHERE A = ""&amp;INDIRECT(ADDRESS(6,(ROW()-5)))&amp;"""",0))"),"")</f>
        <v/>
      </c>
      <c r="D936" s="140"/>
    </row>
    <row r="937" spans="1:4" ht="13.2">
      <c r="A937" s="193"/>
      <c r="B937" s="173"/>
      <c r="C937" s="139" t="str">
        <f ca="1">IFERROR(__xludf.DUMMYFUNCTION("if(ISBLANK(INDIRECT(ADDRESS(6,(ROW()-5)))),,QUERY('NPC List'!$1:$1000, ""Select C,D WHERE A = ""&amp;INDIRECT(ADDRESS(6,(ROW()-5)))&amp;"""",0))"),"")</f>
        <v/>
      </c>
      <c r="D937" s="140"/>
    </row>
    <row r="938" spans="1:4" ht="13.2">
      <c r="A938" s="193"/>
      <c r="B938" s="173"/>
      <c r="C938" s="139" t="str">
        <f ca="1">IFERROR(__xludf.DUMMYFUNCTION("if(ISBLANK(INDIRECT(ADDRESS(6,(ROW()-5)))),,QUERY('NPC List'!$1:$1000, ""Select C,D WHERE A = ""&amp;INDIRECT(ADDRESS(6,(ROW()-5)))&amp;"""",0))"),"")</f>
        <v/>
      </c>
      <c r="D938" s="140"/>
    </row>
    <row r="939" spans="1:4" ht="13.2">
      <c r="A939" s="193"/>
      <c r="B939" s="173"/>
      <c r="C939" s="139" t="str">
        <f ca="1">IFERROR(__xludf.DUMMYFUNCTION("if(ISBLANK(INDIRECT(ADDRESS(6,(ROW()-5)))),,QUERY('NPC List'!$1:$1000, ""Select C,D WHERE A = ""&amp;INDIRECT(ADDRESS(6,(ROW()-5)))&amp;"""",0))"),"")</f>
        <v/>
      </c>
      <c r="D939" s="140"/>
    </row>
    <row r="940" spans="1:4" ht="13.2">
      <c r="A940" s="193"/>
      <c r="B940" s="173"/>
      <c r="C940" s="139" t="str">
        <f ca="1">IFERROR(__xludf.DUMMYFUNCTION("if(ISBLANK(INDIRECT(ADDRESS(6,(ROW()-5)))),,QUERY('NPC List'!$1:$1000, ""Select C,D WHERE A = ""&amp;INDIRECT(ADDRESS(6,(ROW()-5)))&amp;"""",0))"),"")</f>
        <v/>
      </c>
      <c r="D940" s="140"/>
    </row>
    <row r="941" spans="1:4" ht="13.2">
      <c r="A941" s="193"/>
      <c r="B941" s="173"/>
      <c r="C941" s="139" t="str">
        <f ca="1">IFERROR(__xludf.DUMMYFUNCTION("if(ISBLANK(INDIRECT(ADDRESS(6,(ROW()-5)))),,QUERY('NPC List'!$1:$1000, ""Select C,D WHERE A = ""&amp;INDIRECT(ADDRESS(6,(ROW()-5)))&amp;"""",0))"),"")</f>
        <v/>
      </c>
      <c r="D941" s="140"/>
    </row>
    <row r="942" spans="1:4" ht="13.2">
      <c r="A942" s="193"/>
      <c r="B942" s="173"/>
      <c r="C942" s="139" t="str">
        <f ca="1">IFERROR(__xludf.DUMMYFUNCTION("if(ISBLANK(INDIRECT(ADDRESS(6,(ROW()-5)))),,QUERY('NPC List'!$1:$1000, ""Select C,D WHERE A = ""&amp;INDIRECT(ADDRESS(6,(ROW()-5)))&amp;"""",0))"),"")</f>
        <v/>
      </c>
      <c r="D942" s="140"/>
    </row>
    <row r="943" spans="1:4" ht="13.2">
      <c r="A943" s="193"/>
      <c r="B943" s="173"/>
      <c r="C943" s="139" t="str">
        <f ca="1">IFERROR(__xludf.DUMMYFUNCTION("if(ISBLANK(INDIRECT(ADDRESS(6,(ROW()-5)))),,QUERY('NPC List'!$1:$1000, ""Select C,D WHERE A = ""&amp;INDIRECT(ADDRESS(6,(ROW()-5)))&amp;"""",0))"),"")</f>
        <v/>
      </c>
      <c r="D943" s="140"/>
    </row>
    <row r="944" spans="1:4" ht="13.2">
      <c r="A944" s="193"/>
      <c r="B944" s="173"/>
      <c r="C944" s="139" t="str">
        <f ca="1">IFERROR(__xludf.DUMMYFUNCTION("if(ISBLANK(INDIRECT(ADDRESS(6,(ROW()-5)))),,QUERY('NPC List'!$1:$1000, ""Select C,D WHERE A = ""&amp;INDIRECT(ADDRESS(6,(ROW()-5)))&amp;"""",0))"),"")</f>
        <v/>
      </c>
      <c r="D944" s="140"/>
    </row>
    <row r="945" spans="1:4" ht="13.2">
      <c r="A945" s="193"/>
      <c r="B945" s="173"/>
      <c r="C945" s="139" t="str">
        <f ca="1">IFERROR(__xludf.DUMMYFUNCTION("if(ISBLANK(INDIRECT(ADDRESS(6,(ROW()-5)))),,QUERY('NPC List'!$1:$1000, ""Select C,D WHERE A = ""&amp;INDIRECT(ADDRESS(6,(ROW()-5)))&amp;"""",0))"),"")</f>
        <v/>
      </c>
      <c r="D945" s="140"/>
    </row>
    <row r="946" spans="1:4" ht="13.2">
      <c r="A946" s="193"/>
      <c r="B946" s="173"/>
      <c r="C946" s="139" t="str">
        <f ca="1">IFERROR(__xludf.DUMMYFUNCTION("if(ISBLANK(INDIRECT(ADDRESS(6,(ROW()-5)))),,QUERY('NPC List'!$1:$1000, ""Select C,D WHERE A = ""&amp;INDIRECT(ADDRESS(6,(ROW()-5)))&amp;"""",0))"),"")</f>
        <v/>
      </c>
      <c r="D946" s="140"/>
    </row>
    <row r="947" spans="1:4" ht="13.2">
      <c r="A947" s="193"/>
      <c r="B947" s="173"/>
      <c r="C947" s="139" t="str">
        <f ca="1">IFERROR(__xludf.DUMMYFUNCTION("if(ISBLANK(INDIRECT(ADDRESS(6,(ROW()-5)))),,QUERY('NPC List'!$1:$1000, ""Select C,D WHERE A = ""&amp;INDIRECT(ADDRESS(6,(ROW()-5)))&amp;"""",0))"),"")</f>
        <v/>
      </c>
      <c r="D947" s="140"/>
    </row>
    <row r="948" spans="1:4" ht="13.2">
      <c r="A948" s="193"/>
      <c r="B948" s="173"/>
      <c r="C948" s="139" t="str">
        <f ca="1">IFERROR(__xludf.DUMMYFUNCTION("if(ISBLANK(INDIRECT(ADDRESS(6,(ROW()-5)))),,QUERY('NPC List'!$1:$1000, ""Select C,D WHERE A = ""&amp;INDIRECT(ADDRESS(6,(ROW()-5)))&amp;"""",0))"),"")</f>
        <v/>
      </c>
      <c r="D948" s="140"/>
    </row>
    <row r="949" spans="1:4" ht="13.2">
      <c r="A949" s="193"/>
      <c r="B949" s="173"/>
      <c r="C949" s="139" t="str">
        <f ca="1">IFERROR(__xludf.DUMMYFUNCTION("if(ISBLANK(INDIRECT(ADDRESS(6,(ROW()-5)))),,QUERY('NPC List'!$1:$1000, ""Select C,D WHERE A = ""&amp;INDIRECT(ADDRESS(6,(ROW()-5)))&amp;"""",0))"),"")</f>
        <v/>
      </c>
      <c r="D949" s="140"/>
    </row>
    <row r="950" spans="1:4" ht="13.2">
      <c r="A950" s="193"/>
      <c r="B950" s="173"/>
      <c r="C950" s="139" t="str">
        <f ca="1">IFERROR(__xludf.DUMMYFUNCTION("if(ISBLANK(INDIRECT(ADDRESS(6,(ROW()-5)))),,QUERY('NPC List'!$1:$1000, ""Select C,D WHERE A = ""&amp;INDIRECT(ADDRESS(6,(ROW()-5)))&amp;"""",0))"),"")</f>
        <v/>
      </c>
      <c r="D950" s="140"/>
    </row>
    <row r="951" spans="1:4" ht="13.2">
      <c r="A951" s="193"/>
      <c r="B951" s="173"/>
      <c r="C951" s="139" t="str">
        <f ca="1">IFERROR(__xludf.DUMMYFUNCTION("if(ISBLANK(INDIRECT(ADDRESS(6,(ROW()-5)))),,QUERY('NPC List'!$1:$1000, ""Select C,D WHERE A = ""&amp;INDIRECT(ADDRESS(6,(ROW()-5)))&amp;"""",0))"),"")</f>
        <v/>
      </c>
      <c r="D951" s="140"/>
    </row>
    <row r="952" spans="1:4" ht="13.2">
      <c r="A952" s="193"/>
      <c r="B952" s="173"/>
      <c r="C952" s="139" t="str">
        <f ca="1">IFERROR(__xludf.DUMMYFUNCTION("if(ISBLANK(INDIRECT(ADDRESS(6,(ROW()-5)))),,QUERY('NPC List'!$1:$1000, ""Select C,D WHERE A = ""&amp;INDIRECT(ADDRESS(6,(ROW()-5)))&amp;"""",0))"),"")</f>
        <v/>
      </c>
      <c r="D952" s="140"/>
    </row>
    <row r="953" spans="1:4" ht="13.2">
      <c r="A953" s="193"/>
      <c r="B953" s="173"/>
      <c r="C953" s="139" t="str">
        <f ca="1">IFERROR(__xludf.DUMMYFUNCTION("if(ISBLANK(INDIRECT(ADDRESS(6,(ROW()-5)))),,QUERY('NPC List'!$1:$1000, ""Select C,D WHERE A = ""&amp;INDIRECT(ADDRESS(6,(ROW()-5)))&amp;"""",0))"),"")</f>
        <v/>
      </c>
      <c r="D953" s="140"/>
    </row>
    <row r="954" spans="1:4" ht="13.2">
      <c r="A954" s="193"/>
      <c r="B954" s="173"/>
      <c r="C954" s="139" t="str">
        <f ca="1">IFERROR(__xludf.DUMMYFUNCTION("if(ISBLANK(INDIRECT(ADDRESS(6,(ROW()-5)))),,QUERY('NPC List'!$1:$1000, ""Select C,D WHERE A = ""&amp;INDIRECT(ADDRESS(6,(ROW()-5)))&amp;"""",0))"),"")</f>
        <v/>
      </c>
      <c r="D954" s="140"/>
    </row>
    <row r="955" spans="1:4" ht="13.2">
      <c r="A955" s="193"/>
      <c r="B955" s="173"/>
      <c r="C955" s="139" t="str">
        <f ca="1">IFERROR(__xludf.DUMMYFUNCTION("if(ISBLANK(INDIRECT(ADDRESS(6,(ROW()-5)))),,QUERY('NPC List'!$1:$1000, ""Select C,D WHERE A = ""&amp;INDIRECT(ADDRESS(6,(ROW()-5)))&amp;"""",0))"),"")</f>
        <v/>
      </c>
      <c r="D955" s="140"/>
    </row>
    <row r="956" spans="1:4" ht="13.2">
      <c r="A956" s="193"/>
      <c r="B956" s="173"/>
      <c r="C956" s="139" t="str">
        <f ca="1">IFERROR(__xludf.DUMMYFUNCTION("if(ISBLANK(INDIRECT(ADDRESS(6,(ROW()-5)))),,QUERY('NPC List'!$1:$1000, ""Select C,D WHERE A = ""&amp;INDIRECT(ADDRESS(6,(ROW()-5)))&amp;"""",0))"),"")</f>
        <v/>
      </c>
      <c r="D956" s="140"/>
    </row>
    <row r="957" spans="1:4" ht="13.2">
      <c r="A957" s="193"/>
      <c r="B957" s="173"/>
      <c r="C957" s="139" t="str">
        <f ca="1">IFERROR(__xludf.DUMMYFUNCTION("if(ISBLANK(INDIRECT(ADDRESS(6,(ROW()-5)))),,QUERY('NPC List'!$1:$1000, ""Select C,D WHERE A = ""&amp;INDIRECT(ADDRESS(6,(ROW()-5)))&amp;"""",0))"),"")</f>
        <v/>
      </c>
      <c r="D957" s="140"/>
    </row>
    <row r="958" spans="1:4" ht="13.2">
      <c r="A958" s="193"/>
      <c r="B958" s="173"/>
      <c r="C958" s="139" t="str">
        <f ca="1">IFERROR(__xludf.DUMMYFUNCTION("if(ISBLANK(INDIRECT(ADDRESS(6,(ROW()-5)))),,QUERY('NPC List'!$1:$1000, ""Select C,D WHERE A = ""&amp;INDIRECT(ADDRESS(6,(ROW()-5)))&amp;"""",0))"),"")</f>
        <v/>
      </c>
      <c r="D958" s="140"/>
    </row>
    <row r="959" spans="1:4" ht="13.2">
      <c r="A959" s="193"/>
      <c r="B959" s="173"/>
      <c r="C959" s="139" t="str">
        <f ca="1">IFERROR(__xludf.DUMMYFUNCTION("if(ISBLANK(INDIRECT(ADDRESS(6,(ROW()-5)))),,QUERY('NPC List'!$1:$1000, ""Select C,D WHERE A = ""&amp;INDIRECT(ADDRESS(6,(ROW()-5)))&amp;"""",0))"),"")</f>
        <v/>
      </c>
      <c r="D959" s="140"/>
    </row>
    <row r="960" spans="1:4" ht="13.2">
      <c r="A960" s="193"/>
      <c r="B960" s="173"/>
      <c r="C960" s="139" t="str">
        <f ca="1">IFERROR(__xludf.DUMMYFUNCTION("if(ISBLANK(INDIRECT(ADDRESS(6,(ROW()-5)))),,QUERY('NPC List'!$1:$1000, ""Select C,D WHERE A = ""&amp;INDIRECT(ADDRESS(6,(ROW()-5)))&amp;"""",0))"),"")</f>
        <v/>
      </c>
      <c r="D960" s="140"/>
    </row>
    <row r="961" spans="1:4" ht="13.2">
      <c r="A961" s="193"/>
      <c r="B961" s="173"/>
      <c r="C961" s="139" t="str">
        <f ca="1">IFERROR(__xludf.DUMMYFUNCTION("if(ISBLANK(INDIRECT(ADDRESS(6,(ROW()-5)))),,QUERY('NPC List'!$1:$1000, ""Select C,D WHERE A = ""&amp;INDIRECT(ADDRESS(6,(ROW()-5)))&amp;"""",0))"),"")</f>
        <v/>
      </c>
      <c r="D961" s="140"/>
    </row>
    <row r="962" spans="1:4" ht="13.2">
      <c r="A962" s="193"/>
      <c r="B962" s="173"/>
      <c r="C962" s="139" t="str">
        <f ca="1">IFERROR(__xludf.DUMMYFUNCTION("if(ISBLANK(INDIRECT(ADDRESS(6,(ROW()-5)))),,QUERY('NPC List'!$1:$1000, ""Select C,D WHERE A = ""&amp;INDIRECT(ADDRESS(6,(ROW()-5)))&amp;"""",0))"),"")</f>
        <v/>
      </c>
      <c r="D962" s="140"/>
    </row>
    <row r="963" spans="1:4" ht="13.2">
      <c r="A963" s="193"/>
      <c r="B963" s="173"/>
      <c r="C963" s="139" t="str">
        <f ca="1">IFERROR(__xludf.DUMMYFUNCTION("if(ISBLANK(INDIRECT(ADDRESS(6,(ROW()-5)))),,QUERY('NPC List'!$1:$1000, ""Select C,D WHERE A = ""&amp;INDIRECT(ADDRESS(6,(ROW()-5)))&amp;"""",0))"),"")</f>
        <v/>
      </c>
      <c r="D963" s="140"/>
    </row>
    <row r="964" spans="1:4" ht="13.2">
      <c r="A964" s="193"/>
      <c r="B964" s="173"/>
      <c r="C964" s="139" t="str">
        <f ca="1">IFERROR(__xludf.DUMMYFUNCTION("if(ISBLANK(INDIRECT(ADDRESS(6,(ROW()-5)))),,QUERY('NPC List'!$1:$1000, ""Select C,D WHERE A = ""&amp;INDIRECT(ADDRESS(6,(ROW()-5)))&amp;"""",0))"),"")</f>
        <v/>
      </c>
      <c r="D964" s="140"/>
    </row>
    <row r="965" spans="1:4" ht="13.2">
      <c r="A965" s="193"/>
      <c r="B965" s="173"/>
      <c r="C965" s="139" t="str">
        <f ca="1">IFERROR(__xludf.DUMMYFUNCTION("if(ISBLANK(INDIRECT(ADDRESS(6,(ROW()-5)))),,QUERY('NPC List'!$1:$1000, ""Select C,D WHERE A = ""&amp;INDIRECT(ADDRESS(6,(ROW()-5)))&amp;"""",0))"),"")</f>
        <v/>
      </c>
      <c r="D965" s="140"/>
    </row>
    <row r="966" spans="1:4" ht="13.2">
      <c r="A966" s="193"/>
      <c r="B966" s="173"/>
      <c r="C966" s="139" t="str">
        <f ca="1">IFERROR(__xludf.DUMMYFUNCTION("if(ISBLANK(INDIRECT(ADDRESS(6,(ROW()-5)))),,QUERY('NPC List'!$1:$1000, ""Select C,D WHERE A = ""&amp;INDIRECT(ADDRESS(6,(ROW()-5)))&amp;"""",0))"),"")</f>
        <v/>
      </c>
      <c r="D966" s="140"/>
    </row>
    <row r="967" spans="1:4" ht="13.2">
      <c r="A967" s="193"/>
      <c r="B967" s="173"/>
      <c r="C967" s="139" t="str">
        <f ca="1">IFERROR(__xludf.DUMMYFUNCTION("if(ISBLANK(INDIRECT(ADDRESS(6,(ROW()-5)))),,QUERY('NPC List'!$1:$1000, ""Select C,D WHERE A = ""&amp;INDIRECT(ADDRESS(6,(ROW()-5)))&amp;"""",0))"),"")</f>
        <v/>
      </c>
      <c r="D967" s="140"/>
    </row>
    <row r="968" spans="1:4" ht="13.2">
      <c r="A968" s="193"/>
      <c r="B968" s="173"/>
      <c r="C968" s="139" t="str">
        <f ca="1">IFERROR(__xludf.DUMMYFUNCTION("if(ISBLANK(INDIRECT(ADDRESS(6,(ROW()-5)))),,QUERY('NPC List'!$1:$1000, ""Select C,D WHERE A = ""&amp;INDIRECT(ADDRESS(6,(ROW()-5)))&amp;"""",0))"),"")</f>
        <v/>
      </c>
      <c r="D968" s="140"/>
    </row>
    <row r="969" spans="1:4" ht="13.2">
      <c r="A969" s="193"/>
      <c r="B969" s="173"/>
      <c r="C969" s="139" t="str">
        <f ca="1">IFERROR(__xludf.DUMMYFUNCTION("if(ISBLANK(INDIRECT(ADDRESS(6,(ROW()-5)))),,QUERY('NPC List'!$1:$1000, ""Select C,D WHERE A = ""&amp;INDIRECT(ADDRESS(6,(ROW()-5)))&amp;"""",0))"),"")</f>
        <v/>
      </c>
      <c r="D969" s="140"/>
    </row>
    <row r="970" spans="1:4" ht="13.2">
      <c r="A970" s="193"/>
      <c r="B970" s="173"/>
      <c r="C970" s="139" t="str">
        <f ca="1">IFERROR(__xludf.DUMMYFUNCTION("if(ISBLANK(INDIRECT(ADDRESS(6,(ROW()-5)))),,QUERY('NPC List'!$1:$1000, ""Select C,D WHERE A = ""&amp;INDIRECT(ADDRESS(6,(ROW()-5)))&amp;"""",0))"),"")</f>
        <v/>
      </c>
      <c r="D970" s="140"/>
    </row>
    <row r="971" spans="1:4" ht="13.2">
      <c r="A971" s="193"/>
      <c r="B971" s="173"/>
      <c r="C971" s="139" t="str">
        <f ca="1">IFERROR(__xludf.DUMMYFUNCTION("if(ISBLANK(INDIRECT(ADDRESS(6,(ROW()-5)))),,QUERY('NPC List'!$1:$1000, ""Select C,D WHERE A = ""&amp;INDIRECT(ADDRESS(6,(ROW()-5)))&amp;"""",0))"),"")</f>
        <v/>
      </c>
      <c r="D971" s="140"/>
    </row>
    <row r="972" spans="1:4" ht="13.2">
      <c r="A972" s="193"/>
      <c r="B972" s="173"/>
      <c r="C972" s="139" t="str">
        <f ca="1">IFERROR(__xludf.DUMMYFUNCTION("if(ISBLANK(INDIRECT(ADDRESS(6,(ROW()-5)))),,QUERY('NPC List'!$1:$1000, ""Select C,D WHERE A = ""&amp;INDIRECT(ADDRESS(6,(ROW()-5)))&amp;"""",0))"),"")</f>
        <v/>
      </c>
      <c r="D972" s="140"/>
    </row>
    <row r="973" spans="1:4" ht="13.2">
      <c r="A973" s="193"/>
      <c r="B973" s="173"/>
      <c r="C973" s="139" t="str">
        <f ca="1">IFERROR(__xludf.DUMMYFUNCTION("if(ISBLANK(INDIRECT(ADDRESS(6,(ROW()-5)))),,QUERY('NPC List'!$1:$1000, ""Select C,D WHERE A = ""&amp;INDIRECT(ADDRESS(6,(ROW()-5)))&amp;"""",0))"),"")</f>
        <v/>
      </c>
      <c r="D973" s="140"/>
    </row>
    <row r="974" spans="1:4" ht="13.2">
      <c r="A974" s="193"/>
      <c r="B974" s="173"/>
      <c r="C974" s="139" t="str">
        <f ca="1">IFERROR(__xludf.DUMMYFUNCTION("if(ISBLANK(INDIRECT(ADDRESS(6,(ROW()-5)))),,QUERY('NPC List'!$1:$1000, ""Select C,D WHERE A = ""&amp;INDIRECT(ADDRESS(6,(ROW()-5)))&amp;"""",0))"),"")</f>
        <v/>
      </c>
      <c r="D974" s="140"/>
    </row>
    <row r="975" spans="1:4" ht="13.2">
      <c r="A975" s="193"/>
      <c r="B975" s="173"/>
      <c r="C975" s="139" t="str">
        <f ca="1">IFERROR(__xludf.DUMMYFUNCTION("if(ISBLANK(INDIRECT(ADDRESS(6,(ROW()-5)))),,QUERY('NPC List'!$1:$1000, ""Select C,D WHERE A = ""&amp;INDIRECT(ADDRESS(6,(ROW()-5)))&amp;"""",0))"),"")</f>
        <v/>
      </c>
      <c r="D975" s="140"/>
    </row>
    <row r="976" spans="1:4" ht="13.2">
      <c r="A976" s="193"/>
      <c r="B976" s="173"/>
      <c r="C976" s="139" t="str">
        <f ca="1">IFERROR(__xludf.DUMMYFUNCTION("if(ISBLANK(INDIRECT(ADDRESS(6,(ROW()-5)))),,QUERY('NPC List'!$1:$1000, ""Select C,D WHERE A = ""&amp;INDIRECT(ADDRESS(6,(ROW()-5)))&amp;"""",0))"),"")</f>
        <v/>
      </c>
      <c r="D976" s="140"/>
    </row>
    <row r="977" spans="1:4" ht="13.2">
      <c r="A977" s="193"/>
      <c r="B977" s="173"/>
      <c r="C977" s="139" t="str">
        <f ca="1">IFERROR(__xludf.DUMMYFUNCTION("if(ISBLANK(INDIRECT(ADDRESS(6,(ROW()-5)))),,QUERY('NPC List'!$1:$1000, ""Select C,D WHERE A = ""&amp;INDIRECT(ADDRESS(6,(ROW()-5)))&amp;"""",0))"),"")</f>
        <v/>
      </c>
      <c r="D977" s="140"/>
    </row>
    <row r="978" spans="1:4" ht="13.2">
      <c r="A978" s="193"/>
      <c r="B978" s="173"/>
      <c r="C978" s="139" t="str">
        <f ca="1">IFERROR(__xludf.DUMMYFUNCTION("if(ISBLANK(INDIRECT(ADDRESS(6,(ROW()-5)))),,QUERY('NPC List'!$1:$1000, ""Select C,D WHERE A = ""&amp;INDIRECT(ADDRESS(6,(ROW()-5)))&amp;"""",0))"),"")</f>
        <v/>
      </c>
      <c r="D978" s="140"/>
    </row>
    <row r="979" spans="1:4" ht="13.2">
      <c r="A979" s="193"/>
      <c r="B979" s="173"/>
      <c r="C979" s="139" t="str">
        <f ca="1">IFERROR(__xludf.DUMMYFUNCTION("if(ISBLANK(INDIRECT(ADDRESS(6,(ROW()-5)))),,QUERY('NPC List'!$1:$1000, ""Select C,D WHERE A = ""&amp;INDIRECT(ADDRESS(6,(ROW()-5)))&amp;"""",0))"),"")</f>
        <v/>
      </c>
      <c r="D979" s="140"/>
    </row>
    <row r="980" spans="1:4" ht="13.2">
      <c r="A980" s="193"/>
      <c r="B980" s="173"/>
      <c r="C980" s="139" t="str">
        <f ca="1">IFERROR(__xludf.DUMMYFUNCTION("if(ISBLANK(INDIRECT(ADDRESS(6,(ROW()-5)))),,QUERY('NPC List'!$1:$1000, ""Select C,D WHERE A = ""&amp;INDIRECT(ADDRESS(6,(ROW()-5)))&amp;"""",0))"),"")</f>
        <v/>
      </c>
      <c r="D980" s="140"/>
    </row>
    <row r="981" spans="1:4" ht="13.2">
      <c r="A981" s="193"/>
      <c r="B981" s="173"/>
      <c r="C981" s="139" t="str">
        <f ca="1">IFERROR(__xludf.DUMMYFUNCTION("if(ISBLANK(INDIRECT(ADDRESS(6,(ROW()-5)))),,QUERY('NPC List'!$1:$1000, ""Select C,D WHERE A = ""&amp;INDIRECT(ADDRESS(6,(ROW()-5)))&amp;"""",0))"),"")</f>
        <v/>
      </c>
      <c r="D981" s="140"/>
    </row>
    <row r="982" spans="1:4" ht="13.2">
      <c r="A982" s="193"/>
      <c r="B982" s="173"/>
      <c r="C982" s="139" t="str">
        <f ca="1">IFERROR(__xludf.DUMMYFUNCTION("if(ISBLANK(INDIRECT(ADDRESS(6,(ROW()-5)))),,QUERY('NPC List'!$1:$1000, ""Select C,D WHERE A = ""&amp;INDIRECT(ADDRESS(6,(ROW()-5)))&amp;"""",0))"),"")</f>
        <v/>
      </c>
      <c r="D982" s="140"/>
    </row>
    <row r="983" spans="1:4" ht="13.2">
      <c r="A983" s="193"/>
      <c r="B983" s="173"/>
      <c r="C983" s="139" t="str">
        <f ca="1">IFERROR(__xludf.DUMMYFUNCTION("if(ISBLANK(INDIRECT(ADDRESS(6,(ROW()-5)))),,QUERY('NPC List'!$1:$1000, ""Select C,D WHERE A = ""&amp;INDIRECT(ADDRESS(6,(ROW()-5)))&amp;"""",0))"),"")</f>
        <v/>
      </c>
      <c r="D983" s="140"/>
    </row>
    <row r="984" spans="1:4" ht="13.2">
      <c r="A984" s="193"/>
      <c r="B984" s="173"/>
      <c r="C984" s="139" t="str">
        <f ca="1">IFERROR(__xludf.DUMMYFUNCTION("if(ISBLANK(INDIRECT(ADDRESS(6,(ROW()-5)))),,QUERY('NPC List'!$1:$1000, ""Select C,D WHERE A = ""&amp;INDIRECT(ADDRESS(6,(ROW()-5)))&amp;"""",0))"),"")</f>
        <v/>
      </c>
      <c r="D984" s="140"/>
    </row>
    <row r="985" spans="1:4" ht="13.2">
      <c r="A985" s="193"/>
      <c r="B985" s="173"/>
      <c r="C985" s="139" t="str">
        <f ca="1">IFERROR(__xludf.DUMMYFUNCTION("if(ISBLANK(INDIRECT(ADDRESS(6,(ROW()-5)))),,QUERY('NPC List'!$1:$1000, ""Select C,D WHERE A = ""&amp;INDIRECT(ADDRESS(6,(ROW()-5)))&amp;"""",0))"),"")</f>
        <v/>
      </c>
      <c r="D985" s="140"/>
    </row>
    <row r="986" spans="1:4" ht="13.2">
      <c r="A986" s="193"/>
      <c r="B986" s="173"/>
      <c r="C986" s="139" t="str">
        <f ca="1">IFERROR(__xludf.DUMMYFUNCTION("if(ISBLANK(INDIRECT(ADDRESS(6,(ROW()-5)))),,QUERY('NPC List'!$1:$1000, ""Select C,D WHERE A = ""&amp;INDIRECT(ADDRESS(6,(ROW()-5)))&amp;"""",0))"),"")</f>
        <v/>
      </c>
      <c r="D986" s="140"/>
    </row>
    <row r="987" spans="1:4" ht="13.2">
      <c r="A987" s="193"/>
      <c r="B987" s="173"/>
      <c r="C987" s="139" t="str">
        <f ca="1">IFERROR(__xludf.DUMMYFUNCTION("if(ISBLANK(INDIRECT(ADDRESS(6,(ROW()-5)))),,QUERY('NPC List'!$1:$1000, ""Select C,D WHERE A = ""&amp;INDIRECT(ADDRESS(6,(ROW()-5)))&amp;"""",0))"),"")</f>
        <v/>
      </c>
      <c r="D987" s="140"/>
    </row>
    <row r="988" spans="1:4" ht="13.2">
      <c r="A988" s="193"/>
      <c r="B988" s="173"/>
      <c r="C988" s="139" t="str">
        <f ca="1">IFERROR(__xludf.DUMMYFUNCTION("if(ISBLANK(INDIRECT(ADDRESS(6,(ROW()-5)))),,QUERY('NPC List'!$1:$1000, ""Select C,D WHERE A = ""&amp;INDIRECT(ADDRESS(6,(ROW()-5)))&amp;"""",0))"),"")</f>
        <v/>
      </c>
      <c r="D988" s="140"/>
    </row>
    <row r="989" spans="1:4" ht="13.2">
      <c r="A989" s="193"/>
      <c r="B989" s="173"/>
      <c r="C989" s="139" t="str">
        <f ca="1">IFERROR(__xludf.DUMMYFUNCTION("if(ISBLANK(INDIRECT(ADDRESS(6,(ROW()-5)))),,QUERY('NPC List'!$1:$1000, ""Select C,D WHERE A = ""&amp;INDIRECT(ADDRESS(6,(ROW()-5)))&amp;"""",0))"),"")</f>
        <v/>
      </c>
      <c r="D989" s="140"/>
    </row>
    <row r="990" spans="1:4" ht="13.2">
      <c r="A990" s="193"/>
      <c r="B990" s="173"/>
      <c r="C990" s="139" t="str">
        <f ca="1">IFERROR(__xludf.DUMMYFUNCTION("if(ISBLANK(INDIRECT(ADDRESS(6,(ROW()-5)))),,QUERY('NPC List'!$1:$1000, ""Select C,D WHERE A = ""&amp;INDIRECT(ADDRESS(6,(ROW()-5)))&amp;"""",0))"),"")</f>
        <v/>
      </c>
      <c r="D990" s="140"/>
    </row>
    <row r="991" spans="1:4" ht="13.2">
      <c r="A991" s="193"/>
      <c r="B991" s="173"/>
      <c r="C991" s="139" t="str">
        <f ca="1">IFERROR(__xludf.DUMMYFUNCTION("if(ISBLANK(INDIRECT(ADDRESS(6,(ROW()-5)))),,QUERY('NPC List'!$1:$1000, ""Select C,D WHERE A = ""&amp;INDIRECT(ADDRESS(6,(ROW()-5)))&amp;"""",0))"),"")</f>
        <v/>
      </c>
      <c r="D991" s="140"/>
    </row>
    <row r="992" spans="1:4" ht="13.2">
      <c r="A992" s="193"/>
      <c r="B992" s="173"/>
      <c r="C992" s="139" t="str">
        <f ca="1">IFERROR(__xludf.DUMMYFUNCTION("if(ISBLANK(INDIRECT(ADDRESS(6,(ROW()-5)))),,QUERY('NPC List'!$1:$1000, ""Select C,D WHERE A = ""&amp;INDIRECT(ADDRESS(6,(ROW()-5)))&amp;"""",0))"),"")</f>
        <v/>
      </c>
      <c r="D992" s="140"/>
    </row>
    <row r="993" spans="1:4" ht="13.2">
      <c r="A993" s="193"/>
      <c r="B993" s="173"/>
      <c r="C993" s="139" t="str">
        <f ca="1">IFERROR(__xludf.DUMMYFUNCTION("if(ISBLANK(INDIRECT(ADDRESS(6,(ROW()-5)))),,QUERY('NPC List'!$1:$1000, ""Select C,D WHERE A = ""&amp;INDIRECT(ADDRESS(6,(ROW()-5)))&amp;"""",0))"),"")</f>
        <v/>
      </c>
      <c r="D993" s="140"/>
    </row>
    <row r="994" spans="1:4" ht="13.2">
      <c r="A994" s="193"/>
      <c r="B994" s="173"/>
      <c r="C994" s="139" t="str">
        <f ca="1">IFERROR(__xludf.DUMMYFUNCTION("if(ISBLANK(INDIRECT(ADDRESS(6,(ROW()-5)))),,QUERY('NPC List'!$1:$1000, ""Select C,D WHERE A = ""&amp;INDIRECT(ADDRESS(6,(ROW()-5)))&amp;"""",0))"),"")</f>
        <v/>
      </c>
      <c r="D994" s="140"/>
    </row>
    <row r="995" spans="1:4" ht="13.2">
      <c r="A995" s="193"/>
      <c r="B995" s="173"/>
      <c r="C995" s="139" t="str">
        <f ca="1">IFERROR(__xludf.DUMMYFUNCTION("if(ISBLANK(INDIRECT(ADDRESS(6,(ROW()-5)))),,QUERY('NPC List'!$1:$1000, ""Select C,D WHERE A = ""&amp;INDIRECT(ADDRESS(6,(ROW()-5)))&amp;"""",0))"),"")</f>
        <v/>
      </c>
      <c r="D995" s="140"/>
    </row>
    <row r="996" spans="1:4" ht="13.2">
      <c r="A996" s="193"/>
      <c r="B996" s="173"/>
      <c r="C996" s="139" t="str">
        <f ca="1">IFERROR(__xludf.DUMMYFUNCTION("if(ISBLANK(INDIRECT(ADDRESS(6,(ROW()-5)))),,QUERY('NPC List'!$1:$1000, ""Select C,D WHERE A = ""&amp;INDIRECT(ADDRESS(6,(ROW()-5)))&amp;"""",0))"),"")</f>
        <v/>
      </c>
      <c r="D996" s="140"/>
    </row>
    <row r="997" spans="1:4" ht="13.2">
      <c r="A997" s="193"/>
      <c r="B997" s="173"/>
      <c r="C997" s="139" t="str">
        <f ca="1">IFERROR(__xludf.DUMMYFUNCTION("if(ISBLANK(INDIRECT(ADDRESS(6,(ROW()-5)))),,QUERY('NPC List'!$1:$1000, ""Select C,D WHERE A = ""&amp;INDIRECT(ADDRESS(6,(ROW()-5)))&amp;"""",0))"),"")</f>
        <v/>
      </c>
      <c r="D997" s="140"/>
    </row>
    <row r="998" spans="1:4" ht="13.2">
      <c r="A998" s="193"/>
      <c r="B998" s="173"/>
      <c r="C998" s="139" t="str">
        <f ca="1">IFERROR(__xludf.DUMMYFUNCTION("if(ISBLANK(INDIRECT(ADDRESS(6,(ROW()-5)))),,QUERY('NPC List'!$1:$1000, ""Select C,D WHERE A = ""&amp;INDIRECT(ADDRESS(6,(ROW()-5)))&amp;"""",0))"),"")</f>
        <v/>
      </c>
      <c r="D998" s="140"/>
    </row>
    <row r="999" spans="1:4" ht="13.2">
      <c r="A999" s="193"/>
      <c r="B999" s="173"/>
      <c r="C999" s="139" t="str">
        <f ca="1">IFERROR(__xludf.DUMMYFUNCTION("if(ISBLANK(INDIRECT(ADDRESS(6,(ROW()-5)))),,QUERY('NPC List'!$1:$1000, ""Select C,D WHERE A = ""&amp;INDIRECT(ADDRESS(6,(ROW()-5)))&amp;"""",0))"),"")</f>
        <v/>
      </c>
      <c r="D999" s="140"/>
    </row>
    <row r="1000" spans="1:4" ht="13.2">
      <c r="A1000" s="193"/>
      <c r="B1000" s="173"/>
      <c r="C1000" s="139" t="str">
        <f ca="1">IFERROR(__xludf.DUMMYFUNCTION("if(ISBLANK(INDIRECT(ADDRESS(6,(ROW()-5)))),,QUERY('NPC List'!$1:$1000, ""Select C,D WHERE A = ""&amp;INDIRECT(ADDRESS(6,(ROW()-5)))&amp;"""",0))"),"")</f>
        <v/>
      </c>
      <c r="D1000" s="140"/>
    </row>
  </sheetData>
  <mergeCells count="1002">
    <mergeCell ref="A680:B680"/>
    <mergeCell ref="A681:B681"/>
    <mergeCell ref="A682:B682"/>
    <mergeCell ref="A683:B683"/>
    <mergeCell ref="A684:B684"/>
    <mergeCell ref="A663:B663"/>
    <mergeCell ref="A664:B664"/>
    <mergeCell ref="A665:B665"/>
    <mergeCell ref="A666:B666"/>
    <mergeCell ref="A667:B667"/>
    <mergeCell ref="A668:B668"/>
    <mergeCell ref="A669:B669"/>
    <mergeCell ref="A670:B670"/>
    <mergeCell ref="A671:B671"/>
    <mergeCell ref="A672:B672"/>
    <mergeCell ref="A673:B673"/>
    <mergeCell ref="A674:B674"/>
    <mergeCell ref="A675:B675"/>
    <mergeCell ref="A676:B676"/>
    <mergeCell ref="A677:B677"/>
    <mergeCell ref="A678:B678"/>
    <mergeCell ref="A679:B679"/>
    <mergeCell ref="A646:B646"/>
    <mergeCell ref="A647:B647"/>
    <mergeCell ref="A648:B648"/>
    <mergeCell ref="A649:B649"/>
    <mergeCell ref="A650:B650"/>
    <mergeCell ref="A651:B651"/>
    <mergeCell ref="A652:B652"/>
    <mergeCell ref="A653:B653"/>
    <mergeCell ref="A654:B654"/>
    <mergeCell ref="A655:B655"/>
    <mergeCell ref="A656:B656"/>
    <mergeCell ref="A657:B657"/>
    <mergeCell ref="A658:B658"/>
    <mergeCell ref="A659:B659"/>
    <mergeCell ref="A660:B660"/>
    <mergeCell ref="A661:B661"/>
    <mergeCell ref="A662:B662"/>
    <mergeCell ref="A629:B629"/>
    <mergeCell ref="A630:B630"/>
    <mergeCell ref="A631:B631"/>
    <mergeCell ref="A632:B632"/>
    <mergeCell ref="A633:B633"/>
    <mergeCell ref="A634:B634"/>
    <mergeCell ref="A635:B635"/>
    <mergeCell ref="A636:B636"/>
    <mergeCell ref="A637:B637"/>
    <mergeCell ref="A638:B638"/>
    <mergeCell ref="A639:B639"/>
    <mergeCell ref="A640:B640"/>
    <mergeCell ref="A641:B641"/>
    <mergeCell ref="A642:B642"/>
    <mergeCell ref="A643:B643"/>
    <mergeCell ref="A644:B644"/>
    <mergeCell ref="A645:B645"/>
    <mergeCell ref="A612:B612"/>
    <mergeCell ref="A613:B613"/>
    <mergeCell ref="A614:B614"/>
    <mergeCell ref="A615:B615"/>
    <mergeCell ref="A616:B616"/>
    <mergeCell ref="A617:B617"/>
    <mergeCell ref="A618:B618"/>
    <mergeCell ref="A619:B619"/>
    <mergeCell ref="A620:B620"/>
    <mergeCell ref="A621:B621"/>
    <mergeCell ref="A622:B622"/>
    <mergeCell ref="A623:B623"/>
    <mergeCell ref="A624:B624"/>
    <mergeCell ref="A625:B625"/>
    <mergeCell ref="A626:B626"/>
    <mergeCell ref="A627:B627"/>
    <mergeCell ref="A628:B628"/>
    <mergeCell ref="A595:B595"/>
    <mergeCell ref="A596:B596"/>
    <mergeCell ref="A597:B597"/>
    <mergeCell ref="A598:B598"/>
    <mergeCell ref="A599:B599"/>
    <mergeCell ref="A600:B600"/>
    <mergeCell ref="A601:B601"/>
    <mergeCell ref="A602:B602"/>
    <mergeCell ref="A603:B603"/>
    <mergeCell ref="A604:B604"/>
    <mergeCell ref="A605:B605"/>
    <mergeCell ref="A606:B606"/>
    <mergeCell ref="A607:B607"/>
    <mergeCell ref="A608:B608"/>
    <mergeCell ref="A609:B609"/>
    <mergeCell ref="A610:B610"/>
    <mergeCell ref="A611:B611"/>
    <mergeCell ref="A578:B578"/>
    <mergeCell ref="A579:B579"/>
    <mergeCell ref="A580:B580"/>
    <mergeCell ref="A581:B581"/>
    <mergeCell ref="A582:B582"/>
    <mergeCell ref="A583:B583"/>
    <mergeCell ref="A584:B584"/>
    <mergeCell ref="A585:B585"/>
    <mergeCell ref="A586:B586"/>
    <mergeCell ref="A587:B587"/>
    <mergeCell ref="A588:B588"/>
    <mergeCell ref="A589:B589"/>
    <mergeCell ref="A590:B590"/>
    <mergeCell ref="A591:B591"/>
    <mergeCell ref="A592:B592"/>
    <mergeCell ref="A593:B593"/>
    <mergeCell ref="A594:B594"/>
    <mergeCell ref="A561:B561"/>
    <mergeCell ref="A562:B562"/>
    <mergeCell ref="A563:B563"/>
    <mergeCell ref="A564:B564"/>
    <mergeCell ref="A565:B565"/>
    <mergeCell ref="A566:B566"/>
    <mergeCell ref="A567:B567"/>
    <mergeCell ref="A568:B568"/>
    <mergeCell ref="A569:B569"/>
    <mergeCell ref="A570:B570"/>
    <mergeCell ref="A571:B571"/>
    <mergeCell ref="A572:B572"/>
    <mergeCell ref="A573:B573"/>
    <mergeCell ref="A574:B574"/>
    <mergeCell ref="A575:B575"/>
    <mergeCell ref="A576:B576"/>
    <mergeCell ref="A577:B577"/>
    <mergeCell ref="A544:B544"/>
    <mergeCell ref="A545:B545"/>
    <mergeCell ref="A546:B546"/>
    <mergeCell ref="A547:B547"/>
    <mergeCell ref="A548:B548"/>
    <mergeCell ref="A549:B549"/>
    <mergeCell ref="A550:B550"/>
    <mergeCell ref="A551:B551"/>
    <mergeCell ref="A552:B552"/>
    <mergeCell ref="A553:B553"/>
    <mergeCell ref="A554:B554"/>
    <mergeCell ref="A555:B555"/>
    <mergeCell ref="A556:B556"/>
    <mergeCell ref="A557:B557"/>
    <mergeCell ref="A558:B558"/>
    <mergeCell ref="A559:B559"/>
    <mergeCell ref="A560:B560"/>
    <mergeCell ref="A527:B527"/>
    <mergeCell ref="A528:B528"/>
    <mergeCell ref="A529:B529"/>
    <mergeCell ref="A530:B530"/>
    <mergeCell ref="A531:B531"/>
    <mergeCell ref="A532:B532"/>
    <mergeCell ref="A533:B533"/>
    <mergeCell ref="A534:B534"/>
    <mergeCell ref="A535:B535"/>
    <mergeCell ref="A536:B536"/>
    <mergeCell ref="A537:B537"/>
    <mergeCell ref="A538:B538"/>
    <mergeCell ref="A539:B539"/>
    <mergeCell ref="A540:B540"/>
    <mergeCell ref="A541:B541"/>
    <mergeCell ref="A542:B542"/>
    <mergeCell ref="A543:B543"/>
    <mergeCell ref="A510:B510"/>
    <mergeCell ref="A511:B511"/>
    <mergeCell ref="A512:B512"/>
    <mergeCell ref="A513:B513"/>
    <mergeCell ref="A514:B514"/>
    <mergeCell ref="A515:B515"/>
    <mergeCell ref="A516:B516"/>
    <mergeCell ref="A517:B517"/>
    <mergeCell ref="A518:B518"/>
    <mergeCell ref="A519:B519"/>
    <mergeCell ref="A520:B520"/>
    <mergeCell ref="A521:B521"/>
    <mergeCell ref="A522:B522"/>
    <mergeCell ref="A523:B523"/>
    <mergeCell ref="A524:B524"/>
    <mergeCell ref="A525:B525"/>
    <mergeCell ref="A526:B526"/>
    <mergeCell ref="A493:B493"/>
    <mergeCell ref="A494:B494"/>
    <mergeCell ref="A495:B495"/>
    <mergeCell ref="A496:B496"/>
    <mergeCell ref="A497:B497"/>
    <mergeCell ref="A498:B498"/>
    <mergeCell ref="A499:B499"/>
    <mergeCell ref="A500:B500"/>
    <mergeCell ref="A501:B501"/>
    <mergeCell ref="A502:B502"/>
    <mergeCell ref="A503:B503"/>
    <mergeCell ref="A504:B504"/>
    <mergeCell ref="A505:B505"/>
    <mergeCell ref="A506:B506"/>
    <mergeCell ref="A507:B507"/>
    <mergeCell ref="A508:B508"/>
    <mergeCell ref="A509:B509"/>
    <mergeCell ref="A476:B476"/>
    <mergeCell ref="A477:B477"/>
    <mergeCell ref="A478:B478"/>
    <mergeCell ref="A479:B479"/>
    <mergeCell ref="A480:B480"/>
    <mergeCell ref="A481:B481"/>
    <mergeCell ref="A482:B482"/>
    <mergeCell ref="A483:B483"/>
    <mergeCell ref="A484:B484"/>
    <mergeCell ref="A485:B485"/>
    <mergeCell ref="A486:B486"/>
    <mergeCell ref="A487:B487"/>
    <mergeCell ref="A488:B488"/>
    <mergeCell ref="A489:B489"/>
    <mergeCell ref="A490:B490"/>
    <mergeCell ref="A491:B491"/>
    <mergeCell ref="A492:B492"/>
    <mergeCell ref="A459:B459"/>
    <mergeCell ref="A460:B460"/>
    <mergeCell ref="A461:B461"/>
    <mergeCell ref="A462:B462"/>
    <mergeCell ref="A463:B463"/>
    <mergeCell ref="A464:B464"/>
    <mergeCell ref="A465:B465"/>
    <mergeCell ref="A466:B466"/>
    <mergeCell ref="A467:B467"/>
    <mergeCell ref="A468:B468"/>
    <mergeCell ref="A469:B469"/>
    <mergeCell ref="A470:B470"/>
    <mergeCell ref="A471:B471"/>
    <mergeCell ref="A472:B472"/>
    <mergeCell ref="A473:B473"/>
    <mergeCell ref="A474:B474"/>
    <mergeCell ref="A475:B475"/>
    <mergeCell ref="A442:B442"/>
    <mergeCell ref="A443:B443"/>
    <mergeCell ref="A444:B444"/>
    <mergeCell ref="A445:B445"/>
    <mergeCell ref="A446:B446"/>
    <mergeCell ref="A447:B447"/>
    <mergeCell ref="A448:B448"/>
    <mergeCell ref="A449:B449"/>
    <mergeCell ref="A450:B450"/>
    <mergeCell ref="A451:B451"/>
    <mergeCell ref="A452:B452"/>
    <mergeCell ref="A453:B453"/>
    <mergeCell ref="A454:B454"/>
    <mergeCell ref="A455:B455"/>
    <mergeCell ref="A456:B456"/>
    <mergeCell ref="A457:B457"/>
    <mergeCell ref="A458:B458"/>
    <mergeCell ref="A425:B425"/>
    <mergeCell ref="A426:B426"/>
    <mergeCell ref="A427:B427"/>
    <mergeCell ref="A428:B428"/>
    <mergeCell ref="A429:B429"/>
    <mergeCell ref="A430:B430"/>
    <mergeCell ref="A431:B431"/>
    <mergeCell ref="A432:B432"/>
    <mergeCell ref="A433:B433"/>
    <mergeCell ref="A434:B434"/>
    <mergeCell ref="A435:B435"/>
    <mergeCell ref="A436:B436"/>
    <mergeCell ref="A437:B437"/>
    <mergeCell ref="A438:B438"/>
    <mergeCell ref="A439:B439"/>
    <mergeCell ref="A440:B440"/>
    <mergeCell ref="A441:B441"/>
    <mergeCell ref="A408:B408"/>
    <mergeCell ref="A409:B409"/>
    <mergeCell ref="A410:B410"/>
    <mergeCell ref="A411:B411"/>
    <mergeCell ref="A412:B412"/>
    <mergeCell ref="A413:B413"/>
    <mergeCell ref="A414:B414"/>
    <mergeCell ref="A415:B415"/>
    <mergeCell ref="A416:B416"/>
    <mergeCell ref="A417:B417"/>
    <mergeCell ref="A418:B418"/>
    <mergeCell ref="A419:B419"/>
    <mergeCell ref="A420:B420"/>
    <mergeCell ref="A421:B421"/>
    <mergeCell ref="A422:B422"/>
    <mergeCell ref="A423:B423"/>
    <mergeCell ref="A424:B424"/>
    <mergeCell ref="A391:B391"/>
    <mergeCell ref="A392:B392"/>
    <mergeCell ref="A393:B393"/>
    <mergeCell ref="A394:B394"/>
    <mergeCell ref="A395:B395"/>
    <mergeCell ref="A396:B396"/>
    <mergeCell ref="A397:B397"/>
    <mergeCell ref="A398:B398"/>
    <mergeCell ref="A399:B399"/>
    <mergeCell ref="A400:B400"/>
    <mergeCell ref="A401:B401"/>
    <mergeCell ref="A402:B402"/>
    <mergeCell ref="A403:B403"/>
    <mergeCell ref="A404:B404"/>
    <mergeCell ref="A405:B405"/>
    <mergeCell ref="A406:B406"/>
    <mergeCell ref="A407:B407"/>
    <mergeCell ref="A374:B374"/>
    <mergeCell ref="A375:B375"/>
    <mergeCell ref="A376:B376"/>
    <mergeCell ref="A377:B377"/>
    <mergeCell ref="A378:B378"/>
    <mergeCell ref="A379:B379"/>
    <mergeCell ref="A380:B380"/>
    <mergeCell ref="A381:B381"/>
    <mergeCell ref="A382:B382"/>
    <mergeCell ref="A383:B383"/>
    <mergeCell ref="A384:B384"/>
    <mergeCell ref="A385:B385"/>
    <mergeCell ref="A386:B386"/>
    <mergeCell ref="A387:B387"/>
    <mergeCell ref="A388:B388"/>
    <mergeCell ref="A389:B389"/>
    <mergeCell ref="A390:B390"/>
    <mergeCell ref="A357:B357"/>
    <mergeCell ref="A358:B358"/>
    <mergeCell ref="A359:B359"/>
    <mergeCell ref="A360:B360"/>
    <mergeCell ref="A361:B361"/>
    <mergeCell ref="A362:B362"/>
    <mergeCell ref="A363:B363"/>
    <mergeCell ref="A364:B364"/>
    <mergeCell ref="A365:B365"/>
    <mergeCell ref="A366:B366"/>
    <mergeCell ref="A367:B367"/>
    <mergeCell ref="A368:B368"/>
    <mergeCell ref="A369:B369"/>
    <mergeCell ref="A370:B370"/>
    <mergeCell ref="A371:B371"/>
    <mergeCell ref="A372:B372"/>
    <mergeCell ref="A373:B373"/>
    <mergeCell ref="A962:B962"/>
    <mergeCell ref="A963:B963"/>
    <mergeCell ref="A964:B964"/>
    <mergeCell ref="A965:B965"/>
    <mergeCell ref="A966:B966"/>
    <mergeCell ref="A967:B967"/>
    <mergeCell ref="A968:B968"/>
    <mergeCell ref="A969:B969"/>
    <mergeCell ref="A970:B970"/>
    <mergeCell ref="A971:B971"/>
    <mergeCell ref="A972:B972"/>
    <mergeCell ref="A973:B973"/>
    <mergeCell ref="A974:B974"/>
    <mergeCell ref="A975:B975"/>
    <mergeCell ref="A976:B976"/>
    <mergeCell ref="A977:B977"/>
    <mergeCell ref="A978:B978"/>
    <mergeCell ref="A993:B993"/>
    <mergeCell ref="A994:B994"/>
    <mergeCell ref="A995:B995"/>
    <mergeCell ref="A996:B996"/>
    <mergeCell ref="A997:B997"/>
    <mergeCell ref="A998:B998"/>
    <mergeCell ref="A999:B999"/>
    <mergeCell ref="A1000:B1000"/>
    <mergeCell ref="A986:B986"/>
    <mergeCell ref="A987:B987"/>
    <mergeCell ref="A988:B988"/>
    <mergeCell ref="A989:B989"/>
    <mergeCell ref="A990:B990"/>
    <mergeCell ref="A991:B991"/>
    <mergeCell ref="A992:B992"/>
    <mergeCell ref="A930:B930"/>
    <mergeCell ref="A931:B931"/>
    <mergeCell ref="A932:B932"/>
    <mergeCell ref="A933:B933"/>
    <mergeCell ref="A934:B934"/>
    <mergeCell ref="A935:B935"/>
    <mergeCell ref="A936:B936"/>
    <mergeCell ref="A937:B937"/>
    <mergeCell ref="A938:B938"/>
    <mergeCell ref="A939:B939"/>
    <mergeCell ref="A940:B940"/>
    <mergeCell ref="A941:B941"/>
    <mergeCell ref="A942:B942"/>
    <mergeCell ref="A943:B943"/>
    <mergeCell ref="A944:B944"/>
    <mergeCell ref="A945:B945"/>
    <mergeCell ref="A946:B946"/>
    <mergeCell ref="A920:B920"/>
    <mergeCell ref="A921:B921"/>
    <mergeCell ref="A922:B922"/>
    <mergeCell ref="A923:B923"/>
    <mergeCell ref="A924:B924"/>
    <mergeCell ref="A925:B925"/>
    <mergeCell ref="A926:B926"/>
    <mergeCell ref="A927:B927"/>
    <mergeCell ref="A928:B928"/>
    <mergeCell ref="A929:B929"/>
    <mergeCell ref="A979:B979"/>
    <mergeCell ref="A980:B980"/>
    <mergeCell ref="A981:B981"/>
    <mergeCell ref="A982:B982"/>
    <mergeCell ref="A983:B983"/>
    <mergeCell ref="A984:B984"/>
    <mergeCell ref="A985:B985"/>
    <mergeCell ref="A947:B947"/>
    <mergeCell ref="A948:B948"/>
    <mergeCell ref="A949:B949"/>
    <mergeCell ref="A950:B950"/>
    <mergeCell ref="A951:B951"/>
    <mergeCell ref="A952:B952"/>
    <mergeCell ref="A953:B953"/>
    <mergeCell ref="A954:B954"/>
    <mergeCell ref="A955:B955"/>
    <mergeCell ref="A956:B956"/>
    <mergeCell ref="A957:B957"/>
    <mergeCell ref="A958:B958"/>
    <mergeCell ref="A959:B959"/>
    <mergeCell ref="A960:B960"/>
    <mergeCell ref="A961:B961"/>
    <mergeCell ref="A903:B903"/>
    <mergeCell ref="A904:B904"/>
    <mergeCell ref="A905:B905"/>
    <mergeCell ref="A906:B906"/>
    <mergeCell ref="A907:B907"/>
    <mergeCell ref="A908:B908"/>
    <mergeCell ref="A909:B909"/>
    <mergeCell ref="A910:B910"/>
    <mergeCell ref="A911:B911"/>
    <mergeCell ref="A912:B912"/>
    <mergeCell ref="A913:B913"/>
    <mergeCell ref="A914:B914"/>
    <mergeCell ref="A915:B915"/>
    <mergeCell ref="A916:B916"/>
    <mergeCell ref="A917:B917"/>
    <mergeCell ref="A918:B918"/>
    <mergeCell ref="A919:B919"/>
    <mergeCell ref="A886:B886"/>
    <mergeCell ref="A887:B887"/>
    <mergeCell ref="A888:B888"/>
    <mergeCell ref="A889:B889"/>
    <mergeCell ref="A890:B890"/>
    <mergeCell ref="A891:B891"/>
    <mergeCell ref="A892:B892"/>
    <mergeCell ref="A893:B893"/>
    <mergeCell ref="A894:B894"/>
    <mergeCell ref="A895:B895"/>
    <mergeCell ref="A896:B896"/>
    <mergeCell ref="A897:B897"/>
    <mergeCell ref="A898:B898"/>
    <mergeCell ref="A899:B899"/>
    <mergeCell ref="A900:B900"/>
    <mergeCell ref="A901:B901"/>
    <mergeCell ref="A902:B902"/>
    <mergeCell ref="A869:B869"/>
    <mergeCell ref="A870:B870"/>
    <mergeCell ref="A871:B871"/>
    <mergeCell ref="A872:B872"/>
    <mergeCell ref="A873:B873"/>
    <mergeCell ref="A874:B874"/>
    <mergeCell ref="A875:B875"/>
    <mergeCell ref="A876:B876"/>
    <mergeCell ref="A877:B877"/>
    <mergeCell ref="A878:B878"/>
    <mergeCell ref="A879:B879"/>
    <mergeCell ref="A880:B880"/>
    <mergeCell ref="A881:B881"/>
    <mergeCell ref="A882:B882"/>
    <mergeCell ref="A883:B883"/>
    <mergeCell ref="A884:B884"/>
    <mergeCell ref="A885:B885"/>
    <mergeCell ref="A852:B852"/>
    <mergeCell ref="A853:B853"/>
    <mergeCell ref="A854:B854"/>
    <mergeCell ref="A855:B855"/>
    <mergeCell ref="A856:B856"/>
    <mergeCell ref="A857:B857"/>
    <mergeCell ref="A858:B858"/>
    <mergeCell ref="A859:B859"/>
    <mergeCell ref="A860:B860"/>
    <mergeCell ref="A861:B861"/>
    <mergeCell ref="A862:B862"/>
    <mergeCell ref="A863:B863"/>
    <mergeCell ref="A864:B864"/>
    <mergeCell ref="A865:B865"/>
    <mergeCell ref="A866:B866"/>
    <mergeCell ref="A867:B867"/>
    <mergeCell ref="A868:B868"/>
    <mergeCell ref="A835:B835"/>
    <mergeCell ref="A836:B836"/>
    <mergeCell ref="A837:B837"/>
    <mergeCell ref="A838:B838"/>
    <mergeCell ref="A839:B839"/>
    <mergeCell ref="A840:B840"/>
    <mergeCell ref="A841:B841"/>
    <mergeCell ref="A842:B842"/>
    <mergeCell ref="A843:B843"/>
    <mergeCell ref="A844:B844"/>
    <mergeCell ref="A845:B845"/>
    <mergeCell ref="A846:B846"/>
    <mergeCell ref="A847:B847"/>
    <mergeCell ref="A848:B848"/>
    <mergeCell ref="A849:B849"/>
    <mergeCell ref="A850:B850"/>
    <mergeCell ref="A851:B851"/>
    <mergeCell ref="A818:B818"/>
    <mergeCell ref="A819:B819"/>
    <mergeCell ref="A820:B820"/>
    <mergeCell ref="A821:B821"/>
    <mergeCell ref="A822:B822"/>
    <mergeCell ref="A823:B823"/>
    <mergeCell ref="A824:B824"/>
    <mergeCell ref="A825:B825"/>
    <mergeCell ref="A826:B826"/>
    <mergeCell ref="A827:B827"/>
    <mergeCell ref="A828:B828"/>
    <mergeCell ref="A829:B829"/>
    <mergeCell ref="A830:B830"/>
    <mergeCell ref="A831:B831"/>
    <mergeCell ref="A832:B832"/>
    <mergeCell ref="A833:B833"/>
    <mergeCell ref="A834:B834"/>
    <mergeCell ref="A801:B801"/>
    <mergeCell ref="A802:B802"/>
    <mergeCell ref="A803:B803"/>
    <mergeCell ref="A804:B804"/>
    <mergeCell ref="A805:B805"/>
    <mergeCell ref="A806:B806"/>
    <mergeCell ref="A807:B807"/>
    <mergeCell ref="A808:B808"/>
    <mergeCell ref="A809:B809"/>
    <mergeCell ref="A810:B810"/>
    <mergeCell ref="A811:B811"/>
    <mergeCell ref="A812:B812"/>
    <mergeCell ref="A813:B813"/>
    <mergeCell ref="A814:B814"/>
    <mergeCell ref="A815:B815"/>
    <mergeCell ref="A816:B816"/>
    <mergeCell ref="A817:B817"/>
    <mergeCell ref="A784:B784"/>
    <mergeCell ref="A785:B785"/>
    <mergeCell ref="A786:B786"/>
    <mergeCell ref="A787:B787"/>
    <mergeCell ref="A788:B788"/>
    <mergeCell ref="A789:B789"/>
    <mergeCell ref="A790:B790"/>
    <mergeCell ref="A791:B791"/>
    <mergeCell ref="A792:B792"/>
    <mergeCell ref="A793:B793"/>
    <mergeCell ref="A794:B794"/>
    <mergeCell ref="A795:B795"/>
    <mergeCell ref="A796:B796"/>
    <mergeCell ref="A797:B797"/>
    <mergeCell ref="A798:B798"/>
    <mergeCell ref="A799:B799"/>
    <mergeCell ref="A800:B800"/>
    <mergeCell ref="A767:B767"/>
    <mergeCell ref="A768:B768"/>
    <mergeCell ref="A769:B769"/>
    <mergeCell ref="A770:B770"/>
    <mergeCell ref="A771:B771"/>
    <mergeCell ref="A772:B772"/>
    <mergeCell ref="A773:B773"/>
    <mergeCell ref="A774:B774"/>
    <mergeCell ref="A775:B775"/>
    <mergeCell ref="A776:B776"/>
    <mergeCell ref="A777:B777"/>
    <mergeCell ref="A778:B778"/>
    <mergeCell ref="A779:B779"/>
    <mergeCell ref="A780:B780"/>
    <mergeCell ref="A781:B781"/>
    <mergeCell ref="A782:B782"/>
    <mergeCell ref="A783:B783"/>
    <mergeCell ref="A750:B750"/>
    <mergeCell ref="A751:B751"/>
    <mergeCell ref="A752:B752"/>
    <mergeCell ref="A753:B753"/>
    <mergeCell ref="A754:B754"/>
    <mergeCell ref="A755:B755"/>
    <mergeCell ref="A756:B756"/>
    <mergeCell ref="A757:B757"/>
    <mergeCell ref="A758:B758"/>
    <mergeCell ref="A759:B759"/>
    <mergeCell ref="A760:B760"/>
    <mergeCell ref="A761:B761"/>
    <mergeCell ref="A762:B762"/>
    <mergeCell ref="A763:B763"/>
    <mergeCell ref="A764:B764"/>
    <mergeCell ref="A765:B765"/>
    <mergeCell ref="A766:B766"/>
    <mergeCell ref="A733:B733"/>
    <mergeCell ref="A734:B734"/>
    <mergeCell ref="A735:B735"/>
    <mergeCell ref="A736:B736"/>
    <mergeCell ref="A737:B737"/>
    <mergeCell ref="A738:B738"/>
    <mergeCell ref="A739:B739"/>
    <mergeCell ref="A740:B740"/>
    <mergeCell ref="A741:B741"/>
    <mergeCell ref="A742:B742"/>
    <mergeCell ref="A743:B743"/>
    <mergeCell ref="A744:B744"/>
    <mergeCell ref="A745:B745"/>
    <mergeCell ref="A746:B746"/>
    <mergeCell ref="A747:B747"/>
    <mergeCell ref="A748:B748"/>
    <mergeCell ref="A749:B749"/>
    <mergeCell ref="A716:B716"/>
    <mergeCell ref="A717:B717"/>
    <mergeCell ref="A718:B718"/>
    <mergeCell ref="A719:B719"/>
    <mergeCell ref="A720:B720"/>
    <mergeCell ref="A721:B721"/>
    <mergeCell ref="A722:B722"/>
    <mergeCell ref="A723:B723"/>
    <mergeCell ref="A724:B724"/>
    <mergeCell ref="A725:B725"/>
    <mergeCell ref="A726:B726"/>
    <mergeCell ref="A727:B727"/>
    <mergeCell ref="A728:B728"/>
    <mergeCell ref="A729:B729"/>
    <mergeCell ref="A730:B730"/>
    <mergeCell ref="A731:B731"/>
    <mergeCell ref="A732:B732"/>
    <mergeCell ref="A699:B699"/>
    <mergeCell ref="A700:B700"/>
    <mergeCell ref="A701:B701"/>
    <mergeCell ref="A702:B702"/>
    <mergeCell ref="A703:B703"/>
    <mergeCell ref="A704:B704"/>
    <mergeCell ref="A705:B705"/>
    <mergeCell ref="A706:B706"/>
    <mergeCell ref="A707:B707"/>
    <mergeCell ref="A708:B708"/>
    <mergeCell ref="A709:B709"/>
    <mergeCell ref="A710:B710"/>
    <mergeCell ref="A711:B711"/>
    <mergeCell ref="A712:B712"/>
    <mergeCell ref="A713:B713"/>
    <mergeCell ref="A714:B714"/>
    <mergeCell ref="A715:B715"/>
    <mergeCell ref="A339:B339"/>
    <mergeCell ref="A340:B340"/>
    <mergeCell ref="A341:B341"/>
    <mergeCell ref="A685:B685"/>
    <mergeCell ref="A686:B686"/>
    <mergeCell ref="A687:B687"/>
    <mergeCell ref="A688:B688"/>
    <mergeCell ref="A689:B689"/>
    <mergeCell ref="A690:B690"/>
    <mergeCell ref="A691:B691"/>
    <mergeCell ref="A692:B692"/>
    <mergeCell ref="A693:B693"/>
    <mergeCell ref="A694:B694"/>
    <mergeCell ref="A695:B695"/>
    <mergeCell ref="A696:B696"/>
    <mergeCell ref="A697:B697"/>
    <mergeCell ref="A698:B698"/>
    <mergeCell ref="A342:B342"/>
    <mergeCell ref="A343:B343"/>
    <mergeCell ref="A344:B344"/>
    <mergeCell ref="A345:B345"/>
    <mergeCell ref="A346:B346"/>
    <mergeCell ref="A347:B347"/>
    <mergeCell ref="A348:B348"/>
    <mergeCell ref="A349:B349"/>
    <mergeCell ref="A350:B350"/>
    <mergeCell ref="A351:B351"/>
    <mergeCell ref="A352:B352"/>
    <mergeCell ref="A353:B353"/>
    <mergeCell ref="A354:B354"/>
    <mergeCell ref="A355:B355"/>
    <mergeCell ref="A356:B356"/>
    <mergeCell ref="A322:B322"/>
    <mergeCell ref="A323:B323"/>
    <mergeCell ref="A324:B324"/>
    <mergeCell ref="A325:B325"/>
    <mergeCell ref="A326:B326"/>
    <mergeCell ref="A327:B327"/>
    <mergeCell ref="A328:B328"/>
    <mergeCell ref="A329:B329"/>
    <mergeCell ref="A330:B330"/>
    <mergeCell ref="A331:B331"/>
    <mergeCell ref="A332:B332"/>
    <mergeCell ref="A333:B333"/>
    <mergeCell ref="A334:B334"/>
    <mergeCell ref="A335:B335"/>
    <mergeCell ref="A336:B336"/>
    <mergeCell ref="A337:B337"/>
    <mergeCell ref="A338:B338"/>
    <mergeCell ref="A305:B305"/>
    <mergeCell ref="A306:B306"/>
    <mergeCell ref="A307:B307"/>
    <mergeCell ref="A308:B308"/>
    <mergeCell ref="A309:B309"/>
    <mergeCell ref="A310:B310"/>
    <mergeCell ref="A311:B311"/>
    <mergeCell ref="A312:B312"/>
    <mergeCell ref="A313:B313"/>
    <mergeCell ref="A314:B314"/>
    <mergeCell ref="A315:B315"/>
    <mergeCell ref="A316:B316"/>
    <mergeCell ref="A317:B317"/>
    <mergeCell ref="A318:B318"/>
    <mergeCell ref="A319:B319"/>
    <mergeCell ref="A320:B320"/>
    <mergeCell ref="A321:B321"/>
    <mergeCell ref="A288:B288"/>
    <mergeCell ref="A289:B289"/>
    <mergeCell ref="A290:B290"/>
    <mergeCell ref="A291:B291"/>
    <mergeCell ref="A292:B292"/>
    <mergeCell ref="A293:B293"/>
    <mergeCell ref="A294:B294"/>
    <mergeCell ref="A295:B295"/>
    <mergeCell ref="A296:B296"/>
    <mergeCell ref="A297:B297"/>
    <mergeCell ref="A298:B298"/>
    <mergeCell ref="A299:B299"/>
    <mergeCell ref="A300:B300"/>
    <mergeCell ref="A301:B301"/>
    <mergeCell ref="A302:B302"/>
    <mergeCell ref="A303:B303"/>
    <mergeCell ref="A304:B304"/>
    <mergeCell ref="A271:B271"/>
    <mergeCell ref="A272:B272"/>
    <mergeCell ref="A273:B273"/>
    <mergeCell ref="A274:B274"/>
    <mergeCell ref="A275:B275"/>
    <mergeCell ref="A276:B276"/>
    <mergeCell ref="A277:B277"/>
    <mergeCell ref="A278:B278"/>
    <mergeCell ref="A279:B279"/>
    <mergeCell ref="A280:B280"/>
    <mergeCell ref="A281:B281"/>
    <mergeCell ref="A282:B282"/>
    <mergeCell ref="A283:B283"/>
    <mergeCell ref="A284:B284"/>
    <mergeCell ref="A285:B285"/>
    <mergeCell ref="A286:B286"/>
    <mergeCell ref="A287:B287"/>
    <mergeCell ref="A254:B254"/>
    <mergeCell ref="A255:B255"/>
    <mergeCell ref="A256:B256"/>
    <mergeCell ref="A257:B257"/>
    <mergeCell ref="A258:B258"/>
    <mergeCell ref="A259:B259"/>
    <mergeCell ref="A260:B260"/>
    <mergeCell ref="A261:B261"/>
    <mergeCell ref="A262:B262"/>
    <mergeCell ref="A263:B263"/>
    <mergeCell ref="A264:B264"/>
    <mergeCell ref="A265:B265"/>
    <mergeCell ref="A266:B266"/>
    <mergeCell ref="A267:B267"/>
    <mergeCell ref="A268:B268"/>
    <mergeCell ref="A269:B269"/>
    <mergeCell ref="A270:B270"/>
    <mergeCell ref="A237:B237"/>
    <mergeCell ref="A238:B238"/>
    <mergeCell ref="A239:B239"/>
    <mergeCell ref="A240:B240"/>
    <mergeCell ref="A241:B241"/>
    <mergeCell ref="A242:B242"/>
    <mergeCell ref="A243:B243"/>
    <mergeCell ref="A244:B244"/>
    <mergeCell ref="A245:B245"/>
    <mergeCell ref="A246:B246"/>
    <mergeCell ref="A247:B247"/>
    <mergeCell ref="A248:B248"/>
    <mergeCell ref="A249:B249"/>
    <mergeCell ref="A250:B250"/>
    <mergeCell ref="A251:B251"/>
    <mergeCell ref="A252:B252"/>
    <mergeCell ref="A253:B253"/>
    <mergeCell ref="A220:B220"/>
    <mergeCell ref="A221:B221"/>
    <mergeCell ref="A222:B222"/>
    <mergeCell ref="A223:B223"/>
    <mergeCell ref="A224:B224"/>
    <mergeCell ref="A225:B225"/>
    <mergeCell ref="A226:B226"/>
    <mergeCell ref="A227:B227"/>
    <mergeCell ref="A228:B228"/>
    <mergeCell ref="A229:B229"/>
    <mergeCell ref="A230:B230"/>
    <mergeCell ref="A231:B231"/>
    <mergeCell ref="A232:B232"/>
    <mergeCell ref="A233:B233"/>
    <mergeCell ref="A234:B234"/>
    <mergeCell ref="A235:B235"/>
    <mergeCell ref="A236:B236"/>
    <mergeCell ref="A203:B203"/>
    <mergeCell ref="A204:B204"/>
    <mergeCell ref="A205:B205"/>
    <mergeCell ref="A206:B206"/>
    <mergeCell ref="A207:B207"/>
    <mergeCell ref="A208:B208"/>
    <mergeCell ref="A209:B209"/>
    <mergeCell ref="A210:B210"/>
    <mergeCell ref="A211:B211"/>
    <mergeCell ref="A212:B212"/>
    <mergeCell ref="A213:B213"/>
    <mergeCell ref="A214:B214"/>
    <mergeCell ref="A215:B215"/>
    <mergeCell ref="A216:B216"/>
    <mergeCell ref="A217:B217"/>
    <mergeCell ref="A218:B218"/>
    <mergeCell ref="A219:B219"/>
    <mergeCell ref="A186:B186"/>
    <mergeCell ref="A187:B187"/>
    <mergeCell ref="A188:B188"/>
    <mergeCell ref="A189:B189"/>
    <mergeCell ref="A190:B190"/>
    <mergeCell ref="A191:B191"/>
    <mergeCell ref="A192:B192"/>
    <mergeCell ref="A193:B193"/>
    <mergeCell ref="A194:B194"/>
    <mergeCell ref="A195:B195"/>
    <mergeCell ref="A196:B196"/>
    <mergeCell ref="A197:B197"/>
    <mergeCell ref="A198:B198"/>
    <mergeCell ref="A199:B199"/>
    <mergeCell ref="A200:B200"/>
    <mergeCell ref="A201:B201"/>
    <mergeCell ref="A202:B202"/>
    <mergeCell ref="A169:B169"/>
    <mergeCell ref="A170:B170"/>
    <mergeCell ref="A171:B171"/>
    <mergeCell ref="A172:B172"/>
    <mergeCell ref="A173:B173"/>
    <mergeCell ref="A174:B174"/>
    <mergeCell ref="A175:B175"/>
    <mergeCell ref="A176:B176"/>
    <mergeCell ref="A177:B177"/>
    <mergeCell ref="A178:B178"/>
    <mergeCell ref="A179:B179"/>
    <mergeCell ref="A180:B180"/>
    <mergeCell ref="A181:B181"/>
    <mergeCell ref="A182:B182"/>
    <mergeCell ref="A183:B183"/>
    <mergeCell ref="A184:B184"/>
    <mergeCell ref="A185:B185"/>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01:B101"/>
    <mergeCell ref="A102:B102"/>
    <mergeCell ref="A103:B103"/>
    <mergeCell ref="A104:B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84:B84"/>
    <mergeCell ref="A85:B85"/>
    <mergeCell ref="A86:B86"/>
    <mergeCell ref="A87:B87"/>
    <mergeCell ref="A88:B88"/>
    <mergeCell ref="A89:B89"/>
    <mergeCell ref="A90:B90"/>
    <mergeCell ref="A91:B91"/>
    <mergeCell ref="A92:B92"/>
    <mergeCell ref="A93:B93"/>
    <mergeCell ref="A94:B94"/>
    <mergeCell ref="A95:B95"/>
    <mergeCell ref="A96:B96"/>
    <mergeCell ref="A97:B97"/>
    <mergeCell ref="A98:B98"/>
    <mergeCell ref="A99:B99"/>
    <mergeCell ref="A100:B100"/>
    <mergeCell ref="A67:B67"/>
    <mergeCell ref="A68:B68"/>
    <mergeCell ref="A69:B69"/>
    <mergeCell ref="A70:B70"/>
    <mergeCell ref="A71:B71"/>
    <mergeCell ref="A72:B72"/>
    <mergeCell ref="A73:B73"/>
    <mergeCell ref="A74:B74"/>
    <mergeCell ref="A75:B75"/>
    <mergeCell ref="A76:B76"/>
    <mergeCell ref="A77:B77"/>
    <mergeCell ref="A78:B78"/>
    <mergeCell ref="A79:B79"/>
    <mergeCell ref="A80:B80"/>
    <mergeCell ref="A81:B81"/>
    <mergeCell ref="A82:B82"/>
    <mergeCell ref="A83:B83"/>
    <mergeCell ref="A50:B50"/>
    <mergeCell ref="A51:B51"/>
    <mergeCell ref="A52:B52"/>
    <mergeCell ref="A53:B53"/>
    <mergeCell ref="A54:B54"/>
    <mergeCell ref="A55:B55"/>
    <mergeCell ref="A56:B56"/>
    <mergeCell ref="A57:B57"/>
    <mergeCell ref="A58:B58"/>
    <mergeCell ref="A59:B59"/>
    <mergeCell ref="A60:B60"/>
    <mergeCell ref="A61:B61"/>
    <mergeCell ref="A62:B62"/>
    <mergeCell ref="A63:B63"/>
    <mergeCell ref="A64:B64"/>
    <mergeCell ref="A65:B65"/>
    <mergeCell ref="A66:B66"/>
    <mergeCell ref="A33:B33"/>
    <mergeCell ref="A34:B34"/>
    <mergeCell ref="A35:B35"/>
    <mergeCell ref="A36:B36"/>
    <mergeCell ref="A37:B37"/>
    <mergeCell ref="A38:B38"/>
    <mergeCell ref="A39:B39"/>
    <mergeCell ref="A40:B40"/>
    <mergeCell ref="A41:B41"/>
    <mergeCell ref="A42:B42"/>
    <mergeCell ref="A43:B43"/>
    <mergeCell ref="A44:B44"/>
    <mergeCell ref="A45:B45"/>
    <mergeCell ref="A46:B46"/>
    <mergeCell ref="A47:B47"/>
    <mergeCell ref="A48:B48"/>
    <mergeCell ref="A49:B49"/>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1:B1"/>
    <mergeCell ref="B2:D2"/>
    <mergeCell ref="G2:G4"/>
    <mergeCell ref="H2:M4"/>
    <mergeCell ref="Q2:Q3"/>
    <mergeCell ref="B3:D4"/>
    <mergeCell ref="O3:O4"/>
    <mergeCell ref="A5:B5"/>
    <mergeCell ref="A7:B7"/>
    <mergeCell ref="A8:B8"/>
    <mergeCell ref="A9:B9"/>
    <mergeCell ref="A10:B10"/>
    <mergeCell ref="A11:B11"/>
    <mergeCell ref="A12:B12"/>
    <mergeCell ref="A13:B13"/>
    <mergeCell ref="A14:B14"/>
    <mergeCell ref="A15:B15"/>
  </mergeCells>
  <dataValidations count="1">
    <dataValidation type="decimal" operator="greaterThan" allowBlank="1" showErrorMessage="1" sqref="O3 Q4" xr:uid="{00000000-0002-0000-0700-000000000000}">
      <formula1>-1</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T1001"/>
  <sheetViews>
    <sheetView workbookViewId="0"/>
  </sheetViews>
  <sheetFormatPr defaultColWidth="12.6640625" defaultRowHeight="15.75" customHeight="1"/>
  <sheetData>
    <row r="1" spans="1:20" ht="15.75" customHeight="1">
      <c r="A1" s="53" t="s">
        <v>8</v>
      </c>
      <c r="B1" s="94" t="s">
        <v>800</v>
      </c>
      <c r="C1" s="95" t="s">
        <v>802</v>
      </c>
      <c r="D1" s="95" t="s">
        <v>803</v>
      </c>
      <c r="E1" s="95" t="s">
        <v>804</v>
      </c>
      <c r="F1" s="95" t="s">
        <v>805</v>
      </c>
      <c r="G1" s="96" t="s">
        <v>806</v>
      </c>
      <c r="H1" s="141" t="s">
        <v>850</v>
      </c>
      <c r="I1" s="53" t="s">
        <v>17</v>
      </c>
      <c r="J1" s="94" t="s">
        <v>800</v>
      </c>
      <c r="K1" s="95" t="s">
        <v>802</v>
      </c>
      <c r="L1" s="95" t="s">
        <v>803</v>
      </c>
      <c r="M1" s="95" t="s">
        <v>804</v>
      </c>
      <c r="N1" s="95" t="s">
        <v>805</v>
      </c>
      <c r="O1" s="96" t="s">
        <v>806</v>
      </c>
      <c r="P1" s="141" t="s">
        <v>850</v>
      </c>
      <c r="Q1" s="53" t="s">
        <v>79</v>
      </c>
      <c r="R1" s="53" t="s">
        <v>851</v>
      </c>
      <c r="S1" s="53"/>
      <c r="T1" s="53"/>
    </row>
    <row r="2" spans="1:20" ht="15.75" customHeight="1">
      <c r="A2" t="str">
        <f t="array" ref="A2:A1000">INDEX(NPCRace,0)</f>
        <v>Dragonborn</v>
      </c>
      <c r="B2" s="13">
        <v>2</v>
      </c>
      <c r="C2" s="13">
        <v>0</v>
      </c>
      <c r="D2" s="13">
        <v>0</v>
      </c>
      <c r="E2" s="13">
        <v>0</v>
      </c>
      <c r="F2" s="13">
        <v>0</v>
      </c>
      <c r="G2" s="13">
        <v>1</v>
      </c>
      <c r="H2" s="70">
        <f t="shared" ref="H2:H12" si="0">SUM(B2:G2)</f>
        <v>3</v>
      </c>
      <c r="I2" t="str">
        <f t="array" ref="I2:I1000">INDEX(NPCFaction,0)</f>
        <v>Royalty</v>
      </c>
      <c r="J2" s="13">
        <v>0</v>
      </c>
      <c r="K2" s="13">
        <v>0</v>
      </c>
      <c r="L2" s="13">
        <v>1</v>
      </c>
      <c r="M2" s="13">
        <v>2</v>
      </c>
      <c r="N2" s="13">
        <v>1</v>
      </c>
      <c r="O2" s="13">
        <v>1</v>
      </c>
      <c r="P2" s="70">
        <f t="shared" ref="P2:P12" si="1">SUM(J2:O2)</f>
        <v>5</v>
      </c>
      <c r="Q2" t="str">
        <f t="array" ref="Q2:Q1000">INDEX(NPCJobs,0)</f>
        <v>Tavern Keep</v>
      </c>
      <c r="R2" s="16">
        <v>6</v>
      </c>
    </row>
    <row r="3" spans="1:20" ht="15.75" customHeight="1">
      <c r="A3" t="str">
        <v>Dwarf</v>
      </c>
      <c r="B3" s="13">
        <v>2</v>
      </c>
      <c r="C3" s="13">
        <v>0</v>
      </c>
      <c r="D3" s="13">
        <v>2</v>
      </c>
      <c r="E3" s="13">
        <v>0</v>
      </c>
      <c r="F3" s="13">
        <v>0</v>
      </c>
      <c r="G3" s="13">
        <v>0</v>
      </c>
      <c r="H3" s="70">
        <f t="shared" si="0"/>
        <v>4</v>
      </c>
      <c r="I3" t="str">
        <v>Necromancer</v>
      </c>
      <c r="J3" s="13">
        <v>-1</v>
      </c>
      <c r="K3" s="13">
        <v>0</v>
      </c>
      <c r="L3" s="13">
        <v>2</v>
      </c>
      <c r="M3" s="13">
        <v>2</v>
      </c>
      <c r="N3" s="13">
        <v>2</v>
      </c>
      <c r="O3" s="13">
        <v>0</v>
      </c>
      <c r="P3" s="70">
        <f t="shared" si="1"/>
        <v>5</v>
      </c>
      <c r="Q3" t="str">
        <v>Black Smith</v>
      </c>
      <c r="R3" s="16">
        <v>10</v>
      </c>
    </row>
    <row r="4" spans="1:20" ht="15.75" customHeight="1">
      <c r="A4" t="str">
        <v>Elf</v>
      </c>
      <c r="B4" s="13">
        <v>0</v>
      </c>
      <c r="C4" s="13">
        <v>2</v>
      </c>
      <c r="D4" s="13">
        <v>0</v>
      </c>
      <c r="E4" s="13">
        <v>1</v>
      </c>
      <c r="F4" s="13">
        <v>0</v>
      </c>
      <c r="G4" s="13">
        <v>0</v>
      </c>
      <c r="H4" s="70">
        <f t="shared" si="0"/>
        <v>3</v>
      </c>
      <c r="I4" t="str">
        <v>Traders Guild</v>
      </c>
      <c r="J4" s="13">
        <v>1</v>
      </c>
      <c r="K4" s="13">
        <v>1</v>
      </c>
      <c r="L4" s="13">
        <v>0</v>
      </c>
      <c r="M4" s="13">
        <v>1</v>
      </c>
      <c r="N4" s="13">
        <v>0</v>
      </c>
      <c r="O4" s="13">
        <v>2</v>
      </c>
      <c r="P4" s="70">
        <f t="shared" si="1"/>
        <v>5</v>
      </c>
      <c r="Q4" t="str">
        <v>Magic Shop</v>
      </c>
      <c r="R4" s="16">
        <v>18</v>
      </c>
    </row>
    <row r="5" spans="1:20" ht="15.75" customHeight="1">
      <c r="A5" t="str">
        <v>Gnome</v>
      </c>
      <c r="B5" s="13">
        <v>0</v>
      </c>
      <c r="C5" s="13">
        <v>1</v>
      </c>
      <c r="D5" s="13">
        <v>0</v>
      </c>
      <c r="E5" s="13">
        <v>2</v>
      </c>
      <c r="F5" s="13">
        <v>0</v>
      </c>
      <c r="G5" s="13">
        <v>0</v>
      </c>
      <c r="H5" s="70">
        <f t="shared" si="0"/>
        <v>3</v>
      </c>
      <c r="I5" t="str">
        <v>Adventures Guild</v>
      </c>
      <c r="J5" s="13">
        <v>1</v>
      </c>
      <c r="K5" s="13">
        <v>1</v>
      </c>
      <c r="L5" s="13">
        <v>1</v>
      </c>
      <c r="M5" s="13">
        <v>1</v>
      </c>
      <c r="N5" s="13">
        <v>1</v>
      </c>
      <c r="O5" s="13">
        <v>1</v>
      </c>
      <c r="P5" s="70">
        <f t="shared" si="1"/>
        <v>6</v>
      </c>
      <c r="Q5" t="str">
        <v>Thief</v>
      </c>
      <c r="R5" s="16">
        <v>7</v>
      </c>
    </row>
    <row r="6" spans="1:20" ht="15.75" customHeight="1">
      <c r="A6" t="str">
        <v>Half-Elf</v>
      </c>
      <c r="B6" s="13">
        <v>0</v>
      </c>
      <c r="C6" s="13">
        <v>1</v>
      </c>
      <c r="D6" s="13">
        <v>0</v>
      </c>
      <c r="E6" s="13">
        <v>1</v>
      </c>
      <c r="F6" s="13">
        <v>0</v>
      </c>
      <c r="G6" s="13">
        <v>0</v>
      </c>
      <c r="H6" s="70">
        <f t="shared" si="0"/>
        <v>2</v>
      </c>
      <c r="I6" t="str">
        <v>Thieves Guild</v>
      </c>
      <c r="J6" s="13">
        <v>0</v>
      </c>
      <c r="K6" s="13">
        <v>3</v>
      </c>
      <c r="L6" s="13">
        <v>0</v>
      </c>
      <c r="M6" s="13">
        <v>1</v>
      </c>
      <c r="N6" s="13">
        <v>0</v>
      </c>
      <c r="O6" s="13">
        <v>2</v>
      </c>
      <c r="P6" s="70">
        <f t="shared" si="1"/>
        <v>6</v>
      </c>
      <c r="Q6" t="str">
        <v>Whore</v>
      </c>
      <c r="R6" s="16">
        <v>8</v>
      </c>
    </row>
    <row r="7" spans="1:20" ht="15.75" customHeight="1">
      <c r="A7" t="str">
        <v>Half-Orc</v>
      </c>
      <c r="B7" s="13">
        <v>2</v>
      </c>
      <c r="C7" s="13">
        <v>0</v>
      </c>
      <c r="D7" s="13">
        <v>1</v>
      </c>
      <c r="E7" s="13">
        <v>0</v>
      </c>
      <c r="F7" s="13">
        <v>0</v>
      </c>
      <c r="G7" s="13">
        <v>0</v>
      </c>
      <c r="H7" s="70">
        <f t="shared" si="0"/>
        <v>3</v>
      </c>
      <c r="I7" t="str">
        <v>Death Guild</v>
      </c>
      <c r="J7" s="13">
        <v>0</v>
      </c>
      <c r="K7" s="13">
        <v>1</v>
      </c>
      <c r="L7" s="13">
        <v>2</v>
      </c>
      <c r="M7" s="13">
        <v>0</v>
      </c>
      <c r="N7" s="13">
        <v>2</v>
      </c>
      <c r="O7" s="13">
        <v>0</v>
      </c>
      <c r="P7" s="70">
        <f t="shared" si="1"/>
        <v>5</v>
      </c>
      <c r="Q7" t="str">
        <v>Armory</v>
      </c>
      <c r="R7" s="16">
        <v>14</v>
      </c>
    </row>
    <row r="8" spans="1:20" ht="15.75" customHeight="1">
      <c r="A8" t="str">
        <v>Halfling</v>
      </c>
      <c r="B8" s="13">
        <v>0</v>
      </c>
      <c r="C8" s="13">
        <v>2</v>
      </c>
      <c r="D8" s="13">
        <v>0</v>
      </c>
      <c r="E8" s="13">
        <v>0</v>
      </c>
      <c r="F8" s="13">
        <v>0</v>
      </c>
      <c r="G8" s="13">
        <v>1</v>
      </c>
      <c r="H8" s="70">
        <f t="shared" si="0"/>
        <v>3</v>
      </c>
      <c r="I8" t="str">
        <v>Magic Guild</v>
      </c>
      <c r="J8" s="13">
        <v>-2</v>
      </c>
      <c r="K8" s="13">
        <v>0</v>
      </c>
      <c r="L8" s="13">
        <v>1</v>
      </c>
      <c r="M8" s="13">
        <v>3</v>
      </c>
      <c r="N8" s="13">
        <v>2</v>
      </c>
      <c r="O8" s="13">
        <v>1</v>
      </c>
      <c r="P8" s="70">
        <f t="shared" si="1"/>
        <v>5</v>
      </c>
      <c r="Q8" t="str">
        <v>Alchamist</v>
      </c>
      <c r="R8" s="16">
        <v>17</v>
      </c>
    </row>
    <row r="9" spans="1:20" ht="15.75" customHeight="1">
      <c r="A9" t="str">
        <v>Human</v>
      </c>
      <c r="B9" s="13">
        <v>1</v>
      </c>
      <c r="C9" s="13">
        <v>1</v>
      </c>
      <c r="D9" s="13">
        <v>1</v>
      </c>
      <c r="E9" s="13">
        <v>1</v>
      </c>
      <c r="F9" s="13">
        <v>1</v>
      </c>
      <c r="G9" s="13">
        <v>1</v>
      </c>
      <c r="H9" s="70">
        <f t="shared" si="0"/>
        <v>6</v>
      </c>
      <c r="I9" t="str">
        <v>Farmers Guild</v>
      </c>
      <c r="J9" s="13">
        <v>1</v>
      </c>
      <c r="K9" s="13">
        <v>1</v>
      </c>
      <c r="L9" s="13">
        <v>1</v>
      </c>
      <c r="M9" s="13">
        <v>1</v>
      </c>
      <c r="N9" s="13">
        <v>1</v>
      </c>
      <c r="O9" s="13">
        <v>1</v>
      </c>
      <c r="P9" s="70">
        <f t="shared" si="1"/>
        <v>6</v>
      </c>
      <c r="Q9" t="str">
        <v>Clergy</v>
      </c>
      <c r="R9" s="16">
        <v>15</v>
      </c>
    </row>
    <row r="10" spans="1:20" ht="15.75" customHeight="1">
      <c r="A10" t="str">
        <v>Tiefling</v>
      </c>
      <c r="B10" s="13">
        <v>0</v>
      </c>
      <c r="C10" s="13">
        <v>0</v>
      </c>
      <c r="D10" s="13">
        <v>0</v>
      </c>
      <c r="E10" s="13">
        <v>1</v>
      </c>
      <c r="F10" s="13">
        <v>0</v>
      </c>
      <c r="G10" s="13">
        <v>2</v>
      </c>
      <c r="H10" s="70">
        <f t="shared" si="0"/>
        <v>3</v>
      </c>
      <c r="I10" t="str">
        <v>Traverlers Guild</v>
      </c>
      <c r="J10" s="13">
        <v>1</v>
      </c>
      <c r="K10" s="13">
        <v>2</v>
      </c>
      <c r="L10" s="13">
        <v>0</v>
      </c>
      <c r="M10" s="13">
        <v>1</v>
      </c>
      <c r="N10" s="13">
        <v>0</v>
      </c>
      <c r="O10" s="13">
        <v>2</v>
      </c>
      <c r="P10" s="70">
        <f t="shared" si="1"/>
        <v>6</v>
      </c>
      <c r="Q10" t="str">
        <v>Wood Cutter</v>
      </c>
      <c r="R10" s="16">
        <v>11</v>
      </c>
    </row>
    <row r="11" spans="1:20" ht="15.75" customHeight="1">
      <c r="A11" t="str">
        <v>Genasi</v>
      </c>
      <c r="B11" s="13">
        <v>0</v>
      </c>
      <c r="C11" s="13">
        <v>1</v>
      </c>
      <c r="D11" s="13">
        <v>2</v>
      </c>
      <c r="E11" s="13">
        <v>0</v>
      </c>
      <c r="F11" s="13">
        <v>0</v>
      </c>
      <c r="G11" s="13">
        <v>0</v>
      </c>
      <c r="H11" s="70">
        <f t="shared" si="0"/>
        <v>3</v>
      </c>
      <c r="I11" t="str">
        <v>Followers of Isis</v>
      </c>
      <c r="J11" s="13">
        <v>0</v>
      </c>
      <c r="K11" s="13">
        <v>1</v>
      </c>
      <c r="L11" s="13">
        <v>4</v>
      </c>
      <c r="M11" s="13">
        <v>0</v>
      </c>
      <c r="N11" s="13">
        <v>1</v>
      </c>
      <c r="O11" s="13">
        <v>0</v>
      </c>
      <c r="P11" s="70">
        <f t="shared" si="1"/>
        <v>6</v>
      </c>
      <c r="Q11" t="str">
        <v>Adventure</v>
      </c>
      <c r="R11" s="16">
        <v>30</v>
      </c>
    </row>
    <row r="12" spans="1:20" ht="15.75" customHeight="1">
      <c r="A12" t="str">
        <v>Goliath</v>
      </c>
      <c r="B12" s="13">
        <v>2</v>
      </c>
      <c r="C12" s="13">
        <v>0</v>
      </c>
      <c r="D12" s="13">
        <v>1</v>
      </c>
      <c r="E12" s="13">
        <v>0</v>
      </c>
      <c r="F12" s="13">
        <v>0</v>
      </c>
      <c r="G12" s="13">
        <v>0</v>
      </c>
      <c r="H12" s="70">
        <f t="shared" si="0"/>
        <v>3</v>
      </c>
      <c r="I12">
        <v>0</v>
      </c>
      <c r="J12" s="13"/>
      <c r="K12" s="13"/>
      <c r="L12" s="13"/>
      <c r="M12" s="13"/>
      <c r="N12" s="13"/>
      <c r="O12" s="13"/>
      <c r="P12" s="70">
        <f t="shared" si="1"/>
        <v>0</v>
      </c>
      <c r="Q12" t="str">
        <v>Guard</v>
      </c>
      <c r="R12" s="16">
        <v>10</v>
      </c>
    </row>
    <row r="13" spans="1:20" ht="15.75" customHeight="1">
      <c r="A13">
        <v>0</v>
      </c>
      <c r="H13" s="114"/>
      <c r="I13">
        <v>0</v>
      </c>
      <c r="P13" s="114"/>
      <c r="Q13" t="str">
        <v>Land Lord</v>
      </c>
      <c r="R13" s="16">
        <v>20</v>
      </c>
    </row>
    <row r="14" spans="1:20" ht="15.75" customHeight="1">
      <c r="A14">
        <v>0</v>
      </c>
      <c r="H14" s="114"/>
      <c r="I14">
        <v>0</v>
      </c>
      <c r="P14" s="114"/>
      <c r="Q14" t="str">
        <v>None</v>
      </c>
      <c r="R14" s="16">
        <v>1</v>
      </c>
    </row>
    <row r="15" spans="1:20" ht="15.75" customHeight="1">
      <c r="A15">
        <v>0</v>
      </c>
      <c r="H15" s="114"/>
      <c r="I15">
        <v>0</v>
      </c>
      <c r="P15" s="114"/>
      <c r="Q15">
        <v>0</v>
      </c>
      <c r="R15" s="16"/>
    </row>
    <row r="16" spans="1:20" ht="15.75" customHeight="1">
      <c r="A16">
        <v>0</v>
      </c>
      <c r="H16" s="114"/>
      <c r="I16">
        <v>0</v>
      </c>
      <c r="P16" s="114"/>
      <c r="Q16">
        <v>0</v>
      </c>
      <c r="R16" s="16"/>
    </row>
    <row r="17" spans="1:18" ht="15.75" customHeight="1">
      <c r="A17">
        <v>0</v>
      </c>
      <c r="H17" s="114"/>
      <c r="I17">
        <v>0</v>
      </c>
      <c r="P17" s="114"/>
      <c r="Q17">
        <v>0</v>
      </c>
      <c r="R17" s="16"/>
    </row>
    <row r="18" spans="1:18" ht="15.75" customHeight="1">
      <c r="A18">
        <v>0</v>
      </c>
      <c r="H18" s="114"/>
      <c r="I18">
        <v>0</v>
      </c>
      <c r="P18" s="114"/>
      <c r="Q18">
        <v>0</v>
      </c>
      <c r="R18" s="16"/>
    </row>
    <row r="19" spans="1:18" ht="15.75" customHeight="1">
      <c r="A19">
        <v>0</v>
      </c>
      <c r="H19" s="114"/>
      <c r="I19">
        <v>0</v>
      </c>
      <c r="P19" s="114"/>
      <c r="Q19">
        <v>0</v>
      </c>
      <c r="R19" s="16"/>
    </row>
    <row r="20" spans="1:18" ht="15.75" customHeight="1">
      <c r="A20">
        <v>0</v>
      </c>
      <c r="H20" s="114"/>
      <c r="I20">
        <v>0</v>
      </c>
      <c r="P20" s="114"/>
      <c r="Q20">
        <v>0</v>
      </c>
      <c r="R20" s="16"/>
    </row>
    <row r="21" spans="1:18" ht="15.75" customHeight="1">
      <c r="A21">
        <v>0</v>
      </c>
      <c r="H21" s="114"/>
      <c r="I21">
        <v>0</v>
      </c>
      <c r="P21" s="114"/>
      <c r="Q21">
        <v>0</v>
      </c>
      <c r="R21" s="16"/>
    </row>
    <row r="22" spans="1:18" ht="15.75" customHeight="1">
      <c r="A22">
        <v>0</v>
      </c>
      <c r="H22" s="114"/>
      <c r="I22">
        <v>0</v>
      </c>
      <c r="P22" s="114"/>
      <c r="Q22">
        <v>0</v>
      </c>
      <c r="R22" s="16"/>
    </row>
    <row r="23" spans="1:18" ht="15.75" customHeight="1">
      <c r="A23">
        <v>0</v>
      </c>
      <c r="H23" s="114"/>
      <c r="I23">
        <v>0</v>
      </c>
      <c r="P23" s="114"/>
      <c r="Q23">
        <v>0</v>
      </c>
      <c r="R23" s="16"/>
    </row>
    <row r="24" spans="1:18" ht="15.75" customHeight="1">
      <c r="A24">
        <v>0</v>
      </c>
      <c r="H24" s="114"/>
      <c r="I24">
        <v>0</v>
      </c>
      <c r="P24" s="114"/>
      <c r="Q24">
        <v>0</v>
      </c>
      <c r="R24" s="16"/>
    </row>
    <row r="25" spans="1:18" ht="15.75" customHeight="1">
      <c r="A25">
        <v>0</v>
      </c>
      <c r="H25" s="114"/>
      <c r="I25">
        <v>0</v>
      </c>
      <c r="P25" s="114"/>
      <c r="Q25">
        <v>0</v>
      </c>
      <c r="R25" s="16"/>
    </row>
    <row r="26" spans="1:18" ht="15.75" customHeight="1">
      <c r="A26">
        <v>0</v>
      </c>
      <c r="H26" s="114"/>
      <c r="I26">
        <v>0</v>
      </c>
      <c r="P26" s="114"/>
      <c r="Q26">
        <v>0</v>
      </c>
      <c r="R26" s="16"/>
    </row>
    <row r="27" spans="1:18" ht="15.75" customHeight="1">
      <c r="A27">
        <v>0</v>
      </c>
      <c r="H27" s="114"/>
      <c r="I27">
        <v>0</v>
      </c>
      <c r="P27" s="114"/>
      <c r="Q27">
        <v>0</v>
      </c>
      <c r="R27" s="16"/>
    </row>
    <row r="28" spans="1:18" ht="13.2">
      <c r="A28">
        <v>0</v>
      </c>
      <c r="H28" s="114"/>
      <c r="I28">
        <v>0</v>
      </c>
      <c r="P28" s="114"/>
      <c r="Q28">
        <v>0</v>
      </c>
      <c r="R28" s="16"/>
    </row>
    <row r="29" spans="1:18" ht="13.2">
      <c r="A29">
        <v>0</v>
      </c>
      <c r="H29" s="114"/>
      <c r="I29">
        <v>0</v>
      </c>
      <c r="P29" s="114"/>
      <c r="Q29">
        <v>0</v>
      </c>
      <c r="R29" s="16"/>
    </row>
    <row r="30" spans="1:18" ht="13.2">
      <c r="A30">
        <v>0</v>
      </c>
      <c r="H30" s="114"/>
      <c r="I30">
        <v>0</v>
      </c>
      <c r="P30" s="114"/>
      <c r="Q30">
        <v>0</v>
      </c>
      <c r="R30" s="16"/>
    </row>
    <row r="31" spans="1:18" ht="13.2">
      <c r="A31">
        <v>0</v>
      </c>
      <c r="H31" s="114"/>
      <c r="I31">
        <v>0</v>
      </c>
      <c r="P31" s="114"/>
      <c r="Q31">
        <v>0</v>
      </c>
      <c r="R31" s="16"/>
    </row>
    <row r="32" spans="1:18" ht="13.2">
      <c r="A32">
        <v>0</v>
      </c>
      <c r="H32" s="114"/>
      <c r="I32">
        <v>0</v>
      </c>
      <c r="P32" s="114"/>
      <c r="Q32">
        <v>0</v>
      </c>
      <c r="R32" s="16"/>
    </row>
    <row r="33" spans="1:18" ht="13.2">
      <c r="A33">
        <v>0</v>
      </c>
      <c r="H33" s="114"/>
      <c r="I33">
        <v>0</v>
      </c>
      <c r="P33" s="114"/>
      <c r="Q33">
        <v>0</v>
      </c>
      <c r="R33" s="16"/>
    </row>
    <row r="34" spans="1:18" ht="13.2">
      <c r="A34">
        <v>0</v>
      </c>
      <c r="H34" s="114"/>
      <c r="I34">
        <v>0</v>
      </c>
      <c r="P34" s="114"/>
      <c r="Q34">
        <v>0</v>
      </c>
      <c r="R34" s="16"/>
    </row>
    <row r="35" spans="1:18" ht="13.2">
      <c r="A35">
        <v>0</v>
      </c>
      <c r="H35" s="114"/>
      <c r="I35">
        <v>0</v>
      </c>
      <c r="P35" s="114"/>
      <c r="Q35">
        <v>0</v>
      </c>
      <c r="R35" s="16"/>
    </row>
    <row r="36" spans="1:18" ht="13.2">
      <c r="A36">
        <v>0</v>
      </c>
      <c r="H36" s="114"/>
      <c r="I36">
        <v>0</v>
      </c>
      <c r="P36" s="114"/>
      <c r="Q36">
        <v>0</v>
      </c>
      <c r="R36" s="16"/>
    </row>
    <row r="37" spans="1:18" ht="13.2">
      <c r="A37">
        <v>0</v>
      </c>
      <c r="H37" s="114"/>
      <c r="I37">
        <v>0</v>
      </c>
      <c r="P37" s="114"/>
      <c r="Q37">
        <v>0</v>
      </c>
      <c r="R37" s="16"/>
    </row>
    <row r="38" spans="1:18" ht="13.2">
      <c r="A38">
        <v>0</v>
      </c>
      <c r="H38" s="114"/>
      <c r="I38">
        <v>0</v>
      </c>
      <c r="P38" s="114"/>
      <c r="Q38">
        <v>0</v>
      </c>
      <c r="R38" s="16"/>
    </row>
    <row r="39" spans="1:18" ht="13.2">
      <c r="A39">
        <v>0</v>
      </c>
      <c r="H39" s="114"/>
      <c r="I39">
        <v>0</v>
      </c>
      <c r="P39" s="114"/>
      <c r="Q39">
        <v>0</v>
      </c>
      <c r="R39" s="16"/>
    </row>
    <row r="40" spans="1:18" ht="13.2">
      <c r="A40">
        <v>0</v>
      </c>
      <c r="H40" s="114"/>
      <c r="I40">
        <v>0</v>
      </c>
      <c r="P40" s="114"/>
      <c r="Q40">
        <v>0</v>
      </c>
      <c r="R40" s="16"/>
    </row>
    <row r="41" spans="1:18" ht="13.2">
      <c r="A41">
        <v>0</v>
      </c>
      <c r="H41" s="114"/>
      <c r="I41">
        <v>0</v>
      </c>
      <c r="P41" s="114"/>
      <c r="Q41">
        <v>0</v>
      </c>
      <c r="R41" s="16"/>
    </row>
    <row r="42" spans="1:18" ht="13.2">
      <c r="A42">
        <v>0</v>
      </c>
      <c r="H42" s="114"/>
      <c r="I42">
        <v>0</v>
      </c>
      <c r="P42" s="114"/>
      <c r="Q42">
        <v>0</v>
      </c>
      <c r="R42" s="16"/>
    </row>
    <row r="43" spans="1:18" ht="13.2">
      <c r="A43">
        <v>0</v>
      </c>
      <c r="H43" s="114"/>
      <c r="I43">
        <v>0</v>
      </c>
      <c r="P43" s="114"/>
      <c r="Q43">
        <v>0</v>
      </c>
      <c r="R43" s="16"/>
    </row>
    <row r="44" spans="1:18" ht="13.2">
      <c r="A44">
        <v>0</v>
      </c>
      <c r="H44" s="114"/>
      <c r="I44">
        <v>0</v>
      </c>
      <c r="P44" s="114"/>
      <c r="Q44">
        <v>0</v>
      </c>
      <c r="R44" s="16"/>
    </row>
    <row r="45" spans="1:18" ht="13.2">
      <c r="A45">
        <v>0</v>
      </c>
      <c r="H45" s="114"/>
      <c r="I45">
        <v>0</v>
      </c>
      <c r="P45" s="114"/>
      <c r="Q45">
        <v>0</v>
      </c>
      <c r="R45" s="16"/>
    </row>
    <row r="46" spans="1:18" ht="13.2">
      <c r="A46">
        <v>0</v>
      </c>
      <c r="H46" s="114"/>
      <c r="I46">
        <v>0</v>
      </c>
      <c r="P46" s="114"/>
      <c r="Q46">
        <v>0</v>
      </c>
      <c r="R46" s="16"/>
    </row>
    <row r="47" spans="1:18" ht="13.2">
      <c r="A47">
        <v>0</v>
      </c>
      <c r="H47" s="114"/>
      <c r="I47">
        <v>0</v>
      </c>
      <c r="P47" s="114"/>
      <c r="Q47">
        <v>0</v>
      </c>
      <c r="R47" s="16"/>
    </row>
    <row r="48" spans="1:18" ht="13.2">
      <c r="A48">
        <v>0</v>
      </c>
      <c r="H48" s="114"/>
      <c r="I48">
        <v>0</v>
      </c>
      <c r="P48" s="114"/>
      <c r="Q48">
        <v>0</v>
      </c>
      <c r="R48" s="16"/>
    </row>
    <row r="49" spans="1:18" ht="13.2">
      <c r="A49">
        <v>0</v>
      </c>
      <c r="H49" s="114"/>
      <c r="I49">
        <v>0</v>
      </c>
      <c r="P49" s="114"/>
      <c r="Q49">
        <v>0</v>
      </c>
      <c r="R49" s="16"/>
    </row>
    <row r="50" spans="1:18" ht="13.2">
      <c r="A50">
        <v>0</v>
      </c>
      <c r="H50" s="114"/>
      <c r="I50">
        <v>0</v>
      </c>
      <c r="P50" s="114"/>
      <c r="Q50">
        <v>0</v>
      </c>
      <c r="R50" s="16"/>
    </row>
    <row r="51" spans="1:18" ht="13.2">
      <c r="A51">
        <v>0</v>
      </c>
      <c r="H51" s="114"/>
      <c r="I51">
        <v>0</v>
      </c>
      <c r="P51" s="114"/>
      <c r="Q51">
        <v>0</v>
      </c>
      <c r="R51" s="16"/>
    </row>
    <row r="52" spans="1:18" ht="13.2">
      <c r="A52">
        <v>0</v>
      </c>
      <c r="H52" s="114"/>
      <c r="I52">
        <v>0</v>
      </c>
      <c r="P52" s="114"/>
      <c r="Q52">
        <v>0</v>
      </c>
      <c r="R52" s="16"/>
    </row>
    <row r="53" spans="1:18" ht="13.2">
      <c r="A53">
        <v>0</v>
      </c>
      <c r="H53" s="114"/>
      <c r="I53">
        <v>0</v>
      </c>
      <c r="P53" s="114"/>
      <c r="Q53">
        <v>0</v>
      </c>
      <c r="R53" s="16"/>
    </row>
    <row r="54" spans="1:18" ht="13.2">
      <c r="A54">
        <v>0</v>
      </c>
      <c r="H54" s="114"/>
      <c r="I54">
        <v>0</v>
      </c>
      <c r="P54" s="114"/>
      <c r="Q54">
        <v>0</v>
      </c>
      <c r="R54" s="16"/>
    </row>
    <row r="55" spans="1:18" ht="13.2">
      <c r="A55">
        <v>0</v>
      </c>
      <c r="H55" s="114"/>
      <c r="I55">
        <v>0</v>
      </c>
      <c r="P55" s="114"/>
      <c r="Q55">
        <v>0</v>
      </c>
      <c r="R55" s="16"/>
    </row>
    <row r="56" spans="1:18" ht="13.2">
      <c r="A56">
        <v>0</v>
      </c>
      <c r="H56" s="114"/>
      <c r="I56">
        <v>0</v>
      </c>
      <c r="P56" s="114"/>
      <c r="Q56">
        <v>0</v>
      </c>
      <c r="R56" s="16"/>
    </row>
    <row r="57" spans="1:18" ht="13.2">
      <c r="A57">
        <v>0</v>
      </c>
      <c r="H57" s="114"/>
      <c r="I57">
        <v>0</v>
      </c>
      <c r="P57" s="114"/>
      <c r="Q57">
        <v>0</v>
      </c>
      <c r="R57" s="16"/>
    </row>
    <row r="58" spans="1:18" ht="13.2">
      <c r="A58">
        <v>0</v>
      </c>
      <c r="H58" s="114"/>
      <c r="I58">
        <v>0</v>
      </c>
      <c r="P58" s="114"/>
      <c r="Q58">
        <v>0</v>
      </c>
      <c r="R58" s="16"/>
    </row>
    <row r="59" spans="1:18" ht="13.2">
      <c r="A59">
        <v>0</v>
      </c>
      <c r="H59" s="114"/>
      <c r="I59">
        <v>0</v>
      </c>
      <c r="P59" s="114"/>
      <c r="Q59">
        <v>0</v>
      </c>
      <c r="R59" s="16"/>
    </row>
    <row r="60" spans="1:18" ht="13.2">
      <c r="A60">
        <v>0</v>
      </c>
      <c r="H60" s="114"/>
      <c r="I60">
        <v>0</v>
      </c>
      <c r="P60" s="114"/>
      <c r="Q60">
        <v>0</v>
      </c>
      <c r="R60" s="16"/>
    </row>
    <row r="61" spans="1:18" ht="13.2">
      <c r="A61">
        <v>0</v>
      </c>
      <c r="H61" s="114"/>
      <c r="I61">
        <v>0</v>
      </c>
      <c r="P61" s="114"/>
      <c r="Q61">
        <v>0</v>
      </c>
      <c r="R61" s="16"/>
    </row>
    <row r="62" spans="1:18" ht="13.2">
      <c r="A62">
        <v>0</v>
      </c>
      <c r="H62" s="114"/>
      <c r="I62">
        <v>0</v>
      </c>
      <c r="P62" s="114"/>
      <c r="Q62">
        <v>0</v>
      </c>
      <c r="R62" s="16"/>
    </row>
    <row r="63" spans="1:18" ht="13.2">
      <c r="A63">
        <v>0</v>
      </c>
      <c r="H63" s="114"/>
      <c r="I63">
        <v>0</v>
      </c>
      <c r="P63" s="114"/>
      <c r="Q63">
        <v>0</v>
      </c>
      <c r="R63" s="16"/>
    </row>
    <row r="64" spans="1:18" ht="13.2">
      <c r="A64">
        <v>0</v>
      </c>
      <c r="H64" s="114"/>
      <c r="I64">
        <v>0</v>
      </c>
      <c r="P64" s="114"/>
      <c r="Q64">
        <v>0</v>
      </c>
      <c r="R64" s="16"/>
    </row>
    <row r="65" spans="1:18" ht="13.2">
      <c r="A65">
        <v>0</v>
      </c>
      <c r="H65" s="114"/>
      <c r="I65">
        <v>0</v>
      </c>
      <c r="P65" s="114"/>
      <c r="Q65">
        <v>0</v>
      </c>
      <c r="R65" s="16"/>
    </row>
    <row r="66" spans="1:18" ht="13.2">
      <c r="A66">
        <v>0</v>
      </c>
      <c r="H66" s="114"/>
      <c r="I66">
        <v>0</v>
      </c>
      <c r="P66" s="114"/>
      <c r="Q66">
        <v>0</v>
      </c>
      <c r="R66" s="16"/>
    </row>
    <row r="67" spans="1:18" ht="13.2">
      <c r="A67">
        <v>0</v>
      </c>
      <c r="H67" s="114"/>
      <c r="I67">
        <v>0</v>
      </c>
      <c r="P67" s="114"/>
      <c r="Q67">
        <v>0</v>
      </c>
      <c r="R67" s="16"/>
    </row>
    <row r="68" spans="1:18" ht="13.2">
      <c r="A68">
        <v>0</v>
      </c>
      <c r="H68" s="114"/>
      <c r="I68">
        <v>0</v>
      </c>
      <c r="P68" s="114"/>
      <c r="Q68">
        <v>0</v>
      </c>
      <c r="R68" s="16"/>
    </row>
    <row r="69" spans="1:18" ht="13.2">
      <c r="A69">
        <v>0</v>
      </c>
      <c r="H69" s="114"/>
      <c r="I69">
        <v>0</v>
      </c>
      <c r="P69" s="114"/>
      <c r="Q69">
        <v>0</v>
      </c>
      <c r="R69" s="16"/>
    </row>
    <row r="70" spans="1:18" ht="13.2">
      <c r="A70">
        <v>0</v>
      </c>
      <c r="H70" s="114"/>
      <c r="I70">
        <v>0</v>
      </c>
      <c r="P70" s="114"/>
      <c r="Q70">
        <v>0</v>
      </c>
      <c r="R70" s="16"/>
    </row>
    <row r="71" spans="1:18" ht="13.2">
      <c r="A71">
        <v>0</v>
      </c>
      <c r="H71" s="114"/>
      <c r="I71">
        <v>0</v>
      </c>
      <c r="P71" s="114"/>
      <c r="Q71">
        <v>0</v>
      </c>
      <c r="R71" s="16"/>
    </row>
    <row r="72" spans="1:18" ht="13.2">
      <c r="A72">
        <v>0</v>
      </c>
      <c r="H72" s="114"/>
      <c r="I72">
        <v>0</v>
      </c>
      <c r="P72" s="114"/>
      <c r="Q72">
        <v>0</v>
      </c>
      <c r="R72" s="16"/>
    </row>
    <row r="73" spans="1:18" ht="13.2">
      <c r="A73">
        <v>0</v>
      </c>
      <c r="H73" s="114"/>
      <c r="I73">
        <v>0</v>
      </c>
      <c r="P73" s="114"/>
      <c r="Q73">
        <v>0</v>
      </c>
      <c r="R73" s="16"/>
    </row>
    <row r="74" spans="1:18" ht="13.2">
      <c r="A74">
        <v>0</v>
      </c>
      <c r="H74" s="114"/>
      <c r="I74">
        <v>0</v>
      </c>
      <c r="P74" s="114"/>
      <c r="Q74">
        <v>0</v>
      </c>
      <c r="R74" s="16"/>
    </row>
    <row r="75" spans="1:18" ht="13.2">
      <c r="A75">
        <v>0</v>
      </c>
      <c r="H75" s="114"/>
      <c r="I75">
        <v>0</v>
      </c>
      <c r="P75" s="114"/>
      <c r="Q75">
        <v>0</v>
      </c>
      <c r="R75" s="16"/>
    </row>
    <row r="76" spans="1:18" ht="13.2">
      <c r="A76">
        <v>0</v>
      </c>
      <c r="H76" s="114"/>
      <c r="I76">
        <v>0</v>
      </c>
      <c r="P76" s="114"/>
      <c r="Q76">
        <v>0</v>
      </c>
      <c r="R76" s="16"/>
    </row>
    <row r="77" spans="1:18" ht="13.2">
      <c r="A77">
        <v>0</v>
      </c>
      <c r="H77" s="114"/>
      <c r="I77">
        <v>0</v>
      </c>
      <c r="P77" s="114"/>
      <c r="Q77">
        <v>0</v>
      </c>
      <c r="R77" s="16"/>
    </row>
    <row r="78" spans="1:18" ht="13.2">
      <c r="A78">
        <v>0</v>
      </c>
      <c r="H78" s="114"/>
      <c r="I78">
        <v>0</v>
      </c>
      <c r="P78" s="114"/>
      <c r="Q78">
        <v>0</v>
      </c>
      <c r="R78" s="16"/>
    </row>
    <row r="79" spans="1:18" ht="13.2">
      <c r="A79">
        <v>0</v>
      </c>
      <c r="H79" s="114"/>
      <c r="I79">
        <v>0</v>
      </c>
      <c r="P79" s="114"/>
      <c r="Q79">
        <v>0</v>
      </c>
      <c r="R79" s="16"/>
    </row>
    <row r="80" spans="1:18" ht="13.2">
      <c r="A80">
        <v>0</v>
      </c>
      <c r="H80" s="114"/>
      <c r="I80">
        <v>0</v>
      </c>
      <c r="P80" s="114"/>
      <c r="Q80">
        <v>0</v>
      </c>
      <c r="R80" s="16"/>
    </row>
    <row r="81" spans="1:18" ht="13.2">
      <c r="A81">
        <v>0</v>
      </c>
      <c r="H81" s="114"/>
      <c r="I81">
        <v>0</v>
      </c>
      <c r="P81" s="114"/>
      <c r="Q81">
        <v>0</v>
      </c>
      <c r="R81" s="16"/>
    </row>
    <row r="82" spans="1:18" ht="13.2">
      <c r="A82">
        <v>0</v>
      </c>
      <c r="H82" s="114"/>
      <c r="I82">
        <v>0</v>
      </c>
      <c r="P82" s="114"/>
      <c r="Q82">
        <v>0</v>
      </c>
      <c r="R82" s="16"/>
    </row>
    <row r="83" spans="1:18" ht="13.2">
      <c r="A83">
        <v>0</v>
      </c>
      <c r="H83" s="114"/>
      <c r="I83">
        <v>0</v>
      </c>
      <c r="P83" s="114"/>
      <c r="Q83">
        <v>0</v>
      </c>
      <c r="R83" s="16"/>
    </row>
    <row r="84" spans="1:18" ht="13.2">
      <c r="A84">
        <v>0</v>
      </c>
      <c r="H84" s="114"/>
      <c r="I84">
        <v>0</v>
      </c>
      <c r="P84" s="114"/>
      <c r="Q84">
        <v>0</v>
      </c>
      <c r="R84" s="16"/>
    </row>
    <row r="85" spans="1:18" ht="13.2">
      <c r="A85">
        <v>0</v>
      </c>
      <c r="H85" s="114"/>
      <c r="I85">
        <v>0</v>
      </c>
      <c r="P85" s="114"/>
      <c r="Q85">
        <v>0</v>
      </c>
      <c r="R85" s="16"/>
    </row>
    <row r="86" spans="1:18" ht="13.2">
      <c r="A86">
        <v>0</v>
      </c>
      <c r="H86" s="114"/>
      <c r="I86">
        <v>0</v>
      </c>
      <c r="P86" s="114"/>
      <c r="Q86">
        <v>0</v>
      </c>
      <c r="R86" s="16"/>
    </row>
    <row r="87" spans="1:18" ht="13.2">
      <c r="A87">
        <v>0</v>
      </c>
      <c r="H87" s="114"/>
      <c r="I87">
        <v>0</v>
      </c>
      <c r="P87" s="114"/>
      <c r="Q87">
        <v>0</v>
      </c>
      <c r="R87" s="16"/>
    </row>
    <row r="88" spans="1:18" ht="13.2">
      <c r="A88">
        <v>0</v>
      </c>
      <c r="H88" s="114"/>
      <c r="I88">
        <v>0</v>
      </c>
      <c r="P88" s="114"/>
      <c r="Q88">
        <v>0</v>
      </c>
      <c r="R88" s="16"/>
    </row>
    <row r="89" spans="1:18" ht="13.2">
      <c r="A89">
        <v>0</v>
      </c>
      <c r="H89" s="114"/>
      <c r="I89">
        <v>0</v>
      </c>
      <c r="P89" s="114"/>
      <c r="Q89">
        <v>0</v>
      </c>
      <c r="R89" s="16"/>
    </row>
    <row r="90" spans="1:18" ht="13.2">
      <c r="A90">
        <v>0</v>
      </c>
      <c r="H90" s="114"/>
      <c r="I90">
        <v>0</v>
      </c>
      <c r="P90" s="114"/>
      <c r="Q90">
        <v>0</v>
      </c>
      <c r="R90" s="16"/>
    </row>
    <row r="91" spans="1:18" ht="13.2">
      <c r="A91">
        <v>0</v>
      </c>
      <c r="H91" s="114"/>
      <c r="I91">
        <v>0</v>
      </c>
      <c r="P91" s="114"/>
      <c r="Q91">
        <v>0</v>
      </c>
      <c r="R91" s="16"/>
    </row>
    <row r="92" spans="1:18" ht="13.2">
      <c r="A92">
        <v>0</v>
      </c>
      <c r="H92" s="114"/>
      <c r="I92">
        <v>0</v>
      </c>
      <c r="P92" s="114"/>
      <c r="Q92">
        <v>0</v>
      </c>
      <c r="R92" s="16"/>
    </row>
    <row r="93" spans="1:18" ht="13.2">
      <c r="A93">
        <v>0</v>
      </c>
      <c r="H93" s="114"/>
      <c r="I93">
        <v>0</v>
      </c>
      <c r="P93" s="114"/>
      <c r="Q93">
        <v>0</v>
      </c>
      <c r="R93" s="16"/>
    </row>
    <row r="94" spans="1:18" ht="13.2">
      <c r="A94">
        <v>0</v>
      </c>
      <c r="H94" s="114"/>
      <c r="I94">
        <v>0</v>
      </c>
      <c r="P94" s="114"/>
      <c r="Q94">
        <v>0</v>
      </c>
      <c r="R94" s="16"/>
    </row>
    <row r="95" spans="1:18" ht="13.2">
      <c r="A95">
        <v>0</v>
      </c>
      <c r="H95" s="114"/>
      <c r="I95">
        <v>0</v>
      </c>
      <c r="P95" s="114"/>
      <c r="Q95">
        <v>0</v>
      </c>
      <c r="R95" s="16"/>
    </row>
    <row r="96" spans="1:18" ht="13.2">
      <c r="A96">
        <v>0</v>
      </c>
      <c r="H96" s="114"/>
      <c r="I96">
        <v>0</v>
      </c>
      <c r="P96" s="114"/>
      <c r="Q96">
        <v>0</v>
      </c>
      <c r="R96" s="16"/>
    </row>
    <row r="97" spans="1:18" ht="13.2">
      <c r="A97">
        <v>0</v>
      </c>
      <c r="H97" s="114"/>
      <c r="I97">
        <v>0</v>
      </c>
      <c r="P97" s="114"/>
      <c r="Q97">
        <v>0</v>
      </c>
      <c r="R97" s="16"/>
    </row>
    <row r="98" spans="1:18" ht="13.2">
      <c r="A98">
        <v>0</v>
      </c>
      <c r="H98" s="114"/>
      <c r="I98">
        <v>0</v>
      </c>
      <c r="P98" s="114"/>
      <c r="Q98">
        <v>0</v>
      </c>
      <c r="R98" s="16"/>
    </row>
    <row r="99" spans="1:18" ht="13.2">
      <c r="A99">
        <v>0</v>
      </c>
      <c r="H99" s="114"/>
      <c r="I99">
        <v>0</v>
      </c>
      <c r="P99" s="114"/>
      <c r="Q99">
        <v>0</v>
      </c>
      <c r="R99" s="16"/>
    </row>
    <row r="100" spans="1:18" ht="13.2">
      <c r="A100">
        <v>0</v>
      </c>
      <c r="H100" s="114"/>
      <c r="I100">
        <v>0</v>
      </c>
      <c r="P100" s="114"/>
      <c r="Q100">
        <v>0</v>
      </c>
      <c r="R100" s="16"/>
    </row>
    <row r="101" spans="1:18" ht="13.2">
      <c r="A101">
        <v>0</v>
      </c>
      <c r="H101" s="114"/>
      <c r="I101">
        <v>0</v>
      </c>
      <c r="P101" s="114"/>
      <c r="Q101">
        <v>0</v>
      </c>
      <c r="R101" s="16"/>
    </row>
    <row r="102" spans="1:18" ht="13.2">
      <c r="A102">
        <v>0</v>
      </c>
      <c r="H102" s="114"/>
      <c r="I102">
        <v>0</v>
      </c>
      <c r="P102" s="114"/>
      <c r="Q102">
        <v>0</v>
      </c>
      <c r="R102" s="16"/>
    </row>
    <row r="103" spans="1:18" ht="13.2">
      <c r="A103">
        <v>0</v>
      </c>
      <c r="H103" s="114"/>
      <c r="I103">
        <v>0</v>
      </c>
      <c r="P103" s="114"/>
      <c r="Q103">
        <v>0</v>
      </c>
      <c r="R103" s="16"/>
    </row>
    <row r="104" spans="1:18" ht="13.2">
      <c r="A104">
        <v>0</v>
      </c>
      <c r="H104" s="114"/>
      <c r="I104">
        <v>0</v>
      </c>
      <c r="P104" s="114"/>
      <c r="Q104">
        <v>0</v>
      </c>
      <c r="R104" s="16"/>
    </row>
    <row r="105" spans="1:18" ht="13.2">
      <c r="A105">
        <v>0</v>
      </c>
      <c r="H105" s="114"/>
      <c r="I105">
        <v>0</v>
      </c>
      <c r="P105" s="114"/>
      <c r="Q105">
        <v>0</v>
      </c>
      <c r="R105" s="16"/>
    </row>
    <row r="106" spans="1:18" ht="13.2">
      <c r="A106">
        <v>0</v>
      </c>
      <c r="H106" s="114"/>
      <c r="I106">
        <v>0</v>
      </c>
      <c r="P106" s="114"/>
      <c r="Q106">
        <v>0</v>
      </c>
      <c r="R106" s="16"/>
    </row>
    <row r="107" spans="1:18" ht="13.2">
      <c r="A107">
        <v>0</v>
      </c>
      <c r="H107" s="114"/>
      <c r="I107">
        <v>0</v>
      </c>
      <c r="P107" s="114"/>
      <c r="Q107">
        <v>0</v>
      </c>
      <c r="R107" s="16"/>
    </row>
    <row r="108" spans="1:18" ht="13.2">
      <c r="A108">
        <v>0</v>
      </c>
      <c r="H108" s="114"/>
      <c r="I108">
        <v>0</v>
      </c>
      <c r="P108" s="114"/>
      <c r="Q108">
        <v>0</v>
      </c>
      <c r="R108" s="16"/>
    </row>
    <row r="109" spans="1:18" ht="13.2">
      <c r="A109">
        <v>0</v>
      </c>
      <c r="H109" s="114"/>
      <c r="I109">
        <v>0</v>
      </c>
      <c r="P109" s="114"/>
      <c r="Q109">
        <v>0</v>
      </c>
      <c r="R109" s="16"/>
    </row>
    <row r="110" spans="1:18" ht="13.2">
      <c r="A110">
        <v>0</v>
      </c>
      <c r="H110" s="114"/>
      <c r="I110">
        <v>0</v>
      </c>
      <c r="P110" s="114"/>
      <c r="Q110">
        <v>0</v>
      </c>
      <c r="R110" s="16"/>
    </row>
    <row r="111" spans="1:18" ht="13.2">
      <c r="A111">
        <v>0</v>
      </c>
      <c r="H111" s="114"/>
      <c r="I111">
        <v>0</v>
      </c>
      <c r="P111" s="114"/>
      <c r="Q111">
        <v>0</v>
      </c>
      <c r="R111" s="16"/>
    </row>
    <row r="112" spans="1:18" ht="13.2">
      <c r="A112">
        <v>0</v>
      </c>
      <c r="H112" s="114"/>
      <c r="I112">
        <v>0</v>
      </c>
      <c r="P112" s="114"/>
      <c r="Q112">
        <v>0</v>
      </c>
      <c r="R112" s="16"/>
    </row>
    <row r="113" spans="1:18" ht="13.2">
      <c r="A113">
        <v>0</v>
      </c>
      <c r="H113" s="114"/>
      <c r="I113">
        <v>0</v>
      </c>
      <c r="P113" s="114"/>
      <c r="Q113">
        <v>0</v>
      </c>
      <c r="R113" s="16"/>
    </row>
    <row r="114" spans="1:18" ht="13.2">
      <c r="A114">
        <v>0</v>
      </c>
      <c r="H114" s="114"/>
      <c r="I114">
        <v>0</v>
      </c>
      <c r="P114" s="114"/>
      <c r="Q114">
        <v>0</v>
      </c>
      <c r="R114" s="16"/>
    </row>
    <row r="115" spans="1:18" ht="13.2">
      <c r="A115">
        <v>0</v>
      </c>
      <c r="H115" s="114"/>
      <c r="I115">
        <v>0</v>
      </c>
      <c r="P115" s="114"/>
      <c r="Q115">
        <v>0</v>
      </c>
      <c r="R115" s="16"/>
    </row>
    <row r="116" spans="1:18" ht="13.2">
      <c r="A116">
        <v>0</v>
      </c>
      <c r="H116" s="114"/>
      <c r="I116">
        <v>0</v>
      </c>
      <c r="P116" s="114"/>
      <c r="Q116">
        <v>0</v>
      </c>
      <c r="R116" s="16"/>
    </row>
    <row r="117" spans="1:18" ht="13.2">
      <c r="A117">
        <v>0</v>
      </c>
      <c r="H117" s="114"/>
      <c r="I117">
        <v>0</v>
      </c>
      <c r="P117" s="114"/>
      <c r="Q117">
        <v>0</v>
      </c>
      <c r="R117" s="16"/>
    </row>
    <row r="118" spans="1:18" ht="13.2">
      <c r="A118">
        <v>0</v>
      </c>
      <c r="H118" s="114"/>
      <c r="I118">
        <v>0</v>
      </c>
      <c r="P118" s="114"/>
      <c r="Q118">
        <v>0</v>
      </c>
      <c r="R118" s="16"/>
    </row>
    <row r="119" spans="1:18" ht="13.2">
      <c r="A119">
        <v>0</v>
      </c>
      <c r="H119" s="114"/>
      <c r="I119">
        <v>0</v>
      </c>
      <c r="P119" s="114"/>
      <c r="Q119">
        <v>0</v>
      </c>
      <c r="R119" s="16"/>
    </row>
    <row r="120" spans="1:18" ht="13.2">
      <c r="A120">
        <v>0</v>
      </c>
      <c r="H120" s="114"/>
      <c r="I120">
        <v>0</v>
      </c>
      <c r="P120" s="114"/>
      <c r="Q120">
        <v>0</v>
      </c>
      <c r="R120" s="16"/>
    </row>
    <row r="121" spans="1:18" ht="13.2">
      <c r="A121">
        <v>0</v>
      </c>
      <c r="H121" s="114"/>
      <c r="I121">
        <v>0</v>
      </c>
      <c r="P121" s="114"/>
      <c r="Q121">
        <v>0</v>
      </c>
      <c r="R121" s="16"/>
    </row>
    <row r="122" spans="1:18" ht="13.2">
      <c r="A122">
        <v>0</v>
      </c>
      <c r="H122" s="114"/>
      <c r="I122">
        <v>0</v>
      </c>
      <c r="P122" s="114"/>
      <c r="Q122">
        <v>0</v>
      </c>
      <c r="R122" s="16"/>
    </row>
    <row r="123" spans="1:18" ht="13.2">
      <c r="A123">
        <v>0</v>
      </c>
      <c r="H123" s="114"/>
      <c r="I123">
        <v>0</v>
      </c>
      <c r="P123" s="114"/>
      <c r="Q123">
        <v>0</v>
      </c>
      <c r="R123" s="16"/>
    </row>
    <row r="124" spans="1:18" ht="13.2">
      <c r="A124">
        <v>0</v>
      </c>
      <c r="H124" s="114"/>
      <c r="I124">
        <v>0</v>
      </c>
      <c r="P124" s="114"/>
      <c r="Q124">
        <v>0</v>
      </c>
      <c r="R124" s="16"/>
    </row>
    <row r="125" spans="1:18" ht="13.2">
      <c r="A125">
        <v>0</v>
      </c>
      <c r="H125" s="114"/>
      <c r="I125">
        <v>0</v>
      </c>
      <c r="P125" s="114"/>
      <c r="Q125">
        <v>0</v>
      </c>
      <c r="R125" s="16"/>
    </row>
    <row r="126" spans="1:18" ht="13.2">
      <c r="A126">
        <v>0</v>
      </c>
      <c r="H126" s="114"/>
      <c r="I126">
        <v>0</v>
      </c>
      <c r="P126" s="114"/>
      <c r="Q126">
        <v>0</v>
      </c>
      <c r="R126" s="16"/>
    </row>
    <row r="127" spans="1:18" ht="13.2">
      <c r="A127">
        <v>0</v>
      </c>
      <c r="H127" s="114"/>
      <c r="I127">
        <v>0</v>
      </c>
      <c r="P127" s="114"/>
      <c r="Q127">
        <v>0</v>
      </c>
      <c r="R127" s="16"/>
    </row>
    <row r="128" spans="1:18" ht="13.2">
      <c r="A128">
        <v>0</v>
      </c>
      <c r="H128" s="114"/>
      <c r="I128">
        <v>0</v>
      </c>
      <c r="P128" s="114"/>
      <c r="Q128">
        <v>0</v>
      </c>
      <c r="R128" s="16"/>
    </row>
    <row r="129" spans="1:18" ht="13.2">
      <c r="A129">
        <v>0</v>
      </c>
      <c r="H129" s="114"/>
      <c r="I129">
        <v>0</v>
      </c>
      <c r="P129" s="114"/>
      <c r="Q129">
        <v>0</v>
      </c>
      <c r="R129" s="16"/>
    </row>
    <row r="130" spans="1:18" ht="13.2">
      <c r="A130">
        <v>0</v>
      </c>
      <c r="H130" s="114"/>
      <c r="I130">
        <v>0</v>
      </c>
      <c r="P130" s="114"/>
      <c r="Q130">
        <v>0</v>
      </c>
      <c r="R130" s="16"/>
    </row>
    <row r="131" spans="1:18" ht="13.2">
      <c r="A131">
        <v>0</v>
      </c>
      <c r="H131" s="114"/>
      <c r="I131">
        <v>0</v>
      </c>
      <c r="P131" s="114"/>
      <c r="Q131">
        <v>0</v>
      </c>
      <c r="R131" s="16"/>
    </row>
    <row r="132" spans="1:18" ht="13.2">
      <c r="A132">
        <v>0</v>
      </c>
      <c r="H132" s="114"/>
      <c r="I132">
        <v>0</v>
      </c>
      <c r="P132" s="114"/>
      <c r="Q132">
        <v>0</v>
      </c>
      <c r="R132" s="16"/>
    </row>
    <row r="133" spans="1:18" ht="13.2">
      <c r="A133">
        <v>0</v>
      </c>
      <c r="H133" s="114"/>
      <c r="I133">
        <v>0</v>
      </c>
      <c r="P133" s="114"/>
      <c r="Q133">
        <v>0</v>
      </c>
      <c r="R133" s="16"/>
    </row>
    <row r="134" spans="1:18" ht="13.2">
      <c r="A134">
        <v>0</v>
      </c>
      <c r="H134" s="114"/>
      <c r="I134">
        <v>0</v>
      </c>
      <c r="P134" s="114"/>
      <c r="Q134">
        <v>0</v>
      </c>
      <c r="R134" s="16"/>
    </row>
    <row r="135" spans="1:18" ht="13.2">
      <c r="A135">
        <v>0</v>
      </c>
      <c r="H135" s="114"/>
      <c r="I135">
        <v>0</v>
      </c>
      <c r="P135" s="114"/>
      <c r="Q135">
        <v>0</v>
      </c>
      <c r="R135" s="16"/>
    </row>
    <row r="136" spans="1:18" ht="13.2">
      <c r="A136">
        <v>0</v>
      </c>
      <c r="H136" s="114"/>
      <c r="I136">
        <v>0</v>
      </c>
      <c r="P136" s="114"/>
      <c r="Q136">
        <v>0</v>
      </c>
      <c r="R136" s="16"/>
    </row>
    <row r="137" spans="1:18" ht="13.2">
      <c r="A137">
        <v>0</v>
      </c>
      <c r="H137" s="114"/>
      <c r="I137">
        <v>0</v>
      </c>
      <c r="P137" s="114"/>
      <c r="Q137">
        <v>0</v>
      </c>
      <c r="R137" s="16"/>
    </row>
    <row r="138" spans="1:18" ht="13.2">
      <c r="A138">
        <v>0</v>
      </c>
      <c r="H138" s="114"/>
      <c r="I138">
        <v>0</v>
      </c>
      <c r="P138" s="114"/>
      <c r="Q138">
        <v>0</v>
      </c>
      <c r="R138" s="16"/>
    </row>
    <row r="139" spans="1:18" ht="13.2">
      <c r="A139">
        <v>0</v>
      </c>
      <c r="H139" s="114"/>
      <c r="I139">
        <v>0</v>
      </c>
      <c r="P139" s="114"/>
      <c r="Q139">
        <v>0</v>
      </c>
      <c r="R139" s="16"/>
    </row>
    <row r="140" spans="1:18" ht="13.2">
      <c r="A140">
        <v>0</v>
      </c>
      <c r="H140" s="114"/>
      <c r="I140">
        <v>0</v>
      </c>
      <c r="P140" s="114"/>
      <c r="Q140">
        <v>0</v>
      </c>
      <c r="R140" s="16"/>
    </row>
    <row r="141" spans="1:18" ht="13.2">
      <c r="A141">
        <v>0</v>
      </c>
      <c r="H141" s="114"/>
      <c r="I141">
        <v>0</v>
      </c>
      <c r="P141" s="114"/>
      <c r="Q141">
        <v>0</v>
      </c>
      <c r="R141" s="16"/>
    </row>
    <row r="142" spans="1:18" ht="13.2">
      <c r="A142">
        <v>0</v>
      </c>
      <c r="H142" s="114"/>
      <c r="I142">
        <v>0</v>
      </c>
      <c r="P142" s="114"/>
      <c r="Q142">
        <v>0</v>
      </c>
      <c r="R142" s="16"/>
    </row>
    <row r="143" spans="1:18" ht="13.2">
      <c r="A143">
        <v>0</v>
      </c>
      <c r="H143" s="114"/>
      <c r="I143">
        <v>0</v>
      </c>
      <c r="P143" s="114"/>
      <c r="Q143">
        <v>0</v>
      </c>
      <c r="R143" s="16"/>
    </row>
    <row r="144" spans="1:18" ht="13.2">
      <c r="A144">
        <v>0</v>
      </c>
      <c r="H144" s="114"/>
      <c r="I144">
        <v>0</v>
      </c>
      <c r="P144" s="114"/>
      <c r="Q144">
        <v>0</v>
      </c>
      <c r="R144" s="16"/>
    </row>
    <row r="145" spans="1:18" ht="13.2">
      <c r="A145">
        <v>0</v>
      </c>
      <c r="H145" s="114"/>
      <c r="I145">
        <v>0</v>
      </c>
      <c r="P145" s="114"/>
      <c r="Q145">
        <v>0</v>
      </c>
      <c r="R145" s="16"/>
    </row>
    <row r="146" spans="1:18" ht="13.2">
      <c r="A146">
        <v>0</v>
      </c>
      <c r="H146" s="114"/>
      <c r="I146">
        <v>0</v>
      </c>
      <c r="P146" s="114"/>
      <c r="Q146">
        <v>0</v>
      </c>
      <c r="R146" s="16"/>
    </row>
    <row r="147" spans="1:18" ht="13.2">
      <c r="A147">
        <v>0</v>
      </c>
      <c r="H147" s="114"/>
      <c r="I147">
        <v>0</v>
      </c>
      <c r="P147" s="114"/>
      <c r="Q147">
        <v>0</v>
      </c>
      <c r="R147" s="16"/>
    </row>
    <row r="148" spans="1:18" ht="13.2">
      <c r="A148">
        <v>0</v>
      </c>
      <c r="H148" s="114"/>
      <c r="I148">
        <v>0</v>
      </c>
      <c r="P148" s="114"/>
      <c r="Q148">
        <v>0</v>
      </c>
      <c r="R148" s="16"/>
    </row>
    <row r="149" spans="1:18" ht="13.2">
      <c r="A149">
        <v>0</v>
      </c>
      <c r="H149" s="114"/>
      <c r="I149">
        <v>0</v>
      </c>
      <c r="P149" s="114"/>
      <c r="Q149">
        <v>0</v>
      </c>
      <c r="R149" s="16"/>
    </row>
    <row r="150" spans="1:18" ht="13.2">
      <c r="A150">
        <v>0</v>
      </c>
      <c r="H150" s="114"/>
      <c r="I150">
        <v>0</v>
      </c>
      <c r="P150" s="114"/>
      <c r="Q150">
        <v>0</v>
      </c>
      <c r="R150" s="16"/>
    </row>
    <row r="151" spans="1:18" ht="13.2">
      <c r="A151">
        <v>0</v>
      </c>
      <c r="H151" s="114"/>
      <c r="I151">
        <v>0</v>
      </c>
      <c r="P151" s="114"/>
      <c r="Q151">
        <v>0</v>
      </c>
      <c r="R151" s="16"/>
    </row>
    <row r="152" spans="1:18" ht="13.2">
      <c r="A152">
        <v>0</v>
      </c>
      <c r="H152" s="114"/>
      <c r="I152">
        <v>0</v>
      </c>
      <c r="P152" s="114"/>
      <c r="Q152">
        <v>0</v>
      </c>
      <c r="R152" s="16"/>
    </row>
    <row r="153" spans="1:18" ht="13.2">
      <c r="A153">
        <v>0</v>
      </c>
      <c r="H153" s="114"/>
      <c r="I153">
        <v>0</v>
      </c>
      <c r="P153" s="114"/>
      <c r="Q153">
        <v>0</v>
      </c>
      <c r="R153" s="16"/>
    </row>
    <row r="154" spans="1:18" ht="13.2">
      <c r="A154">
        <v>0</v>
      </c>
      <c r="H154" s="114"/>
      <c r="I154">
        <v>0</v>
      </c>
      <c r="P154" s="114"/>
      <c r="Q154">
        <v>0</v>
      </c>
      <c r="R154" s="16"/>
    </row>
    <row r="155" spans="1:18" ht="13.2">
      <c r="A155">
        <v>0</v>
      </c>
      <c r="H155" s="114"/>
      <c r="I155">
        <v>0</v>
      </c>
      <c r="P155" s="114"/>
      <c r="Q155">
        <v>0</v>
      </c>
      <c r="R155" s="16"/>
    </row>
    <row r="156" spans="1:18" ht="13.2">
      <c r="A156">
        <v>0</v>
      </c>
      <c r="H156" s="114"/>
      <c r="I156">
        <v>0</v>
      </c>
      <c r="P156" s="114"/>
      <c r="Q156">
        <v>0</v>
      </c>
      <c r="R156" s="16"/>
    </row>
    <row r="157" spans="1:18" ht="13.2">
      <c r="A157">
        <v>0</v>
      </c>
      <c r="H157" s="114"/>
      <c r="I157">
        <v>0</v>
      </c>
      <c r="P157" s="114"/>
      <c r="Q157">
        <v>0</v>
      </c>
      <c r="R157" s="16"/>
    </row>
    <row r="158" spans="1:18" ht="13.2">
      <c r="A158">
        <v>0</v>
      </c>
      <c r="H158" s="114"/>
      <c r="I158">
        <v>0</v>
      </c>
      <c r="P158" s="114"/>
      <c r="Q158">
        <v>0</v>
      </c>
      <c r="R158" s="16"/>
    </row>
    <row r="159" spans="1:18" ht="13.2">
      <c r="A159">
        <v>0</v>
      </c>
      <c r="H159" s="114"/>
      <c r="I159">
        <v>0</v>
      </c>
      <c r="P159" s="114"/>
      <c r="Q159">
        <v>0</v>
      </c>
      <c r="R159" s="16"/>
    </row>
    <row r="160" spans="1:18" ht="13.2">
      <c r="A160">
        <v>0</v>
      </c>
      <c r="H160" s="114"/>
      <c r="I160">
        <v>0</v>
      </c>
      <c r="P160" s="114"/>
      <c r="Q160">
        <v>0</v>
      </c>
      <c r="R160" s="16"/>
    </row>
    <row r="161" spans="1:18" ht="13.2">
      <c r="A161">
        <v>0</v>
      </c>
      <c r="H161" s="114"/>
      <c r="I161">
        <v>0</v>
      </c>
      <c r="P161" s="114"/>
      <c r="Q161">
        <v>0</v>
      </c>
      <c r="R161" s="16"/>
    </row>
    <row r="162" spans="1:18" ht="13.2">
      <c r="A162">
        <v>0</v>
      </c>
      <c r="H162" s="114"/>
      <c r="I162">
        <v>0</v>
      </c>
      <c r="P162" s="114"/>
      <c r="Q162">
        <v>0</v>
      </c>
      <c r="R162" s="16"/>
    </row>
    <row r="163" spans="1:18" ht="13.2">
      <c r="A163">
        <v>0</v>
      </c>
      <c r="H163" s="114"/>
      <c r="I163">
        <v>0</v>
      </c>
      <c r="P163" s="114"/>
      <c r="Q163">
        <v>0</v>
      </c>
      <c r="R163" s="16"/>
    </row>
    <row r="164" spans="1:18" ht="13.2">
      <c r="A164">
        <v>0</v>
      </c>
      <c r="H164" s="114"/>
      <c r="I164">
        <v>0</v>
      </c>
      <c r="P164" s="114"/>
      <c r="Q164">
        <v>0</v>
      </c>
      <c r="R164" s="16"/>
    </row>
    <row r="165" spans="1:18" ht="13.2">
      <c r="A165">
        <v>0</v>
      </c>
      <c r="H165" s="114"/>
      <c r="I165">
        <v>0</v>
      </c>
      <c r="P165" s="114"/>
      <c r="Q165">
        <v>0</v>
      </c>
      <c r="R165" s="16"/>
    </row>
    <row r="166" spans="1:18" ht="13.2">
      <c r="A166">
        <v>0</v>
      </c>
      <c r="H166" s="114"/>
      <c r="I166">
        <v>0</v>
      </c>
      <c r="P166" s="114"/>
      <c r="Q166">
        <v>0</v>
      </c>
      <c r="R166" s="16"/>
    </row>
    <row r="167" spans="1:18" ht="13.2">
      <c r="A167">
        <v>0</v>
      </c>
      <c r="H167" s="114"/>
      <c r="I167">
        <v>0</v>
      </c>
      <c r="P167" s="114"/>
      <c r="Q167">
        <v>0</v>
      </c>
      <c r="R167" s="16"/>
    </row>
    <row r="168" spans="1:18" ht="13.2">
      <c r="A168">
        <v>0</v>
      </c>
      <c r="H168" s="114"/>
      <c r="I168">
        <v>0</v>
      </c>
      <c r="P168" s="114"/>
      <c r="Q168">
        <v>0</v>
      </c>
      <c r="R168" s="16"/>
    </row>
    <row r="169" spans="1:18" ht="13.2">
      <c r="A169">
        <v>0</v>
      </c>
      <c r="H169" s="114"/>
      <c r="I169">
        <v>0</v>
      </c>
      <c r="P169" s="114"/>
      <c r="Q169">
        <v>0</v>
      </c>
      <c r="R169" s="16"/>
    </row>
    <row r="170" spans="1:18" ht="13.2">
      <c r="A170">
        <v>0</v>
      </c>
      <c r="H170" s="114"/>
      <c r="I170">
        <v>0</v>
      </c>
      <c r="P170" s="114"/>
      <c r="Q170">
        <v>0</v>
      </c>
      <c r="R170" s="16"/>
    </row>
    <row r="171" spans="1:18" ht="13.2">
      <c r="A171">
        <v>0</v>
      </c>
      <c r="H171" s="114"/>
      <c r="I171">
        <v>0</v>
      </c>
      <c r="P171" s="114"/>
      <c r="Q171">
        <v>0</v>
      </c>
      <c r="R171" s="16"/>
    </row>
    <row r="172" spans="1:18" ht="13.2">
      <c r="A172">
        <v>0</v>
      </c>
      <c r="H172" s="114"/>
      <c r="I172">
        <v>0</v>
      </c>
      <c r="P172" s="114"/>
      <c r="Q172">
        <v>0</v>
      </c>
      <c r="R172" s="16"/>
    </row>
    <row r="173" spans="1:18" ht="13.2">
      <c r="A173">
        <v>0</v>
      </c>
      <c r="H173" s="114"/>
      <c r="I173">
        <v>0</v>
      </c>
      <c r="P173" s="114"/>
      <c r="Q173">
        <v>0</v>
      </c>
      <c r="R173" s="16"/>
    </row>
    <row r="174" spans="1:18" ht="13.2">
      <c r="A174">
        <v>0</v>
      </c>
      <c r="H174" s="114"/>
      <c r="I174">
        <v>0</v>
      </c>
      <c r="P174" s="114"/>
      <c r="Q174">
        <v>0</v>
      </c>
      <c r="R174" s="16"/>
    </row>
    <row r="175" spans="1:18" ht="13.2">
      <c r="A175">
        <v>0</v>
      </c>
      <c r="H175" s="114"/>
      <c r="I175">
        <v>0</v>
      </c>
      <c r="P175" s="114"/>
      <c r="Q175">
        <v>0</v>
      </c>
      <c r="R175" s="16"/>
    </row>
    <row r="176" spans="1:18" ht="13.2">
      <c r="A176">
        <v>0</v>
      </c>
      <c r="H176" s="114"/>
      <c r="I176">
        <v>0</v>
      </c>
      <c r="P176" s="114"/>
      <c r="Q176">
        <v>0</v>
      </c>
      <c r="R176" s="16"/>
    </row>
    <row r="177" spans="1:18" ht="13.2">
      <c r="A177">
        <v>0</v>
      </c>
      <c r="H177" s="114"/>
      <c r="I177">
        <v>0</v>
      </c>
      <c r="P177" s="114"/>
      <c r="Q177">
        <v>0</v>
      </c>
      <c r="R177" s="16"/>
    </row>
    <row r="178" spans="1:18" ht="13.2">
      <c r="A178">
        <v>0</v>
      </c>
      <c r="H178" s="114"/>
      <c r="I178">
        <v>0</v>
      </c>
      <c r="P178" s="114"/>
      <c r="Q178">
        <v>0</v>
      </c>
      <c r="R178" s="16"/>
    </row>
    <row r="179" spans="1:18" ht="13.2">
      <c r="A179">
        <v>0</v>
      </c>
      <c r="H179" s="114"/>
      <c r="I179">
        <v>0</v>
      </c>
      <c r="P179" s="114"/>
      <c r="Q179">
        <v>0</v>
      </c>
      <c r="R179" s="16"/>
    </row>
    <row r="180" spans="1:18" ht="13.2">
      <c r="A180">
        <v>0</v>
      </c>
      <c r="H180" s="114"/>
      <c r="I180">
        <v>0</v>
      </c>
      <c r="P180" s="114"/>
      <c r="Q180">
        <v>0</v>
      </c>
      <c r="R180" s="16"/>
    </row>
    <row r="181" spans="1:18" ht="13.2">
      <c r="A181">
        <v>0</v>
      </c>
      <c r="H181" s="114"/>
      <c r="I181">
        <v>0</v>
      </c>
      <c r="P181" s="114"/>
      <c r="Q181">
        <v>0</v>
      </c>
      <c r="R181" s="16"/>
    </row>
    <row r="182" spans="1:18" ht="13.2">
      <c r="A182">
        <v>0</v>
      </c>
      <c r="H182" s="114"/>
      <c r="I182">
        <v>0</v>
      </c>
      <c r="P182" s="114"/>
      <c r="Q182">
        <v>0</v>
      </c>
      <c r="R182" s="16"/>
    </row>
    <row r="183" spans="1:18" ht="13.2">
      <c r="A183">
        <v>0</v>
      </c>
      <c r="H183" s="114"/>
      <c r="I183">
        <v>0</v>
      </c>
      <c r="P183" s="114"/>
      <c r="Q183">
        <v>0</v>
      </c>
      <c r="R183" s="16"/>
    </row>
    <row r="184" spans="1:18" ht="13.2">
      <c r="A184">
        <v>0</v>
      </c>
      <c r="H184" s="114"/>
      <c r="I184">
        <v>0</v>
      </c>
      <c r="P184" s="114"/>
      <c r="Q184">
        <v>0</v>
      </c>
      <c r="R184" s="16"/>
    </row>
    <row r="185" spans="1:18" ht="13.2">
      <c r="A185">
        <v>0</v>
      </c>
      <c r="H185" s="114"/>
      <c r="I185">
        <v>0</v>
      </c>
      <c r="P185" s="114"/>
      <c r="Q185">
        <v>0</v>
      </c>
      <c r="R185" s="16"/>
    </row>
    <row r="186" spans="1:18" ht="13.2">
      <c r="A186">
        <v>0</v>
      </c>
      <c r="H186" s="114"/>
      <c r="I186">
        <v>0</v>
      </c>
      <c r="P186" s="114"/>
      <c r="Q186">
        <v>0</v>
      </c>
      <c r="R186" s="16"/>
    </row>
    <row r="187" spans="1:18" ht="13.2">
      <c r="A187">
        <v>0</v>
      </c>
      <c r="H187" s="114"/>
      <c r="I187">
        <v>0</v>
      </c>
      <c r="P187" s="114"/>
      <c r="Q187">
        <v>0</v>
      </c>
      <c r="R187" s="16"/>
    </row>
    <row r="188" spans="1:18" ht="13.2">
      <c r="A188">
        <v>0</v>
      </c>
      <c r="H188" s="114"/>
      <c r="I188">
        <v>0</v>
      </c>
      <c r="P188" s="114"/>
      <c r="Q188">
        <v>0</v>
      </c>
      <c r="R188" s="16"/>
    </row>
    <row r="189" spans="1:18" ht="13.2">
      <c r="A189">
        <v>0</v>
      </c>
      <c r="H189" s="114"/>
      <c r="I189">
        <v>0</v>
      </c>
      <c r="P189" s="114"/>
      <c r="Q189">
        <v>0</v>
      </c>
      <c r="R189" s="16"/>
    </row>
    <row r="190" spans="1:18" ht="13.2">
      <c r="A190">
        <v>0</v>
      </c>
      <c r="H190" s="114"/>
      <c r="I190">
        <v>0</v>
      </c>
      <c r="P190" s="114"/>
      <c r="Q190">
        <v>0</v>
      </c>
      <c r="R190" s="16"/>
    </row>
    <row r="191" spans="1:18" ht="13.2">
      <c r="A191">
        <v>0</v>
      </c>
      <c r="H191" s="114"/>
      <c r="I191">
        <v>0</v>
      </c>
      <c r="P191" s="114"/>
      <c r="Q191">
        <v>0</v>
      </c>
      <c r="R191" s="16"/>
    </row>
    <row r="192" spans="1:18" ht="13.2">
      <c r="A192">
        <v>0</v>
      </c>
      <c r="H192" s="114"/>
      <c r="I192">
        <v>0</v>
      </c>
      <c r="P192" s="114"/>
      <c r="Q192">
        <v>0</v>
      </c>
      <c r="R192" s="16"/>
    </row>
    <row r="193" spans="1:18" ht="13.2">
      <c r="A193">
        <v>0</v>
      </c>
      <c r="H193" s="114"/>
      <c r="I193">
        <v>0</v>
      </c>
      <c r="P193" s="114"/>
      <c r="Q193">
        <v>0</v>
      </c>
      <c r="R193" s="16"/>
    </row>
    <row r="194" spans="1:18" ht="13.2">
      <c r="A194">
        <v>0</v>
      </c>
      <c r="H194" s="114"/>
      <c r="I194">
        <v>0</v>
      </c>
      <c r="P194" s="114"/>
      <c r="Q194">
        <v>0</v>
      </c>
      <c r="R194" s="16"/>
    </row>
    <row r="195" spans="1:18" ht="13.2">
      <c r="A195">
        <v>0</v>
      </c>
      <c r="H195" s="114"/>
      <c r="I195">
        <v>0</v>
      </c>
      <c r="P195" s="114"/>
      <c r="Q195">
        <v>0</v>
      </c>
      <c r="R195" s="16"/>
    </row>
    <row r="196" spans="1:18" ht="13.2">
      <c r="A196">
        <v>0</v>
      </c>
      <c r="H196" s="114"/>
      <c r="I196">
        <v>0</v>
      </c>
      <c r="P196" s="114"/>
      <c r="Q196">
        <v>0</v>
      </c>
      <c r="R196" s="16"/>
    </row>
    <row r="197" spans="1:18" ht="13.2">
      <c r="A197">
        <v>0</v>
      </c>
      <c r="H197" s="114"/>
      <c r="I197">
        <v>0</v>
      </c>
      <c r="P197" s="114"/>
      <c r="Q197">
        <v>0</v>
      </c>
      <c r="R197" s="16"/>
    </row>
    <row r="198" spans="1:18" ht="13.2">
      <c r="A198">
        <v>0</v>
      </c>
      <c r="H198" s="114"/>
      <c r="I198">
        <v>0</v>
      </c>
      <c r="P198" s="114"/>
      <c r="Q198">
        <v>0</v>
      </c>
      <c r="R198" s="16"/>
    </row>
    <row r="199" spans="1:18" ht="13.2">
      <c r="A199">
        <v>0</v>
      </c>
      <c r="H199" s="114"/>
      <c r="I199">
        <v>0</v>
      </c>
      <c r="P199" s="114"/>
      <c r="Q199">
        <v>0</v>
      </c>
      <c r="R199" s="16"/>
    </row>
    <row r="200" spans="1:18" ht="13.2">
      <c r="A200">
        <v>0</v>
      </c>
      <c r="H200" s="114"/>
      <c r="I200">
        <v>0</v>
      </c>
      <c r="P200" s="114"/>
      <c r="Q200">
        <v>0</v>
      </c>
      <c r="R200" s="16"/>
    </row>
    <row r="201" spans="1:18" ht="13.2">
      <c r="A201">
        <v>0</v>
      </c>
      <c r="H201" s="114"/>
      <c r="I201">
        <v>0</v>
      </c>
      <c r="P201" s="114"/>
      <c r="Q201">
        <v>0</v>
      </c>
      <c r="R201" s="16"/>
    </row>
    <row r="202" spans="1:18" ht="13.2">
      <c r="A202">
        <v>0</v>
      </c>
      <c r="H202" s="114"/>
      <c r="I202">
        <v>0</v>
      </c>
      <c r="P202" s="114"/>
      <c r="Q202">
        <v>0</v>
      </c>
      <c r="R202" s="16"/>
    </row>
    <row r="203" spans="1:18" ht="13.2">
      <c r="A203">
        <v>0</v>
      </c>
      <c r="H203" s="114"/>
      <c r="I203">
        <v>0</v>
      </c>
      <c r="P203" s="114"/>
      <c r="Q203">
        <v>0</v>
      </c>
      <c r="R203" s="16"/>
    </row>
    <row r="204" spans="1:18" ht="13.2">
      <c r="A204">
        <v>0</v>
      </c>
      <c r="H204" s="114"/>
      <c r="I204">
        <v>0</v>
      </c>
      <c r="P204" s="114"/>
      <c r="Q204">
        <v>0</v>
      </c>
      <c r="R204" s="16"/>
    </row>
    <row r="205" spans="1:18" ht="13.2">
      <c r="A205">
        <v>0</v>
      </c>
      <c r="H205" s="114"/>
      <c r="I205">
        <v>0</v>
      </c>
      <c r="P205" s="114"/>
      <c r="Q205">
        <v>0</v>
      </c>
      <c r="R205" s="16"/>
    </row>
    <row r="206" spans="1:18" ht="13.2">
      <c r="A206">
        <v>0</v>
      </c>
      <c r="H206" s="114"/>
      <c r="I206">
        <v>0</v>
      </c>
      <c r="P206" s="114"/>
      <c r="Q206">
        <v>0</v>
      </c>
      <c r="R206" s="16"/>
    </row>
    <row r="207" spans="1:18" ht="13.2">
      <c r="A207">
        <v>0</v>
      </c>
      <c r="H207" s="114"/>
      <c r="I207">
        <v>0</v>
      </c>
      <c r="P207" s="114"/>
      <c r="Q207">
        <v>0</v>
      </c>
      <c r="R207" s="16"/>
    </row>
    <row r="208" spans="1:18" ht="13.2">
      <c r="A208">
        <v>0</v>
      </c>
      <c r="H208" s="114"/>
      <c r="I208">
        <v>0</v>
      </c>
      <c r="P208" s="114"/>
      <c r="Q208">
        <v>0</v>
      </c>
      <c r="R208" s="16"/>
    </row>
    <row r="209" spans="1:18" ht="13.2">
      <c r="A209">
        <v>0</v>
      </c>
      <c r="H209" s="114"/>
      <c r="I209">
        <v>0</v>
      </c>
      <c r="P209" s="114"/>
      <c r="Q209">
        <v>0</v>
      </c>
      <c r="R209" s="16"/>
    </row>
    <row r="210" spans="1:18" ht="13.2">
      <c r="A210">
        <v>0</v>
      </c>
      <c r="H210" s="114"/>
      <c r="I210">
        <v>0</v>
      </c>
      <c r="P210" s="114"/>
      <c r="Q210">
        <v>0</v>
      </c>
      <c r="R210" s="16"/>
    </row>
    <row r="211" spans="1:18" ht="13.2">
      <c r="A211">
        <v>0</v>
      </c>
      <c r="H211" s="114"/>
      <c r="I211">
        <v>0</v>
      </c>
      <c r="P211" s="114"/>
      <c r="Q211">
        <v>0</v>
      </c>
      <c r="R211" s="16"/>
    </row>
    <row r="212" spans="1:18" ht="13.2">
      <c r="A212">
        <v>0</v>
      </c>
      <c r="H212" s="114"/>
      <c r="I212">
        <v>0</v>
      </c>
      <c r="P212" s="114"/>
      <c r="Q212">
        <v>0</v>
      </c>
      <c r="R212" s="16"/>
    </row>
    <row r="213" spans="1:18" ht="13.2">
      <c r="A213">
        <v>0</v>
      </c>
      <c r="H213" s="114"/>
      <c r="I213">
        <v>0</v>
      </c>
      <c r="P213" s="114"/>
      <c r="Q213">
        <v>0</v>
      </c>
      <c r="R213" s="16"/>
    </row>
    <row r="214" spans="1:18" ht="13.2">
      <c r="A214">
        <v>0</v>
      </c>
      <c r="H214" s="114"/>
      <c r="I214">
        <v>0</v>
      </c>
      <c r="P214" s="114"/>
      <c r="Q214">
        <v>0</v>
      </c>
      <c r="R214" s="16"/>
    </row>
    <row r="215" spans="1:18" ht="13.2">
      <c r="A215">
        <v>0</v>
      </c>
      <c r="H215" s="114"/>
      <c r="I215">
        <v>0</v>
      </c>
      <c r="P215" s="114"/>
      <c r="Q215">
        <v>0</v>
      </c>
      <c r="R215" s="16"/>
    </row>
    <row r="216" spans="1:18" ht="13.2">
      <c r="A216">
        <v>0</v>
      </c>
      <c r="H216" s="114"/>
      <c r="I216">
        <v>0</v>
      </c>
      <c r="P216" s="114"/>
      <c r="Q216">
        <v>0</v>
      </c>
      <c r="R216" s="16"/>
    </row>
    <row r="217" spans="1:18" ht="13.2">
      <c r="A217">
        <v>0</v>
      </c>
      <c r="H217" s="114"/>
      <c r="I217">
        <v>0</v>
      </c>
      <c r="P217" s="114"/>
      <c r="Q217">
        <v>0</v>
      </c>
      <c r="R217" s="16"/>
    </row>
    <row r="218" spans="1:18" ht="13.2">
      <c r="A218">
        <v>0</v>
      </c>
      <c r="H218" s="114"/>
      <c r="I218">
        <v>0</v>
      </c>
      <c r="P218" s="114"/>
      <c r="Q218">
        <v>0</v>
      </c>
      <c r="R218" s="16"/>
    </row>
    <row r="219" spans="1:18" ht="13.2">
      <c r="A219">
        <v>0</v>
      </c>
      <c r="H219" s="114"/>
      <c r="I219">
        <v>0</v>
      </c>
      <c r="P219" s="114"/>
      <c r="Q219">
        <v>0</v>
      </c>
      <c r="R219" s="16"/>
    </row>
    <row r="220" spans="1:18" ht="13.2">
      <c r="A220">
        <v>0</v>
      </c>
      <c r="H220" s="114"/>
      <c r="I220">
        <v>0</v>
      </c>
      <c r="P220" s="114"/>
      <c r="Q220">
        <v>0</v>
      </c>
      <c r="R220" s="16"/>
    </row>
    <row r="221" spans="1:18" ht="13.2">
      <c r="A221">
        <v>0</v>
      </c>
      <c r="H221" s="114"/>
      <c r="I221">
        <v>0</v>
      </c>
      <c r="P221" s="114"/>
      <c r="Q221">
        <v>0</v>
      </c>
      <c r="R221" s="16"/>
    </row>
    <row r="222" spans="1:18" ht="13.2">
      <c r="A222">
        <v>0</v>
      </c>
      <c r="H222" s="114"/>
      <c r="I222">
        <v>0</v>
      </c>
      <c r="P222" s="114"/>
      <c r="Q222">
        <v>0</v>
      </c>
      <c r="R222" s="16"/>
    </row>
    <row r="223" spans="1:18" ht="13.2">
      <c r="A223">
        <v>0</v>
      </c>
      <c r="H223" s="114"/>
      <c r="I223">
        <v>0</v>
      </c>
      <c r="P223" s="114"/>
      <c r="Q223">
        <v>0</v>
      </c>
      <c r="R223" s="16"/>
    </row>
    <row r="224" spans="1:18" ht="13.2">
      <c r="A224">
        <v>0</v>
      </c>
      <c r="H224" s="114"/>
      <c r="I224">
        <v>0</v>
      </c>
      <c r="P224" s="114"/>
      <c r="Q224">
        <v>0</v>
      </c>
      <c r="R224" s="16"/>
    </row>
    <row r="225" spans="1:18" ht="13.2">
      <c r="A225">
        <v>0</v>
      </c>
      <c r="H225" s="114"/>
      <c r="I225">
        <v>0</v>
      </c>
      <c r="P225" s="114"/>
      <c r="Q225">
        <v>0</v>
      </c>
      <c r="R225" s="16"/>
    </row>
    <row r="226" spans="1:18" ht="13.2">
      <c r="A226">
        <v>0</v>
      </c>
      <c r="H226" s="114"/>
      <c r="I226">
        <v>0</v>
      </c>
      <c r="P226" s="114"/>
      <c r="Q226">
        <v>0</v>
      </c>
      <c r="R226" s="16"/>
    </row>
    <row r="227" spans="1:18" ht="13.2">
      <c r="A227">
        <v>0</v>
      </c>
      <c r="H227" s="114"/>
      <c r="I227">
        <v>0</v>
      </c>
      <c r="P227" s="114"/>
      <c r="Q227">
        <v>0</v>
      </c>
      <c r="R227" s="16"/>
    </row>
    <row r="228" spans="1:18" ht="13.2">
      <c r="A228">
        <v>0</v>
      </c>
      <c r="H228" s="114"/>
      <c r="I228">
        <v>0</v>
      </c>
      <c r="P228" s="114"/>
      <c r="Q228">
        <v>0</v>
      </c>
      <c r="R228" s="16"/>
    </row>
    <row r="229" spans="1:18" ht="13.2">
      <c r="A229">
        <v>0</v>
      </c>
      <c r="H229" s="114"/>
      <c r="I229">
        <v>0</v>
      </c>
      <c r="P229" s="114"/>
      <c r="Q229">
        <v>0</v>
      </c>
      <c r="R229" s="16"/>
    </row>
    <row r="230" spans="1:18" ht="13.2">
      <c r="A230">
        <v>0</v>
      </c>
      <c r="H230" s="114"/>
      <c r="I230">
        <v>0</v>
      </c>
      <c r="P230" s="114"/>
      <c r="Q230">
        <v>0</v>
      </c>
      <c r="R230" s="16"/>
    </row>
    <row r="231" spans="1:18" ht="13.2">
      <c r="A231">
        <v>0</v>
      </c>
      <c r="H231" s="114"/>
      <c r="I231">
        <v>0</v>
      </c>
      <c r="P231" s="114"/>
      <c r="Q231">
        <v>0</v>
      </c>
      <c r="R231" s="16"/>
    </row>
    <row r="232" spans="1:18" ht="13.2">
      <c r="A232">
        <v>0</v>
      </c>
      <c r="H232" s="114"/>
      <c r="I232">
        <v>0</v>
      </c>
      <c r="P232" s="114"/>
      <c r="Q232">
        <v>0</v>
      </c>
      <c r="R232" s="16"/>
    </row>
    <row r="233" spans="1:18" ht="13.2">
      <c r="A233">
        <v>0</v>
      </c>
      <c r="H233" s="114"/>
      <c r="I233">
        <v>0</v>
      </c>
      <c r="P233" s="114"/>
      <c r="Q233">
        <v>0</v>
      </c>
      <c r="R233" s="16"/>
    </row>
    <row r="234" spans="1:18" ht="13.2">
      <c r="A234">
        <v>0</v>
      </c>
      <c r="H234" s="114"/>
      <c r="I234">
        <v>0</v>
      </c>
      <c r="P234" s="114"/>
      <c r="Q234">
        <v>0</v>
      </c>
      <c r="R234" s="16"/>
    </row>
    <row r="235" spans="1:18" ht="13.2">
      <c r="A235">
        <v>0</v>
      </c>
      <c r="H235" s="114"/>
      <c r="I235">
        <v>0</v>
      </c>
      <c r="P235" s="114"/>
      <c r="Q235">
        <v>0</v>
      </c>
      <c r="R235" s="16"/>
    </row>
    <row r="236" spans="1:18" ht="13.2">
      <c r="A236">
        <v>0</v>
      </c>
      <c r="H236" s="114"/>
      <c r="I236">
        <v>0</v>
      </c>
      <c r="P236" s="114"/>
      <c r="Q236">
        <v>0</v>
      </c>
      <c r="R236" s="16"/>
    </row>
    <row r="237" spans="1:18" ht="13.2">
      <c r="A237">
        <v>0</v>
      </c>
      <c r="H237" s="114"/>
      <c r="I237">
        <v>0</v>
      </c>
      <c r="P237" s="114"/>
      <c r="Q237">
        <v>0</v>
      </c>
      <c r="R237" s="16"/>
    </row>
    <row r="238" spans="1:18" ht="13.2">
      <c r="A238">
        <v>0</v>
      </c>
      <c r="H238" s="114"/>
      <c r="I238">
        <v>0</v>
      </c>
      <c r="P238" s="114"/>
      <c r="Q238">
        <v>0</v>
      </c>
      <c r="R238" s="16"/>
    </row>
    <row r="239" spans="1:18" ht="13.2">
      <c r="A239">
        <v>0</v>
      </c>
      <c r="H239" s="114"/>
      <c r="I239">
        <v>0</v>
      </c>
      <c r="P239" s="114"/>
      <c r="Q239">
        <v>0</v>
      </c>
      <c r="R239" s="16"/>
    </row>
    <row r="240" spans="1:18" ht="13.2">
      <c r="A240">
        <v>0</v>
      </c>
      <c r="H240" s="114"/>
      <c r="I240">
        <v>0</v>
      </c>
      <c r="P240" s="114"/>
      <c r="Q240">
        <v>0</v>
      </c>
      <c r="R240" s="16"/>
    </row>
    <row r="241" spans="1:18" ht="13.2">
      <c r="A241">
        <v>0</v>
      </c>
      <c r="H241" s="114"/>
      <c r="I241">
        <v>0</v>
      </c>
      <c r="P241" s="114"/>
      <c r="Q241">
        <v>0</v>
      </c>
      <c r="R241" s="16"/>
    </row>
    <row r="242" spans="1:18" ht="13.2">
      <c r="A242">
        <v>0</v>
      </c>
      <c r="H242" s="114"/>
      <c r="I242">
        <v>0</v>
      </c>
      <c r="P242" s="114"/>
      <c r="Q242">
        <v>0</v>
      </c>
      <c r="R242" s="16"/>
    </row>
    <row r="243" spans="1:18" ht="13.2">
      <c r="A243">
        <v>0</v>
      </c>
      <c r="H243" s="114"/>
      <c r="I243">
        <v>0</v>
      </c>
      <c r="P243" s="114"/>
      <c r="Q243">
        <v>0</v>
      </c>
      <c r="R243" s="16"/>
    </row>
    <row r="244" spans="1:18" ht="13.2">
      <c r="A244">
        <v>0</v>
      </c>
      <c r="H244" s="114"/>
      <c r="I244">
        <v>0</v>
      </c>
      <c r="P244" s="114"/>
      <c r="Q244">
        <v>0</v>
      </c>
      <c r="R244" s="16"/>
    </row>
    <row r="245" spans="1:18" ht="13.2">
      <c r="A245">
        <v>0</v>
      </c>
      <c r="H245" s="114"/>
      <c r="I245">
        <v>0</v>
      </c>
      <c r="P245" s="114"/>
      <c r="Q245">
        <v>0</v>
      </c>
      <c r="R245" s="16"/>
    </row>
    <row r="246" spans="1:18" ht="13.2">
      <c r="A246">
        <v>0</v>
      </c>
      <c r="H246" s="114"/>
      <c r="I246">
        <v>0</v>
      </c>
      <c r="P246" s="114"/>
      <c r="Q246">
        <v>0</v>
      </c>
      <c r="R246" s="16"/>
    </row>
    <row r="247" spans="1:18" ht="13.2">
      <c r="A247">
        <v>0</v>
      </c>
      <c r="H247" s="114"/>
      <c r="I247">
        <v>0</v>
      </c>
      <c r="P247" s="114"/>
      <c r="Q247">
        <v>0</v>
      </c>
      <c r="R247" s="16"/>
    </row>
    <row r="248" spans="1:18" ht="13.2">
      <c r="A248">
        <v>0</v>
      </c>
      <c r="H248" s="114"/>
      <c r="I248">
        <v>0</v>
      </c>
      <c r="P248" s="114"/>
      <c r="Q248">
        <v>0</v>
      </c>
      <c r="R248" s="16"/>
    </row>
    <row r="249" spans="1:18" ht="13.2">
      <c r="A249">
        <v>0</v>
      </c>
      <c r="H249" s="114"/>
      <c r="I249">
        <v>0</v>
      </c>
      <c r="P249" s="114"/>
      <c r="Q249">
        <v>0</v>
      </c>
      <c r="R249" s="16"/>
    </row>
    <row r="250" spans="1:18" ht="13.2">
      <c r="A250">
        <v>0</v>
      </c>
      <c r="H250" s="114"/>
      <c r="I250">
        <v>0</v>
      </c>
      <c r="P250" s="114"/>
      <c r="Q250">
        <v>0</v>
      </c>
      <c r="R250" s="16"/>
    </row>
    <row r="251" spans="1:18" ht="13.2">
      <c r="A251">
        <v>0</v>
      </c>
      <c r="H251" s="114"/>
      <c r="I251">
        <v>0</v>
      </c>
      <c r="P251" s="114"/>
      <c r="Q251">
        <v>0</v>
      </c>
      <c r="R251" s="16"/>
    </row>
    <row r="252" spans="1:18" ht="13.2">
      <c r="A252">
        <v>0</v>
      </c>
      <c r="H252" s="114"/>
      <c r="I252">
        <v>0</v>
      </c>
      <c r="P252" s="114"/>
      <c r="Q252">
        <v>0</v>
      </c>
      <c r="R252" s="16"/>
    </row>
    <row r="253" spans="1:18" ht="13.2">
      <c r="A253">
        <v>0</v>
      </c>
      <c r="H253" s="114"/>
      <c r="I253">
        <v>0</v>
      </c>
      <c r="P253" s="114"/>
      <c r="Q253">
        <v>0</v>
      </c>
      <c r="R253" s="16"/>
    </row>
    <row r="254" spans="1:18" ht="13.2">
      <c r="A254">
        <v>0</v>
      </c>
      <c r="H254" s="114"/>
      <c r="I254">
        <v>0</v>
      </c>
      <c r="P254" s="114"/>
      <c r="Q254">
        <v>0</v>
      </c>
      <c r="R254" s="16"/>
    </row>
    <row r="255" spans="1:18" ht="13.2">
      <c r="A255">
        <v>0</v>
      </c>
      <c r="H255" s="114"/>
      <c r="I255">
        <v>0</v>
      </c>
      <c r="P255" s="114"/>
      <c r="Q255">
        <v>0</v>
      </c>
      <c r="R255" s="16"/>
    </row>
    <row r="256" spans="1:18" ht="13.2">
      <c r="A256">
        <v>0</v>
      </c>
      <c r="H256" s="114"/>
      <c r="I256">
        <v>0</v>
      </c>
      <c r="P256" s="114"/>
      <c r="Q256">
        <v>0</v>
      </c>
      <c r="R256" s="16"/>
    </row>
    <row r="257" spans="1:18" ht="13.2">
      <c r="A257">
        <v>0</v>
      </c>
      <c r="H257" s="114"/>
      <c r="I257">
        <v>0</v>
      </c>
      <c r="P257" s="114"/>
      <c r="Q257">
        <v>0</v>
      </c>
      <c r="R257" s="16"/>
    </row>
    <row r="258" spans="1:18" ht="13.2">
      <c r="A258">
        <v>0</v>
      </c>
      <c r="H258" s="114"/>
      <c r="I258">
        <v>0</v>
      </c>
      <c r="P258" s="114"/>
      <c r="Q258">
        <v>0</v>
      </c>
      <c r="R258" s="16"/>
    </row>
    <row r="259" spans="1:18" ht="13.2">
      <c r="A259">
        <v>0</v>
      </c>
      <c r="H259" s="114"/>
      <c r="I259">
        <v>0</v>
      </c>
      <c r="P259" s="114"/>
      <c r="Q259">
        <v>0</v>
      </c>
      <c r="R259" s="16"/>
    </row>
    <row r="260" spans="1:18" ht="13.2">
      <c r="A260">
        <v>0</v>
      </c>
      <c r="H260" s="114"/>
      <c r="I260">
        <v>0</v>
      </c>
      <c r="P260" s="114"/>
      <c r="Q260">
        <v>0</v>
      </c>
      <c r="R260" s="16"/>
    </row>
    <row r="261" spans="1:18" ht="13.2">
      <c r="A261">
        <v>0</v>
      </c>
      <c r="H261" s="114"/>
      <c r="I261">
        <v>0</v>
      </c>
      <c r="P261" s="114"/>
      <c r="Q261">
        <v>0</v>
      </c>
      <c r="R261" s="16"/>
    </row>
    <row r="262" spans="1:18" ht="13.2">
      <c r="A262">
        <v>0</v>
      </c>
      <c r="H262" s="114"/>
      <c r="I262">
        <v>0</v>
      </c>
      <c r="P262" s="114"/>
      <c r="Q262">
        <v>0</v>
      </c>
      <c r="R262" s="16"/>
    </row>
    <row r="263" spans="1:18" ht="13.2">
      <c r="A263">
        <v>0</v>
      </c>
      <c r="H263" s="114"/>
      <c r="I263">
        <v>0</v>
      </c>
      <c r="P263" s="114"/>
      <c r="Q263">
        <v>0</v>
      </c>
      <c r="R263" s="16"/>
    </row>
    <row r="264" spans="1:18" ht="13.2">
      <c r="A264">
        <v>0</v>
      </c>
      <c r="H264" s="114"/>
      <c r="I264">
        <v>0</v>
      </c>
      <c r="P264" s="114"/>
      <c r="Q264">
        <v>0</v>
      </c>
      <c r="R264" s="16"/>
    </row>
    <row r="265" spans="1:18" ht="13.2">
      <c r="A265">
        <v>0</v>
      </c>
      <c r="H265" s="114"/>
      <c r="I265">
        <v>0</v>
      </c>
      <c r="P265" s="114"/>
      <c r="Q265">
        <v>0</v>
      </c>
      <c r="R265" s="16"/>
    </row>
    <row r="266" spans="1:18" ht="13.2">
      <c r="A266">
        <v>0</v>
      </c>
      <c r="H266" s="114"/>
      <c r="I266">
        <v>0</v>
      </c>
      <c r="P266" s="114"/>
      <c r="Q266">
        <v>0</v>
      </c>
      <c r="R266" s="16"/>
    </row>
    <row r="267" spans="1:18" ht="13.2">
      <c r="A267">
        <v>0</v>
      </c>
      <c r="H267" s="114"/>
      <c r="I267">
        <v>0</v>
      </c>
      <c r="P267" s="114"/>
      <c r="Q267">
        <v>0</v>
      </c>
      <c r="R267" s="16"/>
    </row>
    <row r="268" spans="1:18" ht="13.2">
      <c r="A268">
        <v>0</v>
      </c>
      <c r="H268" s="114"/>
      <c r="I268">
        <v>0</v>
      </c>
      <c r="P268" s="114"/>
      <c r="Q268">
        <v>0</v>
      </c>
      <c r="R268" s="16"/>
    </row>
    <row r="269" spans="1:18" ht="13.2">
      <c r="A269">
        <v>0</v>
      </c>
      <c r="H269" s="114"/>
      <c r="I269">
        <v>0</v>
      </c>
      <c r="P269" s="114"/>
      <c r="Q269">
        <v>0</v>
      </c>
      <c r="R269" s="16"/>
    </row>
    <row r="270" spans="1:18" ht="13.2">
      <c r="A270">
        <v>0</v>
      </c>
      <c r="H270" s="114"/>
      <c r="I270">
        <v>0</v>
      </c>
      <c r="P270" s="114"/>
      <c r="Q270">
        <v>0</v>
      </c>
      <c r="R270" s="16"/>
    </row>
    <row r="271" spans="1:18" ht="13.2">
      <c r="A271">
        <v>0</v>
      </c>
      <c r="H271" s="114"/>
      <c r="I271">
        <v>0</v>
      </c>
      <c r="P271" s="114"/>
      <c r="Q271">
        <v>0</v>
      </c>
      <c r="R271" s="16"/>
    </row>
    <row r="272" spans="1:18" ht="13.2">
      <c r="A272">
        <v>0</v>
      </c>
      <c r="H272" s="114"/>
      <c r="I272">
        <v>0</v>
      </c>
      <c r="P272" s="114"/>
      <c r="Q272">
        <v>0</v>
      </c>
      <c r="R272" s="16"/>
    </row>
    <row r="273" spans="1:18" ht="13.2">
      <c r="A273">
        <v>0</v>
      </c>
      <c r="H273" s="114"/>
      <c r="I273">
        <v>0</v>
      </c>
      <c r="P273" s="114"/>
      <c r="Q273">
        <v>0</v>
      </c>
      <c r="R273" s="16"/>
    </row>
    <row r="274" spans="1:18" ht="13.2">
      <c r="A274">
        <v>0</v>
      </c>
      <c r="H274" s="114"/>
      <c r="I274">
        <v>0</v>
      </c>
      <c r="P274" s="114"/>
      <c r="Q274">
        <v>0</v>
      </c>
      <c r="R274" s="16"/>
    </row>
    <row r="275" spans="1:18" ht="13.2">
      <c r="A275">
        <v>0</v>
      </c>
      <c r="H275" s="114"/>
      <c r="I275">
        <v>0</v>
      </c>
      <c r="P275" s="114"/>
      <c r="Q275">
        <v>0</v>
      </c>
      <c r="R275" s="16"/>
    </row>
    <row r="276" spans="1:18" ht="13.2">
      <c r="A276">
        <v>0</v>
      </c>
      <c r="H276" s="114"/>
      <c r="I276">
        <v>0</v>
      </c>
      <c r="P276" s="114"/>
      <c r="Q276">
        <v>0</v>
      </c>
      <c r="R276" s="16"/>
    </row>
    <row r="277" spans="1:18" ht="13.2">
      <c r="A277">
        <v>0</v>
      </c>
      <c r="H277" s="114"/>
      <c r="I277">
        <v>0</v>
      </c>
      <c r="P277" s="114"/>
      <c r="Q277">
        <v>0</v>
      </c>
      <c r="R277" s="16"/>
    </row>
    <row r="278" spans="1:18" ht="13.2">
      <c r="A278">
        <v>0</v>
      </c>
      <c r="H278" s="114"/>
      <c r="I278">
        <v>0</v>
      </c>
      <c r="P278" s="114"/>
      <c r="Q278">
        <v>0</v>
      </c>
      <c r="R278" s="16"/>
    </row>
    <row r="279" spans="1:18" ht="13.2">
      <c r="A279">
        <v>0</v>
      </c>
      <c r="H279" s="114"/>
      <c r="I279">
        <v>0</v>
      </c>
      <c r="P279" s="114"/>
      <c r="Q279">
        <v>0</v>
      </c>
      <c r="R279" s="16"/>
    </row>
    <row r="280" spans="1:18" ht="13.2">
      <c r="A280">
        <v>0</v>
      </c>
      <c r="H280" s="114"/>
      <c r="I280">
        <v>0</v>
      </c>
      <c r="P280" s="114"/>
      <c r="Q280">
        <v>0</v>
      </c>
      <c r="R280" s="16"/>
    </row>
    <row r="281" spans="1:18" ht="13.2">
      <c r="A281">
        <v>0</v>
      </c>
      <c r="H281" s="114"/>
      <c r="I281">
        <v>0</v>
      </c>
      <c r="P281" s="114"/>
      <c r="Q281">
        <v>0</v>
      </c>
      <c r="R281" s="16"/>
    </row>
    <row r="282" spans="1:18" ht="13.2">
      <c r="A282">
        <v>0</v>
      </c>
      <c r="H282" s="114"/>
      <c r="I282">
        <v>0</v>
      </c>
      <c r="P282" s="114"/>
      <c r="Q282">
        <v>0</v>
      </c>
      <c r="R282" s="16"/>
    </row>
    <row r="283" spans="1:18" ht="13.2">
      <c r="A283">
        <v>0</v>
      </c>
      <c r="H283" s="114"/>
      <c r="I283">
        <v>0</v>
      </c>
      <c r="P283" s="114"/>
      <c r="Q283">
        <v>0</v>
      </c>
      <c r="R283" s="16"/>
    </row>
    <row r="284" spans="1:18" ht="13.2">
      <c r="A284">
        <v>0</v>
      </c>
      <c r="H284" s="114"/>
      <c r="I284">
        <v>0</v>
      </c>
      <c r="P284" s="114"/>
      <c r="Q284">
        <v>0</v>
      </c>
      <c r="R284" s="16"/>
    </row>
    <row r="285" spans="1:18" ht="13.2">
      <c r="A285">
        <v>0</v>
      </c>
      <c r="H285" s="114"/>
      <c r="I285">
        <v>0</v>
      </c>
      <c r="P285" s="114"/>
      <c r="Q285">
        <v>0</v>
      </c>
      <c r="R285" s="16"/>
    </row>
    <row r="286" spans="1:18" ht="13.2">
      <c r="A286">
        <v>0</v>
      </c>
      <c r="H286" s="114"/>
      <c r="I286">
        <v>0</v>
      </c>
      <c r="P286" s="114"/>
      <c r="Q286">
        <v>0</v>
      </c>
      <c r="R286" s="16"/>
    </row>
    <row r="287" spans="1:18" ht="13.2">
      <c r="A287">
        <v>0</v>
      </c>
      <c r="H287" s="114"/>
      <c r="I287">
        <v>0</v>
      </c>
      <c r="P287" s="114"/>
      <c r="Q287">
        <v>0</v>
      </c>
      <c r="R287" s="16"/>
    </row>
    <row r="288" spans="1:18" ht="13.2">
      <c r="A288">
        <v>0</v>
      </c>
      <c r="H288" s="114"/>
      <c r="I288">
        <v>0</v>
      </c>
      <c r="P288" s="114"/>
      <c r="Q288">
        <v>0</v>
      </c>
      <c r="R288" s="16"/>
    </row>
    <row r="289" spans="1:18" ht="13.2">
      <c r="A289">
        <v>0</v>
      </c>
      <c r="H289" s="114"/>
      <c r="I289">
        <v>0</v>
      </c>
      <c r="P289" s="114"/>
      <c r="Q289">
        <v>0</v>
      </c>
      <c r="R289" s="16"/>
    </row>
    <row r="290" spans="1:18" ht="13.2">
      <c r="A290">
        <v>0</v>
      </c>
      <c r="H290" s="114"/>
      <c r="I290">
        <v>0</v>
      </c>
      <c r="P290" s="114"/>
      <c r="Q290">
        <v>0</v>
      </c>
      <c r="R290" s="16"/>
    </row>
    <row r="291" spans="1:18" ht="13.2">
      <c r="A291">
        <v>0</v>
      </c>
      <c r="H291" s="114"/>
      <c r="I291">
        <v>0</v>
      </c>
      <c r="P291" s="114"/>
      <c r="Q291">
        <v>0</v>
      </c>
      <c r="R291" s="16"/>
    </row>
    <row r="292" spans="1:18" ht="13.2">
      <c r="A292">
        <v>0</v>
      </c>
      <c r="H292" s="114"/>
      <c r="I292">
        <v>0</v>
      </c>
      <c r="P292" s="114"/>
      <c r="Q292">
        <v>0</v>
      </c>
      <c r="R292" s="16"/>
    </row>
    <row r="293" spans="1:18" ht="13.2">
      <c r="A293">
        <v>0</v>
      </c>
      <c r="H293" s="114"/>
      <c r="I293">
        <v>0</v>
      </c>
      <c r="P293" s="114"/>
      <c r="Q293">
        <v>0</v>
      </c>
      <c r="R293" s="16"/>
    </row>
    <row r="294" spans="1:18" ht="13.2">
      <c r="A294">
        <v>0</v>
      </c>
      <c r="H294" s="114"/>
      <c r="I294">
        <v>0</v>
      </c>
      <c r="P294" s="114"/>
      <c r="Q294">
        <v>0</v>
      </c>
      <c r="R294" s="16"/>
    </row>
    <row r="295" spans="1:18" ht="13.2">
      <c r="A295">
        <v>0</v>
      </c>
      <c r="H295" s="114"/>
      <c r="I295">
        <v>0</v>
      </c>
      <c r="P295" s="114"/>
      <c r="Q295">
        <v>0</v>
      </c>
      <c r="R295" s="16"/>
    </row>
    <row r="296" spans="1:18" ht="13.2">
      <c r="A296">
        <v>0</v>
      </c>
      <c r="H296" s="114"/>
      <c r="I296">
        <v>0</v>
      </c>
      <c r="P296" s="114"/>
      <c r="Q296">
        <v>0</v>
      </c>
      <c r="R296" s="16"/>
    </row>
    <row r="297" spans="1:18" ht="13.2">
      <c r="A297">
        <v>0</v>
      </c>
      <c r="H297" s="114"/>
      <c r="I297">
        <v>0</v>
      </c>
      <c r="P297" s="114"/>
      <c r="Q297">
        <v>0</v>
      </c>
      <c r="R297" s="16"/>
    </row>
    <row r="298" spans="1:18" ht="13.2">
      <c r="A298">
        <v>0</v>
      </c>
      <c r="H298" s="114"/>
      <c r="I298">
        <v>0</v>
      </c>
      <c r="P298" s="114"/>
      <c r="Q298">
        <v>0</v>
      </c>
      <c r="R298" s="16"/>
    </row>
    <row r="299" spans="1:18" ht="13.2">
      <c r="A299">
        <v>0</v>
      </c>
      <c r="H299" s="114"/>
      <c r="I299">
        <v>0</v>
      </c>
      <c r="P299" s="114"/>
      <c r="Q299">
        <v>0</v>
      </c>
      <c r="R299" s="16"/>
    </row>
    <row r="300" spans="1:18" ht="13.2">
      <c r="A300">
        <v>0</v>
      </c>
      <c r="H300" s="114"/>
      <c r="I300">
        <v>0</v>
      </c>
      <c r="P300" s="114"/>
      <c r="Q300">
        <v>0</v>
      </c>
      <c r="R300" s="16"/>
    </row>
    <row r="301" spans="1:18" ht="13.2">
      <c r="A301">
        <v>0</v>
      </c>
      <c r="H301" s="114"/>
      <c r="I301">
        <v>0</v>
      </c>
      <c r="P301" s="114"/>
      <c r="Q301">
        <v>0</v>
      </c>
      <c r="R301" s="16"/>
    </row>
    <row r="302" spans="1:18" ht="13.2">
      <c r="A302">
        <v>0</v>
      </c>
      <c r="H302" s="114"/>
      <c r="I302">
        <v>0</v>
      </c>
      <c r="P302" s="114"/>
      <c r="Q302">
        <v>0</v>
      </c>
      <c r="R302" s="16"/>
    </row>
    <row r="303" spans="1:18" ht="13.2">
      <c r="A303">
        <v>0</v>
      </c>
      <c r="H303" s="114"/>
      <c r="I303">
        <v>0</v>
      </c>
      <c r="P303" s="114"/>
      <c r="Q303">
        <v>0</v>
      </c>
      <c r="R303" s="16"/>
    </row>
    <row r="304" spans="1:18" ht="13.2">
      <c r="A304">
        <v>0</v>
      </c>
      <c r="H304" s="114"/>
      <c r="I304">
        <v>0</v>
      </c>
      <c r="P304" s="114"/>
      <c r="Q304">
        <v>0</v>
      </c>
      <c r="R304" s="16"/>
    </row>
    <row r="305" spans="1:18" ht="13.2">
      <c r="A305">
        <v>0</v>
      </c>
      <c r="H305" s="114"/>
      <c r="I305">
        <v>0</v>
      </c>
      <c r="P305" s="114"/>
      <c r="Q305">
        <v>0</v>
      </c>
      <c r="R305" s="16"/>
    </row>
    <row r="306" spans="1:18" ht="13.2">
      <c r="A306">
        <v>0</v>
      </c>
      <c r="H306" s="114"/>
      <c r="I306">
        <v>0</v>
      </c>
      <c r="P306" s="114"/>
      <c r="Q306">
        <v>0</v>
      </c>
      <c r="R306" s="16"/>
    </row>
    <row r="307" spans="1:18" ht="13.2">
      <c r="A307">
        <v>0</v>
      </c>
      <c r="H307" s="114"/>
      <c r="I307">
        <v>0</v>
      </c>
      <c r="P307" s="114"/>
      <c r="Q307">
        <v>0</v>
      </c>
      <c r="R307" s="16"/>
    </row>
    <row r="308" spans="1:18" ht="13.2">
      <c r="A308">
        <v>0</v>
      </c>
      <c r="H308" s="114"/>
      <c r="I308">
        <v>0</v>
      </c>
      <c r="P308" s="114"/>
      <c r="Q308">
        <v>0</v>
      </c>
      <c r="R308" s="16"/>
    </row>
    <row r="309" spans="1:18" ht="13.2">
      <c r="A309">
        <v>0</v>
      </c>
      <c r="H309" s="114"/>
      <c r="I309">
        <v>0</v>
      </c>
      <c r="P309" s="114"/>
      <c r="Q309">
        <v>0</v>
      </c>
      <c r="R309" s="16"/>
    </row>
    <row r="310" spans="1:18" ht="13.2">
      <c r="A310">
        <v>0</v>
      </c>
      <c r="H310" s="114"/>
      <c r="I310">
        <v>0</v>
      </c>
      <c r="P310" s="114"/>
      <c r="Q310">
        <v>0</v>
      </c>
      <c r="R310" s="16"/>
    </row>
    <row r="311" spans="1:18" ht="13.2">
      <c r="A311">
        <v>0</v>
      </c>
      <c r="H311" s="114"/>
      <c r="I311">
        <v>0</v>
      </c>
      <c r="P311" s="114"/>
      <c r="Q311">
        <v>0</v>
      </c>
      <c r="R311" s="16"/>
    </row>
    <row r="312" spans="1:18" ht="13.2">
      <c r="A312">
        <v>0</v>
      </c>
      <c r="H312" s="114"/>
      <c r="I312">
        <v>0</v>
      </c>
      <c r="P312" s="114"/>
      <c r="Q312">
        <v>0</v>
      </c>
      <c r="R312" s="16"/>
    </row>
    <row r="313" spans="1:18" ht="13.2">
      <c r="A313">
        <v>0</v>
      </c>
      <c r="H313" s="114"/>
      <c r="I313">
        <v>0</v>
      </c>
      <c r="P313" s="114"/>
      <c r="Q313">
        <v>0</v>
      </c>
      <c r="R313" s="16"/>
    </row>
    <row r="314" spans="1:18" ht="13.2">
      <c r="A314">
        <v>0</v>
      </c>
      <c r="H314" s="114"/>
      <c r="I314">
        <v>0</v>
      </c>
      <c r="P314" s="114"/>
      <c r="Q314">
        <v>0</v>
      </c>
      <c r="R314" s="16"/>
    </row>
    <row r="315" spans="1:18" ht="13.2">
      <c r="A315">
        <v>0</v>
      </c>
      <c r="H315" s="114"/>
      <c r="I315">
        <v>0</v>
      </c>
      <c r="P315" s="114"/>
      <c r="Q315">
        <v>0</v>
      </c>
      <c r="R315" s="16"/>
    </row>
    <row r="316" spans="1:18" ht="13.2">
      <c r="A316">
        <v>0</v>
      </c>
      <c r="H316" s="114"/>
      <c r="I316">
        <v>0</v>
      </c>
      <c r="P316" s="114"/>
      <c r="Q316">
        <v>0</v>
      </c>
      <c r="R316" s="16"/>
    </row>
    <row r="317" spans="1:18" ht="13.2">
      <c r="A317">
        <v>0</v>
      </c>
      <c r="H317" s="114"/>
      <c r="I317">
        <v>0</v>
      </c>
      <c r="P317" s="114"/>
      <c r="Q317">
        <v>0</v>
      </c>
      <c r="R317" s="16"/>
    </row>
    <row r="318" spans="1:18" ht="13.2">
      <c r="A318">
        <v>0</v>
      </c>
      <c r="H318" s="114"/>
      <c r="I318">
        <v>0</v>
      </c>
      <c r="P318" s="114"/>
      <c r="Q318">
        <v>0</v>
      </c>
      <c r="R318" s="16"/>
    </row>
    <row r="319" spans="1:18" ht="13.2">
      <c r="A319">
        <v>0</v>
      </c>
      <c r="H319" s="114"/>
      <c r="I319">
        <v>0</v>
      </c>
      <c r="P319" s="114"/>
      <c r="Q319">
        <v>0</v>
      </c>
      <c r="R319" s="16"/>
    </row>
    <row r="320" spans="1:18" ht="13.2">
      <c r="A320">
        <v>0</v>
      </c>
      <c r="H320" s="114"/>
      <c r="I320">
        <v>0</v>
      </c>
      <c r="P320" s="114"/>
      <c r="Q320">
        <v>0</v>
      </c>
      <c r="R320" s="16"/>
    </row>
    <row r="321" spans="1:18" ht="13.2">
      <c r="A321">
        <v>0</v>
      </c>
      <c r="H321" s="114"/>
      <c r="I321">
        <v>0</v>
      </c>
      <c r="P321" s="114"/>
      <c r="Q321">
        <v>0</v>
      </c>
      <c r="R321" s="16"/>
    </row>
    <row r="322" spans="1:18" ht="13.2">
      <c r="A322">
        <v>0</v>
      </c>
      <c r="H322" s="114"/>
      <c r="I322">
        <v>0</v>
      </c>
      <c r="P322" s="114"/>
      <c r="Q322">
        <v>0</v>
      </c>
      <c r="R322" s="16"/>
    </row>
    <row r="323" spans="1:18" ht="13.2">
      <c r="A323">
        <v>0</v>
      </c>
      <c r="H323" s="114"/>
      <c r="I323">
        <v>0</v>
      </c>
      <c r="P323" s="114"/>
      <c r="Q323">
        <v>0</v>
      </c>
      <c r="R323" s="16"/>
    </row>
    <row r="324" spans="1:18" ht="13.2">
      <c r="A324">
        <v>0</v>
      </c>
      <c r="H324" s="114"/>
      <c r="I324">
        <v>0</v>
      </c>
      <c r="P324" s="114"/>
      <c r="Q324">
        <v>0</v>
      </c>
      <c r="R324" s="16"/>
    </row>
    <row r="325" spans="1:18" ht="13.2">
      <c r="A325">
        <v>0</v>
      </c>
      <c r="H325" s="114"/>
      <c r="I325">
        <v>0</v>
      </c>
      <c r="P325" s="114"/>
      <c r="Q325">
        <v>0</v>
      </c>
      <c r="R325" s="16"/>
    </row>
    <row r="326" spans="1:18" ht="13.2">
      <c r="A326">
        <v>0</v>
      </c>
      <c r="H326" s="114"/>
      <c r="I326">
        <v>0</v>
      </c>
      <c r="P326" s="114"/>
      <c r="Q326">
        <v>0</v>
      </c>
      <c r="R326" s="16"/>
    </row>
    <row r="327" spans="1:18" ht="13.2">
      <c r="A327">
        <v>0</v>
      </c>
      <c r="H327" s="114"/>
      <c r="I327">
        <v>0</v>
      </c>
      <c r="P327" s="114"/>
      <c r="Q327">
        <v>0</v>
      </c>
      <c r="R327" s="16"/>
    </row>
    <row r="328" spans="1:18" ht="13.2">
      <c r="A328">
        <v>0</v>
      </c>
      <c r="H328" s="114"/>
      <c r="I328">
        <v>0</v>
      </c>
      <c r="P328" s="114"/>
      <c r="Q328">
        <v>0</v>
      </c>
      <c r="R328" s="16"/>
    </row>
    <row r="329" spans="1:18" ht="13.2">
      <c r="A329">
        <v>0</v>
      </c>
      <c r="H329" s="114"/>
      <c r="I329">
        <v>0</v>
      </c>
      <c r="P329" s="114"/>
      <c r="Q329">
        <v>0</v>
      </c>
      <c r="R329" s="16"/>
    </row>
    <row r="330" spans="1:18" ht="13.2">
      <c r="A330">
        <v>0</v>
      </c>
      <c r="H330" s="114"/>
      <c r="I330">
        <v>0</v>
      </c>
      <c r="P330" s="114"/>
      <c r="Q330">
        <v>0</v>
      </c>
      <c r="R330" s="16"/>
    </row>
    <row r="331" spans="1:18" ht="13.2">
      <c r="A331">
        <v>0</v>
      </c>
      <c r="H331" s="114"/>
      <c r="I331">
        <v>0</v>
      </c>
      <c r="P331" s="114"/>
      <c r="Q331">
        <v>0</v>
      </c>
      <c r="R331" s="16"/>
    </row>
    <row r="332" spans="1:18" ht="13.2">
      <c r="A332">
        <v>0</v>
      </c>
      <c r="H332" s="114"/>
      <c r="I332">
        <v>0</v>
      </c>
      <c r="P332" s="114"/>
      <c r="Q332">
        <v>0</v>
      </c>
      <c r="R332" s="16"/>
    </row>
    <row r="333" spans="1:18" ht="13.2">
      <c r="A333">
        <v>0</v>
      </c>
      <c r="H333" s="114"/>
      <c r="I333">
        <v>0</v>
      </c>
      <c r="P333" s="114"/>
      <c r="Q333">
        <v>0</v>
      </c>
      <c r="R333" s="16"/>
    </row>
    <row r="334" spans="1:18" ht="13.2">
      <c r="A334">
        <v>0</v>
      </c>
      <c r="H334" s="114"/>
      <c r="I334">
        <v>0</v>
      </c>
      <c r="P334" s="114"/>
      <c r="Q334">
        <v>0</v>
      </c>
      <c r="R334" s="16"/>
    </row>
    <row r="335" spans="1:18" ht="13.2">
      <c r="A335">
        <v>0</v>
      </c>
      <c r="H335" s="114"/>
      <c r="I335">
        <v>0</v>
      </c>
      <c r="P335" s="114"/>
      <c r="Q335">
        <v>0</v>
      </c>
      <c r="R335" s="16"/>
    </row>
    <row r="336" spans="1:18" ht="13.2">
      <c r="A336">
        <v>0</v>
      </c>
      <c r="H336" s="114"/>
      <c r="I336">
        <v>0</v>
      </c>
      <c r="P336" s="114"/>
      <c r="Q336">
        <v>0</v>
      </c>
      <c r="R336" s="16"/>
    </row>
    <row r="337" spans="1:18" ht="13.2">
      <c r="A337">
        <v>0</v>
      </c>
      <c r="H337" s="114"/>
      <c r="I337">
        <v>0</v>
      </c>
      <c r="P337" s="114"/>
      <c r="Q337">
        <v>0</v>
      </c>
      <c r="R337" s="16"/>
    </row>
    <row r="338" spans="1:18" ht="13.2">
      <c r="A338">
        <v>0</v>
      </c>
      <c r="H338" s="114"/>
      <c r="I338">
        <v>0</v>
      </c>
      <c r="P338" s="114"/>
      <c r="Q338">
        <v>0</v>
      </c>
      <c r="R338" s="16"/>
    </row>
    <row r="339" spans="1:18" ht="13.2">
      <c r="A339">
        <v>0</v>
      </c>
      <c r="H339" s="114"/>
      <c r="I339">
        <v>0</v>
      </c>
      <c r="P339" s="114"/>
      <c r="Q339">
        <v>0</v>
      </c>
      <c r="R339" s="16"/>
    </row>
    <row r="340" spans="1:18" ht="13.2">
      <c r="A340">
        <v>0</v>
      </c>
      <c r="H340" s="114"/>
      <c r="I340">
        <v>0</v>
      </c>
      <c r="P340" s="114"/>
      <c r="Q340">
        <v>0</v>
      </c>
      <c r="R340" s="16"/>
    </row>
    <row r="341" spans="1:18" ht="13.2">
      <c r="A341">
        <v>0</v>
      </c>
      <c r="H341" s="114"/>
      <c r="I341">
        <v>0</v>
      </c>
      <c r="P341" s="114"/>
      <c r="Q341">
        <v>0</v>
      </c>
      <c r="R341" s="16"/>
    </row>
    <row r="342" spans="1:18" ht="13.2">
      <c r="A342">
        <v>0</v>
      </c>
      <c r="H342" s="114"/>
      <c r="I342">
        <v>0</v>
      </c>
      <c r="P342" s="114"/>
      <c r="Q342">
        <v>0</v>
      </c>
      <c r="R342" s="16"/>
    </row>
    <row r="343" spans="1:18" ht="13.2">
      <c r="A343">
        <v>0</v>
      </c>
      <c r="H343" s="114"/>
      <c r="I343">
        <v>0</v>
      </c>
      <c r="P343" s="114"/>
      <c r="Q343">
        <v>0</v>
      </c>
      <c r="R343" s="16"/>
    </row>
    <row r="344" spans="1:18" ht="13.2">
      <c r="A344">
        <v>0</v>
      </c>
      <c r="H344" s="114"/>
      <c r="I344">
        <v>0</v>
      </c>
      <c r="P344" s="114"/>
      <c r="Q344">
        <v>0</v>
      </c>
      <c r="R344" s="16"/>
    </row>
    <row r="345" spans="1:18" ht="13.2">
      <c r="A345">
        <v>0</v>
      </c>
      <c r="H345" s="114"/>
      <c r="I345">
        <v>0</v>
      </c>
      <c r="P345" s="114"/>
      <c r="Q345">
        <v>0</v>
      </c>
      <c r="R345" s="16"/>
    </row>
    <row r="346" spans="1:18" ht="13.2">
      <c r="A346">
        <v>0</v>
      </c>
      <c r="H346" s="114"/>
      <c r="I346">
        <v>0</v>
      </c>
      <c r="P346" s="114"/>
      <c r="Q346">
        <v>0</v>
      </c>
      <c r="R346" s="16"/>
    </row>
    <row r="347" spans="1:18" ht="13.2">
      <c r="A347">
        <v>0</v>
      </c>
      <c r="H347" s="114"/>
      <c r="I347">
        <v>0</v>
      </c>
      <c r="P347" s="114"/>
      <c r="Q347">
        <v>0</v>
      </c>
      <c r="R347" s="16"/>
    </row>
    <row r="348" spans="1:18" ht="13.2">
      <c r="A348">
        <v>0</v>
      </c>
      <c r="H348" s="114"/>
      <c r="I348">
        <v>0</v>
      </c>
      <c r="P348" s="114"/>
      <c r="Q348">
        <v>0</v>
      </c>
      <c r="R348" s="16"/>
    </row>
    <row r="349" spans="1:18" ht="13.2">
      <c r="A349">
        <v>0</v>
      </c>
      <c r="H349" s="114"/>
      <c r="I349">
        <v>0</v>
      </c>
      <c r="P349" s="114"/>
      <c r="Q349">
        <v>0</v>
      </c>
      <c r="R349" s="16"/>
    </row>
    <row r="350" spans="1:18" ht="13.2">
      <c r="A350">
        <v>0</v>
      </c>
      <c r="H350" s="114"/>
      <c r="I350">
        <v>0</v>
      </c>
      <c r="P350" s="114"/>
      <c r="Q350">
        <v>0</v>
      </c>
      <c r="R350" s="16"/>
    </row>
    <row r="351" spans="1:18" ht="13.2">
      <c r="A351">
        <v>0</v>
      </c>
      <c r="H351" s="114"/>
      <c r="I351">
        <v>0</v>
      </c>
      <c r="P351" s="114"/>
      <c r="Q351">
        <v>0</v>
      </c>
      <c r="R351" s="16"/>
    </row>
    <row r="352" spans="1:18" ht="13.2">
      <c r="A352">
        <v>0</v>
      </c>
      <c r="H352" s="114"/>
      <c r="I352">
        <v>0</v>
      </c>
      <c r="P352" s="114"/>
      <c r="Q352">
        <v>0</v>
      </c>
      <c r="R352" s="16"/>
    </row>
    <row r="353" spans="1:18" ht="13.2">
      <c r="A353">
        <v>0</v>
      </c>
      <c r="H353" s="114"/>
      <c r="I353">
        <v>0</v>
      </c>
      <c r="P353" s="114"/>
      <c r="Q353">
        <v>0</v>
      </c>
      <c r="R353" s="16"/>
    </row>
    <row r="354" spans="1:18" ht="13.2">
      <c r="A354">
        <v>0</v>
      </c>
      <c r="H354" s="114"/>
      <c r="I354">
        <v>0</v>
      </c>
      <c r="P354" s="114"/>
      <c r="Q354">
        <v>0</v>
      </c>
      <c r="R354" s="16"/>
    </row>
    <row r="355" spans="1:18" ht="13.2">
      <c r="A355">
        <v>0</v>
      </c>
      <c r="H355" s="114"/>
      <c r="I355">
        <v>0</v>
      </c>
      <c r="P355" s="114"/>
      <c r="Q355">
        <v>0</v>
      </c>
      <c r="R355" s="16"/>
    </row>
    <row r="356" spans="1:18" ht="13.2">
      <c r="A356">
        <v>0</v>
      </c>
      <c r="H356" s="114"/>
      <c r="I356">
        <v>0</v>
      </c>
      <c r="P356" s="114"/>
      <c r="Q356">
        <v>0</v>
      </c>
      <c r="R356" s="16"/>
    </row>
    <row r="357" spans="1:18" ht="13.2">
      <c r="A357">
        <v>0</v>
      </c>
      <c r="H357" s="114"/>
      <c r="I357">
        <v>0</v>
      </c>
      <c r="P357" s="114"/>
      <c r="Q357">
        <v>0</v>
      </c>
      <c r="R357" s="16"/>
    </row>
    <row r="358" spans="1:18" ht="13.2">
      <c r="A358">
        <v>0</v>
      </c>
      <c r="H358" s="114"/>
      <c r="I358">
        <v>0</v>
      </c>
      <c r="P358" s="114"/>
      <c r="Q358">
        <v>0</v>
      </c>
      <c r="R358" s="16"/>
    </row>
    <row r="359" spans="1:18" ht="13.2">
      <c r="A359">
        <v>0</v>
      </c>
      <c r="H359" s="114"/>
      <c r="I359">
        <v>0</v>
      </c>
      <c r="P359" s="114"/>
      <c r="Q359">
        <v>0</v>
      </c>
      <c r="R359" s="16"/>
    </row>
    <row r="360" spans="1:18" ht="13.2">
      <c r="A360">
        <v>0</v>
      </c>
      <c r="H360" s="114"/>
      <c r="I360">
        <v>0</v>
      </c>
      <c r="P360" s="114"/>
      <c r="Q360">
        <v>0</v>
      </c>
      <c r="R360" s="16"/>
    </row>
    <row r="361" spans="1:18" ht="13.2">
      <c r="A361">
        <v>0</v>
      </c>
      <c r="H361" s="114"/>
      <c r="I361">
        <v>0</v>
      </c>
      <c r="P361" s="114"/>
      <c r="Q361">
        <v>0</v>
      </c>
      <c r="R361" s="16"/>
    </row>
    <row r="362" spans="1:18" ht="13.2">
      <c r="A362">
        <v>0</v>
      </c>
      <c r="H362" s="114"/>
      <c r="I362">
        <v>0</v>
      </c>
      <c r="P362" s="114"/>
      <c r="Q362">
        <v>0</v>
      </c>
      <c r="R362" s="16"/>
    </row>
    <row r="363" spans="1:18" ht="13.2">
      <c r="A363">
        <v>0</v>
      </c>
      <c r="H363" s="114"/>
      <c r="I363">
        <v>0</v>
      </c>
      <c r="P363" s="114"/>
      <c r="Q363">
        <v>0</v>
      </c>
      <c r="R363" s="16"/>
    </row>
    <row r="364" spans="1:18" ht="13.2">
      <c r="A364">
        <v>0</v>
      </c>
      <c r="H364" s="114"/>
      <c r="I364">
        <v>0</v>
      </c>
      <c r="P364" s="114"/>
      <c r="Q364">
        <v>0</v>
      </c>
      <c r="R364" s="16"/>
    </row>
    <row r="365" spans="1:18" ht="13.2">
      <c r="A365">
        <v>0</v>
      </c>
      <c r="H365" s="114"/>
      <c r="I365">
        <v>0</v>
      </c>
      <c r="P365" s="114"/>
      <c r="Q365">
        <v>0</v>
      </c>
      <c r="R365" s="16"/>
    </row>
    <row r="366" spans="1:18" ht="13.2">
      <c r="A366">
        <v>0</v>
      </c>
      <c r="H366" s="114"/>
      <c r="I366">
        <v>0</v>
      </c>
      <c r="P366" s="114"/>
      <c r="Q366">
        <v>0</v>
      </c>
      <c r="R366" s="16"/>
    </row>
    <row r="367" spans="1:18" ht="13.2">
      <c r="A367">
        <v>0</v>
      </c>
      <c r="H367" s="114"/>
      <c r="I367">
        <v>0</v>
      </c>
      <c r="P367" s="114"/>
      <c r="Q367">
        <v>0</v>
      </c>
      <c r="R367" s="16"/>
    </row>
    <row r="368" spans="1:18" ht="13.2">
      <c r="A368">
        <v>0</v>
      </c>
      <c r="H368" s="114"/>
      <c r="I368">
        <v>0</v>
      </c>
      <c r="P368" s="114"/>
      <c r="Q368">
        <v>0</v>
      </c>
      <c r="R368" s="16"/>
    </row>
    <row r="369" spans="1:18" ht="13.2">
      <c r="A369">
        <v>0</v>
      </c>
      <c r="H369" s="114"/>
      <c r="I369">
        <v>0</v>
      </c>
      <c r="P369" s="114"/>
      <c r="Q369">
        <v>0</v>
      </c>
      <c r="R369" s="16"/>
    </row>
    <row r="370" spans="1:18" ht="13.2">
      <c r="A370">
        <v>0</v>
      </c>
      <c r="H370" s="114"/>
      <c r="I370">
        <v>0</v>
      </c>
      <c r="P370" s="114"/>
      <c r="Q370">
        <v>0</v>
      </c>
      <c r="R370" s="16"/>
    </row>
    <row r="371" spans="1:18" ht="13.2">
      <c r="A371">
        <v>0</v>
      </c>
      <c r="H371" s="114"/>
      <c r="I371">
        <v>0</v>
      </c>
      <c r="P371" s="114"/>
      <c r="Q371">
        <v>0</v>
      </c>
      <c r="R371" s="16"/>
    </row>
    <row r="372" spans="1:18" ht="13.2">
      <c r="A372">
        <v>0</v>
      </c>
      <c r="H372" s="114"/>
      <c r="I372">
        <v>0</v>
      </c>
      <c r="P372" s="114"/>
      <c r="Q372">
        <v>0</v>
      </c>
      <c r="R372" s="16"/>
    </row>
    <row r="373" spans="1:18" ht="13.2">
      <c r="A373">
        <v>0</v>
      </c>
      <c r="H373" s="114"/>
      <c r="I373">
        <v>0</v>
      </c>
      <c r="P373" s="114"/>
      <c r="Q373">
        <v>0</v>
      </c>
      <c r="R373" s="16"/>
    </row>
    <row r="374" spans="1:18" ht="13.2">
      <c r="A374">
        <v>0</v>
      </c>
      <c r="H374" s="114"/>
      <c r="I374">
        <v>0</v>
      </c>
      <c r="P374" s="114"/>
      <c r="Q374">
        <v>0</v>
      </c>
      <c r="R374" s="16"/>
    </row>
    <row r="375" spans="1:18" ht="13.2">
      <c r="A375">
        <v>0</v>
      </c>
      <c r="H375" s="114"/>
      <c r="I375">
        <v>0</v>
      </c>
      <c r="P375" s="114"/>
      <c r="Q375">
        <v>0</v>
      </c>
      <c r="R375" s="16"/>
    </row>
    <row r="376" spans="1:18" ht="13.2">
      <c r="A376">
        <v>0</v>
      </c>
      <c r="H376" s="114"/>
      <c r="I376">
        <v>0</v>
      </c>
      <c r="P376" s="114"/>
      <c r="Q376">
        <v>0</v>
      </c>
      <c r="R376" s="16"/>
    </row>
    <row r="377" spans="1:18" ht="13.2">
      <c r="A377">
        <v>0</v>
      </c>
      <c r="H377" s="114"/>
      <c r="I377">
        <v>0</v>
      </c>
      <c r="P377" s="114"/>
      <c r="Q377">
        <v>0</v>
      </c>
      <c r="R377" s="16"/>
    </row>
    <row r="378" spans="1:18" ht="13.2">
      <c r="A378">
        <v>0</v>
      </c>
      <c r="H378" s="114"/>
      <c r="I378">
        <v>0</v>
      </c>
      <c r="P378" s="114"/>
      <c r="Q378">
        <v>0</v>
      </c>
      <c r="R378" s="16"/>
    </row>
    <row r="379" spans="1:18" ht="13.2">
      <c r="A379">
        <v>0</v>
      </c>
      <c r="H379" s="114"/>
      <c r="I379">
        <v>0</v>
      </c>
      <c r="P379" s="114"/>
      <c r="Q379">
        <v>0</v>
      </c>
      <c r="R379" s="16"/>
    </row>
    <row r="380" spans="1:18" ht="13.2">
      <c r="A380">
        <v>0</v>
      </c>
      <c r="H380" s="114"/>
      <c r="I380">
        <v>0</v>
      </c>
      <c r="P380" s="114"/>
      <c r="Q380">
        <v>0</v>
      </c>
      <c r="R380" s="16"/>
    </row>
    <row r="381" spans="1:18" ht="13.2">
      <c r="A381">
        <v>0</v>
      </c>
      <c r="H381" s="114"/>
      <c r="I381">
        <v>0</v>
      </c>
      <c r="P381" s="114"/>
      <c r="Q381">
        <v>0</v>
      </c>
      <c r="R381" s="16"/>
    </row>
    <row r="382" spans="1:18" ht="13.2">
      <c r="A382">
        <v>0</v>
      </c>
      <c r="H382" s="114"/>
      <c r="I382">
        <v>0</v>
      </c>
      <c r="P382" s="114"/>
      <c r="Q382">
        <v>0</v>
      </c>
      <c r="R382" s="16"/>
    </row>
    <row r="383" spans="1:18" ht="13.2">
      <c r="A383">
        <v>0</v>
      </c>
      <c r="H383" s="114"/>
      <c r="I383">
        <v>0</v>
      </c>
      <c r="P383" s="114"/>
      <c r="Q383">
        <v>0</v>
      </c>
      <c r="R383" s="16"/>
    </row>
    <row r="384" spans="1:18" ht="13.2">
      <c r="A384">
        <v>0</v>
      </c>
      <c r="H384" s="114"/>
      <c r="I384">
        <v>0</v>
      </c>
      <c r="P384" s="114"/>
      <c r="Q384">
        <v>0</v>
      </c>
      <c r="R384" s="16"/>
    </row>
    <row r="385" spans="1:18" ht="13.2">
      <c r="A385">
        <v>0</v>
      </c>
      <c r="H385" s="114"/>
      <c r="I385">
        <v>0</v>
      </c>
      <c r="P385" s="114"/>
      <c r="Q385">
        <v>0</v>
      </c>
      <c r="R385" s="16"/>
    </row>
    <row r="386" spans="1:18" ht="13.2">
      <c r="A386">
        <v>0</v>
      </c>
      <c r="H386" s="114"/>
      <c r="I386">
        <v>0</v>
      </c>
      <c r="P386" s="114"/>
      <c r="Q386">
        <v>0</v>
      </c>
      <c r="R386" s="16"/>
    </row>
    <row r="387" spans="1:18" ht="13.2">
      <c r="A387">
        <v>0</v>
      </c>
      <c r="H387" s="114"/>
      <c r="I387">
        <v>0</v>
      </c>
      <c r="P387" s="114"/>
      <c r="Q387">
        <v>0</v>
      </c>
      <c r="R387" s="16"/>
    </row>
    <row r="388" spans="1:18" ht="13.2">
      <c r="A388">
        <v>0</v>
      </c>
      <c r="H388" s="114"/>
      <c r="I388">
        <v>0</v>
      </c>
      <c r="P388" s="114"/>
      <c r="Q388">
        <v>0</v>
      </c>
      <c r="R388" s="16"/>
    </row>
    <row r="389" spans="1:18" ht="13.2">
      <c r="A389">
        <v>0</v>
      </c>
      <c r="H389" s="114"/>
      <c r="I389">
        <v>0</v>
      </c>
      <c r="P389" s="114"/>
      <c r="Q389">
        <v>0</v>
      </c>
      <c r="R389" s="16"/>
    </row>
    <row r="390" spans="1:18" ht="13.2">
      <c r="A390">
        <v>0</v>
      </c>
      <c r="H390" s="114"/>
      <c r="I390">
        <v>0</v>
      </c>
      <c r="P390" s="114"/>
      <c r="Q390">
        <v>0</v>
      </c>
      <c r="R390" s="16"/>
    </row>
    <row r="391" spans="1:18" ht="13.2">
      <c r="A391">
        <v>0</v>
      </c>
      <c r="H391" s="114"/>
      <c r="I391">
        <v>0</v>
      </c>
      <c r="P391" s="114"/>
      <c r="Q391">
        <v>0</v>
      </c>
      <c r="R391" s="16"/>
    </row>
    <row r="392" spans="1:18" ht="13.2">
      <c r="A392">
        <v>0</v>
      </c>
      <c r="H392" s="114"/>
      <c r="I392">
        <v>0</v>
      </c>
      <c r="P392" s="114"/>
      <c r="Q392">
        <v>0</v>
      </c>
      <c r="R392" s="16"/>
    </row>
    <row r="393" spans="1:18" ht="13.2">
      <c r="A393">
        <v>0</v>
      </c>
      <c r="H393" s="114"/>
      <c r="I393">
        <v>0</v>
      </c>
      <c r="P393" s="114"/>
      <c r="Q393">
        <v>0</v>
      </c>
      <c r="R393" s="16"/>
    </row>
    <row r="394" spans="1:18" ht="13.2">
      <c r="A394">
        <v>0</v>
      </c>
      <c r="H394" s="114"/>
      <c r="I394">
        <v>0</v>
      </c>
      <c r="P394" s="114"/>
      <c r="Q394">
        <v>0</v>
      </c>
      <c r="R394" s="16"/>
    </row>
    <row r="395" spans="1:18" ht="13.2">
      <c r="A395">
        <v>0</v>
      </c>
      <c r="H395" s="114"/>
      <c r="I395">
        <v>0</v>
      </c>
      <c r="P395" s="114"/>
      <c r="Q395">
        <v>0</v>
      </c>
      <c r="R395" s="16"/>
    </row>
    <row r="396" spans="1:18" ht="13.2">
      <c r="A396">
        <v>0</v>
      </c>
      <c r="H396" s="114"/>
      <c r="I396">
        <v>0</v>
      </c>
      <c r="P396" s="114"/>
      <c r="Q396">
        <v>0</v>
      </c>
      <c r="R396" s="16"/>
    </row>
    <row r="397" spans="1:18" ht="13.2">
      <c r="A397">
        <v>0</v>
      </c>
      <c r="H397" s="114"/>
      <c r="I397">
        <v>0</v>
      </c>
      <c r="P397" s="114"/>
      <c r="Q397">
        <v>0</v>
      </c>
      <c r="R397" s="16"/>
    </row>
    <row r="398" spans="1:18" ht="13.2">
      <c r="A398">
        <v>0</v>
      </c>
      <c r="H398" s="114"/>
      <c r="I398">
        <v>0</v>
      </c>
      <c r="P398" s="114"/>
      <c r="Q398">
        <v>0</v>
      </c>
      <c r="R398" s="16"/>
    </row>
    <row r="399" spans="1:18" ht="13.2">
      <c r="A399">
        <v>0</v>
      </c>
      <c r="H399" s="114"/>
      <c r="I399">
        <v>0</v>
      </c>
      <c r="P399" s="114"/>
      <c r="Q399">
        <v>0</v>
      </c>
      <c r="R399" s="16"/>
    </row>
    <row r="400" spans="1:18" ht="13.2">
      <c r="A400">
        <v>0</v>
      </c>
      <c r="H400" s="114"/>
      <c r="I400">
        <v>0</v>
      </c>
      <c r="P400" s="114"/>
      <c r="Q400">
        <v>0</v>
      </c>
      <c r="R400" s="16"/>
    </row>
    <row r="401" spans="1:18" ht="13.2">
      <c r="A401">
        <v>0</v>
      </c>
      <c r="H401" s="114"/>
      <c r="I401">
        <v>0</v>
      </c>
      <c r="P401" s="114"/>
      <c r="Q401">
        <v>0</v>
      </c>
      <c r="R401" s="16"/>
    </row>
    <row r="402" spans="1:18" ht="13.2">
      <c r="A402">
        <v>0</v>
      </c>
      <c r="H402" s="114"/>
      <c r="I402">
        <v>0</v>
      </c>
      <c r="P402" s="114"/>
      <c r="Q402">
        <v>0</v>
      </c>
      <c r="R402" s="16"/>
    </row>
    <row r="403" spans="1:18" ht="13.2">
      <c r="A403">
        <v>0</v>
      </c>
      <c r="H403" s="114"/>
      <c r="I403">
        <v>0</v>
      </c>
      <c r="P403" s="114"/>
      <c r="Q403">
        <v>0</v>
      </c>
      <c r="R403" s="16"/>
    </row>
    <row r="404" spans="1:18" ht="13.2">
      <c r="A404">
        <v>0</v>
      </c>
      <c r="H404" s="114"/>
      <c r="I404">
        <v>0</v>
      </c>
      <c r="P404" s="114"/>
      <c r="Q404">
        <v>0</v>
      </c>
      <c r="R404" s="16"/>
    </row>
    <row r="405" spans="1:18" ht="13.2">
      <c r="A405">
        <v>0</v>
      </c>
      <c r="H405" s="114"/>
      <c r="I405">
        <v>0</v>
      </c>
      <c r="P405" s="114"/>
      <c r="Q405">
        <v>0</v>
      </c>
      <c r="R405" s="16"/>
    </row>
    <row r="406" spans="1:18" ht="13.2">
      <c r="A406">
        <v>0</v>
      </c>
      <c r="H406" s="114"/>
      <c r="I406">
        <v>0</v>
      </c>
      <c r="P406" s="114"/>
      <c r="Q406">
        <v>0</v>
      </c>
      <c r="R406" s="16"/>
    </row>
    <row r="407" spans="1:18" ht="13.2">
      <c r="A407">
        <v>0</v>
      </c>
      <c r="H407" s="114"/>
      <c r="I407">
        <v>0</v>
      </c>
      <c r="P407" s="114"/>
      <c r="Q407">
        <v>0</v>
      </c>
      <c r="R407" s="16"/>
    </row>
    <row r="408" spans="1:18" ht="13.2">
      <c r="A408">
        <v>0</v>
      </c>
      <c r="H408" s="114"/>
      <c r="I408">
        <v>0</v>
      </c>
      <c r="P408" s="114"/>
      <c r="Q408">
        <v>0</v>
      </c>
      <c r="R408" s="16"/>
    </row>
    <row r="409" spans="1:18" ht="13.2">
      <c r="A409">
        <v>0</v>
      </c>
      <c r="H409" s="114"/>
      <c r="I409">
        <v>0</v>
      </c>
      <c r="P409" s="114"/>
      <c r="Q409">
        <v>0</v>
      </c>
      <c r="R409" s="16"/>
    </row>
    <row r="410" spans="1:18" ht="13.2">
      <c r="A410">
        <v>0</v>
      </c>
      <c r="H410" s="114"/>
      <c r="I410">
        <v>0</v>
      </c>
      <c r="P410" s="114"/>
      <c r="Q410">
        <v>0</v>
      </c>
      <c r="R410" s="16"/>
    </row>
    <row r="411" spans="1:18" ht="13.2">
      <c r="A411">
        <v>0</v>
      </c>
      <c r="H411" s="114"/>
      <c r="I411">
        <v>0</v>
      </c>
      <c r="P411" s="114"/>
      <c r="Q411">
        <v>0</v>
      </c>
      <c r="R411" s="16"/>
    </row>
    <row r="412" spans="1:18" ht="13.2">
      <c r="A412">
        <v>0</v>
      </c>
      <c r="H412" s="114"/>
      <c r="I412">
        <v>0</v>
      </c>
      <c r="P412" s="114"/>
      <c r="Q412">
        <v>0</v>
      </c>
      <c r="R412" s="16"/>
    </row>
    <row r="413" spans="1:18" ht="13.2">
      <c r="A413">
        <v>0</v>
      </c>
      <c r="H413" s="114"/>
      <c r="I413">
        <v>0</v>
      </c>
      <c r="P413" s="114"/>
      <c r="Q413">
        <v>0</v>
      </c>
      <c r="R413" s="16"/>
    </row>
    <row r="414" spans="1:18" ht="13.2">
      <c r="A414">
        <v>0</v>
      </c>
      <c r="H414" s="114"/>
      <c r="I414">
        <v>0</v>
      </c>
      <c r="P414" s="114"/>
      <c r="Q414">
        <v>0</v>
      </c>
      <c r="R414" s="16"/>
    </row>
    <row r="415" spans="1:18" ht="13.2">
      <c r="A415">
        <v>0</v>
      </c>
      <c r="H415" s="114"/>
      <c r="I415">
        <v>0</v>
      </c>
      <c r="P415" s="114"/>
      <c r="Q415">
        <v>0</v>
      </c>
      <c r="R415" s="16"/>
    </row>
    <row r="416" spans="1:18" ht="13.2">
      <c r="A416">
        <v>0</v>
      </c>
      <c r="H416" s="114"/>
      <c r="I416">
        <v>0</v>
      </c>
      <c r="P416" s="114"/>
      <c r="Q416">
        <v>0</v>
      </c>
      <c r="R416" s="16"/>
    </row>
    <row r="417" spans="1:18" ht="13.2">
      <c r="A417">
        <v>0</v>
      </c>
      <c r="H417" s="114"/>
      <c r="I417">
        <v>0</v>
      </c>
      <c r="P417" s="114"/>
      <c r="Q417">
        <v>0</v>
      </c>
      <c r="R417" s="16"/>
    </row>
    <row r="418" spans="1:18" ht="13.2">
      <c r="A418">
        <v>0</v>
      </c>
      <c r="H418" s="114"/>
      <c r="I418">
        <v>0</v>
      </c>
      <c r="P418" s="114"/>
      <c r="Q418">
        <v>0</v>
      </c>
      <c r="R418" s="16"/>
    </row>
    <row r="419" spans="1:18" ht="13.2">
      <c r="A419">
        <v>0</v>
      </c>
      <c r="H419" s="114"/>
      <c r="I419">
        <v>0</v>
      </c>
      <c r="P419" s="114"/>
      <c r="Q419">
        <v>0</v>
      </c>
      <c r="R419" s="16"/>
    </row>
    <row r="420" spans="1:18" ht="13.2">
      <c r="A420">
        <v>0</v>
      </c>
      <c r="H420" s="114"/>
      <c r="I420">
        <v>0</v>
      </c>
      <c r="P420" s="114"/>
      <c r="Q420">
        <v>0</v>
      </c>
      <c r="R420" s="16"/>
    </row>
    <row r="421" spans="1:18" ht="13.2">
      <c r="A421">
        <v>0</v>
      </c>
      <c r="H421" s="114"/>
      <c r="I421">
        <v>0</v>
      </c>
      <c r="P421" s="114"/>
      <c r="Q421">
        <v>0</v>
      </c>
      <c r="R421" s="16"/>
    </row>
    <row r="422" spans="1:18" ht="13.2">
      <c r="A422">
        <v>0</v>
      </c>
      <c r="H422" s="114"/>
      <c r="I422">
        <v>0</v>
      </c>
      <c r="P422" s="114"/>
      <c r="Q422">
        <v>0</v>
      </c>
      <c r="R422" s="16"/>
    </row>
    <row r="423" spans="1:18" ht="13.2">
      <c r="A423">
        <v>0</v>
      </c>
      <c r="H423" s="114"/>
      <c r="I423">
        <v>0</v>
      </c>
      <c r="P423" s="114"/>
      <c r="Q423">
        <v>0</v>
      </c>
      <c r="R423" s="16"/>
    </row>
    <row r="424" spans="1:18" ht="13.2">
      <c r="A424">
        <v>0</v>
      </c>
      <c r="H424" s="114"/>
      <c r="I424">
        <v>0</v>
      </c>
      <c r="P424" s="114"/>
      <c r="Q424">
        <v>0</v>
      </c>
      <c r="R424" s="16"/>
    </row>
    <row r="425" spans="1:18" ht="13.2">
      <c r="A425">
        <v>0</v>
      </c>
      <c r="H425" s="114"/>
      <c r="I425">
        <v>0</v>
      </c>
      <c r="P425" s="114"/>
      <c r="Q425">
        <v>0</v>
      </c>
      <c r="R425" s="16"/>
    </row>
    <row r="426" spans="1:18" ht="13.2">
      <c r="A426">
        <v>0</v>
      </c>
      <c r="H426" s="114"/>
      <c r="I426">
        <v>0</v>
      </c>
      <c r="P426" s="114"/>
      <c r="Q426">
        <v>0</v>
      </c>
      <c r="R426" s="16"/>
    </row>
    <row r="427" spans="1:18" ht="13.2">
      <c r="A427">
        <v>0</v>
      </c>
      <c r="H427" s="114"/>
      <c r="I427">
        <v>0</v>
      </c>
      <c r="P427" s="114"/>
      <c r="Q427">
        <v>0</v>
      </c>
      <c r="R427" s="16"/>
    </row>
    <row r="428" spans="1:18" ht="13.2">
      <c r="A428">
        <v>0</v>
      </c>
      <c r="H428" s="114"/>
      <c r="I428">
        <v>0</v>
      </c>
      <c r="P428" s="114"/>
      <c r="Q428">
        <v>0</v>
      </c>
      <c r="R428" s="16"/>
    </row>
    <row r="429" spans="1:18" ht="13.2">
      <c r="A429">
        <v>0</v>
      </c>
      <c r="H429" s="114"/>
      <c r="I429">
        <v>0</v>
      </c>
      <c r="P429" s="114"/>
      <c r="Q429">
        <v>0</v>
      </c>
      <c r="R429" s="16"/>
    </row>
    <row r="430" spans="1:18" ht="13.2">
      <c r="A430">
        <v>0</v>
      </c>
      <c r="H430" s="114"/>
      <c r="I430">
        <v>0</v>
      </c>
      <c r="P430" s="114"/>
      <c r="Q430">
        <v>0</v>
      </c>
      <c r="R430" s="16"/>
    </row>
    <row r="431" spans="1:18" ht="13.2">
      <c r="A431">
        <v>0</v>
      </c>
      <c r="H431" s="114"/>
      <c r="I431">
        <v>0</v>
      </c>
      <c r="P431" s="114"/>
      <c r="Q431">
        <v>0</v>
      </c>
      <c r="R431" s="16"/>
    </row>
    <row r="432" spans="1:18" ht="13.2">
      <c r="A432">
        <v>0</v>
      </c>
      <c r="H432" s="114"/>
      <c r="I432">
        <v>0</v>
      </c>
      <c r="P432" s="114"/>
      <c r="Q432">
        <v>0</v>
      </c>
      <c r="R432" s="16"/>
    </row>
    <row r="433" spans="1:18" ht="13.2">
      <c r="A433">
        <v>0</v>
      </c>
      <c r="H433" s="114"/>
      <c r="I433">
        <v>0</v>
      </c>
      <c r="P433" s="114"/>
      <c r="Q433">
        <v>0</v>
      </c>
      <c r="R433" s="16"/>
    </row>
    <row r="434" spans="1:18" ht="13.2">
      <c r="A434">
        <v>0</v>
      </c>
      <c r="H434" s="114"/>
      <c r="I434">
        <v>0</v>
      </c>
      <c r="P434" s="114"/>
      <c r="Q434">
        <v>0</v>
      </c>
      <c r="R434" s="16"/>
    </row>
    <row r="435" spans="1:18" ht="13.2">
      <c r="A435">
        <v>0</v>
      </c>
      <c r="H435" s="114"/>
      <c r="I435">
        <v>0</v>
      </c>
      <c r="P435" s="114"/>
      <c r="Q435">
        <v>0</v>
      </c>
      <c r="R435" s="16"/>
    </row>
    <row r="436" spans="1:18" ht="13.2">
      <c r="A436">
        <v>0</v>
      </c>
      <c r="H436" s="114"/>
      <c r="I436">
        <v>0</v>
      </c>
      <c r="P436" s="114"/>
      <c r="Q436">
        <v>0</v>
      </c>
      <c r="R436" s="16"/>
    </row>
    <row r="437" spans="1:18" ht="13.2">
      <c r="A437">
        <v>0</v>
      </c>
      <c r="H437" s="114"/>
      <c r="I437">
        <v>0</v>
      </c>
      <c r="P437" s="114"/>
      <c r="Q437">
        <v>0</v>
      </c>
      <c r="R437" s="16"/>
    </row>
    <row r="438" spans="1:18" ht="13.2">
      <c r="A438">
        <v>0</v>
      </c>
      <c r="H438" s="114"/>
      <c r="I438">
        <v>0</v>
      </c>
      <c r="P438" s="114"/>
      <c r="Q438">
        <v>0</v>
      </c>
      <c r="R438" s="16"/>
    </row>
    <row r="439" spans="1:18" ht="13.2">
      <c r="A439">
        <v>0</v>
      </c>
      <c r="H439" s="114"/>
      <c r="I439">
        <v>0</v>
      </c>
      <c r="P439" s="114"/>
      <c r="Q439">
        <v>0</v>
      </c>
      <c r="R439" s="16"/>
    </row>
    <row r="440" spans="1:18" ht="13.2">
      <c r="A440">
        <v>0</v>
      </c>
      <c r="H440" s="114"/>
      <c r="I440">
        <v>0</v>
      </c>
      <c r="P440" s="114"/>
      <c r="Q440">
        <v>0</v>
      </c>
      <c r="R440" s="16"/>
    </row>
    <row r="441" spans="1:18" ht="13.2">
      <c r="A441">
        <v>0</v>
      </c>
      <c r="H441" s="114"/>
      <c r="I441">
        <v>0</v>
      </c>
      <c r="P441" s="114"/>
      <c r="Q441">
        <v>0</v>
      </c>
      <c r="R441" s="16"/>
    </row>
    <row r="442" spans="1:18" ht="13.2">
      <c r="A442">
        <v>0</v>
      </c>
      <c r="H442" s="114"/>
      <c r="I442">
        <v>0</v>
      </c>
      <c r="P442" s="114"/>
      <c r="Q442">
        <v>0</v>
      </c>
      <c r="R442" s="16"/>
    </row>
    <row r="443" spans="1:18" ht="13.2">
      <c r="A443">
        <v>0</v>
      </c>
      <c r="H443" s="114"/>
      <c r="I443">
        <v>0</v>
      </c>
      <c r="P443" s="114"/>
      <c r="Q443">
        <v>0</v>
      </c>
      <c r="R443" s="16"/>
    </row>
    <row r="444" spans="1:18" ht="13.2">
      <c r="A444">
        <v>0</v>
      </c>
      <c r="H444" s="114"/>
      <c r="I444">
        <v>0</v>
      </c>
      <c r="P444" s="114"/>
      <c r="Q444">
        <v>0</v>
      </c>
      <c r="R444" s="16"/>
    </row>
    <row r="445" spans="1:18" ht="13.2">
      <c r="A445">
        <v>0</v>
      </c>
      <c r="H445" s="114"/>
      <c r="I445">
        <v>0</v>
      </c>
      <c r="P445" s="114"/>
      <c r="Q445">
        <v>0</v>
      </c>
      <c r="R445" s="16"/>
    </row>
    <row r="446" spans="1:18" ht="13.2">
      <c r="A446">
        <v>0</v>
      </c>
      <c r="H446" s="114"/>
      <c r="I446">
        <v>0</v>
      </c>
      <c r="P446" s="114"/>
      <c r="Q446">
        <v>0</v>
      </c>
      <c r="R446" s="16"/>
    </row>
    <row r="447" spans="1:18" ht="13.2">
      <c r="A447">
        <v>0</v>
      </c>
      <c r="H447" s="114"/>
      <c r="I447">
        <v>0</v>
      </c>
      <c r="P447" s="114"/>
      <c r="Q447">
        <v>0</v>
      </c>
      <c r="R447" s="16"/>
    </row>
    <row r="448" spans="1:18" ht="13.2">
      <c r="A448">
        <v>0</v>
      </c>
      <c r="H448" s="114"/>
      <c r="I448">
        <v>0</v>
      </c>
      <c r="P448" s="114"/>
      <c r="Q448">
        <v>0</v>
      </c>
      <c r="R448" s="16"/>
    </row>
    <row r="449" spans="1:18" ht="13.2">
      <c r="A449">
        <v>0</v>
      </c>
      <c r="H449" s="114"/>
      <c r="I449">
        <v>0</v>
      </c>
      <c r="P449" s="114"/>
      <c r="Q449">
        <v>0</v>
      </c>
      <c r="R449" s="16"/>
    </row>
    <row r="450" spans="1:18" ht="13.2">
      <c r="A450">
        <v>0</v>
      </c>
      <c r="H450" s="114"/>
      <c r="I450">
        <v>0</v>
      </c>
      <c r="P450" s="114"/>
      <c r="Q450">
        <v>0</v>
      </c>
      <c r="R450" s="16"/>
    </row>
    <row r="451" spans="1:18" ht="13.2">
      <c r="A451">
        <v>0</v>
      </c>
      <c r="H451" s="114"/>
      <c r="I451">
        <v>0</v>
      </c>
      <c r="P451" s="114"/>
      <c r="Q451">
        <v>0</v>
      </c>
      <c r="R451" s="16"/>
    </row>
    <row r="452" spans="1:18" ht="13.2">
      <c r="A452">
        <v>0</v>
      </c>
      <c r="H452" s="114"/>
      <c r="I452">
        <v>0</v>
      </c>
      <c r="P452" s="114"/>
      <c r="Q452">
        <v>0</v>
      </c>
      <c r="R452" s="16"/>
    </row>
    <row r="453" spans="1:18" ht="13.2">
      <c r="A453">
        <v>0</v>
      </c>
      <c r="H453" s="114"/>
      <c r="I453">
        <v>0</v>
      </c>
      <c r="P453" s="114"/>
      <c r="Q453">
        <v>0</v>
      </c>
      <c r="R453" s="16"/>
    </row>
    <row r="454" spans="1:18" ht="13.2">
      <c r="A454">
        <v>0</v>
      </c>
      <c r="H454" s="114"/>
      <c r="I454">
        <v>0</v>
      </c>
      <c r="P454" s="114"/>
      <c r="Q454">
        <v>0</v>
      </c>
      <c r="R454" s="16"/>
    </row>
    <row r="455" spans="1:18" ht="13.2">
      <c r="A455">
        <v>0</v>
      </c>
      <c r="H455" s="114"/>
      <c r="I455">
        <v>0</v>
      </c>
      <c r="P455" s="114"/>
      <c r="Q455">
        <v>0</v>
      </c>
      <c r="R455" s="16"/>
    </row>
    <row r="456" spans="1:18" ht="13.2">
      <c r="A456">
        <v>0</v>
      </c>
      <c r="H456" s="114"/>
      <c r="I456">
        <v>0</v>
      </c>
      <c r="P456" s="114"/>
      <c r="Q456">
        <v>0</v>
      </c>
      <c r="R456" s="16"/>
    </row>
    <row r="457" spans="1:18" ht="13.2">
      <c r="A457">
        <v>0</v>
      </c>
      <c r="H457" s="114"/>
      <c r="I457">
        <v>0</v>
      </c>
      <c r="P457" s="114"/>
      <c r="Q457">
        <v>0</v>
      </c>
      <c r="R457" s="16"/>
    </row>
    <row r="458" spans="1:18" ht="13.2">
      <c r="A458">
        <v>0</v>
      </c>
      <c r="H458" s="114"/>
      <c r="I458">
        <v>0</v>
      </c>
      <c r="P458" s="114"/>
      <c r="Q458">
        <v>0</v>
      </c>
      <c r="R458" s="16"/>
    </row>
    <row r="459" spans="1:18" ht="13.2">
      <c r="A459">
        <v>0</v>
      </c>
      <c r="H459" s="114"/>
      <c r="I459">
        <v>0</v>
      </c>
      <c r="P459" s="114"/>
      <c r="Q459">
        <v>0</v>
      </c>
      <c r="R459" s="16"/>
    </row>
    <row r="460" spans="1:18" ht="13.2">
      <c r="A460">
        <v>0</v>
      </c>
      <c r="H460" s="114"/>
      <c r="I460">
        <v>0</v>
      </c>
      <c r="P460" s="114"/>
      <c r="Q460">
        <v>0</v>
      </c>
      <c r="R460" s="16"/>
    </row>
    <row r="461" spans="1:18" ht="13.2">
      <c r="A461">
        <v>0</v>
      </c>
      <c r="H461" s="114"/>
      <c r="I461">
        <v>0</v>
      </c>
      <c r="P461" s="114"/>
      <c r="Q461">
        <v>0</v>
      </c>
      <c r="R461" s="16"/>
    </row>
    <row r="462" spans="1:18" ht="13.2">
      <c r="A462">
        <v>0</v>
      </c>
      <c r="H462" s="114"/>
      <c r="I462">
        <v>0</v>
      </c>
      <c r="P462" s="114"/>
      <c r="Q462">
        <v>0</v>
      </c>
      <c r="R462" s="16"/>
    </row>
    <row r="463" spans="1:18" ht="13.2">
      <c r="A463">
        <v>0</v>
      </c>
      <c r="H463" s="114"/>
      <c r="I463">
        <v>0</v>
      </c>
      <c r="P463" s="114"/>
      <c r="Q463">
        <v>0</v>
      </c>
      <c r="R463" s="16"/>
    </row>
    <row r="464" spans="1:18" ht="13.2">
      <c r="A464">
        <v>0</v>
      </c>
      <c r="H464" s="114"/>
      <c r="I464">
        <v>0</v>
      </c>
      <c r="P464" s="114"/>
      <c r="Q464">
        <v>0</v>
      </c>
      <c r="R464" s="16"/>
    </row>
    <row r="465" spans="1:18" ht="13.2">
      <c r="A465">
        <v>0</v>
      </c>
      <c r="H465" s="114"/>
      <c r="I465">
        <v>0</v>
      </c>
      <c r="P465" s="114"/>
      <c r="Q465">
        <v>0</v>
      </c>
      <c r="R465" s="16"/>
    </row>
    <row r="466" spans="1:18" ht="13.2">
      <c r="A466">
        <v>0</v>
      </c>
      <c r="H466" s="114"/>
      <c r="I466">
        <v>0</v>
      </c>
      <c r="P466" s="114"/>
      <c r="Q466">
        <v>0</v>
      </c>
      <c r="R466" s="16"/>
    </row>
    <row r="467" spans="1:18" ht="13.2">
      <c r="A467">
        <v>0</v>
      </c>
      <c r="H467" s="114"/>
      <c r="I467">
        <v>0</v>
      </c>
      <c r="P467" s="114"/>
      <c r="Q467">
        <v>0</v>
      </c>
      <c r="R467" s="16"/>
    </row>
    <row r="468" spans="1:18" ht="13.2">
      <c r="A468">
        <v>0</v>
      </c>
      <c r="H468" s="114"/>
      <c r="I468">
        <v>0</v>
      </c>
      <c r="P468" s="114"/>
      <c r="Q468">
        <v>0</v>
      </c>
      <c r="R468" s="16"/>
    </row>
    <row r="469" spans="1:18" ht="13.2">
      <c r="A469">
        <v>0</v>
      </c>
      <c r="H469" s="114"/>
      <c r="I469">
        <v>0</v>
      </c>
      <c r="P469" s="114"/>
      <c r="Q469">
        <v>0</v>
      </c>
      <c r="R469" s="16"/>
    </row>
    <row r="470" spans="1:18" ht="13.2">
      <c r="A470">
        <v>0</v>
      </c>
      <c r="H470" s="114"/>
      <c r="I470">
        <v>0</v>
      </c>
      <c r="P470" s="114"/>
      <c r="Q470">
        <v>0</v>
      </c>
      <c r="R470" s="16"/>
    </row>
    <row r="471" spans="1:18" ht="13.2">
      <c r="A471">
        <v>0</v>
      </c>
      <c r="H471" s="114"/>
      <c r="I471">
        <v>0</v>
      </c>
      <c r="P471" s="114"/>
      <c r="Q471">
        <v>0</v>
      </c>
      <c r="R471" s="16"/>
    </row>
    <row r="472" spans="1:18" ht="13.2">
      <c r="A472">
        <v>0</v>
      </c>
      <c r="H472" s="114"/>
      <c r="I472">
        <v>0</v>
      </c>
      <c r="P472" s="114"/>
      <c r="Q472">
        <v>0</v>
      </c>
      <c r="R472" s="16"/>
    </row>
    <row r="473" spans="1:18" ht="13.2">
      <c r="A473">
        <v>0</v>
      </c>
      <c r="H473" s="114"/>
      <c r="I473">
        <v>0</v>
      </c>
      <c r="P473" s="114"/>
      <c r="Q473">
        <v>0</v>
      </c>
      <c r="R473" s="16"/>
    </row>
    <row r="474" spans="1:18" ht="13.2">
      <c r="A474">
        <v>0</v>
      </c>
      <c r="H474" s="114"/>
      <c r="I474">
        <v>0</v>
      </c>
      <c r="P474" s="114"/>
      <c r="Q474">
        <v>0</v>
      </c>
      <c r="R474" s="16"/>
    </row>
    <row r="475" spans="1:18" ht="13.2">
      <c r="A475">
        <v>0</v>
      </c>
      <c r="H475" s="114"/>
      <c r="I475">
        <v>0</v>
      </c>
      <c r="P475" s="114"/>
      <c r="Q475">
        <v>0</v>
      </c>
      <c r="R475" s="16"/>
    </row>
    <row r="476" spans="1:18" ht="13.2">
      <c r="A476">
        <v>0</v>
      </c>
      <c r="H476" s="114"/>
      <c r="I476">
        <v>0</v>
      </c>
      <c r="P476" s="114"/>
      <c r="Q476">
        <v>0</v>
      </c>
      <c r="R476" s="16"/>
    </row>
    <row r="477" spans="1:18" ht="13.2">
      <c r="A477">
        <v>0</v>
      </c>
      <c r="H477" s="114"/>
      <c r="I477">
        <v>0</v>
      </c>
      <c r="P477" s="114"/>
      <c r="Q477">
        <v>0</v>
      </c>
      <c r="R477" s="16"/>
    </row>
    <row r="478" spans="1:18" ht="13.2">
      <c r="A478">
        <v>0</v>
      </c>
      <c r="H478" s="114"/>
      <c r="I478">
        <v>0</v>
      </c>
      <c r="P478" s="114"/>
      <c r="Q478">
        <v>0</v>
      </c>
      <c r="R478" s="16"/>
    </row>
    <row r="479" spans="1:18" ht="13.2">
      <c r="A479">
        <v>0</v>
      </c>
      <c r="H479" s="114"/>
      <c r="I479">
        <v>0</v>
      </c>
      <c r="P479" s="114"/>
      <c r="Q479">
        <v>0</v>
      </c>
      <c r="R479" s="16"/>
    </row>
    <row r="480" spans="1:18" ht="13.2">
      <c r="A480">
        <v>0</v>
      </c>
      <c r="H480" s="114"/>
      <c r="I480">
        <v>0</v>
      </c>
      <c r="P480" s="114"/>
      <c r="Q480">
        <v>0</v>
      </c>
      <c r="R480" s="16"/>
    </row>
    <row r="481" spans="1:18" ht="13.2">
      <c r="A481">
        <v>0</v>
      </c>
      <c r="H481" s="114"/>
      <c r="I481">
        <v>0</v>
      </c>
      <c r="P481" s="114"/>
      <c r="Q481">
        <v>0</v>
      </c>
      <c r="R481" s="16"/>
    </row>
    <row r="482" spans="1:18" ht="13.2">
      <c r="A482">
        <v>0</v>
      </c>
      <c r="H482" s="114"/>
      <c r="I482">
        <v>0</v>
      </c>
      <c r="P482" s="114"/>
      <c r="Q482">
        <v>0</v>
      </c>
      <c r="R482" s="16"/>
    </row>
    <row r="483" spans="1:18" ht="13.2">
      <c r="A483">
        <v>0</v>
      </c>
      <c r="H483" s="114"/>
      <c r="I483">
        <v>0</v>
      </c>
      <c r="P483" s="114"/>
      <c r="Q483">
        <v>0</v>
      </c>
      <c r="R483" s="16"/>
    </row>
    <row r="484" spans="1:18" ht="13.2">
      <c r="A484">
        <v>0</v>
      </c>
      <c r="H484" s="114"/>
      <c r="I484">
        <v>0</v>
      </c>
      <c r="P484" s="114"/>
      <c r="Q484">
        <v>0</v>
      </c>
      <c r="R484" s="16"/>
    </row>
    <row r="485" spans="1:18" ht="13.2">
      <c r="A485">
        <v>0</v>
      </c>
      <c r="H485" s="114"/>
      <c r="I485">
        <v>0</v>
      </c>
      <c r="P485" s="114"/>
      <c r="Q485">
        <v>0</v>
      </c>
      <c r="R485" s="16"/>
    </row>
    <row r="486" spans="1:18" ht="13.2">
      <c r="A486">
        <v>0</v>
      </c>
      <c r="H486" s="114"/>
      <c r="I486">
        <v>0</v>
      </c>
      <c r="P486" s="114"/>
      <c r="Q486">
        <v>0</v>
      </c>
      <c r="R486" s="16"/>
    </row>
    <row r="487" spans="1:18" ht="13.2">
      <c r="A487">
        <v>0</v>
      </c>
      <c r="H487" s="114"/>
      <c r="I487">
        <v>0</v>
      </c>
      <c r="P487" s="114"/>
      <c r="Q487">
        <v>0</v>
      </c>
      <c r="R487" s="16"/>
    </row>
    <row r="488" spans="1:18" ht="13.2">
      <c r="A488">
        <v>0</v>
      </c>
      <c r="H488" s="114"/>
      <c r="I488">
        <v>0</v>
      </c>
      <c r="P488" s="114"/>
      <c r="Q488">
        <v>0</v>
      </c>
      <c r="R488" s="16"/>
    </row>
    <row r="489" spans="1:18" ht="13.2">
      <c r="A489">
        <v>0</v>
      </c>
      <c r="H489" s="114"/>
      <c r="I489">
        <v>0</v>
      </c>
      <c r="P489" s="114"/>
      <c r="Q489">
        <v>0</v>
      </c>
      <c r="R489" s="16"/>
    </row>
    <row r="490" spans="1:18" ht="13.2">
      <c r="A490">
        <v>0</v>
      </c>
      <c r="H490" s="114"/>
      <c r="I490">
        <v>0</v>
      </c>
      <c r="P490" s="114"/>
      <c r="Q490">
        <v>0</v>
      </c>
      <c r="R490" s="16"/>
    </row>
    <row r="491" spans="1:18" ht="13.2">
      <c r="A491">
        <v>0</v>
      </c>
      <c r="H491" s="114"/>
      <c r="I491">
        <v>0</v>
      </c>
      <c r="P491" s="114"/>
      <c r="Q491">
        <v>0</v>
      </c>
      <c r="R491" s="16"/>
    </row>
    <row r="492" spans="1:18" ht="13.2">
      <c r="A492">
        <v>0</v>
      </c>
      <c r="H492" s="114"/>
      <c r="I492">
        <v>0</v>
      </c>
      <c r="P492" s="114"/>
      <c r="Q492">
        <v>0</v>
      </c>
      <c r="R492" s="16"/>
    </row>
    <row r="493" spans="1:18" ht="13.2">
      <c r="A493">
        <v>0</v>
      </c>
      <c r="H493" s="114"/>
      <c r="I493">
        <v>0</v>
      </c>
      <c r="P493" s="114"/>
      <c r="Q493">
        <v>0</v>
      </c>
      <c r="R493" s="16"/>
    </row>
    <row r="494" spans="1:18" ht="13.2">
      <c r="A494">
        <v>0</v>
      </c>
      <c r="H494" s="114"/>
      <c r="I494">
        <v>0</v>
      </c>
      <c r="P494" s="114"/>
      <c r="Q494">
        <v>0</v>
      </c>
      <c r="R494" s="16"/>
    </row>
    <row r="495" spans="1:18" ht="13.2">
      <c r="A495">
        <v>0</v>
      </c>
      <c r="H495" s="114"/>
      <c r="I495">
        <v>0</v>
      </c>
      <c r="P495" s="114"/>
      <c r="Q495">
        <v>0</v>
      </c>
      <c r="R495" s="16"/>
    </row>
    <row r="496" spans="1:18" ht="13.2">
      <c r="A496">
        <v>0</v>
      </c>
      <c r="H496" s="114"/>
      <c r="I496">
        <v>0</v>
      </c>
      <c r="P496" s="114"/>
      <c r="Q496">
        <v>0</v>
      </c>
      <c r="R496" s="16"/>
    </row>
    <row r="497" spans="1:18" ht="13.2">
      <c r="A497">
        <v>0</v>
      </c>
      <c r="H497" s="114"/>
      <c r="I497">
        <v>0</v>
      </c>
      <c r="P497" s="114"/>
      <c r="Q497">
        <v>0</v>
      </c>
      <c r="R497" s="16"/>
    </row>
    <row r="498" spans="1:18" ht="13.2">
      <c r="A498">
        <v>0</v>
      </c>
      <c r="H498" s="114"/>
      <c r="I498">
        <v>0</v>
      </c>
      <c r="P498" s="114"/>
      <c r="Q498">
        <v>0</v>
      </c>
      <c r="R498" s="16"/>
    </row>
    <row r="499" spans="1:18" ht="13.2">
      <c r="A499">
        <v>0</v>
      </c>
      <c r="H499" s="114"/>
      <c r="I499">
        <v>0</v>
      </c>
      <c r="P499" s="114"/>
      <c r="Q499">
        <v>0</v>
      </c>
      <c r="R499" s="16"/>
    </row>
    <row r="500" spans="1:18" ht="13.2">
      <c r="A500">
        <v>0</v>
      </c>
      <c r="H500" s="114"/>
      <c r="I500">
        <v>0</v>
      </c>
      <c r="P500" s="114"/>
      <c r="Q500">
        <v>0</v>
      </c>
      <c r="R500" s="16"/>
    </row>
    <row r="501" spans="1:18" ht="13.2">
      <c r="A501">
        <v>0</v>
      </c>
      <c r="H501" s="114"/>
      <c r="I501">
        <v>0</v>
      </c>
      <c r="P501" s="114"/>
      <c r="Q501">
        <v>0</v>
      </c>
      <c r="R501" s="16"/>
    </row>
    <row r="502" spans="1:18" ht="13.2">
      <c r="A502">
        <v>0</v>
      </c>
      <c r="H502" s="114"/>
      <c r="I502">
        <v>0</v>
      </c>
      <c r="P502" s="114"/>
      <c r="Q502">
        <v>0</v>
      </c>
      <c r="R502" s="16"/>
    </row>
    <row r="503" spans="1:18" ht="13.2">
      <c r="A503">
        <v>0</v>
      </c>
      <c r="H503" s="114"/>
      <c r="I503">
        <v>0</v>
      </c>
      <c r="P503" s="114"/>
      <c r="Q503">
        <v>0</v>
      </c>
      <c r="R503" s="16"/>
    </row>
    <row r="504" spans="1:18" ht="13.2">
      <c r="A504">
        <v>0</v>
      </c>
      <c r="H504" s="114"/>
      <c r="I504">
        <v>0</v>
      </c>
      <c r="P504" s="114"/>
      <c r="Q504">
        <v>0</v>
      </c>
      <c r="R504" s="16"/>
    </row>
    <row r="505" spans="1:18" ht="13.2">
      <c r="A505">
        <v>0</v>
      </c>
      <c r="H505" s="114"/>
      <c r="I505">
        <v>0</v>
      </c>
      <c r="P505" s="114"/>
      <c r="Q505">
        <v>0</v>
      </c>
      <c r="R505" s="16"/>
    </row>
    <row r="506" spans="1:18" ht="13.2">
      <c r="A506">
        <v>0</v>
      </c>
      <c r="H506" s="114"/>
      <c r="I506">
        <v>0</v>
      </c>
      <c r="P506" s="114"/>
      <c r="Q506">
        <v>0</v>
      </c>
      <c r="R506" s="16"/>
    </row>
    <row r="507" spans="1:18" ht="13.2">
      <c r="A507">
        <v>0</v>
      </c>
      <c r="H507" s="114"/>
      <c r="I507">
        <v>0</v>
      </c>
      <c r="P507" s="114"/>
      <c r="Q507">
        <v>0</v>
      </c>
      <c r="R507" s="16"/>
    </row>
    <row r="508" spans="1:18" ht="13.2">
      <c r="A508">
        <v>0</v>
      </c>
      <c r="H508" s="114"/>
      <c r="I508">
        <v>0</v>
      </c>
      <c r="P508" s="114"/>
      <c r="Q508">
        <v>0</v>
      </c>
      <c r="R508" s="16"/>
    </row>
    <row r="509" spans="1:18" ht="13.2">
      <c r="A509">
        <v>0</v>
      </c>
      <c r="H509" s="114"/>
      <c r="I509">
        <v>0</v>
      </c>
      <c r="P509" s="114"/>
      <c r="Q509">
        <v>0</v>
      </c>
      <c r="R509" s="16"/>
    </row>
    <row r="510" spans="1:18" ht="13.2">
      <c r="A510">
        <v>0</v>
      </c>
      <c r="H510" s="114"/>
      <c r="I510">
        <v>0</v>
      </c>
      <c r="P510" s="114"/>
      <c r="Q510">
        <v>0</v>
      </c>
      <c r="R510" s="16"/>
    </row>
    <row r="511" spans="1:18" ht="13.2">
      <c r="A511">
        <v>0</v>
      </c>
      <c r="H511" s="114"/>
      <c r="I511">
        <v>0</v>
      </c>
      <c r="P511" s="114"/>
      <c r="Q511">
        <v>0</v>
      </c>
      <c r="R511" s="16"/>
    </row>
    <row r="512" spans="1:18" ht="13.2">
      <c r="A512">
        <v>0</v>
      </c>
      <c r="H512" s="114"/>
      <c r="I512">
        <v>0</v>
      </c>
      <c r="P512" s="114"/>
      <c r="Q512">
        <v>0</v>
      </c>
      <c r="R512" s="16"/>
    </row>
    <row r="513" spans="1:18" ht="13.2">
      <c r="A513">
        <v>0</v>
      </c>
      <c r="H513" s="114"/>
      <c r="I513">
        <v>0</v>
      </c>
      <c r="P513" s="114"/>
      <c r="Q513">
        <v>0</v>
      </c>
      <c r="R513" s="16"/>
    </row>
    <row r="514" spans="1:18" ht="13.2">
      <c r="A514">
        <v>0</v>
      </c>
      <c r="H514" s="114"/>
      <c r="I514">
        <v>0</v>
      </c>
      <c r="P514" s="114"/>
      <c r="Q514">
        <v>0</v>
      </c>
      <c r="R514" s="16"/>
    </row>
    <row r="515" spans="1:18" ht="13.2">
      <c r="A515">
        <v>0</v>
      </c>
      <c r="H515" s="114"/>
      <c r="I515">
        <v>0</v>
      </c>
      <c r="P515" s="114"/>
      <c r="Q515">
        <v>0</v>
      </c>
      <c r="R515" s="16"/>
    </row>
    <row r="516" spans="1:18" ht="13.2">
      <c r="A516">
        <v>0</v>
      </c>
      <c r="H516" s="114"/>
      <c r="I516">
        <v>0</v>
      </c>
      <c r="P516" s="114"/>
      <c r="Q516">
        <v>0</v>
      </c>
      <c r="R516" s="16"/>
    </row>
    <row r="517" spans="1:18" ht="13.2">
      <c r="A517">
        <v>0</v>
      </c>
      <c r="H517" s="114"/>
      <c r="I517">
        <v>0</v>
      </c>
      <c r="P517" s="114"/>
      <c r="Q517">
        <v>0</v>
      </c>
      <c r="R517" s="16"/>
    </row>
    <row r="518" spans="1:18" ht="13.2">
      <c r="A518">
        <v>0</v>
      </c>
      <c r="H518" s="114"/>
      <c r="I518">
        <v>0</v>
      </c>
      <c r="P518" s="114"/>
      <c r="Q518">
        <v>0</v>
      </c>
      <c r="R518" s="16"/>
    </row>
    <row r="519" spans="1:18" ht="13.2">
      <c r="A519">
        <v>0</v>
      </c>
      <c r="H519" s="114"/>
      <c r="I519">
        <v>0</v>
      </c>
      <c r="P519" s="114"/>
      <c r="Q519">
        <v>0</v>
      </c>
      <c r="R519" s="16"/>
    </row>
    <row r="520" spans="1:18" ht="13.2">
      <c r="A520">
        <v>0</v>
      </c>
      <c r="H520" s="114"/>
      <c r="I520">
        <v>0</v>
      </c>
      <c r="P520" s="114"/>
      <c r="Q520">
        <v>0</v>
      </c>
      <c r="R520" s="16"/>
    </row>
    <row r="521" spans="1:18" ht="13.2">
      <c r="A521">
        <v>0</v>
      </c>
      <c r="H521" s="114"/>
      <c r="I521">
        <v>0</v>
      </c>
      <c r="P521" s="114"/>
      <c r="Q521">
        <v>0</v>
      </c>
      <c r="R521" s="16"/>
    </row>
    <row r="522" spans="1:18" ht="13.2">
      <c r="A522">
        <v>0</v>
      </c>
      <c r="H522" s="114"/>
      <c r="I522">
        <v>0</v>
      </c>
      <c r="P522" s="114"/>
      <c r="Q522">
        <v>0</v>
      </c>
      <c r="R522" s="16"/>
    </row>
    <row r="523" spans="1:18" ht="13.2">
      <c r="A523">
        <v>0</v>
      </c>
      <c r="H523" s="114"/>
      <c r="I523">
        <v>0</v>
      </c>
      <c r="P523" s="114"/>
      <c r="Q523">
        <v>0</v>
      </c>
      <c r="R523" s="16"/>
    </row>
    <row r="524" spans="1:18" ht="13.2">
      <c r="A524">
        <v>0</v>
      </c>
      <c r="H524" s="114"/>
      <c r="I524">
        <v>0</v>
      </c>
      <c r="P524" s="114"/>
      <c r="Q524">
        <v>0</v>
      </c>
      <c r="R524" s="16"/>
    </row>
    <row r="525" spans="1:18" ht="13.2">
      <c r="A525">
        <v>0</v>
      </c>
      <c r="H525" s="114"/>
      <c r="I525">
        <v>0</v>
      </c>
      <c r="P525" s="114"/>
      <c r="Q525">
        <v>0</v>
      </c>
      <c r="R525" s="16"/>
    </row>
    <row r="526" spans="1:18" ht="13.2">
      <c r="A526">
        <v>0</v>
      </c>
      <c r="H526" s="114"/>
      <c r="I526">
        <v>0</v>
      </c>
      <c r="P526" s="114"/>
      <c r="Q526">
        <v>0</v>
      </c>
      <c r="R526" s="16"/>
    </row>
    <row r="527" spans="1:18" ht="13.2">
      <c r="A527">
        <v>0</v>
      </c>
      <c r="H527" s="114"/>
      <c r="I527">
        <v>0</v>
      </c>
      <c r="P527" s="114"/>
      <c r="Q527">
        <v>0</v>
      </c>
      <c r="R527" s="16"/>
    </row>
    <row r="528" spans="1:18" ht="13.2">
      <c r="A528">
        <v>0</v>
      </c>
      <c r="H528" s="114"/>
      <c r="I528">
        <v>0</v>
      </c>
      <c r="P528" s="114"/>
      <c r="Q528">
        <v>0</v>
      </c>
      <c r="R528" s="16"/>
    </row>
    <row r="529" spans="1:18" ht="13.2">
      <c r="A529">
        <v>0</v>
      </c>
      <c r="H529" s="114"/>
      <c r="I529">
        <v>0</v>
      </c>
      <c r="P529" s="114"/>
      <c r="Q529">
        <v>0</v>
      </c>
      <c r="R529" s="16"/>
    </row>
    <row r="530" spans="1:18" ht="13.2">
      <c r="A530">
        <v>0</v>
      </c>
      <c r="H530" s="114"/>
      <c r="I530">
        <v>0</v>
      </c>
      <c r="P530" s="114"/>
      <c r="Q530">
        <v>0</v>
      </c>
      <c r="R530" s="16"/>
    </row>
    <row r="531" spans="1:18" ht="13.2">
      <c r="A531">
        <v>0</v>
      </c>
      <c r="H531" s="114"/>
      <c r="I531">
        <v>0</v>
      </c>
      <c r="P531" s="114"/>
      <c r="Q531">
        <v>0</v>
      </c>
      <c r="R531" s="16"/>
    </row>
    <row r="532" spans="1:18" ht="13.2">
      <c r="A532">
        <v>0</v>
      </c>
      <c r="H532" s="114"/>
      <c r="I532">
        <v>0</v>
      </c>
      <c r="P532" s="114"/>
      <c r="Q532">
        <v>0</v>
      </c>
      <c r="R532" s="16"/>
    </row>
    <row r="533" spans="1:18" ht="13.2">
      <c r="A533">
        <v>0</v>
      </c>
      <c r="H533" s="114"/>
      <c r="I533">
        <v>0</v>
      </c>
      <c r="P533" s="114"/>
      <c r="Q533">
        <v>0</v>
      </c>
      <c r="R533" s="16"/>
    </row>
    <row r="534" spans="1:18" ht="13.2">
      <c r="A534">
        <v>0</v>
      </c>
      <c r="H534" s="114"/>
      <c r="I534">
        <v>0</v>
      </c>
      <c r="P534" s="114"/>
      <c r="Q534">
        <v>0</v>
      </c>
      <c r="R534" s="16"/>
    </row>
    <row r="535" spans="1:18" ht="13.2">
      <c r="A535">
        <v>0</v>
      </c>
      <c r="H535" s="114"/>
      <c r="I535">
        <v>0</v>
      </c>
      <c r="P535" s="114"/>
      <c r="Q535">
        <v>0</v>
      </c>
      <c r="R535" s="16"/>
    </row>
    <row r="536" spans="1:18" ht="13.2">
      <c r="A536">
        <v>0</v>
      </c>
      <c r="H536" s="114"/>
      <c r="I536">
        <v>0</v>
      </c>
      <c r="P536" s="114"/>
      <c r="Q536">
        <v>0</v>
      </c>
      <c r="R536" s="16"/>
    </row>
    <row r="537" spans="1:18" ht="13.2">
      <c r="A537">
        <v>0</v>
      </c>
      <c r="H537" s="114"/>
      <c r="I537">
        <v>0</v>
      </c>
      <c r="P537" s="114"/>
      <c r="Q537">
        <v>0</v>
      </c>
      <c r="R537" s="16"/>
    </row>
    <row r="538" spans="1:18" ht="13.2">
      <c r="A538">
        <v>0</v>
      </c>
      <c r="H538" s="114"/>
      <c r="I538">
        <v>0</v>
      </c>
      <c r="P538" s="114"/>
      <c r="Q538">
        <v>0</v>
      </c>
      <c r="R538" s="16"/>
    </row>
    <row r="539" spans="1:18" ht="13.2">
      <c r="A539">
        <v>0</v>
      </c>
      <c r="H539" s="114"/>
      <c r="I539">
        <v>0</v>
      </c>
      <c r="P539" s="114"/>
      <c r="Q539">
        <v>0</v>
      </c>
      <c r="R539" s="16"/>
    </row>
    <row r="540" spans="1:18" ht="13.2">
      <c r="A540">
        <v>0</v>
      </c>
      <c r="H540" s="114"/>
      <c r="I540">
        <v>0</v>
      </c>
      <c r="P540" s="114"/>
      <c r="Q540">
        <v>0</v>
      </c>
      <c r="R540" s="16"/>
    </row>
    <row r="541" spans="1:18" ht="13.2">
      <c r="A541">
        <v>0</v>
      </c>
      <c r="H541" s="114"/>
      <c r="I541">
        <v>0</v>
      </c>
      <c r="P541" s="114"/>
      <c r="Q541">
        <v>0</v>
      </c>
      <c r="R541" s="16"/>
    </row>
    <row r="542" spans="1:18" ht="13.2">
      <c r="A542">
        <v>0</v>
      </c>
      <c r="H542" s="114"/>
      <c r="I542">
        <v>0</v>
      </c>
      <c r="P542" s="114"/>
      <c r="Q542">
        <v>0</v>
      </c>
      <c r="R542" s="16"/>
    </row>
    <row r="543" spans="1:18" ht="13.2">
      <c r="A543">
        <v>0</v>
      </c>
      <c r="H543" s="114"/>
      <c r="I543">
        <v>0</v>
      </c>
      <c r="P543" s="114"/>
      <c r="Q543">
        <v>0</v>
      </c>
      <c r="R543" s="16"/>
    </row>
    <row r="544" spans="1:18" ht="13.2">
      <c r="A544">
        <v>0</v>
      </c>
      <c r="H544" s="114"/>
      <c r="I544">
        <v>0</v>
      </c>
      <c r="P544" s="114"/>
      <c r="Q544">
        <v>0</v>
      </c>
      <c r="R544" s="16"/>
    </row>
    <row r="545" spans="1:18" ht="13.2">
      <c r="A545">
        <v>0</v>
      </c>
      <c r="H545" s="114"/>
      <c r="I545">
        <v>0</v>
      </c>
      <c r="P545" s="114"/>
      <c r="Q545">
        <v>0</v>
      </c>
      <c r="R545" s="16"/>
    </row>
    <row r="546" spans="1:18" ht="13.2">
      <c r="A546">
        <v>0</v>
      </c>
      <c r="H546" s="114"/>
      <c r="I546">
        <v>0</v>
      </c>
      <c r="P546" s="114"/>
      <c r="Q546">
        <v>0</v>
      </c>
      <c r="R546" s="16"/>
    </row>
    <row r="547" spans="1:18" ht="13.2">
      <c r="A547">
        <v>0</v>
      </c>
      <c r="H547" s="114"/>
      <c r="I547">
        <v>0</v>
      </c>
      <c r="P547" s="114"/>
      <c r="Q547">
        <v>0</v>
      </c>
      <c r="R547" s="16"/>
    </row>
    <row r="548" spans="1:18" ht="13.2">
      <c r="A548">
        <v>0</v>
      </c>
      <c r="H548" s="114"/>
      <c r="I548">
        <v>0</v>
      </c>
      <c r="P548" s="114"/>
      <c r="Q548">
        <v>0</v>
      </c>
      <c r="R548" s="16"/>
    </row>
    <row r="549" spans="1:18" ht="13.2">
      <c r="A549">
        <v>0</v>
      </c>
      <c r="H549" s="114"/>
      <c r="I549">
        <v>0</v>
      </c>
      <c r="P549" s="114"/>
      <c r="Q549">
        <v>0</v>
      </c>
      <c r="R549" s="16"/>
    </row>
    <row r="550" spans="1:18" ht="13.2">
      <c r="A550">
        <v>0</v>
      </c>
      <c r="H550" s="114"/>
      <c r="I550">
        <v>0</v>
      </c>
      <c r="P550" s="114"/>
      <c r="Q550">
        <v>0</v>
      </c>
      <c r="R550" s="16"/>
    </row>
    <row r="551" spans="1:18" ht="13.2">
      <c r="A551">
        <v>0</v>
      </c>
      <c r="H551" s="114"/>
      <c r="I551">
        <v>0</v>
      </c>
      <c r="P551" s="114"/>
      <c r="Q551">
        <v>0</v>
      </c>
      <c r="R551" s="16"/>
    </row>
    <row r="552" spans="1:18" ht="13.2">
      <c r="A552">
        <v>0</v>
      </c>
      <c r="H552" s="114"/>
      <c r="I552">
        <v>0</v>
      </c>
      <c r="P552" s="114"/>
      <c r="Q552">
        <v>0</v>
      </c>
      <c r="R552" s="16"/>
    </row>
    <row r="553" spans="1:18" ht="13.2">
      <c r="A553">
        <v>0</v>
      </c>
      <c r="H553" s="114"/>
      <c r="I553">
        <v>0</v>
      </c>
      <c r="P553" s="114"/>
      <c r="Q553">
        <v>0</v>
      </c>
      <c r="R553" s="16"/>
    </row>
    <row r="554" spans="1:18" ht="13.2">
      <c r="A554">
        <v>0</v>
      </c>
      <c r="H554" s="114"/>
      <c r="I554">
        <v>0</v>
      </c>
      <c r="P554" s="114"/>
      <c r="Q554">
        <v>0</v>
      </c>
      <c r="R554" s="16"/>
    </row>
    <row r="555" spans="1:18" ht="13.2">
      <c r="A555">
        <v>0</v>
      </c>
      <c r="H555" s="114"/>
      <c r="I555">
        <v>0</v>
      </c>
      <c r="P555" s="114"/>
      <c r="Q555">
        <v>0</v>
      </c>
      <c r="R555" s="16"/>
    </row>
    <row r="556" spans="1:18" ht="13.2">
      <c r="A556">
        <v>0</v>
      </c>
      <c r="H556" s="114"/>
      <c r="I556">
        <v>0</v>
      </c>
      <c r="P556" s="114"/>
      <c r="Q556">
        <v>0</v>
      </c>
      <c r="R556" s="16"/>
    </row>
    <row r="557" spans="1:18" ht="13.2">
      <c r="A557">
        <v>0</v>
      </c>
      <c r="H557" s="114"/>
      <c r="I557">
        <v>0</v>
      </c>
      <c r="P557" s="114"/>
      <c r="Q557">
        <v>0</v>
      </c>
      <c r="R557" s="16"/>
    </row>
    <row r="558" spans="1:18" ht="13.2">
      <c r="A558">
        <v>0</v>
      </c>
      <c r="H558" s="114"/>
      <c r="I558">
        <v>0</v>
      </c>
      <c r="P558" s="114"/>
      <c r="Q558">
        <v>0</v>
      </c>
      <c r="R558" s="16"/>
    </row>
    <row r="559" spans="1:18" ht="13.2">
      <c r="A559">
        <v>0</v>
      </c>
      <c r="H559" s="114"/>
      <c r="I559">
        <v>0</v>
      </c>
      <c r="P559" s="114"/>
      <c r="Q559">
        <v>0</v>
      </c>
      <c r="R559" s="16"/>
    </row>
    <row r="560" spans="1:18" ht="13.2">
      <c r="A560">
        <v>0</v>
      </c>
      <c r="H560" s="114"/>
      <c r="I560">
        <v>0</v>
      </c>
      <c r="P560" s="114"/>
      <c r="Q560">
        <v>0</v>
      </c>
      <c r="R560" s="16"/>
    </row>
    <row r="561" spans="1:18" ht="13.2">
      <c r="A561">
        <v>0</v>
      </c>
      <c r="H561" s="114"/>
      <c r="I561">
        <v>0</v>
      </c>
      <c r="P561" s="114"/>
      <c r="Q561">
        <v>0</v>
      </c>
      <c r="R561" s="16"/>
    </row>
    <row r="562" spans="1:18" ht="13.2">
      <c r="A562">
        <v>0</v>
      </c>
      <c r="H562" s="114"/>
      <c r="I562">
        <v>0</v>
      </c>
      <c r="P562" s="114"/>
      <c r="Q562">
        <v>0</v>
      </c>
      <c r="R562" s="16"/>
    </row>
    <row r="563" spans="1:18" ht="13.2">
      <c r="A563">
        <v>0</v>
      </c>
      <c r="H563" s="114"/>
      <c r="I563">
        <v>0</v>
      </c>
      <c r="P563" s="114"/>
      <c r="Q563">
        <v>0</v>
      </c>
      <c r="R563" s="16"/>
    </row>
    <row r="564" spans="1:18" ht="13.2">
      <c r="A564">
        <v>0</v>
      </c>
      <c r="H564" s="114"/>
      <c r="I564">
        <v>0</v>
      </c>
      <c r="P564" s="114"/>
      <c r="Q564">
        <v>0</v>
      </c>
      <c r="R564" s="16"/>
    </row>
    <row r="565" spans="1:18" ht="13.2">
      <c r="A565">
        <v>0</v>
      </c>
      <c r="H565" s="114"/>
      <c r="I565">
        <v>0</v>
      </c>
      <c r="P565" s="114"/>
      <c r="Q565">
        <v>0</v>
      </c>
      <c r="R565" s="16"/>
    </row>
    <row r="566" spans="1:18" ht="13.2">
      <c r="A566">
        <v>0</v>
      </c>
      <c r="H566" s="114"/>
      <c r="I566">
        <v>0</v>
      </c>
      <c r="P566" s="114"/>
      <c r="Q566">
        <v>0</v>
      </c>
      <c r="R566" s="16"/>
    </row>
    <row r="567" spans="1:18" ht="13.2">
      <c r="A567">
        <v>0</v>
      </c>
      <c r="H567" s="114"/>
      <c r="I567">
        <v>0</v>
      </c>
      <c r="P567" s="114"/>
      <c r="Q567">
        <v>0</v>
      </c>
      <c r="R567" s="16"/>
    </row>
    <row r="568" spans="1:18" ht="13.2">
      <c r="A568">
        <v>0</v>
      </c>
      <c r="H568" s="114"/>
      <c r="I568">
        <v>0</v>
      </c>
      <c r="P568" s="114"/>
      <c r="Q568">
        <v>0</v>
      </c>
      <c r="R568" s="16"/>
    </row>
    <row r="569" spans="1:18" ht="13.2">
      <c r="A569">
        <v>0</v>
      </c>
      <c r="H569" s="114"/>
      <c r="I569">
        <v>0</v>
      </c>
      <c r="P569" s="114"/>
      <c r="Q569">
        <v>0</v>
      </c>
      <c r="R569" s="16"/>
    </row>
    <row r="570" spans="1:18" ht="13.2">
      <c r="A570">
        <v>0</v>
      </c>
      <c r="H570" s="114"/>
      <c r="I570">
        <v>0</v>
      </c>
      <c r="P570" s="114"/>
      <c r="Q570">
        <v>0</v>
      </c>
      <c r="R570" s="16"/>
    </row>
    <row r="571" spans="1:18" ht="13.2">
      <c r="A571">
        <v>0</v>
      </c>
      <c r="H571" s="114"/>
      <c r="I571">
        <v>0</v>
      </c>
      <c r="P571" s="114"/>
      <c r="Q571">
        <v>0</v>
      </c>
      <c r="R571" s="16"/>
    </row>
    <row r="572" spans="1:18" ht="13.2">
      <c r="A572">
        <v>0</v>
      </c>
      <c r="H572" s="114"/>
      <c r="I572">
        <v>0</v>
      </c>
      <c r="P572" s="114"/>
      <c r="Q572">
        <v>0</v>
      </c>
      <c r="R572" s="16"/>
    </row>
    <row r="573" spans="1:18" ht="13.2">
      <c r="A573">
        <v>0</v>
      </c>
      <c r="H573" s="114"/>
      <c r="I573">
        <v>0</v>
      </c>
      <c r="P573" s="114"/>
      <c r="Q573">
        <v>0</v>
      </c>
      <c r="R573" s="16"/>
    </row>
    <row r="574" spans="1:18" ht="13.2">
      <c r="A574">
        <v>0</v>
      </c>
      <c r="H574" s="114"/>
      <c r="I574">
        <v>0</v>
      </c>
      <c r="P574" s="114"/>
      <c r="Q574">
        <v>0</v>
      </c>
      <c r="R574" s="16"/>
    </row>
    <row r="575" spans="1:18" ht="13.2">
      <c r="A575">
        <v>0</v>
      </c>
      <c r="H575" s="114"/>
      <c r="I575">
        <v>0</v>
      </c>
      <c r="P575" s="114"/>
      <c r="Q575">
        <v>0</v>
      </c>
      <c r="R575" s="16"/>
    </row>
    <row r="576" spans="1:18" ht="13.2">
      <c r="A576">
        <v>0</v>
      </c>
      <c r="H576" s="114"/>
      <c r="I576">
        <v>0</v>
      </c>
      <c r="P576" s="114"/>
      <c r="Q576">
        <v>0</v>
      </c>
      <c r="R576" s="16"/>
    </row>
    <row r="577" spans="1:18" ht="13.2">
      <c r="A577">
        <v>0</v>
      </c>
      <c r="H577" s="114"/>
      <c r="I577">
        <v>0</v>
      </c>
      <c r="P577" s="114"/>
      <c r="Q577">
        <v>0</v>
      </c>
      <c r="R577" s="16"/>
    </row>
    <row r="578" spans="1:18" ht="13.2">
      <c r="A578">
        <v>0</v>
      </c>
      <c r="H578" s="114"/>
      <c r="I578">
        <v>0</v>
      </c>
      <c r="P578" s="114"/>
      <c r="Q578">
        <v>0</v>
      </c>
      <c r="R578" s="16"/>
    </row>
    <row r="579" spans="1:18" ht="13.2">
      <c r="A579">
        <v>0</v>
      </c>
      <c r="H579" s="114"/>
      <c r="I579">
        <v>0</v>
      </c>
      <c r="P579" s="114"/>
      <c r="Q579">
        <v>0</v>
      </c>
      <c r="R579" s="16"/>
    </row>
    <row r="580" spans="1:18" ht="13.2">
      <c r="A580">
        <v>0</v>
      </c>
      <c r="H580" s="114"/>
      <c r="I580">
        <v>0</v>
      </c>
      <c r="P580" s="114"/>
      <c r="Q580">
        <v>0</v>
      </c>
      <c r="R580" s="16"/>
    </row>
    <row r="581" spans="1:18" ht="13.2">
      <c r="A581">
        <v>0</v>
      </c>
      <c r="H581" s="114"/>
      <c r="I581">
        <v>0</v>
      </c>
      <c r="P581" s="114"/>
      <c r="Q581">
        <v>0</v>
      </c>
      <c r="R581" s="16"/>
    </row>
    <row r="582" spans="1:18" ht="13.2">
      <c r="A582">
        <v>0</v>
      </c>
      <c r="H582" s="114"/>
      <c r="I582">
        <v>0</v>
      </c>
      <c r="P582" s="114"/>
      <c r="Q582">
        <v>0</v>
      </c>
      <c r="R582" s="16"/>
    </row>
    <row r="583" spans="1:18" ht="13.2">
      <c r="A583">
        <v>0</v>
      </c>
      <c r="H583" s="114"/>
      <c r="I583">
        <v>0</v>
      </c>
      <c r="P583" s="114"/>
      <c r="Q583">
        <v>0</v>
      </c>
      <c r="R583" s="16"/>
    </row>
    <row r="584" spans="1:18" ht="13.2">
      <c r="A584">
        <v>0</v>
      </c>
      <c r="H584" s="114"/>
      <c r="I584">
        <v>0</v>
      </c>
      <c r="P584" s="114"/>
      <c r="Q584">
        <v>0</v>
      </c>
      <c r="R584" s="16"/>
    </row>
    <row r="585" spans="1:18" ht="13.2">
      <c r="A585">
        <v>0</v>
      </c>
      <c r="H585" s="114"/>
      <c r="I585">
        <v>0</v>
      </c>
      <c r="P585" s="114"/>
      <c r="Q585">
        <v>0</v>
      </c>
      <c r="R585" s="16"/>
    </row>
    <row r="586" spans="1:18" ht="13.2">
      <c r="A586">
        <v>0</v>
      </c>
      <c r="H586" s="114"/>
      <c r="I586">
        <v>0</v>
      </c>
      <c r="P586" s="114"/>
      <c r="Q586">
        <v>0</v>
      </c>
      <c r="R586" s="16"/>
    </row>
    <row r="587" spans="1:18" ht="13.2">
      <c r="A587">
        <v>0</v>
      </c>
      <c r="H587" s="114"/>
      <c r="I587">
        <v>0</v>
      </c>
      <c r="P587" s="114"/>
      <c r="Q587">
        <v>0</v>
      </c>
      <c r="R587" s="16"/>
    </row>
    <row r="588" spans="1:18" ht="13.2">
      <c r="A588">
        <v>0</v>
      </c>
      <c r="H588" s="114"/>
      <c r="I588">
        <v>0</v>
      </c>
      <c r="P588" s="114"/>
      <c r="Q588">
        <v>0</v>
      </c>
      <c r="R588" s="16"/>
    </row>
    <row r="589" spans="1:18" ht="13.2">
      <c r="A589">
        <v>0</v>
      </c>
      <c r="H589" s="114"/>
      <c r="I589">
        <v>0</v>
      </c>
      <c r="P589" s="114"/>
      <c r="Q589">
        <v>0</v>
      </c>
      <c r="R589" s="16"/>
    </row>
    <row r="590" spans="1:18" ht="13.2">
      <c r="A590">
        <v>0</v>
      </c>
      <c r="H590" s="114"/>
      <c r="I590">
        <v>0</v>
      </c>
      <c r="P590" s="114"/>
      <c r="Q590">
        <v>0</v>
      </c>
      <c r="R590" s="16"/>
    </row>
    <row r="591" spans="1:18" ht="13.2">
      <c r="A591">
        <v>0</v>
      </c>
      <c r="H591" s="114"/>
      <c r="I591">
        <v>0</v>
      </c>
      <c r="P591" s="114"/>
      <c r="Q591">
        <v>0</v>
      </c>
      <c r="R591" s="16"/>
    </row>
    <row r="592" spans="1:18" ht="13.2">
      <c r="A592">
        <v>0</v>
      </c>
      <c r="H592" s="114"/>
      <c r="I592">
        <v>0</v>
      </c>
      <c r="P592" s="114"/>
      <c r="Q592">
        <v>0</v>
      </c>
      <c r="R592" s="16"/>
    </row>
    <row r="593" spans="1:18" ht="13.2">
      <c r="A593">
        <v>0</v>
      </c>
      <c r="H593" s="114"/>
      <c r="I593">
        <v>0</v>
      </c>
      <c r="P593" s="114"/>
      <c r="Q593">
        <v>0</v>
      </c>
      <c r="R593" s="16"/>
    </row>
    <row r="594" spans="1:18" ht="13.2">
      <c r="A594">
        <v>0</v>
      </c>
      <c r="H594" s="114"/>
      <c r="I594">
        <v>0</v>
      </c>
      <c r="P594" s="114"/>
      <c r="Q594">
        <v>0</v>
      </c>
      <c r="R594" s="16"/>
    </row>
    <row r="595" spans="1:18" ht="13.2">
      <c r="A595">
        <v>0</v>
      </c>
      <c r="H595" s="114"/>
      <c r="I595">
        <v>0</v>
      </c>
      <c r="P595" s="114"/>
      <c r="Q595">
        <v>0</v>
      </c>
      <c r="R595" s="16"/>
    </row>
    <row r="596" spans="1:18" ht="13.2">
      <c r="A596">
        <v>0</v>
      </c>
      <c r="H596" s="114"/>
      <c r="I596">
        <v>0</v>
      </c>
      <c r="P596" s="114"/>
      <c r="Q596">
        <v>0</v>
      </c>
      <c r="R596" s="16"/>
    </row>
    <row r="597" spans="1:18" ht="13.2">
      <c r="A597">
        <v>0</v>
      </c>
      <c r="H597" s="114"/>
      <c r="I597">
        <v>0</v>
      </c>
      <c r="P597" s="114"/>
      <c r="Q597">
        <v>0</v>
      </c>
      <c r="R597" s="16"/>
    </row>
    <row r="598" spans="1:18" ht="13.2">
      <c r="A598">
        <v>0</v>
      </c>
      <c r="H598" s="114"/>
      <c r="I598">
        <v>0</v>
      </c>
      <c r="P598" s="114"/>
      <c r="Q598">
        <v>0</v>
      </c>
      <c r="R598" s="16"/>
    </row>
    <row r="599" spans="1:18" ht="13.2">
      <c r="A599">
        <v>0</v>
      </c>
      <c r="H599" s="114"/>
      <c r="I599">
        <v>0</v>
      </c>
      <c r="P599" s="114"/>
      <c r="Q599">
        <v>0</v>
      </c>
      <c r="R599" s="16"/>
    </row>
    <row r="600" spans="1:18" ht="13.2">
      <c r="A600">
        <v>0</v>
      </c>
      <c r="H600" s="114"/>
      <c r="I600">
        <v>0</v>
      </c>
      <c r="P600" s="114"/>
      <c r="Q600">
        <v>0</v>
      </c>
      <c r="R600" s="16"/>
    </row>
    <row r="601" spans="1:18" ht="13.2">
      <c r="A601">
        <v>0</v>
      </c>
      <c r="H601" s="114"/>
      <c r="I601">
        <v>0</v>
      </c>
      <c r="P601" s="114"/>
      <c r="Q601">
        <v>0</v>
      </c>
      <c r="R601" s="16"/>
    </row>
    <row r="602" spans="1:18" ht="13.2">
      <c r="A602">
        <v>0</v>
      </c>
      <c r="H602" s="114"/>
      <c r="I602">
        <v>0</v>
      </c>
      <c r="P602" s="114"/>
      <c r="Q602">
        <v>0</v>
      </c>
      <c r="R602" s="16"/>
    </row>
    <row r="603" spans="1:18" ht="13.2">
      <c r="A603">
        <v>0</v>
      </c>
      <c r="H603" s="114"/>
      <c r="I603">
        <v>0</v>
      </c>
      <c r="P603" s="114"/>
      <c r="Q603">
        <v>0</v>
      </c>
      <c r="R603" s="16"/>
    </row>
    <row r="604" spans="1:18" ht="13.2">
      <c r="A604">
        <v>0</v>
      </c>
      <c r="H604" s="114"/>
      <c r="I604">
        <v>0</v>
      </c>
      <c r="P604" s="114"/>
      <c r="Q604">
        <v>0</v>
      </c>
      <c r="R604" s="16"/>
    </row>
    <row r="605" spans="1:18" ht="13.2">
      <c r="A605">
        <v>0</v>
      </c>
      <c r="H605" s="114"/>
      <c r="I605">
        <v>0</v>
      </c>
      <c r="P605" s="114"/>
      <c r="Q605">
        <v>0</v>
      </c>
      <c r="R605" s="16"/>
    </row>
    <row r="606" spans="1:18" ht="13.2">
      <c r="A606">
        <v>0</v>
      </c>
      <c r="H606" s="114"/>
      <c r="I606">
        <v>0</v>
      </c>
      <c r="P606" s="114"/>
      <c r="Q606">
        <v>0</v>
      </c>
      <c r="R606" s="16"/>
    </row>
    <row r="607" spans="1:18" ht="13.2">
      <c r="A607">
        <v>0</v>
      </c>
      <c r="H607" s="114"/>
      <c r="I607">
        <v>0</v>
      </c>
      <c r="P607" s="114"/>
      <c r="Q607">
        <v>0</v>
      </c>
      <c r="R607" s="16"/>
    </row>
    <row r="608" spans="1:18" ht="13.2">
      <c r="A608">
        <v>0</v>
      </c>
      <c r="H608" s="114"/>
      <c r="I608">
        <v>0</v>
      </c>
      <c r="P608" s="114"/>
      <c r="Q608">
        <v>0</v>
      </c>
      <c r="R608" s="16"/>
    </row>
    <row r="609" spans="1:18" ht="13.2">
      <c r="A609">
        <v>0</v>
      </c>
      <c r="H609" s="114"/>
      <c r="I609">
        <v>0</v>
      </c>
      <c r="P609" s="114"/>
      <c r="Q609">
        <v>0</v>
      </c>
      <c r="R609" s="16"/>
    </row>
    <row r="610" spans="1:18" ht="13.2">
      <c r="A610">
        <v>0</v>
      </c>
      <c r="H610" s="114"/>
      <c r="I610">
        <v>0</v>
      </c>
      <c r="P610" s="114"/>
      <c r="Q610">
        <v>0</v>
      </c>
      <c r="R610" s="16"/>
    </row>
    <row r="611" spans="1:18" ht="13.2">
      <c r="A611">
        <v>0</v>
      </c>
      <c r="H611" s="114"/>
      <c r="I611">
        <v>0</v>
      </c>
      <c r="P611" s="114"/>
      <c r="Q611">
        <v>0</v>
      </c>
      <c r="R611" s="16"/>
    </row>
    <row r="612" spans="1:18" ht="13.2">
      <c r="A612">
        <v>0</v>
      </c>
      <c r="H612" s="114"/>
      <c r="I612">
        <v>0</v>
      </c>
      <c r="P612" s="114"/>
      <c r="Q612">
        <v>0</v>
      </c>
      <c r="R612" s="16"/>
    </row>
    <row r="613" spans="1:18" ht="13.2">
      <c r="A613">
        <v>0</v>
      </c>
      <c r="H613" s="114"/>
      <c r="I613">
        <v>0</v>
      </c>
      <c r="P613" s="114"/>
      <c r="Q613">
        <v>0</v>
      </c>
      <c r="R613" s="16"/>
    </row>
    <row r="614" spans="1:18" ht="13.2">
      <c r="A614">
        <v>0</v>
      </c>
      <c r="H614" s="114"/>
      <c r="I614">
        <v>0</v>
      </c>
      <c r="P614" s="114"/>
      <c r="Q614">
        <v>0</v>
      </c>
      <c r="R614" s="16"/>
    </row>
    <row r="615" spans="1:18" ht="13.2">
      <c r="A615">
        <v>0</v>
      </c>
      <c r="H615" s="114"/>
      <c r="I615">
        <v>0</v>
      </c>
      <c r="P615" s="114"/>
      <c r="Q615">
        <v>0</v>
      </c>
      <c r="R615" s="16"/>
    </row>
    <row r="616" spans="1:18" ht="13.2">
      <c r="A616">
        <v>0</v>
      </c>
      <c r="H616" s="114"/>
      <c r="I616">
        <v>0</v>
      </c>
      <c r="P616" s="114"/>
      <c r="Q616">
        <v>0</v>
      </c>
      <c r="R616" s="16"/>
    </row>
    <row r="617" spans="1:18" ht="13.2">
      <c r="A617">
        <v>0</v>
      </c>
      <c r="H617" s="114"/>
      <c r="I617">
        <v>0</v>
      </c>
      <c r="P617" s="114"/>
      <c r="Q617">
        <v>0</v>
      </c>
      <c r="R617" s="16"/>
    </row>
    <row r="618" spans="1:18" ht="13.2">
      <c r="A618">
        <v>0</v>
      </c>
      <c r="H618" s="114"/>
      <c r="I618">
        <v>0</v>
      </c>
      <c r="P618" s="114"/>
      <c r="Q618">
        <v>0</v>
      </c>
      <c r="R618" s="16"/>
    </row>
    <row r="619" spans="1:18" ht="13.2">
      <c r="A619">
        <v>0</v>
      </c>
      <c r="H619" s="114"/>
      <c r="I619">
        <v>0</v>
      </c>
      <c r="P619" s="114"/>
      <c r="Q619">
        <v>0</v>
      </c>
      <c r="R619" s="16"/>
    </row>
    <row r="620" spans="1:18" ht="13.2">
      <c r="A620">
        <v>0</v>
      </c>
      <c r="H620" s="114"/>
      <c r="I620">
        <v>0</v>
      </c>
      <c r="P620" s="114"/>
      <c r="Q620">
        <v>0</v>
      </c>
      <c r="R620" s="16"/>
    </row>
    <row r="621" spans="1:18" ht="13.2">
      <c r="A621">
        <v>0</v>
      </c>
      <c r="H621" s="114"/>
      <c r="I621">
        <v>0</v>
      </c>
      <c r="P621" s="114"/>
      <c r="Q621">
        <v>0</v>
      </c>
      <c r="R621" s="16"/>
    </row>
    <row r="622" spans="1:18" ht="13.2">
      <c r="A622">
        <v>0</v>
      </c>
      <c r="H622" s="114"/>
      <c r="I622">
        <v>0</v>
      </c>
      <c r="P622" s="114"/>
      <c r="Q622">
        <v>0</v>
      </c>
      <c r="R622" s="16"/>
    </row>
    <row r="623" spans="1:18" ht="13.2">
      <c r="A623">
        <v>0</v>
      </c>
      <c r="H623" s="114"/>
      <c r="I623">
        <v>0</v>
      </c>
      <c r="P623" s="114"/>
      <c r="Q623">
        <v>0</v>
      </c>
      <c r="R623" s="16"/>
    </row>
    <row r="624" spans="1:18" ht="13.2">
      <c r="A624">
        <v>0</v>
      </c>
      <c r="H624" s="114"/>
      <c r="I624">
        <v>0</v>
      </c>
      <c r="P624" s="114"/>
      <c r="Q624">
        <v>0</v>
      </c>
      <c r="R624" s="16"/>
    </row>
    <row r="625" spans="1:18" ht="13.2">
      <c r="A625">
        <v>0</v>
      </c>
      <c r="H625" s="114"/>
      <c r="I625">
        <v>0</v>
      </c>
      <c r="P625" s="114"/>
      <c r="Q625">
        <v>0</v>
      </c>
      <c r="R625" s="16"/>
    </row>
    <row r="626" spans="1:18" ht="13.2">
      <c r="A626">
        <v>0</v>
      </c>
      <c r="H626" s="114"/>
      <c r="I626">
        <v>0</v>
      </c>
      <c r="P626" s="114"/>
      <c r="Q626">
        <v>0</v>
      </c>
      <c r="R626" s="16"/>
    </row>
    <row r="627" spans="1:18" ht="13.2">
      <c r="A627">
        <v>0</v>
      </c>
      <c r="H627" s="114"/>
      <c r="I627">
        <v>0</v>
      </c>
      <c r="P627" s="114"/>
      <c r="Q627">
        <v>0</v>
      </c>
      <c r="R627" s="16"/>
    </row>
    <row r="628" spans="1:18" ht="13.2">
      <c r="A628">
        <v>0</v>
      </c>
      <c r="H628" s="114"/>
      <c r="I628">
        <v>0</v>
      </c>
      <c r="P628" s="114"/>
      <c r="Q628">
        <v>0</v>
      </c>
      <c r="R628" s="16"/>
    </row>
    <row r="629" spans="1:18" ht="13.2">
      <c r="A629">
        <v>0</v>
      </c>
      <c r="H629" s="114"/>
      <c r="I629">
        <v>0</v>
      </c>
      <c r="P629" s="114"/>
      <c r="Q629">
        <v>0</v>
      </c>
      <c r="R629" s="16"/>
    </row>
    <row r="630" spans="1:18" ht="13.2">
      <c r="A630">
        <v>0</v>
      </c>
      <c r="H630" s="114"/>
      <c r="I630">
        <v>0</v>
      </c>
      <c r="P630" s="114"/>
      <c r="Q630">
        <v>0</v>
      </c>
      <c r="R630" s="16"/>
    </row>
    <row r="631" spans="1:18" ht="13.2">
      <c r="A631">
        <v>0</v>
      </c>
      <c r="H631" s="114"/>
      <c r="I631">
        <v>0</v>
      </c>
      <c r="P631" s="114"/>
      <c r="Q631">
        <v>0</v>
      </c>
      <c r="R631" s="16"/>
    </row>
    <row r="632" spans="1:18" ht="13.2">
      <c r="A632">
        <v>0</v>
      </c>
      <c r="H632" s="114"/>
      <c r="I632">
        <v>0</v>
      </c>
      <c r="P632" s="114"/>
      <c r="Q632">
        <v>0</v>
      </c>
      <c r="R632" s="16"/>
    </row>
    <row r="633" spans="1:18" ht="13.2">
      <c r="A633">
        <v>0</v>
      </c>
      <c r="H633" s="114"/>
      <c r="I633">
        <v>0</v>
      </c>
      <c r="P633" s="114"/>
      <c r="Q633">
        <v>0</v>
      </c>
      <c r="R633" s="16"/>
    </row>
    <row r="634" spans="1:18" ht="13.2">
      <c r="A634">
        <v>0</v>
      </c>
      <c r="H634" s="114"/>
      <c r="I634">
        <v>0</v>
      </c>
      <c r="P634" s="114"/>
      <c r="Q634">
        <v>0</v>
      </c>
      <c r="R634" s="16"/>
    </row>
    <row r="635" spans="1:18" ht="13.2">
      <c r="A635">
        <v>0</v>
      </c>
      <c r="H635" s="114"/>
      <c r="I635">
        <v>0</v>
      </c>
      <c r="P635" s="114"/>
      <c r="Q635">
        <v>0</v>
      </c>
      <c r="R635" s="16"/>
    </row>
    <row r="636" spans="1:18" ht="13.2">
      <c r="A636">
        <v>0</v>
      </c>
      <c r="H636" s="114"/>
      <c r="I636">
        <v>0</v>
      </c>
      <c r="P636" s="114"/>
      <c r="Q636">
        <v>0</v>
      </c>
      <c r="R636" s="16"/>
    </row>
    <row r="637" spans="1:18" ht="13.2">
      <c r="A637">
        <v>0</v>
      </c>
      <c r="H637" s="114"/>
      <c r="I637">
        <v>0</v>
      </c>
      <c r="P637" s="114"/>
      <c r="Q637">
        <v>0</v>
      </c>
      <c r="R637" s="16"/>
    </row>
    <row r="638" spans="1:18" ht="13.2">
      <c r="A638">
        <v>0</v>
      </c>
      <c r="H638" s="114"/>
      <c r="I638">
        <v>0</v>
      </c>
      <c r="P638" s="114"/>
      <c r="Q638">
        <v>0</v>
      </c>
      <c r="R638" s="16"/>
    </row>
    <row r="639" spans="1:18" ht="13.2">
      <c r="A639">
        <v>0</v>
      </c>
      <c r="H639" s="114"/>
      <c r="I639">
        <v>0</v>
      </c>
      <c r="P639" s="114"/>
      <c r="Q639">
        <v>0</v>
      </c>
      <c r="R639" s="16"/>
    </row>
    <row r="640" spans="1:18" ht="13.2">
      <c r="A640">
        <v>0</v>
      </c>
      <c r="H640" s="114"/>
      <c r="I640">
        <v>0</v>
      </c>
      <c r="P640" s="114"/>
      <c r="Q640">
        <v>0</v>
      </c>
      <c r="R640" s="16"/>
    </row>
    <row r="641" spans="1:18" ht="13.2">
      <c r="A641">
        <v>0</v>
      </c>
      <c r="H641" s="114"/>
      <c r="I641">
        <v>0</v>
      </c>
      <c r="P641" s="114"/>
      <c r="Q641">
        <v>0</v>
      </c>
      <c r="R641" s="16"/>
    </row>
    <row r="642" spans="1:18" ht="13.2">
      <c r="A642">
        <v>0</v>
      </c>
      <c r="H642" s="114"/>
      <c r="I642">
        <v>0</v>
      </c>
      <c r="P642" s="114"/>
      <c r="Q642">
        <v>0</v>
      </c>
      <c r="R642" s="16"/>
    </row>
    <row r="643" spans="1:18" ht="13.2">
      <c r="A643">
        <v>0</v>
      </c>
      <c r="H643" s="114"/>
      <c r="I643">
        <v>0</v>
      </c>
      <c r="P643" s="114"/>
      <c r="Q643">
        <v>0</v>
      </c>
      <c r="R643" s="16"/>
    </row>
    <row r="644" spans="1:18" ht="13.2">
      <c r="A644">
        <v>0</v>
      </c>
      <c r="H644" s="114"/>
      <c r="I644">
        <v>0</v>
      </c>
      <c r="P644" s="114"/>
      <c r="Q644">
        <v>0</v>
      </c>
      <c r="R644" s="16"/>
    </row>
    <row r="645" spans="1:18" ht="13.2">
      <c r="A645">
        <v>0</v>
      </c>
      <c r="H645" s="114"/>
      <c r="I645">
        <v>0</v>
      </c>
      <c r="P645" s="114"/>
      <c r="Q645">
        <v>0</v>
      </c>
      <c r="R645" s="16"/>
    </row>
    <row r="646" spans="1:18" ht="13.2">
      <c r="A646">
        <v>0</v>
      </c>
      <c r="H646" s="114"/>
      <c r="I646">
        <v>0</v>
      </c>
      <c r="P646" s="114"/>
      <c r="Q646">
        <v>0</v>
      </c>
      <c r="R646" s="16"/>
    </row>
    <row r="647" spans="1:18" ht="13.2">
      <c r="A647">
        <v>0</v>
      </c>
      <c r="H647" s="114"/>
      <c r="I647">
        <v>0</v>
      </c>
      <c r="P647" s="114"/>
      <c r="Q647">
        <v>0</v>
      </c>
      <c r="R647" s="16"/>
    </row>
    <row r="648" spans="1:18" ht="13.2">
      <c r="A648">
        <v>0</v>
      </c>
      <c r="H648" s="114"/>
      <c r="I648">
        <v>0</v>
      </c>
      <c r="P648" s="114"/>
      <c r="Q648">
        <v>0</v>
      </c>
      <c r="R648" s="16"/>
    </row>
    <row r="649" spans="1:18" ht="13.2">
      <c r="A649">
        <v>0</v>
      </c>
      <c r="H649" s="114"/>
      <c r="I649">
        <v>0</v>
      </c>
      <c r="P649" s="114"/>
      <c r="Q649">
        <v>0</v>
      </c>
      <c r="R649" s="16"/>
    </row>
    <row r="650" spans="1:18" ht="13.2">
      <c r="A650">
        <v>0</v>
      </c>
      <c r="H650" s="114"/>
      <c r="I650">
        <v>0</v>
      </c>
      <c r="P650" s="114"/>
      <c r="Q650">
        <v>0</v>
      </c>
      <c r="R650" s="16"/>
    </row>
    <row r="651" spans="1:18" ht="13.2">
      <c r="A651">
        <v>0</v>
      </c>
      <c r="H651" s="114"/>
      <c r="I651">
        <v>0</v>
      </c>
      <c r="P651" s="114"/>
      <c r="Q651">
        <v>0</v>
      </c>
      <c r="R651" s="16"/>
    </row>
    <row r="652" spans="1:18" ht="13.2">
      <c r="A652">
        <v>0</v>
      </c>
      <c r="H652" s="114"/>
      <c r="I652">
        <v>0</v>
      </c>
      <c r="P652" s="114"/>
      <c r="Q652">
        <v>0</v>
      </c>
      <c r="R652" s="16"/>
    </row>
    <row r="653" spans="1:18" ht="13.2">
      <c r="A653">
        <v>0</v>
      </c>
      <c r="H653" s="114"/>
      <c r="I653">
        <v>0</v>
      </c>
      <c r="P653" s="114"/>
      <c r="Q653">
        <v>0</v>
      </c>
      <c r="R653" s="16"/>
    </row>
    <row r="654" spans="1:18" ht="13.2">
      <c r="A654">
        <v>0</v>
      </c>
      <c r="H654" s="114"/>
      <c r="I654">
        <v>0</v>
      </c>
      <c r="P654" s="114"/>
      <c r="Q654">
        <v>0</v>
      </c>
      <c r="R654" s="16"/>
    </row>
    <row r="655" spans="1:18" ht="13.2">
      <c r="A655">
        <v>0</v>
      </c>
      <c r="H655" s="114"/>
      <c r="I655">
        <v>0</v>
      </c>
      <c r="P655" s="114"/>
      <c r="Q655">
        <v>0</v>
      </c>
      <c r="R655" s="16"/>
    </row>
    <row r="656" spans="1:18" ht="13.2">
      <c r="A656">
        <v>0</v>
      </c>
      <c r="H656" s="114"/>
      <c r="I656">
        <v>0</v>
      </c>
      <c r="P656" s="114"/>
      <c r="Q656">
        <v>0</v>
      </c>
      <c r="R656" s="16"/>
    </row>
    <row r="657" spans="1:18" ht="13.2">
      <c r="A657">
        <v>0</v>
      </c>
      <c r="H657" s="114"/>
      <c r="I657">
        <v>0</v>
      </c>
      <c r="P657" s="114"/>
      <c r="Q657">
        <v>0</v>
      </c>
      <c r="R657" s="16"/>
    </row>
    <row r="658" spans="1:18" ht="13.2">
      <c r="A658">
        <v>0</v>
      </c>
      <c r="H658" s="114"/>
      <c r="I658">
        <v>0</v>
      </c>
      <c r="P658" s="114"/>
      <c r="Q658">
        <v>0</v>
      </c>
      <c r="R658" s="16"/>
    </row>
    <row r="659" spans="1:18" ht="13.2">
      <c r="A659">
        <v>0</v>
      </c>
      <c r="H659" s="114"/>
      <c r="I659">
        <v>0</v>
      </c>
      <c r="P659" s="114"/>
      <c r="Q659">
        <v>0</v>
      </c>
      <c r="R659" s="16"/>
    </row>
    <row r="660" spans="1:18" ht="13.2">
      <c r="A660">
        <v>0</v>
      </c>
      <c r="H660" s="114"/>
      <c r="I660">
        <v>0</v>
      </c>
      <c r="P660" s="114"/>
      <c r="Q660">
        <v>0</v>
      </c>
      <c r="R660" s="16"/>
    </row>
    <row r="661" spans="1:18" ht="13.2">
      <c r="A661">
        <v>0</v>
      </c>
      <c r="H661" s="114"/>
      <c r="I661">
        <v>0</v>
      </c>
      <c r="P661" s="114"/>
      <c r="Q661">
        <v>0</v>
      </c>
      <c r="R661" s="16"/>
    </row>
    <row r="662" spans="1:18" ht="13.2">
      <c r="A662">
        <v>0</v>
      </c>
      <c r="H662" s="114"/>
      <c r="I662">
        <v>0</v>
      </c>
      <c r="P662" s="114"/>
      <c r="Q662">
        <v>0</v>
      </c>
      <c r="R662" s="16"/>
    </row>
    <row r="663" spans="1:18" ht="13.2">
      <c r="A663">
        <v>0</v>
      </c>
      <c r="H663" s="114"/>
      <c r="I663">
        <v>0</v>
      </c>
      <c r="P663" s="114"/>
      <c r="Q663">
        <v>0</v>
      </c>
      <c r="R663" s="16"/>
    </row>
    <row r="664" spans="1:18" ht="13.2">
      <c r="A664">
        <v>0</v>
      </c>
      <c r="H664" s="114"/>
      <c r="I664">
        <v>0</v>
      </c>
      <c r="P664" s="114"/>
      <c r="Q664">
        <v>0</v>
      </c>
      <c r="R664" s="16"/>
    </row>
    <row r="665" spans="1:18" ht="13.2">
      <c r="A665">
        <v>0</v>
      </c>
      <c r="H665" s="114"/>
      <c r="I665">
        <v>0</v>
      </c>
      <c r="P665" s="114"/>
      <c r="Q665">
        <v>0</v>
      </c>
      <c r="R665" s="16"/>
    </row>
    <row r="666" spans="1:18" ht="13.2">
      <c r="A666">
        <v>0</v>
      </c>
      <c r="H666" s="114"/>
      <c r="I666">
        <v>0</v>
      </c>
      <c r="P666" s="114"/>
      <c r="Q666">
        <v>0</v>
      </c>
      <c r="R666" s="16"/>
    </row>
    <row r="667" spans="1:18" ht="13.2">
      <c r="A667">
        <v>0</v>
      </c>
      <c r="H667" s="114"/>
      <c r="I667">
        <v>0</v>
      </c>
      <c r="P667" s="114"/>
      <c r="Q667">
        <v>0</v>
      </c>
      <c r="R667" s="16"/>
    </row>
    <row r="668" spans="1:18" ht="13.2">
      <c r="A668">
        <v>0</v>
      </c>
      <c r="H668" s="114"/>
      <c r="I668">
        <v>0</v>
      </c>
      <c r="P668" s="114"/>
      <c r="Q668">
        <v>0</v>
      </c>
      <c r="R668" s="16"/>
    </row>
    <row r="669" spans="1:18" ht="13.2">
      <c r="A669">
        <v>0</v>
      </c>
      <c r="H669" s="114"/>
      <c r="I669">
        <v>0</v>
      </c>
      <c r="P669" s="114"/>
      <c r="Q669">
        <v>0</v>
      </c>
      <c r="R669" s="16"/>
    </row>
    <row r="670" spans="1:18" ht="13.2">
      <c r="A670">
        <v>0</v>
      </c>
      <c r="H670" s="114"/>
      <c r="I670">
        <v>0</v>
      </c>
      <c r="P670" s="114"/>
      <c r="Q670">
        <v>0</v>
      </c>
      <c r="R670" s="16"/>
    </row>
    <row r="671" spans="1:18" ht="13.2">
      <c r="A671">
        <v>0</v>
      </c>
      <c r="H671" s="114"/>
      <c r="I671">
        <v>0</v>
      </c>
      <c r="P671" s="114"/>
      <c r="Q671">
        <v>0</v>
      </c>
      <c r="R671" s="16"/>
    </row>
    <row r="672" spans="1:18" ht="13.2">
      <c r="A672">
        <v>0</v>
      </c>
      <c r="H672" s="114"/>
      <c r="I672">
        <v>0</v>
      </c>
      <c r="P672" s="114"/>
      <c r="Q672">
        <v>0</v>
      </c>
      <c r="R672" s="16"/>
    </row>
    <row r="673" spans="1:18" ht="13.2">
      <c r="A673">
        <v>0</v>
      </c>
      <c r="H673" s="114"/>
      <c r="I673">
        <v>0</v>
      </c>
      <c r="P673" s="114"/>
      <c r="Q673">
        <v>0</v>
      </c>
      <c r="R673" s="16"/>
    </row>
    <row r="674" spans="1:18" ht="13.2">
      <c r="A674">
        <v>0</v>
      </c>
      <c r="H674" s="114"/>
      <c r="I674">
        <v>0</v>
      </c>
      <c r="P674" s="114"/>
      <c r="Q674">
        <v>0</v>
      </c>
      <c r="R674" s="16"/>
    </row>
    <row r="675" spans="1:18" ht="13.2">
      <c r="A675">
        <v>0</v>
      </c>
      <c r="H675" s="114"/>
      <c r="I675">
        <v>0</v>
      </c>
      <c r="P675" s="114"/>
      <c r="Q675">
        <v>0</v>
      </c>
      <c r="R675" s="16"/>
    </row>
    <row r="676" spans="1:18" ht="13.2">
      <c r="A676">
        <v>0</v>
      </c>
      <c r="H676" s="114"/>
      <c r="I676">
        <v>0</v>
      </c>
      <c r="P676" s="114"/>
      <c r="Q676">
        <v>0</v>
      </c>
      <c r="R676" s="16"/>
    </row>
    <row r="677" spans="1:18" ht="13.2">
      <c r="A677">
        <v>0</v>
      </c>
      <c r="H677" s="114"/>
      <c r="I677">
        <v>0</v>
      </c>
      <c r="P677" s="114"/>
      <c r="Q677">
        <v>0</v>
      </c>
      <c r="R677" s="16"/>
    </row>
    <row r="678" spans="1:18" ht="13.2">
      <c r="A678">
        <v>0</v>
      </c>
      <c r="H678" s="114"/>
      <c r="I678">
        <v>0</v>
      </c>
      <c r="P678" s="114"/>
      <c r="Q678">
        <v>0</v>
      </c>
      <c r="R678" s="16"/>
    </row>
    <row r="679" spans="1:18" ht="13.2">
      <c r="A679">
        <v>0</v>
      </c>
      <c r="H679" s="114"/>
      <c r="I679">
        <v>0</v>
      </c>
      <c r="P679" s="114"/>
      <c r="Q679">
        <v>0</v>
      </c>
      <c r="R679" s="16"/>
    </row>
    <row r="680" spans="1:18" ht="13.2">
      <c r="A680">
        <v>0</v>
      </c>
      <c r="H680" s="114"/>
      <c r="I680">
        <v>0</v>
      </c>
      <c r="P680" s="114"/>
      <c r="Q680">
        <v>0</v>
      </c>
      <c r="R680" s="16"/>
    </row>
    <row r="681" spans="1:18" ht="13.2">
      <c r="A681">
        <v>0</v>
      </c>
      <c r="H681" s="114"/>
      <c r="I681">
        <v>0</v>
      </c>
      <c r="P681" s="114"/>
      <c r="Q681">
        <v>0</v>
      </c>
      <c r="R681" s="16"/>
    </row>
    <row r="682" spans="1:18" ht="13.2">
      <c r="A682">
        <v>0</v>
      </c>
      <c r="H682" s="114"/>
      <c r="I682">
        <v>0</v>
      </c>
      <c r="P682" s="114"/>
      <c r="Q682">
        <v>0</v>
      </c>
      <c r="R682" s="16"/>
    </row>
    <row r="683" spans="1:18" ht="13.2">
      <c r="A683">
        <v>0</v>
      </c>
      <c r="H683" s="114"/>
      <c r="I683">
        <v>0</v>
      </c>
      <c r="P683" s="114"/>
      <c r="Q683">
        <v>0</v>
      </c>
      <c r="R683" s="16"/>
    </row>
    <row r="684" spans="1:18" ht="13.2">
      <c r="A684">
        <v>0</v>
      </c>
      <c r="H684" s="114"/>
      <c r="I684">
        <v>0</v>
      </c>
      <c r="P684" s="114"/>
      <c r="Q684">
        <v>0</v>
      </c>
      <c r="R684" s="16"/>
    </row>
    <row r="685" spans="1:18" ht="13.2">
      <c r="A685">
        <v>0</v>
      </c>
      <c r="H685" s="114"/>
      <c r="I685">
        <v>0</v>
      </c>
      <c r="P685" s="114"/>
      <c r="Q685">
        <v>0</v>
      </c>
      <c r="R685" s="16"/>
    </row>
    <row r="686" spans="1:18" ht="13.2">
      <c r="A686">
        <v>0</v>
      </c>
      <c r="H686" s="114"/>
      <c r="I686">
        <v>0</v>
      </c>
      <c r="P686" s="114"/>
      <c r="Q686">
        <v>0</v>
      </c>
      <c r="R686" s="16"/>
    </row>
    <row r="687" spans="1:18" ht="13.2">
      <c r="A687">
        <v>0</v>
      </c>
      <c r="H687" s="114"/>
      <c r="I687">
        <v>0</v>
      </c>
      <c r="P687" s="114"/>
      <c r="Q687">
        <v>0</v>
      </c>
      <c r="R687" s="16"/>
    </row>
    <row r="688" spans="1:18" ht="13.2">
      <c r="A688">
        <v>0</v>
      </c>
      <c r="H688" s="114"/>
      <c r="I688">
        <v>0</v>
      </c>
      <c r="P688" s="114"/>
      <c r="Q688">
        <v>0</v>
      </c>
      <c r="R688" s="16"/>
    </row>
    <row r="689" spans="1:18" ht="13.2">
      <c r="A689">
        <v>0</v>
      </c>
      <c r="H689" s="114"/>
      <c r="I689">
        <v>0</v>
      </c>
      <c r="P689" s="114"/>
      <c r="Q689">
        <v>0</v>
      </c>
      <c r="R689" s="16"/>
    </row>
    <row r="690" spans="1:18" ht="13.2">
      <c r="A690">
        <v>0</v>
      </c>
      <c r="H690" s="114"/>
      <c r="I690">
        <v>0</v>
      </c>
      <c r="P690" s="114"/>
      <c r="Q690">
        <v>0</v>
      </c>
      <c r="R690" s="16"/>
    </row>
    <row r="691" spans="1:18" ht="13.2">
      <c r="A691">
        <v>0</v>
      </c>
      <c r="H691" s="114"/>
      <c r="I691">
        <v>0</v>
      </c>
      <c r="P691" s="114"/>
      <c r="Q691">
        <v>0</v>
      </c>
      <c r="R691" s="16"/>
    </row>
    <row r="692" spans="1:18" ht="13.2">
      <c r="A692">
        <v>0</v>
      </c>
      <c r="H692" s="114"/>
      <c r="I692">
        <v>0</v>
      </c>
      <c r="P692" s="114"/>
      <c r="Q692">
        <v>0</v>
      </c>
      <c r="R692" s="16"/>
    </row>
    <row r="693" spans="1:18" ht="13.2">
      <c r="A693">
        <v>0</v>
      </c>
      <c r="H693" s="114"/>
      <c r="I693">
        <v>0</v>
      </c>
      <c r="P693" s="114"/>
      <c r="Q693">
        <v>0</v>
      </c>
      <c r="R693" s="16"/>
    </row>
    <row r="694" spans="1:18" ht="13.2">
      <c r="A694">
        <v>0</v>
      </c>
      <c r="H694" s="114"/>
      <c r="I694">
        <v>0</v>
      </c>
      <c r="P694" s="114"/>
      <c r="Q694">
        <v>0</v>
      </c>
      <c r="R694" s="16"/>
    </row>
    <row r="695" spans="1:18" ht="13.2">
      <c r="A695">
        <v>0</v>
      </c>
      <c r="H695" s="114"/>
      <c r="I695">
        <v>0</v>
      </c>
      <c r="P695" s="114"/>
      <c r="Q695">
        <v>0</v>
      </c>
      <c r="R695" s="16"/>
    </row>
    <row r="696" spans="1:18" ht="13.2">
      <c r="A696">
        <v>0</v>
      </c>
      <c r="H696" s="114"/>
      <c r="I696">
        <v>0</v>
      </c>
      <c r="P696" s="114"/>
      <c r="Q696">
        <v>0</v>
      </c>
      <c r="R696" s="16"/>
    </row>
    <row r="697" spans="1:18" ht="13.2">
      <c r="A697">
        <v>0</v>
      </c>
      <c r="H697" s="114"/>
      <c r="I697">
        <v>0</v>
      </c>
      <c r="P697" s="114"/>
      <c r="Q697">
        <v>0</v>
      </c>
      <c r="R697" s="16"/>
    </row>
    <row r="698" spans="1:18" ht="13.2">
      <c r="A698">
        <v>0</v>
      </c>
      <c r="H698" s="114"/>
      <c r="I698">
        <v>0</v>
      </c>
      <c r="P698" s="114"/>
      <c r="Q698">
        <v>0</v>
      </c>
      <c r="R698" s="16"/>
    </row>
    <row r="699" spans="1:18" ht="13.2">
      <c r="A699">
        <v>0</v>
      </c>
      <c r="H699" s="114"/>
      <c r="I699">
        <v>0</v>
      </c>
      <c r="P699" s="114"/>
      <c r="Q699">
        <v>0</v>
      </c>
      <c r="R699" s="16"/>
    </row>
    <row r="700" spans="1:18" ht="13.2">
      <c r="A700">
        <v>0</v>
      </c>
      <c r="H700" s="114"/>
      <c r="I700">
        <v>0</v>
      </c>
      <c r="P700" s="114"/>
      <c r="Q700">
        <v>0</v>
      </c>
      <c r="R700" s="16"/>
    </row>
    <row r="701" spans="1:18" ht="13.2">
      <c r="A701">
        <v>0</v>
      </c>
      <c r="H701" s="114"/>
      <c r="I701">
        <v>0</v>
      </c>
      <c r="P701" s="114"/>
      <c r="Q701">
        <v>0</v>
      </c>
      <c r="R701" s="16"/>
    </row>
    <row r="702" spans="1:18" ht="13.2">
      <c r="A702">
        <v>0</v>
      </c>
      <c r="H702" s="114"/>
      <c r="I702">
        <v>0</v>
      </c>
      <c r="P702" s="114"/>
      <c r="Q702">
        <v>0</v>
      </c>
      <c r="R702" s="16"/>
    </row>
    <row r="703" spans="1:18" ht="13.2">
      <c r="A703">
        <v>0</v>
      </c>
      <c r="H703" s="114"/>
      <c r="I703">
        <v>0</v>
      </c>
      <c r="P703" s="114"/>
      <c r="Q703">
        <v>0</v>
      </c>
      <c r="R703" s="16"/>
    </row>
    <row r="704" spans="1:18" ht="13.2">
      <c r="A704">
        <v>0</v>
      </c>
      <c r="H704" s="114"/>
      <c r="I704">
        <v>0</v>
      </c>
      <c r="P704" s="114"/>
      <c r="Q704">
        <v>0</v>
      </c>
      <c r="R704" s="16"/>
    </row>
    <row r="705" spans="1:18" ht="13.2">
      <c r="A705">
        <v>0</v>
      </c>
      <c r="H705" s="114"/>
      <c r="I705">
        <v>0</v>
      </c>
      <c r="P705" s="114"/>
      <c r="Q705">
        <v>0</v>
      </c>
      <c r="R705" s="16"/>
    </row>
    <row r="706" spans="1:18" ht="13.2">
      <c r="A706">
        <v>0</v>
      </c>
      <c r="H706" s="114"/>
      <c r="I706">
        <v>0</v>
      </c>
      <c r="P706" s="114"/>
      <c r="Q706">
        <v>0</v>
      </c>
      <c r="R706" s="16"/>
    </row>
    <row r="707" spans="1:18" ht="13.2">
      <c r="A707">
        <v>0</v>
      </c>
      <c r="H707" s="114"/>
      <c r="I707">
        <v>0</v>
      </c>
      <c r="P707" s="114"/>
      <c r="Q707">
        <v>0</v>
      </c>
      <c r="R707" s="16"/>
    </row>
    <row r="708" spans="1:18" ht="13.2">
      <c r="A708">
        <v>0</v>
      </c>
      <c r="H708" s="114"/>
      <c r="I708">
        <v>0</v>
      </c>
      <c r="P708" s="114"/>
      <c r="Q708">
        <v>0</v>
      </c>
      <c r="R708" s="16"/>
    </row>
    <row r="709" spans="1:18" ht="13.2">
      <c r="A709">
        <v>0</v>
      </c>
      <c r="H709" s="114"/>
      <c r="I709">
        <v>0</v>
      </c>
      <c r="P709" s="114"/>
      <c r="Q709">
        <v>0</v>
      </c>
      <c r="R709" s="16"/>
    </row>
    <row r="710" spans="1:18" ht="13.2">
      <c r="A710">
        <v>0</v>
      </c>
      <c r="H710" s="114"/>
      <c r="I710">
        <v>0</v>
      </c>
      <c r="P710" s="114"/>
      <c r="Q710">
        <v>0</v>
      </c>
      <c r="R710" s="16"/>
    </row>
    <row r="711" spans="1:18" ht="13.2">
      <c r="A711">
        <v>0</v>
      </c>
      <c r="H711" s="114"/>
      <c r="I711">
        <v>0</v>
      </c>
      <c r="P711" s="114"/>
      <c r="Q711">
        <v>0</v>
      </c>
      <c r="R711" s="16"/>
    </row>
    <row r="712" spans="1:18" ht="13.2">
      <c r="A712">
        <v>0</v>
      </c>
      <c r="H712" s="114"/>
      <c r="I712">
        <v>0</v>
      </c>
      <c r="P712" s="114"/>
      <c r="Q712">
        <v>0</v>
      </c>
      <c r="R712" s="16"/>
    </row>
    <row r="713" spans="1:18" ht="13.2">
      <c r="A713">
        <v>0</v>
      </c>
      <c r="H713" s="114"/>
      <c r="I713">
        <v>0</v>
      </c>
      <c r="P713" s="114"/>
      <c r="Q713">
        <v>0</v>
      </c>
      <c r="R713" s="16"/>
    </row>
    <row r="714" spans="1:18" ht="13.2">
      <c r="A714">
        <v>0</v>
      </c>
      <c r="H714" s="114"/>
      <c r="I714">
        <v>0</v>
      </c>
      <c r="P714" s="114"/>
      <c r="Q714">
        <v>0</v>
      </c>
      <c r="R714" s="16"/>
    </row>
    <row r="715" spans="1:18" ht="13.2">
      <c r="A715">
        <v>0</v>
      </c>
      <c r="H715" s="114"/>
      <c r="I715">
        <v>0</v>
      </c>
      <c r="P715" s="114"/>
      <c r="Q715">
        <v>0</v>
      </c>
      <c r="R715" s="16"/>
    </row>
    <row r="716" spans="1:18" ht="13.2">
      <c r="A716">
        <v>0</v>
      </c>
      <c r="H716" s="114"/>
      <c r="I716">
        <v>0</v>
      </c>
      <c r="P716" s="114"/>
      <c r="Q716">
        <v>0</v>
      </c>
      <c r="R716" s="16"/>
    </row>
    <row r="717" spans="1:18" ht="13.2">
      <c r="A717">
        <v>0</v>
      </c>
      <c r="H717" s="114"/>
      <c r="I717">
        <v>0</v>
      </c>
      <c r="P717" s="114"/>
      <c r="Q717">
        <v>0</v>
      </c>
      <c r="R717" s="16"/>
    </row>
    <row r="718" spans="1:18" ht="13.2">
      <c r="A718">
        <v>0</v>
      </c>
      <c r="H718" s="114"/>
      <c r="I718">
        <v>0</v>
      </c>
      <c r="P718" s="114"/>
      <c r="Q718">
        <v>0</v>
      </c>
      <c r="R718" s="16"/>
    </row>
    <row r="719" spans="1:18" ht="13.2">
      <c r="A719">
        <v>0</v>
      </c>
      <c r="H719" s="114"/>
      <c r="I719">
        <v>0</v>
      </c>
      <c r="P719" s="114"/>
      <c r="Q719">
        <v>0</v>
      </c>
      <c r="R719" s="16"/>
    </row>
    <row r="720" spans="1:18" ht="13.2">
      <c r="A720">
        <v>0</v>
      </c>
      <c r="H720" s="114"/>
      <c r="I720">
        <v>0</v>
      </c>
      <c r="P720" s="114"/>
      <c r="Q720">
        <v>0</v>
      </c>
      <c r="R720" s="16"/>
    </row>
    <row r="721" spans="1:18" ht="13.2">
      <c r="A721">
        <v>0</v>
      </c>
      <c r="H721" s="114"/>
      <c r="I721">
        <v>0</v>
      </c>
      <c r="P721" s="114"/>
      <c r="Q721">
        <v>0</v>
      </c>
      <c r="R721" s="16"/>
    </row>
    <row r="722" spans="1:18" ht="13.2">
      <c r="A722">
        <v>0</v>
      </c>
      <c r="H722" s="114"/>
      <c r="I722">
        <v>0</v>
      </c>
      <c r="P722" s="114"/>
      <c r="Q722">
        <v>0</v>
      </c>
      <c r="R722" s="16"/>
    </row>
    <row r="723" spans="1:18" ht="13.2">
      <c r="A723">
        <v>0</v>
      </c>
      <c r="H723" s="114"/>
      <c r="I723">
        <v>0</v>
      </c>
      <c r="P723" s="114"/>
      <c r="Q723">
        <v>0</v>
      </c>
      <c r="R723" s="16"/>
    </row>
    <row r="724" spans="1:18" ht="13.2">
      <c r="A724">
        <v>0</v>
      </c>
      <c r="H724" s="114"/>
      <c r="I724">
        <v>0</v>
      </c>
      <c r="P724" s="114"/>
      <c r="Q724">
        <v>0</v>
      </c>
      <c r="R724" s="16"/>
    </row>
    <row r="725" spans="1:18" ht="13.2">
      <c r="A725">
        <v>0</v>
      </c>
      <c r="H725" s="114"/>
      <c r="I725">
        <v>0</v>
      </c>
      <c r="P725" s="114"/>
      <c r="Q725">
        <v>0</v>
      </c>
      <c r="R725" s="16"/>
    </row>
    <row r="726" spans="1:18" ht="13.2">
      <c r="A726">
        <v>0</v>
      </c>
      <c r="H726" s="114"/>
      <c r="I726">
        <v>0</v>
      </c>
      <c r="P726" s="114"/>
      <c r="Q726">
        <v>0</v>
      </c>
      <c r="R726" s="16"/>
    </row>
    <row r="727" spans="1:18" ht="13.2">
      <c r="A727">
        <v>0</v>
      </c>
      <c r="H727" s="114"/>
      <c r="I727">
        <v>0</v>
      </c>
      <c r="P727" s="114"/>
      <c r="Q727">
        <v>0</v>
      </c>
      <c r="R727" s="16"/>
    </row>
    <row r="728" spans="1:18" ht="13.2">
      <c r="A728">
        <v>0</v>
      </c>
      <c r="H728" s="114"/>
      <c r="I728">
        <v>0</v>
      </c>
      <c r="P728" s="114"/>
      <c r="Q728">
        <v>0</v>
      </c>
      <c r="R728" s="16"/>
    </row>
    <row r="729" spans="1:18" ht="13.2">
      <c r="A729">
        <v>0</v>
      </c>
      <c r="H729" s="114"/>
      <c r="I729">
        <v>0</v>
      </c>
      <c r="P729" s="114"/>
      <c r="Q729">
        <v>0</v>
      </c>
      <c r="R729" s="16"/>
    </row>
    <row r="730" spans="1:18" ht="13.2">
      <c r="A730">
        <v>0</v>
      </c>
      <c r="H730" s="114"/>
      <c r="I730">
        <v>0</v>
      </c>
      <c r="P730" s="114"/>
      <c r="Q730">
        <v>0</v>
      </c>
      <c r="R730" s="16"/>
    </row>
    <row r="731" spans="1:18" ht="13.2">
      <c r="A731">
        <v>0</v>
      </c>
      <c r="H731" s="114"/>
      <c r="I731">
        <v>0</v>
      </c>
      <c r="P731" s="114"/>
      <c r="Q731">
        <v>0</v>
      </c>
      <c r="R731" s="16"/>
    </row>
    <row r="732" spans="1:18" ht="13.2">
      <c r="A732">
        <v>0</v>
      </c>
      <c r="H732" s="114"/>
      <c r="I732">
        <v>0</v>
      </c>
      <c r="P732" s="114"/>
      <c r="Q732">
        <v>0</v>
      </c>
      <c r="R732" s="16"/>
    </row>
    <row r="733" spans="1:18" ht="13.2">
      <c r="A733">
        <v>0</v>
      </c>
      <c r="H733" s="114"/>
      <c r="I733">
        <v>0</v>
      </c>
      <c r="P733" s="114"/>
      <c r="Q733">
        <v>0</v>
      </c>
      <c r="R733" s="16"/>
    </row>
    <row r="734" spans="1:18" ht="13.2">
      <c r="A734">
        <v>0</v>
      </c>
      <c r="H734" s="114"/>
      <c r="I734">
        <v>0</v>
      </c>
      <c r="P734" s="114"/>
      <c r="Q734">
        <v>0</v>
      </c>
      <c r="R734" s="16"/>
    </row>
    <row r="735" spans="1:18" ht="13.2">
      <c r="A735">
        <v>0</v>
      </c>
      <c r="H735" s="114"/>
      <c r="I735">
        <v>0</v>
      </c>
      <c r="P735" s="114"/>
      <c r="Q735">
        <v>0</v>
      </c>
      <c r="R735" s="16"/>
    </row>
    <row r="736" spans="1:18" ht="13.2">
      <c r="A736">
        <v>0</v>
      </c>
      <c r="H736" s="114"/>
      <c r="I736">
        <v>0</v>
      </c>
      <c r="P736" s="114"/>
      <c r="Q736">
        <v>0</v>
      </c>
      <c r="R736" s="16"/>
    </row>
    <row r="737" spans="1:18" ht="13.2">
      <c r="A737">
        <v>0</v>
      </c>
      <c r="H737" s="114"/>
      <c r="I737">
        <v>0</v>
      </c>
      <c r="P737" s="114"/>
      <c r="Q737">
        <v>0</v>
      </c>
      <c r="R737" s="16"/>
    </row>
    <row r="738" spans="1:18" ht="13.2">
      <c r="A738">
        <v>0</v>
      </c>
      <c r="H738" s="114"/>
      <c r="I738">
        <v>0</v>
      </c>
      <c r="P738" s="114"/>
      <c r="Q738">
        <v>0</v>
      </c>
      <c r="R738" s="16"/>
    </row>
    <row r="739" spans="1:18" ht="13.2">
      <c r="A739">
        <v>0</v>
      </c>
      <c r="H739" s="114"/>
      <c r="I739">
        <v>0</v>
      </c>
      <c r="P739" s="114"/>
      <c r="Q739">
        <v>0</v>
      </c>
      <c r="R739" s="16"/>
    </row>
    <row r="740" spans="1:18" ht="13.2">
      <c r="A740">
        <v>0</v>
      </c>
      <c r="H740" s="114"/>
      <c r="I740">
        <v>0</v>
      </c>
      <c r="P740" s="114"/>
      <c r="Q740">
        <v>0</v>
      </c>
      <c r="R740" s="16"/>
    </row>
    <row r="741" spans="1:18" ht="13.2">
      <c r="A741">
        <v>0</v>
      </c>
      <c r="H741" s="114"/>
      <c r="I741">
        <v>0</v>
      </c>
      <c r="P741" s="114"/>
      <c r="Q741">
        <v>0</v>
      </c>
      <c r="R741" s="16"/>
    </row>
    <row r="742" spans="1:18" ht="13.2">
      <c r="A742">
        <v>0</v>
      </c>
      <c r="H742" s="114"/>
      <c r="I742">
        <v>0</v>
      </c>
      <c r="P742" s="114"/>
      <c r="Q742">
        <v>0</v>
      </c>
      <c r="R742" s="16"/>
    </row>
    <row r="743" spans="1:18" ht="13.2">
      <c r="A743">
        <v>0</v>
      </c>
      <c r="H743" s="114"/>
      <c r="I743">
        <v>0</v>
      </c>
      <c r="P743" s="114"/>
      <c r="Q743">
        <v>0</v>
      </c>
      <c r="R743" s="16"/>
    </row>
    <row r="744" spans="1:18" ht="13.2">
      <c r="A744">
        <v>0</v>
      </c>
      <c r="H744" s="114"/>
      <c r="I744">
        <v>0</v>
      </c>
      <c r="P744" s="114"/>
      <c r="Q744">
        <v>0</v>
      </c>
      <c r="R744" s="16"/>
    </row>
    <row r="745" spans="1:18" ht="13.2">
      <c r="A745">
        <v>0</v>
      </c>
      <c r="H745" s="114"/>
      <c r="I745">
        <v>0</v>
      </c>
      <c r="P745" s="114"/>
      <c r="Q745">
        <v>0</v>
      </c>
      <c r="R745" s="16"/>
    </row>
    <row r="746" spans="1:18" ht="13.2">
      <c r="A746">
        <v>0</v>
      </c>
      <c r="H746" s="114"/>
      <c r="I746">
        <v>0</v>
      </c>
      <c r="P746" s="114"/>
      <c r="Q746">
        <v>0</v>
      </c>
      <c r="R746" s="16"/>
    </row>
    <row r="747" spans="1:18" ht="13.2">
      <c r="A747">
        <v>0</v>
      </c>
      <c r="H747" s="114"/>
      <c r="I747">
        <v>0</v>
      </c>
      <c r="P747" s="114"/>
      <c r="Q747">
        <v>0</v>
      </c>
      <c r="R747" s="16"/>
    </row>
    <row r="748" spans="1:18" ht="13.2">
      <c r="A748">
        <v>0</v>
      </c>
      <c r="H748" s="114"/>
      <c r="I748">
        <v>0</v>
      </c>
      <c r="P748" s="114"/>
      <c r="Q748">
        <v>0</v>
      </c>
      <c r="R748" s="16"/>
    </row>
    <row r="749" spans="1:18" ht="13.2">
      <c r="A749">
        <v>0</v>
      </c>
      <c r="H749" s="114"/>
      <c r="I749">
        <v>0</v>
      </c>
      <c r="P749" s="114"/>
      <c r="Q749">
        <v>0</v>
      </c>
      <c r="R749" s="16"/>
    </row>
    <row r="750" spans="1:18" ht="13.2">
      <c r="A750">
        <v>0</v>
      </c>
      <c r="H750" s="114"/>
      <c r="I750">
        <v>0</v>
      </c>
      <c r="P750" s="114"/>
      <c r="Q750">
        <v>0</v>
      </c>
      <c r="R750" s="16"/>
    </row>
    <row r="751" spans="1:18" ht="13.2">
      <c r="A751">
        <v>0</v>
      </c>
      <c r="H751" s="114"/>
      <c r="I751">
        <v>0</v>
      </c>
      <c r="P751" s="114"/>
      <c r="Q751">
        <v>0</v>
      </c>
      <c r="R751" s="16"/>
    </row>
    <row r="752" spans="1:18" ht="13.2">
      <c r="A752">
        <v>0</v>
      </c>
      <c r="H752" s="114"/>
      <c r="I752">
        <v>0</v>
      </c>
      <c r="P752" s="114"/>
      <c r="Q752">
        <v>0</v>
      </c>
      <c r="R752" s="16"/>
    </row>
    <row r="753" spans="1:18" ht="13.2">
      <c r="A753">
        <v>0</v>
      </c>
      <c r="H753" s="114"/>
      <c r="I753">
        <v>0</v>
      </c>
      <c r="P753" s="114"/>
      <c r="Q753">
        <v>0</v>
      </c>
      <c r="R753" s="16"/>
    </row>
    <row r="754" spans="1:18" ht="13.2">
      <c r="A754">
        <v>0</v>
      </c>
      <c r="H754" s="114"/>
      <c r="I754">
        <v>0</v>
      </c>
      <c r="P754" s="114"/>
      <c r="Q754">
        <v>0</v>
      </c>
      <c r="R754" s="16"/>
    </row>
    <row r="755" spans="1:18" ht="13.2">
      <c r="A755">
        <v>0</v>
      </c>
      <c r="H755" s="114"/>
      <c r="I755">
        <v>0</v>
      </c>
      <c r="P755" s="114"/>
      <c r="Q755">
        <v>0</v>
      </c>
      <c r="R755" s="16"/>
    </row>
    <row r="756" spans="1:18" ht="13.2">
      <c r="A756">
        <v>0</v>
      </c>
      <c r="H756" s="114"/>
      <c r="I756">
        <v>0</v>
      </c>
      <c r="P756" s="114"/>
      <c r="Q756">
        <v>0</v>
      </c>
      <c r="R756" s="16"/>
    </row>
    <row r="757" spans="1:18" ht="13.2">
      <c r="A757">
        <v>0</v>
      </c>
      <c r="H757" s="114"/>
      <c r="I757">
        <v>0</v>
      </c>
      <c r="P757" s="114"/>
      <c r="Q757">
        <v>0</v>
      </c>
      <c r="R757" s="16"/>
    </row>
    <row r="758" spans="1:18" ht="13.2">
      <c r="A758">
        <v>0</v>
      </c>
      <c r="H758" s="114"/>
      <c r="I758">
        <v>0</v>
      </c>
      <c r="P758" s="114"/>
      <c r="Q758">
        <v>0</v>
      </c>
      <c r="R758" s="16"/>
    </row>
    <row r="759" spans="1:18" ht="13.2">
      <c r="A759">
        <v>0</v>
      </c>
      <c r="H759" s="114"/>
      <c r="I759">
        <v>0</v>
      </c>
      <c r="P759" s="114"/>
      <c r="Q759">
        <v>0</v>
      </c>
      <c r="R759" s="16"/>
    </row>
    <row r="760" spans="1:18" ht="13.2">
      <c r="A760">
        <v>0</v>
      </c>
      <c r="H760" s="114"/>
      <c r="I760">
        <v>0</v>
      </c>
      <c r="P760" s="114"/>
      <c r="Q760">
        <v>0</v>
      </c>
      <c r="R760" s="16"/>
    </row>
    <row r="761" spans="1:18" ht="13.2">
      <c r="A761">
        <v>0</v>
      </c>
      <c r="H761" s="114"/>
      <c r="I761">
        <v>0</v>
      </c>
      <c r="P761" s="114"/>
      <c r="Q761">
        <v>0</v>
      </c>
      <c r="R761" s="16"/>
    </row>
    <row r="762" spans="1:18" ht="13.2">
      <c r="A762">
        <v>0</v>
      </c>
      <c r="H762" s="114"/>
      <c r="I762">
        <v>0</v>
      </c>
      <c r="P762" s="114"/>
      <c r="Q762">
        <v>0</v>
      </c>
      <c r="R762" s="16"/>
    </row>
    <row r="763" spans="1:18" ht="13.2">
      <c r="A763">
        <v>0</v>
      </c>
      <c r="H763" s="114"/>
      <c r="I763">
        <v>0</v>
      </c>
      <c r="P763" s="114"/>
      <c r="Q763">
        <v>0</v>
      </c>
      <c r="R763" s="16"/>
    </row>
    <row r="764" spans="1:18" ht="13.2">
      <c r="A764">
        <v>0</v>
      </c>
      <c r="H764" s="114"/>
      <c r="I764">
        <v>0</v>
      </c>
      <c r="P764" s="114"/>
      <c r="Q764">
        <v>0</v>
      </c>
      <c r="R764" s="16"/>
    </row>
    <row r="765" spans="1:18" ht="13.2">
      <c r="A765">
        <v>0</v>
      </c>
      <c r="H765" s="114"/>
      <c r="I765">
        <v>0</v>
      </c>
      <c r="P765" s="114"/>
      <c r="Q765">
        <v>0</v>
      </c>
      <c r="R765" s="16"/>
    </row>
    <row r="766" spans="1:18" ht="13.2">
      <c r="A766">
        <v>0</v>
      </c>
      <c r="H766" s="114"/>
      <c r="I766">
        <v>0</v>
      </c>
      <c r="P766" s="114"/>
      <c r="Q766">
        <v>0</v>
      </c>
      <c r="R766" s="16"/>
    </row>
    <row r="767" spans="1:18" ht="13.2">
      <c r="A767">
        <v>0</v>
      </c>
      <c r="H767" s="114"/>
      <c r="I767">
        <v>0</v>
      </c>
      <c r="P767" s="114"/>
      <c r="Q767">
        <v>0</v>
      </c>
      <c r="R767" s="16"/>
    </row>
    <row r="768" spans="1:18" ht="13.2">
      <c r="A768">
        <v>0</v>
      </c>
      <c r="H768" s="114"/>
      <c r="I768">
        <v>0</v>
      </c>
      <c r="P768" s="114"/>
      <c r="Q768">
        <v>0</v>
      </c>
      <c r="R768" s="16"/>
    </row>
    <row r="769" spans="1:18" ht="13.2">
      <c r="A769">
        <v>0</v>
      </c>
      <c r="H769" s="114"/>
      <c r="I769">
        <v>0</v>
      </c>
      <c r="P769" s="114"/>
      <c r="Q769">
        <v>0</v>
      </c>
      <c r="R769" s="16"/>
    </row>
    <row r="770" spans="1:18" ht="13.2">
      <c r="A770">
        <v>0</v>
      </c>
      <c r="H770" s="114"/>
      <c r="I770">
        <v>0</v>
      </c>
      <c r="P770" s="114"/>
      <c r="Q770">
        <v>0</v>
      </c>
      <c r="R770" s="16"/>
    </row>
    <row r="771" spans="1:18" ht="13.2">
      <c r="A771">
        <v>0</v>
      </c>
      <c r="H771" s="114"/>
      <c r="I771">
        <v>0</v>
      </c>
      <c r="P771" s="114"/>
      <c r="Q771">
        <v>0</v>
      </c>
      <c r="R771" s="16"/>
    </row>
    <row r="772" spans="1:18" ht="13.2">
      <c r="A772">
        <v>0</v>
      </c>
      <c r="H772" s="114"/>
      <c r="I772">
        <v>0</v>
      </c>
      <c r="P772" s="114"/>
      <c r="Q772">
        <v>0</v>
      </c>
      <c r="R772" s="16"/>
    </row>
    <row r="773" spans="1:18" ht="13.2">
      <c r="A773">
        <v>0</v>
      </c>
      <c r="H773" s="114"/>
      <c r="I773">
        <v>0</v>
      </c>
      <c r="P773" s="114"/>
      <c r="Q773">
        <v>0</v>
      </c>
      <c r="R773" s="16"/>
    </row>
    <row r="774" spans="1:18" ht="13.2">
      <c r="A774">
        <v>0</v>
      </c>
      <c r="H774" s="114"/>
      <c r="I774">
        <v>0</v>
      </c>
      <c r="P774" s="114"/>
      <c r="Q774">
        <v>0</v>
      </c>
      <c r="R774" s="16"/>
    </row>
    <row r="775" spans="1:18" ht="13.2">
      <c r="A775">
        <v>0</v>
      </c>
      <c r="H775" s="114"/>
      <c r="I775">
        <v>0</v>
      </c>
      <c r="P775" s="114"/>
      <c r="Q775">
        <v>0</v>
      </c>
      <c r="R775" s="16"/>
    </row>
    <row r="776" spans="1:18" ht="13.2">
      <c r="A776">
        <v>0</v>
      </c>
      <c r="H776" s="114"/>
      <c r="I776">
        <v>0</v>
      </c>
      <c r="P776" s="114"/>
      <c r="Q776">
        <v>0</v>
      </c>
      <c r="R776" s="16"/>
    </row>
    <row r="777" spans="1:18" ht="13.2">
      <c r="A777">
        <v>0</v>
      </c>
      <c r="H777" s="114"/>
      <c r="I777">
        <v>0</v>
      </c>
      <c r="P777" s="114"/>
      <c r="Q777">
        <v>0</v>
      </c>
      <c r="R777" s="16"/>
    </row>
    <row r="778" spans="1:18" ht="13.2">
      <c r="A778">
        <v>0</v>
      </c>
      <c r="H778" s="114"/>
      <c r="I778">
        <v>0</v>
      </c>
      <c r="P778" s="114"/>
      <c r="Q778">
        <v>0</v>
      </c>
      <c r="R778" s="16"/>
    </row>
    <row r="779" spans="1:18" ht="13.2">
      <c r="A779">
        <v>0</v>
      </c>
      <c r="H779" s="114"/>
      <c r="I779">
        <v>0</v>
      </c>
      <c r="P779" s="114"/>
      <c r="Q779">
        <v>0</v>
      </c>
      <c r="R779" s="16"/>
    </row>
    <row r="780" spans="1:18" ht="13.2">
      <c r="A780">
        <v>0</v>
      </c>
      <c r="H780" s="114"/>
      <c r="I780">
        <v>0</v>
      </c>
      <c r="P780" s="114"/>
      <c r="Q780">
        <v>0</v>
      </c>
      <c r="R780" s="16"/>
    </row>
    <row r="781" spans="1:18" ht="13.2">
      <c r="A781">
        <v>0</v>
      </c>
      <c r="H781" s="114"/>
      <c r="I781">
        <v>0</v>
      </c>
      <c r="P781" s="114"/>
      <c r="Q781">
        <v>0</v>
      </c>
      <c r="R781" s="16"/>
    </row>
    <row r="782" spans="1:18" ht="13.2">
      <c r="A782">
        <v>0</v>
      </c>
      <c r="H782" s="114"/>
      <c r="I782">
        <v>0</v>
      </c>
      <c r="P782" s="114"/>
      <c r="Q782">
        <v>0</v>
      </c>
      <c r="R782" s="16"/>
    </row>
    <row r="783" spans="1:18" ht="13.2">
      <c r="A783">
        <v>0</v>
      </c>
      <c r="H783" s="114"/>
      <c r="I783">
        <v>0</v>
      </c>
      <c r="P783" s="114"/>
      <c r="Q783">
        <v>0</v>
      </c>
      <c r="R783" s="16"/>
    </row>
    <row r="784" spans="1:18" ht="13.2">
      <c r="A784">
        <v>0</v>
      </c>
      <c r="H784" s="114"/>
      <c r="I784">
        <v>0</v>
      </c>
      <c r="P784" s="114"/>
      <c r="Q784">
        <v>0</v>
      </c>
      <c r="R784" s="16"/>
    </row>
    <row r="785" spans="1:18" ht="13.2">
      <c r="A785">
        <v>0</v>
      </c>
      <c r="H785" s="114"/>
      <c r="I785">
        <v>0</v>
      </c>
      <c r="P785" s="114"/>
      <c r="Q785">
        <v>0</v>
      </c>
      <c r="R785" s="16"/>
    </row>
    <row r="786" spans="1:18" ht="13.2">
      <c r="A786">
        <v>0</v>
      </c>
      <c r="H786" s="114"/>
      <c r="I786">
        <v>0</v>
      </c>
      <c r="P786" s="114"/>
      <c r="Q786">
        <v>0</v>
      </c>
      <c r="R786" s="16"/>
    </row>
    <row r="787" spans="1:18" ht="13.2">
      <c r="A787">
        <v>0</v>
      </c>
      <c r="H787" s="114"/>
      <c r="I787">
        <v>0</v>
      </c>
      <c r="P787" s="114"/>
      <c r="Q787">
        <v>0</v>
      </c>
      <c r="R787" s="16"/>
    </row>
    <row r="788" spans="1:18" ht="13.2">
      <c r="A788">
        <v>0</v>
      </c>
      <c r="H788" s="114"/>
      <c r="I788">
        <v>0</v>
      </c>
      <c r="P788" s="114"/>
      <c r="Q788">
        <v>0</v>
      </c>
      <c r="R788" s="16"/>
    </row>
    <row r="789" spans="1:18" ht="13.2">
      <c r="A789">
        <v>0</v>
      </c>
      <c r="H789" s="114"/>
      <c r="I789">
        <v>0</v>
      </c>
      <c r="P789" s="114"/>
      <c r="Q789">
        <v>0</v>
      </c>
      <c r="R789" s="16"/>
    </row>
    <row r="790" spans="1:18" ht="13.2">
      <c r="A790">
        <v>0</v>
      </c>
      <c r="H790" s="114"/>
      <c r="I790">
        <v>0</v>
      </c>
      <c r="P790" s="114"/>
      <c r="Q790">
        <v>0</v>
      </c>
      <c r="R790" s="16"/>
    </row>
    <row r="791" spans="1:18" ht="13.2">
      <c r="A791">
        <v>0</v>
      </c>
      <c r="H791" s="114"/>
      <c r="I791">
        <v>0</v>
      </c>
      <c r="P791" s="114"/>
      <c r="Q791">
        <v>0</v>
      </c>
      <c r="R791" s="16"/>
    </row>
    <row r="792" spans="1:18" ht="13.2">
      <c r="A792">
        <v>0</v>
      </c>
      <c r="H792" s="114"/>
      <c r="I792">
        <v>0</v>
      </c>
      <c r="P792" s="114"/>
      <c r="Q792">
        <v>0</v>
      </c>
      <c r="R792" s="16"/>
    </row>
    <row r="793" spans="1:18" ht="13.2">
      <c r="A793">
        <v>0</v>
      </c>
      <c r="H793" s="114"/>
      <c r="I793">
        <v>0</v>
      </c>
      <c r="P793" s="114"/>
      <c r="Q793">
        <v>0</v>
      </c>
      <c r="R793" s="16"/>
    </row>
    <row r="794" spans="1:18" ht="13.2">
      <c r="A794">
        <v>0</v>
      </c>
      <c r="H794" s="114"/>
      <c r="I794">
        <v>0</v>
      </c>
      <c r="P794" s="114"/>
      <c r="Q794">
        <v>0</v>
      </c>
      <c r="R794" s="16"/>
    </row>
    <row r="795" spans="1:18" ht="13.2">
      <c r="A795">
        <v>0</v>
      </c>
      <c r="H795" s="114"/>
      <c r="I795">
        <v>0</v>
      </c>
      <c r="P795" s="114"/>
      <c r="Q795">
        <v>0</v>
      </c>
      <c r="R795" s="16"/>
    </row>
    <row r="796" spans="1:18" ht="13.2">
      <c r="A796">
        <v>0</v>
      </c>
      <c r="H796" s="114"/>
      <c r="I796">
        <v>0</v>
      </c>
      <c r="P796" s="114"/>
      <c r="Q796">
        <v>0</v>
      </c>
      <c r="R796" s="16"/>
    </row>
    <row r="797" spans="1:18" ht="13.2">
      <c r="A797">
        <v>0</v>
      </c>
      <c r="H797" s="114"/>
      <c r="I797">
        <v>0</v>
      </c>
      <c r="P797" s="114"/>
      <c r="Q797">
        <v>0</v>
      </c>
      <c r="R797" s="16"/>
    </row>
    <row r="798" spans="1:18" ht="13.2">
      <c r="A798">
        <v>0</v>
      </c>
      <c r="H798" s="114"/>
      <c r="I798">
        <v>0</v>
      </c>
      <c r="P798" s="114"/>
      <c r="Q798">
        <v>0</v>
      </c>
      <c r="R798" s="16"/>
    </row>
    <row r="799" spans="1:18" ht="13.2">
      <c r="A799">
        <v>0</v>
      </c>
      <c r="H799" s="114"/>
      <c r="I799">
        <v>0</v>
      </c>
      <c r="P799" s="114"/>
      <c r="Q799">
        <v>0</v>
      </c>
      <c r="R799" s="16"/>
    </row>
    <row r="800" spans="1:18" ht="13.2">
      <c r="A800">
        <v>0</v>
      </c>
      <c r="H800" s="114"/>
      <c r="I800">
        <v>0</v>
      </c>
      <c r="P800" s="114"/>
      <c r="Q800">
        <v>0</v>
      </c>
      <c r="R800" s="16"/>
    </row>
    <row r="801" spans="1:18" ht="13.2">
      <c r="A801">
        <v>0</v>
      </c>
      <c r="H801" s="114"/>
      <c r="I801">
        <v>0</v>
      </c>
      <c r="P801" s="114"/>
      <c r="Q801">
        <v>0</v>
      </c>
      <c r="R801" s="16"/>
    </row>
    <row r="802" spans="1:18" ht="13.2">
      <c r="A802">
        <v>0</v>
      </c>
      <c r="H802" s="114"/>
      <c r="I802">
        <v>0</v>
      </c>
      <c r="P802" s="114"/>
      <c r="Q802">
        <v>0</v>
      </c>
      <c r="R802" s="16"/>
    </row>
    <row r="803" spans="1:18" ht="13.2">
      <c r="A803">
        <v>0</v>
      </c>
      <c r="H803" s="114"/>
      <c r="I803">
        <v>0</v>
      </c>
      <c r="P803" s="114"/>
      <c r="Q803">
        <v>0</v>
      </c>
      <c r="R803" s="16"/>
    </row>
    <row r="804" spans="1:18" ht="13.2">
      <c r="A804">
        <v>0</v>
      </c>
      <c r="H804" s="114"/>
      <c r="I804">
        <v>0</v>
      </c>
      <c r="P804" s="114"/>
      <c r="Q804">
        <v>0</v>
      </c>
      <c r="R804" s="16"/>
    </row>
    <row r="805" spans="1:18" ht="13.2">
      <c r="A805">
        <v>0</v>
      </c>
      <c r="H805" s="114"/>
      <c r="I805">
        <v>0</v>
      </c>
      <c r="P805" s="114"/>
      <c r="Q805">
        <v>0</v>
      </c>
      <c r="R805" s="16"/>
    </row>
    <row r="806" spans="1:18" ht="13.2">
      <c r="A806">
        <v>0</v>
      </c>
      <c r="H806" s="114"/>
      <c r="I806">
        <v>0</v>
      </c>
      <c r="P806" s="114"/>
      <c r="Q806">
        <v>0</v>
      </c>
      <c r="R806" s="16"/>
    </row>
    <row r="807" spans="1:18" ht="13.2">
      <c r="A807">
        <v>0</v>
      </c>
      <c r="H807" s="114"/>
      <c r="I807">
        <v>0</v>
      </c>
      <c r="P807" s="114"/>
      <c r="Q807">
        <v>0</v>
      </c>
      <c r="R807" s="16"/>
    </row>
    <row r="808" spans="1:18" ht="13.2">
      <c r="A808">
        <v>0</v>
      </c>
      <c r="H808" s="114"/>
      <c r="I808">
        <v>0</v>
      </c>
      <c r="P808" s="114"/>
      <c r="Q808">
        <v>0</v>
      </c>
      <c r="R808" s="16"/>
    </row>
    <row r="809" spans="1:18" ht="13.2">
      <c r="A809">
        <v>0</v>
      </c>
      <c r="H809" s="114"/>
      <c r="I809">
        <v>0</v>
      </c>
      <c r="P809" s="114"/>
      <c r="Q809">
        <v>0</v>
      </c>
      <c r="R809" s="16"/>
    </row>
    <row r="810" spans="1:18" ht="13.2">
      <c r="A810">
        <v>0</v>
      </c>
      <c r="H810" s="114"/>
      <c r="I810">
        <v>0</v>
      </c>
      <c r="P810" s="114"/>
      <c r="Q810">
        <v>0</v>
      </c>
      <c r="R810" s="16"/>
    </row>
    <row r="811" spans="1:18" ht="13.2">
      <c r="A811">
        <v>0</v>
      </c>
      <c r="H811" s="114"/>
      <c r="I811">
        <v>0</v>
      </c>
      <c r="P811" s="114"/>
      <c r="Q811">
        <v>0</v>
      </c>
      <c r="R811" s="16"/>
    </row>
    <row r="812" spans="1:18" ht="13.2">
      <c r="A812">
        <v>0</v>
      </c>
      <c r="H812" s="114"/>
      <c r="I812">
        <v>0</v>
      </c>
      <c r="P812" s="114"/>
      <c r="Q812">
        <v>0</v>
      </c>
      <c r="R812" s="16"/>
    </row>
    <row r="813" spans="1:18" ht="13.2">
      <c r="A813">
        <v>0</v>
      </c>
      <c r="H813" s="114"/>
      <c r="I813">
        <v>0</v>
      </c>
      <c r="P813" s="114"/>
      <c r="Q813">
        <v>0</v>
      </c>
      <c r="R813" s="16"/>
    </row>
    <row r="814" spans="1:18" ht="13.2">
      <c r="A814">
        <v>0</v>
      </c>
      <c r="H814" s="114"/>
      <c r="I814">
        <v>0</v>
      </c>
      <c r="P814" s="114"/>
      <c r="Q814">
        <v>0</v>
      </c>
      <c r="R814" s="16"/>
    </row>
    <row r="815" spans="1:18" ht="13.2">
      <c r="A815">
        <v>0</v>
      </c>
      <c r="H815" s="114"/>
      <c r="I815">
        <v>0</v>
      </c>
      <c r="P815" s="114"/>
      <c r="Q815">
        <v>0</v>
      </c>
      <c r="R815" s="16"/>
    </row>
    <row r="816" spans="1:18" ht="13.2">
      <c r="A816">
        <v>0</v>
      </c>
      <c r="H816" s="114"/>
      <c r="I816">
        <v>0</v>
      </c>
      <c r="P816" s="114"/>
      <c r="Q816">
        <v>0</v>
      </c>
      <c r="R816" s="16"/>
    </row>
    <row r="817" spans="1:18" ht="13.2">
      <c r="A817">
        <v>0</v>
      </c>
      <c r="H817" s="114"/>
      <c r="I817">
        <v>0</v>
      </c>
      <c r="P817" s="114"/>
      <c r="Q817">
        <v>0</v>
      </c>
      <c r="R817" s="16"/>
    </row>
    <row r="818" spans="1:18" ht="13.2">
      <c r="A818">
        <v>0</v>
      </c>
      <c r="H818" s="114"/>
      <c r="I818">
        <v>0</v>
      </c>
      <c r="P818" s="114"/>
      <c r="Q818">
        <v>0</v>
      </c>
      <c r="R818" s="16"/>
    </row>
    <row r="819" spans="1:18" ht="13.2">
      <c r="A819">
        <v>0</v>
      </c>
      <c r="H819" s="114"/>
      <c r="I819">
        <v>0</v>
      </c>
      <c r="P819" s="114"/>
      <c r="Q819">
        <v>0</v>
      </c>
      <c r="R819" s="16"/>
    </row>
    <row r="820" spans="1:18" ht="13.2">
      <c r="A820">
        <v>0</v>
      </c>
      <c r="H820" s="114"/>
      <c r="I820">
        <v>0</v>
      </c>
      <c r="P820" s="114"/>
      <c r="Q820">
        <v>0</v>
      </c>
      <c r="R820" s="16"/>
    </row>
    <row r="821" spans="1:18" ht="13.2">
      <c r="A821">
        <v>0</v>
      </c>
      <c r="H821" s="114"/>
      <c r="I821">
        <v>0</v>
      </c>
      <c r="P821" s="114"/>
      <c r="Q821">
        <v>0</v>
      </c>
      <c r="R821" s="16"/>
    </row>
    <row r="822" spans="1:18" ht="13.2">
      <c r="A822">
        <v>0</v>
      </c>
      <c r="H822" s="114"/>
      <c r="I822">
        <v>0</v>
      </c>
      <c r="P822" s="114"/>
      <c r="Q822">
        <v>0</v>
      </c>
      <c r="R822" s="16"/>
    </row>
    <row r="823" spans="1:18" ht="13.2">
      <c r="A823">
        <v>0</v>
      </c>
      <c r="H823" s="114"/>
      <c r="I823">
        <v>0</v>
      </c>
      <c r="P823" s="114"/>
      <c r="Q823">
        <v>0</v>
      </c>
      <c r="R823" s="16"/>
    </row>
    <row r="824" spans="1:18" ht="13.2">
      <c r="A824">
        <v>0</v>
      </c>
      <c r="H824" s="114"/>
      <c r="I824">
        <v>0</v>
      </c>
      <c r="P824" s="114"/>
      <c r="Q824">
        <v>0</v>
      </c>
      <c r="R824" s="16"/>
    </row>
    <row r="825" spans="1:18" ht="13.2">
      <c r="A825">
        <v>0</v>
      </c>
      <c r="H825" s="114"/>
      <c r="I825">
        <v>0</v>
      </c>
      <c r="P825" s="114"/>
      <c r="Q825">
        <v>0</v>
      </c>
      <c r="R825" s="16"/>
    </row>
    <row r="826" spans="1:18" ht="13.2">
      <c r="A826">
        <v>0</v>
      </c>
      <c r="H826" s="114"/>
      <c r="I826">
        <v>0</v>
      </c>
      <c r="P826" s="114"/>
      <c r="Q826">
        <v>0</v>
      </c>
      <c r="R826" s="16"/>
    </row>
    <row r="827" spans="1:18" ht="13.2">
      <c r="A827">
        <v>0</v>
      </c>
      <c r="H827" s="114"/>
      <c r="I827">
        <v>0</v>
      </c>
      <c r="P827" s="114"/>
      <c r="Q827">
        <v>0</v>
      </c>
      <c r="R827" s="16"/>
    </row>
    <row r="828" spans="1:18" ht="13.2">
      <c r="A828">
        <v>0</v>
      </c>
      <c r="H828" s="114"/>
      <c r="I828">
        <v>0</v>
      </c>
      <c r="P828" s="114"/>
      <c r="Q828">
        <v>0</v>
      </c>
      <c r="R828" s="16"/>
    </row>
    <row r="829" spans="1:18" ht="13.2">
      <c r="A829">
        <v>0</v>
      </c>
      <c r="H829" s="114"/>
      <c r="I829">
        <v>0</v>
      </c>
      <c r="P829" s="114"/>
      <c r="Q829">
        <v>0</v>
      </c>
      <c r="R829" s="16"/>
    </row>
    <row r="830" spans="1:18" ht="13.2">
      <c r="A830">
        <v>0</v>
      </c>
      <c r="H830" s="114"/>
      <c r="I830">
        <v>0</v>
      </c>
      <c r="P830" s="114"/>
      <c r="Q830">
        <v>0</v>
      </c>
      <c r="R830" s="16"/>
    </row>
    <row r="831" spans="1:18" ht="13.2">
      <c r="A831">
        <v>0</v>
      </c>
      <c r="H831" s="114"/>
      <c r="I831">
        <v>0</v>
      </c>
      <c r="P831" s="114"/>
      <c r="Q831">
        <v>0</v>
      </c>
      <c r="R831" s="16"/>
    </row>
    <row r="832" spans="1:18" ht="13.2">
      <c r="A832">
        <v>0</v>
      </c>
      <c r="H832" s="114"/>
      <c r="I832">
        <v>0</v>
      </c>
      <c r="P832" s="114"/>
      <c r="Q832">
        <v>0</v>
      </c>
      <c r="R832" s="16"/>
    </row>
    <row r="833" spans="1:18" ht="13.2">
      <c r="A833">
        <v>0</v>
      </c>
      <c r="H833" s="114"/>
      <c r="I833">
        <v>0</v>
      </c>
      <c r="P833" s="114"/>
      <c r="Q833">
        <v>0</v>
      </c>
      <c r="R833" s="16"/>
    </row>
    <row r="834" spans="1:18" ht="13.2">
      <c r="A834">
        <v>0</v>
      </c>
      <c r="H834" s="114"/>
      <c r="I834">
        <v>0</v>
      </c>
      <c r="P834" s="114"/>
      <c r="Q834">
        <v>0</v>
      </c>
      <c r="R834" s="16"/>
    </row>
    <row r="835" spans="1:18" ht="13.2">
      <c r="A835">
        <v>0</v>
      </c>
      <c r="H835" s="114"/>
      <c r="I835">
        <v>0</v>
      </c>
      <c r="P835" s="114"/>
      <c r="Q835">
        <v>0</v>
      </c>
      <c r="R835" s="16"/>
    </row>
    <row r="836" spans="1:18" ht="13.2">
      <c r="A836">
        <v>0</v>
      </c>
      <c r="H836" s="114"/>
      <c r="I836">
        <v>0</v>
      </c>
      <c r="P836" s="114"/>
      <c r="Q836">
        <v>0</v>
      </c>
      <c r="R836" s="16"/>
    </row>
    <row r="837" spans="1:18" ht="13.2">
      <c r="A837">
        <v>0</v>
      </c>
      <c r="H837" s="114"/>
      <c r="I837">
        <v>0</v>
      </c>
      <c r="P837" s="114"/>
      <c r="Q837">
        <v>0</v>
      </c>
      <c r="R837" s="16"/>
    </row>
    <row r="838" spans="1:18" ht="13.2">
      <c r="A838">
        <v>0</v>
      </c>
      <c r="H838" s="114"/>
      <c r="I838">
        <v>0</v>
      </c>
      <c r="P838" s="114"/>
      <c r="Q838">
        <v>0</v>
      </c>
      <c r="R838" s="16"/>
    </row>
    <row r="839" spans="1:18" ht="13.2">
      <c r="A839">
        <v>0</v>
      </c>
      <c r="H839" s="114"/>
      <c r="I839">
        <v>0</v>
      </c>
      <c r="P839" s="114"/>
      <c r="Q839">
        <v>0</v>
      </c>
      <c r="R839" s="16"/>
    </row>
    <row r="840" spans="1:18" ht="13.2">
      <c r="A840">
        <v>0</v>
      </c>
      <c r="H840" s="114"/>
      <c r="I840">
        <v>0</v>
      </c>
      <c r="P840" s="114"/>
      <c r="Q840">
        <v>0</v>
      </c>
      <c r="R840" s="16"/>
    </row>
    <row r="841" spans="1:18" ht="13.2">
      <c r="A841">
        <v>0</v>
      </c>
      <c r="H841" s="114"/>
      <c r="I841">
        <v>0</v>
      </c>
      <c r="P841" s="114"/>
      <c r="Q841">
        <v>0</v>
      </c>
      <c r="R841" s="16"/>
    </row>
    <row r="842" spans="1:18" ht="13.2">
      <c r="A842">
        <v>0</v>
      </c>
      <c r="H842" s="114"/>
      <c r="I842">
        <v>0</v>
      </c>
      <c r="P842" s="114"/>
      <c r="Q842">
        <v>0</v>
      </c>
      <c r="R842" s="16"/>
    </row>
    <row r="843" spans="1:18" ht="13.2">
      <c r="A843">
        <v>0</v>
      </c>
      <c r="H843" s="114"/>
      <c r="I843">
        <v>0</v>
      </c>
      <c r="P843" s="114"/>
      <c r="Q843">
        <v>0</v>
      </c>
      <c r="R843" s="16"/>
    </row>
    <row r="844" spans="1:18" ht="13.2">
      <c r="A844">
        <v>0</v>
      </c>
      <c r="H844" s="114"/>
      <c r="I844">
        <v>0</v>
      </c>
      <c r="P844" s="114"/>
      <c r="Q844">
        <v>0</v>
      </c>
      <c r="R844" s="16"/>
    </row>
    <row r="845" spans="1:18" ht="13.2">
      <c r="A845">
        <v>0</v>
      </c>
      <c r="H845" s="114"/>
      <c r="I845">
        <v>0</v>
      </c>
      <c r="P845" s="114"/>
      <c r="Q845">
        <v>0</v>
      </c>
      <c r="R845" s="16"/>
    </row>
    <row r="846" spans="1:18" ht="13.2">
      <c r="A846">
        <v>0</v>
      </c>
      <c r="H846" s="114"/>
      <c r="I846">
        <v>0</v>
      </c>
      <c r="P846" s="114"/>
      <c r="Q846">
        <v>0</v>
      </c>
      <c r="R846" s="16"/>
    </row>
    <row r="847" spans="1:18" ht="13.2">
      <c r="A847">
        <v>0</v>
      </c>
      <c r="H847" s="114"/>
      <c r="I847">
        <v>0</v>
      </c>
      <c r="P847" s="114"/>
      <c r="Q847">
        <v>0</v>
      </c>
      <c r="R847" s="16"/>
    </row>
    <row r="848" spans="1:18" ht="13.2">
      <c r="A848">
        <v>0</v>
      </c>
      <c r="H848" s="114"/>
      <c r="I848">
        <v>0</v>
      </c>
      <c r="P848" s="114"/>
      <c r="Q848">
        <v>0</v>
      </c>
      <c r="R848" s="16"/>
    </row>
    <row r="849" spans="1:18" ht="13.2">
      <c r="A849">
        <v>0</v>
      </c>
      <c r="H849" s="114"/>
      <c r="I849">
        <v>0</v>
      </c>
      <c r="P849" s="114"/>
      <c r="Q849">
        <v>0</v>
      </c>
      <c r="R849" s="16"/>
    </row>
    <row r="850" spans="1:18" ht="13.2">
      <c r="A850">
        <v>0</v>
      </c>
      <c r="H850" s="114"/>
      <c r="I850">
        <v>0</v>
      </c>
      <c r="P850" s="114"/>
      <c r="Q850">
        <v>0</v>
      </c>
      <c r="R850" s="16"/>
    </row>
    <row r="851" spans="1:18" ht="13.2">
      <c r="A851">
        <v>0</v>
      </c>
      <c r="H851" s="114"/>
      <c r="I851">
        <v>0</v>
      </c>
      <c r="P851" s="114"/>
      <c r="Q851">
        <v>0</v>
      </c>
      <c r="R851" s="16"/>
    </row>
    <row r="852" spans="1:18" ht="13.2">
      <c r="A852">
        <v>0</v>
      </c>
      <c r="H852" s="114"/>
      <c r="I852">
        <v>0</v>
      </c>
      <c r="P852" s="114"/>
      <c r="Q852">
        <v>0</v>
      </c>
      <c r="R852" s="16"/>
    </row>
    <row r="853" spans="1:18" ht="13.2">
      <c r="A853">
        <v>0</v>
      </c>
      <c r="H853" s="114"/>
      <c r="I853">
        <v>0</v>
      </c>
      <c r="P853" s="114"/>
      <c r="Q853">
        <v>0</v>
      </c>
      <c r="R853" s="16"/>
    </row>
    <row r="854" spans="1:18" ht="13.2">
      <c r="A854">
        <v>0</v>
      </c>
      <c r="H854" s="114"/>
      <c r="I854">
        <v>0</v>
      </c>
      <c r="P854" s="114"/>
      <c r="Q854">
        <v>0</v>
      </c>
      <c r="R854" s="16"/>
    </row>
    <row r="855" spans="1:18" ht="13.2">
      <c r="A855">
        <v>0</v>
      </c>
      <c r="H855" s="114"/>
      <c r="I855">
        <v>0</v>
      </c>
      <c r="P855" s="114"/>
      <c r="Q855">
        <v>0</v>
      </c>
      <c r="R855" s="16"/>
    </row>
    <row r="856" spans="1:18" ht="13.2">
      <c r="A856">
        <v>0</v>
      </c>
      <c r="H856" s="114"/>
      <c r="I856">
        <v>0</v>
      </c>
      <c r="P856" s="114"/>
      <c r="Q856">
        <v>0</v>
      </c>
      <c r="R856" s="16"/>
    </row>
    <row r="857" spans="1:18" ht="13.2">
      <c r="A857">
        <v>0</v>
      </c>
      <c r="H857" s="114"/>
      <c r="I857">
        <v>0</v>
      </c>
      <c r="P857" s="114"/>
      <c r="Q857">
        <v>0</v>
      </c>
      <c r="R857" s="16"/>
    </row>
    <row r="858" spans="1:18" ht="13.2">
      <c r="A858">
        <v>0</v>
      </c>
      <c r="H858" s="114"/>
      <c r="I858">
        <v>0</v>
      </c>
      <c r="P858" s="114"/>
      <c r="Q858">
        <v>0</v>
      </c>
      <c r="R858" s="16"/>
    </row>
    <row r="859" spans="1:18" ht="13.2">
      <c r="A859">
        <v>0</v>
      </c>
      <c r="H859" s="114"/>
      <c r="I859">
        <v>0</v>
      </c>
      <c r="P859" s="114"/>
      <c r="Q859">
        <v>0</v>
      </c>
      <c r="R859" s="16"/>
    </row>
    <row r="860" spans="1:18" ht="13.2">
      <c r="A860">
        <v>0</v>
      </c>
      <c r="H860" s="114"/>
      <c r="I860">
        <v>0</v>
      </c>
      <c r="P860" s="114"/>
      <c r="Q860">
        <v>0</v>
      </c>
      <c r="R860" s="16"/>
    </row>
    <row r="861" spans="1:18" ht="13.2">
      <c r="A861">
        <v>0</v>
      </c>
      <c r="H861" s="114"/>
      <c r="I861">
        <v>0</v>
      </c>
      <c r="P861" s="114"/>
      <c r="Q861">
        <v>0</v>
      </c>
      <c r="R861" s="16"/>
    </row>
    <row r="862" spans="1:18" ht="13.2">
      <c r="A862">
        <v>0</v>
      </c>
      <c r="H862" s="114"/>
      <c r="I862">
        <v>0</v>
      </c>
      <c r="P862" s="114"/>
      <c r="Q862">
        <v>0</v>
      </c>
      <c r="R862" s="16"/>
    </row>
    <row r="863" spans="1:18" ht="13.2">
      <c r="A863">
        <v>0</v>
      </c>
      <c r="H863" s="114"/>
      <c r="I863">
        <v>0</v>
      </c>
      <c r="P863" s="114"/>
      <c r="Q863">
        <v>0</v>
      </c>
      <c r="R863" s="16"/>
    </row>
    <row r="864" spans="1:18" ht="13.2">
      <c r="A864">
        <v>0</v>
      </c>
      <c r="H864" s="114"/>
      <c r="I864">
        <v>0</v>
      </c>
      <c r="P864" s="114"/>
      <c r="Q864">
        <v>0</v>
      </c>
      <c r="R864" s="16"/>
    </row>
    <row r="865" spans="1:18" ht="13.2">
      <c r="A865">
        <v>0</v>
      </c>
      <c r="H865" s="114"/>
      <c r="I865">
        <v>0</v>
      </c>
      <c r="P865" s="114"/>
      <c r="Q865">
        <v>0</v>
      </c>
      <c r="R865" s="16"/>
    </row>
    <row r="866" spans="1:18" ht="13.2">
      <c r="A866">
        <v>0</v>
      </c>
      <c r="H866" s="114"/>
      <c r="I866">
        <v>0</v>
      </c>
      <c r="P866" s="114"/>
      <c r="Q866">
        <v>0</v>
      </c>
      <c r="R866" s="16"/>
    </row>
    <row r="867" spans="1:18" ht="13.2">
      <c r="A867">
        <v>0</v>
      </c>
      <c r="H867" s="114"/>
      <c r="I867">
        <v>0</v>
      </c>
      <c r="P867" s="114"/>
      <c r="Q867">
        <v>0</v>
      </c>
      <c r="R867" s="16"/>
    </row>
    <row r="868" spans="1:18" ht="13.2">
      <c r="A868">
        <v>0</v>
      </c>
      <c r="H868" s="114"/>
      <c r="I868">
        <v>0</v>
      </c>
      <c r="P868" s="114"/>
      <c r="Q868">
        <v>0</v>
      </c>
      <c r="R868" s="16"/>
    </row>
    <row r="869" spans="1:18" ht="13.2">
      <c r="A869">
        <v>0</v>
      </c>
      <c r="H869" s="114"/>
      <c r="I869">
        <v>0</v>
      </c>
      <c r="P869" s="114"/>
      <c r="Q869">
        <v>0</v>
      </c>
      <c r="R869" s="16"/>
    </row>
    <row r="870" spans="1:18" ht="13.2">
      <c r="A870">
        <v>0</v>
      </c>
      <c r="H870" s="114"/>
      <c r="I870">
        <v>0</v>
      </c>
      <c r="P870" s="114"/>
      <c r="Q870">
        <v>0</v>
      </c>
      <c r="R870" s="16"/>
    </row>
    <row r="871" spans="1:18" ht="13.2">
      <c r="A871">
        <v>0</v>
      </c>
      <c r="H871" s="114"/>
      <c r="I871">
        <v>0</v>
      </c>
      <c r="P871" s="114"/>
      <c r="Q871">
        <v>0</v>
      </c>
      <c r="R871" s="16"/>
    </row>
    <row r="872" spans="1:18" ht="13.2">
      <c r="A872">
        <v>0</v>
      </c>
      <c r="H872" s="114"/>
      <c r="I872">
        <v>0</v>
      </c>
      <c r="P872" s="114"/>
      <c r="Q872">
        <v>0</v>
      </c>
      <c r="R872" s="16"/>
    </row>
    <row r="873" spans="1:18" ht="13.2">
      <c r="A873">
        <v>0</v>
      </c>
      <c r="H873" s="114"/>
      <c r="I873">
        <v>0</v>
      </c>
      <c r="P873" s="114"/>
      <c r="Q873">
        <v>0</v>
      </c>
      <c r="R873" s="16"/>
    </row>
    <row r="874" spans="1:18" ht="13.2">
      <c r="A874">
        <v>0</v>
      </c>
      <c r="H874" s="114"/>
      <c r="I874">
        <v>0</v>
      </c>
      <c r="P874" s="114"/>
      <c r="Q874">
        <v>0</v>
      </c>
      <c r="R874" s="16"/>
    </row>
    <row r="875" spans="1:18" ht="13.2">
      <c r="A875">
        <v>0</v>
      </c>
      <c r="H875" s="114"/>
      <c r="I875">
        <v>0</v>
      </c>
      <c r="P875" s="114"/>
      <c r="Q875">
        <v>0</v>
      </c>
      <c r="R875" s="16"/>
    </row>
    <row r="876" spans="1:18" ht="13.2">
      <c r="A876">
        <v>0</v>
      </c>
      <c r="H876" s="114"/>
      <c r="I876">
        <v>0</v>
      </c>
      <c r="P876" s="114"/>
      <c r="Q876">
        <v>0</v>
      </c>
      <c r="R876" s="16"/>
    </row>
    <row r="877" spans="1:18" ht="13.2">
      <c r="A877">
        <v>0</v>
      </c>
      <c r="H877" s="114"/>
      <c r="I877">
        <v>0</v>
      </c>
      <c r="P877" s="114"/>
      <c r="Q877">
        <v>0</v>
      </c>
      <c r="R877" s="16"/>
    </row>
    <row r="878" spans="1:18" ht="13.2">
      <c r="A878">
        <v>0</v>
      </c>
      <c r="H878" s="114"/>
      <c r="I878">
        <v>0</v>
      </c>
      <c r="P878" s="114"/>
      <c r="Q878">
        <v>0</v>
      </c>
      <c r="R878" s="16"/>
    </row>
    <row r="879" spans="1:18" ht="13.2">
      <c r="A879">
        <v>0</v>
      </c>
      <c r="H879" s="114"/>
      <c r="I879">
        <v>0</v>
      </c>
      <c r="P879" s="114"/>
      <c r="Q879">
        <v>0</v>
      </c>
      <c r="R879" s="16"/>
    </row>
    <row r="880" spans="1:18" ht="13.2">
      <c r="A880">
        <v>0</v>
      </c>
      <c r="H880" s="114"/>
      <c r="I880">
        <v>0</v>
      </c>
      <c r="P880" s="114"/>
      <c r="Q880">
        <v>0</v>
      </c>
      <c r="R880" s="16"/>
    </row>
    <row r="881" spans="1:18" ht="13.2">
      <c r="A881">
        <v>0</v>
      </c>
      <c r="H881" s="114"/>
      <c r="I881">
        <v>0</v>
      </c>
      <c r="P881" s="114"/>
      <c r="Q881">
        <v>0</v>
      </c>
      <c r="R881" s="16"/>
    </row>
    <row r="882" spans="1:18" ht="13.2">
      <c r="A882">
        <v>0</v>
      </c>
      <c r="H882" s="114"/>
      <c r="I882">
        <v>0</v>
      </c>
      <c r="P882" s="114"/>
      <c r="Q882">
        <v>0</v>
      </c>
      <c r="R882" s="16"/>
    </row>
    <row r="883" spans="1:18" ht="13.2">
      <c r="A883">
        <v>0</v>
      </c>
      <c r="H883" s="114"/>
      <c r="I883">
        <v>0</v>
      </c>
      <c r="P883" s="114"/>
      <c r="Q883">
        <v>0</v>
      </c>
      <c r="R883" s="16"/>
    </row>
    <row r="884" spans="1:18" ht="13.2">
      <c r="A884">
        <v>0</v>
      </c>
      <c r="H884" s="114"/>
      <c r="I884">
        <v>0</v>
      </c>
      <c r="P884" s="114"/>
      <c r="Q884">
        <v>0</v>
      </c>
      <c r="R884" s="16"/>
    </row>
    <row r="885" spans="1:18" ht="13.2">
      <c r="A885">
        <v>0</v>
      </c>
      <c r="H885" s="114"/>
      <c r="I885">
        <v>0</v>
      </c>
      <c r="P885" s="114"/>
      <c r="Q885">
        <v>0</v>
      </c>
      <c r="R885" s="16"/>
    </row>
    <row r="886" spans="1:18" ht="13.2">
      <c r="A886">
        <v>0</v>
      </c>
      <c r="H886" s="114"/>
      <c r="I886">
        <v>0</v>
      </c>
      <c r="P886" s="114"/>
      <c r="Q886">
        <v>0</v>
      </c>
      <c r="R886" s="16"/>
    </row>
    <row r="887" spans="1:18" ht="13.2">
      <c r="A887">
        <v>0</v>
      </c>
      <c r="H887" s="114"/>
      <c r="I887">
        <v>0</v>
      </c>
      <c r="P887" s="114"/>
      <c r="Q887">
        <v>0</v>
      </c>
      <c r="R887" s="16"/>
    </row>
    <row r="888" spans="1:18" ht="13.2">
      <c r="A888">
        <v>0</v>
      </c>
      <c r="H888" s="114"/>
      <c r="I888">
        <v>0</v>
      </c>
      <c r="P888" s="114"/>
      <c r="Q888">
        <v>0</v>
      </c>
      <c r="R888" s="16"/>
    </row>
    <row r="889" spans="1:18" ht="13.2">
      <c r="A889">
        <v>0</v>
      </c>
      <c r="H889" s="114"/>
      <c r="I889">
        <v>0</v>
      </c>
      <c r="P889" s="114"/>
      <c r="Q889">
        <v>0</v>
      </c>
      <c r="R889" s="16"/>
    </row>
    <row r="890" spans="1:18" ht="13.2">
      <c r="A890">
        <v>0</v>
      </c>
      <c r="H890" s="114"/>
      <c r="I890">
        <v>0</v>
      </c>
      <c r="P890" s="114"/>
      <c r="Q890">
        <v>0</v>
      </c>
      <c r="R890" s="16"/>
    </row>
    <row r="891" spans="1:18" ht="13.2">
      <c r="A891">
        <v>0</v>
      </c>
      <c r="H891" s="114"/>
      <c r="I891">
        <v>0</v>
      </c>
      <c r="P891" s="114"/>
      <c r="Q891">
        <v>0</v>
      </c>
      <c r="R891" s="16"/>
    </row>
    <row r="892" spans="1:18" ht="13.2">
      <c r="A892">
        <v>0</v>
      </c>
      <c r="H892" s="114"/>
      <c r="I892">
        <v>0</v>
      </c>
      <c r="P892" s="114"/>
      <c r="Q892">
        <v>0</v>
      </c>
      <c r="R892" s="16"/>
    </row>
    <row r="893" spans="1:18" ht="13.2">
      <c r="A893">
        <v>0</v>
      </c>
      <c r="H893" s="114"/>
      <c r="I893">
        <v>0</v>
      </c>
      <c r="P893" s="114"/>
      <c r="Q893">
        <v>0</v>
      </c>
      <c r="R893" s="16"/>
    </row>
    <row r="894" spans="1:18" ht="13.2">
      <c r="A894">
        <v>0</v>
      </c>
      <c r="H894" s="114"/>
      <c r="I894">
        <v>0</v>
      </c>
      <c r="P894" s="114"/>
      <c r="Q894">
        <v>0</v>
      </c>
      <c r="R894" s="16"/>
    </row>
    <row r="895" spans="1:18" ht="13.2">
      <c r="A895">
        <v>0</v>
      </c>
      <c r="H895" s="114"/>
      <c r="I895">
        <v>0</v>
      </c>
      <c r="P895" s="114"/>
      <c r="Q895">
        <v>0</v>
      </c>
      <c r="R895" s="16"/>
    </row>
    <row r="896" spans="1:18" ht="13.2">
      <c r="A896">
        <v>0</v>
      </c>
      <c r="H896" s="114"/>
      <c r="I896">
        <v>0</v>
      </c>
      <c r="P896" s="114"/>
      <c r="Q896">
        <v>0</v>
      </c>
      <c r="R896" s="16"/>
    </row>
    <row r="897" spans="1:18" ht="13.2">
      <c r="A897">
        <v>0</v>
      </c>
      <c r="H897" s="114"/>
      <c r="I897">
        <v>0</v>
      </c>
      <c r="P897" s="114"/>
      <c r="Q897">
        <v>0</v>
      </c>
      <c r="R897" s="16"/>
    </row>
    <row r="898" spans="1:18" ht="13.2">
      <c r="A898">
        <v>0</v>
      </c>
      <c r="H898" s="114"/>
      <c r="I898">
        <v>0</v>
      </c>
      <c r="P898" s="114"/>
      <c r="Q898">
        <v>0</v>
      </c>
      <c r="R898" s="16"/>
    </row>
    <row r="899" spans="1:18" ht="13.2">
      <c r="A899">
        <v>0</v>
      </c>
      <c r="H899" s="114"/>
      <c r="I899">
        <v>0</v>
      </c>
      <c r="P899" s="114"/>
      <c r="Q899">
        <v>0</v>
      </c>
      <c r="R899" s="16"/>
    </row>
    <row r="900" spans="1:18" ht="13.2">
      <c r="A900">
        <v>0</v>
      </c>
      <c r="H900" s="114"/>
      <c r="I900">
        <v>0</v>
      </c>
      <c r="P900" s="114"/>
      <c r="Q900">
        <v>0</v>
      </c>
      <c r="R900" s="16"/>
    </row>
    <row r="901" spans="1:18" ht="13.2">
      <c r="A901">
        <v>0</v>
      </c>
      <c r="H901" s="114"/>
      <c r="I901">
        <v>0</v>
      </c>
      <c r="P901" s="114"/>
      <c r="Q901">
        <v>0</v>
      </c>
      <c r="R901" s="16"/>
    </row>
    <row r="902" spans="1:18" ht="13.2">
      <c r="A902">
        <v>0</v>
      </c>
      <c r="H902" s="114"/>
      <c r="I902">
        <v>0</v>
      </c>
      <c r="P902" s="114"/>
      <c r="Q902">
        <v>0</v>
      </c>
      <c r="R902" s="16"/>
    </row>
    <row r="903" spans="1:18" ht="13.2">
      <c r="A903">
        <v>0</v>
      </c>
      <c r="H903" s="114"/>
      <c r="I903">
        <v>0</v>
      </c>
      <c r="P903" s="114"/>
      <c r="Q903">
        <v>0</v>
      </c>
      <c r="R903" s="16"/>
    </row>
    <row r="904" spans="1:18" ht="13.2">
      <c r="A904">
        <v>0</v>
      </c>
      <c r="H904" s="114"/>
      <c r="I904">
        <v>0</v>
      </c>
      <c r="P904" s="114"/>
      <c r="Q904">
        <v>0</v>
      </c>
      <c r="R904" s="16"/>
    </row>
    <row r="905" spans="1:18" ht="13.2">
      <c r="A905">
        <v>0</v>
      </c>
      <c r="H905" s="114"/>
      <c r="I905">
        <v>0</v>
      </c>
      <c r="P905" s="114"/>
      <c r="Q905">
        <v>0</v>
      </c>
      <c r="R905" s="16"/>
    </row>
    <row r="906" spans="1:18" ht="13.2">
      <c r="A906">
        <v>0</v>
      </c>
      <c r="H906" s="114"/>
      <c r="I906">
        <v>0</v>
      </c>
      <c r="P906" s="114"/>
      <c r="Q906">
        <v>0</v>
      </c>
      <c r="R906" s="16"/>
    </row>
    <row r="907" spans="1:18" ht="13.2">
      <c r="A907">
        <v>0</v>
      </c>
      <c r="H907" s="114"/>
      <c r="I907">
        <v>0</v>
      </c>
      <c r="P907" s="114"/>
      <c r="Q907">
        <v>0</v>
      </c>
      <c r="R907" s="16"/>
    </row>
    <row r="908" spans="1:18" ht="13.2">
      <c r="A908">
        <v>0</v>
      </c>
      <c r="H908" s="114"/>
      <c r="I908">
        <v>0</v>
      </c>
      <c r="P908" s="114"/>
      <c r="Q908">
        <v>0</v>
      </c>
      <c r="R908" s="16"/>
    </row>
    <row r="909" spans="1:18" ht="13.2">
      <c r="A909">
        <v>0</v>
      </c>
      <c r="H909" s="114"/>
      <c r="I909">
        <v>0</v>
      </c>
      <c r="P909" s="114"/>
      <c r="Q909">
        <v>0</v>
      </c>
      <c r="R909" s="16"/>
    </row>
    <row r="910" spans="1:18" ht="13.2">
      <c r="A910">
        <v>0</v>
      </c>
      <c r="H910" s="114"/>
      <c r="I910">
        <v>0</v>
      </c>
      <c r="P910" s="114"/>
      <c r="Q910">
        <v>0</v>
      </c>
      <c r="R910" s="16"/>
    </row>
    <row r="911" spans="1:18" ht="13.2">
      <c r="A911">
        <v>0</v>
      </c>
      <c r="H911" s="114"/>
      <c r="I911">
        <v>0</v>
      </c>
      <c r="P911" s="114"/>
      <c r="Q911">
        <v>0</v>
      </c>
      <c r="R911" s="16"/>
    </row>
    <row r="912" spans="1:18" ht="13.2">
      <c r="A912">
        <v>0</v>
      </c>
      <c r="H912" s="114"/>
      <c r="I912">
        <v>0</v>
      </c>
      <c r="P912" s="114"/>
      <c r="Q912">
        <v>0</v>
      </c>
      <c r="R912" s="16"/>
    </row>
    <row r="913" spans="1:18" ht="13.2">
      <c r="A913">
        <v>0</v>
      </c>
      <c r="H913" s="114"/>
      <c r="I913">
        <v>0</v>
      </c>
      <c r="P913" s="114"/>
      <c r="Q913">
        <v>0</v>
      </c>
      <c r="R913" s="16"/>
    </row>
    <row r="914" spans="1:18" ht="13.2">
      <c r="A914">
        <v>0</v>
      </c>
      <c r="H914" s="114"/>
      <c r="I914">
        <v>0</v>
      </c>
      <c r="P914" s="114"/>
      <c r="Q914">
        <v>0</v>
      </c>
      <c r="R914" s="16"/>
    </row>
    <row r="915" spans="1:18" ht="13.2">
      <c r="A915">
        <v>0</v>
      </c>
      <c r="H915" s="114"/>
      <c r="I915">
        <v>0</v>
      </c>
      <c r="P915" s="114"/>
      <c r="Q915">
        <v>0</v>
      </c>
      <c r="R915" s="16"/>
    </row>
    <row r="916" spans="1:18" ht="13.2">
      <c r="A916">
        <v>0</v>
      </c>
      <c r="H916" s="114"/>
      <c r="I916">
        <v>0</v>
      </c>
      <c r="P916" s="114"/>
      <c r="Q916">
        <v>0</v>
      </c>
      <c r="R916" s="16"/>
    </row>
    <row r="917" spans="1:18" ht="13.2">
      <c r="A917">
        <v>0</v>
      </c>
      <c r="H917" s="114"/>
      <c r="I917">
        <v>0</v>
      </c>
      <c r="P917" s="114"/>
      <c r="Q917">
        <v>0</v>
      </c>
      <c r="R917" s="16"/>
    </row>
    <row r="918" spans="1:18" ht="13.2">
      <c r="A918">
        <v>0</v>
      </c>
      <c r="H918" s="114"/>
      <c r="I918">
        <v>0</v>
      </c>
      <c r="P918" s="114"/>
      <c r="Q918">
        <v>0</v>
      </c>
      <c r="R918" s="16"/>
    </row>
    <row r="919" spans="1:18" ht="13.2">
      <c r="A919">
        <v>0</v>
      </c>
      <c r="H919" s="114"/>
      <c r="I919">
        <v>0</v>
      </c>
      <c r="P919" s="114"/>
      <c r="Q919">
        <v>0</v>
      </c>
      <c r="R919" s="16"/>
    </row>
    <row r="920" spans="1:18" ht="13.2">
      <c r="A920">
        <v>0</v>
      </c>
      <c r="H920" s="114"/>
      <c r="I920">
        <v>0</v>
      </c>
      <c r="P920" s="114"/>
      <c r="Q920">
        <v>0</v>
      </c>
      <c r="R920" s="16"/>
    </row>
    <row r="921" spans="1:18" ht="13.2">
      <c r="A921">
        <v>0</v>
      </c>
      <c r="H921" s="114"/>
      <c r="I921">
        <v>0</v>
      </c>
      <c r="P921" s="114"/>
      <c r="Q921">
        <v>0</v>
      </c>
      <c r="R921" s="16"/>
    </row>
    <row r="922" spans="1:18" ht="13.2">
      <c r="A922">
        <v>0</v>
      </c>
      <c r="H922" s="114"/>
      <c r="I922">
        <v>0</v>
      </c>
      <c r="P922" s="114"/>
      <c r="Q922">
        <v>0</v>
      </c>
      <c r="R922" s="16"/>
    </row>
    <row r="923" spans="1:18" ht="13.2">
      <c r="A923">
        <v>0</v>
      </c>
      <c r="H923" s="114"/>
      <c r="I923">
        <v>0</v>
      </c>
      <c r="P923" s="114"/>
      <c r="Q923">
        <v>0</v>
      </c>
      <c r="R923" s="16"/>
    </row>
    <row r="924" spans="1:18" ht="13.2">
      <c r="A924">
        <v>0</v>
      </c>
      <c r="H924" s="114"/>
      <c r="I924">
        <v>0</v>
      </c>
      <c r="P924" s="114"/>
      <c r="Q924">
        <v>0</v>
      </c>
      <c r="R924" s="16"/>
    </row>
    <row r="925" spans="1:18" ht="13.2">
      <c r="A925">
        <v>0</v>
      </c>
      <c r="H925" s="114"/>
      <c r="I925">
        <v>0</v>
      </c>
      <c r="P925" s="114"/>
      <c r="Q925">
        <v>0</v>
      </c>
      <c r="R925" s="16"/>
    </row>
    <row r="926" spans="1:18" ht="13.2">
      <c r="A926">
        <v>0</v>
      </c>
      <c r="H926" s="114"/>
      <c r="I926">
        <v>0</v>
      </c>
      <c r="P926" s="114"/>
      <c r="Q926">
        <v>0</v>
      </c>
      <c r="R926" s="16"/>
    </row>
    <row r="927" spans="1:18" ht="13.2">
      <c r="A927">
        <v>0</v>
      </c>
      <c r="H927" s="114"/>
      <c r="I927">
        <v>0</v>
      </c>
      <c r="P927" s="114"/>
      <c r="Q927">
        <v>0</v>
      </c>
      <c r="R927" s="16"/>
    </row>
    <row r="928" spans="1:18" ht="13.2">
      <c r="A928">
        <v>0</v>
      </c>
      <c r="H928" s="114"/>
      <c r="I928">
        <v>0</v>
      </c>
      <c r="P928" s="114"/>
      <c r="Q928">
        <v>0</v>
      </c>
      <c r="R928" s="16"/>
    </row>
    <row r="929" spans="1:18" ht="13.2">
      <c r="A929">
        <v>0</v>
      </c>
      <c r="H929" s="114"/>
      <c r="I929">
        <v>0</v>
      </c>
      <c r="P929" s="114"/>
      <c r="Q929">
        <v>0</v>
      </c>
      <c r="R929" s="16"/>
    </row>
    <row r="930" spans="1:18" ht="13.2">
      <c r="A930">
        <v>0</v>
      </c>
      <c r="H930" s="114"/>
      <c r="I930">
        <v>0</v>
      </c>
      <c r="P930" s="114"/>
      <c r="Q930">
        <v>0</v>
      </c>
      <c r="R930" s="16"/>
    </row>
    <row r="931" spans="1:18" ht="13.2">
      <c r="A931">
        <v>0</v>
      </c>
      <c r="H931" s="114"/>
      <c r="I931">
        <v>0</v>
      </c>
      <c r="P931" s="114"/>
      <c r="Q931">
        <v>0</v>
      </c>
      <c r="R931" s="16"/>
    </row>
    <row r="932" spans="1:18" ht="13.2">
      <c r="A932">
        <v>0</v>
      </c>
      <c r="H932" s="114"/>
      <c r="I932">
        <v>0</v>
      </c>
      <c r="P932" s="114"/>
      <c r="Q932">
        <v>0</v>
      </c>
      <c r="R932" s="16"/>
    </row>
    <row r="933" spans="1:18" ht="13.2">
      <c r="A933">
        <v>0</v>
      </c>
      <c r="H933" s="114"/>
      <c r="I933">
        <v>0</v>
      </c>
      <c r="P933" s="114"/>
      <c r="Q933">
        <v>0</v>
      </c>
      <c r="R933" s="16"/>
    </row>
    <row r="934" spans="1:18" ht="13.2">
      <c r="A934">
        <v>0</v>
      </c>
      <c r="H934" s="114"/>
      <c r="I934">
        <v>0</v>
      </c>
      <c r="P934" s="114"/>
      <c r="Q934">
        <v>0</v>
      </c>
      <c r="R934" s="16"/>
    </row>
    <row r="935" spans="1:18" ht="13.2">
      <c r="A935">
        <v>0</v>
      </c>
      <c r="H935" s="114"/>
      <c r="I935">
        <v>0</v>
      </c>
      <c r="P935" s="114"/>
      <c r="Q935">
        <v>0</v>
      </c>
      <c r="R935" s="16"/>
    </row>
    <row r="936" spans="1:18" ht="13.2">
      <c r="A936">
        <v>0</v>
      </c>
      <c r="H936" s="114"/>
      <c r="I936">
        <v>0</v>
      </c>
      <c r="P936" s="114"/>
      <c r="Q936">
        <v>0</v>
      </c>
      <c r="R936" s="16"/>
    </row>
    <row r="937" spans="1:18" ht="13.2">
      <c r="A937">
        <v>0</v>
      </c>
      <c r="H937" s="114"/>
      <c r="I937">
        <v>0</v>
      </c>
      <c r="P937" s="114"/>
      <c r="Q937">
        <v>0</v>
      </c>
      <c r="R937" s="16"/>
    </row>
    <row r="938" spans="1:18" ht="13.2">
      <c r="A938">
        <v>0</v>
      </c>
      <c r="H938" s="114"/>
      <c r="I938">
        <v>0</v>
      </c>
      <c r="P938" s="114"/>
      <c r="Q938">
        <v>0</v>
      </c>
      <c r="R938" s="16"/>
    </row>
    <row r="939" spans="1:18" ht="13.2">
      <c r="A939">
        <v>0</v>
      </c>
      <c r="H939" s="114"/>
      <c r="I939">
        <v>0</v>
      </c>
      <c r="P939" s="114"/>
      <c r="Q939">
        <v>0</v>
      </c>
      <c r="R939" s="16"/>
    </row>
    <row r="940" spans="1:18" ht="13.2">
      <c r="A940">
        <v>0</v>
      </c>
      <c r="H940" s="114"/>
      <c r="I940">
        <v>0</v>
      </c>
      <c r="P940" s="114"/>
      <c r="Q940">
        <v>0</v>
      </c>
      <c r="R940" s="16"/>
    </row>
    <row r="941" spans="1:18" ht="13.2">
      <c r="A941">
        <v>0</v>
      </c>
      <c r="H941" s="114"/>
      <c r="I941">
        <v>0</v>
      </c>
      <c r="P941" s="114"/>
      <c r="Q941">
        <v>0</v>
      </c>
      <c r="R941" s="16"/>
    </row>
    <row r="942" spans="1:18" ht="13.2">
      <c r="A942">
        <v>0</v>
      </c>
      <c r="H942" s="114"/>
      <c r="I942">
        <v>0</v>
      </c>
      <c r="P942" s="114"/>
      <c r="Q942">
        <v>0</v>
      </c>
      <c r="R942" s="16"/>
    </row>
    <row r="943" spans="1:18" ht="13.2">
      <c r="A943">
        <v>0</v>
      </c>
      <c r="H943" s="114"/>
      <c r="I943">
        <v>0</v>
      </c>
      <c r="P943" s="114"/>
      <c r="Q943">
        <v>0</v>
      </c>
      <c r="R943" s="16"/>
    </row>
    <row r="944" spans="1:18" ht="13.2">
      <c r="A944">
        <v>0</v>
      </c>
      <c r="H944" s="114"/>
      <c r="I944">
        <v>0</v>
      </c>
      <c r="P944" s="114"/>
      <c r="Q944">
        <v>0</v>
      </c>
      <c r="R944" s="16"/>
    </row>
    <row r="945" spans="1:18" ht="13.2">
      <c r="A945">
        <v>0</v>
      </c>
      <c r="H945" s="114"/>
      <c r="I945">
        <v>0</v>
      </c>
      <c r="P945" s="114"/>
      <c r="Q945">
        <v>0</v>
      </c>
      <c r="R945" s="16"/>
    </row>
    <row r="946" spans="1:18" ht="13.2">
      <c r="A946">
        <v>0</v>
      </c>
      <c r="H946" s="114"/>
      <c r="I946">
        <v>0</v>
      </c>
      <c r="P946" s="114"/>
      <c r="Q946">
        <v>0</v>
      </c>
      <c r="R946" s="16"/>
    </row>
    <row r="947" spans="1:18" ht="13.2">
      <c r="A947">
        <v>0</v>
      </c>
      <c r="H947" s="114"/>
      <c r="I947">
        <v>0</v>
      </c>
      <c r="P947" s="114"/>
      <c r="Q947">
        <v>0</v>
      </c>
      <c r="R947" s="16"/>
    </row>
    <row r="948" spans="1:18" ht="13.2">
      <c r="A948">
        <v>0</v>
      </c>
      <c r="H948" s="114"/>
      <c r="I948">
        <v>0</v>
      </c>
      <c r="P948" s="114"/>
      <c r="Q948">
        <v>0</v>
      </c>
      <c r="R948" s="16"/>
    </row>
    <row r="949" spans="1:18" ht="13.2">
      <c r="A949">
        <v>0</v>
      </c>
      <c r="H949" s="114"/>
      <c r="I949">
        <v>0</v>
      </c>
      <c r="P949" s="114"/>
      <c r="Q949">
        <v>0</v>
      </c>
      <c r="R949" s="16"/>
    </row>
    <row r="950" spans="1:18" ht="13.2">
      <c r="A950">
        <v>0</v>
      </c>
      <c r="H950" s="114"/>
      <c r="I950">
        <v>0</v>
      </c>
      <c r="P950" s="114"/>
      <c r="Q950">
        <v>0</v>
      </c>
      <c r="R950" s="16"/>
    </row>
    <row r="951" spans="1:18" ht="13.2">
      <c r="A951">
        <v>0</v>
      </c>
      <c r="H951" s="114"/>
      <c r="I951">
        <v>0</v>
      </c>
      <c r="P951" s="114"/>
      <c r="Q951">
        <v>0</v>
      </c>
      <c r="R951" s="16"/>
    </row>
    <row r="952" spans="1:18" ht="13.2">
      <c r="A952">
        <v>0</v>
      </c>
      <c r="H952" s="114"/>
      <c r="I952">
        <v>0</v>
      </c>
      <c r="P952" s="114"/>
      <c r="Q952">
        <v>0</v>
      </c>
      <c r="R952" s="16"/>
    </row>
    <row r="953" spans="1:18" ht="13.2">
      <c r="A953">
        <v>0</v>
      </c>
      <c r="H953" s="114"/>
      <c r="I953">
        <v>0</v>
      </c>
      <c r="P953" s="114"/>
      <c r="Q953">
        <v>0</v>
      </c>
      <c r="R953" s="16"/>
    </row>
    <row r="954" spans="1:18" ht="13.2">
      <c r="A954">
        <v>0</v>
      </c>
      <c r="H954" s="114"/>
      <c r="I954">
        <v>0</v>
      </c>
      <c r="P954" s="114"/>
      <c r="Q954">
        <v>0</v>
      </c>
      <c r="R954" s="16"/>
    </row>
    <row r="955" spans="1:18" ht="13.2">
      <c r="A955">
        <v>0</v>
      </c>
      <c r="H955" s="114"/>
      <c r="I955">
        <v>0</v>
      </c>
      <c r="P955" s="114"/>
      <c r="Q955">
        <v>0</v>
      </c>
      <c r="R955" s="16"/>
    </row>
    <row r="956" spans="1:18" ht="13.2">
      <c r="A956">
        <v>0</v>
      </c>
      <c r="H956" s="114"/>
      <c r="I956">
        <v>0</v>
      </c>
      <c r="P956" s="114"/>
      <c r="Q956">
        <v>0</v>
      </c>
      <c r="R956" s="16"/>
    </row>
    <row r="957" spans="1:18" ht="13.2">
      <c r="A957">
        <v>0</v>
      </c>
      <c r="H957" s="114"/>
      <c r="I957">
        <v>0</v>
      </c>
      <c r="P957" s="114"/>
      <c r="Q957">
        <v>0</v>
      </c>
      <c r="R957" s="16"/>
    </row>
    <row r="958" spans="1:18" ht="13.2">
      <c r="A958">
        <v>0</v>
      </c>
      <c r="H958" s="114"/>
      <c r="I958">
        <v>0</v>
      </c>
      <c r="P958" s="114"/>
      <c r="Q958">
        <v>0</v>
      </c>
      <c r="R958" s="16"/>
    </row>
    <row r="959" spans="1:18" ht="13.2">
      <c r="A959">
        <v>0</v>
      </c>
      <c r="H959" s="114"/>
      <c r="I959">
        <v>0</v>
      </c>
      <c r="P959" s="114"/>
      <c r="Q959">
        <v>0</v>
      </c>
      <c r="R959" s="16"/>
    </row>
    <row r="960" spans="1:18" ht="13.2">
      <c r="A960">
        <v>0</v>
      </c>
      <c r="H960" s="114"/>
      <c r="I960">
        <v>0</v>
      </c>
      <c r="P960" s="114"/>
      <c r="Q960">
        <v>0</v>
      </c>
      <c r="R960" s="16"/>
    </row>
    <row r="961" spans="1:18" ht="13.2">
      <c r="A961">
        <v>0</v>
      </c>
      <c r="H961" s="114"/>
      <c r="I961">
        <v>0</v>
      </c>
      <c r="P961" s="114"/>
      <c r="Q961">
        <v>0</v>
      </c>
      <c r="R961" s="16"/>
    </row>
    <row r="962" spans="1:18" ht="13.2">
      <c r="A962">
        <v>0</v>
      </c>
      <c r="H962" s="114"/>
      <c r="I962">
        <v>0</v>
      </c>
      <c r="P962" s="114"/>
      <c r="Q962">
        <v>0</v>
      </c>
      <c r="R962" s="16"/>
    </row>
    <row r="963" spans="1:18" ht="13.2">
      <c r="A963">
        <v>0</v>
      </c>
      <c r="H963" s="114"/>
      <c r="I963">
        <v>0</v>
      </c>
      <c r="P963" s="114"/>
      <c r="Q963">
        <v>0</v>
      </c>
      <c r="R963" s="16"/>
    </row>
    <row r="964" spans="1:18" ht="13.2">
      <c r="A964">
        <v>0</v>
      </c>
      <c r="H964" s="114"/>
      <c r="I964">
        <v>0</v>
      </c>
      <c r="P964" s="114"/>
      <c r="Q964">
        <v>0</v>
      </c>
      <c r="R964" s="16"/>
    </row>
    <row r="965" spans="1:18" ht="13.2">
      <c r="A965">
        <v>0</v>
      </c>
      <c r="H965" s="114"/>
      <c r="I965">
        <v>0</v>
      </c>
      <c r="P965" s="114"/>
      <c r="Q965">
        <v>0</v>
      </c>
      <c r="R965" s="16"/>
    </row>
    <row r="966" spans="1:18" ht="13.2">
      <c r="A966">
        <v>0</v>
      </c>
      <c r="H966" s="114"/>
      <c r="I966">
        <v>0</v>
      </c>
      <c r="P966" s="114"/>
      <c r="Q966">
        <v>0</v>
      </c>
      <c r="R966" s="16"/>
    </row>
    <row r="967" spans="1:18" ht="13.2">
      <c r="A967">
        <v>0</v>
      </c>
      <c r="H967" s="114"/>
      <c r="I967">
        <v>0</v>
      </c>
      <c r="P967" s="114"/>
      <c r="Q967">
        <v>0</v>
      </c>
      <c r="R967" s="16"/>
    </row>
    <row r="968" spans="1:18" ht="13.2">
      <c r="A968">
        <v>0</v>
      </c>
      <c r="H968" s="114"/>
      <c r="I968">
        <v>0</v>
      </c>
      <c r="P968" s="114"/>
      <c r="Q968">
        <v>0</v>
      </c>
      <c r="R968" s="16"/>
    </row>
    <row r="969" spans="1:18" ht="13.2">
      <c r="A969">
        <v>0</v>
      </c>
      <c r="H969" s="114"/>
      <c r="I969">
        <v>0</v>
      </c>
      <c r="P969" s="114"/>
      <c r="Q969">
        <v>0</v>
      </c>
      <c r="R969" s="16"/>
    </row>
    <row r="970" spans="1:18" ht="13.2">
      <c r="A970">
        <v>0</v>
      </c>
      <c r="H970" s="114"/>
      <c r="I970">
        <v>0</v>
      </c>
      <c r="P970" s="114"/>
      <c r="Q970">
        <v>0</v>
      </c>
      <c r="R970" s="16"/>
    </row>
    <row r="971" spans="1:18" ht="13.2">
      <c r="A971">
        <v>0</v>
      </c>
      <c r="H971" s="114"/>
      <c r="I971">
        <v>0</v>
      </c>
      <c r="P971" s="114"/>
      <c r="Q971">
        <v>0</v>
      </c>
      <c r="R971" s="16"/>
    </row>
    <row r="972" spans="1:18" ht="13.2">
      <c r="A972">
        <v>0</v>
      </c>
      <c r="H972" s="114"/>
      <c r="I972">
        <v>0</v>
      </c>
      <c r="P972" s="114"/>
      <c r="Q972">
        <v>0</v>
      </c>
      <c r="R972" s="16"/>
    </row>
    <row r="973" spans="1:18" ht="13.2">
      <c r="A973">
        <v>0</v>
      </c>
      <c r="H973" s="114"/>
      <c r="I973">
        <v>0</v>
      </c>
      <c r="P973" s="114"/>
      <c r="Q973">
        <v>0</v>
      </c>
      <c r="R973" s="16"/>
    </row>
    <row r="974" spans="1:18" ht="13.2">
      <c r="A974">
        <v>0</v>
      </c>
      <c r="H974" s="114"/>
      <c r="I974">
        <v>0</v>
      </c>
      <c r="P974" s="114"/>
      <c r="Q974">
        <v>0</v>
      </c>
      <c r="R974" s="16"/>
    </row>
    <row r="975" spans="1:18" ht="13.2">
      <c r="A975">
        <v>0</v>
      </c>
      <c r="H975" s="114"/>
      <c r="I975">
        <v>0</v>
      </c>
      <c r="P975" s="114"/>
      <c r="Q975">
        <v>0</v>
      </c>
      <c r="R975" s="16"/>
    </row>
    <row r="976" spans="1:18" ht="13.2">
      <c r="A976">
        <v>0</v>
      </c>
      <c r="H976" s="114"/>
      <c r="I976">
        <v>0</v>
      </c>
      <c r="P976" s="114"/>
      <c r="Q976">
        <v>0</v>
      </c>
      <c r="R976" s="16"/>
    </row>
    <row r="977" spans="1:18" ht="13.2">
      <c r="A977">
        <v>0</v>
      </c>
      <c r="H977" s="114"/>
      <c r="I977">
        <v>0</v>
      </c>
      <c r="P977" s="114"/>
      <c r="Q977">
        <v>0</v>
      </c>
      <c r="R977" s="16"/>
    </row>
    <row r="978" spans="1:18" ht="13.2">
      <c r="A978">
        <v>0</v>
      </c>
      <c r="H978" s="114"/>
      <c r="I978">
        <v>0</v>
      </c>
      <c r="P978" s="114"/>
      <c r="Q978">
        <v>0</v>
      </c>
      <c r="R978" s="16"/>
    </row>
    <row r="979" spans="1:18" ht="13.2">
      <c r="A979">
        <v>0</v>
      </c>
      <c r="H979" s="114"/>
      <c r="I979">
        <v>0</v>
      </c>
      <c r="P979" s="114"/>
      <c r="Q979">
        <v>0</v>
      </c>
      <c r="R979" s="16"/>
    </row>
    <row r="980" spans="1:18" ht="13.2">
      <c r="A980">
        <v>0</v>
      </c>
      <c r="H980" s="114"/>
      <c r="I980">
        <v>0</v>
      </c>
      <c r="P980" s="114"/>
      <c r="Q980">
        <v>0</v>
      </c>
      <c r="R980" s="16"/>
    </row>
    <row r="981" spans="1:18" ht="13.2">
      <c r="A981">
        <v>0</v>
      </c>
      <c r="H981" s="114"/>
      <c r="I981">
        <v>0</v>
      </c>
      <c r="P981" s="114"/>
      <c r="Q981">
        <v>0</v>
      </c>
      <c r="R981" s="16"/>
    </row>
    <row r="982" spans="1:18" ht="13.2">
      <c r="A982">
        <v>0</v>
      </c>
      <c r="H982" s="114"/>
      <c r="I982">
        <v>0</v>
      </c>
      <c r="P982" s="114"/>
      <c r="Q982">
        <v>0</v>
      </c>
      <c r="R982" s="16"/>
    </row>
    <row r="983" spans="1:18" ht="13.2">
      <c r="A983">
        <v>0</v>
      </c>
      <c r="H983" s="114"/>
      <c r="I983">
        <v>0</v>
      </c>
      <c r="P983" s="114"/>
      <c r="Q983">
        <v>0</v>
      </c>
      <c r="R983" s="16"/>
    </row>
    <row r="984" spans="1:18" ht="13.2">
      <c r="A984">
        <v>0</v>
      </c>
      <c r="H984" s="114"/>
      <c r="I984">
        <v>0</v>
      </c>
      <c r="P984" s="114"/>
      <c r="Q984">
        <v>0</v>
      </c>
      <c r="R984" s="16"/>
    </row>
    <row r="985" spans="1:18" ht="13.2">
      <c r="A985">
        <v>0</v>
      </c>
      <c r="H985" s="114"/>
      <c r="I985">
        <v>0</v>
      </c>
      <c r="P985" s="114"/>
      <c r="Q985">
        <v>0</v>
      </c>
      <c r="R985" s="16"/>
    </row>
    <row r="986" spans="1:18" ht="13.2">
      <c r="A986">
        <v>0</v>
      </c>
      <c r="H986" s="114"/>
      <c r="I986">
        <v>0</v>
      </c>
      <c r="P986" s="114"/>
      <c r="Q986">
        <v>0</v>
      </c>
      <c r="R986" s="16"/>
    </row>
    <row r="987" spans="1:18" ht="13.2">
      <c r="A987">
        <v>0</v>
      </c>
      <c r="H987" s="114"/>
      <c r="I987">
        <v>0</v>
      </c>
      <c r="P987" s="114"/>
      <c r="Q987">
        <v>0</v>
      </c>
      <c r="R987" s="16"/>
    </row>
    <row r="988" spans="1:18" ht="13.2">
      <c r="A988">
        <v>0</v>
      </c>
      <c r="H988" s="114"/>
      <c r="I988">
        <v>0</v>
      </c>
      <c r="P988" s="114"/>
      <c r="Q988">
        <v>0</v>
      </c>
      <c r="R988" s="16"/>
    </row>
    <row r="989" spans="1:18" ht="13.2">
      <c r="A989">
        <v>0</v>
      </c>
      <c r="H989" s="114"/>
      <c r="I989">
        <v>0</v>
      </c>
      <c r="P989" s="114"/>
      <c r="Q989">
        <v>0</v>
      </c>
      <c r="R989" s="16"/>
    </row>
    <row r="990" spans="1:18" ht="13.2">
      <c r="A990">
        <v>0</v>
      </c>
      <c r="H990" s="114"/>
      <c r="I990">
        <v>0</v>
      </c>
      <c r="P990" s="114"/>
      <c r="Q990">
        <v>0</v>
      </c>
      <c r="R990" s="16"/>
    </row>
    <row r="991" spans="1:18" ht="13.2">
      <c r="A991">
        <v>0</v>
      </c>
      <c r="H991" s="114"/>
      <c r="I991">
        <v>0</v>
      </c>
      <c r="P991" s="114"/>
      <c r="Q991">
        <v>0</v>
      </c>
      <c r="R991" s="16"/>
    </row>
    <row r="992" spans="1:18" ht="13.2">
      <c r="A992">
        <v>0</v>
      </c>
      <c r="H992" s="114"/>
      <c r="I992">
        <v>0</v>
      </c>
      <c r="P992" s="114"/>
      <c r="Q992">
        <v>0</v>
      </c>
      <c r="R992" s="16"/>
    </row>
    <row r="993" spans="1:18" ht="13.2">
      <c r="A993">
        <v>0</v>
      </c>
      <c r="H993" s="114"/>
      <c r="I993">
        <v>0</v>
      </c>
      <c r="P993" s="114"/>
      <c r="Q993">
        <v>0</v>
      </c>
      <c r="R993" s="16"/>
    </row>
    <row r="994" spans="1:18" ht="13.2">
      <c r="A994">
        <v>0</v>
      </c>
      <c r="H994" s="114"/>
      <c r="I994">
        <v>0</v>
      </c>
      <c r="P994" s="114"/>
      <c r="Q994">
        <v>0</v>
      </c>
      <c r="R994" s="16"/>
    </row>
    <row r="995" spans="1:18" ht="13.2">
      <c r="A995">
        <v>0</v>
      </c>
      <c r="H995" s="114"/>
      <c r="I995">
        <v>0</v>
      </c>
      <c r="P995" s="114"/>
      <c r="Q995">
        <v>0</v>
      </c>
      <c r="R995" s="16"/>
    </row>
    <row r="996" spans="1:18" ht="13.2">
      <c r="A996">
        <v>0</v>
      </c>
      <c r="H996" s="114"/>
      <c r="I996">
        <v>0</v>
      </c>
      <c r="P996" s="114"/>
      <c r="Q996">
        <v>0</v>
      </c>
      <c r="R996" s="16"/>
    </row>
    <row r="997" spans="1:18" ht="13.2">
      <c r="A997">
        <v>0</v>
      </c>
      <c r="H997" s="114"/>
      <c r="I997">
        <v>0</v>
      </c>
      <c r="P997" s="114"/>
      <c r="Q997">
        <v>0</v>
      </c>
      <c r="R997" s="16"/>
    </row>
    <row r="998" spans="1:18" ht="13.2">
      <c r="A998">
        <v>0</v>
      </c>
      <c r="H998" s="114"/>
      <c r="I998">
        <v>0</v>
      </c>
      <c r="P998" s="114"/>
      <c r="Q998">
        <v>0</v>
      </c>
      <c r="R998" s="16"/>
    </row>
    <row r="999" spans="1:18" ht="13.2">
      <c r="A999">
        <v>0</v>
      </c>
      <c r="H999" s="114"/>
      <c r="I999">
        <v>0</v>
      </c>
      <c r="P999" s="114"/>
      <c r="Q999">
        <v>0</v>
      </c>
      <c r="R999" s="16"/>
    </row>
    <row r="1000" spans="1:18" ht="13.2">
      <c r="A1000">
        <v>0</v>
      </c>
      <c r="H1000" s="114"/>
      <c r="I1000">
        <v>0</v>
      </c>
      <c r="P1000" s="114"/>
      <c r="Q1000">
        <v>0</v>
      </c>
      <c r="R1000" s="16"/>
    </row>
    <row r="1001" spans="1:18" ht="13.2">
      <c r="H1001" s="110"/>
      <c r="P1001" s="110"/>
      <c r="R1001" s="1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BW1000"/>
  <sheetViews>
    <sheetView workbookViewId="0">
      <selection sqref="A1:B1"/>
    </sheetView>
  </sheetViews>
  <sheetFormatPr defaultColWidth="12.6640625" defaultRowHeight="15.75" customHeight="1"/>
  <cols>
    <col min="1" max="2" width="11.88671875" customWidth="1"/>
  </cols>
  <sheetData>
    <row r="1" spans="1:75" ht="15.75" customHeight="1">
      <c r="A1" s="231"/>
      <c r="B1" s="173"/>
      <c r="C1" s="126"/>
      <c r="D1" s="127"/>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c r="BG1" s="53"/>
      <c r="BH1" s="53"/>
      <c r="BI1" s="53"/>
      <c r="BJ1" s="53"/>
      <c r="BK1" s="53"/>
      <c r="BL1" s="53"/>
      <c r="BM1" s="53"/>
      <c r="BN1" s="53"/>
      <c r="BO1" s="53"/>
      <c r="BP1" s="53"/>
      <c r="BQ1" s="53"/>
      <c r="BR1" s="53"/>
      <c r="BS1" s="53"/>
      <c r="BT1" s="53"/>
      <c r="BU1" s="53"/>
      <c r="BV1" s="53"/>
      <c r="BW1" s="53"/>
    </row>
    <row r="2" spans="1:75" ht="15.75" customHeight="1">
      <c r="A2" s="54"/>
      <c r="B2" s="245" t="s">
        <v>841</v>
      </c>
      <c r="C2" s="246"/>
      <c r="D2" s="246"/>
      <c r="E2" s="129"/>
      <c r="F2" s="129"/>
      <c r="G2" s="247" t="s">
        <v>842</v>
      </c>
      <c r="H2" s="248" t="s">
        <v>843</v>
      </c>
      <c r="I2" s="173"/>
      <c r="J2" s="173"/>
      <c r="K2" s="173"/>
      <c r="L2" s="173"/>
      <c r="M2" s="173"/>
      <c r="N2" s="129"/>
      <c r="O2" s="128" t="s">
        <v>844</v>
      </c>
      <c r="P2" s="129"/>
      <c r="Q2" s="249" t="s">
        <v>845</v>
      </c>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row>
    <row r="3" spans="1:75" ht="15.75" customHeight="1">
      <c r="A3" s="54"/>
      <c r="B3" s="250" t="s">
        <v>846</v>
      </c>
      <c r="C3" s="173"/>
      <c r="D3" s="173"/>
      <c r="E3" s="129"/>
      <c r="F3" s="129"/>
      <c r="G3" s="176"/>
      <c r="H3" s="173"/>
      <c r="I3" s="173"/>
      <c r="J3" s="173"/>
      <c r="K3" s="173"/>
      <c r="L3" s="173"/>
      <c r="M3" s="173"/>
      <c r="N3" s="129"/>
      <c r="O3" s="249">
        <v>0</v>
      </c>
      <c r="P3" s="129"/>
      <c r="Q3" s="246"/>
      <c r="R3" s="129"/>
      <c r="S3" s="129"/>
      <c r="T3" s="129"/>
      <c r="U3" s="129"/>
      <c r="V3" s="129"/>
      <c r="W3" s="129"/>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row>
    <row r="4" spans="1:75" ht="15.75" customHeight="1">
      <c r="A4" s="54"/>
      <c r="B4" s="173"/>
      <c r="C4" s="173"/>
      <c r="D4" s="173"/>
      <c r="E4" s="129"/>
      <c r="F4" s="129"/>
      <c r="G4" s="176"/>
      <c r="H4" s="173"/>
      <c r="I4" s="173"/>
      <c r="J4" s="173"/>
      <c r="K4" s="173"/>
      <c r="L4" s="173"/>
      <c r="M4" s="173"/>
      <c r="N4" s="129"/>
      <c r="O4" s="173"/>
      <c r="P4" s="129"/>
      <c r="Q4" s="130">
        <v>548</v>
      </c>
      <c r="R4" s="129"/>
      <c r="S4" s="129"/>
      <c r="T4" s="129"/>
      <c r="U4" s="129"/>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row>
    <row r="5" spans="1:75" ht="15.75" customHeight="1">
      <c r="A5" s="231"/>
      <c r="B5" s="173"/>
      <c r="C5" s="126"/>
      <c r="D5" s="127"/>
      <c r="E5" s="129"/>
      <c r="F5" s="129"/>
      <c r="G5" s="129"/>
      <c r="H5" s="129"/>
      <c r="I5" s="129"/>
      <c r="J5" s="129"/>
      <c r="K5" s="129"/>
      <c r="L5" s="129"/>
      <c r="M5" s="129"/>
      <c r="N5" s="129"/>
      <c r="O5" s="129"/>
      <c r="P5" s="129"/>
      <c r="Q5" s="129"/>
      <c r="R5" s="129"/>
      <c r="S5" s="129"/>
      <c r="T5" s="129"/>
      <c r="U5" s="129"/>
      <c r="V5" s="129"/>
      <c r="W5" s="129"/>
      <c r="X5" s="129"/>
      <c r="Y5" s="129"/>
      <c r="Z5" s="129"/>
      <c r="AA5" s="129"/>
      <c r="AB5" s="129"/>
      <c r="AC5" s="129"/>
      <c r="AD5" s="129"/>
      <c r="AE5" s="129"/>
      <c r="AF5" s="129"/>
      <c r="AG5" s="129"/>
      <c r="AH5" s="129"/>
      <c r="AI5" s="129"/>
      <c r="AJ5" s="129"/>
      <c r="AK5" s="129"/>
      <c r="AL5" s="129"/>
      <c r="AM5" s="129"/>
      <c r="AN5" s="129"/>
      <c r="AO5" s="129"/>
      <c r="AP5" s="129"/>
      <c r="AQ5" s="129"/>
      <c r="AR5" s="129"/>
      <c r="AS5" s="129"/>
      <c r="AT5" s="129"/>
      <c r="AU5" s="129"/>
      <c r="AV5" s="129"/>
      <c r="AW5" s="129"/>
      <c r="AX5" s="129"/>
      <c r="AY5" s="129"/>
      <c r="AZ5" s="129"/>
      <c r="BA5" s="129"/>
      <c r="BB5" s="129"/>
      <c r="BC5" s="129"/>
      <c r="BD5" s="129"/>
      <c r="BE5" s="129"/>
      <c r="BF5" s="129"/>
      <c r="BG5" s="129"/>
      <c r="BH5" s="129"/>
      <c r="BI5" s="129"/>
      <c r="BJ5" s="129"/>
      <c r="BK5" s="129"/>
      <c r="BL5" s="129"/>
      <c r="BM5" s="129"/>
      <c r="BN5" s="129"/>
      <c r="BO5" s="129"/>
      <c r="BP5" s="129"/>
      <c r="BQ5" s="129"/>
      <c r="BR5" s="129"/>
      <c r="BS5" s="129"/>
      <c r="BT5" s="129"/>
      <c r="BU5" s="129"/>
      <c r="BV5" s="129"/>
      <c r="BW5" s="129"/>
    </row>
    <row r="6" spans="1:75" ht="15.75" customHeight="1">
      <c r="A6" s="131" t="str">
        <f ca="1">CONCATENATE(COUNTA(C6:BW6),"/",COUNTA(NPCLName))</f>
        <v>14/30</v>
      </c>
      <c r="B6" s="132" t="s">
        <v>847</v>
      </c>
      <c r="C6" s="133">
        <f ca="1">IFERROR(__xludf.DUMMYFUNCTION("TRANSPOSE(QUERY('NPC List'!A1:AF1000, ""Select A WHERE Y = 'Land Lord'"",0))"),94)</f>
        <v>94</v>
      </c>
      <c r="D6" s="134">
        <f ca="1">IFERROR(__xludf.DUMMYFUNCTION("""COMPUTED_VALUE"""),99)</f>
        <v>99</v>
      </c>
      <c r="E6" s="135">
        <f ca="1">IFERROR(__xludf.DUMMYFUNCTION("""COMPUTED_VALUE"""),181)</f>
        <v>181</v>
      </c>
      <c r="F6" s="135">
        <f ca="1">IFERROR(__xludf.DUMMYFUNCTION("""COMPUTED_VALUE"""),268)</f>
        <v>268</v>
      </c>
      <c r="G6" s="135">
        <f ca="1">IFERROR(__xludf.DUMMYFUNCTION("""COMPUTED_VALUE"""),350)</f>
        <v>350</v>
      </c>
      <c r="H6" s="135">
        <f ca="1">IFERROR(__xludf.DUMMYFUNCTION("""COMPUTED_VALUE"""),355)</f>
        <v>355</v>
      </c>
      <c r="I6" s="135">
        <f ca="1">IFERROR(__xludf.DUMMYFUNCTION("""COMPUTED_VALUE"""),437)</f>
        <v>437</v>
      </c>
      <c r="J6" s="135">
        <f ca="1">IFERROR(__xludf.DUMMYFUNCTION("""COMPUTED_VALUE"""),524)</f>
        <v>524</v>
      </c>
      <c r="K6" s="135">
        <f ca="1">IFERROR(__xludf.DUMMYFUNCTION("""COMPUTED_VALUE"""),606)</f>
        <v>606</v>
      </c>
      <c r="L6" s="135">
        <f ca="1">IFERROR(__xludf.DUMMYFUNCTION("""COMPUTED_VALUE"""),611)</f>
        <v>611</v>
      </c>
      <c r="M6" s="135">
        <f ca="1">IFERROR(__xludf.DUMMYFUNCTION("""COMPUTED_VALUE"""),693)</f>
        <v>693</v>
      </c>
      <c r="N6" s="135">
        <f ca="1">IFERROR(__xludf.DUMMYFUNCTION("""COMPUTED_VALUE"""),780)</f>
        <v>780</v>
      </c>
      <c r="O6" s="135">
        <f ca="1">IFERROR(__xludf.DUMMYFUNCTION("""COMPUTED_VALUE"""),862)</f>
        <v>862</v>
      </c>
      <c r="P6" s="135">
        <f ca="1">IFERROR(__xludf.DUMMYFUNCTION("""COMPUTED_VALUE"""),949)</f>
        <v>949</v>
      </c>
      <c r="Q6" s="135"/>
      <c r="R6" s="135"/>
      <c r="S6" s="135"/>
      <c r="T6" s="135"/>
      <c r="U6" s="135"/>
      <c r="V6" s="135"/>
      <c r="W6" s="135"/>
      <c r="X6" s="135"/>
      <c r="Y6" s="135"/>
      <c r="Z6" s="135"/>
      <c r="AA6" s="135"/>
      <c r="AB6" s="136"/>
      <c r="AC6" s="136"/>
      <c r="AD6" s="136"/>
      <c r="AE6" s="136"/>
      <c r="AF6" s="136"/>
      <c r="AG6" s="136"/>
      <c r="AH6" s="136"/>
      <c r="AI6" s="136"/>
      <c r="AJ6" s="136"/>
      <c r="AK6" s="136"/>
      <c r="AL6" s="136"/>
      <c r="AM6" s="136"/>
      <c r="AN6" s="136"/>
      <c r="AO6" s="136"/>
      <c r="AP6" s="136"/>
      <c r="AQ6" s="136"/>
      <c r="AR6" s="136"/>
      <c r="AS6" s="136"/>
      <c r="AT6" s="136"/>
      <c r="AU6" s="136"/>
      <c r="AV6" s="136"/>
      <c r="AW6" s="136"/>
      <c r="AX6" s="136"/>
      <c r="AY6" s="136"/>
      <c r="AZ6" s="136"/>
      <c r="BA6" s="136"/>
      <c r="BB6" s="136"/>
      <c r="BC6" s="136"/>
      <c r="BD6" s="136"/>
      <c r="BE6" s="136"/>
      <c r="BF6" s="136"/>
      <c r="BG6" s="136"/>
      <c r="BH6" s="136"/>
      <c r="BI6" s="136"/>
      <c r="BJ6" s="136"/>
      <c r="BK6" s="136"/>
      <c r="BL6" s="136"/>
      <c r="BM6" s="136"/>
      <c r="BN6" s="136"/>
      <c r="BO6" s="136"/>
      <c r="BP6" s="136"/>
      <c r="BQ6" s="136"/>
      <c r="BR6" s="136"/>
      <c r="BS6" s="136"/>
      <c r="BT6" s="136"/>
      <c r="BU6" s="136"/>
      <c r="BV6" s="136"/>
      <c r="BW6" s="136"/>
    </row>
    <row r="7" spans="1:75" ht="15.75" customHeight="1">
      <c r="A7" s="251" t="str">
        <f>CONCATENATE("World Locations"," (",COUNTA(A8:A1000),")")</f>
        <v>World Locations (20)</v>
      </c>
      <c r="B7" s="173"/>
      <c r="C7" s="137" t="s">
        <v>848</v>
      </c>
      <c r="D7" s="138" t="s">
        <v>849</v>
      </c>
      <c r="E7" s="59"/>
      <c r="F7" s="59"/>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row>
    <row r="8" spans="1:75" ht="15.75" customHeight="1">
      <c r="A8" s="193" t="s">
        <v>98</v>
      </c>
      <c r="B8" s="173"/>
      <c r="C8" s="139" t="str">
        <f ca="1">IFERROR(__xludf.DUMMYFUNCTION("if(ISBLANK(INDIRECT(ADDRESS(6,(ROW()-5)))),,QUERY('NPC List'!$1:$1000, ""Select C,D WHERE A = ""&amp;INDIRECT(ADDRESS(6,(ROW()-5)))&amp;"""",0))"),"Zoru")</f>
        <v>Zoru</v>
      </c>
      <c r="D8" s="140" t="str">
        <f ca="1">IFERROR(__xludf.DUMMYFUNCTION("""COMPUTED_VALUE"""),"Stillspell")</f>
        <v>Stillspell</v>
      </c>
    </row>
    <row r="9" spans="1:75" ht="15.75" customHeight="1">
      <c r="A9" s="193" t="s">
        <v>110</v>
      </c>
      <c r="B9" s="173"/>
      <c r="C9" s="139" t="str">
        <f ca="1">IFERROR(__xludf.DUMMYFUNCTION("if(ISBLANK(INDIRECT(ADDRESS(6,(ROW()-5)))),,QUERY('NPC List'!$1:$1000, ""Select C,D WHERE A = ""&amp;INDIRECT(ADDRESS(6,(ROW()-5)))&amp;"""",0))"),"Wuthmon")</f>
        <v>Wuthmon</v>
      </c>
      <c r="D9" s="140" t="str">
        <f ca="1">IFERROR(__xludf.DUMMYFUNCTION("""COMPUTED_VALUE"""),"Stillspell")</f>
        <v>Stillspell</v>
      </c>
    </row>
    <row r="10" spans="1:75" ht="15.75" customHeight="1">
      <c r="A10" s="193" t="s">
        <v>122</v>
      </c>
      <c r="B10" s="173"/>
      <c r="C10" s="139" t="str">
        <f ca="1">IFERROR(__xludf.DUMMYFUNCTION("if(ISBLANK(INDIRECT(ADDRESS(6,(ROW()-5)))),,QUERY('NPC List'!$1:$1000, ""Select C,D WHERE A = ""&amp;INDIRECT(ADDRESS(6,(ROW()-5)))&amp;"""",0))"),"Zecane")</f>
        <v>Zecane</v>
      </c>
      <c r="D10" s="140" t="str">
        <f ca="1">IFERROR(__xludf.DUMMYFUNCTION("""COMPUTED_VALUE"""),"Stillspell")</f>
        <v>Stillspell</v>
      </c>
    </row>
    <row r="11" spans="1:75" ht="15.75" customHeight="1">
      <c r="A11" s="193" t="s">
        <v>133</v>
      </c>
      <c r="B11" s="173"/>
      <c r="C11" s="139" t="str">
        <f ca="1">IFERROR(__xludf.DUMMYFUNCTION("if(ISBLANK(INDIRECT(ADDRESS(6,(ROW()-5)))),,QUERY('NPC List'!$1:$1000, ""Select C,D WHERE A = ""&amp;INDIRECT(ADDRESS(6,(ROW()-5)))&amp;"""",0))"),"Xuio")</f>
        <v>Xuio</v>
      </c>
      <c r="D11" s="140" t="str">
        <f ca="1">IFERROR(__xludf.DUMMYFUNCTION("""COMPUTED_VALUE"""),"Stillspell")</f>
        <v>Stillspell</v>
      </c>
    </row>
    <row r="12" spans="1:75" ht="15.75" customHeight="1">
      <c r="A12" s="193" t="s">
        <v>144</v>
      </c>
      <c r="B12" s="173"/>
      <c r="C12" s="139" t="str">
        <f ca="1">IFERROR(__xludf.DUMMYFUNCTION("if(ISBLANK(INDIRECT(ADDRESS(6,(ROW()-5)))),,QUERY('NPC List'!$1:$1000, ""Select C,D WHERE A = ""&amp;INDIRECT(ADDRESS(6,(ROW()-5)))&amp;"""",0))"),"Zoru")</f>
        <v>Zoru</v>
      </c>
      <c r="D12" s="140" t="str">
        <f ca="1">IFERROR(__xludf.DUMMYFUNCTION("""COMPUTED_VALUE"""),"Stillspell")</f>
        <v>Stillspell</v>
      </c>
    </row>
    <row r="13" spans="1:75" ht="15.75" customHeight="1">
      <c r="A13" s="193" t="s">
        <v>155</v>
      </c>
      <c r="B13" s="173"/>
      <c r="C13" s="139" t="str">
        <f ca="1">IFERROR(__xludf.DUMMYFUNCTION("if(ISBLANK(INDIRECT(ADDRESS(6,(ROW()-5)))),,QUERY('NPC List'!$1:$1000, ""Select C,D WHERE A = ""&amp;INDIRECT(ADDRESS(6,(ROW()-5)))&amp;"""",0))"),"Witfar")</f>
        <v>Witfar</v>
      </c>
      <c r="D13" s="140" t="str">
        <f ca="1">IFERROR(__xludf.DUMMYFUNCTION("""COMPUTED_VALUE"""),"Stillspell")</f>
        <v>Stillspell</v>
      </c>
    </row>
    <row r="14" spans="1:75" ht="15.75" customHeight="1">
      <c r="A14" s="193" t="s">
        <v>164</v>
      </c>
      <c r="B14" s="173"/>
      <c r="C14" s="139" t="str">
        <f ca="1">IFERROR(__xludf.DUMMYFUNCTION("if(ISBLANK(INDIRECT(ADDRESS(6,(ROW()-5)))),,QUERY('NPC List'!$1:$1000, ""Select C,D WHERE A = ""&amp;INDIRECT(ADDRESS(6,(ROW()-5)))&amp;"""",0))"),"Yssith")</f>
        <v>Yssith</v>
      </c>
      <c r="D14" s="140" t="str">
        <f ca="1">IFERROR(__xludf.DUMMYFUNCTION("""COMPUTED_VALUE"""),"Stillspell")</f>
        <v>Stillspell</v>
      </c>
    </row>
    <row r="15" spans="1:75" ht="15.75" customHeight="1">
      <c r="A15" s="193" t="s">
        <v>173</v>
      </c>
      <c r="B15" s="173"/>
      <c r="C15" s="139" t="str">
        <f ca="1">IFERROR(__xludf.DUMMYFUNCTION("if(ISBLANK(INDIRECT(ADDRESS(6,(ROW()-5)))),,QUERY('NPC List'!$1:$1000, ""Select C,D WHERE A = ""&amp;INDIRECT(ADDRESS(6,(ROW()-5)))&amp;"""",0))"),"Xenil")</f>
        <v>Xenil</v>
      </c>
      <c r="D15" s="140" t="str">
        <f ca="1">IFERROR(__xludf.DUMMYFUNCTION("""COMPUTED_VALUE"""),"Stillspell")</f>
        <v>Stillspell</v>
      </c>
    </row>
    <row r="16" spans="1:75" ht="15.75" customHeight="1">
      <c r="A16" s="193" t="s">
        <v>182</v>
      </c>
      <c r="B16" s="173"/>
      <c r="C16" s="139" t="str">
        <f ca="1">IFERROR(__xludf.DUMMYFUNCTION("if(ISBLANK(INDIRECT(ADDRESS(6,(ROW()-5)))),,QUERY('NPC List'!$1:$1000, ""Select C,D WHERE A = ""&amp;INDIRECT(ADDRESS(6,(ROW()-5)))&amp;"""",0))"),"Zile")</f>
        <v>Zile</v>
      </c>
      <c r="D16" s="140" t="str">
        <f ca="1">IFERROR(__xludf.DUMMYFUNCTION("""COMPUTED_VALUE"""),"Stillspell")</f>
        <v>Stillspell</v>
      </c>
    </row>
    <row r="17" spans="1:4" ht="15.75" customHeight="1">
      <c r="A17" s="193" t="s">
        <v>190</v>
      </c>
      <c r="B17" s="173"/>
      <c r="C17" s="139" t="str">
        <f ca="1">IFERROR(__xludf.DUMMYFUNCTION("if(ISBLANK(INDIRECT(ADDRESS(6,(ROW()-5)))),,QUERY('NPC List'!$1:$1000, ""Select C,D WHERE A = ""&amp;INDIRECT(ADDRESS(6,(ROW()-5)))&amp;"""",0))"),"Witfar")</f>
        <v>Witfar</v>
      </c>
      <c r="D17" s="140" t="str">
        <f ca="1">IFERROR(__xludf.DUMMYFUNCTION("""COMPUTED_VALUE"""),"Stillspell")</f>
        <v>Stillspell</v>
      </c>
    </row>
    <row r="18" spans="1:4" ht="15.75" customHeight="1">
      <c r="A18" s="193" t="s">
        <v>196</v>
      </c>
      <c r="B18" s="173"/>
      <c r="C18" s="139" t="str">
        <f ca="1">IFERROR(__xludf.DUMMYFUNCTION("if(ISBLANK(INDIRECT(ADDRESS(6,(ROW()-5)))),,QUERY('NPC List'!$1:$1000, ""Select C,D WHERE A = ""&amp;INDIRECT(ADDRESS(6,(ROW()-5)))&amp;"""",0))"),"Yssith")</f>
        <v>Yssith</v>
      </c>
      <c r="D18" s="140" t="str">
        <f ca="1">IFERROR(__xludf.DUMMYFUNCTION("""COMPUTED_VALUE"""),"Stillspell")</f>
        <v>Stillspell</v>
      </c>
    </row>
    <row r="19" spans="1:4" ht="15.75" customHeight="1">
      <c r="A19" s="193" t="s">
        <v>201</v>
      </c>
      <c r="B19" s="173"/>
      <c r="C19" s="139" t="str">
        <f ca="1">IFERROR(__xludf.DUMMYFUNCTION("if(ISBLANK(INDIRECT(ADDRESS(6,(ROW()-5)))),,QUERY('NPC List'!$1:$1000, ""Select C,D WHERE A = ""&amp;INDIRECT(ADDRESS(6,(ROW()-5)))&amp;"""",0))"),"Wyvorn")</f>
        <v>Wyvorn</v>
      </c>
      <c r="D19" s="140" t="str">
        <f ca="1">IFERROR(__xludf.DUMMYFUNCTION("""COMPUTED_VALUE"""),"Stillspell")</f>
        <v>Stillspell</v>
      </c>
    </row>
    <row r="20" spans="1:4" ht="15.75" customHeight="1">
      <c r="A20" s="193" t="s">
        <v>205</v>
      </c>
      <c r="B20" s="173"/>
      <c r="C20" s="139" t="str">
        <f ca="1">IFERROR(__xludf.DUMMYFUNCTION("if(ISBLANK(INDIRECT(ADDRESS(6,(ROW()-5)))),,QUERY('NPC List'!$1:$1000, ""Select C,D WHERE A = ""&amp;INDIRECT(ADDRESS(6,(ROW()-5)))&amp;"""",0))"),"Zessfar")</f>
        <v>Zessfar</v>
      </c>
      <c r="D20" s="140" t="str">
        <f ca="1">IFERROR(__xludf.DUMMYFUNCTION("""COMPUTED_VALUE"""),"Stillspell")</f>
        <v>Stillspell</v>
      </c>
    </row>
    <row r="21" spans="1:4" ht="15.75" customHeight="1">
      <c r="A21" s="193" t="s">
        <v>208</v>
      </c>
      <c r="B21" s="173"/>
      <c r="C21" s="139" t="str">
        <f ca="1">IFERROR(__xludf.DUMMYFUNCTION("if(ISBLANK(INDIRECT(ADDRESS(6,(ROW()-5)))),,QUERY('NPC List'!$1:$1000, ""Select C,D WHERE A = ""&amp;INDIRECT(ADDRESS(6,(ROW()-5)))&amp;"""",0))"),"Yepal")</f>
        <v>Yepal</v>
      </c>
      <c r="D21" s="140" t="str">
        <f ca="1">IFERROR(__xludf.DUMMYFUNCTION("""COMPUTED_VALUE"""),"Stillspell")</f>
        <v>Stillspell</v>
      </c>
    </row>
    <row r="22" spans="1:4" ht="15.75" customHeight="1">
      <c r="A22" s="193" t="s">
        <v>208</v>
      </c>
      <c r="B22" s="173"/>
      <c r="C22" s="139" t="str">
        <f ca="1">IFERROR(__xludf.DUMMYFUNCTION("if(ISBLANK(INDIRECT(ADDRESS(6,(ROW()-5)))),,QUERY('NPC List'!$1:$1000, ""Select C,D WHERE A = ""&amp;INDIRECT(ADDRESS(6,(ROW()-5)))&amp;"""",0))"),"")</f>
        <v/>
      </c>
      <c r="D22" s="140"/>
    </row>
    <row r="23" spans="1:4" ht="15.75" customHeight="1">
      <c r="A23" s="193" t="s">
        <v>213</v>
      </c>
      <c r="B23" s="173"/>
      <c r="C23" s="139" t="str">
        <f ca="1">IFERROR(__xludf.DUMMYFUNCTION("if(ISBLANK(INDIRECT(ADDRESS(6,(ROW()-5)))),,QUERY('NPC List'!$1:$1000, ""Select C,D WHERE A = ""&amp;INDIRECT(ADDRESS(6,(ROW()-5)))&amp;"""",0))"),"")</f>
        <v/>
      </c>
      <c r="D23" s="140"/>
    </row>
    <row r="24" spans="1:4" ht="15.75" customHeight="1">
      <c r="A24" s="193" t="s">
        <v>216</v>
      </c>
      <c r="B24" s="173"/>
      <c r="C24" s="139" t="str">
        <f ca="1">IFERROR(__xludf.DUMMYFUNCTION("if(ISBLANK(INDIRECT(ADDRESS(6,(ROW()-5)))),,QUERY('NPC List'!$1:$1000, ""Select C,D WHERE A = ""&amp;INDIRECT(ADDRESS(6,(ROW()-5)))&amp;"""",0))"),"")</f>
        <v/>
      </c>
      <c r="D24" s="140"/>
    </row>
    <row r="25" spans="1:4" ht="15.75" customHeight="1">
      <c r="A25" s="193" t="s">
        <v>219</v>
      </c>
      <c r="B25" s="173"/>
      <c r="C25" s="139" t="str">
        <f ca="1">IFERROR(__xludf.DUMMYFUNCTION("if(ISBLANK(INDIRECT(ADDRESS(6,(ROW()-5)))),,QUERY('NPC List'!$1:$1000, ""Select C,D WHERE A = ""&amp;INDIRECT(ADDRESS(6,(ROW()-5)))&amp;"""",0))"),"")</f>
        <v/>
      </c>
      <c r="D25" s="140"/>
    </row>
    <row r="26" spans="1:4" ht="15.75" customHeight="1">
      <c r="A26" s="193" t="s">
        <v>222</v>
      </c>
      <c r="B26" s="173"/>
      <c r="C26" s="139" t="str">
        <f ca="1">IFERROR(__xludf.DUMMYFUNCTION("if(ISBLANK(INDIRECT(ADDRESS(6,(ROW()-5)))),,QUERY('NPC List'!$1:$1000, ""Select C,D WHERE A = ""&amp;INDIRECT(ADDRESS(6,(ROW()-5)))&amp;"""",0))"),"")</f>
        <v/>
      </c>
      <c r="D26" s="140"/>
    </row>
    <row r="27" spans="1:4" ht="15.75" customHeight="1">
      <c r="A27" s="193" t="s">
        <v>225</v>
      </c>
      <c r="B27" s="173"/>
      <c r="C27" s="139" t="str">
        <f ca="1">IFERROR(__xludf.DUMMYFUNCTION("if(ISBLANK(INDIRECT(ADDRESS(6,(ROW()-5)))),,QUERY('NPC List'!$1:$1000, ""Select C,D WHERE A = ""&amp;INDIRECT(ADDRESS(6,(ROW()-5)))&amp;"""",0))"),"")</f>
        <v/>
      </c>
      <c r="D27" s="140"/>
    </row>
    <row r="28" spans="1:4" ht="13.2">
      <c r="A28" s="193"/>
      <c r="B28" s="173"/>
      <c r="C28" s="139" t="str">
        <f ca="1">IFERROR(__xludf.DUMMYFUNCTION("if(ISBLANK(INDIRECT(ADDRESS(6,(ROW()-5)))),,QUERY('NPC List'!$1:$1000, ""Select C,D WHERE A = ""&amp;INDIRECT(ADDRESS(6,(ROW()-5)))&amp;"""",0))"),"")</f>
        <v/>
      </c>
      <c r="D28" s="140"/>
    </row>
    <row r="29" spans="1:4" ht="13.2">
      <c r="A29" s="193"/>
      <c r="B29" s="173"/>
      <c r="C29" s="139" t="str">
        <f ca="1">IFERROR(__xludf.DUMMYFUNCTION("if(ISBLANK(INDIRECT(ADDRESS(6,(ROW()-5)))),,QUERY('NPC List'!$1:$1000, ""Select C,D WHERE A = ""&amp;INDIRECT(ADDRESS(6,(ROW()-5)))&amp;"""",0))"),"")</f>
        <v/>
      </c>
      <c r="D29" s="140"/>
    </row>
    <row r="30" spans="1:4" ht="13.2">
      <c r="A30" s="193"/>
      <c r="B30" s="173"/>
      <c r="C30" s="139" t="str">
        <f ca="1">IFERROR(__xludf.DUMMYFUNCTION("if(ISBLANK(INDIRECT(ADDRESS(6,(ROW()-5)))),,QUERY('NPC List'!$1:$1000, ""Select C,D WHERE A = ""&amp;INDIRECT(ADDRESS(6,(ROW()-5)))&amp;"""",0))"),"")</f>
        <v/>
      </c>
      <c r="D30" s="140"/>
    </row>
    <row r="31" spans="1:4" ht="13.2">
      <c r="A31" s="193"/>
      <c r="B31" s="173"/>
      <c r="C31" s="139" t="str">
        <f ca="1">IFERROR(__xludf.DUMMYFUNCTION("if(ISBLANK(INDIRECT(ADDRESS(6,(ROW()-5)))),,QUERY('NPC List'!$1:$1000, ""Select C,D WHERE A = ""&amp;INDIRECT(ADDRESS(6,(ROW()-5)))&amp;"""",0))"),"")</f>
        <v/>
      </c>
      <c r="D31" s="140"/>
    </row>
    <row r="32" spans="1:4" ht="13.2">
      <c r="A32" s="193"/>
      <c r="B32" s="173"/>
      <c r="C32" s="139" t="str">
        <f ca="1">IFERROR(__xludf.DUMMYFUNCTION("if(ISBLANK(INDIRECT(ADDRESS(6,(ROW()-5)))),,QUERY('NPC List'!$1:$1000, ""Select C,D WHERE A = ""&amp;INDIRECT(ADDRESS(6,(ROW()-5)))&amp;"""",0))"),"")</f>
        <v/>
      </c>
      <c r="D32" s="140"/>
    </row>
    <row r="33" spans="1:4" ht="13.2">
      <c r="A33" s="193"/>
      <c r="B33" s="173"/>
      <c r="C33" s="139" t="str">
        <f ca="1">IFERROR(__xludf.DUMMYFUNCTION("if(ISBLANK(INDIRECT(ADDRESS(6,(ROW()-5)))),,QUERY('NPC List'!$1:$1000, ""Select C,D WHERE A = ""&amp;INDIRECT(ADDRESS(6,(ROW()-5)))&amp;"""",0))"),"")</f>
        <v/>
      </c>
      <c r="D33" s="140"/>
    </row>
    <row r="34" spans="1:4" ht="13.2">
      <c r="A34" s="193"/>
      <c r="B34" s="173"/>
      <c r="C34" s="139" t="str">
        <f ca="1">IFERROR(__xludf.DUMMYFUNCTION("if(ISBLANK(INDIRECT(ADDRESS(6,(ROW()-5)))),,QUERY('NPC List'!$1:$1000, ""Select C,D WHERE A = ""&amp;INDIRECT(ADDRESS(6,(ROW()-5)))&amp;"""",0))"),"")</f>
        <v/>
      </c>
      <c r="D34" s="140"/>
    </row>
    <row r="35" spans="1:4" ht="13.2">
      <c r="A35" s="193"/>
      <c r="B35" s="173"/>
      <c r="C35" s="139" t="str">
        <f ca="1">IFERROR(__xludf.DUMMYFUNCTION("if(ISBLANK(INDIRECT(ADDRESS(6,(ROW()-5)))),,QUERY('NPC List'!$1:$1000, ""Select C,D WHERE A = ""&amp;INDIRECT(ADDRESS(6,(ROW()-5)))&amp;"""",0))"),"")</f>
        <v/>
      </c>
      <c r="D35" s="140"/>
    </row>
    <row r="36" spans="1:4" ht="13.2">
      <c r="A36" s="193"/>
      <c r="B36" s="173"/>
      <c r="C36" s="139" t="str">
        <f ca="1">IFERROR(__xludf.DUMMYFUNCTION("if(ISBLANK(INDIRECT(ADDRESS(6,(ROW()-5)))),,QUERY('NPC List'!$1:$1000, ""Select C,D WHERE A = ""&amp;INDIRECT(ADDRESS(6,(ROW()-5)))&amp;"""",0))"),"")</f>
        <v/>
      </c>
      <c r="D36" s="140"/>
    </row>
    <row r="37" spans="1:4" ht="13.2">
      <c r="A37" s="193"/>
      <c r="B37" s="173"/>
      <c r="C37" s="139" t="str">
        <f ca="1">IFERROR(__xludf.DUMMYFUNCTION("if(ISBLANK(INDIRECT(ADDRESS(6,(ROW()-5)))),,QUERY('NPC List'!$1:$1000, ""Select C,D WHERE A = ""&amp;INDIRECT(ADDRESS(6,(ROW()-5)))&amp;"""",0))"),"")</f>
        <v/>
      </c>
      <c r="D37" s="140"/>
    </row>
    <row r="38" spans="1:4" ht="13.2">
      <c r="A38" s="193"/>
      <c r="B38" s="173"/>
      <c r="C38" s="139" t="str">
        <f ca="1">IFERROR(__xludf.DUMMYFUNCTION("if(ISBLANK(INDIRECT(ADDRESS(6,(ROW()-5)))),,QUERY('NPC List'!$1:$1000, ""Select C,D WHERE A = ""&amp;INDIRECT(ADDRESS(6,(ROW()-5)))&amp;"""",0))"),"")</f>
        <v/>
      </c>
      <c r="D38" s="140"/>
    </row>
    <row r="39" spans="1:4" ht="13.2">
      <c r="A39" s="193"/>
      <c r="B39" s="173"/>
      <c r="C39" s="139" t="str">
        <f ca="1">IFERROR(__xludf.DUMMYFUNCTION("if(ISBLANK(INDIRECT(ADDRESS(6,(ROW()-5)))),,QUERY('NPC List'!$1:$1000, ""Select C,D WHERE A = ""&amp;INDIRECT(ADDRESS(6,(ROW()-5)))&amp;"""",0))"),"")</f>
        <v/>
      </c>
      <c r="D39" s="140"/>
    </row>
    <row r="40" spans="1:4" ht="13.2">
      <c r="A40" s="193"/>
      <c r="B40" s="173"/>
      <c r="C40" s="139" t="str">
        <f ca="1">IFERROR(__xludf.DUMMYFUNCTION("if(ISBLANK(INDIRECT(ADDRESS(6,(ROW()-5)))),,QUERY('NPC List'!$1:$1000, ""Select C,D WHERE A = ""&amp;INDIRECT(ADDRESS(6,(ROW()-5)))&amp;"""",0))"),"")</f>
        <v/>
      </c>
      <c r="D40" s="140"/>
    </row>
    <row r="41" spans="1:4" ht="13.2">
      <c r="A41" s="193"/>
      <c r="B41" s="173"/>
      <c r="C41" s="139" t="str">
        <f ca="1">IFERROR(__xludf.DUMMYFUNCTION("if(ISBLANK(INDIRECT(ADDRESS(6,(ROW()-5)))),,QUERY('NPC List'!$1:$1000, ""Select C,D WHERE A = ""&amp;INDIRECT(ADDRESS(6,(ROW()-5)))&amp;"""",0))"),"")</f>
        <v/>
      </c>
      <c r="D41" s="140"/>
    </row>
    <row r="42" spans="1:4" ht="13.2">
      <c r="A42" s="193"/>
      <c r="B42" s="173"/>
      <c r="C42" s="139" t="str">
        <f ca="1">IFERROR(__xludf.DUMMYFUNCTION("if(ISBLANK(INDIRECT(ADDRESS(6,(ROW()-5)))),,QUERY('NPC List'!$1:$1000, ""Select C,D WHERE A = ""&amp;INDIRECT(ADDRESS(6,(ROW()-5)))&amp;"""",0))"),"")</f>
        <v/>
      </c>
      <c r="D42" s="140"/>
    </row>
    <row r="43" spans="1:4" ht="13.2">
      <c r="A43" s="193"/>
      <c r="B43" s="173"/>
      <c r="C43" s="139" t="str">
        <f ca="1">IFERROR(__xludf.DUMMYFUNCTION("if(ISBLANK(INDIRECT(ADDRESS(6,(ROW()-5)))),,QUERY('NPC List'!$1:$1000, ""Select C,D WHERE A = ""&amp;INDIRECT(ADDRESS(6,(ROW()-5)))&amp;"""",0))"),"")</f>
        <v/>
      </c>
      <c r="D43" s="140"/>
    </row>
    <row r="44" spans="1:4" ht="13.2">
      <c r="A44" s="193"/>
      <c r="B44" s="173"/>
      <c r="C44" s="139" t="str">
        <f ca="1">IFERROR(__xludf.DUMMYFUNCTION("if(ISBLANK(INDIRECT(ADDRESS(6,(ROW()-5)))),,QUERY('NPC List'!$1:$1000, ""Select C,D WHERE A = ""&amp;INDIRECT(ADDRESS(6,(ROW()-5)))&amp;"""",0))"),"")</f>
        <v/>
      </c>
      <c r="D44" s="140"/>
    </row>
    <row r="45" spans="1:4" ht="13.2">
      <c r="A45" s="193"/>
      <c r="B45" s="173"/>
      <c r="C45" s="139" t="str">
        <f ca="1">IFERROR(__xludf.DUMMYFUNCTION("if(ISBLANK(INDIRECT(ADDRESS(6,(ROW()-5)))),,QUERY('NPC List'!$1:$1000, ""Select C,D WHERE A = ""&amp;INDIRECT(ADDRESS(6,(ROW()-5)))&amp;"""",0))"),"")</f>
        <v/>
      </c>
      <c r="D45" s="140"/>
    </row>
    <row r="46" spans="1:4" ht="13.2">
      <c r="A46" s="193"/>
      <c r="B46" s="173"/>
      <c r="C46" s="139" t="str">
        <f ca="1">IFERROR(__xludf.DUMMYFUNCTION("if(ISBLANK(INDIRECT(ADDRESS(6,(ROW()-5)))),,QUERY('NPC List'!$1:$1000, ""Select C,D WHERE A = ""&amp;INDIRECT(ADDRESS(6,(ROW()-5)))&amp;"""",0))"),"")</f>
        <v/>
      </c>
      <c r="D46" s="140"/>
    </row>
    <row r="47" spans="1:4" ht="13.2">
      <c r="A47" s="193"/>
      <c r="B47" s="173"/>
      <c r="C47" s="139" t="str">
        <f ca="1">IFERROR(__xludf.DUMMYFUNCTION("if(ISBLANK(INDIRECT(ADDRESS(6,(ROW()-5)))),,QUERY('NPC List'!$1:$1000, ""Select C,D WHERE A = ""&amp;INDIRECT(ADDRESS(6,(ROW()-5)))&amp;"""",0))"),"")</f>
        <v/>
      </c>
      <c r="D47" s="140"/>
    </row>
    <row r="48" spans="1:4" ht="13.2">
      <c r="A48" s="193"/>
      <c r="B48" s="173"/>
      <c r="C48" s="139" t="str">
        <f ca="1">IFERROR(__xludf.DUMMYFUNCTION("if(ISBLANK(INDIRECT(ADDRESS(6,(ROW()-5)))),,QUERY('NPC List'!$1:$1000, ""Select C,D WHERE A = ""&amp;INDIRECT(ADDRESS(6,(ROW()-5)))&amp;"""",0))"),"")</f>
        <v/>
      </c>
      <c r="D48" s="140"/>
    </row>
    <row r="49" spans="1:4" ht="13.2">
      <c r="A49" s="193"/>
      <c r="B49" s="173"/>
      <c r="C49" s="139" t="str">
        <f ca="1">IFERROR(__xludf.DUMMYFUNCTION("if(ISBLANK(INDIRECT(ADDRESS(6,(ROW()-5)))),,QUERY('NPC List'!$1:$1000, ""Select C,D WHERE A = ""&amp;INDIRECT(ADDRESS(6,(ROW()-5)))&amp;"""",0))"),"")</f>
        <v/>
      </c>
      <c r="D49" s="140"/>
    </row>
    <row r="50" spans="1:4" ht="13.2">
      <c r="A50" s="193"/>
      <c r="B50" s="173"/>
      <c r="C50" s="139" t="str">
        <f ca="1">IFERROR(__xludf.DUMMYFUNCTION("if(ISBLANK(INDIRECT(ADDRESS(6,(ROW()-5)))),,QUERY('NPC List'!$1:$1000, ""Select C,D WHERE A = ""&amp;INDIRECT(ADDRESS(6,(ROW()-5)))&amp;"""",0))"),"")</f>
        <v/>
      </c>
      <c r="D50" s="140"/>
    </row>
    <row r="51" spans="1:4" ht="13.2">
      <c r="A51" s="193"/>
      <c r="B51" s="173"/>
      <c r="C51" s="139" t="str">
        <f ca="1">IFERROR(__xludf.DUMMYFUNCTION("if(ISBLANK(INDIRECT(ADDRESS(6,(ROW()-5)))),,QUERY('NPC List'!$1:$1000, ""Select C,D WHERE A = ""&amp;INDIRECT(ADDRESS(6,(ROW()-5)))&amp;"""",0))"),"")</f>
        <v/>
      </c>
      <c r="D51" s="140"/>
    </row>
    <row r="52" spans="1:4" ht="13.2">
      <c r="A52" s="193"/>
      <c r="B52" s="173"/>
      <c r="C52" s="139" t="str">
        <f ca="1">IFERROR(__xludf.DUMMYFUNCTION("if(ISBLANK(INDIRECT(ADDRESS(6,(ROW()-5)))),,QUERY('NPC List'!$1:$1000, ""Select C,D WHERE A = ""&amp;INDIRECT(ADDRESS(6,(ROW()-5)))&amp;"""",0))"),"")</f>
        <v/>
      </c>
      <c r="D52" s="140"/>
    </row>
    <row r="53" spans="1:4" ht="13.2">
      <c r="A53" s="193"/>
      <c r="B53" s="173"/>
      <c r="C53" s="139" t="str">
        <f ca="1">IFERROR(__xludf.DUMMYFUNCTION("if(ISBLANK(INDIRECT(ADDRESS(6,(ROW()-5)))),,QUERY('NPC List'!$1:$1000, ""Select C,D WHERE A = ""&amp;INDIRECT(ADDRESS(6,(ROW()-5)))&amp;"""",0))"),"")</f>
        <v/>
      </c>
      <c r="D53" s="140"/>
    </row>
    <row r="54" spans="1:4" ht="13.2">
      <c r="A54" s="193"/>
      <c r="B54" s="173"/>
      <c r="C54" s="139" t="str">
        <f ca="1">IFERROR(__xludf.DUMMYFUNCTION("if(ISBLANK(INDIRECT(ADDRESS(6,(ROW()-5)))),,QUERY('NPC List'!$1:$1000, ""Select C,D WHERE A = ""&amp;INDIRECT(ADDRESS(6,(ROW()-5)))&amp;"""",0))"),"")</f>
        <v/>
      </c>
      <c r="D54" s="140"/>
    </row>
    <row r="55" spans="1:4" ht="13.2">
      <c r="A55" s="193"/>
      <c r="B55" s="173"/>
      <c r="C55" s="139" t="str">
        <f ca="1">IFERROR(__xludf.DUMMYFUNCTION("if(ISBLANK(INDIRECT(ADDRESS(6,(ROW()-5)))),,QUERY('NPC List'!$1:$1000, ""Select C,D WHERE A = ""&amp;INDIRECT(ADDRESS(6,(ROW()-5)))&amp;"""",0))"),"")</f>
        <v/>
      </c>
      <c r="D55" s="140"/>
    </row>
    <row r="56" spans="1:4" ht="13.2">
      <c r="A56" s="193"/>
      <c r="B56" s="173"/>
      <c r="C56" s="139" t="str">
        <f ca="1">IFERROR(__xludf.DUMMYFUNCTION("if(ISBLANK(INDIRECT(ADDRESS(6,(ROW()-5)))),,QUERY('NPC List'!$1:$1000, ""Select C,D WHERE A = ""&amp;INDIRECT(ADDRESS(6,(ROW()-5)))&amp;"""",0))"),"")</f>
        <v/>
      </c>
      <c r="D56" s="140"/>
    </row>
    <row r="57" spans="1:4" ht="13.2">
      <c r="A57" s="193"/>
      <c r="B57" s="173"/>
      <c r="C57" s="139" t="str">
        <f ca="1">IFERROR(__xludf.DUMMYFUNCTION("if(ISBLANK(INDIRECT(ADDRESS(6,(ROW()-5)))),,QUERY('NPC List'!$1:$1000, ""Select C,D WHERE A = ""&amp;INDIRECT(ADDRESS(6,(ROW()-5)))&amp;"""",0))"),"")</f>
        <v/>
      </c>
      <c r="D57" s="140"/>
    </row>
    <row r="58" spans="1:4" ht="13.2">
      <c r="A58" s="193"/>
      <c r="B58" s="173"/>
      <c r="C58" s="139" t="str">
        <f ca="1">IFERROR(__xludf.DUMMYFUNCTION("if(ISBLANK(INDIRECT(ADDRESS(6,(ROW()-5)))),,QUERY('NPC List'!$1:$1000, ""Select C,D WHERE A = ""&amp;INDIRECT(ADDRESS(6,(ROW()-5)))&amp;"""",0))"),"")</f>
        <v/>
      </c>
      <c r="D58" s="140"/>
    </row>
    <row r="59" spans="1:4" ht="13.2">
      <c r="A59" s="193"/>
      <c r="B59" s="173"/>
      <c r="C59" s="139" t="str">
        <f ca="1">IFERROR(__xludf.DUMMYFUNCTION("if(ISBLANK(INDIRECT(ADDRESS(6,(ROW()-5)))),,QUERY('NPC List'!$1:$1000, ""Select C,D WHERE A = ""&amp;INDIRECT(ADDRESS(6,(ROW()-5)))&amp;"""",0))"),"")</f>
        <v/>
      </c>
      <c r="D59" s="140"/>
    </row>
    <row r="60" spans="1:4" ht="13.2">
      <c r="A60" s="193"/>
      <c r="B60" s="173"/>
      <c r="C60" s="139" t="str">
        <f ca="1">IFERROR(__xludf.DUMMYFUNCTION("if(ISBLANK(INDIRECT(ADDRESS(6,(ROW()-5)))),,QUERY('NPC List'!$1:$1000, ""Select C,D WHERE A = ""&amp;INDIRECT(ADDRESS(6,(ROW()-5)))&amp;"""",0))"),"")</f>
        <v/>
      </c>
      <c r="D60" s="140"/>
    </row>
    <row r="61" spans="1:4" ht="13.2">
      <c r="A61" s="193"/>
      <c r="B61" s="173"/>
      <c r="C61" s="139" t="str">
        <f ca="1">IFERROR(__xludf.DUMMYFUNCTION("if(ISBLANK(INDIRECT(ADDRESS(6,(ROW()-5)))),,QUERY('NPC List'!$1:$1000, ""Select C,D WHERE A = ""&amp;INDIRECT(ADDRESS(6,(ROW()-5)))&amp;"""",0))"),"")</f>
        <v/>
      </c>
      <c r="D61" s="140"/>
    </row>
    <row r="62" spans="1:4" ht="13.2">
      <c r="A62" s="193"/>
      <c r="B62" s="173"/>
      <c r="C62" s="139" t="str">
        <f ca="1">IFERROR(__xludf.DUMMYFUNCTION("if(ISBLANK(INDIRECT(ADDRESS(6,(ROW()-5)))),,QUERY('NPC List'!$1:$1000, ""Select C,D WHERE A = ""&amp;INDIRECT(ADDRESS(6,(ROW()-5)))&amp;"""",0))"),"")</f>
        <v/>
      </c>
      <c r="D62" s="140"/>
    </row>
    <row r="63" spans="1:4" ht="13.2">
      <c r="A63" s="193"/>
      <c r="B63" s="173"/>
      <c r="C63" s="139" t="str">
        <f ca="1">IFERROR(__xludf.DUMMYFUNCTION("if(ISBLANK(INDIRECT(ADDRESS(6,(ROW()-5)))),,QUERY('NPC List'!$1:$1000, ""Select C,D WHERE A = ""&amp;INDIRECT(ADDRESS(6,(ROW()-5)))&amp;"""",0))"),"")</f>
        <v/>
      </c>
      <c r="D63" s="140"/>
    </row>
    <row r="64" spans="1:4" ht="13.2">
      <c r="A64" s="193"/>
      <c r="B64" s="173"/>
      <c r="C64" s="139" t="str">
        <f ca="1">IFERROR(__xludf.DUMMYFUNCTION("if(ISBLANK(INDIRECT(ADDRESS(6,(ROW()-5)))),,QUERY('NPC List'!$1:$1000, ""Select C,D WHERE A = ""&amp;INDIRECT(ADDRESS(6,(ROW()-5)))&amp;"""",0))"),"")</f>
        <v/>
      </c>
      <c r="D64" s="140"/>
    </row>
    <row r="65" spans="1:4" ht="13.2">
      <c r="A65" s="193"/>
      <c r="B65" s="173"/>
      <c r="C65" s="139" t="str">
        <f ca="1">IFERROR(__xludf.DUMMYFUNCTION("if(ISBLANK(INDIRECT(ADDRESS(6,(ROW()-5)))),,QUERY('NPC List'!$1:$1000, ""Select C,D WHERE A = ""&amp;INDIRECT(ADDRESS(6,(ROW()-5)))&amp;"""",0))"),"")</f>
        <v/>
      </c>
      <c r="D65" s="140"/>
    </row>
    <row r="66" spans="1:4" ht="13.2">
      <c r="A66" s="193"/>
      <c r="B66" s="173"/>
      <c r="C66" s="139" t="str">
        <f ca="1">IFERROR(__xludf.DUMMYFUNCTION("if(ISBLANK(INDIRECT(ADDRESS(6,(ROW()-5)))),,QUERY('NPC List'!$1:$1000, ""Select C,D WHERE A = ""&amp;INDIRECT(ADDRESS(6,(ROW()-5)))&amp;"""",0))"),"")</f>
        <v/>
      </c>
      <c r="D66" s="140"/>
    </row>
    <row r="67" spans="1:4" ht="13.2">
      <c r="A67" s="193"/>
      <c r="B67" s="173"/>
      <c r="C67" s="139" t="str">
        <f ca="1">IFERROR(__xludf.DUMMYFUNCTION("if(ISBLANK(INDIRECT(ADDRESS(6,(ROW()-5)))),,QUERY('NPC List'!$1:$1000, ""Select C,D WHERE A = ""&amp;INDIRECT(ADDRESS(6,(ROW()-5)))&amp;"""",0))"),"")</f>
        <v/>
      </c>
      <c r="D67" s="140"/>
    </row>
    <row r="68" spans="1:4" ht="13.2">
      <c r="A68" s="193"/>
      <c r="B68" s="173"/>
      <c r="C68" s="139" t="str">
        <f ca="1">IFERROR(__xludf.DUMMYFUNCTION("if(ISBLANK(INDIRECT(ADDRESS(6,(ROW()-5)))),,QUERY('NPC List'!$1:$1000, ""Select C,D WHERE A = ""&amp;INDIRECT(ADDRESS(6,(ROW()-5)))&amp;"""",0))"),"")</f>
        <v/>
      </c>
      <c r="D68" s="140"/>
    </row>
    <row r="69" spans="1:4" ht="13.2">
      <c r="A69" s="193"/>
      <c r="B69" s="173"/>
      <c r="C69" s="139" t="str">
        <f ca="1">IFERROR(__xludf.DUMMYFUNCTION("if(ISBLANK(INDIRECT(ADDRESS(6,(ROW()-5)))),,QUERY('NPC List'!$1:$1000, ""Select C,D WHERE A = ""&amp;INDIRECT(ADDRESS(6,(ROW()-5)))&amp;"""",0))"),"")</f>
        <v/>
      </c>
      <c r="D69" s="140"/>
    </row>
    <row r="70" spans="1:4" ht="13.2">
      <c r="A70" s="193"/>
      <c r="B70" s="173"/>
      <c r="C70" s="139" t="str">
        <f ca="1">IFERROR(__xludf.DUMMYFUNCTION("if(ISBLANK(INDIRECT(ADDRESS(6,(ROW()-5)))),,QUERY('NPC List'!$1:$1000, ""Select C,D WHERE A = ""&amp;INDIRECT(ADDRESS(6,(ROW()-5)))&amp;"""",0))"),"")</f>
        <v/>
      </c>
      <c r="D70" s="140"/>
    </row>
    <row r="71" spans="1:4" ht="13.2">
      <c r="A71" s="193"/>
      <c r="B71" s="173"/>
      <c r="C71" s="139" t="str">
        <f ca="1">IFERROR(__xludf.DUMMYFUNCTION("if(ISBLANK(INDIRECT(ADDRESS(6,(ROW()-5)))),,QUERY('NPC List'!$1:$1000, ""Select C,D WHERE A = ""&amp;INDIRECT(ADDRESS(6,(ROW()-5)))&amp;"""",0))"),"")</f>
        <v/>
      </c>
      <c r="D71" s="140"/>
    </row>
    <row r="72" spans="1:4" ht="13.2">
      <c r="A72" s="193"/>
      <c r="B72" s="173"/>
      <c r="C72" s="139" t="str">
        <f ca="1">IFERROR(__xludf.DUMMYFUNCTION("if(ISBLANK(INDIRECT(ADDRESS(6,(ROW()-5)))),,QUERY('NPC List'!$1:$1000, ""Select C,D WHERE A = ""&amp;INDIRECT(ADDRESS(6,(ROW()-5)))&amp;"""",0))"),"")</f>
        <v/>
      </c>
      <c r="D72" s="140"/>
    </row>
    <row r="73" spans="1:4" ht="13.2">
      <c r="A73" s="193"/>
      <c r="B73" s="173"/>
      <c r="C73" s="139" t="str">
        <f ca="1">IFERROR(__xludf.DUMMYFUNCTION("if(ISBLANK(INDIRECT(ADDRESS(6,(ROW()-5)))),,QUERY('NPC List'!$1:$1000, ""Select C,D WHERE A = ""&amp;INDIRECT(ADDRESS(6,(ROW()-5)))&amp;"""",0))"),"")</f>
        <v/>
      </c>
      <c r="D73" s="140"/>
    </row>
    <row r="74" spans="1:4" ht="13.2">
      <c r="A74" s="193"/>
      <c r="B74" s="173"/>
      <c r="C74" s="139" t="str">
        <f ca="1">IFERROR(__xludf.DUMMYFUNCTION("if(ISBLANK(INDIRECT(ADDRESS(6,(ROW()-5)))),,QUERY('NPC List'!$1:$1000, ""Select C,D WHERE A = ""&amp;INDIRECT(ADDRESS(6,(ROW()-5)))&amp;"""",0))"),"")</f>
        <v/>
      </c>
      <c r="D74" s="140"/>
    </row>
    <row r="75" spans="1:4" ht="13.2">
      <c r="A75" s="193"/>
      <c r="B75" s="173"/>
      <c r="C75" s="139" t="str">
        <f ca="1">IFERROR(__xludf.DUMMYFUNCTION("if(ISBLANK(INDIRECT(ADDRESS(6,(ROW()-5)))),,QUERY('NPC List'!$1:$1000, ""Select C,D WHERE A = ""&amp;INDIRECT(ADDRESS(6,(ROW()-5)))&amp;"""",0))"),"")</f>
        <v/>
      </c>
      <c r="D75" s="140"/>
    </row>
    <row r="76" spans="1:4" ht="13.2">
      <c r="A76" s="193"/>
      <c r="B76" s="173"/>
      <c r="C76" s="139" t="str">
        <f ca="1">IFERROR(__xludf.DUMMYFUNCTION("if(ISBLANK(INDIRECT(ADDRESS(6,(ROW()-5)))),,QUERY('NPC List'!$1:$1000, ""Select C,D WHERE A = ""&amp;INDIRECT(ADDRESS(6,(ROW()-5)))&amp;"""",0))"),"")</f>
        <v/>
      </c>
      <c r="D76" s="140"/>
    </row>
    <row r="77" spans="1:4" ht="13.2">
      <c r="A77" s="193"/>
      <c r="B77" s="173"/>
      <c r="C77" s="139" t="str">
        <f ca="1">IFERROR(__xludf.DUMMYFUNCTION("if(ISBLANK(INDIRECT(ADDRESS(6,(ROW()-5)))),,QUERY('NPC List'!$1:$1000, ""Select C,D WHERE A = ""&amp;INDIRECT(ADDRESS(6,(ROW()-5)))&amp;"""",0))"),"")</f>
        <v/>
      </c>
      <c r="D77" s="140"/>
    </row>
    <row r="78" spans="1:4" ht="13.2">
      <c r="A78" s="193"/>
      <c r="B78" s="173"/>
      <c r="C78" s="139" t="str">
        <f ca="1">IFERROR(__xludf.DUMMYFUNCTION("if(ISBLANK(INDIRECT(ADDRESS(6,(ROW()-5)))),,QUERY('NPC List'!$1:$1000, ""Select C,D WHERE A = ""&amp;INDIRECT(ADDRESS(6,(ROW()-5)))&amp;"""",0))"),"")</f>
        <v/>
      </c>
      <c r="D78" s="140"/>
    </row>
    <row r="79" spans="1:4" ht="13.2">
      <c r="A79" s="193"/>
      <c r="B79" s="173"/>
      <c r="C79" s="139" t="str">
        <f ca="1">IFERROR(__xludf.DUMMYFUNCTION("if(ISBLANK(INDIRECT(ADDRESS(6,(ROW()-5)))),,QUERY('NPC List'!$1:$1000, ""Select C,D WHERE A = ""&amp;INDIRECT(ADDRESS(6,(ROW()-5)))&amp;"""",0))"),"")</f>
        <v/>
      </c>
      <c r="D79" s="140"/>
    </row>
    <row r="80" spans="1:4" ht="13.2">
      <c r="A80" s="193"/>
      <c r="B80" s="173"/>
      <c r="C80" s="139" t="str">
        <f ca="1">IFERROR(__xludf.DUMMYFUNCTION("if(ISBLANK(INDIRECT(ADDRESS(6,(ROW()-5)))),,QUERY('NPC List'!$1:$1000, ""Select C,D WHERE A = ""&amp;INDIRECT(ADDRESS(6,(ROW()-5)))&amp;"""",0))"),"")</f>
        <v/>
      </c>
      <c r="D80" s="140"/>
    </row>
    <row r="81" spans="1:4" ht="13.2">
      <c r="A81" s="193"/>
      <c r="B81" s="173"/>
      <c r="C81" s="139" t="str">
        <f ca="1">IFERROR(__xludf.DUMMYFUNCTION("if(ISBLANK(INDIRECT(ADDRESS(6,(ROW()-5)))),,QUERY('NPC List'!$1:$1000, ""Select C,D WHERE A = ""&amp;INDIRECT(ADDRESS(6,(ROW()-5)))&amp;"""",0))"),"")</f>
        <v/>
      </c>
      <c r="D81" s="140"/>
    </row>
    <row r="82" spans="1:4" ht="13.2">
      <c r="A82" s="193"/>
      <c r="B82" s="173"/>
      <c r="C82" s="139" t="str">
        <f ca="1">IFERROR(__xludf.DUMMYFUNCTION("if(ISBLANK(INDIRECT(ADDRESS(6,(ROW()-5)))),,QUERY('NPC List'!$1:$1000, ""Select C,D WHERE A = ""&amp;INDIRECT(ADDRESS(6,(ROW()-5)))&amp;"""",0))"),"")</f>
        <v/>
      </c>
      <c r="D82" s="140"/>
    </row>
    <row r="83" spans="1:4" ht="13.2">
      <c r="A83" s="193"/>
      <c r="B83" s="173"/>
      <c r="C83" s="139" t="str">
        <f ca="1">IFERROR(__xludf.DUMMYFUNCTION("if(ISBLANK(INDIRECT(ADDRESS(6,(ROW()-5)))),,QUERY('NPC List'!$1:$1000, ""Select C,D WHERE A = ""&amp;INDIRECT(ADDRESS(6,(ROW()-5)))&amp;"""",0))"),"")</f>
        <v/>
      </c>
      <c r="D83" s="140"/>
    </row>
    <row r="84" spans="1:4" ht="13.2">
      <c r="A84" s="193"/>
      <c r="B84" s="173"/>
      <c r="C84" s="139" t="str">
        <f ca="1">IFERROR(__xludf.DUMMYFUNCTION("if(ISBLANK(INDIRECT(ADDRESS(6,(ROW()-5)))),,QUERY('NPC List'!$1:$1000, ""Select C,D WHERE A = ""&amp;INDIRECT(ADDRESS(6,(ROW()-5)))&amp;"""",0))"),"")</f>
        <v/>
      </c>
      <c r="D84" s="140"/>
    </row>
    <row r="85" spans="1:4" ht="13.2">
      <c r="A85" s="193"/>
      <c r="B85" s="173"/>
      <c r="C85" s="139" t="str">
        <f ca="1">IFERROR(__xludf.DUMMYFUNCTION("if(ISBLANK(INDIRECT(ADDRESS(6,(ROW()-5)))),,QUERY('NPC List'!$1:$1000, ""Select C,D WHERE A = ""&amp;INDIRECT(ADDRESS(6,(ROW()-5)))&amp;"""",0))"),"")</f>
        <v/>
      </c>
      <c r="D85" s="140"/>
    </row>
    <row r="86" spans="1:4" ht="13.2">
      <c r="A86" s="193"/>
      <c r="B86" s="173"/>
      <c r="C86" s="139" t="str">
        <f ca="1">IFERROR(__xludf.DUMMYFUNCTION("if(ISBLANK(INDIRECT(ADDRESS(6,(ROW()-5)))),,QUERY('NPC List'!$1:$1000, ""Select C,D WHERE A = ""&amp;INDIRECT(ADDRESS(6,(ROW()-5)))&amp;"""",0))"),"")</f>
        <v/>
      </c>
      <c r="D86" s="140"/>
    </row>
    <row r="87" spans="1:4" ht="13.2">
      <c r="A87" s="193"/>
      <c r="B87" s="173"/>
      <c r="C87" s="139" t="str">
        <f ca="1">IFERROR(__xludf.DUMMYFUNCTION("if(ISBLANK(INDIRECT(ADDRESS(6,(ROW()-5)))),,QUERY('NPC List'!$1:$1000, ""Select C,D WHERE A = ""&amp;INDIRECT(ADDRESS(6,(ROW()-5)))&amp;"""",0))"),"")</f>
        <v/>
      </c>
      <c r="D87" s="140"/>
    </row>
    <row r="88" spans="1:4" ht="13.2">
      <c r="A88" s="193"/>
      <c r="B88" s="173"/>
      <c r="C88" s="139" t="str">
        <f ca="1">IFERROR(__xludf.DUMMYFUNCTION("if(ISBLANK(INDIRECT(ADDRESS(6,(ROW()-5)))),,QUERY('NPC List'!$1:$1000, ""Select C,D WHERE A = ""&amp;INDIRECT(ADDRESS(6,(ROW()-5)))&amp;"""",0))"),"")</f>
        <v/>
      </c>
      <c r="D88" s="140"/>
    </row>
    <row r="89" spans="1:4" ht="13.2">
      <c r="A89" s="193"/>
      <c r="B89" s="173"/>
      <c r="C89" s="139" t="str">
        <f ca="1">IFERROR(__xludf.DUMMYFUNCTION("if(ISBLANK(INDIRECT(ADDRESS(6,(ROW()-5)))),,QUERY('NPC List'!$1:$1000, ""Select C,D WHERE A = ""&amp;INDIRECT(ADDRESS(6,(ROW()-5)))&amp;"""",0))"),"")</f>
        <v/>
      </c>
      <c r="D89" s="140"/>
    </row>
    <row r="90" spans="1:4" ht="13.2">
      <c r="A90" s="193"/>
      <c r="B90" s="173"/>
      <c r="C90" s="139" t="str">
        <f ca="1">IFERROR(__xludf.DUMMYFUNCTION("if(ISBLANK(INDIRECT(ADDRESS(6,(ROW()-5)))),,QUERY('NPC List'!$1:$1000, ""Select C,D WHERE A = ""&amp;INDIRECT(ADDRESS(6,(ROW()-5)))&amp;"""",0))"),"")</f>
        <v/>
      </c>
      <c r="D90" s="140"/>
    </row>
    <row r="91" spans="1:4" ht="13.2">
      <c r="A91" s="193"/>
      <c r="B91" s="173"/>
      <c r="C91" s="139" t="str">
        <f ca="1">IFERROR(__xludf.DUMMYFUNCTION("if(ISBLANK(INDIRECT(ADDRESS(6,(ROW()-5)))),,QUERY('NPC List'!$1:$1000, ""Select C,D WHERE A = ""&amp;INDIRECT(ADDRESS(6,(ROW()-5)))&amp;"""",0))"),"")</f>
        <v/>
      </c>
      <c r="D91" s="140"/>
    </row>
    <row r="92" spans="1:4" ht="13.2">
      <c r="A92" s="193"/>
      <c r="B92" s="173"/>
      <c r="C92" s="139" t="str">
        <f ca="1">IFERROR(__xludf.DUMMYFUNCTION("if(ISBLANK(INDIRECT(ADDRESS(6,(ROW()-5)))),,QUERY('NPC List'!$1:$1000, ""Select C,D WHERE A = ""&amp;INDIRECT(ADDRESS(6,(ROW()-5)))&amp;"""",0))"),"")</f>
        <v/>
      </c>
      <c r="D92" s="140"/>
    </row>
    <row r="93" spans="1:4" ht="13.2">
      <c r="A93" s="193"/>
      <c r="B93" s="173"/>
      <c r="C93" s="139" t="str">
        <f ca="1">IFERROR(__xludf.DUMMYFUNCTION("if(ISBLANK(INDIRECT(ADDRESS(6,(ROW()-5)))),,QUERY('NPC List'!$1:$1000, ""Select C,D WHERE A = ""&amp;INDIRECT(ADDRESS(6,(ROW()-5)))&amp;"""",0))"),"")</f>
        <v/>
      </c>
      <c r="D93" s="140"/>
    </row>
    <row r="94" spans="1:4" ht="13.2">
      <c r="A94" s="193"/>
      <c r="B94" s="173"/>
      <c r="C94" s="139" t="str">
        <f ca="1">IFERROR(__xludf.DUMMYFUNCTION("if(ISBLANK(INDIRECT(ADDRESS(6,(ROW()-5)))),,QUERY('NPC List'!$1:$1000, ""Select C,D WHERE A = ""&amp;INDIRECT(ADDRESS(6,(ROW()-5)))&amp;"""",0))"),"")</f>
        <v/>
      </c>
      <c r="D94" s="140"/>
    </row>
    <row r="95" spans="1:4" ht="13.2">
      <c r="A95" s="193"/>
      <c r="B95" s="173"/>
      <c r="C95" s="139" t="str">
        <f ca="1">IFERROR(__xludf.DUMMYFUNCTION("if(ISBLANK(INDIRECT(ADDRESS(6,(ROW()-5)))),,QUERY('NPC List'!$1:$1000, ""Select C,D WHERE A = ""&amp;INDIRECT(ADDRESS(6,(ROW()-5)))&amp;"""",0))"),"")</f>
        <v/>
      </c>
      <c r="D95" s="140"/>
    </row>
    <row r="96" spans="1:4" ht="13.2">
      <c r="A96" s="193"/>
      <c r="B96" s="173"/>
      <c r="C96" s="139" t="str">
        <f ca="1">IFERROR(__xludf.DUMMYFUNCTION("if(ISBLANK(INDIRECT(ADDRESS(6,(ROW()-5)))),,QUERY('NPC List'!$1:$1000, ""Select C,D WHERE A = ""&amp;INDIRECT(ADDRESS(6,(ROW()-5)))&amp;"""",0))"),"")</f>
        <v/>
      </c>
      <c r="D96" s="140"/>
    </row>
    <row r="97" spans="1:4" ht="13.2">
      <c r="A97" s="193"/>
      <c r="B97" s="173"/>
      <c r="C97" s="139" t="str">
        <f ca="1">IFERROR(__xludf.DUMMYFUNCTION("if(ISBLANK(INDIRECT(ADDRESS(6,(ROW()-5)))),,QUERY('NPC List'!$1:$1000, ""Select C,D WHERE A = ""&amp;INDIRECT(ADDRESS(6,(ROW()-5)))&amp;"""",0))"),"")</f>
        <v/>
      </c>
      <c r="D97" s="140"/>
    </row>
    <row r="98" spans="1:4" ht="13.2">
      <c r="A98" s="193"/>
      <c r="B98" s="173"/>
      <c r="C98" s="139" t="str">
        <f ca="1">IFERROR(__xludf.DUMMYFUNCTION("if(ISBLANK(INDIRECT(ADDRESS(6,(ROW()-5)))),,QUERY('NPC List'!$1:$1000, ""Select C,D WHERE A = ""&amp;INDIRECT(ADDRESS(6,(ROW()-5)))&amp;"""",0))"),"")</f>
        <v/>
      </c>
      <c r="D98" s="140"/>
    </row>
    <row r="99" spans="1:4" ht="13.2">
      <c r="A99" s="193"/>
      <c r="B99" s="173"/>
      <c r="C99" s="139" t="str">
        <f ca="1">IFERROR(__xludf.DUMMYFUNCTION("if(ISBLANK(INDIRECT(ADDRESS(6,(ROW()-5)))),,QUERY('NPC List'!$1:$1000, ""Select C,D WHERE A = ""&amp;INDIRECT(ADDRESS(6,(ROW()-5)))&amp;"""",0))"),"")</f>
        <v/>
      </c>
      <c r="D99" s="140"/>
    </row>
    <row r="100" spans="1:4" ht="13.2">
      <c r="A100" s="193"/>
      <c r="B100" s="173"/>
      <c r="C100" s="139" t="str">
        <f ca="1">IFERROR(__xludf.DUMMYFUNCTION("if(ISBLANK(INDIRECT(ADDRESS(6,(ROW()-5)))),,QUERY('NPC List'!$1:$1000, ""Select C,D WHERE A = ""&amp;INDIRECT(ADDRESS(6,(ROW()-5)))&amp;"""",0))"),"")</f>
        <v/>
      </c>
      <c r="D100" s="140"/>
    </row>
    <row r="101" spans="1:4" ht="13.2">
      <c r="A101" s="193"/>
      <c r="B101" s="173"/>
      <c r="C101" s="139" t="str">
        <f ca="1">IFERROR(__xludf.DUMMYFUNCTION("if(ISBLANK(INDIRECT(ADDRESS(6,(ROW()-5)))),,QUERY('NPC List'!$1:$1000, ""Select C,D WHERE A = ""&amp;INDIRECT(ADDRESS(6,(ROW()-5)))&amp;"""",0))"),"")</f>
        <v/>
      </c>
      <c r="D101" s="140"/>
    </row>
    <row r="102" spans="1:4" ht="13.2">
      <c r="A102" s="193"/>
      <c r="B102" s="173"/>
      <c r="C102" s="139" t="str">
        <f ca="1">IFERROR(__xludf.DUMMYFUNCTION("if(ISBLANK(INDIRECT(ADDRESS(6,(ROW()-5)))),,QUERY('NPC List'!$1:$1000, ""Select C,D WHERE A = ""&amp;INDIRECT(ADDRESS(6,(ROW()-5)))&amp;"""",0))"),"")</f>
        <v/>
      </c>
      <c r="D102" s="140"/>
    </row>
    <row r="103" spans="1:4" ht="13.2">
      <c r="A103" s="193"/>
      <c r="B103" s="173"/>
      <c r="C103" s="139" t="str">
        <f ca="1">IFERROR(__xludf.DUMMYFUNCTION("if(ISBLANK(INDIRECT(ADDRESS(6,(ROW()-5)))),,QUERY('NPC List'!$1:$1000, ""Select C,D WHERE A = ""&amp;INDIRECT(ADDRESS(6,(ROW()-5)))&amp;"""",0))"),"")</f>
        <v/>
      </c>
      <c r="D103" s="140"/>
    </row>
    <row r="104" spans="1:4" ht="13.2">
      <c r="A104" s="193"/>
      <c r="B104" s="173"/>
      <c r="C104" s="139" t="str">
        <f ca="1">IFERROR(__xludf.DUMMYFUNCTION("if(ISBLANK(INDIRECT(ADDRESS(6,(ROW()-5)))),,QUERY('NPC List'!$1:$1000, ""Select C,D WHERE A = ""&amp;INDIRECT(ADDRESS(6,(ROW()-5)))&amp;"""",0))"),"")</f>
        <v/>
      </c>
      <c r="D104" s="140"/>
    </row>
    <row r="105" spans="1:4" ht="13.2">
      <c r="A105" s="193"/>
      <c r="B105" s="173"/>
      <c r="C105" s="139" t="str">
        <f ca="1">IFERROR(__xludf.DUMMYFUNCTION("if(ISBLANK(INDIRECT(ADDRESS(6,(ROW()-5)))),,QUERY('NPC List'!$1:$1000, ""Select C,D WHERE A = ""&amp;INDIRECT(ADDRESS(6,(ROW()-5)))&amp;"""",0))"),"")</f>
        <v/>
      </c>
      <c r="D105" s="140"/>
    </row>
    <row r="106" spans="1:4" ht="13.2">
      <c r="A106" s="193"/>
      <c r="B106" s="173"/>
      <c r="C106" s="139" t="str">
        <f ca="1">IFERROR(__xludf.DUMMYFUNCTION("if(ISBLANK(INDIRECT(ADDRESS(6,(ROW()-5)))),,QUERY('NPC List'!$1:$1000, ""Select C,D WHERE A = ""&amp;INDIRECT(ADDRESS(6,(ROW()-5)))&amp;"""",0))"),"")</f>
        <v/>
      </c>
      <c r="D106" s="140"/>
    </row>
    <row r="107" spans="1:4" ht="13.2">
      <c r="A107" s="193"/>
      <c r="B107" s="173"/>
      <c r="C107" s="139" t="str">
        <f ca="1">IFERROR(__xludf.DUMMYFUNCTION("if(ISBLANK(INDIRECT(ADDRESS(6,(ROW()-5)))),,QUERY('NPC List'!$1:$1000, ""Select C,D WHERE A = ""&amp;INDIRECT(ADDRESS(6,(ROW()-5)))&amp;"""",0))"),"")</f>
        <v/>
      </c>
      <c r="D107" s="140"/>
    </row>
    <row r="108" spans="1:4" ht="13.2">
      <c r="A108" s="193"/>
      <c r="B108" s="173"/>
      <c r="C108" s="139" t="str">
        <f ca="1">IFERROR(__xludf.DUMMYFUNCTION("if(ISBLANK(INDIRECT(ADDRESS(6,(ROW()-5)))),,QUERY('NPC List'!$1:$1000, ""Select C,D WHERE A = ""&amp;INDIRECT(ADDRESS(6,(ROW()-5)))&amp;"""",0))"),"")</f>
        <v/>
      </c>
      <c r="D108" s="140"/>
    </row>
    <row r="109" spans="1:4" ht="13.2">
      <c r="A109" s="193"/>
      <c r="B109" s="173"/>
      <c r="C109" s="139" t="str">
        <f ca="1">IFERROR(__xludf.DUMMYFUNCTION("if(ISBLANK(INDIRECT(ADDRESS(6,(ROW()-5)))),,QUERY('NPC List'!$1:$1000, ""Select C,D WHERE A = ""&amp;INDIRECT(ADDRESS(6,(ROW()-5)))&amp;"""",0))"),"")</f>
        <v/>
      </c>
      <c r="D109" s="140"/>
    </row>
    <row r="110" spans="1:4" ht="13.2">
      <c r="A110" s="193"/>
      <c r="B110" s="173"/>
      <c r="C110" s="139" t="str">
        <f ca="1">IFERROR(__xludf.DUMMYFUNCTION("if(ISBLANK(INDIRECT(ADDRESS(6,(ROW()-5)))),,QUERY('NPC List'!$1:$1000, ""Select C,D WHERE A = ""&amp;INDIRECT(ADDRESS(6,(ROW()-5)))&amp;"""",0))"),"")</f>
        <v/>
      </c>
      <c r="D110" s="140"/>
    </row>
    <row r="111" spans="1:4" ht="13.2">
      <c r="A111" s="193"/>
      <c r="B111" s="173"/>
      <c r="C111" s="139" t="str">
        <f ca="1">IFERROR(__xludf.DUMMYFUNCTION("if(ISBLANK(INDIRECT(ADDRESS(6,(ROW()-5)))),,QUERY('NPC List'!$1:$1000, ""Select C,D WHERE A = ""&amp;INDIRECT(ADDRESS(6,(ROW()-5)))&amp;"""",0))"),"")</f>
        <v/>
      </c>
      <c r="D111" s="140"/>
    </row>
    <row r="112" spans="1:4" ht="13.2">
      <c r="A112" s="193"/>
      <c r="B112" s="173"/>
      <c r="C112" s="139" t="str">
        <f ca="1">IFERROR(__xludf.DUMMYFUNCTION("if(ISBLANK(INDIRECT(ADDRESS(6,(ROW()-5)))),,QUERY('NPC List'!$1:$1000, ""Select C,D WHERE A = ""&amp;INDIRECT(ADDRESS(6,(ROW()-5)))&amp;"""",0))"),"")</f>
        <v/>
      </c>
      <c r="D112" s="140"/>
    </row>
    <row r="113" spans="1:4" ht="13.2">
      <c r="A113" s="193"/>
      <c r="B113" s="173"/>
      <c r="C113" s="139" t="str">
        <f ca="1">IFERROR(__xludf.DUMMYFUNCTION("if(ISBLANK(INDIRECT(ADDRESS(6,(ROW()-5)))),,QUERY('NPC List'!$1:$1000, ""Select C,D WHERE A = ""&amp;INDIRECT(ADDRESS(6,(ROW()-5)))&amp;"""",0))"),"")</f>
        <v/>
      </c>
      <c r="D113" s="140"/>
    </row>
    <row r="114" spans="1:4" ht="13.2">
      <c r="A114" s="193"/>
      <c r="B114" s="173"/>
      <c r="C114" s="139" t="str">
        <f ca="1">IFERROR(__xludf.DUMMYFUNCTION("if(ISBLANK(INDIRECT(ADDRESS(6,(ROW()-5)))),,QUERY('NPC List'!$1:$1000, ""Select C,D WHERE A = ""&amp;INDIRECT(ADDRESS(6,(ROW()-5)))&amp;"""",0))"),"")</f>
        <v/>
      </c>
      <c r="D114" s="140"/>
    </row>
    <row r="115" spans="1:4" ht="13.2">
      <c r="A115" s="193"/>
      <c r="B115" s="173"/>
      <c r="C115" s="139" t="str">
        <f ca="1">IFERROR(__xludf.DUMMYFUNCTION("if(ISBLANK(INDIRECT(ADDRESS(6,(ROW()-5)))),,QUERY('NPC List'!$1:$1000, ""Select C,D WHERE A = ""&amp;INDIRECT(ADDRESS(6,(ROW()-5)))&amp;"""",0))"),"")</f>
        <v/>
      </c>
      <c r="D115" s="140"/>
    </row>
    <row r="116" spans="1:4" ht="13.2">
      <c r="A116" s="193"/>
      <c r="B116" s="173"/>
      <c r="C116" s="139" t="str">
        <f ca="1">IFERROR(__xludf.DUMMYFUNCTION("if(ISBLANK(INDIRECT(ADDRESS(6,(ROW()-5)))),,QUERY('NPC List'!$1:$1000, ""Select C,D WHERE A = ""&amp;INDIRECT(ADDRESS(6,(ROW()-5)))&amp;"""",0))"),"")</f>
        <v/>
      </c>
      <c r="D116" s="140"/>
    </row>
    <row r="117" spans="1:4" ht="13.2">
      <c r="A117" s="193"/>
      <c r="B117" s="173"/>
      <c r="C117" s="139" t="str">
        <f ca="1">IFERROR(__xludf.DUMMYFUNCTION("if(ISBLANK(INDIRECT(ADDRESS(6,(ROW()-5)))),,QUERY('NPC List'!$1:$1000, ""Select C,D WHERE A = ""&amp;INDIRECT(ADDRESS(6,(ROW()-5)))&amp;"""",0))"),"")</f>
        <v/>
      </c>
      <c r="D117" s="140"/>
    </row>
    <row r="118" spans="1:4" ht="13.2">
      <c r="A118" s="193"/>
      <c r="B118" s="173"/>
      <c r="C118" s="139" t="str">
        <f ca="1">IFERROR(__xludf.DUMMYFUNCTION("if(ISBLANK(INDIRECT(ADDRESS(6,(ROW()-5)))),,QUERY('NPC List'!$1:$1000, ""Select C,D WHERE A = ""&amp;INDIRECT(ADDRESS(6,(ROW()-5)))&amp;"""",0))"),"")</f>
        <v/>
      </c>
      <c r="D118" s="140"/>
    </row>
    <row r="119" spans="1:4" ht="13.2">
      <c r="A119" s="193"/>
      <c r="B119" s="173"/>
      <c r="C119" s="139" t="str">
        <f ca="1">IFERROR(__xludf.DUMMYFUNCTION("if(ISBLANK(INDIRECT(ADDRESS(6,(ROW()-5)))),,QUERY('NPC List'!$1:$1000, ""Select C,D WHERE A = ""&amp;INDIRECT(ADDRESS(6,(ROW()-5)))&amp;"""",0))"),"")</f>
        <v/>
      </c>
      <c r="D119" s="140"/>
    </row>
    <row r="120" spans="1:4" ht="13.2">
      <c r="A120" s="193"/>
      <c r="B120" s="173"/>
      <c r="C120" s="139" t="str">
        <f ca="1">IFERROR(__xludf.DUMMYFUNCTION("if(ISBLANK(INDIRECT(ADDRESS(6,(ROW()-5)))),,QUERY('NPC List'!$1:$1000, ""Select C,D WHERE A = ""&amp;INDIRECT(ADDRESS(6,(ROW()-5)))&amp;"""",0))"),"")</f>
        <v/>
      </c>
      <c r="D120" s="140"/>
    </row>
    <row r="121" spans="1:4" ht="13.2">
      <c r="A121" s="193"/>
      <c r="B121" s="173"/>
      <c r="C121" s="139" t="str">
        <f ca="1">IFERROR(__xludf.DUMMYFUNCTION("if(ISBLANK(INDIRECT(ADDRESS(6,(ROW()-5)))),,QUERY('NPC List'!$1:$1000, ""Select C,D WHERE A = ""&amp;INDIRECT(ADDRESS(6,(ROW()-5)))&amp;"""",0))"),"")</f>
        <v/>
      </c>
      <c r="D121" s="140"/>
    </row>
    <row r="122" spans="1:4" ht="13.2">
      <c r="A122" s="193"/>
      <c r="B122" s="173"/>
      <c r="C122" s="139" t="str">
        <f ca="1">IFERROR(__xludf.DUMMYFUNCTION("if(ISBLANK(INDIRECT(ADDRESS(6,(ROW()-5)))),,QUERY('NPC List'!$1:$1000, ""Select C,D WHERE A = ""&amp;INDIRECT(ADDRESS(6,(ROW()-5)))&amp;"""",0))"),"")</f>
        <v/>
      </c>
      <c r="D122" s="140"/>
    </row>
    <row r="123" spans="1:4" ht="13.2">
      <c r="A123" s="193"/>
      <c r="B123" s="173"/>
      <c r="C123" s="139" t="str">
        <f ca="1">IFERROR(__xludf.DUMMYFUNCTION("if(ISBLANK(INDIRECT(ADDRESS(6,(ROW()-5)))),,QUERY('NPC List'!$1:$1000, ""Select C,D WHERE A = ""&amp;INDIRECT(ADDRESS(6,(ROW()-5)))&amp;"""",0))"),"")</f>
        <v/>
      </c>
      <c r="D123" s="140"/>
    </row>
    <row r="124" spans="1:4" ht="13.2">
      <c r="A124" s="193"/>
      <c r="B124" s="173"/>
      <c r="C124" s="139" t="str">
        <f ca="1">IFERROR(__xludf.DUMMYFUNCTION("if(ISBLANK(INDIRECT(ADDRESS(6,(ROW()-5)))),,QUERY('NPC List'!$1:$1000, ""Select C,D WHERE A = ""&amp;INDIRECT(ADDRESS(6,(ROW()-5)))&amp;"""",0))"),"")</f>
        <v/>
      </c>
      <c r="D124" s="140"/>
    </row>
    <row r="125" spans="1:4" ht="13.2">
      <c r="A125" s="193"/>
      <c r="B125" s="173"/>
      <c r="C125" s="139" t="str">
        <f ca="1">IFERROR(__xludf.DUMMYFUNCTION("if(ISBLANK(INDIRECT(ADDRESS(6,(ROW()-5)))),,QUERY('NPC List'!$1:$1000, ""Select C,D WHERE A = ""&amp;INDIRECT(ADDRESS(6,(ROW()-5)))&amp;"""",0))"),"")</f>
        <v/>
      </c>
      <c r="D125" s="140"/>
    </row>
    <row r="126" spans="1:4" ht="13.2">
      <c r="A126" s="193"/>
      <c r="B126" s="173"/>
      <c r="C126" s="139" t="str">
        <f ca="1">IFERROR(__xludf.DUMMYFUNCTION("if(ISBLANK(INDIRECT(ADDRESS(6,(ROW()-5)))),,QUERY('NPC List'!$1:$1000, ""Select C,D WHERE A = ""&amp;INDIRECT(ADDRESS(6,(ROW()-5)))&amp;"""",0))"),"")</f>
        <v/>
      </c>
      <c r="D126" s="140"/>
    </row>
    <row r="127" spans="1:4" ht="13.2">
      <c r="A127" s="193"/>
      <c r="B127" s="173"/>
      <c r="C127" s="139" t="str">
        <f ca="1">IFERROR(__xludf.DUMMYFUNCTION("if(ISBLANK(INDIRECT(ADDRESS(6,(ROW()-5)))),,QUERY('NPC List'!$1:$1000, ""Select C,D WHERE A = ""&amp;INDIRECT(ADDRESS(6,(ROW()-5)))&amp;"""",0))"),"")</f>
        <v/>
      </c>
      <c r="D127" s="140"/>
    </row>
    <row r="128" spans="1:4" ht="13.2">
      <c r="A128" s="193"/>
      <c r="B128" s="173"/>
      <c r="C128" s="139" t="str">
        <f ca="1">IFERROR(__xludf.DUMMYFUNCTION("if(ISBLANK(INDIRECT(ADDRESS(6,(ROW()-5)))),,QUERY('NPC List'!$1:$1000, ""Select C,D WHERE A = ""&amp;INDIRECT(ADDRESS(6,(ROW()-5)))&amp;"""",0))"),"")</f>
        <v/>
      </c>
      <c r="D128" s="140"/>
    </row>
    <row r="129" spans="1:4" ht="13.2">
      <c r="A129" s="193"/>
      <c r="B129" s="173"/>
      <c r="C129" s="139" t="str">
        <f ca="1">IFERROR(__xludf.DUMMYFUNCTION("if(ISBLANK(INDIRECT(ADDRESS(6,(ROW()-5)))),,QUERY('NPC List'!$1:$1000, ""Select C,D WHERE A = ""&amp;INDIRECT(ADDRESS(6,(ROW()-5)))&amp;"""",0))"),"")</f>
        <v/>
      </c>
      <c r="D129" s="140"/>
    </row>
    <row r="130" spans="1:4" ht="13.2">
      <c r="A130" s="193"/>
      <c r="B130" s="173"/>
      <c r="C130" s="139" t="str">
        <f ca="1">IFERROR(__xludf.DUMMYFUNCTION("if(ISBLANK(INDIRECT(ADDRESS(6,(ROW()-5)))),,QUERY('NPC List'!$1:$1000, ""Select C,D WHERE A = ""&amp;INDIRECT(ADDRESS(6,(ROW()-5)))&amp;"""",0))"),"")</f>
        <v/>
      </c>
      <c r="D130" s="140"/>
    </row>
    <row r="131" spans="1:4" ht="13.2">
      <c r="A131" s="193"/>
      <c r="B131" s="173"/>
      <c r="C131" s="139" t="str">
        <f ca="1">IFERROR(__xludf.DUMMYFUNCTION("if(ISBLANK(INDIRECT(ADDRESS(6,(ROW()-5)))),,QUERY('NPC List'!$1:$1000, ""Select C,D WHERE A = ""&amp;INDIRECT(ADDRESS(6,(ROW()-5)))&amp;"""",0))"),"")</f>
        <v/>
      </c>
      <c r="D131" s="140"/>
    </row>
    <row r="132" spans="1:4" ht="13.2">
      <c r="A132" s="193"/>
      <c r="B132" s="173"/>
      <c r="C132" s="139" t="str">
        <f ca="1">IFERROR(__xludf.DUMMYFUNCTION("if(ISBLANK(INDIRECT(ADDRESS(6,(ROW()-5)))),,QUERY('NPC List'!$1:$1000, ""Select C,D WHERE A = ""&amp;INDIRECT(ADDRESS(6,(ROW()-5)))&amp;"""",0))"),"")</f>
        <v/>
      </c>
      <c r="D132" s="140"/>
    </row>
    <row r="133" spans="1:4" ht="13.2">
      <c r="A133" s="193"/>
      <c r="B133" s="173"/>
      <c r="C133" s="139" t="str">
        <f ca="1">IFERROR(__xludf.DUMMYFUNCTION("if(ISBLANK(INDIRECT(ADDRESS(6,(ROW()-5)))),,QUERY('NPC List'!$1:$1000, ""Select C,D WHERE A = ""&amp;INDIRECT(ADDRESS(6,(ROW()-5)))&amp;"""",0))"),"")</f>
        <v/>
      </c>
      <c r="D133" s="140"/>
    </row>
    <row r="134" spans="1:4" ht="13.2">
      <c r="A134" s="193"/>
      <c r="B134" s="173"/>
      <c r="C134" s="139" t="str">
        <f ca="1">IFERROR(__xludf.DUMMYFUNCTION("if(ISBLANK(INDIRECT(ADDRESS(6,(ROW()-5)))),,QUERY('NPC List'!$1:$1000, ""Select C,D WHERE A = ""&amp;INDIRECT(ADDRESS(6,(ROW()-5)))&amp;"""",0))"),"")</f>
        <v/>
      </c>
      <c r="D134" s="140"/>
    </row>
    <row r="135" spans="1:4" ht="13.2">
      <c r="A135" s="193"/>
      <c r="B135" s="173"/>
      <c r="C135" s="139" t="str">
        <f ca="1">IFERROR(__xludf.DUMMYFUNCTION("if(ISBLANK(INDIRECT(ADDRESS(6,(ROW()-5)))),,QUERY('NPC List'!$1:$1000, ""Select C,D WHERE A = ""&amp;INDIRECT(ADDRESS(6,(ROW()-5)))&amp;"""",0))"),"")</f>
        <v/>
      </c>
      <c r="D135" s="140"/>
    </row>
    <row r="136" spans="1:4" ht="13.2">
      <c r="A136" s="193"/>
      <c r="B136" s="173"/>
      <c r="C136" s="139" t="str">
        <f ca="1">IFERROR(__xludf.DUMMYFUNCTION("if(ISBLANK(INDIRECT(ADDRESS(6,(ROW()-5)))),,QUERY('NPC List'!$1:$1000, ""Select C,D WHERE A = ""&amp;INDIRECT(ADDRESS(6,(ROW()-5)))&amp;"""",0))"),"")</f>
        <v/>
      </c>
      <c r="D136" s="140"/>
    </row>
    <row r="137" spans="1:4" ht="13.2">
      <c r="A137" s="193"/>
      <c r="B137" s="173"/>
      <c r="C137" s="139" t="str">
        <f ca="1">IFERROR(__xludf.DUMMYFUNCTION("if(ISBLANK(INDIRECT(ADDRESS(6,(ROW()-5)))),,QUERY('NPC List'!$1:$1000, ""Select C,D WHERE A = ""&amp;INDIRECT(ADDRESS(6,(ROW()-5)))&amp;"""",0))"),"")</f>
        <v/>
      </c>
      <c r="D137" s="140"/>
    </row>
    <row r="138" spans="1:4" ht="13.2">
      <c r="A138" s="193"/>
      <c r="B138" s="173"/>
      <c r="C138" s="139" t="str">
        <f ca="1">IFERROR(__xludf.DUMMYFUNCTION("if(ISBLANK(INDIRECT(ADDRESS(6,(ROW()-5)))),,QUERY('NPC List'!$1:$1000, ""Select C,D WHERE A = ""&amp;INDIRECT(ADDRESS(6,(ROW()-5)))&amp;"""",0))"),"")</f>
        <v/>
      </c>
      <c r="D138" s="140"/>
    </row>
    <row r="139" spans="1:4" ht="13.2">
      <c r="A139" s="193"/>
      <c r="B139" s="173"/>
      <c r="C139" s="139" t="str">
        <f ca="1">IFERROR(__xludf.DUMMYFUNCTION("if(ISBLANK(INDIRECT(ADDRESS(6,(ROW()-5)))),,QUERY('NPC List'!$1:$1000, ""Select C,D WHERE A = ""&amp;INDIRECT(ADDRESS(6,(ROW()-5)))&amp;"""",0))"),"")</f>
        <v/>
      </c>
      <c r="D139" s="140"/>
    </row>
    <row r="140" spans="1:4" ht="13.2">
      <c r="A140" s="193"/>
      <c r="B140" s="173"/>
      <c r="C140" s="139" t="str">
        <f ca="1">IFERROR(__xludf.DUMMYFUNCTION("if(ISBLANK(INDIRECT(ADDRESS(6,(ROW()-5)))),,QUERY('NPC List'!$1:$1000, ""Select C,D WHERE A = ""&amp;INDIRECT(ADDRESS(6,(ROW()-5)))&amp;"""",0))"),"")</f>
        <v/>
      </c>
      <c r="D140" s="140"/>
    </row>
    <row r="141" spans="1:4" ht="13.2">
      <c r="A141" s="193"/>
      <c r="B141" s="173"/>
      <c r="C141" s="139" t="str">
        <f ca="1">IFERROR(__xludf.DUMMYFUNCTION("if(ISBLANK(INDIRECT(ADDRESS(6,(ROW()-5)))),,QUERY('NPC List'!$1:$1000, ""Select C,D WHERE A = ""&amp;INDIRECT(ADDRESS(6,(ROW()-5)))&amp;"""",0))"),"")</f>
        <v/>
      </c>
      <c r="D141" s="140"/>
    </row>
    <row r="142" spans="1:4" ht="13.2">
      <c r="A142" s="193"/>
      <c r="B142" s="173"/>
      <c r="C142" s="139" t="str">
        <f ca="1">IFERROR(__xludf.DUMMYFUNCTION("if(ISBLANK(INDIRECT(ADDRESS(6,(ROW()-5)))),,QUERY('NPC List'!$1:$1000, ""Select C,D WHERE A = ""&amp;INDIRECT(ADDRESS(6,(ROW()-5)))&amp;"""",0))"),"")</f>
        <v/>
      </c>
      <c r="D142" s="140"/>
    </row>
    <row r="143" spans="1:4" ht="13.2">
      <c r="A143" s="193"/>
      <c r="B143" s="173"/>
      <c r="C143" s="139" t="str">
        <f ca="1">IFERROR(__xludf.DUMMYFUNCTION("if(ISBLANK(INDIRECT(ADDRESS(6,(ROW()-5)))),,QUERY('NPC List'!$1:$1000, ""Select C,D WHERE A = ""&amp;INDIRECT(ADDRESS(6,(ROW()-5)))&amp;"""",0))"),"")</f>
        <v/>
      </c>
      <c r="D143" s="140"/>
    </row>
    <row r="144" spans="1:4" ht="13.2">
      <c r="A144" s="193"/>
      <c r="B144" s="173"/>
      <c r="C144" s="139" t="str">
        <f ca="1">IFERROR(__xludf.DUMMYFUNCTION("if(ISBLANK(INDIRECT(ADDRESS(6,(ROW()-5)))),,QUERY('NPC List'!$1:$1000, ""Select C,D WHERE A = ""&amp;INDIRECT(ADDRESS(6,(ROW()-5)))&amp;"""",0))"),"")</f>
        <v/>
      </c>
      <c r="D144" s="140"/>
    </row>
    <row r="145" spans="1:4" ht="13.2">
      <c r="A145" s="193"/>
      <c r="B145" s="173"/>
      <c r="C145" s="139" t="str">
        <f ca="1">IFERROR(__xludf.DUMMYFUNCTION("if(ISBLANK(INDIRECT(ADDRESS(6,(ROW()-5)))),,QUERY('NPC List'!$1:$1000, ""Select C,D WHERE A = ""&amp;INDIRECT(ADDRESS(6,(ROW()-5)))&amp;"""",0))"),"")</f>
        <v/>
      </c>
      <c r="D145" s="140"/>
    </row>
    <row r="146" spans="1:4" ht="13.2">
      <c r="A146" s="193"/>
      <c r="B146" s="173"/>
      <c r="C146" s="139" t="str">
        <f ca="1">IFERROR(__xludf.DUMMYFUNCTION("if(ISBLANK(INDIRECT(ADDRESS(6,(ROW()-5)))),,QUERY('NPC List'!$1:$1000, ""Select C,D WHERE A = ""&amp;INDIRECT(ADDRESS(6,(ROW()-5)))&amp;"""",0))"),"")</f>
        <v/>
      </c>
      <c r="D146" s="140"/>
    </row>
    <row r="147" spans="1:4" ht="13.2">
      <c r="A147" s="193"/>
      <c r="B147" s="173"/>
      <c r="C147" s="139" t="str">
        <f ca="1">IFERROR(__xludf.DUMMYFUNCTION("if(ISBLANK(INDIRECT(ADDRESS(6,(ROW()-5)))),,QUERY('NPC List'!$1:$1000, ""Select C,D WHERE A = ""&amp;INDIRECT(ADDRESS(6,(ROW()-5)))&amp;"""",0))"),"")</f>
        <v/>
      </c>
      <c r="D147" s="140"/>
    </row>
    <row r="148" spans="1:4" ht="13.2">
      <c r="A148" s="193"/>
      <c r="B148" s="173"/>
      <c r="C148" s="139" t="str">
        <f ca="1">IFERROR(__xludf.DUMMYFUNCTION("if(ISBLANK(INDIRECT(ADDRESS(6,(ROW()-5)))),,QUERY('NPC List'!$1:$1000, ""Select C,D WHERE A = ""&amp;INDIRECT(ADDRESS(6,(ROW()-5)))&amp;"""",0))"),"")</f>
        <v/>
      </c>
      <c r="D148" s="140"/>
    </row>
    <row r="149" spans="1:4" ht="13.2">
      <c r="A149" s="193"/>
      <c r="B149" s="173"/>
      <c r="C149" s="139" t="str">
        <f ca="1">IFERROR(__xludf.DUMMYFUNCTION("if(ISBLANK(INDIRECT(ADDRESS(6,(ROW()-5)))),,QUERY('NPC List'!$1:$1000, ""Select C,D WHERE A = ""&amp;INDIRECT(ADDRESS(6,(ROW()-5)))&amp;"""",0))"),"")</f>
        <v/>
      </c>
      <c r="D149" s="140"/>
    </row>
    <row r="150" spans="1:4" ht="13.2">
      <c r="A150" s="193"/>
      <c r="B150" s="173"/>
      <c r="C150" s="139" t="str">
        <f ca="1">IFERROR(__xludf.DUMMYFUNCTION("if(ISBLANK(INDIRECT(ADDRESS(6,(ROW()-5)))),,QUERY('NPC List'!$1:$1000, ""Select C,D WHERE A = ""&amp;INDIRECT(ADDRESS(6,(ROW()-5)))&amp;"""",0))"),"")</f>
        <v/>
      </c>
      <c r="D150" s="140"/>
    </row>
    <row r="151" spans="1:4" ht="13.2">
      <c r="A151" s="193"/>
      <c r="B151" s="173"/>
      <c r="C151" s="139" t="str">
        <f ca="1">IFERROR(__xludf.DUMMYFUNCTION("if(ISBLANK(INDIRECT(ADDRESS(6,(ROW()-5)))),,QUERY('NPC List'!$1:$1000, ""Select C,D WHERE A = ""&amp;INDIRECT(ADDRESS(6,(ROW()-5)))&amp;"""",0))"),"")</f>
        <v/>
      </c>
      <c r="D151" s="140"/>
    </row>
    <row r="152" spans="1:4" ht="13.2">
      <c r="A152" s="193"/>
      <c r="B152" s="173"/>
      <c r="C152" s="139" t="str">
        <f ca="1">IFERROR(__xludf.DUMMYFUNCTION("if(ISBLANK(INDIRECT(ADDRESS(6,(ROW()-5)))),,QUERY('NPC List'!$1:$1000, ""Select C,D WHERE A = ""&amp;INDIRECT(ADDRESS(6,(ROW()-5)))&amp;"""",0))"),"")</f>
        <v/>
      </c>
      <c r="D152" s="140"/>
    </row>
    <row r="153" spans="1:4" ht="13.2">
      <c r="A153" s="193"/>
      <c r="B153" s="173"/>
      <c r="C153" s="139" t="str">
        <f ca="1">IFERROR(__xludf.DUMMYFUNCTION("if(ISBLANK(INDIRECT(ADDRESS(6,(ROW()-5)))),,QUERY('NPC List'!$1:$1000, ""Select C,D WHERE A = ""&amp;INDIRECT(ADDRESS(6,(ROW()-5)))&amp;"""",0))"),"")</f>
        <v/>
      </c>
      <c r="D153" s="140"/>
    </row>
    <row r="154" spans="1:4" ht="13.2">
      <c r="A154" s="193"/>
      <c r="B154" s="173"/>
      <c r="C154" s="139" t="str">
        <f ca="1">IFERROR(__xludf.DUMMYFUNCTION("if(ISBLANK(INDIRECT(ADDRESS(6,(ROW()-5)))),,QUERY('NPC List'!$1:$1000, ""Select C,D WHERE A = ""&amp;INDIRECT(ADDRESS(6,(ROW()-5)))&amp;"""",0))"),"")</f>
        <v/>
      </c>
      <c r="D154" s="140"/>
    </row>
    <row r="155" spans="1:4" ht="13.2">
      <c r="A155" s="193"/>
      <c r="B155" s="173"/>
      <c r="C155" s="139" t="str">
        <f ca="1">IFERROR(__xludf.DUMMYFUNCTION("if(ISBLANK(INDIRECT(ADDRESS(6,(ROW()-5)))),,QUERY('NPC List'!$1:$1000, ""Select C,D WHERE A = ""&amp;INDIRECT(ADDRESS(6,(ROW()-5)))&amp;"""",0))"),"")</f>
        <v/>
      </c>
      <c r="D155" s="140"/>
    </row>
    <row r="156" spans="1:4" ht="13.2">
      <c r="A156" s="193"/>
      <c r="B156" s="173"/>
      <c r="C156" s="139" t="str">
        <f ca="1">IFERROR(__xludf.DUMMYFUNCTION("if(ISBLANK(INDIRECT(ADDRESS(6,(ROW()-5)))),,QUERY('NPC List'!$1:$1000, ""Select C,D WHERE A = ""&amp;INDIRECT(ADDRESS(6,(ROW()-5)))&amp;"""",0))"),"")</f>
        <v/>
      </c>
      <c r="D156" s="140"/>
    </row>
    <row r="157" spans="1:4" ht="13.2">
      <c r="A157" s="193"/>
      <c r="B157" s="173"/>
      <c r="C157" s="139" t="str">
        <f ca="1">IFERROR(__xludf.DUMMYFUNCTION("if(ISBLANK(INDIRECT(ADDRESS(6,(ROW()-5)))),,QUERY('NPC List'!$1:$1000, ""Select C,D WHERE A = ""&amp;INDIRECT(ADDRESS(6,(ROW()-5)))&amp;"""",0))"),"")</f>
        <v/>
      </c>
      <c r="D157" s="140"/>
    </row>
    <row r="158" spans="1:4" ht="13.2">
      <c r="A158" s="193"/>
      <c r="B158" s="173"/>
      <c r="C158" s="139" t="str">
        <f ca="1">IFERROR(__xludf.DUMMYFUNCTION("if(ISBLANK(INDIRECT(ADDRESS(6,(ROW()-5)))),,QUERY('NPC List'!$1:$1000, ""Select C,D WHERE A = ""&amp;INDIRECT(ADDRESS(6,(ROW()-5)))&amp;"""",0))"),"")</f>
        <v/>
      </c>
      <c r="D158" s="140"/>
    </row>
    <row r="159" spans="1:4" ht="13.2">
      <c r="A159" s="193"/>
      <c r="B159" s="173"/>
      <c r="C159" s="139" t="str">
        <f ca="1">IFERROR(__xludf.DUMMYFUNCTION("if(ISBLANK(INDIRECT(ADDRESS(6,(ROW()-5)))),,QUERY('NPC List'!$1:$1000, ""Select C,D WHERE A = ""&amp;INDIRECT(ADDRESS(6,(ROW()-5)))&amp;"""",0))"),"")</f>
        <v/>
      </c>
      <c r="D159" s="140"/>
    </row>
    <row r="160" spans="1:4" ht="13.2">
      <c r="A160" s="193"/>
      <c r="B160" s="173"/>
      <c r="C160" s="139" t="str">
        <f ca="1">IFERROR(__xludf.DUMMYFUNCTION("if(ISBLANK(INDIRECT(ADDRESS(6,(ROW()-5)))),,QUERY('NPC List'!$1:$1000, ""Select C,D WHERE A = ""&amp;INDIRECT(ADDRESS(6,(ROW()-5)))&amp;"""",0))"),"")</f>
        <v/>
      </c>
      <c r="D160" s="140"/>
    </row>
    <row r="161" spans="1:4" ht="13.2">
      <c r="A161" s="193"/>
      <c r="B161" s="173"/>
      <c r="C161" s="139" t="str">
        <f ca="1">IFERROR(__xludf.DUMMYFUNCTION("if(ISBLANK(INDIRECT(ADDRESS(6,(ROW()-5)))),,QUERY('NPC List'!$1:$1000, ""Select C,D WHERE A = ""&amp;INDIRECT(ADDRESS(6,(ROW()-5)))&amp;"""",0))"),"")</f>
        <v/>
      </c>
      <c r="D161" s="140"/>
    </row>
    <row r="162" spans="1:4" ht="13.2">
      <c r="A162" s="193"/>
      <c r="B162" s="173"/>
      <c r="C162" s="139" t="str">
        <f ca="1">IFERROR(__xludf.DUMMYFUNCTION("if(ISBLANK(INDIRECT(ADDRESS(6,(ROW()-5)))),,QUERY('NPC List'!$1:$1000, ""Select C,D WHERE A = ""&amp;INDIRECT(ADDRESS(6,(ROW()-5)))&amp;"""",0))"),"")</f>
        <v/>
      </c>
      <c r="D162" s="140"/>
    </row>
    <row r="163" spans="1:4" ht="13.2">
      <c r="A163" s="193"/>
      <c r="B163" s="173"/>
      <c r="C163" s="139" t="str">
        <f ca="1">IFERROR(__xludf.DUMMYFUNCTION("if(ISBLANK(INDIRECT(ADDRESS(6,(ROW()-5)))),,QUERY('NPC List'!$1:$1000, ""Select C,D WHERE A = ""&amp;INDIRECT(ADDRESS(6,(ROW()-5)))&amp;"""",0))"),"")</f>
        <v/>
      </c>
      <c r="D163" s="140"/>
    </row>
    <row r="164" spans="1:4" ht="13.2">
      <c r="A164" s="193"/>
      <c r="B164" s="173"/>
      <c r="C164" s="139" t="str">
        <f ca="1">IFERROR(__xludf.DUMMYFUNCTION("if(ISBLANK(INDIRECT(ADDRESS(6,(ROW()-5)))),,QUERY('NPC List'!$1:$1000, ""Select C,D WHERE A = ""&amp;INDIRECT(ADDRESS(6,(ROW()-5)))&amp;"""",0))"),"")</f>
        <v/>
      </c>
      <c r="D164" s="140"/>
    </row>
    <row r="165" spans="1:4" ht="13.2">
      <c r="A165" s="193"/>
      <c r="B165" s="173"/>
      <c r="C165" s="139" t="str">
        <f ca="1">IFERROR(__xludf.DUMMYFUNCTION("if(ISBLANK(INDIRECT(ADDRESS(6,(ROW()-5)))),,QUERY('NPC List'!$1:$1000, ""Select C,D WHERE A = ""&amp;INDIRECT(ADDRESS(6,(ROW()-5)))&amp;"""",0))"),"")</f>
        <v/>
      </c>
      <c r="D165" s="140"/>
    </row>
    <row r="166" spans="1:4" ht="13.2">
      <c r="A166" s="193"/>
      <c r="B166" s="173"/>
      <c r="C166" s="139" t="str">
        <f ca="1">IFERROR(__xludf.DUMMYFUNCTION("if(ISBLANK(INDIRECT(ADDRESS(6,(ROW()-5)))),,QUERY('NPC List'!$1:$1000, ""Select C,D WHERE A = ""&amp;INDIRECT(ADDRESS(6,(ROW()-5)))&amp;"""",0))"),"")</f>
        <v/>
      </c>
      <c r="D166" s="140"/>
    </row>
    <row r="167" spans="1:4" ht="13.2">
      <c r="A167" s="193"/>
      <c r="B167" s="173"/>
      <c r="C167" s="139" t="str">
        <f ca="1">IFERROR(__xludf.DUMMYFUNCTION("if(ISBLANK(INDIRECT(ADDRESS(6,(ROW()-5)))),,QUERY('NPC List'!$1:$1000, ""Select C,D WHERE A = ""&amp;INDIRECT(ADDRESS(6,(ROW()-5)))&amp;"""",0))"),"")</f>
        <v/>
      </c>
      <c r="D167" s="140"/>
    </row>
    <row r="168" spans="1:4" ht="13.2">
      <c r="A168" s="193"/>
      <c r="B168" s="173"/>
      <c r="C168" s="139" t="str">
        <f ca="1">IFERROR(__xludf.DUMMYFUNCTION("if(ISBLANK(INDIRECT(ADDRESS(6,(ROW()-5)))),,QUERY('NPC List'!$1:$1000, ""Select C,D WHERE A = ""&amp;INDIRECT(ADDRESS(6,(ROW()-5)))&amp;"""",0))"),"")</f>
        <v/>
      </c>
      <c r="D168" s="140"/>
    </row>
    <row r="169" spans="1:4" ht="13.2">
      <c r="A169" s="193"/>
      <c r="B169" s="173"/>
      <c r="C169" s="139" t="str">
        <f ca="1">IFERROR(__xludf.DUMMYFUNCTION("if(ISBLANK(INDIRECT(ADDRESS(6,(ROW()-5)))),,QUERY('NPC List'!$1:$1000, ""Select C,D WHERE A = ""&amp;INDIRECT(ADDRESS(6,(ROW()-5)))&amp;"""",0))"),"")</f>
        <v/>
      </c>
      <c r="D169" s="140"/>
    </row>
    <row r="170" spans="1:4" ht="13.2">
      <c r="A170" s="193"/>
      <c r="B170" s="173"/>
      <c r="C170" s="139" t="str">
        <f ca="1">IFERROR(__xludf.DUMMYFUNCTION("if(ISBLANK(INDIRECT(ADDRESS(6,(ROW()-5)))),,QUERY('NPC List'!$1:$1000, ""Select C,D WHERE A = ""&amp;INDIRECT(ADDRESS(6,(ROW()-5)))&amp;"""",0))"),"")</f>
        <v/>
      </c>
      <c r="D170" s="140"/>
    </row>
    <row r="171" spans="1:4" ht="13.2">
      <c r="A171" s="193"/>
      <c r="B171" s="173"/>
      <c r="C171" s="139" t="str">
        <f ca="1">IFERROR(__xludf.DUMMYFUNCTION("if(ISBLANK(INDIRECT(ADDRESS(6,(ROW()-5)))),,QUERY('NPC List'!$1:$1000, ""Select C,D WHERE A = ""&amp;INDIRECT(ADDRESS(6,(ROW()-5)))&amp;"""",0))"),"")</f>
        <v/>
      </c>
      <c r="D171" s="140"/>
    </row>
    <row r="172" spans="1:4" ht="13.2">
      <c r="A172" s="193"/>
      <c r="B172" s="173"/>
      <c r="C172" s="139" t="str">
        <f ca="1">IFERROR(__xludf.DUMMYFUNCTION("if(ISBLANK(INDIRECT(ADDRESS(6,(ROW()-5)))),,QUERY('NPC List'!$1:$1000, ""Select C,D WHERE A = ""&amp;INDIRECT(ADDRESS(6,(ROW()-5)))&amp;"""",0))"),"")</f>
        <v/>
      </c>
      <c r="D172" s="140"/>
    </row>
    <row r="173" spans="1:4" ht="13.2">
      <c r="A173" s="193"/>
      <c r="B173" s="173"/>
      <c r="C173" s="139" t="str">
        <f ca="1">IFERROR(__xludf.DUMMYFUNCTION("if(ISBLANK(INDIRECT(ADDRESS(6,(ROW()-5)))),,QUERY('NPC List'!$1:$1000, ""Select C,D WHERE A = ""&amp;INDIRECT(ADDRESS(6,(ROW()-5)))&amp;"""",0))"),"")</f>
        <v/>
      </c>
      <c r="D173" s="140"/>
    </row>
    <row r="174" spans="1:4" ht="13.2">
      <c r="A174" s="193"/>
      <c r="B174" s="173"/>
      <c r="C174" s="139" t="str">
        <f ca="1">IFERROR(__xludf.DUMMYFUNCTION("if(ISBLANK(INDIRECT(ADDRESS(6,(ROW()-5)))),,QUERY('NPC List'!$1:$1000, ""Select C,D WHERE A = ""&amp;INDIRECT(ADDRESS(6,(ROW()-5)))&amp;"""",0))"),"")</f>
        <v/>
      </c>
      <c r="D174" s="140"/>
    </row>
    <row r="175" spans="1:4" ht="13.2">
      <c r="A175" s="193"/>
      <c r="B175" s="173"/>
      <c r="C175" s="139" t="str">
        <f ca="1">IFERROR(__xludf.DUMMYFUNCTION("if(ISBLANK(INDIRECT(ADDRESS(6,(ROW()-5)))),,QUERY('NPC List'!$1:$1000, ""Select C,D WHERE A = ""&amp;INDIRECT(ADDRESS(6,(ROW()-5)))&amp;"""",0))"),"")</f>
        <v/>
      </c>
      <c r="D175" s="140"/>
    </row>
    <row r="176" spans="1:4" ht="13.2">
      <c r="A176" s="193"/>
      <c r="B176" s="173"/>
      <c r="C176" s="139" t="str">
        <f ca="1">IFERROR(__xludf.DUMMYFUNCTION("if(ISBLANK(INDIRECT(ADDRESS(6,(ROW()-5)))),,QUERY('NPC List'!$1:$1000, ""Select C,D WHERE A = ""&amp;INDIRECT(ADDRESS(6,(ROW()-5)))&amp;"""",0))"),"")</f>
        <v/>
      </c>
      <c r="D176" s="140"/>
    </row>
    <row r="177" spans="1:4" ht="13.2">
      <c r="A177" s="193"/>
      <c r="B177" s="173"/>
      <c r="C177" s="139" t="str">
        <f ca="1">IFERROR(__xludf.DUMMYFUNCTION("if(ISBLANK(INDIRECT(ADDRESS(6,(ROW()-5)))),,QUERY('NPC List'!$1:$1000, ""Select C,D WHERE A = ""&amp;INDIRECT(ADDRESS(6,(ROW()-5)))&amp;"""",0))"),"")</f>
        <v/>
      </c>
      <c r="D177" s="140"/>
    </row>
    <row r="178" spans="1:4" ht="13.2">
      <c r="A178" s="193"/>
      <c r="B178" s="173"/>
      <c r="C178" s="139" t="str">
        <f ca="1">IFERROR(__xludf.DUMMYFUNCTION("if(ISBLANK(INDIRECT(ADDRESS(6,(ROW()-5)))),,QUERY('NPC List'!$1:$1000, ""Select C,D WHERE A = ""&amp;INDIRECT(ADDRESS(6,(ROW()-5)))&amp;"""",0))"),"")</f>
        <v/>
      </c>
      <c r="D178" s="140"/>
    </row>
    <row r="179" spans="1:4" ht="13.2">
      <c r="A179" s="193"/>
      <c r="B179" s="173"/>
      <c r="C179" s="139" t="str">
        <f ca="1">IFERROR(__xludf.DUMMYFUNCTION("if(ISBLANK(INDIRECT(ADDRESS(6,(ROW()-5)))),,QUERY('NPC List'!$1:$1000, ""Select C,D WHERE A = ""&amp;INDIRECT(ADDRESS(6,(ROW()-5)))&amp;"""",0))"),"")</f>
        <v/>
      </c>
      <c r="D179" s="140"/>
    </row>
    <row r="180" spans="1:4" ht="13.2">
      <c r="A180" s="193"/>
      <c r="B180" s="173"/>
      <c r="C180" s="139" t="str">
        <f ca="1">IFERROR(__xludf.DUMMYFUNCTION("if(ISBLANK(INDIRECT(ADDRESS(6,(ROW()-5)))),,QUERY('NPC List'!$1:$1000, ""Select C,D WHERE A = ""&amp;INDIRECT(ADDRESS(6,(ROW()-5)))&amp;"""",0))"),"")</f>
        <v/>
      </c>
      <c r="D180" s="140"/>
    </row>
    <row r="181" spans="1:4" ht="13.2">
      <c r="A181" s="193"/>
      <c r="B181" s="173"/>
      <c r="C181" s="139" t="str">
        <f ca="1">IFERROR(__xludf.DUMMYFUNCTION("if(ISBLANK(INDIRECT(ADDRESS(6,(ROW()-5)))),,QUERY('NPC List'!$1:$1000, ""Select C,D WHERE A = ""&amp;INDIRECT(ADDRESS(6,(ROW()-5)))&amp;"""",0))"),"")</f>
        <v/>
      </c>
      <c r="D181" s="140"/>
    </row>
    <row r="182" spans="1:4" ht="13.2">
      <c r="A182" s="193"/>
      <c r="B182" s="173"/>
      <c r="C182" s="139" t="str">
        <f ca="1">IFERROR(__xludf.DUMMYFUNCTION("if(ISBLANK(INDIRECT(ADDRESS(6,(ROW()-5)))),,QUERY('NPC List'!$1:$1000, ""Select C,D WHERE A = ""&amp;INDIRECT(ADDRESS(6,(ROW()-5)))&amp;"""",0))"),"")</f>
        <v/>
      </c>
      <c r="D182" s="140"/>
    </row>
    <row r="183" spans="1:4" ht="13.2">
      <c r="A183" s="193"/>
      <c r="B183" s="173"/>
      <c r="C183" s="139" t="str">
        <f ca="1">IFERROR(__xludf.DUMMYFUNCTION("if(ISBLANK(INDIRECT(ADDRESS(6,(ROW()-5)))),,QUERY('NPC List'!$1:$1000, ""Select C,D WHERE A = ""&amp;INDIRECT(ADDRESS(6,(ROW()-5)))&amp;"""",0))"),"")</f>
        <v/>
      </c>
      <c r="D183" s="140"/>
    </row>
    <row r="184" spans="1:4" ht="13.2">
      <c r="A184" s="193"/>
      <c r="B184" s="173"/>
      <c r="C184" s="139" t="str">
        <f ca="1">IFERROR(__xludf.DUMMYFUNCTION("if(ISBLANK(INDIRECT(ADDRESS(6,(ROW()-5)))),,QUERY('NPC List'!$1:$1000, ""Select C,D WHERE A = ""&amp;INDIRECT(ADDRESS(6,(ROW()-5)))&amp;"""",0))"),"")</f>
        <v/>
      </c>
      <c r="D184" s="140"/>
    </row>
    <row r="185" spans="1:4" ht="13.2">
      <c r="A185" s="193"/>
      <c r="B185" s="173"/>
      <c r="C185" s="139" t="str">
        <f ca="1">IFERROR(__xludf.DUMMYFUNCTION("if(ISBLANK(INDIRECT(ADDRESS(6,(ROW()-5)))),,QUERY('NPC List'!$1:$1000, ""Select C,D WHERE A = ""&amp;INDIRECT(ADDRESS(6,(ROW()-5)))&amp;"""",0))"),"")</f>
        <v/>
      </c>
      <c r="D185" s="140"/>
    </row>
    <row r="186" spans="1:4" ht="13.2">
      <c r="A186" s="193"/>
      <c r="B186" s="173"/>
      <c r="C186" s="139" t="str">
        <f ca="1">IFERROR(__xludf.DUMMYFUNCTION("if(ISBLANK(INDIRECT(ADDRESS(6,(ROW()-5)))),,QUERY('NPC List'!$1:$1000, ""Select C,D WHERE A = ""&amp;INDIRECT(ADDRESS(6,(ROW()-5)))&amp;"""",0))"),"")</f>
        <v/>
      </c>
      <c r="D186" s="140"/>
    </row>
    <row r="187" spans="1:4" ht="13.2">
      <c r="A187" s="193"/>
      <c r="B187" s="173"/>
      <c r="C187" s="139" t="str">
        <f ca="1">IFERROR(__xludf.DUMMYFUNCTION("if(ISBLANK(INDIRECT(ADDRESS(6,(ROW()-5)))),,QUERY('NPC List'!$1:$1000, ""Select C,D WHERE A = ""&amp;INDIRECT(ADDRESS(6,(ROW()-5)))&amp;"""",0))"),"")</f>
        <v/>
      </c>
      <c r="D187" s="140"/>
    </row>
    <row r="188" spans="1:4" ht="13.2">
      <c r="A188" s="193"/>
      <c r="B188" s="173"/>
      <c r="C188" s="139" t="str">
        <f ca="1">IFERROR(__xludf.DUMMYFUNCTION("if(ISBLANK(INDIRECT(ADDRESS(6,(ROW()-5)))),,QUERY('NPC List'!$1:$1000, ""Select C,D WHERE A = ""&amp;INDIRECT(ADDRESS(6,(ROW()-5)))&amp;"""",0))"),"")</f>
        <v/>
      </c>
      <c r="D188" s="140"/>
    </row>
    <row r="189" spans="1:4" ht="13.2">
      <c r="A189" s="193"/>
      <c r="B189" s="173"/>
      <c r="C189" s="139" t="str">
        <f ca="1">IFERROR(__xludf.DUMMYFUNCTION("if(ISBLANK(INDIRECT(ADDRESS(6,(ROW()-5)))),,QUERY('NPC List'!$1:$1000, ""Select C,D WHERE A = ""&amp;INDIRECT(ADDRESS(6,(ROW()-5)))&amp;"""",0))"),"")</f>
        <v/>
      </c>
      <c r="D189" s="140"/>
    </row>
    <row r="190" spans="1:4" ht="13.2">
      <c r="A190" s="193"/>
      <c r="B190" s="173"/>
      <c r="C190" s="139" t="str">
        <f ca="1">IFERROR(__xludf.DUMMYFUNCTION("if(ISBLANK(INDIRECT(ADDRESS(6,(ROW()-5)))),,QUERY('NPC List'!$1:$1000, ""Select C,D WHERE A = ""&amp;INDIRECT(ADDRESS(6,(ROW()-5)))&amp;"""",0))"),"")</f>
        <v/>
      </c>
      <c r="D190" s="140"/>
    </row>
    <row r="191" spans="1:4" ht="13.2">
      <c r="A191" s="193"/>
      <c r="B191" s="173"/>
      <c r="C191" s="139" t="str">
        <f ca="1">IFERROR(__xludf.DUMMYFUNCTION("if(ISBLANK(INDIRECT(ADDRESS(6,(ROW()-5)))),,QUERY('NPC List'!$1:$1000, ""Select C,D WHERE A = ""&amp;INDIRECT(ADDRESS(6,(ROW()-5)))&amp;"""",0))"),"")</f>
        <v/>
      </c>
      <c r="D191" s="140"/>
    </row>
    <row r="192" spans="1:4" ht="13.2">
      <c r="A192" s="193"/>
      <c r="B192" s="173"/>
      <c r="C192" s="139" t="str">
        <f ca="1">IFERROR(__xludf.DUMMYFUNCTION("if(ISBLANK(INDIRECT(ADDRESS(6,(ROW()-5)))),,QUERY('NPC List'!$1:$1000, ""Select C,D WHERE A = ""&amp;INDIRECT(ADDRESS(6,(ROW()-5)))&amp;"""",0))"),"")</f>
        <v/>
      </c>
      <c r="D192" s="140"/>
    </row>
    <row r="193" spans="1:4" ht="13.2">
      <c r="A193" s="193"/>
      <c r="B193" s="173"/>
      <c r="C193" s="139" t="str">
        <f ca="1">IFERROR(__xludf.DUMMYFUNCTION("if(ISBLANK(INDIRECT(ADDRESS(6,(ROW()-5)))),,QUERY('NPC List'!$1:$1000, ""Select C,D WHERE A = ""&amp;INDIRECT(ADDRESS(6,(ROW()-5)))&amp;"""",0))"),"")</f>
        <v/>
      </c>
      <c r="D193" s="140"/>
    </row>
    <row r="194" spans="1:4" ht="13.2">
      <c r="A194" s="193"/>
      <c r="B194" s="173"/>
      <c r="C194" s="139" t="str">
        <f ca="1">IFERROR(__xludf.DUMMYFUNCTION("if(ISBLANK(INDIRECT(ADDRESS(6,(ROW()-5)))),,QUERY('NPC List'!$1:$1000, ""Select C,D WHERE A = ""&amp;INDIRECT(ADDRESS(6,(ROW()-5)))&amp;"""",0))"),"")</f>
        <v/>
      </c>
      <c r="D194" s="140"/>
    </row>
    <row r="195" spans="1:4" ht="13.2">
      <c r="A195" s="193"/>
      <c r="B195" s="173"/>
      <c r="C195" s="139" t="str">
        <f ca="1">IFERROR(__xludf.DUMMYFUNCTION("if(ISBLANK(INDIRECT(ADDRESS(6,(ROW()-5)))),,QUERY('NPC List'!$1:$1000, ""Select C,D WHERE A = ""&amp;INDIRECT(ADDRESS(6,(ROW()-5)))&amp;"""",0))"),"")</f>
        <v/>
      </c>
      <c r="D195" s="140"/>
    </row>
    <row r="196" spans="1:4" ht="13.2">
      <c r="A196" s="193"/>
      <c r="B196" s="173"/>
      <c r="C196" s="139" t="str">
        <f ca="1">IFERROR(__xludf.DUMMYFUNCTION("if(ISBLANK(INDIRECT(ADDRESS(6,(ROW()-5)))),,QUERY('NPC List'!$1:$1000, ""Select C,D WHERE A = ""&amp;INDIRECT(ADDRESS(6,(ROW()-5)))&amp;"""",0))"),"")</f>
        <v/>
      </c>
      <c r="D196" s="140"/>
    </row>
    <row r="197" spans="1:4" ht="13.2">
      <c r="A197" s="193"/>
      <c r="B197" s="173"/>
      <c r="C197" s="139" t="str">
        <f ca="1">IFERROR(__xludf.DUMMYFUNCTION("if(ISBLANK(INDIRECT(ADDRESS(6,(ROW()-5)))),,QUERY('NPC List'!$1:$1000, ""Select C,D WHERE A = ""&amp;INDIRECT(ADDRESS(6,(ROW()-5)))&amp;"""",0))"),"")</f>
        <v/>
      </c>
      <c r="D197" s="140"/>
    </row>
    <row r="198" spans="1:4" ht="13.2">
      <c r="A198" s="193"/>
      <c r="B198" s="173"/>
      <c r="C198" s="139" t="str">
        <f ca="1">IFERROR(__xludf.DUMMYFUNCTION("if(ISBLANK(INDIRECT(ADDRESS(6,(ROW()-5)))),,QUERY('NPC List'!$1:$1000, ""Select C,D WHERE A = ""&amp;INDIRECT(ADDRESS(6,(ROW()-5)))&amp;"""",0))"),"")</f>
        <v/>
      </c>
      <c r="D198" s="140"/>
    </row>
    <row r="199" spans="1:4" ht="13.2">
      <c r="A199" s="193"/>
      <c r="B199" s="173"/>
      <c r="C199" s="139" t="str">
        <f ca="1">IFERROR(__xludf.DUMMYFUNCTION("if(ISBLANK(INDIRECT(ADDRESS(6,(ROW()-5)))),,QUERY('NPC List'!$1:$1000, ""Select C,D WHERE A = ""&amp;INDIRECT(ADDRESS(6,(ROW()-5)))&amp;"""",0))"),"")</f>
        <v/>
      </c>
      <c r="D199" s="140"/>
    </row>
    <row r="200" spans="1:4" ht="13.2">
      <c r="A200" s="193"/>
      <c r="B200" s="173"/>
      <c r="C200" s="139" t="str">
        <f ca="1">IFERROR(__xludf.DUMMYFUNCTION("if(ISBLANK(INDIRECT(ADDRESS(6,(ROW()-5)))),,QUERY('NPC List'!$1:$1000, ""Select C,D WHERE A = ""&amp;INDIRECT(ADDRESS(6,(ROW()-5)))&amp;"""",0))"),"")</f>
        <v/>
      </c>
      <c r="D200" s="140"/>
    </row>
    <row r="201" spans="1:4" ht="13.2">
      <c r="A201" s="193"/>
      <c r="B201" s="173"/>
      <c r="C201" s="139" t="str">
        <f ca="1">IFERROR(__xludf.DUMMYFUNCTION("if(ISBLANK(INDIRECT(ADDRESS(6,(ROW()-5)))),,QUERY('NPC List'!$1:$1000, ""Select C,D WHERE A = ""&amp;INDIRECT(ADDRESS(6,(ROW()-5)))&amp;"""",0))"),"")</f>
        <v/>
      </c>
      <c r="D201" s="140"/>
    </row>
    <row r="202" spans="1:4" ht="13.2">
      <c r="A202" s="193"/>
      <c r="B202" s="173"/>
      <c r="C202" s="139" t="str">
        <f ca="1">IFERROR(__xludf.DUMMYFUNCTION("if(ISBLANK(INDIRECT(ADDRESS(6,(ROW()-5)))),,QUERY('NPC List'!$1:$1000, ""Select C,D WHERE A = ""&amp;INDIRECT(ADDRESS(6,(ROW()-5)))&amp;"""",0))"),"")</f>
        <v/>
      </c>
      <c r="D202" s="140"/>
    </row>
    <row r="203" spans="1:4" ht="13.2">
      <c r="A203" s="193"/>
      <c r="B203" s="173"/>
      <c r="C203" s="139" t="str">
        <f ca="1">IFERROR(__xludf.DUMMYFUNCTION("if(ISBLANK(INDIRECT(ADDRESS(6,(ROW()-5)))),,QUERY('NPC List'!$1:$1000, ""Select C,D WHERE A = ""&amp;INDIRECT(ADDRESS(6,(ROW()-5)))&amp;"""",0))"),"")</f>
        <v/>
      </c>
      <c r="D203" s="140"/>
    </row>
    <row r="204" spans="1:4" ht="13.2">
      <c r="A204" s="193"/>
      <c r="B204" s="173"/>
      <c r="C204" s="139" t="str">
        <f ca="1">IFERROR(__xludf.DUMMYFUNCTION("if(ISBLANK(INDIRECT(ADDRESS(6,(ROW()-5)))),,QUERY('NPC List'!$1:$1000, ""Select C,D WHERE A = ""&amp;INDIRECT(ADDRESS(6,(ROW()-5)))&amp;"""",0))"),"")</f>
        <v/>
      </c>
      <c r="D204" s="140"/>
    </row>
    <row r="205" spans="1:4" ht="13.2">
      <c r="A205" s="193"/>
      <c r="B205" s="173"/>
      <c r="C205" s="139" t="str">
        <f ca="1">IFERROR(__xludf.DUMMYFUNCTION("if(ISBLANK(INDIRECT(ADDRESS(6,(ROW()-5)))),,QUERY('NPC List'!$1:$1000, ""Select C,D WHERE A = ""&amp;INDIRECT(ADDRESS(6,(ROW()-5)))&amp;"""",0))"),"")</f>
        <v/>
      </c>
      <c r="D205" s="140"/>
    </row>
    <row r="206" spans="1:4" ht="13.2">
      <c r="A206" s="193"/>
      <c r="B206" s="173"/>
      <c r="C206" s="139" t="str">
        <f ca="1">IFERROR(__xludf.DUMMYFUNCTION("if(ISBLANK(INDIRECT(ADDRESS(6,(ROW()-5)))),,QUERY('NPC List'!$1:$1000, ""Select C,D WHERE A = ""&amp;INDIRECT(ADDRESS(6,(ROW()-5)))&amp;"""",0))"),"")</f>
        <v/>
      </c>
      <c r="D206" s="140"/>
    </row>
    <row r="207" spans="1:4" ht="13.2">
      <c r="A207" s="193"/>
      <c r="B207" s="173"/>
      <c r="C207" s="139" t="str">
        <f ca="1">IFERROR(__xludf.DUMMYFUNCTION("if(ISBLANK(INDIRECT(ADDRESS(6,(ROW()-5)))),,QUERY('NPC List'!$1:$1000, ""Select C,D WHERE A = ""&amp;INDIRECT(ADDRESS(6,(ROW()-5)))&amp;"""",0))"),"")</f>
        <v/>
      </c>
      <c r="D207" s="140"/>
    </row>
    <row r="208" spans="1:4" ht="13.2">
      <c r="A208" s="193"/>
      <c r="B208" s="173"/>
      <c r="C208" s="139" t="str">
        <f ca="1">IFERROR(__xludf.DUMMYFUNCTION("if(ISBLANK(INDIRECT(ADDRESS(6,(ROW()-5)))),,QUERY('NPC List'!$1:$1000, ""Select C,D WHERE A = ""&amp;INDIRECT(ADDRESS(6,(ROW()-5)))&amp;"""",0))"),"")</f>
        <v/>
      </c>
      <c r="D208" s="140"/>
    </row>
    <row r="209" spans="1:4" ht="13.2">
      <c r="A209" s="193"/>
      <c r="B209" s="173"/>
      <c r="C209" s="139" t="str">
        <f ca="1">IFERROR(__xludf.DUMMYFUNCTION("if(ISBLANK(INDIRECT(ADDRESS(6,(ROW()-5)))),,QUERY('NPC List'!$1:$1000, ""Select C,D WHERE A = ""&amp;INDIRECT(ADDRESS(6,(ROW()-5)))&amp;"""",0))"),"")</f>
        <v/>
      </c>
      <c r="D209" s="140"/>
    </row>
    <row r="210" spans="1:4" ht="13.2">
      <c r="A210" s="193"/>
      <c r="B210" s="173"/>
      <c r="C210" s="139" t="str">
        <f ca="1">IFERROR(__xludf.DUMMYFUNCTION("if(ISBLANK(INDIRECT(ADDRESS(6,(ROW()-5)))),,QUERY('NPC List'!$1:$1000, ""Select C,D WHERE A = ""&amp;INDIRECT(ADDRESS(6,(ROW()-5)))&amp;"""",0))"),"")</f>
        <v/>
      </c>
      <c r="D210" s="140"/>
    </row>
    <row r="211" spans="1:4" ht="13.2">
      <c r="A211" s="193"/>
      <c r="B211" s="173"/>
      <c r="C211" s="139" t="str">
        <f ca="1">IFERROR(__xludf.DUMMYFUNCTION("if(ISBLANK(INDIRECT(ADDRESS(6,(ROW()-5)))),,QUERY('NPC List'!$1:$1000, ""Select C,D WHERE A = ""&amp;INDIRECT(ADDRESS(6,(ROW()-5)))&amp;"""",0))"),"")</f>
        <v/>
      </c>
      <c r="D211" s="140"/>
    </row>
    <row r="212" spans="1:4" ht="13.2">
      <c r="A212" s="193"/>
      <c r="B212" s="173"/>
      <c r="C212" s="139" t="str">
        <f ca="1">IFERROR(__xludf.DUMMYFUNCTION("if(ISBLANK(INDIRECT(ADDRESS(6,(ROW()-5)))),,QUERY('NPC List'!$1:$1000, ""Select C,D WHERE A = ""&amp;INDIRECT(ADDRESS(6,(ROW()-5)))&amp;"""",0))"),"")</f>
        <v/>
      </c>
      <c r="D212" s="140"/>
    </row>
    <row r="213" spans="1:4" ht="13.2">
      <c r="A213" s="193"/>
      <c r="B213" s="173"/>
      <c r="C213" s="139" t="str">
        <f ca="1">IFERROR(__xludf.DUMMYFUNCTION("if(ISBLANK(INDIRECT(ADDRESS(6,(ROW()-5)))),,QUERY('NPC List'!$1:$1000, ""Select C,D WHERE A = ""&amp;INDIRECT(ADDRESS(6,(ROW()-5)))&amp;"""",0))"),"")</f>
        <v/>
      </c>
      <c r="D213" s="140"/>
    </row>
    <row r="214" spans="1:4" ht="13.2">
      <c r="A214" s="193"/>
      <c r="B214" s="173"/>
      <c r="C214" s="139" t="str">
        <f ca="1">IFERROR(__xludf.DUMMYFUNCTION("if(ISBLANK(INDIRECT(ADDRESS(6,(ROW()-5)))),,QUERY('NPC List'!$1:$1000, ""Select C,D WHERE A = ""&amp;INDIRECT(ADDRESS(6,(ROW()-5)))&amp;"""",0))"),"")</f>
        <v/>
      </c>
      <c r="D214" s="140"/>
    </row>
    <row r="215" spans="1:4" ht="13.2">
      <c r="A215" s="193"/>
      <c r="B215" s="173"/>
      <c r="C215" s="139" t="str">
        <f ca="1">IFERROR(__xludf.DUMMYFUNCTION("if(ISBLANK(INDIRECT(ADDRESS(6,(ROW()-5)))),,QUERY('NPC List'!$1:$1000, ""Select C,D WHERE A = ""&amp;INDIRECT(ADDRESS(6,(ROW()-5)))&amp;"""",0))"),"")</f>
        <v/>
      </c>
      <c r="D215" s="140"/>
    </row>
    <row r="216" spans="1:4" ht="13.2">
      <c r="A216" s="193"/>
      <c r="B216" s="173"/>
      <c r="C216" s="139" t="str">
        <f ca="1">IFERROR(__xludf.DUMMYFUNCTION("if(ISBLANK(INDIRECT(ADDRESS(6,(ROW()-5)))),,QUERY('NPC List'!$1:$1000, ""Select C,D WHERE A = ""&amp;INDIRECT(ADDRESS(6,(ROW()-5)))&amp;"""",0))"),"")</f>
        <v/>
      </c>
      <c r="D216" s="140"/>
    </row>
    <row r="217" spans="1:4" ht="13.2">
      <c r="A217" s="193"/>
      <c r="B217" s="173"/>
      <c r="C217" s="139" t="str">
        <f ca="1">IFERROR(__xludf.DUMMYFUNCTION("if(ISBLANK(INDIRECT(ADDRESS(6,(ROW()-5)))),,QUERY('NPC List'!$1:$1000, ""Select C,D WHERE A = ""&amp;INDIRECT(ADDRESS(6,(ROW()-5)))&amp;"""",0))"),"")</f>
        <v/>
      </c>
      <c r="D217" s="140"/>
    </row>
    <row r="218" spans="1:4" ht="13.2">
      <c r="A218" s="193"/>
      <c r="B218" s="173"/>
      <c r="C218" s="139" t="str">
        <f ca="1">IFERROR(__xludf.DUMMYFUNCTION("if(ISBLANK(INDIRECT(ADDRESS(6,(ROW()-5)))),,QUERY('NPC List'!$1:$1000, ""Select C,D WHERE A = ""&amp;INDIRECT(ADDRESS(6,(ROW()-5)))&amp;"""",0))"),"")</f>
        <v/>
      </c>
      <c r="D218" s="140"/>
    </row>
    <row r="219" spans="1:4" ht="13.2">
      <c r="A219" s="193"/>
      <c r="B219" s="173"/>
      <c r="C219" s="139" t="str">
        <f ca="1">IFERROR(__xludf.DUMMYFUNCTION("if(ISBLANK(INDIRECT(ADDRESS(6,(ROW()-5)))),,QUERY('NPC List'!$1:$1000, ""Select C,D WHERE A = ""&amp;INDIRECT(ADDRESS(6,(ROW()-5)))&amp;"""",0))"),"")</f>
        <v/>
      </c>
      <c r="D219" s="140"/>
    </row>
    <row r="220" spans="1:4" ht="13.2">
      <c r="A220" s="193"/>
      <c r="B220" s="173"/>
      <c r="C220" s="139" t="str">
        <f ca="1">IFERROR(__xludf.DUMMYFUNCTION("if(ISBLANK(INDIRECT(ADDRESS(6,(ROW()-5)))),,QUERY('NPC List'!$1:$1000, ""Select C,D WHERE A = ""&amp;INDIRECT(ADDRESS(6,(ROW()-5)))&amp;"""",0))"),"")</f>
        <v/>
      </c>
      <c r="D220" s="140"/>
    </row>
    <row r="221" spans="1:4" ht="13.2">
      <c r="A221" s="193"/>
      <c r="B221" s="173"/>
      <c r="C221" s="139" t="str">
        <f ca="1">IFERROR(__xludf.DUMMYFUNCTION("if(ISBLANK(INDIRECT(ADDRESS(6,(ROW()-5)))),,QUERY('NPC List'!$1:$1000, ""Select C,D WHERE A = ""&amp;INDIRECT(ADDRESS(6,(ROW()-5)))&amp;"""",0))"),"")</f>
        <v/>
      </c>
      <c r="D221" s="140"/>
    </row>
    <row r="222" spans="1:4" ht="13.2">
      <c r="A222" s="193"/>
      <c r="B222" s="173"/>
      <c r="C222" s="139" t="str">
        <f ca="1">IFERROR(__xludf.DUMMYFUNCTION("if(ISBLANK(INDIRECT(ADDRESS(6,(ROW()-5)))),,QUERY('NPC List'!$1:$1000, ""Select C,D WHERE A = ""&amp;INDIRECT(ADDRESS(6,(ROW()-5)))&amp;"""",0))"),"")</f>
        <v/>
      </c>
      <c r="D222" s="140"/>
    </row>
    <row r="223" spans="1:4" ht="13.2">
      <c r="A223" s="193"/>
      <c r="B223" s="173"/>
      <c r="C223" s="139" t="str">
        <f ca="1">IFERROR(__xludf.DUMMYFUNCTION("if(ISBLANK(INDIRECT(ADDRESS(6,(ROW()-5)))),,QUERY('NPC List'!$1:$1000, ""Select C,D WHERE A = ""&amp;INDIRECT(ADDRESS(6,(ROW()-5)))&amp;"""",0))"),"")</f>
        <v/>
      </c>
      <c r="D223" s="140"/>
    </row>
    <row r="224" spans="1:4" ht="13.2">
      <c r="A224" s="193"/>
      <c r="B224" s="173"/>
      <c r="C224" s="139" t="str">
        <f ca="1">IFERROR(__xludf.DUMMYFUNCTION("if(ISBLANK(INDIRECT(ADDRESS(6,(ROW()-5)))),,QUERY('NPC List'!$1:$1000, ""Select C,D WHERE A = ""&amp;INDIRECT(ADDRESS(6,(ROW()-5)))&amp;"""",0))"),"")</f>
        <v/>
      </c>
      <c r="D224" s="140"/>
    </row>
    <row r="225" spans="1:4" ht="13.2">
      <c r="A225" s="193"/>
      <c r="B225" s="173"/>
      <c r="C225" s="139" t="str">
        <f ca="1">IFERROR(__xludf.DUMMYFUNCTION("if(ISBLANK(INDIRECT(ADDRESS(6,(ROW()-5)))),,QUERY('NPC List'!$1:$1000, ""Select C,D WHERE A = ""&amp;INDIRECT(ADDRESS(6,(ROW()-5)))&amp;"""",0))"),"")</f>
        <v/>
      </c>
      <c r="D225" s="140"/>
    </row>
    <row r="226" spans="1:4" ht="13.2">
      <c r="A226" s="193"/>
      <c r="B226" s="173"/>
      <c r="C226" s="139" t="str">
        <f ca="1">IFERROR(__xludf.DUMMYFUNCTION("if(ISBLANK(INDIRECT(ADDRESS(6,(ROW()-5)))),,QUERY('NPC List'!$1:$1000, ""Select C,D WHERE A = ""&amp;INDIRECT(ADDRESS(6,(ROW()-5)))&amp;"""",0))"),"")</f>
        <v/>
      </c>
      <c r="D226" s="140"/>
    </row>
    <row r="227" spans="1:4" ht="13.2">
      <c r="A227" s="193"/>
      <c r="B227" s="173"/>
      <c r="C227" s="139" t="str">
        <f ca="1">IFERROR(__xludf.DUMMYFUNCTION("if(ISBLANK(INDIRECT(ADDRESS(6,(ROW()-5)))),,QUERY('NPC List'!$1:$1000, ""Select C,D WHERE A = ""&amp;INDIRECT(ADDRESS(6,(ROW()-5)))&amp;"""",0))"),"")</f>
        <v/>
      </c>
      <c r="D227" s="140"/>
    </row>
    <row r="228" spans="1:4" ht="13.2">
      <c r="A228" s="193"/>
      <c r="B228" s="173"/>
      <c r="C228" s="139" t="str">
        <f ca="1">IFERROR(__xludf.DUMMYFUNCTION("if(ISBLANK(INDIRECT(ADDRESS(6,(ROW()-5)))),,QUERY('NPC List'!$1:$1000, ""Select C,D WHERE A = ""&amp;INDIRECT(ADDRESS(6,(ROW()-5)))&amp;"""",0))"),"")</f>
        <v/>
      </c>
      <c r="D228" s="140"/>
    </row>
    <row r="229" spans="1:4" ht="13.2">
      <c r="A229" s="193"/>
      <c r="B229" s="173"/>
      <c r="C229" s="139" t="str">
        <f ca="1">IFERROR(__xludf.DUMMYFUNCTION("if(ISBLANK(INDIRECT(ADDRESS(6,(ROW()-5)))),,QUERY('NPC List'!$1:$1000, ""Select C,D WHERE A = ""&amp;INDIRECT(ADDRESS(6,(ROW()-5)))&amp;"""",0))"),"")</f>
        <v/>
      </c>
      <c r="D229" s="140"/>
    </row>
    <row r="230" spans="1:4" ht="13.2">
      <c r="A230" s="193"/>
      <c r="B230" s="173"/>
      <c r="C230" s="139" t="str">
        <f ca="1">IFERROR(__xludf.DUMMYFUNCTION("if(ISBLANK(INDIRECT(ADDRESS(6,(ROW()-5)))),,QUERY('NPC List'!$1:$1000, ""Select C,D WHERE A = ""&amp;INDIRECT(ADDRESS(6,(ROW()-5)))&amp;"""",0))"),"")</f>
        <v/>
      </c>
      <c r="D230" s="140"/>
    </row>
    <row r="231" spans="1:4" ht="13.2">
      <c r="A231" s="193"/>
      <c r="B231" s="173"/>
      <c r="C231" s="139" t="str">
        <f ca="1">IFERROR(__xludf.DUMMYFUNCTION("if(ISBLANK(INDIRECT(ADDRESS(6,(ROW()-5)))),,QUERY('NPC List'!$1:$1000, ""Select C,D WHERE A = ""&amp;INDIRECT(ADDRESS(6,(ROW()-5)))&amp;"""",0))"),"")</f>
        <v/>
      </c>
      <c r="D231" s="140"/>
    </row>
    <row r="232" spans="1:4" ht="13.2">
      <c r="A232" s="193"/>
      <c r="B232" s="173"/>
      <c r="C232" s="139" t="str">
        <f ca="1">IFERROR(__xludf.DUMMYFUNCTION("if(ISBLANK(INDIRECT(ADDRESS(6,(ROW()-5)))),,QUERY('NPC List'!$1:$1000, ""Select C,D WHERE A = ""&amp;INDIRECT(ADDRESS(6,(ROW()-5)))&amp;"""",0))"),"")</f>
        <v/>
      </c>
      <c r="D232" s="140"/>
    </row>
    <row r="233" spans="1:4" ht="13.2">
      <c r="A233" s="193"/>
      <c r="B233" s="173"/>
      <c r="C233" s="139" t="str">
        <f ca="1">IFERROR(__xludf.DUMMYFUNCTION("if(ISBLANK(INDIRECT(ADDRESS(6,(ROW()-5)))),,QUERY('NPC List'!$1:$1000, ""Select C,D WHERE A = ""&amp;INDIRECT(ADDRESS(6,(ROW()-5)))&amp;"""",0))"),"")</f>
        <v/>
      </c>
      <c r="D233" s="140"/>
    </row>
    <row r="234" spans="1:4" ht="13.2">
      <c r="A234" s="193"/>
      <c r="B234" s="173"/>
      <c r="C234" s="139" t="str">
        <f ca="1">IFERROR(__xludf.DUMMYFUNCTION("if(ISBLANK(INDIRECT(ADDRESS(6,(ROW()-5)))),,QUERY('NPC List'!$1:$1000, ""Select C,D WHERE A = ""&amp;INDIRECT(ADDRESS(6,(ROW()-5)))&amp;"""",0))"),"")</f>
        <v/>
      </c>
      <c r="D234" s="140"/>
    </row>
    <row r="235" spans="1:4" ht="13.2">
      <c r="A235" s="193"/>
      <c r="B235" s="173"/>
      <c r="C235" s="139" t="str">
        <f ca="1">IFERROR(__xludf.DUMMYFUNCTION("if(ISBLANK(INDIRECT(ADDRESS(6,(ROW()-5)))),,QUERY('NPC List'!$1:$1000, ""Select C,D WHERE A = ""&amp;INDIRECT(ADDRESS(6,(ROW()-5)))&amp;"""",0))"),"")</f>
        <v/>
      </c>
      <c r="D235" s="140"/>
    </row>
    <row r="236" spans="1:4" ht="13.2">
      <c r="A236" s="193"/>
      <c r="B236" s="173"/>
      <c r="C236" s="139" t="str">
        <f ca="1">IFERROR(__xludf.DUMMYFUNCTION("if(ISBLANK(INDIRECT(ADDRESS(6,(ROW()-5)))),,QUERY('NPC List'!$1:$1000, ""Select C,D WHERE A = ""&amp;INDIRECT(ADDRESS(6,(ROW()-5)))&amp;"""",0))"),"")</f>
        <v/>
      </c>
      <c r="D236" s="140"/>
    </row>
    <row r="237" spans="1:4" ht="13.2">
      <c r="A237" s="193"/>
      <c r="B237" s="173"/>
      <c r="C237" s="139" t="str">
        <f ca="1">IFERROR(__xludf.DUMMYFUNCTION("if(ISBLANK(INDIRECT(ADDRESS(6,(ROW()-5)))),,QUERY('NPC List'!$1:$1000, ""Select C,D WHERE A = ""&amp;INDIRECT(ADDRESS(6,(ROW()-5)))&amp;"""",0))"),"")</f>
        <v/>
      </c>
      <c r="D237" s="140"/>
    </row>
    <row r="238" spans="1:4" ht="13.2">
      <c r="A238" s="193"/>
      <c r="B238" s="173"/>
      <c r="C238" s="139" t="str">
        <f ca="1">IFERROR(__xludf.DUMMYFUNCTION("if(ISBLANK(INDIRECT(ADDRESS(6,(ROW()-5)))),,QUERY('NPC List'!$1:$1000, ""Select C,D WHERE A = ""&amp;INDIRECT(ADDRESS(6,(ROW()-5)))&amp;"""",0))"),"")</f>
        <v/>
      </c>
      <c r="D238" s="140"/>
    </row>
    <row r="239" spans="1:4" ht="13.2">
      <c r="A239" s="193"/>
      <c r="B239" s="173"/>
      <c r="C239" s="139" t="str">
        <f ca="1">IFERROR(__xludf.DUMMYFUNCTION("if(ISBLANK(INDIRECT(ADDRESS(6,(ROW()-5)))),,QUERY('NPC List'!$1:$1000, ""Select C,D WHERE A = ""&amp;INDIRECT(ADDRESS(6,(ROW()-5)))&amp;"""",0))"),"")</f>
        <v/>
      </c>
      <c r="D239" s="140"/>
    </row>
    <row r="240" spans="1:4" ht="13.2">
      <c r="A240" s="193"/>
      <c r="B240" s="173"/>
      <c r="C240" s="139" t="str">
        <f ca="1">IFERROR(__xludf.DUMMYFUNCTION("if(ISBLANK(INDIRECT(ADDRESS(6,(ROW()-5)))),,QUERY('NPC List'!$1:$1000, ""Select C,D WHERE A = ""&amp;INDIRECT(ADDRESS(6,(ROW()-5)))&amp;"""",0))"),"")</f>
        <v/>
      </c>
      <c r="D240" s="140"/>
    </row>
    <row r="241" spans="1:4" ht="13.2">
      <c r="A241" s="193"/>
      <c r="B241" s="173"/>
      <c r="C241" s="139" t="str">
        <f ca="1">IFERROR(__xludf.DUMMYFUNCTION("if(ISBLANK(INDIRECT(ADDRESS(6,(ROW()-5)))),,QUERY('NPC List'!$1:$1000, ""Select C,D WHERE A = ""&amp;INDIRECT(ADDRESS(6,(ROW()-5)))&amp;"""",0))"),"")</f>
        <v/>
      </c>
      <c r="D241" s="140"/>
    </row>
    <row r="242" spans="1:4" ht="13.2">
      <c r="A242" s="193"/>
      <c r="B242" s="173"/>
      <c r="C242" s="139" t="str">
        <f ca="1">IFERROR(__xludf.DUMMYFUNCTION("if(ISBLANK(INDIRECT(ADDRESS(6,(ROW()-5)))),,QUERY('NPC List'!$1:$1000, ""Select C,D WHERE A = ""&amp;INDIRECT(ADDRESS(6,(ROW()-5)))&amp;"""",0))"),"")</f>
        <v/>
      </c>
      <c r="D242" s="140"/>
    </row>
    <row r="243" spans="1:4" ht="13.2">
      <c r="A243" s="193"/>
      <c r="B243" s="173"/>
      <c r="C243" s="139" t="str">
        <f ca="1">IFERROR(__xludf.DUMMYFUNCTION("if(ISBLANK(INDIRECT(ADDRESS(6,(ROW()-5)))),,QUERY('NPC List'!$1:$1000, ""Select C,D WHERE A = ""&amp;INDIRECT(ADDRESS(6,(ROW()-5)))&amp;"""",0))"),"")</f>
        <v/>
      </c>
      <c r="D243" s="140"/>
    </row>
    <row r="244" spans="1:4" ht="13.2">
      <c r="A244" s="193"/>
      <c r="B244" s="173"/>
      <c r="C244" s="139" t="str">
        <f ca="1">IFERROR(__xludf.DUMMYFUNCTION("if(ISBLANK(INDIRECT(ADDRESS(6,(ROW()-5)))),,QUERY('NPC List'!$1:$1000, ""Select C,D WHERE A = ""&amp;INDIRECT(ADDRESS(6,(ROW()-5)))&amp;"""",0))"),"")</f>
        <v/>
      </c>
      <c r="D244" s="140"/>
    </row>
    <row r="245" spans="1:4" ht="13.2">
      <c r="A245" s="193"/>
      <c r="B245" s="173"/>
      <c r="C245" s="139" t="str">
        <f ca="1">IFERROR(__xludf.DUMMYFUNCTION("if(ISBLANK(INDIRECT(ADDRESS(6,(ROW()-5)))),,QUERY('NPC List'!$1:$1000, ""Select C,D WHERE A = ""&amp;INDIRECT(ADDRESS(6,(ROW()-5)))&amp;"""",0))"),"")</f>
        <v/>
      </c>
      <c r="D245" s="140"/>
    </row>
    <row r="246" spans="1:4" ht="13.2">
      <c r="A246" s="193"/>
      <c r="B246" s="173"/>
      <c r="C246" s="139" t="str">
        <f ca="1">IFERROR(__xludf.DUMMYFUNCTION("if(ISBLANK(INDIRECT(ADDRESS(6,(ROW()-5)))),,QUERY('NPC List'!$1:$1000, ""Select C,D WHERE A = ""&amp;INDIRECT(ADDRESS(6,(ROW()-5)))&amp;"""",0))"),"")</f>
        <v/>
      </c>
      <c r="D246" s="140"/>
    </row>
    <row r="247" spans="1:4" ht="13.2">
      <c r="A247" s="193"/>
      <c r="B247" s="173"/>
      <c r="C247" s="139" t="str">
        <f ca="1">IFERROR(__xludf.DUMMYFUNCTION("if(ISBLANK(INDIRECT(ADDRESS(6,(ROW()-5)))),,QUERY('NPC List'!$1:$1000, ""Select C,D WHERE A = ""&amp;INDIRECT(ADDRESS(6,(ROW()-5)))&amp;"""",0))"),"")</f>
        <v/>
      </c>
      <c r="D247" s="140"/>
    </row>
    <row r="248" spans="1:4" ht="13.2">
      <c r="A248" s="193"/>
      <c r="B248" s="173"/>
      <c r="C248" s="139" t="str">
        <f ca="1">IFERROR(__xludf.DUMMYFUNCTION("if(ISBLANK(INDIRECT(ADDRESS(6,(ROW()-5)))),,QUERY('NPC List'!$1:$1000, ""Select C,D WHERE A = ""&amp;INDIRECT(ADDRESS(6,(ROW()-5)))&amp;"""",0))"),"")</f>
        <v/>
      </c>
      <c r="D248" s="140"/>
    </row>
    <row r="249" spans="1:4" ht="13.2">
      <c r="A249" s="193"/>
      <c r="B249" s="173"/>
      <c r="C249" s="139" t="str">
        <f ca="1">IFERROR(__xludf.DUMMYFUNCTION("if(ISBLANK(INDIRECT(ADDRESS(6,(ROW()-5)))),,QUERY('NPC List'!$1:$1000, ""Select C,D WHERE A = ""&amp;INDIRECT(ADDRESS(6,(ROW()-5)))&amp;"""",0))"),"")</f>
        <v/>
      </c>
      <c r="D249" s="140"/>
    </row>
    <row r="250" spans="1:4" ht="13.2">
      <c r="A250" s="193"/>
      <c r="B250" s="173"/>
      <c r="C250" s="139" t="str">
        <f ca="1">IFERROR(__xludf.DUMMYFUNCTION("if(ISBLANK(INDIRECT(ADDRESS(6,(ROW()-5)))),,QUERY('NPC List'!$1:$1000, ""Select C,D WHERE A = ""&amp;INDIRECT(ADDRESS(6,(ROW()-5)))&amp;"""",0))"),"")</f>
        <v/>
      </c>
      <c r="D250" s="140"/>
    </row>
    <row r="251" spans="1:4" ht="13.2">
      <c r="A251" s="193"/>
      <c r="B251" s="173"/>
      <c r="C251" s="139" t="str">
        <f ca="1">IFERROR(__xludf.DUMMYFUNCTION("if(ISBLANK(INDIRECT(ADDRESS(6,(ROW()-5)))),,QUERY('NPC List'!$1:$1000, ""Select C,D WHERE A = ""&amp;INDIRECT(ADDRESS(6,(ROW()-5)))&amp;"""",0))"),"")</f>
        <v/>
      </c>
      <c r="D251" s="140"/>
    </row>
    <row r="252" spans="1:4" ht="13.2">
      <c r="A252" s="193"/>
      <c r="B252" s="173"/>
      <c r="C252" s="139" t="str">
        <f ca="1">IFERROR(__xludf.DUMMYFUNCTION("if(ISBLANK(INDIRECT(ADDRESS(6,(ROW()-5)))),,QUERY('NPC List'!$1:$1000, ""Select C,D WHERE A = ""&amp;INDIRECT(ADDRESS(6,(ROW()-5)))&amp;"""",0))"),"")</f>
        <v/>
      </c>
      <c r="D252" s="140"/>
    </row>
    <row r="253" spans="1:4" ht="13.2">
      <c r="A253" s="193"/>
      <c r="B253" s="173"/>
      <c r="C253" s="139" t="str">
        <f ca="1">IFERROR(__xludf.DUMMYFUNCTION("if(ISBLANK(INDIRECT(ADDRESS(6,(ROW()-5)))),,QUERY('NPC List'!$1:$1000, ""Select C,D WHERE A = ""&amp;INDIRECT(ADDRESS(6,(ROW()-5)))&amp;"""",0))"),"")</f>
        <v/>
      </c>
      <c r="D253" s="140"/>
    </row>
    <row r="254" spans="1:4" ht="13.2">
      <c r="A254" s="193"/>
      <c r="B254" s="173"/>
      <c r="C254" s="139" t="str">
        <f ca="1">IFERROR(__xludf.DUMMYFUNCTION("if(ISBLANK(INDIRECT(ADDRESS(6,(ROW()-5)))),,QUERY('NPC List'!$1:$1000, ""Select C,D WHERE A = ""&amp;INDIRECT(ADDRESS(6,(ROW()-5)))&amp;"""",0))"),"")</f>
        <v/>
      </c>
      <c r="D254" s="140"/>
    </row>
    <row r="255" spans="1:4" ht="13.2">
      <c r="A255" s="193"/>
      <c r="B255" s="173"/>
      <c r="C255" s="139" t="str">
        <f ca="1">IFERROR(__xludf.DUMMYFUNCTION("if(ISBLANK(INDIRECT(ADDRESS(6,(ROW()-5)))),,QUERY('NPC List'!$1:$1000, ""Select C,D WHERE A = ""&amp;INDIRECT(ADDRESS(6,(ROW()-5)))&amp;"""",0))"),"")</f>
        <v/>
      </c>
      <c r="D255" s="140"/>
    </row>
    <row r="256" spans="1:4" ht="13.2">
      <c r="A256" s="193"/>
      <c r="B256" s="173"/>
      <c r="C256" s="139" t="str">
        <f ca="1">IFERROR(__xludf.DUMMYFUNCTION("if(ISBLANK(INDIRECT(ADDRESS(6,(ROW()-5)))),,QUERY('NPC List'!$1:$1000, ""Select C,D WHERE A = ""&amp;INDIRECT(ADDRESS(6,(ROW()-5)))&amp;"""",0))"),"")</f>
        <v/>
      </c>
      <c r="D256" s="140"/>
    </row>
    <row r="257" spans="1:4" ht="13.2">
      <c r="A257" s="193"/>
      <c r="B257" s="173"/>
      <c r="C257" s="139" t="str">
        <f ca="1">IFERROR(__xludf.DUMMYFUNCTION("if(ISBLANK(INDIRECT(ADDRESS(6,(ROW()-5)))),,QUERY('NPC List'!$1:$1000, ""Select C,D WHERE A = ""&amp;INDIRECT(ADDRESS(6,(ROW()-5)))&amp;"""",0))"),"")</f>
        <v/>
      </c>
      <c r="D257" s="140"/>
    </row>
    <row r="258" spans="1:4" ht="13.2">
      <c r="A258" s="193"/>
      <c r="B258" s="173"/>
      <c r="C258" s="139" t="str">
        <f ca="1">IFERROR(__xludf.DUMMYFUNCTION("if(ISBLANK(INDIRECT(ADDRESS(6,(ROW()-5)))),,QUERY('NPC List'!$1:$1000, ""Select C,D WHERE A = ""&amp;INDIRECT(ADDRESS(6,(ROW()-5)))&amp;"""",0))"),"")</f>
        <v/>
      </c>
      <c r="D258" s="140"/>
    </row>
    <row r="259" spans="1:4" ht="13.2">
      <c r="A259" s="193"/>
      <c r="B259" s="173"/>
      <c r="C259" s="139" t="str">
        <f ca="1">IFERROR(__xludf.DUMMYFUNCTION("if(ISBLANK(INDIRECT(ADDRESS(6,(ROW()-5)))),,QUERY('NPC List'!$1:$1000, ""Select C,D WHERE A = ""&amp;INDIRECT(ADDRESS(6,(ROW()-5)))&amp;"""",0))"),"")</f>
        <v/>
      </c>
      <c r="D259" s="140"/>
    </row>
    <row r="260" spans="1:4" ht="13.2">
      <c r="A260" s="193"/>
      <c r="B260" s="173"/>
      <c r="C260" s="139" t="str">
        <f ca="1">IFERROR(__xludf.DUMMYFUNCTION("if(ISBLANK(INDIRECT(ADDRESS(6,(ROW()-5)))),,QUERY('NPC List'!$1:$1000, ""Select C,D WHERE A = ""&amp;INDIRECT(ADDRESS(6,(ROW()-5)))&amp;"""",0))"),"")</f>
        <v/>
      </c>
      <c r="D260" s="140"/>
    </row>
    <row r="261" spans="1:4" ht="13.2">
      <c r="A261" s="193"/>
      <c r="B261" s="173"/>
      <c r="C261" s="139" t="str">
        <f ca="1">IFERROR(__xludf.DUMMYFUNCTION("if(ISBLANK(INDIRECT(ADDRESS(6,(ROW()-5)))),,QUERY('NPC List'!$1:$1000, ""Select C,D WHERE A = ""&amp;INDIRECT(ADDRESS(6,(ROW()-5)))&amp;"""",0))"),"")</f>
        <v/>
      </c>
      <c r="D261" s="140"/>
    </row>
    <row r="262" spans="1:4" ht="13.2">
      <c r="A262" s="193"/>
      <c r="B262" s="173"/>
      <c r="C262" s="139" t="str">
        <f ca="1">IFERROR(__xludf.DUMMYFUNCTION("if(ISBLANK(INDIRECT(ADDRESS(6,(ROW()-5)))),,QUERY('NPC List'!$1:$1000, ""Select C,D WHERE A = ""&amp;INDIRECT(ADDRESS(6,(ROW()-5)))&amp;"""",0))"),"")</f>
        <v/>
      </c>
      <c r="D262" s="140"/>
    </row>
    <row r="263" spans="1:4" ht="13.2">
      <c r="A263" s="193"/>
      <c r="B263" s="173"/>
      <c r="C263" s="139" t="str">
        <f ca="1">IFERROR(__xludf.DUMMYFUNCTION("if(ISBLANK(INDIRECT(ADDRESS(6,(ROW()-5)))),,QUERY('NPC List'!$1:$1000, ""Select C,D WHERE A = ""&amp;INDIRECT(ADDRESS(6,(ROW()-5)))&amp;"""",0))"),"")</f>
        <v/>
      </c>
      <c r="D263" s="140"/>
    </row>
    <row r="264" spans="1:4" ht="13.2">
      <c r="A264" s="193"/>
      <c r="B264" s="173"/>
      <c r="C264" s="139" t="str">
        <f ca="1">IFERROR(__xludf.DUMMYFUNCTION("if(ISBLANK(INDIRECT(ADDRESS(6,(ROW()-5)))),,QUERY('NPC List'!$1:$1000, ""Select C,D WHERE A = ""&amp;INDIRECT(ADDRESS(6,(ROW()-5)))&amp;"""",0))"),"")</f>
        <v/>
      </c>
      <c r="D264" s="140"/>
    </row>
    <row r="265" spans="1:4" ht="13.2">
      <c r="A265" s="193"/>
      <c r="B265" s="173"/>
      <c r="C265" s="139" t="str">
        <f ca="1">IFERROR(__xludf.DUMMYFUNCTION("if(ISBLANK(INDIRECT(ADDRESS(6,(ROW()-5)))),,QUERY('NPC List'!$1:$1000, ""Select C,D WHERE A = ""&amp;INDIRECT(ADDRESS(6,(ROW()-5)))&amp;"""",0))"),"")</f>
        <v/>
      </c>
      <c r="D265" s="140"/>
    </row>
    <row r="266" spans="1:4" ht="13.2">
      <c r="A266" s="193"/>
      <c r="B266" s="173"/>
      <c r="C266" s="139" t="str">
        <f ca="1">IFERROR(__xludf.DUMMYFUNCTION("if(ISBLANK(INDIRECT(ADDRESS(6,(ROW()-5)))),,QUERY('NPC List'!$1:$1000, ""Select C,D WHERE A = ""&amp;INDIRECT(ADDRESS(6,(ROW()-5)))&amp;"""",0))"),"")</f>
        <v/>
      </c>
      <c r="D266" s="140"/>
    </row>
    <row r="267" spans="1:4" ht="13.2">
      <c r="A267" s="193"/>
      <c r="B267" s="173"/>
      <c r="C267" s="139" t="str">
        <f ca="1">IFERROR(__xludf.DUMMYFUNCTION("if(ISBLANK(INDIRECT(ADDRESS(6,(ROW()-5)))),,QUERY('NPC List'!$1:$1000, ""Select C,D WHERE A = ""&amp;INDIRECT(ADDRESS(6,(ROW()-5)))&amp;"""",0))"),"")</f>
        <v/>
      </c>
      <c r="D267" s="140"/>
    </row>
    <row r="268" spans="1:4" ht="13.2">
      <c r="A268" s="193"/>
      <c r="B268" s="173"/>
      <c r="C268" s="139" t="str">
        <f ca="1">IFERROR(__xludf.DUMMYFUNCTION("if(ISBLANK(INDIRECT(ADDRESS(6,(ROW()-5)))),,QUERY('NPC List'!$1:$1000, ""Select C,D WHERE A = ""&amp;INDIRECT(ADDRESS(6,(ROW()-5)))&amp;"""",0))"),"")</f>
        <v/>
      </c>
      <c r="D268" s="140"/>
    </row>
    <row r="269" spans="1:4" ht="13.2">
      <c r="A269" s="193"/>
      <c r="B269" s="173"/>
      <c r="C269" s="139" t="str">
        <f ca="1">IFERROR(__xludf.DUMMYFUNCTION("if(ISBLANK(INDIRECT(ADDRESS(6,(ROW()-5)))),,QUERY('NPC List'!$1:$1000, ""Select C,D WHERE A = ""&amp;INDIRECT(ADDRESS(6,(ROW()-5)))&amp;"""",0))"),"")</f>
        <v/>
      </c>
      <c r="D269" s="140"/>
    </row>
    <row r="270" spans="1:4" ht="13.2">
      <c r="A270" s="193"/>
      <c r="B270" s="173"/>
      <c r="C270" s="139" t="str">
        <f ca="1">IFERROR(__xludf.DUMMYFUNCTION("if(ISBLANK(INDIRECT(ADDRESS(6,(ROW()-5)))),,QUERY('NPC List'!$1:$1000, ""Select C,D WHERE A = ""&amp;INDIRECT(ADDRESS(6,(ROW()-5)))&amp;"""",0))"),"")</f>
        <v/>
      </c>
      <c r="D270" s="140"/>
    </row>
    <row r="271" spans="1:4" ht="13.2">
      <c r="A271" s="193"/>
      <c r="B271" s="173"/>
      <c r="C271" s="139" t="str">
        <f ca="1">IFERROR(__xludf.DUMMYFUNCTION("if(ISBLANK(INDIRECT(ADDRESS(6,(ROW()-5)))),,QUERY('NPC List'!$1:$1000, ""Select C,D WHERE A = ""&amp;INDIRECT(ADDRESS(6,(ROW()-5)))&amp;"""",0))"),"")</f>
        <v/>
      </c>
      <c r="D271" s="140"/>
    </row>
    <row r="272" spans="1:4" ht="13.2">
      <c r="A272" s="193"/>
      <c r="B272" s="173"/>
      <c r="C272" s="139" t="str">
        <f ca="1">IFERROR(__xludf.DUMMYFUNCTION("if(ISBLANK(INDIRECT(ADDRESS(6,(ROW()-5)))),,QUERY('NPC List'!$1:$1000, ""Select C,D WHERE A = ""&amp;INDIRECT(ADDRESS(6,(ROW()-5)))&amp;"""",0))"),"")</f>
        <v/>
      </c>
      <c r="D272" s="140"/>
    </row>
    <row r="273" spans="1:4" ht="13.2">
      <c r="A273" s="193"/>
      <c r="B273" s="173"/>
      <c r="C273" s="139" t="str">
        <f ca="1">IFERROR(__xludf.DUMMYFUNCTION("if(ISBLANK(INDIRECT(ADDRESS(6,(ROW()-5)))),,QUERY('NPC List'!$1:$1000, ""Select C,D WHERE A = ""&amp;INDIRECT(ADDRESS(6,(ROW()-5)))&amp;"""",0))"),"")</f>
        <v/>
      </c>
      <c r="D273" s="140"/>
    </row>
    <row r="274" spans="1:4" ht="13.2">
      <c r="A274" s="193"/>
      <c r="B274" s="173"/>
      <c r="C274" s="139" t="str">
        <f ca="1">IFERROR(__xludf.DUMMYFUNCTION("if(ISBLANK(INDIRECT(ADDRESS(6,(ROW()-5)))),,QUERY('NPC List'!$1:$1000, ""Select C,D WHERE A = ""&amp;INDIRECT(ADDRESS(6,(ROW()-5)))&amp;"""",0))"),"")</f>
        <v/>
      </c>
      <c r="D274" s="140"/>
    </row>
    <row r="275" spans="1:4" ht="13.2">
      <c r="A275" s="193"/>
      <c r="B275" s="173"/>
      <c r="C275" s="139" t="str">
        <f ca="1">IFERROR(__xludf.DUMMYFUNCTION("if(ISBLANK(INDIRECT(ADDRESS(6,(ROW()-5)))),,QUERY('NPC List'!$1:$1000, ""Select C,D WHERE A = ""&amp;INDIRECT(ADDRESS(6,(ROW()-5)))&amp;"""",0))"),"")</f>
        <v/>
      </c>
      <c r="D275" s="140"/>
    </row>
    <row r="276" spans="1:4" ht="13.2">
      <c r="A276" s="193"/>
      <c r="B276" s="173"/>
      <c r="C276" s="139" t="str">
        <f ca="1">IFERROR(__xludf.DUMMYFUNCTION("if(ISBLANK(INDIRECT(ADDRESS(6,(ROW()-5)))),,QUERY('NPC List'!$1:$1000, ""Select C,D WHERE A = ""&amp;INDIRECT(ADDRESS(6,(ROW()-5)))&amp;"""",0))"),"")</f>
        <v/>
      </c>
      <c r="D276" s="140"/>
    </row>
    <row r="277" spans="1:4" ht="13.2">
      <c r="A277" s="193"/>
      <c r="B277" s="173"/>
      <c r="C277" s="139" t="str">
        <f ca="1">IFERROR(__xludf.DUMMYFUNCTION("if(ISBLANK(INDIRECT(ADDRESS(6,(ROW()-5)))),,QUERY('NPC List'!$1:$1000, ""Select C,D WHERE A = ""&amp;INDIRECT(ADDRESS(6,(ROW()-5)))&amp;"""",0))"),"")</f>
        <v/>
      </c>
      <c r="D277" s="140"/>
    </row>
    <row r="278" spans="1:4" ht="13.2">
      <c r="A278" s="193"/>
      <c r="B278" s="173"/>
      <c r="C278" s="139" t="str">
        <f ca="1">IFERROR(__xludf.DUMMYFUNCTION("if(ISBLANK(INDIRECT(ADDRESS(6,(ROW()-5)))),,QUERY('NPC List'!$1:$1000, ""Select C,D WHERE A = ""&amp;INDIRECT(ADDRESS(6,(ROW()-5)))&amp;"""",0))"),"")</f>
        <v/>
      </c>
      <c r="D278" s="140"/>
    </row>
    <row r="279" spans="1:4" ht="13.2">
      <c r="A279" s="193"/>
      <c r="B279" s="173"/>
      <c r="C279" s="139" t="str">
        <f ca="1">IFERROR(__xludf.DUMMYFUNCTION("if(ISBLANK(INDIRECT(ADDRESS(6,(ROW()-5)))),,QUERY('NPC List'!$1:$1000, ""Select C,D WHERE A = ""&amp;INDIRECT(ADDRESS(6,(ROW()-5)))&amp;"""",0))"),"")</f>
        <v/>
      </c>
      <c r="D279" s="140"/>
    </row>
    <row r="280" spans="1:4" ht="13.2">
      <c r="A280" s="193"/>
      <c r="B280" s="173"/>
      <c r="C280" s="139" t="str">
        <f ca="1">IFERROR(__xludf.DUMMYFUNCTION("if(ISBLANK(INDIRECT(ADDRESS(6,(ROW()-5)))),,QUERY('NPC List'!$1:$1000, ""Select C,D WHERE A = ""&amp;INDIRECT(ADDRESS(6,(ROW()-5)))&amp;"""",0))"),"")</f>
        <v/>
      </c>
      <c r="D280" s="140"/>
    </row>
    <row r="281" spans="1:4" ht="13.2">
      <c r="A281" s="193"/>
      <c r="B281" s="173"/>
      <c r="C281" s="139" t="str">
        <f ca="1">IFERROR(__xludf.DUMMYFUNCTION("if(ISBLANK(INDIRECT(ADDRESS(6,(ROW()-5)))),,QUERY('NPC List'!$1:$1000, ""Select C,D WHERE A = ""&amp;INDIRECT(ADDRESS(6,(ROW()-5)))&amp;"""",0))"),"")</f>
        <v/>
      </c>
      <c r="D281" s="140"/>
    </row>
    <row r="282" spans="1:4" ht="13.2">
      <c r="A282" s="193"/>
      <c r="B282" s="173"/>
      <c r="C282" s="139" t="str">
        <f ca="1">IFERROR(__xludf.DUMMYFUNCTION("if(ISBLANK(INDIRECT(ADDRESS(6,(ROW()-5)))),,QUERY('NPC List'!$1:$1000, ""Select C,D WHERE A = ""&amp;INDIRECT(ADDRESS(6,(ROW()-5)))&amp;"""",0))"),"")</f>
        <v/>
      </c>
      <c r="D282" s="140"/>
    </row>
    <row r="283" spans="1:4" ht="13.2">
      <c r="A283" s="193"/>
      <c r="B283" s="173"/>
      <c r="C283" s="139" t="str">
        <f ca="1">IFERROR(__xludf.DUMMYFUNCTION("if(ISBLANK(INDIRECT(ADDRESS(6,(ROW()-5)))),,QUERY('NPC List'!$1:$1000, ""Select C,D WHERE A = ""&amp;INDIRECT(ADDRESS(6,(ROW()-5)))&amp;"""",0))"),"")</f>
        <v/>
      </c>
      <c r="D283" s="140"/>
    </row>
    <row r="284" spans="1:4" ht="13.2">
      <c r="A284" s="193"/>
      <c r="B284" s="173"/>
      <c r="C284" s="139" t="str">
        <f ca="1">IFERROR(__xludf.DUMMYFUNCTION("if(ISBLANK(INDIRECT(ADDRESS(6,(ROW()-5)))),,QUERY('NPC List'!$1:$1000, ""Select C,D WHERE A = ""&amp;INDIRECT(ADDRESS(6,(ROW()-5)))&amp;"""",0))"),"")</f>
        <v/>
      </c>
      <c r="D284" s="140"/>
    </row>
    <row r="285" spans="1:4" ht="13.2">
      <c r="A285" s="193"/>
      <c r="B285" s="173"/>
      <c r="C285" s="139" t="str">
        <f ca="1">IFERROR(__xludf.DUMMYFUNCTION("if(ISBLANK(INDIRECT(ADDRESS(6,(ROW()-5)))),,QUERY('NPC List'!$1:$1000, ""Select C,D WHERE A = ""&amp;INDIRECT(ADDRESS(6,(ROW()-5)))&amp;"""",0))"),"")</f>
        <v/>
      </c>
      <c r="D285" s="140"/>
    </row>
    <row r="286" spans="1:4" ht="13.2">
      <c r="A286" s="193"/>
      <c r="B286" s="173"/>
      <c r="C286" s="139" t="str">
        <f ca="1">IFERROR(__xludf.DUMMYFUNCTION("if(ISBLANK(INDIRECT(ADDRESS(6,(ROW()-5)))),,QUERY('NPC List'!$1:$1000, ""Select C,D WHERE A = ""&amp;INDIRECT(ADDRESS(6,(ROW()-5)))&amp;"""",0))"),"")</f>
        <v/>
      </c>
      <c r="D286" s="140"/>
    </row>
    <row r="287" spans="1:4" ht="13.2">
      <c r="A287" s="193"/>
      <c r="B287" s="173"/>
      <c r="C287" s="139" t="str">
        <f ca="1">IFERROR(__xludf.DUMMYFUNCTION("if(ISBLANK(INDIRECT(ADDRESS(6,(ROW()-5)))),,QUERY('NPC List'!$1:$1000, ""Select C,D WHERE A = ""&amp;INDIRECT(ADDRESS(6,(ROW()-5)))&amp;"""",0))"),"")</f>
        <v/>
      </c>
      <c r="D287" s="140"/>
    </row>
    <row r="288" spans="1:4" ht="13.2">
      <c r="A288" s="193"/>
      <c r="B288" s="173"/>
      <c r="C288" s="139" t="str">
        <f ca="1">IFERROR(__xludf.DUMMYFUNCTION("if(ISBLANK(INDIRECT(ADDRESS(6,(ROW()-5)))),,QUERY('NPC List'!$1:$1000, ""Select C,D WHERE A = ""&amp;INDIRECT(ADDRESS(6,(ROW()-5)))&amp;"""",0))"),"")</f>
        <v/>
      </c>
      <c r="D288" s="140"/>
    </row>
    <row r="289" spans="1:4" ht="13.2">
      <c r="A289" s="193"/>
      <c r="B289" s="173"/>
      <c r="C289" s="139" t="str">
        <f ca="1">IFERROR(__xludf.DUMMYFUNCTION("if(ISBLANK(INDIRECT(ADDRESS(6,(ROW()-5)))),,QUERY('NPC List'!$1:$1000, ""Select C,D WHERE A = ""&amp;INDIRECT(ADDRESS(6,(ROW()-5)))&amp;"""",0))"),"")</f>
        <v/>
      </c>
      <c r="D289" s="140"/>
    </row>
    <row r="290" spans="1:4" ht="13.2">
      <c r="A290" s="193"/>
      <c r="B290" s="173"/>
      <c r="C290" s="139" t="str">
        <f ca="1">IFERROR(__xludf.DUMMYFUNCTION("if(ISBLANK(INDIRECT(ADDRESS(6,(ROW()-5)))),,QUERY('NPC List'!$1:$1000, ""Select C,D WHERE A = ""&amp;INDIRECT(ADDRESS(6,(ROW()-5)))&amp;"""",0))"),"")</f>
        <v/>
      </c>
      <c r="D290" s="140"/>
    </row>
    <row r="291" spans="1:4" ht="13.2">
      <c r="A291" s="193"/>
      <c r="B291" s="173"/>
      <c r="C291" s="139" t="str">
        <f ca="1">IFERROR(__xludf.DUMMYFUNCTION("if(ISBLANK(INDIRECT(ADDRESS(6,(ROW()-5)))),,QUERY('NPC List'!$1:$1000, ""Select C,D WHERE A = ""&amp;INDIRECT(ADDRESS(6,(ROW()-5)))&amp;"""",0))"),"")</f>
        <v/>
      </c>
      <c r="D291" s="140"/>
    </row>
    <row r="292" spans="1:4" ht="13.2">
      <c r="A292" s="193"/>
      <c r="B292" s="173"/>
      <c r="C292" s="139" t="str">
        <f ca="1">IFERROR(__xludf.DUMMYFUNCTION("if(ISBLANK(INDIRECT(ADDRESS(6,(ROW()-5)))),,QUERY('NPC List'!$1:$1000, ""Select C,D WHERE A = ""&amp;INDIRECT(ADDRESS(6,(ROW()-5)))&amp;"""",0))"),"")</f>
        <v/>
      </c>
      <c r="D292" s="140"/>
    </row>
    <row r="293" spans="1:4" ht="13.2">
      <c r="A293" s="193"/>
      <c r="B293" s="173"/>
      <c r="C293" s="139" t="str">
        <f ca="1">IFERROR(__xludf.DUMMYFUNCTION("if(ISBLANK(INDIRECT(ADDRESS(6,(ROW()-5)))),,QUERY('NPC List'!$1:$1000, ""Select C,D WHERE A = ""&amp;INDIRECT(ADDRESS(6,(ROW()-5)))&amp;"""",0))"),"")</f>
        <v/>
      </c>
      <c r="D293" s="140"/>
    </row>
    <row r="294" spans="1:4" ht="13.2">
      <c r="A294" s="193"/>
      <c r="B294" s="173"/>
      <c r="C294" s="139" t="str">
        <f ca="1">IFERROR(__xludf.DUMMYFUNCTION("if(ISBLANK(INDIRECT(ADDRESS(6,(ROW()-5)))),,QUERY('NPC List'!$1:$1000, ""Select C,D WHERE A = ""&amp;INDIRECT(ADDRESS(6,(ROW()-5)))&amp;"""",0))"),"")</f>
        <v/>
      </c>
      <c r="D294" s="140"/>
    </row>
    <row r="295" spans="1:4" ht="13.2">
      <c r="A295" s="193"/>
      <c r="B295" s="173"/>
      <c r="C295" s="139" t="str">
        <f ca="1">IFERROR(__xludf.DUMMYFUNCTION("if(ISBLANK(INDIRECT(ADDRESS(6,(ROW()-5)))),,QUERY('NPC List'!$1:$1000, ""Select C,D WHERE A = ""&amp;INDIRECT(ADDRESS(6,(ROW()-5)))&amp;"""",0))"),"")</f>
        <v/>
      </c>
      <c r="D295" s="140"/>
    </row>
    <row r="296" spans="1:4" ht="13.2">
      <c r="A296" s="193"/>
      <c r="B296" s="173"/>
      <c r="C296" s="139" t="str">
        <f ca="1">IFERROR(__xludf.DUMMYFUNCTION("if(ISBLANK(INDIRECT(ADDRESS(6,(ROW()-5)))),,QUERY('NPC List'!$1:$1000, ""Select C,D WHERE A = ""&amp;INDIRECT(ADDRESS(6,(ROW()-5)))&amp;"""",0))"),"")</f>
        <v/>
      </c>
      <c r="D296" s="140"/>
    </row>
    <row r="297" spans="1:4" ht="13.2">
      <c r="A297" s="193"/>
      <c r="B297" s="173"/>
      <c r="C297" s="139" t="str">
        <f ca="1">IFERROR(__xludf.DUMMYFUNCTION("if(ISBLANK(INDIRECT(ADDRESS(6,(ROW()-5)))),,QUERY('NPC List'!$1:$1000, ""Select C,D WHERE A = ""&amp;INDIRECT(ADDRESS(6,(ROW()-5)))&amp;"""",0))"),"")</f>
        <v/>
      </c>
      <c r="D297" s="140"/>
    </row>
    <row r="298" spans="1:4" ht="13.2">
      <c r="A298" s="193"/>
      <c r="B298" s="173"/>
      <c r="C298" s="139" t="str">
        <f ca="1">IFERROR(__xludf.DUMMYFUNCTION("if(ISBLANK(INDIRECT(ADDRESS(6,(ROW()-5)))),,QUERY('NPC List'!$1:$1000, ""Select C,D WHERE A = ""&amp;INDIRECT(ADDRESS(6,(ROW()-5)))&amp;"""",0))"),"")</f>
        <v/>
      </c>
      <c r="D298" s="140"/>
    </row>
    <row r="299" spans="1:4" ht="13.2">
      <c r="A299" s="193"/>
      <c r="B299" s="173"/>
      <c r="C299" s="139" t="str">
        <f ca="1">IFERROR(__xludf.DUMMYFUNCTION("if(ISBLANK(INDIRECT(ADDRESS(6,(ROW()-5)))),,QUERY('NPC List'!$1:$1000, ""Select C,D WHERE A = ""&amp;INDIRECT(ADDRESS(6,(ROW()-5)))&amp;"""",0))"),"")</f>
        <v/>
      </c>
      <c r="D299" s="140"/>
    </row>
    <row r="300" spans="1:4" ht="13.2">
      <c r="A300" s="193"/>
      <c r="B300" s="173"/>
      <c r="C300" s="139" t="str">
        <f ca="1">IFERROR(__xludf.DUMMYFUNCTION("if(ISBLANK(INDIRECT(ADDRESS(6,(ROW()-5)))),,QUERY('NPC List'!$1:$1000, ""Select C,D WHERE A = ""&amp;INDIRECT(ADDRESS(6,(ROW()-5)))&amp;"""",0))"),"")</f>
        <v/>
      </c>
      <c r="D300" s="140"/>
    </row>
    <row r="301" spans="1:4" ht="13.2">
      <c r="A301" s="193"/>
      <c r="B301" s="173"/>
      <c r="C301" s="139" t="str">
        <f ca="1">IFERROR(__xludf.DUMMYFUNCTION("if(ISBLANK(INDIRECT(ADDRESS(6,(ROW()-5)))),,QUERY('NPC List'!$1:$1000, ""Select C,D WHERE A = ""&amp;INDIRECT(ADDRESS(6,(ROW()-5)))&amp;"""",0))"),"")</f>
        <v/>
      </c>
      <c r="D301" s="140"/>
    </row>
    <row r="302" spans="1:4" ht="13.2">
      <c r="A302" s="193"/>
      <c r="B302" s="173"/>
      <c r="C302" s="139" t="str">
        <f ca="1">IFERROR(__xludf.DUMMYFUNCTION("if(ISBLANK(INDIRECT(ADDRESS(6,(ROW()-5)))),,QUERY('NPC List'!$1:$1000, ""Select C,D WHERE A = ""&amp;INDIRECT(ADDRESS(6,(ROW()-5)))&amp;"""",0))"),"")</f>
        <v/>
      </c>
      <c r="D302" s="140"/>
    </row>
    <row r="303" spans="1:4" ht="13.2">
      <c r="A303" s="193"/>
      <c r="B303" s="173"/>
      <c r="C303" s="139" t="str">
        <f ca="1">IFERROR(__xludf.DUMMYFUNCTION("if(ISBLANK(INDIRECT(ADDRESS(6,(ROW()-5)))),,QUERY('NPC List'!$1:$1000, ""Select C,D WHERE A = ""&amp;INDIRECT(ADDRESS(6,(ROW()-5)))&amp;"""",0))"),"")</f>
        <v/>
      </c>
      <c r="D303" s="140"/>
    </row>
    <row r="304" spans="1:4" ht="13.2">
      <c r="A304" s="193"/>
      <c r="B304" s="173"/>
      <c r="C304" s="139" t="str">
        <f ca="1">IFERROR(__xludf.DUMMYFUNCTION("if(ISBLANK(INDIRECT(ADDRESS(6,(ROW()-5)))),,QUERY('NPC List'!$1:$1000, ""Select C,D WHERE A = ""&amp;INDIRECT(ADDRESS(6,(ROW()-5)))&amp;"""",0))"),"")</f>
        <v/>
      </c>
      <c r="D304" s="140"/>
    </row>
    <row r="305" spans="1:4" ht="13.2">
      <c r="A305" s="193"/>
      <c r="B305" s="173"/>
      <c r="C305" s="139" t="str">
        <f ca="1">IFERROR(__xludf.DUMMYFUNCTION("if(ISBLANK(INDIRECT(ADDRESS(6,(ROW()-5)))),,QUERY('NPC List'!$1:$1000, ""Select C,D WHERE A = ""&amp;INDIRECT(ADDRESS(6,(ROW()-5)))&amp;"""",0))"),"")</f>
        <v/>
      </c>
      <c r="D305" s="140"/>
    </row>
    <row r="306" spans="1:4" ht="13.2">
      <c r="A306" s="193"/>
      <c r="B306" s="173"/>
      <c r="C306" s="139" t="str">
        <f ca="1">IFERROR(__xludf.DUMMYFUNCTION("if(ISBLANK(INDIRECT(ADDRESS(6,(ROW()-5)))),,QUERY('NPC List'!$1:$1000, ""Select C,D WHERE A = ""&amp;INDIRECT(ADDRESS(6,(ROW()-5)))&amp;"""",0))"),"")</f>
        <v/>
      </c>
      <c r="D306" s="140"/>
    </row>
    <row r="307" spans="1:4" ht="13.2">
      <c r="A307" s="193"/>
      <c r="B307" s="173"/>
      <c r="C307" s="139" t="str">
        <f ca="1">IFERROR(__xludf.DUMMYFUNCTION("if(ISBLANK(INDIRECT(ADDRESS(6,(ROW()-5)))),,QUERY('NPC List'!$1:$1000, ""Select C,D WHERE A = ""&amp;INDIRECT(ADDRESS(6,(ROW()-5)))&amp;"""",0))"),"")</f>
        <v/>
      </c>
      <c r="D307" s="140"/>
    </row>
    <row r="308" spans="1:4" ht="13.2">
      <c r="A308" s="193"/>
      <c r="B308" s="173"/>
      <c r="C308" s="139" t="str">
        <f ca="1">IFERROR(__xludf.DUMMYFUNCTION("if(ISBLANK(INDIRECT(ADDRESS(6,(ROW()-5)))),,QUERY('NPC List'!$1:$1000, ""Select C,D WHERE A = ""&amp;INDIRECT(ADDRESS(6,(ROW()-5)))&amp;"""",0))"),"")</f>
        <v/>
      </c>
      <c r="D308" s="140"/>
    </row>
    <row r="309" spans="1:4" ht="13.2">
      <c r="A309" s="193"/>
      <c r="B309" s="173"/>
      <c r="C309" s="139" t="str">
        <f ca="1">IFERROR(__xludf.DUMMYFUNCTION("if(ISBLANK(INDIRECT(ADDRESS(6,(ROW()-5)))),,QUERY('NPC List'!$1:$1000, ""Select C,D WHERE A = ""&amp;INDIRECT(ADDRESS(6,(ROW()-5)))&amp;"""",0))"),"")</f>
        <v/>
      </c>
      <c r="D309" s="140"/>
    </row>
    <row r="310" spans="1:4" ht="13.2">
      <c r="A310" s="193"/>
      <c r="B310" s="173"/>
      <c r="C310" s="139" t="str">
        <f ca="1">IFERROR(__xludf.DUMMYFUNCTION("if(ISBLANK(INDIRECT(ADDRESS(6,(ROW()-5)))),,QUERY('NPC List'!$1:$1000, ""Select C,D WHERE A = ""&amp;INDIRECT(ADDRESS(6,(ROW()-5)))&amp;"""",0))"),"")</f>
        <v/>
      </c>
      <c r="D310" s="140"/>
    </row>
    <row r="311" spans="1:4" ht="13.2">
      <c r="A311" s="193"/>
      <c r="B311" s="173"/>
      <c r="C311" s="139" t="str">
        <f ca="1">IFERROR(__xludf.DUMMYFUNCTION("if(ISBLANK(INDIRECT(ADDRESS(6,(ROW()-5)))),,QUERY('NPC List'!$1:$1000, ""Select C,D WHERE A = ""&amp;INDIRECT(ADDRESS(6,(ROW()-5)))&amp;"""",0))"),"")</f>
        <v/>
      </c>
      <c r="D311" s="140"/>
    </row>
    <row r="312" spans="1:4" ht="13.2">
      <c r="A312" s="193"/>
      <c r="B312" s="173"/>
      <c r="C312" s="139" t="str">
        <f ca="1">IFERROR(__xludf.DUMMYFUNCTION("if(ISBLANK(INDIRECT(ADDRESS(6,(ROW()-5)))),,QUERY('NPC List'!$1:$1000, ""Select C,D WHERE A = ""&amp;INDIRECT(ADDRESS(6,(ROW()-5)))&amp;"""",0))"),"")</f>
        <v/>
      </c>
      <c r="D312" s="140"/>
    </row>
    <row r="313" spans="1:4" ht="13.2">
      <c r="A313" s="193"/>
      <c r="B313" s="173"/>
      <c r="C313" s="139" t="str">
        <f ca="1">IFERROR(__xludf.DUMMYFUNCTION("if(ISBLANK(INDIRECT(ADDRESS(6,(ROW()-5)))),,QUERY('NPC List'!$1:$1000, ""Select C,D WHERE A = ""&amp;INDIRECT(ADDRESS(6,(ROW()-5)))&amp;"""",0))"),"")</f>
        <v/>
      </c>
      <c r="D313" s="140"/>
    </row>
    <row r="314" spans="1:4" ht="13.2">
      <c r="A314" s="193"/>
      <c r="B314" s="173"/>
      <c r="C314" s="139" t="str">
        <f ca="1">IFERROR(__xludf.DUMMYFUNCTION("if(ISBLANK(INDIRECT(ADDRESS(6,(ROW()-5)))),,QUERY('NPC List'!$1:$1000, ""Select C,D WHERE A = ""&amp;INDIRECT(ADDRESS(6,(ROW()-5)))&amp;"""",0))"),"")</f>
        <v/>
      </c>
      <c r="D314" s="140"/>
    </row>
    <row r="315" spans="1:4" ht="13.2">
      <c r="A315" s="193"/>
      <c r="B315" s="173"/>
      <c r="C315" s="139" t="str">
        <f ca="1">IFERROR(__xludf.DUMMYFUNCTION("if(ISBLANK(INDIRECT(ADDRESS(6,(ROW()-5)))),,QUERY('NPC List'!$1:$1000, ""Select C,D WHERE A = ""&amp;INDIRECT(ADDRESS(6,(ROW()-5)))&amp;"""",0))"),"")</f>
        <v/>
      </c>
      <c r="D315" s="140"/>
    </row>
    <row r="316" spans="1:4" ht="13.2">
      <c r="A316" s="193"/>
      <c r="B316" s="173"/>
      <c r="C316" s="139" t="str">
        <f ca="1">IFERROR(__xludf.DUMMYFUNCTION("if(ISBLANK(INDIRECT(ADDRESS(6,(ROW()-5)))),,QUERY('NPC List'!$1:$1000, ""Select C,D WHERE A = ""&amp;INDIRECT(ADDRESS(6,(ROW()-5)))&amp;"""",0))"),"")</f>
        <v/>
      </c>
      <c r="D316" s="140"/>
    </row>
    <row r="317" spans="1:4" ht="13.2">
      <c r="A317" s="193"/>
      <c r="B317" s="173"/>
      <c r="C317" s="139" t="str">
        <f ca="1">IFERROR(__xludf.DUMMYFUNCTION("if(ISBLANK(INDIRECT(ADDRESS(6,(ROW()-5)))),,QUERY('NPC List'!$1:$1000, ""Select C,D WHERE A = ""&amp;INDIRECT(ADDRESS(6,(ROW()-5)))&amp;"""",0))"),"")</f>
        <v/>
      </c>
      <c r="D317" s="140"/>
    </row>
    <row r="318" spans="1:4" ht="13.2">
      <c r="A318" s="193"/>
      <c r="B318" s="173"/>
      <c r="C318" s="139" t="str">
        <f ca="1">IFERROR(__xludf.DUMMYFUNCTION("if(ISBLANK(INDIRECT(ADDRESS(6,(ROW()-5)))),,QUERY('NPC List'!$1:$1000, ""Select C,D WHERE A = ""&amp;INDIRECT(ADDRESS(6,(ROW()-5)))&amp;"""",0))"),"")</f>
        <v/>
      </c>
      <c r="D318" s="140"/>
    </row>
    <row r="319" spans="1:4" ht="13.2">
      <c r="A319" s="193"/>
      <c r="B319" s="173"/>
      <c r="C319" s="139" t="str">
        <f ca="1">IFERROR(__xludf.DUMMYFUNCTION("if(ISBLANK(INDIRECT(ADDRESS(6,(ROW()-5)))),,QUERY('NPC List'!$1:$1000, ""Select C,D WHERE A = ""&amp;INDIRECT(ADDRESS(6,(ROW()-5)))&amp;"""",0))"),"")</f>
        <v/>
      </c>
      <c r="D319" s="140"/>
    </row>
    <row r="320" spans="1:4" ht="13.2">
      <c r="A320" s="193"/>
      <c r="B320" s="173"/>
      <c r="C320" s="139" t="str">
        <f ca="1">IFERROR(__xludf.DUMMYFUNCTION("if(ISBLANK(INDIRECT(ADDRESS(6,(ROW()-5)))),,QUERY('NPC List'!$1:$1000, ""Select C,D WHERE A = ""&amp;INDIRECT(ADDRESS(6,(ROW()-5)))&amp;"""",0))"),"")</f>
        <v/>
      </c>
      <c r="D320" s="140"/>
    </row>
    <row r="321" spans="1:4" ht="13.2">
      <c r="A321" s="193"/>
      <c r="B321" s="173"/>
      <c r="C321" s="139" t="str">
        <f ca="1">IFERROR(__xludf.DUMMYFUNCTION("if(ISBLANK(INDIRECT(ADDRESS(6,(ROW()-5)))),,QUERY('NPC List'!$1:$1000, ""Select C,D WHERE A = ""&amp;INDIRECT(ADDRESS(6,(ROW()-5)))&amp;"""",0))"),"")</f>
        <v/>
      </c>
      <c r="D321" s="140"/>
    </row>
    <row r="322" spans="1:4" ht="13.2">
      <c r="A322" s="193"/>
      <c r="B322" s="173"/>
      <c r="C322" s="139" t="str">
        <f ca="1">IFERROR(__xludf.DUMMYFUNCTION("if(ISBLANK(INDIRECT(ADDRESS(6,(ROW()-5)))),,QUERY('NPC List'!$1:$1000, ""Select C,D WHERE A = ""&amp;INDIRECT(ADDRESS(6,(ROW()-5)))&amp;"""",0))"),"")</f>
        <v/>
      </c>
      <c r="D322" s="140"/>
    </row>
    <row r="323" spans="1:4" ht="13.2">
      <c r="A323" s="193"/>
      <c r="B323" s="173"/>
      <c r="C323" s="139" t="str">
        <f ca="1">IFERROR(__xludf.DUMMYFUNCTION("if(ISBLANK(INDIRECT(ADDRESS(6,(ROW()-5)))),,QUERY('NPC List'!$1:$1000, ""Select C,D WHERE A = ""&amp;INDIRECT(ADDRESS(6,(ROW()-5)))&amp;"""",0))"),"")</f>
        <v/>
      </c>
      <c r="D323" s="140"/>
    </row>
    <row r="324" spans="1:4" ht="13.2">
      <c r="A324" s="193"/>
      <c r="B324" s="173"/>
      <c r="C324" s="139" t="str">
        <f ca="1">IFERROR(__xludf.DUMMYFUNCTION("if(ISBLANK(INDIRECT(ADDRESS(6,(ROW()-5)))),,QUERY('NPC List'!$1:$1000, ""Select C,D WHERE A = ""&amp;INDIRECT(ADDRESS(6,(ROW()-5)))&amp;"""",0))"),"")</f>
        <v/>
      </c>
      <c r="D324" s="140"/>
    </row>
    <row r="325" spans="1:4" ht="13.2">
      <c r="A325" s="193"/>
      <c r="B325" s="173"/>
      <c r="C325" s="139" t="str">
        <f ca="1">IFERROR(__xludf.DUMMYFUNCTION("if(ISBLANK(INDIRECT(ADDRESS(6,(ROW()-5)))),,QUERY('NPC List'!$1:$1000, ""Select C,D WHERE A = ""&amp;INDIRECT(ADDRESS(6,(ROW()-5)))&amp;"""",0))"),"")</f>
        <v/>
      </c>
      <c r="D325" s="140"/>
    </row>
    <row r="326" spans="1:4" ht="13.2">
      <c r="A326" s="193"/>
      <c r="B326" s="173"/>
      <c r="C326" s="139" t="str">
        <f ca="1">IFERROR(__xludf.DUMMYFUNCTION("if(ISBLANK(INDIRECT(ADDRESS(6,(ROW()-5)))),,QUERY('NPC List'!$1:$1000, ""Select C,D WHERE A = ""&amp;INDIRECT(ADDRESS(6,(ROW()-5)))&amp;"""",0))"),"")</f>
        <v/>
      </c>
      <c r="D326" s="140"/>
    </row>
    <row r="327" spans="1:4" ht="13.2">
      <c r="A327" s="193"/>
      <c r="B327" s="173"/>
      <c r="C327" s="139" t="str">
        <f ca="1">IFERROR(__xludf.DUMMYFUNCTION("if(ISBLANK(INDIRECT(ADDRESS(6,(ROW()-5)))),,QUERY('NPC List'!$1:$1000, ""Select C,D WHERE A = ""&amp;INDIRECT(ADDRESS(6,(ROW()-5)))&amp;"""",0))"),"")</f>
        <v/>
      </c>
      <c r="D327" s="140"/>
    </row>
    <row r="328" spans="1:4" ht="13.2">
      <c r="A328" s="193"/>
      <c r="B328" s="173"/>
      <c r="C328" s="139" t="str">
        <f ca="1">IFERROR(__xludf.DUMMYFUNCTION("if(ISBLANK(INDIRECT(ADDRESS(6,(ROW()-5)))),,QUERY('NPC List'!$1:$1000, ""Select C,D WHERE A = ""&amp;INDIRECT(ADDRESS(6,(ROW()-5)))&amp;"""",0))"),"")</f>
        <v/>
      </c>
      <c r="D328" s="140"/>
    </row>
    <row r="329" spans="1:4" ht="13.2">
      <c r="A329" s="193"/>
      <c r="B329" s="173"/>
      <c r="C329" s="139" t="str">
        <f ca="1">IFERROR(__xludf.DUMMYFUNCTION("if(ISBLANK(INDIRECT(ADDRESS(6,(ROW()-5)))),,QUERY('NPC List'!$1:$1000, ""Select C,D WHERE A = ""&amp;INDIRECT(ADDRESS(6,(ROW()-5)))&amp;"""",0))"),"")</f>
        <v/>
      </c>
      <c r="D329" s="140"/>
    </row>
    <row r="330" spans="1:4" ht="13.2">
      <c r="A330" s="193"/>
      <c r="B330" s="173"/>
      <c r="C330" s="139" t="str">
        <f ca="1">IFERROR(__xludf.DUMMYFUNCTION("if(ISBLANK(INDIRECT(ADDRESS(6,(ROW()-5)))),,QUERY('NPC List'!$1:$1000, ""Select C,D WHERE A = ""&amp;INDIRECT(ADDRESS(6,(ROW()-5)))&amp;"""",0))"),"")</f>
        <v/>
      </c>
      <c r="D330" s="140"/>
    </row>
    <row r="331" spans="1:4" ht="13.2">
      <c r="A331" s="193"/>
      <c r="B331" s="173"/>
      <c r="C331" s="139" t="str">
        <f ca="1">IFERROR(__xludf.DUMMYFUNCTION("if(ISBLANK(INDIRECT(ADDRESS(6,(ROW()-5)))),,QUERY('NPC List'!$1:$1000, ""Select C,D WHERE A = ""&amp;INDIRECT(ADDRESS(6,(ROW()-5)))&amp;"""",0))"),"")</f>
        <v/>
      </c>
      <c r="D331" s="140"/>
    </row>
    <row r="332" spans="1:4" ht="13.2">
      <c r="A332" s="193"/>
      <c r="B332" s="173"/>
      <c r="C332" s="139" t="str">
        <f ca="1">IFERROR(__xludf.DUMMYFUNCTION("if(ISBLANK(INDIRECT(ADDRESS(6,(ROW()-5)))),,QUERY('NPC List'!$1:$1000, ""Select C,D WHERE A = ""&amp;INDIRECT(ADDRESS(6,(ROW()-5)))&amp;"""",0))"),"")</f>
        <v/>
      </c>
      <c r="D332" s="140"/>
    </row>
    <row r="333" spans="1:4" ht="13.2">
      <c r="A333" s="193"/>
      <c r="B333" s="173"/>
      <c r="C333" s="139" t="str">
        <f ca="1">IFERROR(__xludf.DUMMYFUNCTION("if(ISBLANK(INDIRECT(ADDRESS(6,(ROW()-5)))),,QUERY('NPC List'!$1:$1000, ""Select C,D WHERE A = ""&amp;INDIRECT(ADDRESS(6,(ROW()-5)))&amp;"""",0))"),"")</f>
        <v/>
      </c>
      <c r="D333" s="140"/>
    </row>
    <row r="334" spans="1:4" ht="13.2">
      <c r="A334" s="193"/>
      <c r="B334" s="173"/>
      <c r="C334" s="139" t="str">
        <f ca="1">IFERROR(__xludf.DUMMYFUNCTION("if(ISBLANK(INDIRECT(ADDRESS(6,(ROW()-5)))),,QUERY('NPC List'!$1:$1000, ""Select C,D WHERE A = ""&amp;INDIRECT(ADDRESS(6,(ROW()-5)))&amp;"""",0))"),"")</f>
        <v/>
      </c>
      <c r="D334" s="140"/>
    </row>
    <row r="335" spans="1:4" ht="13.2">
      <c r="A335" s="193"/>
      <c r="B335" s="173"/>
      <c r="C335" s="139" t="str">
        <f ca="1">IFERROR(__xludf.DUMMYFUNCTION("if(ISBLANK(INDIRECT(ADDRESS(6,(ROW()-5)))),,QUERY('NPC List'!$1:$1000, ""Select C,D WHERE A = ""&amp;INDIRECT(ADDRESS(6,(ROW()-5)))&amp;"""",0))"),"")</f>
        <v/>
      </c>
      <c r="D335" s="140"/>
    </row>
    <row r="336" spans="1:4" ht="13.2">
      <c r="A336" s="193"/>
      <c r="B336" s="173"/>
      <c r="C336" s="139" t="str">
        <f ca="1">IFERROR(__xludf.DUMMYFUNCTION("if(ISBLANK(INDIRECT(ADDRESS(6,(ROW()-5)))),,QUERY('NPC List'!$1:$1000, ""Select C,D WHERE A = ""&amp;INDIRECT(ADDRESS(6,(ROW()-5)))&amp;"""",0))"),"")</f>
        <v/>
      </c>
      <c r="D336" s="140"/>
    </row>
    <row r="337" spans="1:4" ht="13.2">
      <c r="A337" s="193"/>
      <c r="B337" s="173"/>
      <c r="C337" s="139" t="str">
        <f ca="1">IFERROR(__xludf.DUMMYFUNCTION("if(ISBLANK(INDIRECT(ADDRESS(6,(ROW()-5)))),,QUERY('NPC List'!$1:$1000, ""Select C,D WHERE A = ""&amp;INDIRECT(ADDRESS(6,(ROW()-5)))&amp;"""",0))"),"")</f>
        <v/>
      </c>
      <c r="D337" s="140"/>
    </row>
    <row r="338" spans="1:4" ht="13.2">
      <c r="A338" s="193"/>
      <c r="B338" s="173"/>
      <c r="C338" s="139" t="str">
        <f ca="1">IFERROR(__xludf.DUMMYFUNCTION("if(ISBLANK(INDIRECT(ADDRESS(6,(ROW()-5)))),,QUERY('NPC List'!$1:$1000, ""Select C,D WHERE A = ""&amp;INDIRECT(ADDRESS(6,(ROW()-5)))&amp;"""",0))"),"")</f>
        <v/>
      </c>
      <c r="D338" s="140"/>
    </row>
    <row r="339" spans="1:4" ht="13.2">
      <c r="A339" s="193"/>
      <c r="B339" s="173"/>
      <c r="C339" s="139" t="str">
        <f ca="1">IFERROR(__xludf.DUMMYFUNCTION("if(ISBLANK(INDIRECT(ADDRESS(6,(ROW()-5)))),,QUERY('NPC List'!$1:$1000, ""Select C,D WHERE A = ""&amp;INDIRECT(ADDRESS(6,(ROW()-5)))&amp;"""",0))"),"")</f>
        <v/>
      </c>
      <c r="D339" s="140"/>
    </row>
    <row r="340" spans="1:4" ht="13.2">
      <c r="A340" s="193"/>
      <c r="B340" s="173"/>
      <c r="C340" s="139" t="str">
        <f ca="1">IFERROR(__xludf.DUMMYFUNCTION("if(ISBLANK(INDIRECT(ADDRESS(6,(ROW()-5)))),,QUERY('NPC List'!$1:$1000, ""Select C,D WHERE A = ""&amp;INDIRECT(ADDRESS(6,(ROW()-5)))&amp;"""",0))"),"")</f>
        <v/>
      </c>
      <c r="D340" s="140"/>
    </row>
    <row r="341" spans="1:4" ht="13.2">
      <c r="A341" s="193"/>
      <c r="B341" s="173"/>
      <c r="C341" s="139" t="str">
        <f ca="1">IFERROR(__xludf.DUMMYFUNCTION("if(ISBLANK(INDIRECT(ADDRESS(6,(ROW()-5)))),,QUERY('NPC List'!$1:$1000, ""Select C,D WHERE A = ""&amp;INDIRECT(ADDRESS(6,(ROW()-5)))&amp;"""",0))"),"")</f>
        <v/>
      </c>
      <c r="D341" s="140"/>
    </row>
    <row r="342" spans="1:4" ht="13.2">
      <c r="A342" s="193"/>
      <c r="B342" s="173"/>
      <c r="C342" s="139" t="str">
        <f ca="1">IFERROR(__xludf.DUMMYFUNCTION("if(ISBLANK(INDIRECT(ADDRESS(6,(ROW()-5)))),,QUERY('NPC List'!$1:$1000, ""Select C,D WHERE A = ""&amp;INDIRECT(ADDRESS(6,(ROW()-5)))&amp;"""",0))"),"")</f>
        <v/>
      </c>
      <c r="D342" s="140"/>
    </row>
    <row r="343" spans="1:4" ht="13.2">
      <c r="A343" s="193"/>
      <c r="B343" s="173"/>
      <c r="C343" s="139" t="str">
        <f ca="1">IFERROR(__xludf.DUMMYFUNCTION("if(ISBLANK(INDIRECT(ADDRESS(6,(ROW()-5)))),,QUERY('NPC List'!$1:$1000, ""Select C,D WHERE A = ""&amp;INDIRECT(ADDRESS(6,(ROW()-5)))&amp;"""",0))"),"")</f>
        <v/>
      </c>
      <c r="D343" s="140"/>
    </row>
    <row r="344" spans="1:4" ht="13.2">
      <c r="A344" s="193"/>
      <c r="B344" s="173"/>
      <c r="C344" s="139" t="str">
        <f ca="1">IFERROR(__xludf.DUMMYFUNCTION("if(ISBLANK(INDIRECT(ADDRESS(6,(ROW()-5)))),,QUERY('NPC List'!$1:$1000, ""Select C,D WHERE A = ""&amp;INDIRECT(ADDRESS(6,(ROW()-5)))&amp;"""",0))"),"")</f>
        <v/>
      </c>
      <c r="D344" s="140"/>
    </row>
    <row r="345" spans="1:4" ht="13.2">
      <c r="A345" s="193"/>
      <c r="B345" s="173"/>
      <c r="C345" s="139" t="str">
        <f ca="1">IFERROR(__xludf.DUMMYFUNCTION("if(ISBLANK(INDIRECT(ADDRESS(6,(ROW()-5)))),,QUERY('NPC List'!$1:$1000, ""Select C,D WHERE A = ""&amp;INDIRECT(ADDRESS(6,(ROW()-5)))&amp;"""",0))"),"")</f>
        <v/>
      </c>
      <c r="D345" s="140"/>
    </row>
    <row r="346" spans="1:4" ht="13.2">
      <c r="A346" s="193"/>
      <c r="B346" s="173"/>
      <c r="C346" s="139" t="str">
        <f ca="1">IFERROR(__xludf.DUMMYFUNCTION("if(ISBLANK(INDIRECT(ADDRESS(6,(ROW()-5)))),,QUERY('NPC List'!$1:$1000, ""Select C,D WHERE A = ""&amp;INDIRECT(ADDRESS(6,(ROW()-5)))&amp;"""",0))"),"")</f>
        <v/>
      </c>
      <c r="D346" s="140"/>
    </row>
    <row r="347" spans="1:4" ht="13.2">
      <c r="A347" s="193"/>
      <c r="B347" s="173"/>
      <c r="C347" s="139" t="str">
        <f ca="1">IFERROR(__xludf.DUMMYFUNCTION("if(ISBLANK(INDIRECT(ADDRESS(6,(ROW()-5)))),,QUERY('NPC List'!$1:$1000, ""Select C,D WHERE A = ""&amp;INDIRECT(ADDRESS(6,(ROW()-5)))&amp;"""",0))"),"")</f>
        <v/>
      </c>
      <c r="D347" s="140"/>
    </row>
    <row r="348" spans="1:4" ht="13.2">
      <c r="A348" s="193"/>
      <c r="B348" s="173"/>
      <c r="C348" s="139" t="str">
        <f ca="1">IFERROR(__xludf.DUMMYFUNCTION("if(ISBLANK(INDIRECT(ADDRESS(6,(ROW()-5)))),,QUERY('NPC List'!$1:$1000, ""Select C,D WHERE A = ""&amp;INDIRECT(ADDRESS(6,(ROW()-5)))&amp;"""",0))"),"")</f>
        <v/>
      </c>
      <c r="D348" s="140"/>
    </row>
    <row r="349" spans="1:4" ht="13.2">
      <c r="A349" s="193"/>
      <c r="B349" s="173"/>
      <c r="C349" s="139" t="str">
        <f ca="1">IFERROR(__xludf.DUMMYFUNCTION("if(ISBLANK(INDIRECT(ADDRESS(6,(ROW()-5)))),,QUERY('NPC List'!$1:$1000, ""Select C,D WHERE A = ""&amp;INDIRECT(ADDRESS(6,(ROW()-5)))&amp;"""",0))"),"")</f>
        <v/>
      </c>
      <c r="D349" s="140"/>
    </row>
    <row r="350" spans="1:4" ht="13.2">
      <c r="A350" s="193"/>
      <c r="B350" s="173"/>
      <c r="C350" s="139" t="str">
        <f ca="1">IFERROR(__xludf.DUMMYFUNCTION("if(ISBLANK(INDIRECT(ADDRESS(6,(ROW()-5)))),,QUERY('NPC List'!$1:$1000, ""Select C,D WHERE A = ""&amp;INDIRECT(ADDRESS(6,(ROW()-5)))&amp;"""",0))"),"")</f>
        <v/>
      </c>
      <c r="D350" s="140"/>
    </row>
    <row r="351" spans="1:4" ht="13.2">
      <c r="A351" s="193"/>
      <c r="B351" s="173"/>
      <c r="C351" s="139" t="str">
        <f ca="1">IFERROR(__xludf.DUMMYFUNCTION("if(ISBLANK(INDIRECT(ADDRESS(6,(ROW()-5)))),,QUERY('NPC List'!$1:$1000, ""Select C,D WHERE A = ""&amp;INDIRECT(ADDRESS(6,(ROW()-5)))&amp;"""",0))"),"")</f>
        <v/>
      </c>
      <c r="D351" s="140"/>
    </row>
    <row r="352" spans="1:4" ht="13.2">
      <c r="A352" s="193"/>
      <c r="B352" s="173"/>
      <c r="C352" s="139" t="str">
        <f ca="1">IFERROR(__xludf.DUMMYFUNCTION("if(ISBLANK(INDIRECT(ADDRESS(6,(ROW()-5)))),,QUERY('NPC List'!$1:$1000, ""Select C,D WHERE A = ""&amp;INDIRECT(ADDRESS(6,(ROW()-5)))&amp;"""",0))"),"")</f>
        <v/>
      </c>
      <c r="D352" s="140"/>
    </row>
    <row r="353" spans="1:4" ht="13.2">
      <c r="A353" s="193"/>
      <c r="B353" s="173"/>
      <c r="C353" s="139" t="str">
        <f ca="1">IFERROR(__xludf.DUMMYFUNCTION("if(ISBLANK(INDIRECT(ADDRESS(6,(ROW()-5)))),,QUERY('NPC List'!$1:$1000, ""Select C,D WHERE A = ""&amp;INDIRECT(ADDRESS(6,(ROW()-5)))&amp;"""",0))"),"")</f>
        <v/>
      </c>
      <c r="D353" s="140"/>
    </row>
    <row r="354" spans="1:4" ht="13.2">
      <c r="A354" s="193"/>
      <c r="B354" s="173"/>
      <c r="C354" s="139" t="str">
        <f ca="1">IFERROR(__xludf.DUMMYFUNCTION("if(ISBLANK(INDIRECT(ADDRESS(6,(ROW()-5)))),,QUERY('NPC List'!$1:$1000, ""Select C,D WHERE A = ""&amp;INDIRECT(ADDRESS(6,(ROW()-5)))&amp;"""",0))"),"")</f>
        <v/>
      </c>
      <c r="D354" s="140"/>
    </row>
    <row r="355" spans="1:4" ht="13.2">
      <c r="A355" s="193"/>
      <c r="B355" s="173"/>
      <c r="C355" s="139" t="str">
        <f ca="1">IFERROR(__xludf.DUMMYFUNCTION("if(ISBLANK(INDIRECT(ADDRESS(6,(ROW()-5)))),,QUERY('NPC List'!$1:$1000, ""Select C,D WHERE A = ""&amp;INDIRECT(ADDRESS(6,(ROW()-5)))&amp;"""",0))"),"")</f>
        <v/>
      </c>
      <c r="D355" s="140"/>
    </row>
    <row r="356" spans="1:4" ht="13.2">
      <c r="A356" s="193"/>
      <c r="B356" s="173"/>
      <c r="C356" s="139" t="str">
        <f ca="1">IFERROR(__xludf.DUMMYFUNCTION("if(ISBLANK(INDIRECT(ADDRESS(6,(ROW()-5)))),,QUERY('NPC List'!$1:$1000, ""Select C,D WHERE A = ""&amp;INDIRECT(ADDRESS(6,(ROW()-5)))&amp;"""",0))"),"")</f>
        <v/>
      </c>
      <c r="D356" s="140"/>
    </row>
    <row r="357" spans="1:4" ht="13.2">
      <c r="A357" s="193"/>
      <c r="B357" s="173"/>
      <c r="C357" s="139" t="str">
        <f ca="1">IFERROR(__xludf.DUMMYFUNCTION("if(ISBLANK(INDIRECT(ADDRESS(6,(ROW()-5)))),,QUERY('NPC List'!$1:$1000, ""Select C,D WHERE A = ""&amp;INDIRECT(ADDRESS(6,(ROW()-5)))&amp;"""",0))"),"")</f>
        <v/>
      </c>
      <c r="D357" s="140"/>
    </row>
    <row r="358" spans="1:4" ht="13.2">
      <c r="A358" s="193"/>
      <c r="B358" s="173"/>
      <c r="C358" s="139" t="str">
        <f ca="1">IFERROR(__xludf.DUMMYFUNCTION("if(ISBLANK(INDIRECT(ADDRESS(6,(ROW()-5)))),,QUERY('NPC List'!$1:$1000, ""Select C,D WHERE A = ""&amp;INDIRECT(ADDRESS(6,(ROW()-5)))&amp;"""",0))"),"")</f>
        <v/>
      </c>
      <c r="D358" s="140"/>
    </row>
    <row r="359" spans="1:4" ht="13.2">
      <c r="A359" s="193"/>
      <c r="B359" s="173"/>
      <c r="C359" s="139" t="str">
        <f ca="1">IFERROR(__xludf.DUMMYFUNCTION("if(ISBLANK(INDIRECT(ADDRESS(6,(ROW()-5)))),,QUERY('NPC List'!$1:$1000, ""Select C,D WHERE A = ""&amp;INDIRECT(ADDRESS(6,(ROW()-5)))&amp;"""",0))"),"")</f>
        <v/>
      </c>
      <c r="D359" s="140"/>
    </row>
    <row r="360" spans="1:4" ht="13.2">
      <c r="A360" s="193"/>
      <c r="B360" s="173"/>
      <c r="C360" s="139" t="str">
        <f ca="1">IFERROR(__xludf.DUMMYFUNCTION("if(ISBLANK(INDIRECT(ADDRESS(6,(ROW()-5)))),,QUERY('NPC List'!$1:$1000, ""Select C,D WHERE A = ""&amp;INDIRECT(ADDRESS(6,(ROW()-5)))&amp;"""",0))"),"")</f>
        <v/>
      </c>
      <c r="D360" s="140"/>
    </row>
    <row r="361" spans="1:4" ht="13.2">
      <c r="A361" s="193"/>
      <c r="B361" s="173"/>
      <c r="C361" s="139" t="str">
        <f ca="1">IFERROR(__xludf.DUMMYFUNCTION("if(ISBLANK(INDIRECT(ADDRESS(6,(ROW()-5)))),,QUERY('NPC List'!$1:$1000, ""Select C,D WHERE A = ""&amp;INDIRECT(ADDRESS(6,(ROW()-5)))&amp;"""",0))"),"")</f>
        <v/>
      </c>
      <c r="D361" s="140"/>
    </row>
    <row r="362" spans="1:4" ht="13.2">
      <c r="A362" s="193"/>
      <c r="B362" s="173"/>
      <c r="C362" s="139" t="str">
        <f ca="1">IFERROR(__xludf.DUMMYFUNCTION("if(ISBLANK(INDIRECT(ADDRESS(6,(ROW()-5)))),,QUERY('NPC List'!$1:$1000, ""Select C,D WHERE A = ""&amp;INDIRECT(ADDRESS(6,(ROW()-5)))&amp;"""",0))"),"")</f>
        <v/>
      </c>
      <c r="D362" s="140"/>
    </row>
    <row r="363" spans="1:4" ht="13.2">
      <c r="A363" s="193"/>
      <c r="B363" s="173"/>
      <c r="C363" s="139" t="str">
        <f ca="1">IFERROR(__xludf.DUMMYFUNCTION("if(ISBLANK(INDIRECT(ADDRESS(6,(ROW()-5)))),,QUERY('NPC List'!$1:$1000, ""Select C,D WHERE A = ""&amp;INDIRECT(ADDRESS(6,(ROW()-5)))&amp;"""",0))"),"")</f>
        <v/>
      </c>
      <c r="D363" s="140"/>
    </row>
    <row r="364" spans="1:4" ht="13.2">
      <c r="A364" s="193"/>
      <c r="B364" s="173"/>
      <c r="C364" s="139" t="str">
        <f ca="1">IFERROR(__xludf.DUMMYFUNCTION("if(ISBLANK(INDIRECT(ADDRESS(6,(ROW()-5)))),,QUERY('NPC List'!$1:$1000, ""Select C,D WHERE A = ""&amp;INDIRECT(ADDRESS(6,(ROW()-5)))&amp;"""",0))"),"")</f>
        <v/>
      </c>
      <c r="D364" s="140"/>
    </row>
    <row r="365" spans="1:4" ht="13.2">
      <c r="A365" s="193"/>
      <c r="B365" s="173"/>
      <c r="C365" s="139" t="str">
        <f ca="1">IFERROR(__xludf.DUMMYFUNCTION("if(ISBLANK(INDIRECT(ADDRESS(6,(ROW()-5)))),,QUERY('NPC List'!$1:$1000, ""Select C,D WHERE A = ""&amp;INDIRECT(ADDRESS(6,(ROW()-5)))&amp;"""",0))"),"")</f>
        <v/>
      </c>
      <c r="D365" s="140"/>
    </row>
    <row r="366" spans="1:4" ht="13.2">
      <c r="A366" s="193"/>
      <c r="B366" s="173"/>
      <c r="C366" s="139" t="str">
        <f ca="1">IFERROR(__xludf.DUMMYFUNCTION("if(ISBLANK(INDIRECT(ADDRESS(6,(ROW()-5)))),,QUERY('NPC List'!$1:$1000, ""Select C,D WHERE A = ""&amp;INDIRECT(ADDRESS(6,(ROW()-5)))&amp;"""",0))"),"")</f>
        <v/>
      </c>
      <c r="D366" s="140"/>
    </row>
    <row r="367" spans="1:4" ht="13.2">
      <c r="A367" s="193"/>
      <c r="B367" s="173"/>
      <c r="C367" s="139" t="str">
        <f ca="1">IFERROR(__xludf.DUMMYFUNCTION("if(ISBLANK(INDIRECT(ADDRESS(6,(ROW()-5)))),,QUERY('NPC List'!$1:$1000, ""Select C,D WHERE A = ""&amp;INDIRECT(ADDRESS(6,(ROW()-5)))&amp;"""",0))"),"")</f>
        <v/>
      </c>
      <c r="D367" s="140"/>
    </row>
    <row r="368" spans="1:4" ht="13.2">
      <c r="A368" s="193"/>
      <c r="B368" s="173"/>
      <c r="C368" s="139" t="str">
        <f ca="1">IFERROR(__xludf.DUMMYFUNCTION("if(ISBLANK(INDIRECT(ADDRESS(6,(ROW()-5)))),,QUERY('NPC List'!$1:$1000, ""Select C,D WHERE A = ""&amp;INDIRECT(ADDRESS(6,(ROW()-5)))&amp;"""",0))"),"")</f>
        <v/>
      </c>
      <c r="D368" s="140"/>
    </row>
    <row r="369" spans="1:4" ht="13.2">
      <c r="A369" s="193"/>
      <c r="B369" s="173"/>
      <c r="C369" s="139" t="str">
        <f ca="1">IFERROR(__xludf.DUMMYFUNCTION("if(ISBLANK(INDIRECT(ADDRESS(6,(ROW()-5)))),,QUERY('NPC List'!$1:$1000, ""Select C,D WHERE A = ""&amp;INDIRECT(ADDRESS(6,(ROW()-5)))&amp;"""",0))"),"")</f>
        <v/>
      </c>
      <c r="D369" s="140"/>
    </row>
    <row r="370" spans="1:4" ht="13.2">
      <c r="A370" s="193"/>
      <c r="B370" s="173"/>
      <c r="C370" s="139" t="str">
        <f ca="1">IFERROR(__xludf.DUMMYFUNCTION("if(ISBLANK(INDIRECT(ADDRESS(6,(ROW()-5)))),,QUERY('NPC List'!$1:$1000, ""Select C,D WHERE A = ""&amp;INDIRECT(ADDRESS(6,(ROW()-5)))&amp;"""",0))"),"")</f>
        <v/>
      </c>
      <c r="D370" s="140"/>
    </row>
    <row r="371" spans="1:4" ht="13.2">
      <c r="A371" s="193"/>
      <c r="B371" s="173"/>
      <c r="C371" s="139" t="str">
        <f ca="1">IFERROR(__xludf.DUMMYFUNCTION("if(ISBLANK(INDIRECT(ADDRESS(6,(ROW()-5)))),,QUERY('NPC List'!$1:$1000, ""Select C,D WHERE A = ""&amp;INDIRECT(ADDRESS(6,(ROW()-5)))&amp;"""",0))"),"")</f>
        <v/>
      </c>
      <c r="D371" s="140"/>
    </row>
    <row r="372" spans="1:4" ht="13.2">
      <c r="A372" s="193"/>
      <c r="B372" s="173"/>
      <c r="C372" s="139" t="str">
        <f ca="1">IFERROR(__xludf.DUMMYFUNCTION("if(ISBLANK(INDIRECT(ADDRESS(6,(ROW()-5)))),,QUERY('NPC List'!$1:$1000, ""Select C,D WHERE A = ""&amp;INDIRECT(ADDRESS(6,(ROW()-5)))&amp;"""",0))"),"")</f>
        <v/>
      </c>
      <c r="D372" s="140"/>
    </row>
    <row r="373" spans="1:4" ht="13.2">
      <c r="A373" s="193"/>
      <c r="B373" s="173"/>
      <c r="C373" s="139" t="str">
        <f ca="1">IFERROR(__xludf.DUMMYFUNCTION("if(ISBLANK(INDIRECT(ADDRESS(6,(ROW()-5)))),,QUERY('NPC List'!$1:$1000, ""Select C,D WHERE A = ""&amp;INDIRECT(ADDRESS(6,(ROW()-5)))&amp;"""",0))"),"")</f>
        <v/>
      </c>
      <c r="D373" s="140"/>
    </row>
    <row r="374" spans="1:4" ht="13.2">
      <c r="A374" s="193"/>
      <c r="B374" s="173"/>
      <c r="C374" s="139" t="str">
        <f ca="1">IFERROR(__xludf.DUMMYFUNCTION("if(ISBLANK(INDIRECT(ADDRESS(6,(ROW()-5)))),,QUERY('NPC List'!$1:$1000, ""Select C,D WHERE A = ""&amp;INDIRECT(ADDRESS(6,(ROW()-5)))&amp;"""",0))"),"")</f>
        <v/>
      </c>
      <c r="D374" s="140"/>
    </row>
    <row r="375" spans="1:4" ht="13.2">
      <c r="A375" s="193"/>
      <c r="B375" s="173"/>
      <c r="C375" s="139" t="str">
        <f ca="1">IFERROR(__xludf.DUMMYFUNCTION("if(ISBLANK(INDIRECT(ADDRESS(6,(ROW()-5)))),,QUERY('NPC List'!$1:$1000, ""Select C,D WHERE A = ""&amp;INDIRECT(ADDRESS(6,(ROW()-5)))&amp;"""",0))"),"")</f>
        <v/>
      </c>
      <c r="D375" s="140"/>
    </row>
    <row r="376" spans="1:4" ht="13.2">
      <c r="A376" s="193"/>
      <c r="B376" s="173"/>
      <c r="C376" s="139" t="str">
        <f ca="1">IFERROR(__xludf.DUMMYFUNCTION("if(ISBLANK(INDIRECT(ADDRESS(6,(ROW()-5)))),,QUERY('NPC List'!$1:$1000, ""Select C,D WHERE A = ""&amp;INDIRECT(ADDRESS(6,(ROW()-5)))&amp;"""",0))"),"")</f>
        <v/>
      </c>
      <c r="D376" s="140"/>
    </row>
    <row r="377" spans="1:4" ht="13.2">
      <c r="A377" s="193"/>
      <c r="B377" s="173"/>
      <c r="C377" s="139" t="str">
        <f ca="1">IFERROR(__xludf.DUMMYFUNCTION("if(ISBLANK(INDIRECT(ADDRESS(6,(ROW()-5)))),,QUERY('NPC List'!$1:$1000, ""Select C,D WHERE A = ""&amp;INDIRECT(ADDRESS(6,(ROW()-5)))&amp;"""",0))"),"")</f>
        <v/>
      </c>
      <c r="D377" s="140"/>
    </row>
    <row r="378" spans="1:4" ht="13.2">
      <c r="A378" s="193"/>
      <c r="B378" s="173"/>
      <c r="C378" s="139" t="str">
        <f ca="1">IFERROR(__xludf.DUMMYFUNCTION("if(ISBLANK(INDIRECT(ADDRESS(6,(ROW()-5)))),,QUERY('NPC List'!$1:$1000, ""Select C,D WHERE A = ""&amp;INDIRECT(ADDRESS(6,(ROW()-5)))&amp;"""",0))"),"")</f>
        <v/>
      </c>
      <c r="D378" s="140"/>
    </row>
    <row r="379" spans="1:4" ht="13.2">
      <c r="A379" s="193"/>
      <c r="B379" s="173"/>
      <c r="C379" s="139" t="str">
        <f ca="1">IFERROR(__xludf.DUMMYFUNCTION("if(ISBLANK(INDIRECT(ADDRESS(6,(ROW()-5)))),,QUERY('NPC List'!$1:$1000, ""Select C,D WHERE A = ""&amp;INDIRECT(ADDRESS(6,(ROW()-5)))&amp;"""",0))"),"")</f>
        <v/>
      </c>
      <c r="D379" s="140"/>
    </row>
    <row r="380" spans="1:4" ht="13.2">
      <c r="A380" s="193"/>
      <c r="B380" s="173"/>
      <c r="C380" s="139" t="str">
        <f ca="1">IFERROR(__xludf.DUMMYFUNCTION("if(ISBLANK(INDIRECT(ADDRESS(6,(ROW()-5)))),,QUERY('NPC List'!$1:$1000, ""Select C,D WHERE A = ""&amp;INDIRECT(ADDRESS(6,(ROW()-5)))&amp;"""",0))"),"")</f>
        <v/>
      </c>
      <c r="D380" s="140"/>
    </row>
    <row r="381" spans="1:4" ht="13.2">
      <c r="A381" s="193"/>
      <c r="B381" s="173"/>
      <c r="C381" s="139" t="str">
        <f ca="1">IFERROR(__xludf.DUMMYFUNCTION("if(ISBLANK(INDIRECT(ADDRESS(6,(ROW()-5)))),,QUERY('NPC List'!$1:$1000, ""Select C,D WHERE A = ""&amp;INDIRECT(ADDRESS(6,(ROW()-5)))&amp;"""",0))"),"")</f>
        <v/>
      </c>
      <c r="D381" s="140"/>
    </row>
    <row r="382" spans="1:4" ht="13.2">
      <c r="A382" s="193"/>
      <c r="B382" s="173"/>
      <c r="C382" s="139" t="str">
        <f ca="1">IFERROR(__xludf.DUMMYFUNCTION("if(ISBLANK(INDIRECT(ADDRESS(6,(ROW()-5)))),,QUERY('NPC List'!$1:$1000, ""Select C,D WHERE A = ""&amp;INDIRECT(ADDRESS(6,(ROW()-5)))&amp;"""",0))"),"")</f>
        <v/>
      </c>
      <c r="D382" s="140"/>
    </row>
    <row r="383" spans="1:4" ht="13.2">
      <c r="A383" s="193"/>
      <c r="B383" s="173"/>
      <c r="C383" s="139" t="str">
        <f ca="1">IFERROR(__xludf.DUMMYFUNCTION("if(ISBLANK(INDIRECT(ADDRESS(6,(ROW()-5)))),,QUERY('NPC List'!$1:$1000, ""Select C,D WHERE A = ""&amp;INDIRECT(ADDRESS(6,(ROW()-5)))&amp;"""",0))"),"")</f>
        <v/>
      </c>
      <c r="D383" s="140"/>
    </row>
    <row r="384" spans="1:4" ht="13.2">
      <c r="A384" s="193"/>
      <c r="B384" s="173"/>
      <c r="C384" s="139" t="str">
        <f ca="1">IFERROR(__xludf.DUMMYFUNCTION("if(ISBLANK(INDIRECT(ADDRESS(6,(ROW()-5)))),,QUERY('NPC List'!$1:$1000, ""Select C,D WHERE A = ""&amp;INDIRECT(ADDRESS(6,(ROW()-5)))&amp;"""",0))"),"")</f>
        <v/>
      </c>
      <c r="D384" s="140"/>
    </row>
    <row r="385" spans="1:4" ht="13.2">
      <c r="A385" s="193"/>
      <c r="B385" s="173"/>
      <c r="C385" s="139" t="str">
        <f ca="1">IFERROR(__xludf.DUMMYFUNCTION("if(ISBLANK(INDIRECT(ADDRESS(6,(ROW()-5)))),,QUERY('NPC List'!$1:$1000, ""Select C,D WHERE A = ""&amp;INDIRECT(ADDRESS(6,(ROW()-5)))&amp;"""",0))"),"")</f>
        <v/>
      </c>
      <c r="D385" s="140"/>
    </row>
    <row r="386" spans="1:4" ht="13.2">
      <c r="A386" s="193"/>
      <c r="B386" s="173"/>
      <c r="C386" s="139" t="str">
        <f ca="1">IFERROR(__xludf.DUMMYFUNCTION("if(ISBLANK(INDIRECT(ADDRESS(6,(ROW()-5)))),,QUERY('NPC List'!$1:$1000, ""Select C,D WHERE A = ""&amp;INDIRECT(ADDRESS(6,(ROW()-5)))&amp;"""",0))"),"")</f>
        <v/>
      </c>
      <c r="D386" s="140"/>
    </row>
    <row r="387" spans="1:4" ht="13.2">
      <c r="A387" s="193"/>
      <c r="B387" s="173"/>
      <c r="C387" s="139" t="str">
        <f ca="1">IFERROR(__xludf.DUMMYFUNCTION("if(ISBLANK(INDIRECT(ADDRESS(6,(ROW()-5)))),,QUERY('NPC List'!$1:$1000, ""Select C,D WHERE A = ""&amp;INDIRECT(ADDRESS(6,(ROW()-5)))&amp;"""",0))"),"")</f>
        <v/>
      </c>
      <c r="D387" s="140"/>
    </row>
    <row r="388" spans="1:4" ht="13.2">
      <c r="A388" s="193"/>
      <c r="B388" s="173"/>
      <c r="C388" s="139" t="str">
        <f ca="1">IFERROR(__xludf.DUMMYFUNCTION("if(ISBLANK(INDIRECT(ADDRESS(6,(ROW()-5)))),,QUERY('NPC List'!$1:$1000, ""Select C,D WHERE A = ""&amp;INDIRECT(ADDRESS(6,(ROW()-5)))&amp;"""",0))"),"")</f>
        <v/>
      </c>
      <c r="D388" s="140"/>
    </row>
    <row r="389" spans="1:4" ht="13.2">
      <c r="A389" s="193"/>
      <c r="B389" s="173"/>
      <c r="C389" s="139" t="str">
        <f ca="1">IFERROR(__xludf.DUMMYFUNCTION("if(ISBLANK(INDIRECT(ADDRESS(6,(ROW()-5)))),,QUERY('NPC List'!$1:$1000, ""Select C,D WHERE A = ""&amp;INDIRECT(ADDRESS(6,(ROW()-5)))&amp;"""",0))"),"")</f>
        <v/>
      </c>
      <c r="D389" s="140"/>
    </row>
    <row r="390" spans="1:4" ht="13.2">
      <c r="A390" s="193"/>
      <c r="B390" s="173"/>
      <c r="C390" s="139" t="str">
        <f ca="1">IFERROR(__xludf.DUMMYFUNCTION("if(ISBLANK(INDIRECT(ADDRESS(6,(ROW()-5)))),,QUERY('NPC List'!$1:$1000, ""Select C,D WHERE A = ""&amp;INDIRECT(ADDRESS(6,(ROW()-5)))&amp;"""",0))"),"")</f>
        <v/>
      </c>
      <c r="D390" s="140"/>
    </row>
    <row r="391" spans="1:4" ht="13.2">
      <c r="A391" s="193"/>
      <c r="B391" s="173"/>
      <c r="C391" s="139" t="str">
        <f ca="1">IFERROR(__xludf.DUMMYFUNCTION("if(ISBLANK(INDIRECT(ADDRESS(6,(ROW()-5)))),,QUERY('NPC List'!$1:$1000, ""Select C,D WHERE A = ""&amp;INDIRECT(ADDRESS(6,(ROW()-5)))&amp;"""",0))"),"")</f>
        <v/>
      </c>
      <c r="D391" s="140"/>
    </row>
    <row r="392" spans="1:4" ht="13.2">
      <c r="A392" s="193"/>
      <c r="B392" s="173"/>
      <c r="C392" s="139" t="str">
        <f ca="1">IFERROR(__xludf.DUMMYFUNCTION("if(ISBLANK(INDIRECT(ADDRESS(6,(ROW()-5)))),,QUERY('NPC List'!$1:$1000, ""Select C,D WHERE A = ""&amp;INDIRECT(ADDRESS(6,(ROW()-5)))&amp;"""",0))"),"")</f>
        <v/>
      </c>
      <c r="D392" s="140"/>
    </row>
    <row r="393" spans="1:4" ht="13.2">
      <c r="A393" s="193"/>
      <c r="B393" s="173"/>
      <c r="C393" s="139" t="str">
        <f ca="1">IFERROR(__xludf.DUMMYFUNCTION("if(ISBLANK(INDIRECT(ADDRESS(6,(ROW()-5)))),,QUERY('NPC List'!$1:$1000, ""Select C,D WHERE A = ""&amp;INDIRECT(ADDRESS(6,(ROW()-5)))&amp;"""",0))"),"")</f>
        <v/>
      </c>
      <c r="D393" s="140"/>
    </row>
    <row r="394" spans="1:4" ht="13.2">
      <c r="A394" s="193"/>
      <c r="B394" s="173"/>
      <c r="C394" s="139" t="str">
        <f ca="1">IFERROR(__xludf.DUMMYFUNCTION("if(ISBLANK(INDIRECT(ADDRESS(6,(ROW()-5)))),,QUERY('NPC List'!$1:$1000, ""Select C,D WHERE A = ""&amp;INDIRECT(ADDRESS(6,(ROW()-5)))&amp;"""",0))"),"")</f>
        <v/>
      </c>
      <c r="D394" s="140"/>
    </row>
    <row r="395" spans="1:4" ht="13.2">
      <c r="A395" s="193"/>
      <c r="B395" s="173"/>
      <c r="C395" s="139" t="str">
        <f ca="1">IFERROR(__xludf.DUMMYFUNCTION("if(ISBLANK(INDIRECT(ADDRESS(6,(ROW()-5)))),,QUERY('NPC List'!$1:$1000, ""Select C,D WHERE A = ""&amp;INDIRECT(ADDRESS(6,(ROW()-5)))&amp;"""",0))"),"")</f>
        <v/>
      </c>
      <c r="D395" s="140"/>
    </row>
    <row r="396" spans="1:4" ht="13.2">
      <c r="A396" s="193"/>
      <c r="B396" s="173"/>
      <c r="C396" s="139" t="str">
        <f ca="1">IFERROR(__xludf.DUMMYFUNCTION("if(ISBLANK(INDIRECT(ADDRESS(6,(ROW()-5)))),,QUERY('NPC List'!$1:$1000, ""Select C,D WHERE A = ""&amp;INDIRECT(ADDRESS(6,(ROW()-5)))&amp;"""",0))"),"")</f>
        <v/>
      </c>
      <c r="D396" s="140"/>
    </row>
    <row r="397" spans="1:4" ht="13.2">
      <c r="A397" s="193"/>
      <c r="B397" s="173"/>
      <c r="C397" s="139" t="str">
        <f ca="1">IFERROR(__xludf.DUMMYFUNCTION("if(ISBLANK(INDIRECT(ADDRESS(6,(ROW()-5)))),,QUERY('NPC List'!$1:$1000, ""Select C,D WHERE A = ""&amp;INDIRECT(ADDRESS(6,(ROW()-5)))&amp;"""",0))"),"")</f>
        <v/>
      </c>
      <c r="D397" s="140"/>
    </row>
    <row r="398" spans="1:4" ht="13.2">
      <c r="A398" s="193"/>
      <c r="B398" s="173"/>
      <c r="C398" s="139" t="str">
        <f ca="1">IFERROR(__xludf.DUMMYFUNCTION("if(ISBLANK(INDIRECT(ADDRESS(6,(ROW()-5)))),,QUERY('NPC List'!$1:$1000, ""Select C,D WHERE A = ""&amp;INDIRECT(ADDRESS(6,(ROW()-5)))&amp;"""",0))"),"")</f>
        <v/>
      </c>
      <c r="D398" s="140"/>
    </row>
    <row r="399" spans="1:4" ht="13.2">
      <c r="A399" s="193"/>
      <c r="B399" s="173"/>
      <c r="C399" s="139" t="str">
        <f ca="1">IFERROR(__xludf.DUMMYFUNCTION("if(ISBLANK(INDIRECT(ADDRESS(6,(ROW()-5)))),,QUERY('NPC List'!$1:$1000, ""Select C,D WHERE A = ""&amp;INDIRECT(ADDRESS(6,(ROW()-5)))&amp;"""",0))"),"")</f>
        <v/>
      </c>
      <c r="D399" s="140"/>
    </row>
    <row r="400" spans="1:4" ht="13.2">
      <c r="A400" s="193"/>
      <c r="B400" s="173"/>
      <c r="C400" s="139" t="str">
        <f ca="1">IFERROR(__xludf.DUMMYFUNCTION("if(ISBLANK(INDIRECT(ADDRESS(6,(ROW()-5)))),,QUERY('NPC List'!$1:$1000, ""Select C,D WHERE A = ""&amp;INDIRECT(ADDRESS(6,(ROW()-5)))&amp;"""",0))"),"")</f>
        <v/>
      </c>
      <c r="D400" s="140"/>
    </row>
    <row r="401" spans="1:4" ht="13.2">
      <c r="A401" s="193"/>
      <c r="B401" s="173"/>
      <c r="C401" s="139" t="str">
        <f ca="1">IFERROR(__xludf.DUMMYFUNCTION("if(ISBLANK(INDIRECT(ADDRESS(6,(ROW()-5)))),,QUERY('NPC List'!$1:$1000, ""Select C,D WHERE A = ""&amp;INDIRECT(ADDRESS(6,(ROW()-5)))&amp;"""",0))"),"")</f>
        <v/>
      </c>
      <c r="D401" s="140"/>
    </row>
    <row r="402" spans="1:4" ht="13.2">
      <c r="A402" s="193"/>
      <c r="B402" s="173"/>
      <c r="C402" s="139" t="str">
        <f ca="1">IFERROR(__xludf.DUMMYFUNCTION("if(ISBLANK(INDIRECT(ADDRESS(6,(ROW()-5)))),,QUERY('NPC List'!$1:$1000, ""Select C,D WHERE A = ""&amp;INDIRECT(ADDRESS(6,(ROW()-5)))&amp;"""",0))"),"")</f>
        <v/>
      </c>
      <c r="D402" s="140"/>
    </row>
    <row r="403" spans="1:4" ht="13.2">
      <c r="A403" s="193"/>
      <c r="B403" s="173"/>
      <c r="C403" s="139" t="str">
        <f ca="1">IFERROR(__xludf.DUMMYFUNCTION("if(ISBLANK(INDIRECT(ADDRESS(6,(ROW()-5)))),,QUERY('NPC List'!$1:$1000, ""Select C,D WHERE A = ""&amp;INDIRECT(ADDRESS(6,(ROW()-5)))&amp;"""",0))"),"")</f>
        <v/>
      </c>
      <c r="D403" s="140"/>
    </row>
    <row r="404" spans="1:4" ht="13.2">
      <c r="A404" s="193"/>
      <c r="B404" s="173"/>
      <c r="C404" s="139" t="str">
        <f ca="1">IFERROR(__xludf.DUMMYFUNCTION("if(ISBLANK(INDIRECT(ADDRESS(6,(ROW()-5)))),,QUERY('NPC List'!$1:$1000, ""Select C,D WHERE A = ""&amp;INDIRECT(ADDRESS(6,(ROW()-5)))&amp;"""",0))"),"")</f>
        <v/>
      </c>
      <c r="D404" s="140"/>
    </row>
    <row r="405" spans="1:4" ht="13.2">
      <c r="A405" s="193"/>
      <c r="B405" s="173"/>
      <c r="C405" s="139" t="str">
        <f ca="1">IFERROR(__xludf.DUMMYFUNCTION("if(ISBLANK(INDIRECT(ADDRESS(6,(ROW()-5)))),,QUERY('NPC List'!$1:$1000, ""Select C,D WHERE A = ""&amp;INDIRECT(ADDRESS(6,(ROW()-5)))&amp;"""",0))"),"")</f>
        <v/>
      </c>
      <c r="D405" s="140"/>
    </row>
    <row r="406" spans="1:4" ht="13.2">
      <c r="A406" s="193"/>
      <c r="B406" s="173"/>
      <c r="C406" s="139" t="str">
        <f ca="1">IFERROR(__xludf.DUMMYFUNCTION("if(ISBLANK(INDIRECT(ADDRESS(6,(ROW()-5)))),,QUERY('NPC List'!$1:$1000, ""Select C,D WHERE A = ""&amp;INDIRECT(ADDRESS(6,(ROW()-5)))&amp;"""",0))"),"")</f>
        <v/>
      </c>
      <c r="D406" s="140"/>
    </row>
    <row r="407" spans="1:4" ht="13.2">
      <c r="A407" s="193"/>
      <c r="B407" s="173"/>
      <c r="C407" s="139" t="str">
        <f ca="1">IFERROR(__xludf.DUMMYFUNCTION("if(ISBLANK(INDIRECT(ADDRESS(6,(ROW()-5)))),,QUERY('NPC List'!$1:$1000, ""Select C,D WHERE A = ""&amp;INDIRECT(ADDRESS(6,(ROW()-5)))&amp;"""",0))"),"")</f>
        <v/>
      </c>
      <c r="D407" s="140"/>
    </row>
    <row r="408" spans="1:4" ht="13.2">
      <c r="A408" s="193"/>
      <c r="B408" s="173"/>
      <c r="C408" s="139" t="str">
        <f ca="1">IFERROR(__xludf.DUMMYFUNCTION("if(ISBLANK(INDIRECT(ADDRESS(6,(ROW()-5)))),,QUERY('NPC List'!$1:$1000, ""Select C,D WHERE A = ""&amp;INDIRECT(ADDRESS(6,(ROW()-5)))&amp;"""",0))"),"")</f>
        <v/>
      </c>
      <c r="D408" s="140"/>
    </row>
    <row r="409" spans="1:4" ht="13.2">
      <c r="A409" s="193"/>
      <c r="B409" s="173"/>
      <c r="C409" s="139" t="str">
        <f ca="1">IFERROR(__xludf.DUMMYFUNCTION("if(ISBLANK(INDIRECT(ADDRESS(6,(ROW()-5)))),,QUERY('NPC List'!$1:$1000, ""Select C,D WHERE A = ""&amp;INDIRECT(ADDRESS(6,(ROW()-5)))&amp;"""",0))"),"")</f>
        <v/>
      </c>
      <c r="D409" s="140"/>
    </row>
    <row r="410" spans="1:4" ht="13.2">
      <c r="A410" s="193"/>
      <c r="B410" s="173"/>
      <c r="C410" s="139" t="str">
        <f ca="1">IFERROR(__xludf.DUMMYFUNCTION("if(ISBLANK(INDIRECT(ADDRESS(6,(ROW()-5)))),,QUERY('NPC List'!$1:$1000, ""Select C,D WHERE A = ""&amp;INDIRECT(ADDRESS(6,(ROW()-5)))&amp;"""",0))"),"")</f>
        <v/>
      </c>
      <c r="D410" s="140"/>
    </row>
    <row r="411" spans="1:4" ht="13.2">
      <c r="A411" s="193"/>
      <c r="B411" s="173"/>
      <c r="C411" s="139" t="str">
        <f ca="1">IFERROR(__xludf.DUMMYFUNCTION("if(ISBLANK(INDIRECT(ADDRESS(6,(ROW()-5)))),,QUERY('NPC List'!$1:$1000, ""Select C,D WHERE A = ""&amp;INDIRECT(ADDRESS(6,(ROW()-5)))&amp;"""",0))"),"")</f>
        <v/>
      </c>
      <c r="D411" s="140"/>
    </row>
    <row r="412" spans="1:4" ht="13.2">
      <c r="A412" s="193"/>
      <c r="B412" s="173"/>
      <c r="C412" s="139" t="str">
        <f ca="1">IFERROR(__xludf.DUMMYFUNCTION("if(ISBLANK(INDIRECT(ADDRESS(6,(ROW()-5)))),,QUERY('NPC List'!$1:$1000, ""Select C,D WHERE A = ""&amp;INDIRECT(ADDRESS(6,(ROW()-5)))&amp;"""",0))"),"")</f>
        <v/>
      </c>
      <c r="D412" s="140"/>
    </row>
    <row r="413" spans="1:4" ht="13.2">
      <c r="A413" s="193"/>
      <c r="B413" s="173"/>
      <c r="C413" s="139" t="str">
        <f ca="1">IFERROR(__xludf.DUMMYFUNCTION("if(ISBLANK(INDIRECT(ADDRESS(6,(ROW()-5)))),,QUERY('NPC List'!$1:$1000, ""Select C,D WHERE A = ""&amp;INDIRECT(ADDRESS(6,(ROW()-5)))&amp;"""",0))"),"")</f>
        <v/>
      </c>
      <c r="D413" s="140"/>
    </row>
    <row r="414" spans="1:4" ht="13.2">
      <c r="A414" s="193"/>
      <c r="B414" s="173"/>
      <c r="C414" s="139" t="str">
        <f ca="1">IFERROR(__xludf.DUMMYFUNCTION("if(ISBLANK(INDIRECT(ADDRESS(6,(ROW()-5)))),,QUERY('NPC List'!$1:$1000, ""Select C,D WHERE A = ""&amp;INDIRECT(ADDRESS(6,(ROW()-5)))&amp;"""",0))"),"")</f>
        <v/>
      </c>
      <c r="D414" s="140"/>
    </row>
    <row r="415" spans="1:4" ht="13.2">
      <c r="A415" s="193"/>
      <c r="B415" s="173"/>
      <c r="C415" s="139" t="str">
        <f ca="1">IFERROR(__xludf.DUMMYFUNCTION("if(ISBLANK(INDIRECT(ADDRESS(6,(ROW()-5)))),,QUERY('NPC List'!$1:$1000, ""Select C,D WHERE A = ""&amp;INDIRECT(ADDRESS(6,(ROW()-5)))&amp;"""",0))"),"")</f>
        <v/>
      </c>
      <c r="D415" s="140"/>
    </row>
    <row r="416" spans="1:4" ht="13.2">
      <c r="A416" s="193"/>
      <c r="B416" s="173"/>
      <c r="C416" s="139" t="str">
        <f ca="1">IFERROR(__xludf.DUMMYFUNCTION("if(ISBLANK(INDIRECT(ADDRESS(6,(ROW()-5)))),,QUERY('NPC List'!$1:$1000, ""Select C,D WHERE A = ""&amp;INDIRECT(ADDRESS(6,(ROW()-5)))&amp;"""",0))"),"")</f>
        <v/>
      </c>
      <c r="D416" s="140"/>
    </row>
    <row r="417" spans="1:4" ht="13.2">
      <c r="A417" s="193"/>
      <c r="B417" s="173"/>
      <c r="C417" s="139" t="str">
        <f ca="1">IFERROR(__xludf.DUMMYFUNCTION("if(ISBLANK(INDIRECT(ADDRESS(6,(ROW()-5)))),,QUERY('NPC List'!$1:$1000, ""Select C,D WHERE A = ""&amp;INDIRECT(ADDRESS(6,(ROW()-5)))&amp;"""",0))"),"")</f>
        <v/>
      </c>
      <c r="D417" s="140"/>
    </row>
    <row r="418" spans="1:4" ht="13.2">
      <c r="A418" s="193"/>
      <c r="B418" s="173"/>
      <c r="C418" s="139" t="str">
        <f ca="1">IFERROR(__xludf.DUMMYFUNCTION("if(ISBLANK(INDIRECT(ADDRESS(6,(ROW()-5)))),,QUERY('NPC List'!$1:$1000, ""Select C,D WHERE A = ""&amp;INDIRECT(ADDRESS(6,(ROW()-5)))&amp;"""",0))"),"")</f>
        <v/>
      </c>
      <c r="D418" s="140"/>
    </row>
    <row r="419" spans="1:4" ht="13.2">
      <c r="A419" s="193"/>
      <c r="B419" s="173"/>
      <c r="C419" s="139" t="str">
        <f ca="1">IFERROR(__xludf.DUMMYFUNCTION("if(ISBLANK(INDIRECT(ADDRESS(6,(ROW()-5)))),,QUERY('NPC List'!$1:$1000, ""Select C,D WHERE A = ""&amp;INDIRECT(ADDRESS(6,(ROW()-5)))&amp;"""",0))"),"")</f>
        <v/>
      </c>
      <c r="D419" s="140"/>
    </row>
    <row r="420" spans="1:4" ht="13.2">
      <c r="A420" s="193"/>
      <c r="B420" s="173"/>
      <c r="C420" s="139" t="str">
        <f ca="1">IFERROR(__xludf.DUMMYFUNCTION("if(ISBLANK(INDIRECT(ADDRESS(6,(ROW()-5)))),,QUERY('NPC List'!$1:$1000, ""Select C,D WHERE A = ""&amp;INDIRECT(ADDRESS(6,(ROW()-5)))&amp;"""",0))"),"")</f>
        <v/>
      </c>
      <c r="D420" s="140"/>
    </row>
    <row r="421" spans="1:4" ht="13.2">
      <c r="A421" s="193"/>
      <c r="B421" s="173"/>
      <c r="C421" s="139" t="str">
        <f ca="1">IFERROR(__xludf.DUMMYFUNCTION("if(ISBLANK(INDIRECT(ADDRESS(6,(ROW()-5)))),,QUERY('NPC List'!$1:$1000, ""Select C,D WHERE A = ""&amp;INDIRECT(ADDRESS(6,(ROW()-5)))&amp;"""",0))"),"")</f>
        <v/>
      </c>
      <c r="D421" s="140"/>
    </row>
    <row r="422" spans="1:4" ht="13.2">
      <c r="A422" s="193"/>
      <c r="B422" s="173"/>
      <c r="C422" s="139" t="str">
        <f ca="1">IFERROR(__xludf.DUMMYFUNCTION("if(ISBLANK(INDIRECT(ADDRESS(6,(ROW()-5)))),,QUERY('NPC List'!$1:$1000, ""Select C,D WHERE A = ""&amp;INDIRECT(ADDRESS(6,(ROW()-5)))&amp;"""",0))"),"")</f>
        <v/>
      </c>
      <c r="D422" s="140"/>
    </row>
    <row r="423" spans="1:4" ht="13.2">
      <c r="A423" s="193"/>
      <c r="B423" s="173"/>
      <c r="C423" s="139" t="str">
        <f ca="1">IFERROR(__xludf.DUMMYFUNCTION("if(ISBLANK(INDIRECT(ADDRESS(6,(ROW()-5)))),,QUERY('NPC List'!$1:$1000, ""Select C,D WHERE A = ""&amp;INDIRECT(ADDRESS(6,(ROW()-5)))&amp;"""",0))"),"")</f>
        <v/>
      </c>
      <c r="D423" s="140"/>
    </row>
    <row r="424" spans="1:4" ht="13.2">
      <c r="A424" s="193"/>
      <c r="B424" s="173"/>
      <c r="C424" s="139" t="str">
        <f ca="1">IFERROR(__xludf.DUMMYFUNCTION("if(ISBLANK(INDIRECT(ADDRESS(6,(ROW()-5)))),,QUERY('NPC List'!$1:$1000, ""Select C,D WHERE A = ""&amp;INDIRECT(ADDRESS(6,(ROW()-5)))&amp;"""",0))"),"")</f>
        <v/>
      </c>
      <c r="D424" s="140"/>
    </row>
    <row r="425" spans="1:4" ht="13.2">
      <c r="A425" s="193"/>
      <c r="B425" s="173"/>
      <c r="C425" s="139" t="str">
        <f ca="1">IFERROR(__xludf.DUMMYFUNCTION("if(ISBLANK(INDIRECT(ADDRESS(6,(ROW()-5)))),,QUERY('NPC List'!$1:$1000, ""Select C,D WHERE A = ""&amp;INDIRECT(ADDRESS(6,(ROW()-5)))&amp;"""",0))"),"")</f>
        <v/>
      </c>
      <c r="D425" s="140"/>
    </row>
    <row r="426" spans="1:4" ht="13.2">
      <c r="A426" s="193"/>
      <c r="B426" s="173"/>
      <c r="C426" s="139" t="str">
        <f ca="1">IFERROR(__xludf.DUMMYFUNCTION("if(ISBLANK(INDIRECT(ADDRESS(6,(ROW()-5)))),,QUERY('NPC List'!$1:$1000, ""Select C,D WHERE A = ""&amp;INDIRECT(ADDRESS(6,(ROW()-5)))&amp;"""",0))"),"")</f>
        <v/>
      </c>
      <c r="D426" s="140"/>
    </row>
    <row r="427" spans="1:4" ht="13.2">
      <c r="A427" s="193"/>
      <c r="B427" s="173"/>
      <c r="C427" s="139" t="str">
        <f ca="1">IFERROR(__xludf.DUMMYFUNCTION("if(ISBLANK(INDIRECT(ADDRESS(6,(ROW()-5)))),,QUERY('NPC List'!$1:$1000, ""Select C,D WHERE A = ""&amp;INDIRECT(ADDRESS(6,(ROW()-5)))&amp;"""",0))"),"")</f>
        <v/>
      </c>
      <c r="D427" s="140"/>
    </row>
    <row r="428" spans="1:4" ht="13.2">
      <c r="A428" s="193"/>
      <c r="B428" s="173"/>
      <c r="C428" s="139" t="str">
        <f ca="1">IFERROR(__xludf.DUMMYFUNCTION("if(ISBLANK(INDIRECT(ADDRESS(6,(ROW()-5)))),,QUERY('NPC List'!$1:$1000, ""Select C,D WHERE A = ""&amp;INDIRECT(ADDRESS(6,(ROW()-5)))&amp;"""",0))"),"")</f>
        <v/>
      </c>
      <c r="D428" s="140"/>
    </row>
    <row r="429" spans="1:4" ht="13.2">
      <c r="A429" s="193"/>
      <c r="B429" s="173"/>
      <c r="C429" s="139" t="str">
        <f ca="1">IFERROR(__xludf.DUMMYFUNCTION("if(ISBLANK(INDIRECT(ADDRESS(6,(ROW()-5)))),,QUERY('NPC List'!$1:$1000, ""Select C,D WHERE A = ""&amp;INDIRECT(ADDRESS(6,(ROW()-5)))&amp;"""",0))"),"")</f>
        <v/>
      </c>
      <c r="D429" s="140"/>
    </row>
    <row r="430" spans="1:4" ht="13.2">
      <c r="A430" s="193"/>
      <c r="B430" s="173"/>
      <c r="C430" s="139" t="str">
        <f ca="1">IFERROR(__xludf.DUMMYFUNCTION("if(ISBLANK(INDIRECT(ADDRESS(6,(ROW()-5)))),,QUERY('NPC List'!$1:$1000, ""Select C,D WHERE A = ""&amp;INDIRECT(ADDRESS(6,(ROW()-5)))&amp;"""",0))"),"")</f>
        <v/>
      </c>
      <c r="D430" s="140"/>
    </row>
    <row r="431" spans="1:4" ht="13.2">
      <c r="A431" s="193"/>
      <c r="B431" s="173"/>
      <c r="C431" s="139" t="str">
        <f ca="1">IFERROR(__xludf.DUMMYFUNCTION("if(ISBLANK(INDIRECT(ADDRESS(6,(ROW()-5)))),,QUERY('NPC List'!$1:$1000, ""Select C,D WHERE A = ""&amp;INDIRECT(ADDRESS(6,(ROW()-5)))&amp;"""",0))"),"")</f>
        <v/>
      </c>
      <c r="D431" s="140"/>
    </row>
    <row r="432" spans="1:4" ht="13.2">
      <c r="A432" s="193"/>
      <c r="B432" s="173"/>
      <c r="C432" s="139" t="str">
        <f ca="1">IFERROR(__xludf.DUMMYFUNCTION("if(ISBLANK(INDIRECT(ADDRESS(6,(ROW()-5)))),,QUERY('NPC List'!$1:$1000, ""Select C,D WHERE A = ""&amp;INDIRECT(ADDRESS(6,(ROW()-5)))&amp;"""",0))"),"")</f>
        <v/>
      </c>
      <c r="D432" s="140"/>
    </row>
    <row r="433" spans="1:4" ht="13.2">
      <c r="A433" s="193"/>
      <c r="B433" s="173"/>
      <c r="C433" s="139" t="str">
        <f ca="1">IFERROR(__xludf.DUMMYFUNCTION("if(ISBLANK(INDIRECT(ADDRESS(6,(ROW()-5)))),,QUERY('NPC List'!$1:$1000, ""Select C,D WHERE A = ""&amp;INDIRECT(ADDRESS(6,(ROW()-5)))&amp;"""",0))"),"")</f>
        <v/>
      </c>
      <c r="D433" s="140"/>
    </row>
    <row r="434" spans="1:4" ht="13.2">
      <c r="A434" s="193"/>
      <c r="B434" s="173"/>
      <c r="C434" s="139" t="str">
        <f ca="1">IFERROR(__xludf.DUMMYFUNCTION("if(ISBLANK(INDIRECT(ADDRESS(6,(ROW()-5)))),,QUERY('NPC List'!$1:$1000, ""Select C,D WHERE A = ""&amp;INDIRECT(ADDRESS(6,(ROW()-5)))&amp;"""",0))"),"")</f>
        <v/>
      </c>
      <c r="D434" s="140"/>
    </row>
    <row r="435" spans="1:4" ht="13.2">
      <c r="A435" s="193"/>
      <c r="B435" s="173"/>
      <c r="C435" s="139" t="str">
        <f ca="1">IFERROR(__xludf.DUMMYFUNCTION("if(ISBLANK(INDIRECT(ADDRESS(6,(ROW()-5)))),,QUERY('NPC List'!$1:$1000, ""Select C,D WHERE A = ""&amp;INDIRECT(ADDRESS(6,(ROW()-5)))&amp;"""",0))"),"")</f>
        <v/>
      </c>
      <c r="D435" s="140"/>
    </row>
    <row r="436" spans="1:4" ht="13.2">
      <c r="A436" s="193"/>
      <c r="B436" s="173"/>
      <c r="C436" s="139" t="str">
        <f ca="1">IFERROR(__xludf.DUMMYFUNCTION("if(ISBLANK(INDIRECT(ADDRESS(6,(ROW()-5)))),,QUERY('NPC List'!$1:$1000, ""Select C,D WHERE A = ""&amp;INDIRECT(ADDRESS(6,(ROW()-5)))&amp;"""",0))"),"")</f>
        <v/>
      </c>
      <c r="D436" s="140"/>
    </row>
    <row r="437" spans="1:4" ht="13.2">
      <c r="A437" s="193"/>
      <c r="B437" s="173"/>
      <c r="C437" s="139" t="str">
        <f ca="1">IFERROR(__xludf.DUMMYFUNCTION("if(ISBLANK(INDIRECT(ADDRESS(6,(ROW()-5)))),,QUERY('NPC List'!$1:$1000, ""Select C,D WHERE A = ""&amp;INDIRECT(ADDRESS(6,(ROW()-5)))&amp;"""",0))"),"")</f>
        <v/>
      </c>
      <c r="D437" s="140"/>
    </row>
    <row r="438" spans="1:4" ht="13.2">
      <c r="A438" s="193"/>
      <c r="B438" s="173"/>
      <c r="C438" s="139" t="str">
        <f ca="1">IFERROR(__xludf.DUMMYFUNCTION("if(ISBLANK(INDIRECT(ADDRESS(6,(ROW()-5)))),,QUERY('NPC List'!$1:$1000, ""Select C,D WHERE A = ""&amp;INDIRECT(ADDRESS(6,(ROW()-5)))&amp;"""",0))"),"")</f>
        <v/>
      </c>
      <c r="D438" s="140"/>
    </row>
    <row r="439" spans="1:4" ht="13.2">
      <c r="A439" s="193"/>
      <c r="B439" s="173"/>
      <c r="C439" s="139" t="str">
        <f ca="1">IFERROR(__xludf.DUMMYFUNCTION("if(ISBLANK(INDIRECT(ADDRESS(6,(ROW()-5)))),,QUERY('NPC List'!$1:$1000, ""Select C,D WHERE A = ""&amp;INDIRECT(ADDRESS(6,(ROW()-5)))&amp;"""",0))"),"")</f>
        <v/>
      </c>
      <c r="D439" s="140"/>
    </row>
    <row r="440" spans="1:4" ht="13.2">
      <c r="A440" s="193"/>
      <c r="B440" s="173"/>
      <c r="C440" s="139" t="str">
        <f ca="1">IFERROR(__xludf.DUMMYFUNCTION("if(ISBLANK(INDIRECT(ADDRESS(6,(ROW()-5)))),,QUERY('NPC List'!$1:$1000, ""Select C,D WHERE A = ""&amp;INDIRECT(ADDRESS(6,(ROW()-5)))&amp;"""",0))"),"")</f>
        <v/>
      </c>
      <c r="D440" s="140"/>
    </row>
    <row r="441" spans="1:4" ht="13.2">
      <c r="A441" s="193"/>
      <c r="B441" s="173"/>
      <c r="C441" s="139" t="str">
        <f ca="1">IFERROR(__xludf.DUMMYFUNCTION("if(ISBLANK(INDIRECT(ADDRESS(6,(ROW()-5)))),,QUERY('NPC List'!$1:$1000, ""Select C,D WHERE A = ""&amp;INDIRECT(ADDRESS(6,(ROW()-5)))&amp;"""",0))"),"")</f>
        <v/>
      </c>
      <c r="D441" s="140"/>
    </row>
    <row r="442" spans="1:4" ht="13.2">
      <c r="A442" s="193"/>
      <c r="B442" s="173"/>
      <c r="C442" s="139" t="str">
        <f ca="1">IFERROR(__xludf.DUMMYFUNCTION("if(ISBLANK(INDIRECT(ADDRESS(6,(ROW()-5)))),,QUERY('NPC List'!$1:$1000, ""Select C,D WHERE A = ""&amp;INDIRECT(ADDRESS(6,(ROW()-5)))&amp;"""",0))"),"")</f>
        <v/>
      </c>
      <c r="D442" s="140"/>
    </row>
    <row r="443" spans="1:4" ht="13.2">
      <c r="A443" s="193"/>
      <c r="B443" s="173"/>
      <c r="C443" s="139" t="str">
        <f ca="1">IFERROR(__xludf.DUMMYFUNCTION("if(ISBLANK(INDIRECT(ADDRESS(6,(ROW()-5)))),,QUERY('NPC List'!$1:$1000, ""Select C,D WHERE A = ""&amp;INDIRECT(ADDRESS(6,(ROW()-5)))&amp;"""",0))"),"")</f>
        <v/>
      </c>
      <c r="D443" s="140"/>
    </row>
    <row r="444" spans="1:4" ht="13.2">
      <c r="A444" s="193"/>
      <c r="B444" s="173"/>
      <c r="C444" s="139" t="str">
        <f ca="1">IFERROR(__xludf.DUMMYFUNCTION("if(ISBLANK(INDIRECT(ADDRESS(6,(ROW()-5)))),,QUERY('NPC List'!$1:$1000, ""Select C,D WHERE A = ""&amp;INDIRECT(ADDRESS(6,(ROW()-5)))&amp;"""",0))"),"")</f>
        <v/>
      </c>
      <c r="D444" s="140"/>
    </row>
    <row r="445" spans="1:4" ht="13.2">
      <c r="A445" s="193"/>
      <c r="B445" s="173"/>
      <c r="C445" s="139" t="str">
        <f ca="1">IFERROR(__xludf.DUMMYFUNCTION("if(ISBLANK(INDIRECT(ADDRESS(6,(ROW()-5)))),,QUERY('NPC List'!$1:$1000, ""Select C,D WHERE A = ""&amp;INDIRECT(ADDRESS(6,(ROW()-5)))&amp;"""",0))"),"")</f>
        <v/>
      </c>
      <c r="D445" s="140"/>
    </row>
    <row r="446" spans="1:4" ht="13.2">
      <c r="A446" s="193"/>
      <c r="B446" s="173"/>
      <c r="C446" s="139" t="str">
        <f ca="1">IFERROR(__xludf.DUMMYFUNCTION("if(ISBLANK(INDIRECT(ADDRESS(6,(ROW()-5)))),,QUERY('NPC List'!$1:$1000, ""Select C,D WHERE A = ""&amp;INDIRECT(ADDRESS(6,(ROW()-5)))&amp;"""",0))"),"")</f>
        <v/>
      </c>
      <c r="D446" s="140"/>
    </row>
    <row r="447" spans="1:4" ht="13.2">
      <c r="A447" s="193"/>
      <c r="B447" s="173"/>
      <c r="C447" s="139" t="str">
        <f ca="1">IFERROR(__xludf.DUMMYFUNCTION("if(ISBLANK(INDIRECT(ADDRESS(6,(ROW()-5)))),,QUERY('NPC List'!$1:$1000, ""Select C,D WHERE A = ""&amp;INDIRECT(ADDRESS(6,(ROW()-5)))&amp;"""",0))"),"")</f>
        <v/>
      </c>
      <c r="D447" s="140"/>
    </row>
    <row r="448" spans="1:4" ht="13.2">
      <c r="A448" s="193"/>
      <c r="B448" s="173"/>
      <c r="C448" s="139" t="str">
        <f ca="1">IFERROR(__xludf.DUMMYFUNCTION("if(ISBLANK(INDIRECT(ADDRESS(6,(ROW()-5)))),,QUERY('NPC List'!$1:$1000, ""Select C,D WHERE A = ""&amp;INDIRECT(ADDRESS(6,(ROW()-5)))&amp;"""",0))"),"")</f>
        <v/>
      </c>
      <c r="D448" s="140"/>
    </row>
    <row r="449" spans="1:4" ht="13.2">
      <c r="A449" s="193"/>
      <c r="B449" s="173"/>
      <c r="C449" s="139" t="str">
        <f ca="1">IFERROR(__xludf.DUMMYFUNCTION("if(ISBLANK(INDIRECT(ADDRESS(6,(ROW()-5)))),,QUERY('NPC List'!$1:$1000, ""Select C,D WHERE A = ""&amp;INDIRECT(ADDRESS(6,(ROW()-5)))&amp;"""",0))"),"")</f>
        <v/>
      </c>
      <c r="D449" s="140"/>
    </row>
    <row r="450" spans="1:4" ht="13.2">
      <c r="A450" s="193"/>
      <c r="B450" s="173"/>
      <c r="C450" s="139" t="str">
        <f ca="1">IFERROR(__xludf.DUMMYFUNCTION("if(ISBLANK(INDIRECT(ADDRESS(6,(ROW()-5)))),,QUERY('NPC List'!$1:$1000, ""Select C,D WHERE A = ""&amp;INDIRECT(ADDRESS(6,(ROW()-5)))&amp;"""",0))"),"")</f>
        <v/>
      </c>
      <c r="D450" s="140"/>
    </row>
    <row r="451" spans="1:4" ht="13.2">
      <c r="A451" s="193"/>
      <c r="B451" s="173"/>
      <c r="C451" s="139" t="str">
        <f ca="1">IFERROR(__xludf.DUMMYFUNCTION("if(ISBLANK(INDIRECT(ADDRESS(6,(ROW()-5)))),,QUERY('NPC List'!$1:$1000, ""Select C,D WHERE A = ""&amp;INDIRECT(ADDRESS(6,(ROW()-5)))&amp;"""",0))"),"")</f>
        <v/>
      </c>
      <c r="D451" s="140"/>
    </row>
    <row r="452" spans="1:4" ht="13.2">
      <c r="A452" s="193"/>
      <c r="B452" s="173"/>
      <c r="C452" s="139" t="str">
        <f ca="1">IFERROR(__xludf.DUMMYFUNCTION("if(ISBLANK(INDIRECT(ADDRESS(6,(ROW()-5)))),,QUERY('NPC List'!$1:$1000, ""Select C,D WHERE A = ""&amp;INDIRECT(ADDRESS(6,(ROW()-5)))&amp;"""",0))"),"")</f>
        <v/>
      </c>
      <c r="D452" s="140"/>
    </row>
    <row r="453" spans="1:4" ht="13.2">
      <c r="A453" s="193"/>
      <c r="B453" s="173"/>
      <c r="C453" s="139" t="str">
        <f ca="1">IFERROR(__xludf.DUMMYFUNCTION("if(ISBLANK(INDIRECT(ADDRESS(6,(ROW()-5)))),,QUERY('NPC List'!$1:$1000, ""Select C,D WHERE A = ""&amp;INDIRECT(ADDRESS(6,(ROW()-5)))&amp;"""",0))"),"")</f>
        <v/>
      </c>
      <c r="D453" s="140"/>
    </row>
    <row r="454" spans="1:4" ht="13.2">
      <c r="A454" s="193"/>
      <c r="B454" s="173"/>
      <c r="C454" s="139" t="str">
        <f ca="1">IFERROR(__xludf.DUMMYFUNCTION("if(ISBLANK(INDIRECT(ADDRESS(6,(ROW()-5)))),,QUERY('NPC List'!$1:$1000, ""Select C,D WHERE A = ""&amp;INDIRECT(ADDRESS(6,(ROW()-5)))&amp;"""",0))"),"")</f>
        <v/>
      </c>
      <c r="D454" s="140"/>
    </row>
    <row r="455" spans="1:4" ht="13.2">
      <c r="A455" s="193"/>
      <c r="B455" s="173"/>
      <c r="C455" s="139" t="str">
        <f ca="1">IFERROR(__xludf.DUMMYFUNCTION("if(ISBLANK(INDIRECT(ADDRESS(6,(ROW()-5)))),,QUERY('NPC List'!$1:$1000, ""Select C,D WHERE A = ""&amp;INDIRECT(ADDRESS(6,(ROW()-5)))&amp;"""",0))"),"")</f>
        <v/>
      </c>
      <c r="D455" s="140"/>
    </row>
    <row r="456" spans="1:4" ht="13.2">
      <c r="A456" s="193"/>
      <c r="B456" s="173"/>
      <c r="C456" s="139" t="str">
        <f ca="1">IFERROR(__xludf.DUMMYFUNCTION("if(ISBLANK(INDIRECT(ADDRESS(6,(ROW()-5)))),,QUERY('NPC List'!$1:$1000, ""Select C,D WHERE A = ""&amp;INDIRECT(ADDRESS(6,(ROW()-5)))&amp;"""",0))"),"")</f>
        <v/>
      </c>
      <c r="D456" s="140"/>
    </row>
    <row r="457" spans="1:4" ht="13.2">
      <c r="A457" s="193"/>
      <c r="B457" s="173"/>
      <c r="C457" s="139" t="str">
        <f ca="1">IFERROR(__xludf.DUMMYFUNCTION("if(ISBLANK(INDIRECT(ADDRESS(6,(ROW()-5)))),,QUERY('NPC List'!$1:$1000, ""Select C,D WHERE A = ""&amp;INDIRECT(ADDRESS(6,(ROW()-5)))&amp;"""",0))"),"")</f>
        <v/>
      </c>
      <c r="D457" s="140"/>
    </row>
    <row r="458" spans="1:4" ht="13.2">
      <c r="A458" s="193"/>
      <c r="B458" s="173"/>
      <c r="C458" s="139" t="str">
        <f ca="1">IFERROR(__xludf.DUMMYFUNCTION("if(ISBLANK(INDIRECT(ADDRESS(6,(ROW()-5)))),,QUERY('NPC List'!$1:$1000, ""Select C,D WHERE A = ""&amp;INDIRECT(ADDRESS(6,(ROW()-5)))&amp;"""",0))"),"")</f>
        <v/>
      </c>
      <c r="D458" s="140"/>
    </row>
    <row r="459" spans="1:4" ht="13.2">
      <c r="A459" s="193"/>
      <c r="B459" s="173"/>
      <c r="C459" s="139" t="str">
        <f ca="1">IFERROR(__xludf.DUMMYFUNCTION("if(ISBLANK(INDIRECT(ADDRESS(6,(ROW()-5)))),,QUERY('NPC List'!$1:$1000, ""Select C,D WHERE A = ""&amp;INDIRECT(ADDRESS(6,(ROW()-5)))&amp;"""",0))"),"")</f>
        <v/>
      </c>
      <c r="D459" s="140"/>
    </row>
    <row r="460" spans="1:4" ht="13.2">
      <c r="A460" s="193"/>
      <c r="B460" s="173"/>
      <c r="C460" s="139" t="str">
        <f ca="1">IFERROR(__xludf.DUMMYFUNCTION("if(ISBLANK(INDIRECT(ADDRESS(6,(ROW()-5)))),,QUERY('NPC List'!$1:$1000, ""Select C,D WHERE A = ""&amp;INDIRECT(ADDRESS(6,(ROW()-5)))&amp;"""",0))"),"")</f>
        <v/>
      </c>
      <c r="D460" s="140"/>
    </row>
    <row r="461" spans="1:4" ht="13.2">
      <c r="A461" s="193"/>
      <c r="B461" s="173"/>
      <c r="C461" s="139" t="str">
        <f ca="1">IFERROR(__xludf.DUMMYFUNCTION("if(ISBLANK(INDIRECT(ADDRESS(6,(ROW()-5)))),,QUERY('NPC List'!$1:$1000, ""Select C,D WHERE A = ""&amp;INDIRECT(ADDRESS(6,(ROW()-5)))&amp;"""",0))"),"")</f>
        <v/>
      </c>
      <c r="D461" s="140"/>
    </row>
    <row r="462" spans="1:4" ht="13.2">
      <c r="A462" s="193"/>
      <c r="B462" s="173"/>
      <c r="C462" s="139" t="str">
        <f ca="1">IFERROR(__xludf.DUMMYFUNCTION("if(ISBLANK(INDIRECT(ADDRESS(6,(ROW()-5)))),,QUERY('NPC List'!$1:$1000, ""Select C,D WHERE A = ""&amp;INDIRECT(ADDRESS(6,(ROW()-5)))&amp;"""",0))"),"")</f>
        <v/>
      </c>
      <c r="D462" s="140"/>
    </row>
    <row r="463" spans="1:4" ht="13.2">
      <c r="A463" s="193"/>
      <c r="B463" s="173"/>
      <c r="C463" s="139" t="str">
        <f ca="1">IFERROR(__xludf.DUMMYFUNCTION("if(ISBLANK(INDIRECT(ADDRESS(6,(ROW()-5)))),,QUERY('NPC List'!$1:$1000, ""Select C,D WHERE A = ""&amp;INDIRECT(ADDRESS(6,(ROW()-5)))&amp;"""",0))"),"")</f>
        <v/>
      </c>
      <c r="D463" s="140"/>
    </row>
    <row r="464" spans="1:4" ht="13.2">
      <c r="A464" s="193"/>
      <c r="B464" s="173"/>
      <c r="C464" s="139" t="str">
        <f ca="1">IFERROR(__xludf.DUMMYFUNCTION("if(ISBLANK(INDIRECT(ADDRESS(6,(ROW()-5)))),,QUERY('NPC List'!$1:$1000, ""Select C,D WHERE A = ""&amp;INDIRECT(ADDRESS(6,(ROW()-5)))&amp;"""",0))"),"")</f>
        <v/>
      </c>
      <c r="D464" s="140"/>
    </row>
    <row r="465" spans="1:4" ht="13.2">
      <c r="A465" s="193"/>
      <c r="B465" s="173"/>
      <c r="C465" s="139" t="str">
        <f ca="1">IFERROR(__xludf.DUMMYFUNCTION("if(ISBLANK(INDIRECT(ADDRESS(6,(ROW()-5)))),,QUERY('NPC List'!$1:$1000, ""Select C,D WHERE A = ""&amp;INDIRECT(ADDRESS(6,(ROW()-5)))&amp;"""",0))"),"")</f>
        <v/>
      </c>
      <c r="D465" s="140"/>
    </row>
    <row r="466" spans="1:4" ht="13.2">
      <c r="A466" s="193"/>
      <c r="B466" s="173"/>
      <c r="C466" s="139" t="str">
        <f ca="1">IFERROR(__xludf.DUMMYFUNCTION("if(ISBLANK(INDIRECT(ADDRESS(6,(ROW()-5)))),,QUERY('NPC List'!$1:$1000, ""Select C,D WHERE A = ""&amp;INDIRECT(ADDRESS(6,(ROW()-5)))&amp;"""",0))"),"")</f>
        <v/>
      </c>
      <c r="D466" s="140"/>
    </row>
    <row r="467" spans="1:4" ht="13.2">
      <c r="A467" s="193"/>
      <c r="B467" s="173"/>
      <c r="C467" s="139" t="str">
        <f ca="1">IFERROR(__xludf.DUMMYFUNCTION("if(ISBLANK(INDIRECT(ADDRESS(6,(ROW()-5)))),,QUERY('NPC List'!$1:$1000, ""Select C,D WHERE A = ""&amp;INDIRECT(ADDRESS(6,(ROW()-5)))&amp;"""",0))"),"")</f>
        <v/>
      </c>
      <c r="D467" s="140"/>
    </row>
    <row r="468" spans="1:4" ht="13.2">
      <c r="A468" s="193"/>
      <c r="B468" s="173"/>
      <c r="C468" s="139" t="str">
        <f ca="1">IFERROR(__xludf.DUMMYFUNCTION("if(ISBLANK(INDIRECT(ADDRESS(6,(ROW()-5)))),,QUERY('NPC List'!$1:$1000, ""Select C,D WHERE A = ""&amp;INDIRECT(ADDRESS(6,(ROW()-5)))&amp;"""",0))"),"")</f>
        <v/>
      </c>
      <c r="D468" s="140"/>
    </row>
    <row r="469" spans="1:4" ht="13.2">
      <c r="A469" s="193"/>
      <c r="B469" s="173"/>
      <c r="C469" s="139" t="str">
        <f ca="1">IFERROR(__xludf.DUMMYFUNCTION("if(ISBLANK(INDIRECT(ADDRESS(6,(ROW()-5)))),,QUERY('NPC List'!$1:$1000, ""Select C,D WHERE A = ""&amp;INDIRECT(ADDRESS(6,(ROW()-5)))&amp;"""",0))"),"")</f>
        <v/>
      </c>
      <c r="D469" s="140"/>
    </row>
    <row r="470" spans="1:4" ht="13.2">
      <c r="A470" s="193"/>
      <c r="B470" s="173"/>
      <c r="C470" s="139" t="str">
        <f ca="1">IFERROR(__xludf.DUMMYFUNCTION("if(ISBLANK(INDIRECT(ADDRESS(6,(ROW()-5)))),,QUERY('NPC List'!$1:$1000, ""Select C,D WHERE A = ""&amp;INDIRECT(ADDRESS(6,(ROW()-5)))&amp;"""",0))"),"")</f>
        <v/>
      </c>
      <c r="D470" s="140"/>
    </row>
    <row r="471" spans="1:4" ht="13.2">
      <c r="A471" s="193"/>
      <c r="B471" s="173"/>
      <c r="C471" s="139" t="str">
        <f ca="1">IFERROR(__xludf.DUMMYFUNCTION("if(ISBLANK(INDIRECT(ADDRESS(6,(ROW()-5)))),,QUERY('NPC List'!$1:$1000, ""Select C,D WHERE A = ""&amp;INDIRECT(ADDRESS(6,(ROW()-5)))&amp;"""",0))"),"")</f>
        <v/>
      </c>
      <c r="D471" s="140"/>
    </row>
    <row r="472" spans="1:4" ht="13.2">
      <c r="A472" s="193"/>
      <c r="B472" s="173"/>
      <c r="C472" s="139" t="str">
        <f ca="1">IFERROR(__xludf.DUMMYFUNCTION("if(ISBLANK(INDIRECT(ADDRESS(6,(ROW()-5)))),,QUERY('NPC List'!$1:$1000, ""Select C,D WHERE A = ""&amp;INDIRECT(ADDRESS(6,(ROW()-5)))&amp;"""",0))"),"")</f>
        <v/>
      </c>
      <c r="D472" s="140"/>
    </row>
    <row r="473" spans="1:4" ht="13.2">
      <c r="A473" s="193"/>
      <c r="B473" s="173"/>
      <c r="C473" s="139" t="str">
        <f ca="1">IFERROR(__xludf.DUMMYFUNCTION("if(ISBLANK(INDIRECT(ADDRESS(6,(ROW()-5)))),,QUERY('NPC List'!$1:$1000, ""Select C,D WHERE A = ""&amp;INDIRECT(ADDRESS(6,(ROW()-5)))&amp;"""",0))"),"")</f>
        <v/>
      </c>
      <c r="D473" s="140"/>
    </row>
    <row r="474" spans="1:4" ht="13.2">
      <c r="A474" s="193"/>
      <c r="B474" s="173"/>
      <c r="C474" s="139" t="str">
        <f ca="1">IFERROR(__xludf.DUMMYFUNCTION("if(ISBLANK(INDIRECT(ADDRESS(6,(ROW()-5)))),,QUERY('NPC List'!$1:$1000, ""Select C,D WHERE A = ""&amp;INDIRECT(ADDRESS(6,(ROW()-5)))&amp;"""",0))"),"")</f>
        <v/>
      </c>
      <c r="D474" s="140"/>
    </row>
    <row r="475" spans="1:4" ht="13.2">
      <c r="A475" s="193"/>
      <c r="B475" s="173"/>
      <c r="C475" s="139" t="str">
        <f ca="1">IFERROR(__xludf.DUMMYFUNCTION("if(ISBLANK(INDIRECT(ADDRESS(6,(ROW()-5)))),,QUERY('NPC List'!$1:$1000, ""Select C,D WHERE A = ""&amp;INDIRECT(ADDRESS(6,(ROW()-5)))&amp;"""",0))"),"")</f>
        <v/>
      </c>
      <c r="D475" s="140"/>
    </row>
    <row r="476" spans="1:4" ht="13.2">
      <c r="A476" s="193"/>
      <c r="B476" s="173"/>
      <c r="C476" s="139" t="str">
        <f ca="1">IFERROR(__xludf.DUMMYFUNCTION("if(ISBLANK(INDIRECT(ADDRESS(6,(ROW()-5)))),,QUERY('NPC List'!$1:$1000, ""Select C,D WHERE A = ""&amp;INDIRECT(ADDRESS(6,(ROW()-5)))&amp;"""",0))"),"")</f>
        <v/>
      </c>
      <c r="D476" s="140"/>
    </row>
    <row r="477" spans="1:4" ht="13.2">
      <c r="A477" s="193"/>
      <c r="B477" s="173"/>
      <c r="C477" s="139" t="str">
        <f ca="1">IFERROR(__xludf.DUMMYFUNCTION("if(ISBLANK(INDIRECT(ADDRESS(6,(ROW()-5)))),,QUERY('NPC List'!$1:$1000, ""Select C,D WHERE A = ""&amp;INDIRECT(ADDRESS(6,(ROW()-5)))&amp;"""",0))"),"")</f>
        <v/>
      </c>
      <c r="D477" s="140"/>
    </row>
    <row r="478" spans="1:4" ht="13.2">
      <c r="A478" s="193"/>
      <c r="B478" s="173"/>
      <c r="C478" s="139" t="str">
        <f ca="1">IFERROR(__xludf.DUMMYFUNCTION("if(ISBLANK(INDIRECT(ADDRESS(6,(ROW()-5)))),,QUERY('NPC List'!$1:$1000, ""Select C,D WHERE A = ""&amp;INDIRECT(ADDRESS(6,(ROW()-5)))&amp;"""",0))"),"")</f>
        <v/>
      </c>
      <c r="D478" s="140"/>
    </row>
    <row r="479" spans="1:4" ht="13.2">
      <c r="A479" s="193"/>
      <c r="B479" s="173"/>
      <c r="C479" s="139" t="str">
        <f ca="1">IFERROR(__xludf.DUMMYFUNCTION("if(ISBLANK(INDIRECT(ADDRESS(6,(ROW()-5)))),,QUERY('NPC List'!$1:$1000, ""Select C,D WHERE A = ""&amp;INDIRECT(ADDRESS(6,(ROW()-5)))&amp;"""",0))"),"")</f>
        <v/>
      </c>
      <c r="D479" s="140"/>
    </row>
    <row r="480" spans="1:4" ht="13.2">
      <c r="A480" s="193"/>
      <c r="B480" s="173"/>
      <c r="C480" s="139" t="str">
        <f ca="1">IFERROR(__xludf.DUMMYFUNCTION("if(ISBLANK(INDIRECT(ADDRESS(6,(ROW()-5)))),,QUERY('NPC List'!$1:$1000, ""Select C,D WHERE A = ""&amp;INDIRECT(ADDRESS(6,(ROW()-5)))&amp;"""",0))"),"")</f>
        <v/>
      </c>
      <c r="D480" s="140"/>
    </row>
    <row r="481" spans="1:4" ht="13.2">
      <c r="A481" s="193"/>
      <c r="B481" s="173"/>
      <c r="C481" s="139" t="str">
        <f ca="1">IFERROR(__xludf.DUMMYFUNCTION("if(ISBLANK(INDIRECT(ADDRESS(6,(ROW()-5)))),,QUERY('NPC List'!$1:$1000, ""Select C,D WHERE A = ""&amp;INDIRECT(ADDRESS(6,(ROW()-5)))&amp;"""",0))"),"")</f>
        <v/>
      </c>
      <c r="D481" s="140"/>
    </row>
    <row r="482" spans="1:4" ht="13.2">
      <c r="A482" s="193"/>
      <c r="B482" s="173"/>
      <c r="C482" s="139" t="str">
        <f ca="1">IFERROR(__xludf.DUMMYFUNCTION("if(ISBLANK(INDIRECT(ADDRESS(6,(ROW()-5)))),,QUERY('NPC List'!$1:$1000, ""Select C,D WHERE A = ""&amp;INDIRECT(ADDRESS(6,(ROW()-5)))&amp;"""",0))"),"")</f>
        <v/>
      </c>
      <c r="D482" s="140"/>
    </row>
    <row r="483" spans="1:4" ht="13.2">
      <c r="A483" s="193"/>
      <c r="B483" s="173"/>
      <c r="C483" s="139" t="str">
        <f ca="1">IFERROR(__xludf.DUMMYFUNCTION("if(ISBLANK(INDIRECT(ADDRESS(6,(ROW()-5)))),,QUERY('NPC List'!$1:$1000, ""Select C,D WHERE A = ""&amp;INDIRECT(ADDRESS(6,(ROW()-5)))&amp;"""",0))"),"")</f>
        <v/>
      </c>
      <c r="D483" s="140"/>
    </row>
    <row r="484" spans="1:4" ht="13.2">
      <c r="A484" s="193"/>
      <c r="B484" s="173"/>
      <c r="C484" s="139" t="str">
        <f ca="1">IFERROR(__xludf.DUMMYFUNCTION("if(ISBLANK(INDIRECT(ADDRESS(6,(ROW()-5)))),,QUERY('NPC List'!$1:$1000, ""Select C,D WHERE A = ""&amp;INDIRECT(ADDRESS(6,(ROW()-5)))&amp;"""",0))"),"")</f>
        <v/>
      </c>
      <c r="D484" s="140"/>
    </row>
    <row r="485" spans="1:4" ht="13.2">
      <c r="A485" s="193"/>
      <c r="B485" s="173"/>
      <c r="C485" s="139" t="str">
        <f ca="1">IFERROR(__xludf.DUMMYFUNCTION("if(ISBLANK(INDIRECT(ADDRESS(6,(ROW()-5)))),,QUERY('NPC List'!$1:$1000, ""Select C,D WHERE A = ""&amp;INDIRECT(ADDRESS(6,(ROW()-5)))&amp;"""",0))"),"")</f>
        <v/>
      </c>
      <c r="D485" s="140"/>
    </row>
    <row r="486" spans="1:4" ht="13.2">
      <c r="A486" s="193"/>
      <c r="B486" s="173"/>
      <c r="C486" s="139" t="str">
        <f ca="1">IFERROR(__xludf.DUMMYFUNCTION("if(ISBLANK(INDIRECT(ADDRESS(6,(ROW()-5)))),,QUERY('NPC List'!$1:$1000, ""Select C,D WHERE A = ""&amp;INDIRECT(ADDRESS(6,(ROW()-5)))&amp;"""",0))"),"")</f>
        <v/>
      </c>
      <c r="D486" s="140"/>
    </row>
    <row r="487" spans="1:4" ht="13.2">
      <c r="A487" s="193"/>
      <c r="B487" s="173"/>
      <c r="C487" s="139" t="str">
        <f ca="1">IFERROR(__xludf.DUMMYFUNCTION("if(ISBLANK(INDIRECT(ADDRESS(6,(ROW()-5)))),,QUERY('NPC List'!$1:$1000, ""Select C,D WHERE A = ""&amp;INDIRECT(ADDRESS(6,(ROW()-5)))&amp;"""",0))"),"")</f>
        <v/>
      </c>
      <c r="D487" s="140"/>
    </row>
    <row r="488" spans="1:4" ht="13.2">
      <c r="A488" s="193"/>
      <c r="B488" s="173"/>
      <c r="C488" s="139" t="str">
        <f ca="1">IFERROR(__xludf.DUMMYFUNCTION("if(ISBLANK(INDIRECT(ADDRESS(6,(ROW()-5)))),,QUERY('NPC List'!$1:$1000, ""Select C,D WHERE A = ""&amp;INDIRECT(ADDRESS(6,(ROW()-5)))&amp;"""",0))"),"")</f>
        <v/>
      </c>
      <c r="D488" s="140"/>
    </row>
    <row r="489" spans="1:4" ht="13.2">
      <c r="A489" s="193"/>
      <c r="B489" s="173"/>
      <c r="C489" s="139" t="str">
        <f ca="1">IFERROR(__xludf.DUMMYFUNCTION("if(ISBLANK(INDIRECT(ADDRESS(6,(ROW()-5)))),,QUERY('NPC List'!$1:$1000, ""Select C,D WHERE A = ""&amp;INDIRECT(ADDRESS(6,(ROW()-5)))&amp;"""",0))"),"")</f>
        <v/>
      </c>
      <c r="D489" s="140"/>
    </row>
    <row r="490" spans="1:4" ht="13.2">
      <c r="A490" s="193"/>
      <c r="B490" s="173"/>
      <c r="C490" s="139" t="str">
        <f ca="1">IFERROR(__xludf.DUMMYFUNCTION("if(ISBLANK(INDIRECT(ADDRESS(6,(ROW()-5)))),,QUERY('NPC List'!$1:$1000, ""Select C,D WHERE A = ""&amp;INDIRECT(ADDRESS(6,(ROW()-5)))&amp;"""",0))"),"")</f>
        <v/>
      </c>
      <c r="D490" s="140"/>
    </row>
    <row r="491" spans="1:4" ht="13.2">
      <c r="A491" s="193"/>
      <c r="B491" s="173"/>
      <c r="C491" s="139" t="str">
        <f ca="1">IFERROR(__xludf.DUMMYFUNCTION("if(ISBLANK(INDIRECT(ADDRESS(6,(ROW()-5)))),,QUERY('NPC List'!$1:$1000, ""Select C,D WHERE A = ""&amp;INDIRECT(ADDRESS(6,(ROW()-5)))&amp;"""",0))"),"")</f>
        <v/>
      </c>
      <c r="D491" s="140"/>
    </row>
    <row r="492" spans="1:4" ht="13.2">
      <c r="A492" s="193"/>
      <c r="B492" s="173"/>
      <c r="C492" s="139" t="str">
        <f ca="1">IFERROR(__xludf.DUMMYFUNCTION("if(ISBLANK(INDIRECT(ADDRESS(6,(ROW()-5)))),,QUERY('NPC List'!$1:$1000, ""Select C,D WHERE A = ""&amp;INDIRECT(ADDRESS(6,(ROW()-5)))&amp;"""",0))"),"")</f>
        <v/>
      </c>
      <c r="D492" s="140"/>
    </row>
    <row r="493" spans="1:4" ht="13.2">
      <c r="A493" s="193"/>
      <c r="B493" s="173"/>
      <c r="C493" s="139" t="str">
        <f ca="1">IFERROR(__xludf.DUMMYFUNCTION("if(ISBLANK(INDIRECT(ADDRESS(6,(ROW()-5)))),,QUERY('NPC List'!$1:$1000, ""Select C,D WHERE A = ""&amp;INDIRECT(ADDRESS(6,(ROW()-5)))&amp;"""",0))"),"")</f>
        <v/>
      </c>
      <c r="D493" s="140"/>
    </row>
    <row r="494" spans="1:4" ht="13.2">
      <c r="A494" s="193"/>
      <c r="B494" s="173"/>
      <c r="C494" s="139" t="str">
        <f ca="1">IFERROR(__xludf.DUMMYFUNCTION("if(ISBLANK(INDIRECT(ADDRESS(6,(ROW()-5)))),,QUERY('NPC List'!$1:$1000, ""Select C,D WHERE A = ""&amp;INDIRECT(ADDRESS(6,(ROW()-5)))&amp;"""",0))"),"")</f>
        <v/>
      </c>
      <c r="D494" s="140"/>
    </row>
    <row r="495" spans="1:4" ht="13.2">
      <c r="A495" s="193"/>
      <c r="B495" s="173"/>
      <c r="C495" s="139" t="str">
        <f ca="1">IFERROR(__xludf.DUMMYFUNCTION("if(ISBLANK(INDIRECT(ADDRESS(6,(ROW()-5)))),,QUERY('NPC List'!$1:$1000, ""Select C,D WHERE A = ""&amp;INDIRECT(ADDRESS(6,(ROW()-5)))&amp;"""",0))"),"")</f>
        <v/>
      </c>
      <c r="D495" s="140"/>
    </row>
    <row r="496" spans="1:4" ht="13.2">
      <c r="A496" s="193"/>
      <c r="B496" s="173"/>
      <c r="C496" s="139" t="str">
        <f ca="1">IFERROR(__xludf.DUMMYFUNCTION("if(ISBLANK(INDIRECT(ADDRESS(6,(ROW()-5)))),,QUERY('NPC List'!$1:$1000, ""Select C,D WHERE A = ""&amp;INDIRECT(ADDRESS(6,(ROW()-5)))&amp;"""",0))"),"")</f>
        <v/>
      </c>
      <c r="D496" s="140"/>
    </row>
    <row r="497" spans="1:4" ht="13.2">
      <c r="A497" s="193"/>
      <c r="B497" s="173"/>
      <c r="C497" s="139" t="str">
        <f ca="1">IFERROR(__xludf.DUMMYFUNCTION("if(ISBLANK(INDIRECT(ADDRESS(6,(ROW()-5)))),,QUERY('NPC List'!$1:$1000, ""Select C,D WHERE A = ""&amp;INDIRECT(ADDRESS(6,(ROW()-5)))&amp;"""",0))"),"")</f>
        <v/>
      </c>
      <c r="D497" s="140"/>
    </row>
    <row r="498" spans="1:4" ht="13.2">
      <c r="A498" s="193"/>
      <c r="B498" s="173"/>
      <c r="C498" s="139" t="str">
        <f ca="1">IFERROR(__xludf.DUMMYFUNCTION("if(ISBLANK(INDIRECT(ADDRESS(6,(ROW()-5)))),,QUERY('NPC List'!$1:$1000, ""Select C,D WHERE A = ""&amp;INDIRECT(ADDRESS(6,(ROW()-5)))&amp;"""",0))"),"")</f>
        <v/>
      </c>
      <c r="D498" s="140"/>
    </row>
    <row r="499" spans="1:4" ht="13.2">
      <c r="A499" s="193"/>
      <c r="B499" s="173"/>
      <c r="C499" s="139" t="str">
        <f ca="1">IFERROR(__xludf.DUMMYFUNCTION("if(ISBLANK(INDIRECT(ADDRESS(6,(ROW()-5)))),,QUERY('NPC List'!$1:$1000, ""Select C,D WHERE A = ""&amp;INDIRECT(ADDRESS(6,(ROW()-5)))&amp;"""",0))"),"")</f>
        <v/>
      </c>
      <c r="D499" s="140"/>
    </row>
    <row r="500" spans="1:4" ht="13.2">
      <c r="A500" s="193"/>
      <c r="B500" s="173"/>
      <c r="C500" s="139" t="str">
        <f ca="1">IFERROR(__xludf.DUMMYFUNCTION("if(ISBLANK(INDIRECT(ADDRESS(6,(ROW()-5)))),,QUERY('NPC List'!$1:$1000, ""Select C,D WHERE A = ""&amp;INDIRECT(ADDRESS(6,(ROW()-5)))&amp;"""",0))"),"")</f>
        <v/>
      </c>
      <c r="D500" s="140"/>
    </row>
    <row r="501" spans="1:4" ht="13.2">
      <c r="A501" s="193"/>
      <c r="B501" s="173"/>
      <c r="C501" s="139" t="str">
        <f ca="1">IFERROR(__xludf.DUMMYFUNCTION("if(ISBLANK(INDIRECT(ADDRESS(6,(ROW()-5)))),,QUERY('NPC List'!$1:$1000, ""Select C,D WHERE A = ""&amp;INDIRECT(ADDRESS(6,(ROW()-5)))&amp;"""",0))"),"")</f>
        <v/>
      </c>
      <c r="D501" s="140"/>
    </row>
    <row r="502" spans="1:4" ht="13.2">
      <c r="A502" s="193"/>
      <c r="B502" s="173"/>
      <c r="C502" s="139" t="str">
        <f ca="1">IFERROR(__xludf.DUMMYFUNCTION("if(ISBLANK(INDIRECT(ADDRESS(6,(ROW()-5)))),,QUERY('NPC List'!$1:$1000, ""Select C,D WHERE A = ""&amp;INDIRECT(ADDRESS(6,(ROW()-5)))&amp;"""",0))"),"")</f>
        <v/>
      </c>
      <c r="D502" s="140"/>
    </row>
    <row r="503" spans="1:4" ht="13.2">
      <c r="A503" s="193"/>
      <c r="B503" s="173"/>
      <c r="C503" s="139" t="str">
        <f ca="1">IFERROR(__xludf.DUMMYFUNCTION("if(ISBLANK(INDIRECT(ADDRESS(6,(ROW()-5)))),,QUERY('NPC List'!$1:$1000, ""Select C,D WHERE A = ""&amp;INDIRECT(ADDRESS(6,(ROW()-5)))&amp;"""",0))"),"")</f>
        <v/>
      </c>
      <c r="D503" s="140"/>
    </row>
    <row r="504" spans="1:4" ht="13.2">
      <c r="A504" s="193"/>
      <c r="B504" s="173"/>
      <c r="C504" s="139" t="str">
        <f ca="1">IFERROR(__xludf.DUMMYFUNCTION("if(ISBLANK(INDIRECT(ADDRESS(6,(ROW()-5)))),,QUERY('NPC List'!$1:$1000, ""Select C,D WHERE A = ""&amp;INDIRECT(ADDRESS(6,(ROW()-5)))&amp;"""",0))"),"")</f>
        <v/>
      </c>
      <c r="D504" s="140"/>
    </row>
    <row r="505" spans="1:4" ht="13.2">
      <c r="A505" s="193"/>
      <c r="B505" s="173"/>
      <c r="C505" s="139" t="str">
        <f ca="1">IFERROR(__xludf.DUMMYFUNCTION("if(ISBLANK(INDIRECT(ADDRESS(6,(ROW()-5)))),,QUERY('NPC List'!$1:$1000, ""Select C,D WHERE A = ""&amp;INDIRECT(ADDRESS(6,(ROW()-5)))&amp;"""",0))"),"")</f>
        <v/>
      </c>
      <c r="D505" s="140"/>
    </row>
    <row r="506" spans="1:4" ht="13.2">
      <c r="A506" s="193"/>
      <c r="B506" s="173"/>
      <c r="C506" s="139" t="str">
        <f ca="1">IFERROR(__xludf.DUMMYFUNCTION("if(ISBLANK(INDIRECT(ADDRESS(6,(ROW()-5)))),,QUERY('NPC List'!$1:$1000, ""Select C,D WHERE A = ""&amp;INDIRECT(ADDRESS(6,(ROW()-5)))&amp;"""",0))"),"")</f>
        <v/>
      </c>
      <c r="D506" s="140"/>
    </row>
    <row r="507" spans="1:4" ht="13.2">
      <c r="A507" s="193"/>
      <c r="B507" s="173"/>
      <c r="C507" s="139" t="str">
        <f ca="1">IFERROR(__xludf.DUMMYFUNCTION("if(ISBLANK(INDIRECT(ADDRESS(6,(ROW()-5)))),,QUERY('NPC List'!$1:$1000, ""Select C,D WHERE A = ""&amp;INDIRECT(ADDRESS(6,(ROW()-5)))&amp;"""",0))"),"")</f>
        <v/>
      </c>
      <c r="D507" s="140"/>
    </row>
    <row r="508" spans="1:4" ht="13.2">
      <c r="A508" s="193"/>
      <c r="B508" s="173"/>
      <c r="C508" s="139" t="str">
        <f ca="1">IFERROR(__xludf.DUMMYFUNCTION("if(ISBLANK(INDIRECT(ADDRESS(6,(ROW()-5)))),,QUERY('NPC List'!$1:$1000, ""Select C,D WHERE A = ""&amp;INDIRECT(ADDRESS(6,(ROW()-5)))&amp;"""",0))"),"")</f>
        <v/>
      </c>
      <c r="D508" s="140"/>
    </row>
    <row r="509" spans="1:4" ht="13.2">
      <c r="A509" s="193"/>
      <c r="B509" s="173"/>
      <c r="C509" s="139" t="str">
        <f ca="1">IFERROR(__xludf.DUMMYFUNCTION("if(ISBLANK(INDIRECT(ADDRESS(6,(ROW()-5)))),,QUERY('NPC List'!$1:$1000, ""Select C,D WHERE A = ""&amp;INDIRECT(ADDRESS(6,(ROW()-5)))&amp;"""",0))"),"")</f>
        <v/>
      </c>
      <c r="D509" s="140"/>
    </row>
    <row r="510" spans="1:4" ht="13.2">
      <c r="A510" s="193"/>
      <c r="B510" s="173"/>
      <c r="C510" s="139" t="str">
        <f ca="1">IFERROR(__xludf.DUMMYFUNCTION("if(ISBLANK(INDIRECT(ADDRESS(6,(ROW()-5)))),,QUERY('NPC List'!$1:$1000, ""Select C,D WHERE A = ""&amp;INDIRECT(ADDRESS(6,(ROW()-5)))&amp;"""",0))"),"")</f>
        <v/>
      </c>
      <c r="D510" s="140"/>
    </row>
    <row r="511" spans="1:4" ht="13.2">
      <c r="A511" s="193"/>
      <c r="B511" s="173"/>
      <c r="C511" s="139" t="str">
        <f ca="1">IFERROR(__xludf.DUMMYFUNCTION("if(ISBLANK(INDIRECT(ADDRESS(6,(ROW()-5)))),,QUERY('NPC List'!$1:$1000, ""Select C,D WHERE A = ""&amp;INDIRECT(ADDRESS(6,(ROW()-5)))&amp;"""",0))"),"")</f>
        <v/>
      </c>
      <c r="D511" s="140"/>
    </row>
    <row r="512" spans="1:4" ht="13.2">
      <c r="A512" s="193"/>
      <c r="B512" s="173"/>
      <c r="C512" s="139" t="str">
        <f ca="1">IFERROR(__xludf.DUMMYFUNCTION("if(ISBLANK(INDIRECT(ADDRESS(6,(ROW()-5)))),,QUERY('NPC List'!$1:$1000, ""Select C,D WHERE A = ""&amp;INDIRECT(ADDRESS(6,(ROW()-5)))&amp;"""",0))"),"")</f>
        <v/>
      </c>
      <c r="D512" s="140"/>
    </row>
    <row r="513" spans="1:4" ht="13.2">
      <c r="A513" s="193"/>
      <c r="B513" s="173"/>
      <c r="C513" s="139" t="str">
        <f ca="1">IFERROR(__xludf.DUMMYFUNCTION("if(ISBLANK(INDIRECT(ADDRESS(6,(ROW()-5)))),,QUERY('NPC List'!$1:$1000, ""Select C,D WHERE A = ""&amp;INDIRECT(ADDRESS(6,(ROW()-5)))&amp;"""",0))"),"")</f>
        <v/>
      </c>
      <c r="D513" s="140"/>
    </row>
    <row r="514" spans="1:4" ht="13.2">
      <c r="A514" s="193"/>
      <c r="B514" s="173"/>
      <c r="C514" s="139" t="str">
        <f ca="1">IFERROR(__xludf.DUMMYFUNCTION("if(ISBLANK(INDIRECT(ADDRESS(6,(ROW()-5)))),,QUERY('NPC List'!$1:$1000, ""Select C,D WHERE A = ""&amp;INDIRECT(ADDRESS(6,(ROW()-5)))&amp;"""",0))"),"")</f>
        <v/>
      </c>
      <c r="D514" s="140"/>
    </row>
    <row r="515" spans="1:4" ht="13.2">
      <c r="A515" s="193"/>
      <c r="B515" s="173"/>
      <c r="C515" s="139" t="str">
        <f ca="1">IFERROR(__xludf.DUMMYFUNCTION("if(ISBLANK(INDIRECT(ADDRESS(6,(ROW()-5)))),,QUERY('NPC List'!$1:$1000, ""Select C,D WHERE A = ""&amp;INDIRECT(ADDRESS(6,(ROW()-5)))&amp;"""",0))"),"")</f>
        <v/>
      </c>
      <c r="D515" s="140"/>
    </row>
    <row r="516" spans="1:4" ht="13.2">
      <c r="A516" s="193"/>
      <c r="B516" s="173"/>
      <c r="C516" s="139" t="str">
        <f ca="1">IFERROR(__xludf.DUMMYFUNCTION("if(ISBLANK(INDIRECT(ADDRESS(6,(ROW()-5)))),,QUERY('NPC List'!$1:$1000, ""Select C,D WHERE A = ""&amp;INDIRECT(ADDRESS(6,(ROW()-5)))&amp;"""",0))"),"")</f>
        <v/>
      </c>
      <c r="D516" s="140"/>
    </row>
    <row r="517" spans="1:4" ht="13.2">
      <c r="A517" s="193"/>
      <c r="B517" s="173"/>
      <c r="C517" s="139" t="str">
        <f ca="1">IFERROR(__xludf.DUMMYFUNCTION("if(ISBLANK(INDIRECT(ADDRESS(6,(ROW()-5)))),,QUERY('NPC List'!$1:$1000, ""Select C,D WHERE A = ""&amp;INDIRECT(ADDRESS(6,(ROW()-5)))&amp;"""",0))"),"")</f>
        <v/>
      </c>
      <c r="D517" s="140"/>
    </row>
    <row r="518" spans="1:4" ht="13.2">
      <c r="A518" s="193"/>
      <c r="B518" s="173"/>
      <c r="C518" s="139" t="str">
        <f ca="1">IFERROR(__xludf.DUMMYFUNCTION("if(ISBLANK(INDIRECT(ADDRESS(6,(ROW()-5)))),,QUERY('NPC List'!$1:$1000, ""Select C,D WHERE A = ""&amp;INDIRECT(ADDRESS(6,(ROW()-5)))&amp;"""",0))"),"")</f>
        <v/>
      </c>
      <c r="D518" s="140"/>
    </row>
    <row r="519" spans="1:4" ht="13.2">
      <c r="A519" s="193"/>
      <c r="B519" s="173"/>
      <c r="C519" s="139" t="str">
        <f ca="1">IFERROR(__xludf.DUMMYFUNCTION("if(ISBLANK(INDIRECT(ADDRESS(6,(ROW()-5)))),,QUERY('NPC List'!$1:$1000, ""Select C,D WHERE A = ""&amp;INDIRECT(ADDRESS(6,(ROW()-5)))&amp;"""",0))"),"")</f>
        <v/>
      </c>
      <c r="D519" s="140"/>
    </row>
    <row r="520" spans="1:4" ht="13.2">
      <c r="A520" s="193"/>
      <c r="B520" s="173"/>
      <c r="C520" s="139" t="str">
        <f ca="1">IFERROR(__xludf.DUMMYFUNCTION("if(ISBLANK(INDIRECT(ADDRESS(6,(ROW()-5)))),,QUERY('NPC List'!$1:$1000, ""Select C,D WHERE A = ""&amp;INDIRECT(ADDRESS(6,(ROW()-5)))&amp;"""",0))"),"")</f>
        <v/>
      </c>
      <c r="D520" s="140"/>
    </row>
    <row r="521" spans="1:4" ht="13.2">
      <c r="A521" s="193"/>
      <c r="B521" s="173"/>
      <c r="C521" s="139" t="str">
        <f ca="1">IFERROR(__xludf.DUMMYFUNCTION("if(ISBLANK(INDIRECT(ADDRESS(6,(ROW()-5)))),,QUERY('NPC List'!$1:$1000, ""Select C,D WHERE A = ""&amp;INDIRECT(ADDRESS(6,(ROW()-5)))&amp;"""",0))"),"")</f>
        <v/>
      </c>
      <c r="D521" s="140"/>
    </row>
    <row r="522" spans="1:4" ht="13.2">
      <c r="A522" s="193"/>
      <c r="B522" s="173"/>
      <c r="C522" s="139" t="str">
        <f ca="1">IFERROR(__xludf.DUMMYFUNCTION("if(ISBLANK(INDIRECT(ADDRESS(6,(ROW()-5)))),,QUERY('NPC List'!$1:$1000, ""Select C,D WHERE A = ""&amp;INDIRECT(ADDRESS(6,(ROW()-5)))&amp;"""",0))"),"")</f>
        <v/>
      </c>
      <c r="D522" s="140"/>
    </row>
    <row r="523" spans="1:4" ht="13.2">
      <c r="A523" s="193"/>
      <c r="B523" s="173"/>
      <c r="C523" s="139" t="str">
        <f ca="1">IFERROR(__xludf.DUMMYFUNCTION("if(ISBLANK(INDIRECT(ADDRESS(6,(ROW()-5)))),,QUERY('NPC List'!$1:$1000, ""Select C,D WHERE A = ""&amp;INDIRECT(ADDRESS(6,(ROW()-5)))&amp;"""",0))"),"")</f>
        <v/>
      </c>
      <c r="D523" s="140"/>
    </row>
    <row r="524" spans="1:4" ht="13.2">
      <c r="A524" s="193"/>
      <c r="B524" s="173"/>
      <c r="C524" s="139" t="str">
        <f ca="1">IFERROR(__xludf.DUMMYFUNCTION("if(ISBLANK(INDIRECT(ADDRESS(6,(ROW()-5)))),,QUERY('NPC List'!$1:$1000, ""Select C,D WHERE A = ""&amp;INDIRECT(ADDRESS(6,(ROW()-5)))&amp;"""",0))"),"")</f>
        <v/>
      </c>
      <c r="D524" s="140"/>
    </row>
    <row r="525" spans="1:4" ht="13.2">
      <c r="A525" s="193"/>
      <c r="B525" s="173"/>
      <c r="C525" s="139" t="str">
        <f ca="1">IFERROR(__xludf.DUMMYFUNCTION("if(ISBLANK(INDIRECT(ADDRESS(6,(ROW()-5)))),,QUERY('NPC List'!$1:$1000, ""Select C,D WHERE A = ""&amp;INDIRECT(ADDRESS(6,(ROW()-5)))&amp;"""",0))"),"")</f>
        <v/>
      </c>
      <c r="D525" s="140"/>
    </row>
    <row r="526" spans="1:4" ht="13.2">
      <c r="A526" s="193"/>
      <c r="B526" s="173"/>
      <c r="C526" s="139" t="str">
        <f ca="1">IFERROR(__xludf.DUMMYFUNCTION("if(ISBLANK(INDIRECT(ADDRESS(6,(ROW()-5)))),,QUERY('NPC List'!$1:$1000, ""Select C,D WHERE A = ""&amp;INDIRECT(ADDRESS(6,(ROW()-5)))&amp;"""",0))"),"")</f>
        <v/>
      </c>
      <c r="D526" s="140"/>
    </row>
    <row r="527" spans="1:4" ht="13.2">
      <c r="A527" s="193"/>
      <c r="B527" s="173"/>
      <c r="C527" s="139" t="str">
        <f ca="1">IFERROR(__xludf.DUMMYFUNCTION("if(ISBLANK(INDIRECT(ADDRESS(6,(ROW()-5)))),,QUERY('NPC List'!$1:$1000, ""Select C,D WHERE A = ""&amp;INDIRECT(ADDRESS(6,(ROW()-5)))&amp;"""",0))"),"")</f>
        <v/>
      </c>
      <c r="D527" s="140"/>
    </row>
    <row r="528" spans="1:4" ht="13.2">
      <c r="A528" s="193"/>
      <c r="B528" s="173"/>
      <c r="C528" s="139" t="str">
        <f ca="1">IFERROR(__xludf.DUMMYFUNCTION("if(ISBLANK(INDIRECT(ADDRESS(6,(ROW()-5)))),,QUERY('NPC List'!$1:$1000, ""Select C,D WHERE A = ""&amp;INDIRECT(ADDRESS(6,(ROW()-5)))&amp;"""",0))"),"")</f>
        <v/>
      </c>
      <c r="D528" s="140"/>
    </row>
    <row r="529" spans="1:4" ht="13.2">
      <c r="A529" s="193"/>
      <c r="B529" s="173"/>
      <c r="C529" s="139" t="str">
        <f ca="1">IFERROR(__xludf.DUMMYFUNCTION("if(ISBLANK(INDIRECT(ADDRESS(6,(ROW()-5)))),,QUERY('NPC List'!$1:$1000, ""Select C,D WHERE A = ""&amp;INDIRECT(ADDRESS(6,(ROW()-5)))&amp;"""",0))"),"")</f>
        <v/>
      </c>
      <c r="D529" s="140"/>
    </row>
    <row r="530" spans="1:4" ht="13.2">
      <c r="A530" s="193"/>
      <c r="B530" s="173"/>
      <c r="C530" s="139" t="str">
        <f ca="1">IFERROR(__xludf.DUMMYFUNCTION("if(ISBLANK(INDIRECT(ADDRESS(6,(ROW()-5)))),,QUERY('NPC List'!$1:$1000, ""Select C,D WHERE A = ""&amp;INDIRECT(ADDRESS(6,(ROW()-5)))&amp;"""",0))"),"")</f>
        <v/>
      </c>
      <c r="D530" s="140"/>
    </row>
    <row r="531" spans="1:4" ht="13.2">
      <c r="A531" s="193"/>
      <c r="B531" s="173"/>
      <c r="C531" s="139" t="str">
        <f ca="1">IFERROR(__xludf.DUMMYFUNCTION("if(ISBLANK(INDIRECT(ADDRESS(6,(ROW()-5)))),,QUERY('NPC List'!$1:$1000, ""Select C,D WHERE A = ""&amp;INDIRECT(ADDRESS(6,(ROW()-5)))&amp;"""",0))"),"")</f>
        <v/>
      </c>
      <c r="D531" s="140"/>
    </row>
    <row r="532" spans="1:4" ht="13.2">
      <c r="A532" s="193"/>
      <c r="B532" s="173"/>
      <c r="C532" s="139" t="str">
        <f ca="1">IFERROR(__xludf.DUMMYFUNCTION("if(ISBLANK(INDIRECT(ADDRESS(6,(ROW()-5)))),,QUERY('NPC List'!$1:$1000, ""Select C,D WHERE A = ""&amp;INDIRECT(ADDRESS(6,(ROW()-5)))&amp;"""",0))"),"")</f>
        <v/>
      </c>
      <c r="D532" s="140"/>
    </row>
    <row r="533" spans="1:4" ht="13.2">
      <c r="A533" s="193"/>
      <c r="B533" s="173"/>
      <c r="C533" s="139" t="str">
        <f ca="1">IFERROR(__xludf.DUMMYFUNCTION("if(ISBLANK(INDIRECT(ADDRESS(6,(ROW()-5)))),,QUERY('NPC List'!$1:$1000, ""Select C,D WHERE A = ""&amp;INDIRECT(ADDRESS(6,(ROW()-5)))&amp;"""",0))"),"")</f>
        <v/>
      </c>
      <c r="D533" s="140"/>
    </row>
    <row r="534" spans="1:4" ht="13.2">
      <c r="A534" s="193"/>
      <c r="B534" s="173"/>
      <c r="C534" s="139" t="str">
        <f ca="1">IFERROR(__xludf.DUMMYFUNCTION("if(ISBLANK(INDIRECT(ADDRESS(6,(ROW()-5)))),,QUERY('NPC List'!$1:$1000, ""Select C,D WHERE A = ""&amp;INDIRECT(ADDRESS(6,(ROW()-5)))&amp;"""",0))"),"")</f>
        <v/>
      </c>
      <c r="D534" s="140"/>
    </row>
    <row r="535" spans="1:4" ht="13.2">
      <c r="A535" s="193"/>
      <c r="B535" s="173"/>
      <c r="C535" s="139" t="str">
        <f ca="1">IFERROR(__xludf.DUMMYFUNCTION("if(ISBLANK(INDIRECT(ADDRESS(6,(ROW()-5)))),,QUERY('NPC List'!$1:$1000, ""Select C,D WHERE A = ""&amp;INDIRECT(ADDRESS(6,(ROW()-5)))&amp;"""",0))"),"")</f>
        <v/>
      </c>
      <c r="D535" s="140"/>
    </row>
    <row r="536" spans="1:4" ht="13.2">
      <c r="A536" s="193"/>
      <c r="B536" s="173"/>
      <c r="C536" s="139" t="str">
        <f ca="1">IFERROR(__xludf.DUMMYFUNCTION("if(ISBLANK(INDIRECT(ADDRESS(6,(ROW()-5)))),,QUERY('NPC List'!$1:$1000, ""Select C,D WHERE A = ""&amp;INDIRECT(ADDRESS(6,(ROW()-5)))&amp;"""",0))"),"")</f>
        <v/>
      </c>
      <c r="D536" s="140"/>
    </row>
    <row r="537" spans="1:4" ht="13.2">
      <c r="A537" s="193"/>
      <c r="B537" s="173"/>
      <c r="C537" s="139" t="str">
        <f ca="1">IFERROR(__xludf.DUMMYFUNCTION("if(ISBLANK(INDIRECT(ADDRESS(6,(ROW()-5)))),,QUERY('NPC List'!$1:$1000, ""Select C,D WHERE A = ""&amp;INDIRECT(ADDRESS(6,(ROW()-5)))&amp;"""",0))"),"")</f>
        <v/>
      </c>
      <c r="D537" s="140"/>
    </row>
    <row r="538" spans="1:4" ht="13.2">
      <c r="A538" s="193"/>
      <c r="B538" s="173"/>
      <c r="C538" s="139" t="str">
        <f ca="1">IFERROR(__xludf.DUMMYFUNCTION("if(ISBLANK(INDIRECT(ADDRESS(6,(ROW()-5)))),,QUERY('NPC List'!$1:$1000, ""Select C,D WHERE A = ""&amp;INDIRECT(ADDRESS(6,(ROW()-5)))&amp;"""",0))"),"")</f>
        <v/>
      </c>
      <c r="D538" s="140"/>
    </row>
    <row r="539" spans="1:4" ht="13.2">
      <c r="A539" s="193"/>
      <c r="B539" s="173"/>
      <c r="C539" s="139" t="str">
        <f ca="1">IFERROR(__xludf.DUMMYFUNCTION("if(ISBLANK(INDIRECT(ADDRESS(6,(ROW()-5)))),,QUERY('NPC List'!$1:$1000, ""Select C,D WHERE A = ""&amp;INDIRECT(ADDRESS(6,(ROW()-5)))&amp;"""",0))"),"")</f>
        <v/>
      </c>
      <c r="D539" s="140"/>
    </row>
    <row r="540" spans="1:4" ht="13.2">
      <c r="A540" s="193"/>
      <c r="B540" s="173"/>
      <c r="C540" s="139" t="str">
        <f ca="1">IFERROR(__xludf.DUMMYFUNCTION("if(ISBLANK(INDIRECT(ADDRESS(6,(ROW()-5)))),,QUERY('NPC List'!$1:$1000, ""Select C,D WHERE A = ""&amp;INDIRECT(ADDRESS(6,(ROW()-5)))&amp;"""",0))"),"")</f>
        <v/>
      </c>
      <c r="D540" s="140"/>
    </row>
    <row r="541" spans="1:4" ht="13.2">
      <c r="A541" s="193"/>
      <c r="B541" s="173"/>
      <c r="C541" s="139" t="str">
        <f ca="1">IFERROR(__xludf.DUMMYFUNCTION("if(ISBLANK(INDIRECT(ADDRESS(6,(ROW()-5)))),,QUERY('NPC List'!$1:$1000, ""Select C,D WHERE A = ""&amp;INDIRECT(ADDRESS(6,(ROW()-5)))&amp;"""",0))"),"")</f>
        <v/>
      </c>
      <c r="D541" s="140"/>
    </row>
    <row r="542" spans="1:4" ht="13.2">
      <c r="A542" s="193"/>
      <c r="B542" s="173"/>
      <c r="C542" s="139" t="str">
        <f ca="1">IFERROR(__xludf.DUMMYFUNCTION("if(ISBLANK(INDIRECT(ADDRESS(6,(ROW()-5)))),,QUERY('NPC List'!$1:$1000, ""Select C,D WHERE A = ""&amp;INDIRECT(ADDRESS(6,(ROW()-5)))&amp;"""",0))"),"")</f>
        <v/>
      </c>
      <c r="D542" s="140"/>
    </row>
    <row r="543" spans="1:4" ht="13.2">
      <c r="A543" s="193"/>
      <c r="B543" s="173"/>
      <c r="C543" s="139" t="str">
        <f ca="1">IFERROR(__xludf.DUMMYFUNCTION("if(ISBLANK(INDIRECT(ADDRESS(6,(ROW()-5)))),,QUERY('NPC List'!$1:$1000, ""Select C,D WHERE A = ""&amp;INDIRECT(ADDRESS(6,(ROW()-5)))&amp;"""",0))"),"")</f>
        <v/>
      </c>
      <c r="D543" s="140"/>
    </row>
    <row r="544" spans="1:4" ht="13.2">
      <c r="A544" s="193"/>
      <c r="B544" s="173"/>
      <c r="C544" s="139" t="str">
        <f ca="1">IFERROR(__xludf.DUMMYFUNCTION("if(ISBLANK(INDIRECT(ADDRESS(6,(ROW()-5)))),,QUERY('NPC List'!$1:$1000, ""Select C,D WHERE A = ""&amp;INDIRECT(ADDRESS(6,(ROW()-5)))&amp;"""",0))"),"")</f>
        <v/>
      </c>
      <c r="D544" s="140"/>
    </row>
    <row r="545" spans="1:4" ht="13.2">
      <c r="A545" s="193"/>
      <c r="B545" s="173"/>
      <c r="C545" s="139" t="str">
        <f ca="1">IFERROR(__xludf.DUMMYFUNCTION("if(ISBLANK(INDIRECT(ADDRESS(6,(ROW()-5)))),,QUERY('NPC List'!$1:$1000, ""Select C,D WHERE A = ""&amp;INDIRECT(ADDRESS(6,(ROW()-5)))&amp;"""",0))"),"")</f>
        <v/>
      </c>
      <c r="D545" s="140"/>
    </row>
    <row r="546" spans="1:4" ht="13.2">
      <c r="A546" s="193"/>
      <c r="B546" s="173"/>
      <c r="C546" s="139" t="str">
        <f ca="1">IFERROR(__xludf.DUMMYFUNCTION("if(ISBLANK(INDIRECT(ADDRESS(6,(ROW()-5)))),,QUERY('NPC List'!$1:$1000, ""Select C,D WHERE A = ""&amp;INDIRECT(ADDRESS(6,(ROW()-5)))&amp;"""",0))"),"")</f>
        <v/>
      </c>
      <c r="D546" s="140"/>
    </row>
    <row r="547" spans="1:4" ht="13.2">
      <c r="A547" s="193"/>
      <c r="B547" s="173"/>
      <c r="C547" s="139" t="str">
        <f ca="1">IFERROR(__xludf.DUMMYFUNCTION("if(ISBLANK(INDIRECT(ADDRESS(6,(ROW()-5)))),,QUERY('NPC List'!$1:$1000, ""Select C,D WHERE A = ""&amp;INDIRECT(ADDRESS(6,(ROW()-5)))&amp;"""",0))"),"")</f>
        <v/>
      </c>
      <c r="D547" s="140"/>
    </row>
    <row r="548" spans="1:4" ht="13.2">
      <c r="A548" s="193"/>
      <c r="B548" s="173"/>
      <c r="C548" s="139" t="str">
        <f ca="1">IFERROR(__xludf.DUMMYFUNCTION("if(ISBLANK(INDIRECT(ADDRESS(6,(ROW()-5)))),,QUERY('NPC List'!$1:$1000, ""Select C,D WHERE A = ""&amp;INDIRECT(ADDRESS(6,(ROW()-5)))&amp;"""",0))"),"")</f>
        <v/>
      </c>
      <c r="D548" s="140"/>
    </row>
    <row r="549" spans="1:4" ht="13.2">
      <c r="A549" s="193"/>
      <c r="B549" s="173"/>
      <c r="C549" s="139" t="str">
        <f ca="1">IFERROR(__xludf.DUMMYFUNCTION("if(ISBLANK(INDIRECT(ADDRESS(6,(ROW()-5)))),,QUERY('NPC List'!$1:$1000, ""Select C,D WHERE A = ""&amp;INDIRECT(ADDRESS(6,(ROW()-5)))&amp;"""",0))"),"")</f>
        <v/>
      </c>
      <c r="D549" s="140"/>
    </row>
    <row r="550" spans="1:4" ht="13.2">
      <c r="A550" s="193"/>
      <c r="B550" s="173"/>
      <c r="C550" s="139" t="str">
        <f ca="1">IFERROR(__xludf.DUMMYFUNCTION("if(ISBLANK(INDIRECT(ADDRESS(6,(ROW()-5)))),,QUERY('NPC List'!$1:$1000, ""Select C,D WHERE A = ""&amp;INDIRECT(ADDRESS(6,(ROW()-5)))&amp;"""",0))"),"")</f>
        <v/>
      </c>
      <c r="D550" s="140"/>
    </row>
    <row r="551" spans="1:4" ht="13.2">
      <c r="A551" s="193"/>
      <c r="B551" s="173"/>
      <c r="C551" s="139" t="str">
        <f ca="1">IFERROR(__xludf.DUMMYFUNCTION("if(ISBLANK(INDIRECT(ADDRESS(6,(ROW()-5)))),,QUERY('NPC List'!$1:$1000, ""Select C,D WHERE A = ""&amp;INDIRECT(ADDRESS(6,(ROW()-5)))&amp;"""",0))"),"")</f>
        <v/>
      </c>
      <c r="D551" s="140"/>
    </row>
    <row r="552" spans="1:4" ht="13.2">
      <c r="A552" s="193"/>
      <c r="B552" s="173"/>
      <c r="C552" s="139" t="str">
        <f ca="1">IFERROR(__xludf.DUMMYFUNCTION("if(ISBLANK(INDIRECT(ADDRESS(6,(ROW()-5)))),,QUERY('NPC List'!$1:$1000, ""Select C,D WHERE A = ""&amp;INDIRECT(ADDRESS(6,(ROW()-5)))&amp;"""",0))"),"")</f>
        <v/>
      </c>
      <c r="D552" s="140"/>
    </row>
    <row r="553" spans="1:4" ht="13.2">
      <c r="A553" s="193"/>
      <c r="B553" s="173"/>
      <c r="C553" s="139" t="str">
        <f ca="1">IFERROR(__xludf.DUMMYFUNCTION("if(ISBLANK(INDIRECT(ADDRESS(6,(ROW()-5)))),,QUERY('NPC List'!$1:$1000, ""Select C,D WHERE A = ""&amp;INDIRECT(ADDRESS(6,(ROW()-5)))&amp;"""",0))"),"")</f>
        <v/>
      </c>
      <c r="D553" s="140"/>
    </row>
    <row r="554" spans="1:4" ht="13.2">
      <c r="A554" s="193"/>
      <c r="B554" s="173"/>
      <c r="C554" s="139" t="str">
        <f ca="1">IFERROR(__xludf.DUMMYFUNCTION("if(ISBLANK(INDIRECT(ADDRESS(6,(ROW()-5)))),,QUERY('NPC List'!$1:$1000, ""Select C,D WHERE A = ""&amp;INDIRECT(ADDRESS(6,(ROW()-5)))&amp;"""",0))"),"")</f>
        <v/>
      </c>
      <c r="D554" s="140"/>
    </row>
    <row r="555" spans="1:4" ht="13.2">
      <c r="A555" s="193"/>
      <c r="B555" s="173"/>
      <c r="C555" s="139" t="str">
        <f ca="1">IFERROR(__xludf.DUMMYFUNCTION("if(ISBLANK(INDIRECT(ADDRESS(6,(ROW()-5)))),,QUERY('NPC List'!$1:$1000, ""Select C,D WHERE A = ""&amp;INDIRECT(ADDRESS(6,(ROW()-5)))&amp;"""",0))"),"")</f>
        <v/>
      </c>
      <c r="D555" s="140"/>
    </row>
    <row r="556" spans="1:4" ht="13.2">
      <c r="A556" s="193"/>
      <c r="B556" s="173"/>
      <c r="C556" s="139" t="str">
        <f ca="1">IFERROR(__xludf.DUMMYFUNCTION("if(ISBLANK(INDIRECT(ADDRESS(6,(ROW()-5)))),,QUERY('NPC List'!$1:$1000, ""Select C,D WHERE A = ""&amp;INDIRECT(ADDRESS(6,(ROW()-5)))&amp;"""",0))"),"")</f>
        <v/>
      </c>
      <c r="D556" s="140"/>
    </row>
    <row r="557" spans="1:4" ht="13.2">
      <c r="A557" s="193"/>
      <c r="B557" s="173"/>
      <c r="C557" s="139" t="str">
        <f ca="1">IFERROR(__xludf.DUMMYFUNCTION("if(ISBLANK(INDIRECT(ADDRESS(6,(ROW()-5)))),,QUERY('NPC List'!$1:$1000, ""Select C,D WHERE A = ""&amp;INDIRECT(ADDRESS(6,(ROW()-5)))&amp;"""",0))"),"")</f>
        <v/>
      </c>
      <c r="D557" s="140"/>
    </row>
    <row r="558" spans="1:4" ht="13.2">
      <c r="A558" s="193"/>
      <c r="B558" s="173"/>
      <c r="C558" s="139" t="str">
        <f ca="1">IFERROR(__xludf.DUMMYFUNCTION("if(ISBLANK(INDIRECT(ADDRESS(6,(ROW()-5)))),,QUERY('NPC List'!$1:$1000, ""Select C,D WHERE A = ""&amp;INDIRECT(ADDRESS(6,(ROW()-5)))&amp;"""",0))"),"")</f>
        <v/>
      </c>
      <c r="D558" s="140"/>
    </row>
    <row r="559" spans="1:4" ht="13.2">
      <c r="A559" s="193"/>
      <c r="B559" s="173"/>
      <c r="C559" s="139" t="str">
        <f ca="1">IFERROR(__xludf.DUMMYFUNCTION("if(ISBLANK(INDIRECT(ADDRESS(6,(ROW()-5)))),,QUERY('NPC List'!$1:$1000, ""Select C,D WHERE A = ""&amp;INDIRECT(ADDRESS(6,(ROW()-5)))&amp;"""",0))"),"")</f>
        <v/>
      </c>
      <c r="D559" s="140"/>
    </row>
    <row r="560" spans="1:4" ht="13.2">
      <c r="A560" s="193"/>
      <c r="B560" s="173"/>
      <c r="C560" s="139" t="str">
        <f ca="1">IFERROR(__xludf.DUMMYFUNCTION("if(ISBLANK(INDIRECT(ADDRESS(6,(ROW()-5)))),,QUERY('NPC List'!$1:$1000, ""Select C,D WHERE A = ""&amp;INDIRECT(ADDRESS(6,(ROW()-5)))&amp;"""",0))"),"")</f>
        <v/>
      </c>
      <c r="D560" s="140"/>
    </row>
    <row r="561" spans="1:4" ht="13.2">
      <c r="A561" s="193"/>
      <c r="B561" s="173"/>
      <c r="C561" s="139" t="str">
        <f ca="1">IFERROR(__xludf.DUMMYFUNCTION("if(ISBLANK(INDIRECT(ADDRESS(6,(ROW()-5)))),,QUERY('NPC List'!$1:$1000, ""Select C,D WHERE A = ""&amp;INDIRECT(ADDRESS(6,(ROW()-5)))&amp;"""",0))"),"")</f>
        <v/>
      </c>
      <c r="D561" s="140"/>
    </row>
    <row r="562" spans="1:4" ht="13.2">
      <c r="A562" s="193"/>
      <c r="B562" s="173"/>
      <c r="C562" s="139" t="str">
        <f ca="1">IFERROR(__xludf.DUMMYFUNCTION("if(ISBLANK(INDIRECT(ADDRESS(6,(ROW()-5)))),,QUERY('NPC List'!$1:$1000, ""Select C,D WHERE A = ""&amp;INDIRECT(ADDRESS(6,(ROW()-5)))&amp;"""",0))"),"")</f>
        <v/>
      </c>
      <c r="D562" s="140"/>
    </row>
    <row r="563" spans="1:4" ht="13.2">
      <c r="A563" s="193"/>
      <c r="B563" s="173"/>
      <c r="C563" s="139" t="str">
        <f ca="1">IFERROR(__xludf.DUMMYFUNCTION("if(ISBLANK(INDIRECT(ADDRESS(6,(ROW()-5)))),,QUERY('NPC List'!$1:$1000, ""Select C,D WHERE A = ""&amp;INDIRECT(ADDRESS(6,(ROW()-5)))&amp;"""",0))"),"")</f>
        <v/>
      </c>
      <c r="D563" s="140"/>
    </row>
    <row r="564" spans="1:4" ht="13.2">
      <c r="A564" s="193"/>
      <c r="B564" s="173"/>
      <c r="C564" s="139" t="str">
        <f ca="1">IFERROR(__xludf.DUMMYFUNCTION("if(ISBLANK(INDIRECT(ADDRESS(6,(ROW()-5)))),,QUERY('NPC List'!$1:$1000, ""Select C,D WHERE A = ""&amp;INDIRECT(ADDRESS(6,(ROW()-5)))&amp;"""",0))"),"")</f>
        <v/>
      </c>
      <c r="D564" s="140"/>
    </row>
    <row r="565" spans="1:4" ht="13.2">
      <c r="A565" s="193"/>
      <c r="B565" s="173"/>
      <c r="C565" s="139" t="str">
        <f ca="1">IFERROR(__xludf.DUMMYFUNCTION("if(ISBLANK(INDIRECT(ADDRESS(6,(ROW()-5)))),,QUERY('NPC List'!$1:$1000, ""Select C,D WHERE A = ""&amp;INDIRECT(ADDRESS(6,(ROW()-5)))&amp;"""",0))"),"")</f>
        <v/>
      </c>
      <c r="D565" s="140"/>
    </row>
    <row r="566" spans="1:4" ht="13.2">
      <c r="A566" s="193"/>
      <c r="B566" s="173"/>
      <c r="C566" s="139" t="str">
        <f ca="1">IFERROR(__xludf.DUMMYFUNCTION("if(ISBLANK(INDIRECT(ADDRESS(6,(ROW()-5)))),,QUERY('NPC List'!$1:$1000, ""Select C,D WHERE A = ""&amp;INDIRECT(ADDRESS(6,(ROW()-5)))&amp;"""",0))"),"")</f>
        <v/>
      </c>
      <c r="D566" s="140"/>
    </row>
    <row r="567" spans="1:4" ht="13.2">
      <c r="A567" s="193"/>
      <c r="B567" s="173"/>
      <c r="C567" s="139" t="str">
        <f ca="1">IFERROR(__xludf.DUMMYFUNCTION("if(ISBLANK(INDIRECT(ADDRESS(6,(ROW()-5)))),,QUERY('NPC List'!$1:$1000, ""Select C,D WHERE A = ""&amp;INDIRECT(ADDRESS(6,(ROW()-5)))&amp;"""",0))"),"")</f>
        <v/>
      </c>
      <c r="D567" s="140"/>
    </row>
    <row r="568" spans="1:4" ht="13.2">
      <c r="A568" s="193"/>
      <c r="B568" s="173"/>
      <c r="C568" s="139" t="str">
        <f ca="1">IFERROR(__xludf.DUMMYFUNCTION("if(ISBLANK(INDIRECT(ADDRESS(6,(ROW()-5)))),,QUERY('NPC List'!$1:$1000, ""Select C,D WHERE A = ""&amp;INDIRECT(ADDRESS(6,(ROW()-5)))&amp;"""",0))"),"")</f>
        <v/>
      </c>
      <c r="D568" s="140"/>
    </row>
    <row r="569" spans="1:4" ht="13.2">
      <c r="A569" s="193"/>
      <c r="B569" s="173"/>
      <c r="C569" s="139" t="str">
        <f ca="1">IFERROR(__xludf.DUMMYFUNCTION("if(ISBLANK(INDIRECT(ADDRESS(6,(ROW()-5)))),,QUERY('NPC List'!$1:$1000, ""Select C,D WHERE A = ""&amp;INDIRECT(ADDRESS(6,(ROW()-5)))&amp;"""",0))"),"")</f>
        <v/>
      </c>
      <c r="D569" s="140"/>
    </row>
    <row r="570" spans="1:4" ht="13.2">
      <c r="A570" s="193"/>
      <c r="B570" s="173"/>
      <c r="C570" s="139" t="str">
        <f ca="1">IFERROR(__xludf.DUMMYFUNCTION("if(ISBLANK(INDIRECT(ADDRESS(6,(ROW()-5)))),,QUERY('NPC List'!$1:$1000, ""Select C,D WHERE A = ""&amp;INDIRECT(ADDRESS(6,(ROW()-5)))&amp;"""",0))"),"")</f>
        <v/>
      </c>
      <c r="D570" s="140"/>
    </row>
    <row r="571" spans="1:4" ht="13.2">
      <c r="A571" s="193"/>
      <c r="B571" s="173"/>
      <c r="C571" s="139" t="str">
        <f ca="1">IFERROR(__xludf.DUMMYFUNCTION("if(ISBLANK(INDIRECT(ADDRESS(6,(ROW()-5)))),,QUERY('NPC List'!$1:$1000, ""Select C,D WHERE A = ""&amp;INDIRECT(ADDRESS(6,(ROW()-5)))&amp;"""",0))"),"")</f>
        <v/>
      </c>
      <c r="D571" s="140"/>
    </row>
    <row r="572" spans="1:4" ht="13.2">
      <c r="A572" s="193"/>
      <c r="B572" s="173"/>
      <c r="C572" s="139" t="str">
        <f ca="1">IFERROR(__xludf.DUMMYFUNCTION("if(ISBLANK(INDIRECT(ADDRESS(6,(ROW()-5)))),,QUERY('NPC List'!$1:$1000, ""Select C,D WHERE A = ""&amp;INDIRECT(ADDRESS(6,(ROW()-5)))&amp;"""",0))"),"")</f>
        <v/>
      </c>
      <c r="D572" s="140"/>
    </row>
    <row r="573" spans="1:4" ht="13.2">
      <c r="A573" s="193"/>
      <c r="B573" s="173"/>
      <c r="C573" s="139" t="str">
        <f ca="1">IFERROR(__xludf.DUMMYFUNCTION("if(ISBLANK(INDIRECT(ADDRESS(6,(ROW()-5)))),,QUERY('NPC List'!$1:$1000, ""Select C,D WHERE A = ""&amp;INDIRECT(ADDRESS(6,(ROW()-5)))&amp;"""",0))"),"")</f>
        <v/>
      </c>
      <c r="D573" s="140"/>
    </row>
    <row r="574" spans="1:4" ht="13.2">
      <c r="A574" s="193"/>
      <c r="B574" s="173"/>
      <c r="C574" s="139" t="str">
        <f ca="1">IFERROR(__xludf.DUMMYFUNCTION("if(ISBLANK(INDIRECT(ADDRESS(6,(ROW()-5)))),,QUERY('NPC List'!$1:$1000, ""Select C,D WHERE A = ""&amp;INDIRECT(ADDRESS(6,(ROW()-5)))&amp;"""",0))"),"")</f>
        <v/>
      </c>
      <c r="D574" s="140"/>
    </row>
    <row r="575" spans="1:4" ht="13.2">
      <c r="A575" s="193"/>
      <c r="B575" s="173"/>
      <c r="C575" s="139" t="str">
        <f ca="1">IFERROR(__xludf.DUMMYFUNCTION("if(ISBLANK(INDIRECT(ADDRESS(6,(ROW()-5)))),,QUERY('NPC List'!$1:$1000, ""Select C,D WHERE A = ""&amp;INDIRECT(ADDRESS(6,(ROW()-5)))&amp;"""",0))"),"")</f>
        <v/>
      </c>
      <c r="D575" s="140"/>
    </row>
    <row r="576" spans="1:4" ht="13.2">
      <c r="A576" s="193"/>
      <c r="B576" s="173"/>
      <c r="C576" s="139" t="str">
        <f ca="1">IFERROR(__xludf.DUMMYFUNCTION("if(ISBLANK(INDIRECT(ADDRESS(6,(ROW()-5)))),,QUERY('NPC List'!$1:$1000, ""Select C,D WHERE A = ""&amp;INDIRECT(ADDRESS(6,(ROW()-5)))&amp;"""",0))"),"")</f>
        <v/>
      </c>
      <c r="D576" s="140"/>
    </row>
    <row r="577" spans="1:4" ht="13.2">
      <c r="A577" s="193"/>
      <c r="B577" s="173"/>
      <c r="C577" s="139" t="str">
        <f ca="1">IFERROR(__xludf.DUMMYFUNCTION("if(ISBLANK(INDIRECT(ADDRESS(6,(ROW()-5)))),,QUERY('NPC List'!$1:$1000, ""Select C,D WHERE A = ""&amp;INDIRECT(ADDRESS(6,(ROW()-5)))&amp;"""",0))"),"")</f>
        <v/>
      </c>
      <c r="D577" s="140"/>
    </row>
    <row r="578" spans="1:4" ht="13.2">
      <c r="A578" s="193"/>
      <c r="B578" s="173"/>
      <c r="C578" s="139" t="str">
        <f ca="1">IFERROR(__xludf.DUMMYFUNCTION("if(ISBLANK(INDIRECT(ADDRESS(6,(ROW()-5)))),,QUERY('NPC List'!$1:$1000, ""Select C,D WHERE A = ""&amp;INDIRECT(ADDRESS(6,(ROW()-5)))&amp;"""",0))"),"")</f>
        <v/>
      </c>
      <c r="D578" s="140"/>
    </row>
    <row r="579" spans="1:4" ht="13.2">
      <c r="A579" s="193"/>
      <c r="B579" s="173"/>
      <c r="C579" s="139" t="str">
        <f ca="1">IFERROR(__xludf.DUMMYFUNCTION("if(ISBLANK(INDIRECT(ADDRESS(6,(ROW()-5)))),,QUERY('NPC List'!$1:$1000, ""Select C,D WHERE A = ""&amp;INDIRECT(ADDRESS(6,(ROW()-5)))&amp;"""",0))"),"")</f>
        <v/>
      </c>
      <c r="D579" s="140"/>
    </row>
    <row r="580" spans="1:4" ht="13.2">
      <c r="A580" s="193"/>
      <c r="B580" s="173"/>
      <c r="C580" s="139" t="str">
        <f ca="1">IFERROR(__xludf.DUMMYFUNCTION("if(ISBLANK(INDIRECT(ADDRESS(6,(ROW()-5)))),,QUERY('NPC List'!$1:$1000, ""Select C,D WHERE A = ""&amp;INDIRECT(ADDRESS(6,(ROW()-5)))&amp;"""",0))"),"")</f>
        <v/>
      </c>
      <c r="D580" s="140"/>
    </row>
    <row r="581" spans="1:4" ht="13.2">
      <c r="A581" s="193"/>
      <c r="B581" s="173"/>
      <c r="C581" s="139" t="str">
        <f ca="1">IFERROR(__xludf.DUMMYFUNCTION("if(ISBLANK(INDIRECT(ADDRESS(6,(ROW()-5)))),,QUERY('NPC List'!$1:$1000, ""Select C,D WHERE A = ""&amp;INDIRECT(ADDRESS(6,(ROW()-5)))&amp;"""",0))"),"")</f>
        <v/>
      </c>
      <c r="D581" s="140"/>
    </row>
    <row r="582" spans="1:4" ht="13.2">
      <c r="A582" s="193"/>
      <c r="B582" s="173"/>
      <c r="C582" s="139" t="str">
        <f ca="1">IFERROR(__xludf.DUMMYFUNCTION("if(ISBLANK(INDIRECT(ADDRESS(6,(ROW()-5)))),,QUERY('NPC List'!$1:$1000, ""Select C,D WHERE A = ""&amp;INDIRECT(ADDRESS(6,(ROW()-5)))&amp;"""",0))"),"")</f>
        <v/>
      </c>
      <c r="D582" s="140"/>
    </row>
    <row r="583" spans="1:4" ht="13.2">
      <c r="A583" s="193"/>
      <c r="B583" s="173"/>
      <c r="C583" s="139" t="str">
        <f ca="1">IFERROR(__xludf.DUMMYFUNCTION("if(ISBLANK(INDIRECT(ADDRESS(6,(ROW()-5)))),,QUERY('NPC List'!$1:$1000, ""Select C,D WHERE A = ""&amp;INDIRECT(ADDRESS(6,(ROW()-5)))&amp;"""",0))"),"")</f>
        <v/>
      </c>
      <c r="D583" s="140"/>
    </row>
    <row r="584" spans="1:4" ht="13.2">
      <c r="A584" s="193"/>
      <c r="B584" s="173"/>
      <c r="C584" s="139" t="str">
        <f ca="1">IFERROR(__xludf.DUMMYFUNCTION("if(ISBLANK(INDIRECT(ADDRESS(6,(ROW()-5)))),,QUERY('NPC List'!$1:$1000, ""Select C,D WHERE A = ""&amp;INDIRECT(ADDRESS(6,(ROW()-5)))&amp;"""",0))"),"")</f>
        <v/>
      </c>
      <c r="D584" s="140"/>
    </row>
    <row r="585" spans="1:4" ht="13.2">
      <c r="A585" s="193"/>
      <c r="B585" s="173"/>
      <c r="C585" s="139" t="str">
        <f ca="1">IFERROR(__xludf.DUMMYFUNCTION("if(ISBLANK(INDIRECT(ADDRESS(6,(ROW()-5)))),,QUERY('NPC List'!$1:$1000, ""Select C,D WHERE A = ""&amp;INDIRECT(ADDRESS(6,(ROW()-5)))&amp;"""",0))"),"")</f>
        <v/>
      </c>
      <c r="D585" s="140"/>
    </row>
    <row r="586" spans="1:4" ht="13.2">
      <c r="A586" s="193"/>
      <c r="B586" s="173"/>
      <c r="C586" s="139" t="str">
        <f ca="1">IFERROR(__xludf.DUMMYFUNCTION("if(ISBLANK(INDIRECT(ADDRESS(6,(ROW()-5)))),,QUERY('NPC List'!$1:$1000, ""Select C,D WHERE A = ""&amp;INDIRECT(ADDRESS(6,(ROW()-5)))&amp;"""",0))"),"")</f>
        <v/>
      </c>
      <c r="D586" s="140"/>
    </row>
    <row r="587" spans="1:4" ht="13.2">
      <c r="A587" s="193"/>
      <c r="B587" s="173"/>
      <c r="C587" s="139" t="str">
        <f ca="1">IFERROR(__xludf.DUMMYFUNCTION("if(ISBLANK(INDIRECT(ADDRESS(6,(ROW()-5)))),,QUERY('NPC List'!$1:$1000, ""Select C,D WHERE A = ""&amp;INDIRECT(ADDRESS(6,(ROW()-5)))&amp;"""",0))"),"")</f>
        <v/>
      </c>
      <c r="D587" s="140"/>
    </row>
    <row r="588" spans="1:4" ht="13.2">
      <c r="A588" s="193"/>
      <c r="B588" s="173"/>
      <c r="C588" s="139" t="str">
        <f ca="1">IFERROR(__xludf.DUMMYFUNCTION("if(ISBLANK(INDIRECT(ADDRESS(6,(ROW()-5)))),,QUERY('NPC List'!$1:$1000, ""Select C,D WHERE A = ""&amp;INDIRECT(ADDRESS(6,(ROW()-5)))&amp;"""",0))"),"")</f>
        <v/>
      </c>
      <c r="D588" s="140"/>
    </row>
    <row r="589" spans="1:4" ht="13.2">
      <c r="A589" s="193"/>
      <c r="B589" s="173"/>
      <c r="C589" s="139" t="str">
        <f ca="1">IFERROR(__xludf.DUMMYFUNCTION("if(ISBLANK(INDIRECT(ADDRESS(6,(ROW()-5)))),,QUERY('NPC List'!$1:$1000, ""Select C,D WHERE A = ""&amp;INDIRECT(ADDRESS(6,(ROW()-5)))&amp;"""",0))"),"")</f>
        <v/>
      </c>
      <c r="D589" s="140"/>
    </row>
    <row r="590" spans="1:4" ht="13.2">
      <c r="A590" s="193"/>
      <c r="B590" s="173"/>
      <c r="C590" s="139" t="str">
        <f ca="1">IFERROR(__xludf.DUMMYFUNCTION("if(ISBLANK(INDIRECT(ADDRESS(6,(ROW()-5)))),,QUERY('NPC List'!$1:$1000, ""Select C,D WHERE A = ""&amp;INDIRECT(ADDRESS(6,(ROW()-5)))&amp;"""",0))"),"")</f>
        <v/>
      </c>
      <c r="D590" s="140"/>
    </row>
    <row r="591" spans="1:4" ht="13.2">
      <c r="A591" s="193"/>
      <c r="B591" s="173"/>
      <c r="C591" s="139" t="str">
        <f ca="1">IFERROR(__xludf.DUMMYFUNCTION("if(ISBLANK(INDIRECT(ADDRESS(6,(ROW()-5)))),,QUERY('NPC List'!$1:$1000, ""Select C,D WHERE A = ""&amp;INDIRECT(ADDRESS(6,(ROW()-5)))&amp;"""",0))"),"")</f>
        <v/>
      </c>
      <c r="D591" s="140"/>
    </row>
    <row r="592" spans="1:4" ht="13.2">
      <c r="A592" s="193"/>
      <c r="B592" s="173"/>
      <c r="C592" s="139" t="str">
        <f ca="1">IFERROR(__xludf.DUMMYFUNCTION("if(ISBLANK(INDIRECT(ADDRESS(6,(ROW()-5)))),,QUERY('NPC List'!$1:$1000, ""Select C,D WHERE A = ""&amp;INDIRECT(ADDRESS(6,(ROW()-5)))&amp;"""",0))"),"")</f>
        <v/>
      </c>
      <c r="D592" s="140"/>
    </row>
    <row r="593" spans="1:4" ht="13.2">
      <c r="A593" s="193"/>
      <c r="B593" s="173"/>
      <c r="C593" s="139" t="str">
        <f ca="1">IFERROR(__xludf.DUMMYFUNCTION("if(ISBLANK(INDIRECT(ADDRESS(6,(ROW()-5)))),,QUERY('NPC List'!$1:$1000, ""Select C,D WHERE A = ""&amp;INDIRECT(ADDRESS(6,(ROW()-5)))&amp;"""",0))"),"")</f>
        <v/>
      </c>
      <c r="D593" s="140"/>
    </row>
    <row r="594" spans="1:4" ht="13.2">
      <c r="A594" s="193"/>
      <c r="B594" s="173"/>
      <c r="C594" s="139" t="str">
        <f ca="1">IFERROR(__xludf.DUMMYFUNCTION("if(ISBLANK(INDIRECT(ADDRESS(6,(ROW()-5)))),,QUERY('NPC List'!$1:$1000, ""Select C,D WHERE A = ""&amp;INDIRECT(ADDRESS(6,(ROW()-5)))&amp;"""",0))"),"")</f>
        <v/>
      </c>
      <c r="D594" s="140"/>
    </row>
    <row r="595" spans="1:4" ht="13.2">
      <c r="A595" s="193"/>
      <c r="B595" s="173"/>
      <c r="C595" s="139" t="str">
        <f ca="1">IFERROR(__xludf.DUMMYFUNCTION("if(ISBLANK(INDIRECT(ADDRESS(6,(ROW()-5)))),,QUERY('NPC List'!$1:$1000, ""Select C,D WHERE A = ""&amp;INDIRECT(ADDRESS(6,(ROW()-5)))&amp;"""",0))"),"")</f>
        <v/>
      </c>
      <c r="D595" s="140"/>
    </row>
    <row r="596" spans="1:4" ht="13.2">
      <c r="A596" s="193"/>
      <c r="B596" s="173"/>
      <c r="C596" s="139" t="str">
        <f ca="1">IFERROR(__xludf.DUMMYFUNCTION("if(ISBLANK(INDIRECT(ADDRESS(6,(ROW()-5)))),,QUERY('NPC List'!$1:$1000, ""Select C,D WHERE A = ""&amp;INDIRECT(ADDRESS(6,(ROW()-5)))&amp;"""",0))"),"")</f>
        <v/>
      </c>
      <c r="D596" s="140"/>
    </row>
    <row r="597" spans="1:4" ht="13.2">
      <c r="A597" s="193"/>
      <c r="B597" s="173"/>
      <c r="C597" s="139" t="str">
        <f ca="1">IFERROR(__xludf.DUMMYFUNCTION("if(ISBLANK(INDIRECT(ADDRESS(6,(ROW()-5)))),,QUERY('NPC List'!$1:$1000, ""Select C,D WHERE A = ""&amp;INDIRECT(ADDRESS(6,(ROW()-5)))&amp;"""",0))"),"")</f>
        <v/>
      </c>
      <c r="D597" s="140"/>
    </row>
    <row r="598" spans="1:4" ht="13.2">
      <c r="A598" s="193"/>
      <c r="B598" s="173"/>
      <c r="C598" s="139" t="str">
        <f ca="1">IFERROR(__xludf.DUMMYFUNCTION("if(ISBLANK(INDIRECT(ADDRESS(6,(ROW()-5)))),,QUERY('NPC List'!$1:$1000, ""Select C,D WHERE A = ""&amp;INDIRECT(ADDRESS(6,(ROW()-5)))&amp;"""",0))"),"")</f>
        <v/>
      </c>
      <c r="D598" s="140"/>
    </row>
    <row r="599" spans="1:4" ht="13.2">
      <c r="A599" s="193"/>
      <c r="B599" s="173"/>
      <c r="C599" s="139" t="str">
        <f ca="1">IFERROR(__xludf.DUMMYFUNCTION("if(ISBLANK(INDIRECT(ADDRESS(6,(ROW()-5)))),,QUERY('NPC List'!$1:$1000, ""Select C,D WHERE A = ""&amp;INDIRECT(ADDRESS(6,(ROW()-5)))&amp;"""",0))"),"")</f>
        <v/>
      </c>
      <c r="D599" s="140"/>
    </row>
    <row r="600" spans="1:4" ht="13.2">
      <c r="A600" s="193"/>
      <c r="B600" s="173"/>
      <c r="C600" s="139" t="str">
        <f ca="1">IFERROR(__xludf.DUMMYFUNCTION("if(ISBLANK(INDIRECT(ADDRESS(6,(ROW()-5)))),,QUERY('NPC List'!$1:$1000, ""Select C,D WHERE A = ""&amp;INDIRECT(ADDRESS(6,(ROW()-5)))&amp;"""",0))"),"")</f>
        <v/>
      </c>
      <c r="D600" s="140"/>
    </row>
    <row r="601" spans="1:4" ht="13.2">
      <c r="A601" s="193"/>
      <c r="B601" s="173"/>
      <c r="C601" s="139" t="str">
        <f ca="1">IFERROR(__xludf.DUMMYFUNCTION("if(ISBLANK(INDIRECT(ADDRESS(6,(ROW()-5)))),,QUERY('NPC List'!$1:$1000, ""Select C,D WHERE A = ""&amp;INDIRECT(ADDRESS(6,(ROW()-5)))&amp;"""",0))"),"")</f>
        <v/>
      </c>
      <c r="D601" s="140"/>
    </row>
    <row r="602" spans="1:4" ht="13.2">
      <c r="A602" s="193"/>
      <c r="B602" s="173"/>
      <c r="C602" s="139" t="str">
        <f ca="1">IFERROR(__xludf.DUMMYFUNCTION("if(ISBLANK(INDIRECT(ADDRESS(6,(ROW()-5)))),,QUERY('NPC List'!$1:$1000, ""Select C,D WHERE A = ""&amp;INDIRECT(ADDRESS(6,(ROW()-5)))&amp;"""",0))"),"")</f>
        <v/>
      </c>
      <c r="D602" s="140"/>
    </row>
    <row r="603" spans="1:4" ht="13.2">
      <c r="A603" s="193"/>
      <c r="B603" s="173"/>
      <c r="C603" s="139" t="str">
        <f ca="1">IFERROR(__xludf.DUMMYFUNCTION("if(ISBLANK(INDIRECT(ADDRESS(6,(ROW()-5)))),,QUERY('NPC List'!$1:$1000, ""Select C,D WHERE A = ""&amp;INDIRECT(ADDRESS(6,(ROW()-5)))&amp;"""",0))"),"")</f>
        <v/>
      </c>
      <c r="D603" s="140"/>
    </row>
    <row r="604" spans="1:4" ht="13.2">
      <c r="A604" s="193"/>
      <c r="B604" s="173"/>
      <c r="C604" s="139" t="str">
        <f ca="1">IFERROR(__xludf.DUMMYFUNCTION("if(ISBLANK(INDIRECT(ADDRESS(6,(ROW()-5)))),,QUERY('NPC List'!$1:$1000, ""Select C,D WHERE A = ""&amp;INDIRECT(ADDRESS(6,(ROW()-5)))&amp;"""",0))"),"")</f>
        <v/>
      </c>
      <c r="D604" s="140"/>
    </row>
    <row r="605" spans="1:4" ht="13.2">
      <c r="A605" s="193"/>
      <c r="B605" s="173"/>
      <c r="C605" s="139" t="str">
        <f ca="1">IFERROR(__xludf.DUMMYFUNCTION("if(ISBLANK(INDIRECT(ADDRESS(6,(ROW()-5)))),,QUERY('NPC List'!$1:$1000, ""Select C,D WHERE A = ""&amp;INDIRECT(ADDRESS(6,(ROW()-5)))&amp;"""",0))"),"")</f>
        <v/>
      </c>
      <c r="D605" s="140"/>
    </row>
    <row r="606" spans="1:4" ht="13.2">
      <c r="A606" s="193"/>
      <c r="B606" s="173"/>
      <c r="C606" s="139" t="str">
        <f ca="1">IFERROR(__xludf.DUMMYFUNCTION("if(ISBLANK(INDIRECT(ADDRESS(6,(ROW()-5)))),,QUERY('NPC List'!$1:$1000, ""Select C,D WHERE A = ""&amp;INDIRECT(ADDRESS(6,(ROW()-5)))&amp;"""",0))"),"")</f>
        <v/>
      </c>
      <c r="D606" s="140"/>
    </row>
    <row r="607" spans="1:4" ht="13.2">
      <c r="A607" s="193"/>
      <c r="B607" s="173"/>
      <c r="C607" s="139" t="str">
        <f ca="1">IFERROR(__xludf.DUMMYFUNCTION("if(ISBLANK(INDIRECT(ADDRESS(6,(ROW()-5)))),,QUERY('NPC List'!$1:$1000, ""Select C,D WHERE A = ""&amp;INDIRECT(ADDRESS(6,(ROW()-5)))&amp;"""",0))"),"")</f>
        <v/>
      </c>
      <c r="D607" s="140"/>
    </row>
    <row r="608" spans="1:4" ht="13.2">
      <c r="A608" s="193"/>
      <c r="B608" s="173"/>
      <c r="C608" s="139" t="str">
        <f ca="1">IFERROR(__xludf.DUMMYFUNCTION("if(ISBLANK(INDIRECT(ADDRESS(6,(ROW()-5)))),,QUERY('NPC List'!$1:$1000, ""Select C,D WHERE A = ""&amp;INDIRECT(ADDRESS(6,(ROW()-5)))&amp;"""",0))"),"")</f>
        <v/>
      </c>
      <c r="D608" s="140"/>
    </row>
    <row r="609" spans="1:4" ht="13.2">
      <c r="A609" s="193"/>
      <c r="B609" s="173"/>
      <c r="C609" s="139" t="str">
        <f ca="1">IFERROR(__xludf.DUMMYFUNCTION("if(ISBLANK(INDIRECT(ADDRESS(6,(ROW()-5)))),,QUERY('NPC List'!$1:$1000, ""Select C,D WHERE A = ""&amp;INDIRECT(ADDRESS(6,(ROW()-5)))&amp;"""",0))"),"")</f>
        <v/>
      </c>
      <c r="D609" s="140"/>
    </row>
    <row r="610" spans="1:4" ht="13.2">
      <c r="A610" s="193"/>
      <c r="B610" s="173"/>
      <c r="C610" s="139" t="str">
        <f ca="1">IFERROR(__xludf.DUMMYFUNCTION("if(ISBLANK(INDIRECT(ADDRESS(6,(ROW()-5)))),,QUERY('NPC List'!$1:$1000, ""Select C,D WHERE A = ""&amp;INDIRECT(ADDRESS(6,(ROW()-5)))&amp;"""",0))"),"")</f>
        <v/>
      </c>
      <c r="D610" s="140"/>
    </row>
    <row r="611" spans="1:4" ht="13.2">
      <c r="A611" s="193"/>
      <c r="B611" s="173"/>
      <c r="C611" s="139" t="str">
        <f ca="1">IFERROR(__xludf.DUMMYFUNCTION("if(ISBLANK(INDIRECT(ADDRESS(6,(ROW()-5)))),,QUERY('NPC List'!$1:$1000, ""Select C,D WHERE A = ""&amp;INDIRECT(ADDRESS(6,(ROW()-5)))&amp;"""",0))"),"")</f>
        <v/>
      </c>
      <c r="D611" s="140"/>
    </row>
    <row r="612" spans="1:4" ht="13.2">
      <c r="A612" s="193"/>
      <c r="B612" s="173"/>
      <c r="C612" s="139" t="str">
        <f ca="1">IFERROR(__xludf.DUMMYFUNCTION("if(ISBLANK(INDIRECT(ADDRESS(6,(ROW()-5)))),,QUERY('NPC List'!$1:$1000, ""Select C,D WHERE A = ""&amp;INDIRECT(ADDRESS(6,(ROW()-5)))&amp;"""",0))"),"")</f>
        <v/>
      </c>
      <c r="D612" s="140"/>
    </row>
    <row r="613" spans="1:4" ht="13.2">
      <c r="A613" s="193"/>
      <c r="B613" s="173"/>
      <c r="C613" s="139" t="str">
        <f ca="1">IFERROR(__xludf.DUMMYFUNCTION("if(ISBLANK(INDIRECT(ADDRESS(6,(ROW()-5)))),,QUERY('NPC List'!$1:$1000, ""Select C,D WHERE A = ""&amp;INDIRECT(ADDRESS(6,(ROW()-5)))&amp;"""",0))"),"")</f>
        <v/>
      </c>
      <c r="D613" s="140"/>
    </row>
    <row r="614" spans="1:4" ht="13.2">
      <c r="A614" s="193"/>
      <c r="B614" s="173"/>
      <c r="C614" s="139" t="str">
        <f ca="1">IFERROR(__xludf.DUMMYFUNCTION("if(ISBLANK(INDIRECT(ADDRESS(6,(ROW()-5)))),,QUERY('NPC List'!$1:$1000, ""Select C,D WHERE A = ""&amp;INDIRECT(ADDRESS(6,(ROW()-5)))&amp;"""",0))"),"")</f>
        <v/>
      </c>
      <c r="D614" s="140"/>
    </row>
    <row r="615" spans="1:4" ht="13.2">
      <c r="A615" s="193"/>
      <c r="B615" s="173"/>
      <c r="C615" s="139" t="str">
        <f ca="1">IFERROR(__xludf.DUMMYFUNCTION("if(ISBLANK(INDIRECT(ADDRESS(6,(ROW()-5)))),,QUERY('NPC List'!$1:$1000, ""Select C,D WHERE A = ""&amp;INDIRECT(ADDRESS(6,(ROW()-5)))&amp;"""",0))"),"")</f>
        <v/>
      </c>
      <c r="D615" s="140"/>
    </row>
    <row r="616" spans="1:4" ht="13.2">
      <c r="A616" s="193"/>
      <c r="B616" s="173"/>
      <c r="C616" s="139" t="str">
        <f ca="1">IFERROR(__xludf.DUMMYFUNCTION("if(ISBLANK(INDIRECT(ADDRESS(6,(ROW()-5)))),,QUERY('NPC List'!$1:$1000, ""Select C,D WHERE A = ""&amp;INDIRECT(ADDRESS(6,(ROW()-5)))&amp;"""",0))"),"")</f>
        <v/>
      </c>
      <c r="D616" s="140"/>
    </row>
    <row r="617" spans="1:4" ht="13.2">
      <c r="A617" s="193"/>
      <c r="B617" s="173"/>
      <c r="C617" s="139" t="str">
        <f ca="1">IFERROR(__xludf.DUMMYFUNCTION("if(ISBLANK(INDIRECT(ADDRESS(6,(ROW()-5)))),,QUERY('NPC List'!$1:$1000, ""Select C,D WHERE A = ""&amp;INDIRECT(ADDRESS(6,(ROW()-5)))&amp;"""",0))"),"")</f>
        <v/>
      </c>
      <c r="D617" s="140"/>
    </row>
    <row r="618" spans="1:4" ht="13.2">
      <c r="A618" s="193"/>
      <c r="B618" s="173"/>
      <c r="C618" s="139" t="str">
        <f ca="1">IFERROR(__xludf.DUMMYFUNCTION("if(ISBLANK(INDIRECT(ADDRESS(6,(ROW()-5)))),,QUERY('NPC List'!$1:$1000, ""Select C,D WHERE A = ""&amp;INDIRECT(ADDRESS(6,(ROW()-5)))&amp;"""",0))"),"")</f>
        <v/>
      </c>
      <c r="D618" s="140"/>
    </row>
    <row r="619" spans="1:4" ht="13.2">
      <c r="A619" s="193"/>
      <c r="B619" s="173"/>
      <c r="C619" s="139" t="str">
        <f ca="1">IFERROR(__xludf.DUMMYFUNCTION("if(ISBLANK(INDIRECT(ADDRESS(6,(ROW()-5)))),,QUERY('NPC List'!$1:$1000, ""Select C,D WHERE A = ""&amp;INDIRECT(ADDRESS(6,(ROW()-5)))&amp;"""",0))"),"")</f>
        <v/>
      </c>
      <c r="D619" s="140"/>
    </row>
    <row r="620" spans="1:4" ht="13.2">
      <c r="A620" s="193"/>
      <c r="B620" s="173"/>
      <c r="C620" s="139" t="str">
        <f ca="1">IFERROR(__xludf.DUMMYFUNCTION("if(ISBLANK(INDIRECT(ADDRESS(6,(ROW()-5)))),,QUERY('NPC List'!$1:$1000, ""Select C,D WHERE A = ""&amp;INDIRECT(ADDRESS(6,(ROW()-5)))&amp;"""",0))"),"")</f>
        <v/>
      </c>
      <c r="D620" s="140"/>
    </row>
    <row r="621" spans="1:4" ht="13.2">
      <c r="A621" s="193"/>
      <c r="B621" s="173"/>
      <c r="C621" s="139" t="str">
        <f ca="1">IFERROR(__xludf.DUMMYFUNCTION("if(ISBLANK(INDIRECT(ADDRESS(6,(ROW()-5)))),,QUERY('NPC List'!$1:$1000, ""Select C,D WHERE A = ""&amp;INDIRECT(ADDRESS(6,(ROW()-5)))&amp;"""",0))"),"")</f>
        <v/>
      </c>
      <c r="D621" s="140"/>
    </row>
    <row r="622" spans="1:4" ht="13.2">
      <c r="A622" s="193"/>
      <c r="B622" s="173"/>
      <c r="C622" s="139" t="str">
        <f ca="1">IFERROR(__xludf.DUMMYFUNCTION("if(ISBLANK(INDIRECT(ADDRESS(6,(ROW()-5)))),,QUERY('NPC List'!$1:$1000, ""Select C,D WHERE A = ""&amp;INDIRECT(ADDRESS(6,(ROW()-5)))&amp;"""",0))"),"")</f>
        <v/>
      </c>
      <c r="D622" s="140"/>
    </row>
    <row r="623" spans="1:4" ht="13.2">
      <c r="A623" s="193"/>
      <c r="B623" s="173"/>
      <c r="C623" s="139" t="str">
        <f ca="1">IFERROR(__xludf.DUMMYFUNCTION("if(ISBLANK(INDIRECT(ADDRESS(6,(ROW()-5)))),,QUERY('NPC List'!$1:$1000, ""Select C,D WHERE A = ""&amp;INDIRECT(ADDRESS(6,(ROW()-5)))&amp;"""",0))"),"")</f>
        <v/>
      </c>
      <c r="D623" s="140"/>
    </row>
    <row r="624" spans="1:4" ht="13.2">
      <c r="A624" s="193"/>
      <c r="B624" s="173"/>
      <c r="C624" s="139" t="str">
        <f ca="1">IFERROR(__xludf.DUMMYFUNCTION("if(ISBLANK(INDIRECT(ADDRESS(6,(ROW()-5)))),,QUERY('NPC List'!$1:$1000, ""Select C,D WHERE A = ""&amp;INDIRECT(ADDRESS(6,(ROW()-5)))&amp;"""",0))"),"")</f>
        <v/>
      </c>
      <c r="D624" s="140"/>
    </row>
    <row r="625" spans="1:4" ht="13.2">
      <c r="A625" s="193"/>
      <c r="B625" s="173"/>
      <c r="C625" s="139" t="str">
        <f ca="1">IFERROR(__xludf.DUMMYFUNCTION("if(ISBLANK(INDIRECT(ADDRESS(6,(ROW()-5)))),,QUERY('NPC List'!$1:$1000, ""Select C,D WHERE A = ""&amp;INDIRECT(ADDRESS(6,(ROW()-5)))&amp;"""",0))"),"")</f>
        <v/>
      </c>
      <c r="D625" s="140"/>
    </row>
    <row r="626" spans="1:4" ht="13.2">
      <c r="A626" s="193"/>
      <c r="B626" s="173"/>
      <c r="C626" s="139" t="str">
        <f ca="1">IFERROR(__xludf.DUMMYFUNCTION("if(ISBLANK(INDIRECT(ADDRESS(6,(ROW()-5)))),,QUERY('NPC List'!$1:$1000, ""Select C,D WHERE A = ""&amp;INDIRECT(ADDRESS(6,(ROW()-5)))&amp;"""",0))"),"")</f>
        <v/>
      </c>
      <c r="D626" s="140"/>
    </row>
    <row r="627" spans="1:4" ht="13.2">
      <c r="A627" s="193"/>
      <c r="B627" s="173"/>
      <c r="C627" s="139" t="str">
        <f ca="1">IFERROR(__xludf.DUMMYFUNCTION("if(ISBLANK(INDIRECT(ADDRESS(6,(ROW()-5)))),,QUERY('NPC List'!$1:$1000, ""Select C,D WHERE A = ""&amp;INDIRECT(ADDRESS(6,(ROW()-5)))&amp;"""",0))"),"")</f>
        <v/>
      </c>
      <c r="D627" s="140"/>
    </row>
    <row r="628" spans="1:4" ht="13.2">
      <c r="A628" s="193"/>
      <c r="B628" s="173"/>
      <c r="C628" s="139" t="str">
        <f ca="1">IFERROR(__xludf.DUMMYFUNCTION("if(ISBLANK(INDIRECT(ADDRESS(6,(ROW()-5)))),,QUERY('NPC List'!$1:$1000, ""Select C,D WHERE A = ""&amp;INDIRECT(ADDRESS(6,(ROW()-5)))&amp;"""",0))"),"")</f>
        <v/>
      </c>
      <c r="D628" s="140"/>
    </row>
    <row r="629" spans="1:4" ht="13.2">
      <c r="A629" s="193"/>
      <c r="B629" s="173"/>
      <c r="C629" s="139" t="str">
        <f ca="1">IFERROR(__xludf.DUMMYFUNCTION("if(ISBLANK(INDIRECT(ADDRESS(6,(ROW()-5)))),,QUERY('NPC List'!$1:$1000, ""Select C,D WHERE A = ""&amp;INDIRECT(ADDRESS(6,(ROW()-5)))&amp;"""",0))"),"")</f>
        <v/>
      </c>
      <c r="D629" s="140"/>
    </row>
    <row r="630" spans="1:4" ht="13.2">
      <c r="A630" s="193"/>
      <c r="B630" s="173"/>
      <c r="C630" s="139" t="str">
        <f ca="1">IFERROR(__xludf.DUMMYFUNCTION("if(ISBLANK(INDIRECT(ADDRESS(6,(ROW()-5)))),,QUERY('NPC List'!$1:$1000, ""Select C,D WHERE A = ""&amp;INDIRECT(ADDRESS(6,(ROW()-5)))&amp;"""",0))"),"")</f>
        <v/>
      </c>
      <c r="D630" s="140"/>
    </row>
    <row r="631" spans="1:4" ht="13.2">
      <c r="A631" s="193"/>
      <c r="B631" s="173"/>
      <c r="C631" s="139" t="str">
        <f ca="1">IFERROR(__xludf.DUMMYFUNCTION("if(ISBLANK(INDIRECT(ADDRESS(6,(ROW()-5)))),,QUERY('NPC List'!$1:$1000, ""Select C,D WHERE A = ""&amp;INDIRECT(ADDRESS(6,(ROW()-5)))&amp;"""",0))"),"")</f>
        <v/>
      </c>
      <c r="D631" s="140"/>
    </row>
    <row r="632" spans="1:4" ht="13.2">
      <c r="A632" s="193"/>
      <c r="B632" s="173"/>
      <c r="C632" s="139" t="str">
        <f ca="1">IFERROR(__xludf.DUMMYFUNCTION("if(ISBLANK(INDIRECT(ADDRESS(6,(ROW()-5)))),,QUERY('NPC List'!$1:$1000, ""Select C,D WHERE A = ""&amp;INDIRECT(ADDRESS(6,(ROW()-5)))&amp;"""",0))"),"")</f>
        <v/>
      </c>
      <c r="D632" s="140"/>
    </row>
    <row r="633" spans="1:4" ht="13.2">
      <c r="A633" s="193"/>
      <c r="B633" s="173"/>
      <c r="C633" s="139" t="str">
        <f ca="1">IFERROR(__xludf.DUMMYFUNCTION("if(ISBLANK(INDIRECT(ADDRESS(6,(ROW()-5)))),,QUERY('NPC List'!$1:$1000, ""Select C,D WHERE A = ""&amp;INDIRECT(ADDRESS(6,(ROW()-5)))&amp;"""",0))"),"")</f>
        <v/>
      </c>
      <c r="D633" s="140"/>
    </row>
    <row r="634" spans="1:4" ht="13.2">
      <c r="A634" s="193"/>
      <c r="B634" s="173"/>
      <c r="C634" s="139" t="str">
        <f ca="1">IFERROR(__xludf.DUMMYFUNCTION("if(ISBLANK(INDIRECT(ADDRESS(6,(ROW()-5)))),,QUERY('NPC List'!$1:$1000, ""Select C,D WHERE A = ""&amp;INDIRECT(ADDRESS(6,(ROW()-5)))&amp;"""",0))"),"")</f>
        <v/>
      </c>
      <c r="D634" s="140"/>
    </row>
    <row r="635" spans="1:4" ht="13.2">
      <c r="A635" s="193"/>
      <c r="B635" s="173"/>
      <c r="C635" s="139" t="str">
        <f ca="1">IFERROR(__xludf.DUMMYFUNCTION("if(ISBLANK(INDIRECT(ADDRESS(6,(ROW()-5)))),,QUERY('NPC List'!$1:$1000, ""Select C,D WHERE A = ""&amp;INDIRECT(ADDRESS(6,(ROW()-5)))&amp;"""",0))"),"")</f>
        <v/>
      </c>
      <c r="D635" s="140"/>
    </row>
    <row r="636" spans="1:4" ht="13.2">
      <c r="A636" s="193"/>
      <c r="B636" s="173"/>
      <c r="C636" s="139" t="str">
        <f ca="1">IFERROR(__xludf.DUMMYFUNCTION("if(ISBLANK(INDIRECT(ADDRESS(6,(ROW()-5)))),,QUERY('NPC List'!$1:$1000, ""Select C,D WHERE A = ""&amp;INDIRECT(ADDRESS(6,(ROW()-5)))&amp;"""",0))"),"")</f>
        <v/>
      </c>
      <c r="D636" s="140"/>
    </row>
    <row r="637" spans="1:4" ht="13.2">
      <c r="A637" s="193"/>
      <c r="B637" s="173"/>
      <c r="C637" s="139" t="str">
        <f ca="1">IFERROR(__xludf.DUMMYFUNCTION("if(ISBLANK(INDIRECT(ADDRESS(6,(ROW()-5)))),,QUERY('NPC List'!$1:$1000, ""Select C,D WHERE A = ""&amp;INDIRECT(ADDRESS(6,(ROW()-5)))&amp;"""",0))"),"")</f>
        <v/>
      </c>
      <c r="D637" s="140"/>
    </row>
    <row r="638" spans="1:4" ht="13.2">
      <c r="A638" s="193"/>
      <c r="B638" s="173"/>
      <c r="C638" s="139" t="str">
        <f ca="1">IFERROR(__xludf.DUMMYFUNCTION("if(ISBLANK(INDIRECT(ADDRESS(6,(ROW()-5)))),,QUERY('NPC List'!$1:$1000, ""Select C,D WHERE A = ""&amp;INDIRECT(ADDRESS(6,(ROW()-5)))&amp;"""",0))"),"")</f>
        <v/>
      </c>
      <c r="D638" s="140"/>
    </row>
    <row r="639" spans="1:4" ht="13.2">
      <c r="A639" s="193"/>
      <c r="B639" s="173"/>
      <c r="C639" s="139" t="str">
        <f ca="1">IFERROR(__xludf.DUMMYFUNCTION("if(ISBLANK(INDIRECT(ADDRESS(6,(ROW()-5)))),,QUERY('NPC List'!$1:$1000, ""Select C,D WHERE A = ""&amp;INDIRECT(ADDRESS(6,(ROW()-5)))&amp;"""",0))"),"")</f>
        <v/>
      </c>
      <c r="D639" s="140"/>
    </row>
    <row r="640" spans="1:4" ht="13.2">
      <c r="A640" s="193"/>
      <c r="B640" s="173"/>
      <c r="C640" s="139" t="str">
        <f ca="1">IFERROR(__xludf.DUMMYFUNCTION("if(ISBLANK(INDIRECT(ADDRESS(6,(ROW()-5)))),,QUERY('NPC List'!$1:$1000, ""Select C,D WHERE A = ""&amp;INDIRECT(ADDRESS(6,(ROW()-5)))&amp;"""",0))"),"")</f>
        <v/>
      </c>
      <c r="D640" s="140"/>
    </row>
    <row r="641" spans="1:4" ht="13.2">
      <c r="A641" s="193"/>
      <c r="B641" s="173"/>
      <c r="C641" s="139" t="str">
        <f ca="1">IFERROR(__xludf.DUMMYFUNCTION("if(ISBLANK(INDIRECT(ADDRESS(6,(ROW()-5)))),,QUERY('NPC List'!$1:$1000, ""Select C,D WHERE A = ""&amp;INDIRECT(ADDRESS(6,(ROW()-5)))&amp;"""",0))"),"")</f>
        <v/>
      </c>
      <c r="D641" s="140"/>
    </row>
    <row r="642" spans="1:4" ht="13.2">
      <c r="A642" s="193"/>
      <c r="B642" s="173"/>
      <c r="C642" s="139" t="str">
        <f ca="1">IFERROR(__xludf.DUMMYFUNCTION("if(ISBLANK(INDIRECT(ADDRESS(6,(ROW()-5)))),,QUERY('NPC List'!$1:$1000, ""Select C,D WHERE A = ""&amp;INDIRECT(ADDRESS(6,(ROW()-5)))&amp;"""",0))"),"")</f>
        <v/>
      </c>
      <c r="D642" s="140"/>
    </row>
    <row r="643" spans="1:4" ht="13.2">
      <c r="A643" s="193"/>
      <c r="B643" s="173"/>
      <c r="C643" s="139" t="str">
        <f ca="1">IFERROR(__xludf.DUMMYFUNCTION("if(ISBLANK(INDIRECT(ADDRESS(6,(ROW()-5)))),,QUERY('NPC List'!$1:$1000, ""Select C,D WHERE A = ""&amp;INDIRECT(ADDRESS(6,(ROW()-5)))&amp;"""",0))"),"")</f>
        <v/>
      </c>
      <c r="D643" s="140"/>
    </row>
    <row r="644" spans="1:4" ht="13.2">
      <c r="A644" s="193"/>
      <c r="B644" s="173"/>
      <c r="C644" s="139" t="str">
        <f ca="1">IFERROR(__xludf.DUMMYFUNCTION("if(ISBLANK(INDIRECT(ADDRESS(6,(ROW()-5)))),,QUERY('NPC List'!$1:$1000, ""Select C,D WHERE A = ""&amp;INDIRECT(ADDRESS(6,(ROW()-5)))&amp;"""",0))"),"")</f>
        <v/>
      </c>
      <c r="D644" s="140"/>
    </row>
    <row r="645" spans="1:4" ht="13.2">
      <c r="A645" s="193"/>
      <c r="B645" s="173"/>
      <c r="C645" s="139" t="str">
        <f ca="1">IFERROR(__xludf.DUMMYFUNCTION("if(ISBLANK(INDIRECT(ADDRESS(6,(ROW()-5)))),,QUERY('NPC List'!$1:$1000, ""Select C,D WHERE A = ""&amp;INDIRECT(ADDRESS(6,(ROW()-5)))&amp;"""",0))"),"")</f>
        <v/>
      </c>
      <c r="D645" s="140"/>
    </row>
    <row r="646" spans="1:4" ht="13.2">
      <c r="A646" s="193"/>
      <c r="B646" s="173"/>
      <c r="C646" s="139" t="str">
        <f ca="1">IFERROR(__xludf.DUMMYFUNCTION("if(ISBLANK(INDIRECT(ADDRESS(6,(ROW()-5)))),,QUERY('NPC List'!$1:$1000, ""Select C,D WHERE A = ""&amp;INDIRECT(ADDRESS(6,(ROW()-5)))&amp;"""",0))"),"")</f>
        <v/>
      </c>
      <c r="D646" s="140"/>
    </row>
    <row r="647" spans="1:4" ht="13.2">
      <c r="A647" s="193"/>
      <c r="B647" s="173"/>
      <c r="C647" s="139" t="str">
        <f ca="1">IFERROR(__xludf.DUMMYFUNCTION("if(ISBLANK(INDIRECT(ADDRESS(6,(ROW()-5)))),,QUERY('NPC List'!$1:$1000, ""Select C,D WHERE A = ""&amp;INDIRECT(ADDRESS(6,(ROW()-5)))&amp;"""",0))"),"")</f>
        <v/>
      </c>
      <c r="D647" s="140"/>
    </row>
    <row r="648" spans="1:4" ht="13.2">
      <c r="A648" s="193"/>
      <c r="B648" s="173"/>
      <c r="C648" s="139" t="str">
        <f ca="1">IFERROR(__xludf.DUMMYFUNCTION("if(ISBLANK(INDIRECT(ADDRESS(6,(ROW()-5)))),,QUERY('NPC List'!$1:$1000, ""Select C,D WHERE A = ""&amp;INDIRECT(ADDRESS(6,(ROW()-5)))&amp;"""",0))"),"")</f>
        <v/>
      </c>
      <c r="D648" s="140"/>
    </row>
    <row r="649" spans="1:4" ht="13.2">
      <c r="A649" s="193"/>
      <c r="B649" s="173"/>
      <c r="C649" s="139" t="str">
        <f ca="1">IFERROR(__xludf.DUMMYFUNCTION("if(ISBLANK(INDIRECT(ADDRESS(6,(ROW()-5)))),,QUERY('NPC List'!$1:$1000, ""Select C,D WHERE A = ""&amp;INDIRECT(ADDRESS(6,(ROW()-5)))&amp;"""",0))"),"")</f>
        <v/>
      </c>
      <c r="D649" s="140"/>
    </row>
    <row r="650" spans="1:4" ht="13.2">
      <c r="A650" s="193"/>
      <c r="B650" s="173"/>
      <c r="C650" s="139" t="str">
        <f ca="1">IFERROR(__xludf.DUMMYFUNCTION("if(ISBLANK(INDIRECT(ADDRESS(6,(ROW()-5)))),,QUERY('NPC List'!$1:$1000, ""Select C,D WHERE A = ""&amp;INDIRECT(ADDRESS(6,(ROW()-5)))&amp;"""",0))"),"")</f>
        <v/>
      </c>
      <c r="D650" s="140"/>
    </row>
    <row r="651" spans="1:4" ht="13.2">
      <c r="A651" s="193"/>
      <c r="B651" s="173"/>
      <c r="C651" s="139" t="str">
        <f ca="1">IFERROR(__xludf.DUMMYFUNCTION("if(ISBLANK(INDIRECT(ADDRESS(6,(ROW()-5)))),,QUERY('NPC List'!$1:$1000, ""Select C,D WHERE A = ""&amp;INDIRECT(ADDRESS(6,(ROW()-5)))&amp;"""",0))"),"")</f>
        <v/>
      </c>
      <c r="D651" s="140"/>
    </row>
    <row r="652" spans="1:4" ht="13.2">
      <c r="A652" s="193"/>
      <c r="B652" s="173"/>
      <c r="C652" s="139" t="str">
        <f ca="1">IFERROR(__xludf.DUMMYFUNCTION("if(ISBLANK(INDIRECT(ADDRESS(6,(ROW()-5)))),,QUERY('NPC List'!$1:$1000, ""Select C,D WHERE A = ""&amp;INDIRECT(ADDRESS(6,(ROW()-5)))&amp;"""",0))"),"")</f>
        <v/>
      </c>
      <c r="D652" s="140"/>
    </row>
    <row r="653" spans="1:4" ht="13.2">
      <c r="A653" s="193"/>
      <c r="B653" s="173"/>
      <c r="C653" s="139" t="str">
        <f ca="1">IFERROR(__xludf.DUMMYFUNCTION("if(ISBLANK(INDIRECT(ADDRESS(6,(ROW()-5)))),,QUERY('NPC List'!$1:$1000, ""Select C,D WHERE A = ""&amp;INDIRECT(ADDRESS(6,(ROW()-5)))&amp;"""",0))"),"")</f>
        <v/>
      </c>
      <c r="D653" s="140"/>
    </row>
    <row r="654" spans="1:4" ht="13.2">
      <c r="A654" s="193"/>
      <c r="B654" s="173"/>
      <c r="C654" s="139" t="str">
        <f ca="1">IFERROR(__xludf.DUMMYFUNCTION("if(ISBLANK(INDIRECT(ADDRESS(6,(ROW()-5)))),,QUERY('NPC List'!$1:$1000, ""Select C,D WHERE A = ""&amp;INDIRECT(ADDRESS(6,(ROW()-5)))&amp;"""",0))"),"")</f>
        <v/>
      </c>
      <c r="D654" s="140"/>
    </row>
    <row r="655" spans="1:4" ht="13.2">
      <c r="A655" s="193"/>
      <c r="B655" s="173"/>
      <c r="C655" s="139" t="str">
        <f ca="1">IFERROR(__xludf.DUMMYFUNCTION("if(ISBLANK(INDIRECT(ADDRESS(6,(ROW()-5)))),,QUERY('NPC List'!$1:$1000, ""Select C,D WHERE A = ""&amp;INDIRECT(ADDRESS(6,(ROW()-5)))&amp;"""",0))"),"")</f>
        <v/>
      </c>
      <c r="D655" s="140"/>
    </row>
    <row r="656" spans="1:4" ht="13.2">
      <c r="A656" s="193"/>
      <c r="B656" s="173"/>
      <c r="C656" s="139" t="str">
        <f ca="1">IFERROR(__xludf.DUMMYFUNCTION("if(ISBLANK(INDIRECT(ADDRESS(6,(ROW()-5)))),,QUERY('NPC List'!$1:$1000, ""Select C,D WHERE A = ""&amp;INDIRECT(ADDRESS(6,(ROW()-5)))&amp;"""",0))"),"")</f>
        <v/>
      </c>
      <c r="D656" s="140"/>
    </row>
    <row r="657" spans="1:4" ht="13.2">
      <c r="A657" s="193"/>
      <c r="B657" s="173"/>
      <c r="C657" s="139" t="str">
        <f ca="1">IFERROR(__xludf.DUMMYFUNCTION("if(ISBLANK(INDIRECT(ADDRESS(6,(ROW()-5)))),,QUERY('NPC List'!$1:$1000, ""Select C,D WHERE A = ""&amp;INDIRECT(ADDRESS(6,(ROW()-5)))&amp;"""",0))"),"")</f>
        <v/>
      </c>
      <c r="D657" s="140"/>
    </row>
    <row r="658" spans="1:4" ht="13.2">
      <c r="A658" s="193"/>
      <c r="B658" s="173"/>
      <c r="C658" s="139" t="str">
        <f ca="1">IFERROR(__xludf.DUMMYFUNCTION("if(ISBLANK(INDIRECT(ADDRESS(6,(ROW()-5)))),,QUERY('NPC List'!$1:$1000, ""Select C,D WHERE A = ""&amp;INDIRECT(ADDRESS(6,(ROW()-5)))&amp;"""",0))"),"")</f>
        <v/>
      </c>
      <c r="D658" s="140"/>
    </row>
    <row r="659" spans="1:4" ht="13.2">
      <c r="A659" s="193"/>
      <c r="B659" s="173"/>
      <c r="C659" s="139" t="str">
        <f ca="1">IFERROR(__xludf.DUMMYFUNCTION("if(ISBLANK(INDIRECT(ADDRESS(6,(ROW()-5)))),,QUERY('NPC List'!$1:$1000, ""Select C,D WHERE A = ""&amp;INDIRECT(ADDRESS(6,(ROW()-5)))&amp;"""",0))"),"")</f>
        <v/>
      </c>
      <c r="D659" s="140"/>
    </row>
    <row r="660" spans="1:4" ht="13.2">
      <c r="A660" s="193"/>
      <c r="B660" s="173"/>
      <c r="C660" s="139" t="str">
        <f ca="1">IFERROR(__xludf.DUMMYFUNCTION("if(ISBLANK(INDIRECT(ADDRESS(6,(ROW()-5)))),,QUERY('NPC List'!$1:$1000, ""Select C,D WHERE A = ""&amp;INDIRECT(ADDRESS(6,(ROW()-5)))&amp;"""",0))"),"")</f>
        <v/>
      </c>
      <c r="D660" s="140"/>
    </row>
    <row r="661" spans="1:4" ht="13.2">
      <c r="A661" s="193"/>
      <c r="B661" s="173"/>
      <c r="C661" s="139" t="str">
        <f ca="1">IFERROR(__xludf.DUMMYFUNCTION("if(ISBLANK(INDIRECT(ADDRESS(6,(ROW()-5)))),,QUERY('NPC List'!$1:$1000, ""Select C,D WHERE A = ""&amp;INDIRECT(ADDRESS(6,(ROW()-5)))&amp;"""",0))"),"")</f>
        <v/>
      </c>
      <c r="D661" s="140"/>
    </row>
    <row r="662" spans="1:4" ht="13.2">
      <c r="A662" s="193"/>
      <c r="B662" s="173"/>
      <c r="C662" s="139" t="str">
        <f ca="1">IFERROR(__xludf.DUMMYFUNCTION("if(ISBLANK(INDIRECT(ADDRESS(6,(ROW()-5)))),,QUERY('NPC List'!$1:$1000, ""Select C,D WHERE A = ""&amp;INDIRECT(ADDRESS(6,(ROW()-5)))&amp;"""",0))"),"")</f>
        <v/>
      </c>
      <c r="D662" s="140"/>
    </row>
    <row r="663" spans="1:4" ht="13.2">
      <c r="A663" s="193"/>
      <c r="B663" s="173"/>
      <c r="C663" s="139" t="str">
        <f ca="1">IFERROR(__xludf.DUMMYFUNCTION("if(ISBLANK(INDIRECT(ADDRESS(6,(ROW()-5)))),,QUERY('NPC List'!$1:$1000, ""Select C,D WHERE A = ""&amp;INDIRECT(ADDRESS(6,(ROW()-5)))&amp;"""",0))"),"")</f>
        <v/>
      </c>
      <c r="D663" s="140"/>
    </row>
    <row r="664" spans="1:4" ht="13.2">
      <c r="A664" s="193"/>
      <c r="B664" s="173"/>
      <c r="C664" s="139" t="str">
        <f ca="1">IFERROR(__xludf.DUMMYFUNCTION("if(ISBLANK(INDIRECT(ADDRESS(6,(ROW()-5)))),,QUERY('NPC List'!$1:$1000, ""Select C,D WHERE A = ""&amp;INDIRECT(ADDRESS(6,(ROW()-5)))&amp;"""",0))"),"")</f>
        <v/>
      </c>
      <c r="D664" s="140"/>
    </row>
    <row r="665" spans="1:4" ht="13.2">
      <c r="A665" s="193"/>
      <c r="B665" s="173"/>
      <c r="C665" s="139" t="str">
        <f ca="1">IFERROR(__xludf.DUMMYFUNCTION("if(ISBLANK(INDIRECT(ADDRESS(6,(ROW()-5)))),,QUERY('NPC List'!$1:$1000, ""Select C,D WHERE A = ""&amp;INDIRECT(ADDRESS(6,(ROW()-5)))&amp;"""",0))"),"")</f>
        <v/>
      </c>
      <c r="D665" s="140"/>
    </row>
    <row r="666" spans="1:4" ht="13.2">
      <c r="A666" s="193"/>
      <c r="B666" s="173"/>
      <c r="C666" s="139" t="str">
        <f ca="1">IFERROR(__xludf.DUMMYFUNCTION("if(ISBLANK(INDIRECT(ADDRESS(6,(ROW()-5)))),,QUERY('NPC List'!$1:$1000, ""Select C,D WHERE A = ""&amp;INDIRECT(ADDRESS(6,(ROW()-5)))&amp;"""",0))"),"")</f>
        <v/>
      </c>
      <c r="D666" s="140"/>
    </row>
    <row r="667" spans="1:4" ht="13.2">
      <c r="A667" s="193"/>
      <c r="B667" s="173"/>
      <c r="C667" s="139" t="str">
        <f ca="1">IFERROR(__xludf.DUMMYFUNCTION("if(ISBLANK(INDIRECT(ADDRESS(6,(ROW()-5)))),,QUERY('NPC List'!$1:$1000, ""Select C,D WHERE A = ""&amp;INDIRECT(ADDRESS(6,(ROW()-5)))&amp;"""",0))"),"")</f>
        <v/>
      </c>
      <c r="D667" s="140"/>
    </row>
    <row r="668" spans="1:4" ht="13.2">
      <c r="A668" s="193"/>
      <c r="B668" s="173"/>
      <c r="C668" s="139" t="str">
        <f ca="1">IFERROR(__xludf.DUMMYFUNCTION("if(ISBLANK(INDIRECT(ADDRESS(6,(ROW()-5)))),,QUERY('NPC List'!$1:$1000, ""Select C,D WHERE A = ""&amp;INDIRECT(ADDRESS(6,(ROW()-5)))&amp;"""",0))"),"")</f>
        <v/>
      </c>
      <c r="D668" s="140"/>
    </row>
    <row r="669" spans="1:4" ht="13.2">
      <c r="A669" s="193"/>
      <c r="B669" s="173"/>
      <c r="C669" s="139" t="str">
        <f ca="1">IFERROR(__xludf.DUMMYFUNCTION("if(ISBLANK(INDIRECT(ADDRESS(6,(ROW()-5)))),,QUERY('NPC List'!$1:$1000, ""Select C,D WHERE A = ""&amp;INDIRECT(ADDRESS(6,(ROW()-5)))&amp;"""",0))"),"")</f>
        <v/>
      </c>
      <c r="D669" s="140"/>
    </row>
    <row r="670" spans="1:4" ht="13.2">
      <c r="A670" s="193"/>
      <c r="B670" s="173"/>
      <c r="C670" s="139" t="str">
        <f ca="1">IFERROR(__xludf.DUMMYFUNCTION("if(ISBLANK(INDIRECT(ADDRESS(6,(ROW()-5)))),,QUERY('NPC List'!$1:$1000, ""Select C,D WHERE A = ""&amp;INDIRECT(ADDRESS(6,(ROW()-5)))&amp;"""",0))"),"")</f>
        <v/>
      </c>
      <c r="D670" s="140"/>
    </row>
    <row r="671" spans="1:4" ht="13.2">
      <c r="A671" s="193"/>
      <c r="B671" s="173"/>
      <c r="C671" s="139" t="str">
        <f ca="1">IFERROR(__xludf.DUMMYFUNCTION("if(ISBLANK(INDIRECT(ADDRESS(6,(ROW()-5)))),,QUERY('NPC List'!$1:$1000, ""Select C,D WHERE A = ""&amp;INDIRECT(ADDRESS(6,(ROW()-5)))&amp;"""",0))"),"")</f>
        <v/>
      </c>
      <c r="D671" s="140"/>
    </row>
    <row r="672" spans="1:4" ht="13.2">
      <c r="A672" s="193"/>
      <c r="B672" s="173"/>
      <c r="C672" s="139" t="str">
        <f ca="1">IFERROR(__xludf.DUMMYFUNCTION("if(ISBLANK(INDIRECT(ADDRESS(6,(ROW()-5)))),,QUERY('NPC List'!$1:$1000, ""Select C,D WHERE A = ""&amp;INDIRECT(ADDRESS(6,(ROW()-5)))&amp;"""",0))"),"")</f>
        <v/>
      </c>
      <c r="D672" s="140"/>
    </row>
    <row r="673" spans="1:4" ht="13.2">
      <c r="A673" s="193"/>
      <c r="B673" s="173"/>
      <c r="C673" s="139" t="str">
        <f ca="1">IFERROR(__xludf.DUMMYFUNCTION("if(ISBLANK(INDIRECT(ADDRESS(6,(ROW()-5)))),,QUERY('NPC List'!$1:$1000, ""Select C,D WHERE A = ""&amp;INDIRECT(ADDRESS(6,(ROW()-5)))&amp;"""",0))"),"")</f>
        <v/>
      </c>
      <c r="D673" s="140"/>
    </row>
    <row r="674" spans="1:4" ht="13.2">
      <c r="A674" s="193"/>
      <c r="B674" s="173"/>
      <c r="C674" s="139" t="str">
        <f ca="1">IFERROR(__xludf.DUMMYFUNCTION("if(ISBLANK(INDIRECT(ADDRESS(6,(ROW()-5)))),,QUERY('NPC List'!$1:$1000, ""Select C,D WHERE A = ""&amp;INDIRECT(ADDRESS(6,(ROW()-5)))&amp;"""",0))"),"")</f>
        <v/>
      </c>
      <c r="D674" s="140"/>
    </row>
    <row r="675" spans="1:4" ht="13.2">
      <c r="A675" s="193"/>
      <c r="B675" s="173"/>
      <c r="C675" s="139" t="str">
        <f ca="1">IFERROR(__xludf.DUMMYFUNCTION("if(ISBLANK(INDIRECT(ADDRESS(6,(ROW()-5)))),,QUERY('NPC List'!$1:$1000, ""Select C,D WHERE A = ""&amp;INDIRECT(ADDRESS(6,(ROW()-5)))&amp;"""",0))"),"")</f>
        <v/>
      </c>
      <c r="D675" s="140"/>
    </row>
    <row r="676" spans="1:4" ht="13.2">
      <c r="A676" s="193"/>
      <c r="B676" s="173"/>
      <c r="C676" s="139" t="str">
        <f ca="1">IFERROR(__xludf.DUMMYFUNCTION("if(ISBLANK(INDIRECT(ADDRESS(6,(ROW()-5)))),,QUERY('NPC List'!$1:$1000, ""Select C,D WHERE A = ""&amp;INDIRECT(ADDRESS(6,(ROW()-5)))&amp;"""",0))"),"")</f>
        <v/>
      </c>
      <c r="D676" s="140"/>
    </row>
    <row r="677" spans="1:4" ht="13.2">
      <c r="A677" s="193"/>
      <c r="B677" s="173"/>
      <c r="C677" s="139" t="str">
        <f ca="1">IFERROR(__xludf.DUMMYFUNCTION("if(ISBLANK(INDIRECT(ADDRESS(6,(ROW()-5)))),,QUERY('NPC List'!$1:$1000, ""Select C,D WHERE A = ""&amp;INDIRECT(ADDRESS(6,(ROW()-5)))&amp;"""",0))"),"")</f>
        <v/>
      </c>
      <c r="D677" s="140"/>
    </row>
    <row r="678" spans="1:4" ht="13.2">
      <c r="A678" s="193"/>
      <c r="B678" s="173"/>
      <c r="C678" s="139" t="str">
        <f ca="1">IFERROR(__xludf.DUMMYFUNCTION("if(ISBLANK(INDIRECT(ADDRESS(6,(ROW()-5)))),,QUERY('NPC List'!$1:$1000, ""Select C,D WHERE A = ""&amp;INDIRECT(ADDRESS(6,(ROW()-5)))&amp;"""",0))"),"")</f>
        <v/>
      </c>
      <c r="D678" s="140"/>
    </row>
    <row r="679" spans="1:4" ht="13.2">
      <c r="A679" s="193"/>
      <c r="B679" s="173"/>
      <c r="C679" s="139" t="str">
        <f ca="1">IFERROR(__xludf.DUMMYFUNCTION("if(ISBLANK(INDIRECT(ADDRESS(6,(ROW()-5)))),,QUERY('NPC List'!$1:$1000, ""Select C,D WHERE A = ""&amp;INDIRECT(ADDRESS(6,(ROW()-5)))&amp;"""",0))"),"")</f>
        <v/>
      </c>
      <c r="D679" s="140"/>
    </row>
    <row r="680" spans="1:4" ht="13.2">
      <c r="A680" s="193"/>
      <c r="B680" s="173"/>
      <c r="C680" s="139" t="str">
        <f ca="1">IFERROR(__xludf.DUMMYFUNCTION("if(ISBLANK(INDIRECT(ADDRESS(6,(ROW()-5)))),,QUERY('NPC List'!$1:$1000, ""Select C,D WHERE A = ""&amp;INDIRECT(ADDRESS(6,(ROW()-5)))&amp;"""",0))"),"")</f>
        <v/>
      </c>
      <c r="D680" s="140"/>
    </row>
    <row r="681" spans="1:4" ht="13.2">
      <c r="A681" s="193"/>
      <c r="B681" s="173"/>
      <c r="C681" s="139" t="str">
        <f ca="1">IFERROR(__xludf.DUMMYFUNCTION("if(ISBLANK(INDIRECT(ADDRESS(6,(ROW()-5)))),,QUERY('NPC List'!$1:$1000, ""Select C,D WHERE A = ""&amp;INDIRECT(ADDRESS(6,(ROW()-5)))&amp;"""",0))"),"")</f>
        <v/>
      </c>
      <c r="D681" s="140"/>
    </row>
    <row r="682" spans="1:4" ht="13.2">
      <c r="A682" s="193"/>
      <c r="B682" s="173"/>
      <c r="C682" s="139" t="str">
        <f ca="1">IFERROR(__xludf.DUMMYFUNCTION("if(ISBLANK(INDIRECT(ADDRESS(6,(ROW()-5)))),,QUERY('NPC List'!$1:$1000, ""Select C,D WHERE A = ""&amp;INDIRECT(ADDRESS(6,(ROW()-5)))&amp;"""",0))"),"")</f>
        <v/>
      </c>
      <c r="D682" s="140"/>
    </row>
    <row r="683" spans="1:4" ht="13.2">
      <c r="A683" s="193"/>
      <c r="B683" s="173"/>
      <c r="C683" s="139" t="str">
        <f ca="1">IFERROR(__xludf.DUMMYFUNCTION("if(ISBLANK(INDIRECT(ADDRESS(6,(ROW()-5)))),,QUERY('NPC List'!$1:$1000, ""Select C,D WHERE A = ""&amp;INDIRECT(ADDRESS(6,(ROW()-5)))&amp;"""",0))"),"")</f>
        <v/>
      </c>
      <c r="D683" s="140"/>
    </row>
    <row r="684" spans="1:4" ht="13.2">
      <c r="A684" s="193"/>
      <c r="B684" s="173"/>
      <c r="C684" s="139" t="str">
        <f ca="1">IFERROR(__xludf.DUMMYFUNCTION("if(ISBLANK(INDIRECT(ADDRESS(6,(ROW()-5)))),,QUERY('NPC List'!$1:$1000, ""Select C,D WHERE A = ""&amp;INDIRECT(ADDRESS(6,(ROW()-5)))&amp;"""",0))"),"")</f>
        <v/>
      </c>
      <c r="D684" s="140"/>
    </row>
    <row r="685" spans="1:4" ht="13.2">
      <c r="A685" s="193"/>
      <c r="B685" s="173"/>
      <c r="C685" s="139" t="str">
        <f ca="1">IFERROR(__xludf.DUMMYFUNCTION("if(ISBLANK(INDIRECT(ADDRESS(6,(ROW()-5)))),,QUERY('NPC List'!$1:$1000, ""Select C,D WHERE A = ""&amp;INDIRECT(ADDRESS(6,(ROW()-5)))&amp;"""",0))"),"")</f>
        <v/>
      </c>
      <c r="D685" s="140"/>
    </row>
    <row r="686" spans="1:4" ht="13.2">
      <c r="A686" s="193"/>
      <c r="B686" s="173"/>
      <c r="C686" s="139" t="str">
        <f ca="1">IFERROR(__xludf.DUMMYFUNCTION("if(ISBLANK(INDIRECT(ADDRESS(6,(ROW()-5)))),,QUERY('NPC List'!$1:$1000, ""Select C,D WHERE A = ""&amp;INDIRECT(ADDRESS(6,(ROW()-5)))&amp;"""",0))"),"")</f>
        <v/>
      </c>
      <c r="D686" s="140"/>
    </row>
    <row r="687" spans="1:4" ht="13.2">
      <c r="A687" s="193"/>
      <c r="B687" s="173"/>
      <c r="C687" s="139" t="str">
        <f ca="1">IFERROR(__xludf.DUMMYFUNCTION("if(ISBLANK(INDIRECT(ADDRESS(6,(ROW()-5)))),,QUERY('NPC List'!$1:$1000, ""Select C,D WHERE A = ""&amp;INDIRECT(ADDRESS(6,(ROW()-5)))&amp;"""",0))"),"")</f>
        <v/>
      </c>
      <c r="D687" s="140"/>
    </row>
    <row r="688" spans="1:4" ht="13.2">
      <c r="A688" s="193"/>
      <c r="B688" s="173"/>
      <c r="C688" s="139" t="str">
        <f ca="1">IFERROR(__xludf.DUMMYFUNCTION("if(ISBLANK(INDIRECT(ADDRESS(6,(ROW()-5)))),,QUERY('NPC List'!$1:$1000, ""Select C,D WHERE A = ""&amp;INDIRECT(ADDRESS(6,(ROW()-5)))&amp;"""",0))"),"")</f>
        <v/>
      </c>
      <c r="D688" s="140"/>
    </row>
    <row r="689" spans="1:4" ht="13.2">
      <c r="A689" s="193"/>
      <c r="B689" s="173"/>
      <c r="C689" s="139" t="str">
        <f ca="1">IFERROR(__xludf.DUMMYFUNCTION("if(ISBLANK(INDIRECT(ADDRESS(6,(ROW()-5)))),,QUERY('NPC List'!$1:$1000, ""Select C,D WHERE A = ""&amp;INDIRECT(ADDRESS(6,(ROW()-5)))&amp;"""",0))"),"")</f>
        <v/>
      </c>
      <c r="D689" s="140"/>
    </row>
    <row r="690" spans="1:4" ht="13.2">
      <c r="A690" s="193"/>
      <c r="B690" s="173"/>
      <c r="C690" s="139" t="str">
        <f ca="1">IFERROR(__xludf.DUMMYFUNCTION("if(ISBLANK(INDIRECT(ADDRESS(6,(ROW()-5)))),,QUERY('NPC List'!$1:$1000, ""Select C,D WHERE A = ""&amp;INDIRECT(ADDRESS(6,(ROW()-5)))&amp;"""",0))"),"")</f>
        <v/>
      </c>
      <c r="D690" s="140"/>
    </row>
    <row r="691" spans="1:4" ht="13.2">
      <c r="A691" s="193"/>
      <c r="B691" s="173"/>
      <c r="C691" s="139" t="str">
        <f ca="1">IFERROR(__xludf.DUMMYFUNCTION("if(ISBLANK(INDIRECT(ADDRESS(6,(ROW()-5)))),,QUERY('NPC List'!$1:$1000, ""Select C,D WHERE A = ""&amp;INDIRECT(ADDRESS(6,(ROW()-5)))&amp;"""",0))"),"")</f>
        <v/>
      </c>
      <c r="D691" s="140"/>
    </row>
    <row r="692" spans="1:4" ht="13.2">
      <c r="A692" s="193"/>
      <c r="B692" s="173"/>
      <c r="C692" s="139" t="str">
        <f ca="1">IFERROR(__xludf.DUMMYFUNCTION("if(ISBLANK(INDIRECT(ADDRESS(6,(ROW()-5)))),,QUERY('NPC List'!$1:$1000, ""Select C,D WHERE A = ""&amp;INDIRECT(ADDRESS(6,(ROW()-5)))&amp;"""",0))"),"")</f>
        <v/>
      </c>
      <c r="D692" s="140"/>
    </row>
    <row r="693" spans="1:4" ht="13.2">
      <c r="A693" s="193"/>
      <c r="B693" s="173"/>
      <c r="C693" s="139" t="str">
        <f ca="1">IFERROR(__xludf.DUMMYFUNCTION("if(ISBLANK(INDIRECT(ADDRESS(6,(ROW()-5)))),,QUERY('NPC List'!$1:$1000, ""Select C,D WHERE A = ""&amp;INDIRECT(ADDRESS(6,(ROW()-5)))&amp;"""",0))"),"")</f>
        <v/>
      </c>
      <c r="D693" s="140"/>
    </row>
    <row r="694" spans="1:4" ht="13.2">
      <c r="A694" s="193"/>
      <c r="B694" s="173"/>
      <c r="C694" s="139" t="str">
        <f ca="1">IFERROR(__xludf.DUMMYFUNCTION("if(ISBLANK(INDIRECT(ADDRESS(6,(ROW()-5)))),,QUERY('NPC List'!$1:$1000, ""Select C,D WHERE A = ""&amp;INDIRECT(ADDRESS(6,(ROW()-5)))&amp;"""",0))"),"")</f>
        <v/>
      </c>
      <c r="D694" s="140"/>
    </row>
    <row r="695" spans="1:4" ht="13.2">
      <c r="A695" s="193"/>
      <c r="B695" s="173"/>
      <c r="C695" s="139" t="str">
        <f ca="1">IFERROR(__xludf.DUMMYFUNCTION("if(ISBLANK(INDIRECT(ADDRESS(6,(ROW()-5)))),,QUERY('NPC List'!$1:$1000, ""Select C,D WHERE A = ""&amp;INDIRECT(ADDRESS(6,(ROW()-5)))&amp;"""",0))"),"")</f>
        <v/>
      </c>
      <c r="D695" s="140"/>
    </row>
    <row r="696" spans="1:4" ht="13.2">
      <c r="A696" s="193"/>
      <c r="B696" s="173"/>
      <c r="C696" s="139" t="str">
        <f ca="1">IFERROR(__xludf.DUMMYFUNCTION("if(ISBLANK(INDIRECT(ADDRESS(6,(ROW()-5)))),,QUERY('NPC List'!$1:$1000, ""Select C,D WHERE A = ""&amp;INDIRECT(ADDRESS(6,(ROW()-5)))&amp;"""",0))"),"")</f>
        <v/>
      </c>
      <c r="D696" s="140"/>
    </row>
    <row r="697" spans="1:4" ht="13.2">
      <c r="A697" s="193"/>
      <c r="B697" s="173"/>
      <c r="C697" s="139" t="str">
        <f ca="1">IFERROR(__xludf.DUMMYFUNCTION("if(ISBLANK(INDIRECT(ADDRESS(6,(ROW()-5)))),,QUERY('NPC List'!$1:$1000, ""Select C,D WHERE A = ""&amp;INDIRECT(ADDRESS(6,(ROW()-5)))&amp;"""",0))"),"")</f>
        <v/>
      </c>
      <c r="D697" s="140"/>
    </row>
    <row r="698" spans="1:4" ht="13.2">
      <c r="A698" s="193"/>
      <c r="B698" s="173"/>
      <c r="C698" s="139" t="str">
        <f ca="1">IFERROR(__xludf.DUMMYFUNCTION("if(ISBLANK(INDIRECT(ADDRESS(6,(ROW()-5)))),,QUERY('NPC List'!$1:$1000, ""Select C,D WHERE A = ""&amp;INDIRECT(ADDRESS(6,(ROW()-5)))&amp;"""",0))"),"")</f>
        <v/>
      </c>
      <c r="D698" s="140"/>
    </row>
    <row r="699" spans="1:4" ht="13.2">
      <c r="A699" s="193"/>
      <c r="B699" s="173"/>
      <c r="C699" s="139" t="str">
        <f ca="1">IFERROR(__xludf.DUMMYFUNCTION("if(ISBLANK(INDIRECT(ADDRESS(6,(ROW()-5)))),,QUERY('NPC List'!$1:$1000, ""Select C,D WHERE A = ""&amp;INDIRECT(ADDRESS(6,(ROW()-5)))&amp;"""",0))"),"")</f>
        <v/>
      </c>
      <c r="D699" s="140"/>
    </row>
    <row r="700" spans="1:4" ht="13.2">
      <c r="A700" s="193"/>
      <c r="B700" s="173"/>
      <c r="C700" s="139" t="str">
        <f ca="1">IFERROR(__xludf.DUMMYFUNCTION("if(ISBLANK(INDIRECT(ADDRESS(6,(ROW()-5)))),,QUERY('NPC List'!$1:$1000, ""Select C,D WHERE A = ""&amp;INDIRECT(ADDRESS(6,(ROW()-5)))&amp;"""",0))"),"")</f>
        <v/>
      </c>
      <c r="D700" s="140"/>
    </row>
    <row r="701" spans="1:4" ht="13.2">
      <c r="A701" s="193"/>
      <c r="B701" s="173"/>
      <c r="C701" s="139" t="str">
        <f ca="1">IFERROR(__xludf.DUMMYFUNCTION("if(ISBLANK(INDIRECT(ADDRESS(6,(ROW()-5)))),,QUERY('NPC List'!$1:$1000, ""Select C,D WHERE A = ""&amp;INDIRECT(ADDRESS(6,(ROW()-5)))&amp;"""",0))"),"")</f>
        <v/>
      </c>
      <c r="D701" s="140"/>
    </row>
    <row r="702" spans="1:4" ht="13.2">
      <c r="A702" s="193"/>
      <c r="B702" s="173"/>
      <c r="C702" s="139" t="str">
        <f ca="1">IFERROR(__xludf.DUMMYFUNCTION("if(ISBLANK(INDIRECT(ADDRESS(6,(ROW()-5)))),,QUERY('NPC List'!$1:$1000, ""Select C,D WHERE A = ""&amp;INDIRECT(ADDRESS(6,(ROW()-5)))&amp;"""",0))"),"")</f>
        <v/>
      </c>
      <c r="D702" s="140"/>
    </row>
    <row r="703" spans="1:4" ht="13.2">
      <c r="A703" s="193"/>
      <c r="B703" s="173"/>
      <c r="C703" s="139" t="str">
        <f ca="1">IFERROR(__xludf.DUMMYFUNCTION("if(ISBLANK(INDIRECT(ADDRESS(6,(ROW()-5)))),,QUERY('NPC List'!$1:$1000, ""Select C,D WHERE A = ""&amp;INDIRECT(ADDRESS(6,(ROW()-5)))&amp;"""",0))"),"")</f>
        <v/>
      </c>
      <c r="D703" s="140"/>
    </row>
    <row r="704" spans="1:4" ht="13.2">
      <c r="A704" s="193"/>
      <c r="B704" s="173"/>
      <c r="C704" s="139" t="str">
        <f ca="1">IFERROR(__xludf.DUMMYFUNCTION("if(ISBLANK(INDIRECT(ADDRESS(6,(ROW()-5)))),,QUERY('NPC List'!$1:$1000, ""Select C,D WHERE A = ""&amp;INDIRECT(ADDRESS(6,(ROW()-5)))&amp;"""",0))"),"")</f>
        <v/>
      </c>
      <c r="D704" s="140"/>
    </row>
    <row r="705" spans="1:4" ht="13.2">
      <c r="A705" s="193"/>
      <c r="B705" s="173"/>
      <c r="C705" s="139" t="str">
        <f ca="1">IFERROR(__xludf.DUMMYFUNCTION("if(ISBLANK(INDIRECT(ADDRESS(6,(ROW()-5)))),,QUERY('NPC List'!$1:$1000, ""Select C,D WHERE A = ""&amp;INDIRECT(ADDRESS(6,(ROW()-5)))&amp;"""",0))"),"")</f>
        <v/>
      </c>
      <c r="D705" s="140"/>
    </row>
    <row r="706" spans="1:4" ht="13.2">
      <c r="A706" s="193"/>
      <c r="B706" s="173"/>
      <c r="C706" s="139" t="str">
        <f ca="1">IFERROR(__xludf.DUMMYFUNCTION("if(ISBLANK(INDIRECT(ADDRESS(6,(ROW()-5)))),,QUERY('NPC List'!$1:$1000, ""Select C,D WHERE A = ""&amp;INDIRECT(ADDRESS(6,(ROW()-5)))&amp;"""",0))"),"")</f>
        <v/>
      </c>
      <c r="D706" s="140"/>
    </row>
    <row r="707" spans="1:4" ht="13.2">
      <c r="A707" s="193"/>
      <c r="B707" s="173"/>
      <c r="C707" s="139" t="str">
        <f ca="1">IFERROR(__xludf.DUMMYFUNCTION("if(ISBLANK(INDIRECT(ADDRESS(6,(ROW()-5)))),,QUERY('NPC List'!$1:$1000, ""Select C,D WHERE A = ""&amp;INDIRECT(ADDRESS(6,(ROW()-5)))&amp;"""",0))"),"")</f>
        <v/>
      </c>
      <c r="D707" s="140"/>
    </row>
    <row r="708" spans="1:4" ht="13.2">
      <c r="A708" s="193"/>
      <c r="B708" s="173"/>
      <c r="C708" s="139" t="str">
        <f ca="1">IFERROR(__xludf.DUMMYFUNCTION("if(ISBLANK(INDIRECT(ADDRESS(6,(ROW()-5)))),,QUERY('NPC List'!$1:$1000, ""Select C,D WHERE A = ""&amp;INDIRECT(ADDRESS(6,(ROW()-5)))&amp;"""",0))"),"")</f>
        <v/>
      </c>
      <c r="D708" s="140"/>
    </row>
    <row r="709" spans="1:4" ht="13.2">
      <c r="A709" s="193"/>
      <c r="B709" s="173"/>
      <c r="C709" s="139" t="str">
        <f ca="1">IFERROR(__xludf.DUMMYFUNCTION("if(ISBLANK(INDIRECT(ADDRESS(6,(ROW()-5)))),,QUERY('NPC List'!$1:$1000, ""Select C,D WHERE A = ""&amp;INDIRECT(ADDRESS(6,(ROW()-5)))&amp;"""",0))"),"")</f>
        <v/>
      </c>
      <c r="D709" s="140"/>
    </row>
    <row r="710" spans="1:4" ht="13.2">
      <c r="A710" s="193"/>
      <c r="B710" s="173"/>
      <c r="C710" s="139" t="str">
        <f ca="1">IFERROR(__xludf.DUMMYFUNCTION("if(ISBLANK(INDIRECT(ADDRESS(6,(ROW()-5)))),,QUERY('NPC List'!$1:$1000, ""Select C,D WHERE A = ""&amp;INDIRECT(ADDRESS(6,(ROW()-5)))&amp;"""",0))"),"")</f>
        <v/>
      </c>
      <c r="D710" s="140"/>
    </row>
    <row r="711" spans="1:4" ht="13.2">
      <c r="A711" s="193"/>
      <c r="B711" s="173"/>
      <c r="C711" s="139" t="str">
        <f ca="1">IFERROR(__xludf.DUMMYFUNCTION("if(ISBLANK(INDIRECT(ADDRESS(6,(ROW()-5)))),,QUERY('NPC List'!$1:$1000, ""Select C,D WHERE A = ""&amp;INDIRECT(ADDRESS(6,(ROW()-5)))&amp;"""",0))"),"")</f>
        <v/>
      </c>
      <c r="D711" s="140"/>
    </row>
    <row r="712" spans="1:4" ht="13.2">
      <c r="A712" s="193"/>
      <c r="B712" s="173"/>
      <c r="C712" s="139" t="str">
        <f ca="1">IFERROR(__xludf.DUMMYFUNCTION("if(ISBLANK(INDIRECT(ADDRESS(6,(ROW()-5)))),,QUERY('NPC List'!$1:$1000, ""Select C,D WHERE A = ""&amp;INDIRECT(ADDRESS(6,(ROW()-5)))&amp;"""",0))"),"")</f>
        <v/>
      </c>
      <c r="D712" s="140"/>
    </row>
    <row r="713" spans="1:4" ht="13.2">
      <c r="A713" s="193"/>
      <c r="B713" s="173"/>
      <c r="C713" s="139" t="str">
        <f ca="1">IFERROR(__xludf.DUMMYFUNCTION("if(ISBLANK(INDIRECT(ADDRESS(6,(ROW()-5)))),,QUERY('NPC List'!$1:$1000, ""Select C,D WHERE A = ""&amp;INDIRECT(ADDRESS(6,(ROW()-5)))&amp;"""",0))"),"")</f>
        <v/>
      </c>
      <c r="D713" s="140"/>
    </row>
    <row r="714" spans="1:4" ht="13.2">
      <c r="A714" s="193"/>
      <c r="B714" s="173"/>
      <c r="C714" s="139" t="str">
        <f ca="1">IFERROR(__xludf.DUMMYFUNCTION("if(ISBLANK(INDIRECT(ADDRESS(6,(ROW()-5)))),,QUERY('NPC List'!$1:$1000, ""Select C,D WHERE A = ""&amp;INDIRECT(ADDRESS(6,(ROW()-5)))&amp;"""",0))"),"")</f>
        <v/>
      </c>
      <c r="D714" s="140"/>
    </row>
    <row r="715" spans="1:4" ht="13.2">
      <c r="A715" s="193"/>
      <c r="B715" s="173"/>
      <c r="C715" s="139" t="str">
        <f ca="1">IFERROR(__xludf.DUMMYFUNCTION("if(ISBLANK(INDIRECT(ADDRESS(6,(ROW()-5)))),,QUERY('NPC List'!$1:$1000, ""Select C,D WHERE A = ""&amp;INDIRECT(ADDRESS(6,(ROW()-5)))&amp;"""",0))"),"")</f>
        <v/>
      </c>
      <c r="D715" s="140"/>
    </row>
    <row r="716" spans="1:4" ht="13.2">
      <c r="A716" s="193"/>
      <c r="B716" s="173"/>
      <c r="C716" s="139" t="str">
        <f ca="1">IFERROR(__xludf.DUMMYFUNCTION("if(ISBLANK(INDIRECT(ADDRESS(6,(ROW()-5)))),,QUERY('NPC List'!$1:$1000, ""Select C,D WHERE A = ""&amp;INDIRECT(ADDRESS(6,(ROW()-5)))&amp;"""",0))"),"")</f>
        <v/>
      </c>
      <c r="D716" s="140"/>
    </row>
    <row r="717" spans="1:4" ht="13.2">
      <c r="A717" s="193"/>
      <c r="B717" s="173"/>
      <c r="C717" s="139" t="str">
        <f ca="1">IFERROR(__xludf.DUMMYFUNCTION("if(ISBLANK(INDIRECT(ADDRESS(6,(ROW()-5)))),,QUERY('NPC List'!$1:$1000, ""Select C,D WHERE A = ""&amp;INDIRECT(ADDRESS(6,(ROW()-5)))&amp;"""",0))"),"")</f>
        <v/>
      </c>
      <c r="D717" s="140"/>
    </row>
    <row r="718" spans="1:4" ht="13.2">
      <c r="A718" s="193"/>
      <c r="B718" s="173"/>
      <c r="C718" s="139" t="str">
        <f ca="1">IFERROR(__xludf.DUMMYFUNCTION("if(ISBLANK(INDIRECT(ADDRESS(6,(ROW()-5)))),,QUERY('NPC List'!$1:$1000, ""Select C,D WHERE A = ""&amp;INDIRECT(ADDRESS(6,(ROW()-5)))&amp;"""",0))"),"")</f>
        <v/>
      </c>
      <c r="D718" s="140"/>
    </row>
    <row r="719" spans="1:4" ht="13.2">
      <c r="A719" s="193"/>
      <c r="B719" s="173"/>
      <c r="C719" s="139" t="str">
        <f ca="1">IFERROR(__xludf.DUMMYFUNCTION("if(ISBLANK(INDIRECT(ADDRESS(6,(ROW()-5)))),,QUERY('NPC List'!$1:$1000, ""Select C,D WHERE A = ""&amp;INDIRECT(ADDRESS(6,(ROW()-5)))&amp;"""",0))"),"")</f>
        <v/>
      </c>
      <c r="D719" s="140"/>
    </row>
    <row r="720" spans="1:4" ht="13.2">
      <c r="A720" s="193"/>
      <c r="B720" s="173"/>
      <c r="C720" s="139" t="str">
        <f ca="1">IFERROR(__xludf.DUMMYFUNCTION("if(ISBLANK(INDIRECT(ADDRESS(6,(ROW()-5)))),,QUERY('NPC List'!$1:$1000, ""Select C,D WHERE A = ""&amp;INDIRECT(ADDRESS(6,(ROW()-5)))&amp;"""",0))"),"")</f>
        <v/>
      </c>
      <c r="D720" s="140"/>
    </row>
    <row r="721" spans="1:4" ht="13.2">
      <c r="A721" s="193"/>
      <c r="B721" s="173"/>
      <c r="C721" s="139" t="str">
        <f ca="1">IFERROR(__xludf.DUMMYFUNCTION("if(ISBLANK(INDIRECT(ADDRESS(6,(ROW()-5)))),,QUERY('NPC List'!$1:$1000, ""Select C,D WHERE A = ""&amp;INDIRECT(ADDRESS(6,(ROW()-5)))&amp;"""",0))"),"")</f>
        <v/>
      </c>
      <c r="D721" s="140"/>
    </row>
    <row r="722" spans="1:4" ht="13.2">
      <c r="A722" s="193"/>
      <c r="B722" s="173"/>
      <c r="C722" s="139" t="str">
        <f ca="1">IFERROR(__xludf.DUMMYFUNCTION("if(ISBLANK(INDIRECT(ADDRESS(6,(ROW()-5)))),,QUERY('NPC List'!$1:$1000, ""Select C,D WHERE A = ""&amp;INDIRECT(ADDRESS(6,(ROW()-5)))&amp;"""",0))"),"")</f>
        <v/>
      </c>
      <c r="D722" s="140"/>
    </row>
    <row r="723" spans="1:4" ht="13.2">
      <c r="A723" s="193"/>
      <c r="B723" s="173"/>
      <c r="C723" s="139" t="str">
        <f ca="1">IFERROR(__xludf.DUMMYFUNCTION("if(ISBLANK(INDIRECT(ADDRESS(6,(ROW()-5)))),,QUERY('NPC List'!$1:$1000, ""Select C,D WHERE A = ""&amp;INDIRECT(ADDRESS(6,(ROW()-5)))&amp;"""",0))"),"")</f>
        <v/>
      </c>
      <c r="D723" s="140"/>
    </row>
    <row r="724" spans="1:4" ht="13.2">
      <c r="A724" s="193"/>
      <c r="B724" s="173"/>
      <c r="C724" s="139" t="str">
        <f ca="1">IFERROR(__xludf.DUMMYFUNCTION("if(ISBLANK(INDIRECT(ADDRESS(6,(ROW()-5)))),,QUERY('NPC List'!$1:$1000, ""Select C,D WHERE A = ""&amp;INDIRECT(ADDRESS(6,(ROW()-5)))&amp;"""",0))"),"")</f>
        <v/>
      </c>
      <c r="D724" s="140"/>
    </row>
    <row r="725" spans="1:4" ht="13.2">
      <c r="A725" s="193"/>
      <c r="B725" s="173"/>
      <c r="C725" s="139" t="str">
        <f ca="1">IFERROR(__xludf.DUMMYFUNCTION("if(ISBLANK(INDIRECT(ADDRESS(6,(ROW()-5)))),,QUERY('NPC List'!$1:$1000, ""Select C,D WHERE A = ""&amp;INDIRECT(ADDRESS(6,(ROW()-5)))&amp;"""",0))"),"")</f>
        <v/>
      </c>
      <c r="D725" s="140"/>
    </row>
    <row r="726" spans="1:4" ht="13.2">
      <c r="A726" s="193"/>
      <c r="B726" s="173"/>
      <c r="C726" s="139" t="str">
        <f ca="1">IFERROR(__xludf.DUMMYFUNCTION("if(ISBLANK(INDIRECT(ADDRESS(6,(ROW()-5)))),,QUERY('NPC List'!$1:$1000, ""Select C,D WHERE A = ""&amp;INDIRECT(ADDRESS(6,(ROW()-5)))&amp;"""",0))"),"")</f>
        <v/>
      </c>
      <c r="D726" s="140"/>
    </row>
    <row r="727" spans="1:4" ht="13.2">
      <c r="A727" s="193"/>
      <c r="B727" s="173"/>
      <c r="C727" s="139" t="str">
        <f ca="1">IFERROR(__xludf.DUMMYFUNCTION("if(ISBLANK(INDIRECT(ADDRESS(6,(ROW()-5)))),,QUERY('NPC List'!$1:$1000, ""Select C,D WHERE A = ""&amp;INDIRECT(ADDRESS(6,(ROW()-5)))&amp;"""",0))"),"")</f>
        <v/>
      </c>
      <c r="D727" s="140"/>
    </row>
    <row r="728" spans="1:4" ht="13.2">
      <c r="A728" s="193"/>
      <c r="B728" s="173"/>
      <c r="C728" s="139" t="str">
        <f ca="1">IFERROR(__xludf.DUMMYFUNCTION("if(ISBLANK(INDIRECT(ADDRESS(6,(ROW()-5)))),,QUERY('NPC List'!$1:$1000, ""Select C,D WHERE A = ""&amp;INDIRECT(ADDRESS(6,(ROW()-5)))&amp;"""",0))"),"")</f>
        <v/>
      </c>
      <c r="D728" s="140"/>
    </row>
    <row r="729" spans="1:4" ht="13.2">
      <c r="A729" s="193"/>
      <c r="B729" s="173"/>
      <c r="C729" s="139" t="str">
        <f ca="1">IFERROR(__xludf.DUMMYFUNCTION("if(ISBLANK(INDIRECT(ADDRESS(6,(ROW()-5)))),,QUERY('NPC List'!$1:$1000, ""Select C,D WHERE A = ""&amp;INDIRECT(ADDRESS(6,(ROW()-5)))&amp;"""",0))"),"")</f>
        <v/>
      </c>
      <c r="D729" s="140"/>
    </row>
    <row r="730" spans="1:4" ht="13.2">
      <c r="A730" s="193"/>
      <c r="B730" s="173"/>
      <c r="C730" s="139" t="str">
        <f ca="1">IFERROR(__xludf.DUMMYFUNCTION("if(ISBLANK(INDIRECT(ADDRESS(6,(ROW()-5)))),,QUERY('NPC List'!$1:$1000, ""Select C,D WHERE A = ""&amp;INDIRECT(ADDRESS(6,(ROW()-5)))&amp;"""",0))"),"")</f>
        <v/>
      </c>
      <c r="D730" s="140"/>
    </row>
    <row r="731" spans="1:4" ht="13.2">
      <c r="A731" s="193"/>
      <c r="B731" s="173"/>
      <c r="C731" s="139" t="str">
        <f ca="1">IFERROR(__xludf.DUMMYFUNCTION("if(ISBLANK(INDIRECT(ADDRESS(6,(ROW()-5)))),,QUERY('NPC List'!$1:$1000, ""Select C,D WHERE A = ""&amp;INDIRECT(ADDRESS(6,(ROW()-5)))&amp;"""",0))"),"")</f>
        <v/>
      </c>
      <c r="D731" s="140"/>
    </row>
    <row r="732" spans="1:4" ht="13.2">
      <c r="A732" s="193"/>
      <c r="B732" s="173"/>
      <c r="C732" s="139" t="str">
        <f ca="1">IFERROR(__xludf.DUMMYFUNCTION("if(ISBLANK(INDIRECT(ADDRESS(6,(ROW()-5)))),,QUERY('NPC List'!$1:$1000, ""Select C,D WHERE A = ""&amp;INDIRECT(ADDRESS(6,(ROW()-5)))&amp;"""",0))"),"")</f>
        <v/>
      </c>
      <c r="D732" s="140"/>
    </row>
    <row r="733" spans="1:4" ht="13.2">
      <c r="A733" s="193"/>
      <c r="B733" s="173"/>
      <c r="C733" s="139" t="str">
        <f ca="1">IFERROR(__xludf.DUMMYFUNCTION("if(ISBLANK(INDIRECT(ADDRESS(6,(ROW()-5)))),,QUERY('NPC List'!$1:$1000, ""Select C,D WHERE A = ""&amp;INDIRECT(ADDRESS(6,(ROW()-5)))&amp;"""",0))"),"")</f>
        <v/>
      </c>
      <c r="D733" s="140"/>
    </row>
    <row r="734" spans="1:4" ht="13.2">
      <c r="A734" s="193"/>
      <c r="B734" s="173"/>
      <c r="C734" s="139" t="str">
        <f ca="1">IFERROR(__xludf.DUMMYFUNCTION("if(ISBLANK(INDIRECT(ADDRESS(6,(ROW()-5)))),,QUERY('NPC List'!$1:$1000, ""Select C,D WHERE A = ""&amp;INDIRECT(ADDRESS(6,(ROW()-5)))&amp;"""",0))"),"")</f>
        <v/>
      </c>
      <c r="D734" s="140"/>
    </row>
    <row r="735" spans="1:4" ht="13.2">
      <c r="A735" s="193"/>
      <c r="B735" s="173"/>
      <c r="C735" s="139" t="str">
        <f ca="1">IFERROR(__xludf.DUMMYFUNCTION("if(ISBLANK(INDIRECT(ADDRESS(6,(ROW()-5)))),,QUERY('NPC List'!$1:$1000, ""Select C,D WHERE A = ""&amp;INDIRECT(ADDRESS(6,(ROW()-5)))&amp;"""",0))"),"")</f>
        <v/>
      </c>
      <c r="D735" s="140"/>
    </row>
    <row r="736" spans="1:4" ht="13.2">
      <c r="A736" s="193"/>
      <c r="B736" s="173"/>
      <c r="C736" s="139" t="str">
        <f ca="1">IFERROR(__xludf.DUMMYFUNCTION("if(ISBLANK(INDIRECT(ADDRESS(6,(ROW()-5)))),,QUERY('NPC List'!$1:$1000, ""Select C,D WHERE A = ""&amp;INDIRECT(ADDRESS(6,(ROW()-5)))&amp;"""",0))"),"")</f>
        <v/>
      </c>
      <c r="D736" s="140"/>
    </row>
    <row r="737" spans="1:4" ht="13.2">
      <c r="A737" s="193"/>
      <c r="B737" s="173"/>
      <c r="C737" s="139" t="str">
        <f ca="1">IFERROR(__xludf.DUMMYFUNCTION("if(ISBLANK(INDIRECT(ADDRESS(6,(ROW()-5)))),,QUERY('NPC List'!$1:$1000, ""Select C,D WHERE A = ""&amp;INDIRECT(ADDRESS(6,(ROW()-5)))&amp;"""",0))"),"")</f>
        <v/>
      </c>
      <c r="D737" s="140"/>
    </row>
    <row r="738" spans="1:4" ht="13.2">
      <c r="A738" s="193"/>
      <c r="B738" s="173"/>
      <c r="C738" s="139" t="str">
        <f ca="1">IFERROR(__xludf.DUMMYFUNCTION("if(ISBLANK(INDIRECT(ADDRESS(6,(ROW()-5)))),,QUERY('NPC List'!$1:$1000, ""Select C,D WHERE A = ""&amp;INDIRECT(ADDRESS(6,(ROW()-5)))&amp;"""",0))"),"")</f>
        <v/>
      </c>
      <c r="D738" s="140"/>
    </row>
    <row r="739" spans="1:4" ht="13.2">
      <c r="A739" s="193"/>
      <c r="B739" s="173"/>
      <c r="C739" s="139" t="str">
        <f ca="1">IFERROR(__xludf.DUMMYFUNCTION("if(ISBLANK(INDIRECT(ADDRESS(6,(ROW()-5)))),,QUERY('NPC List'!$1:$1000, ""Select C,D WHERE A = ""&amp;INDIRECT(ADDRESS(6,(ROW()-5)))&amp;"""",0))"),"")</f>
        <v/>
      </c>
      <c r="D739" s="140"/>
    </row>
    <row r="740" spans="1:4" ht="13.2">
      <c r="A740" s="193"/>
      <c r="B740" s="173"/>
      <c r="C740" s="139" t="str">
        <f ca="1">IFERROR(__xludf.DUMMYFUNCTION("if(ISBLANK(INDIRECT(ADDRESS(6,(ROW()-5)))),,QUERY('NPC List'!$1:$1000, ""Select C,D WHERE A = ""&amp;INDIRECT(ADDRESS(6,(ROW()-5)))&amp;"""",0))"),"")</f>
        <v/>
      </c>
      <c r="D740" s="140"/>
    </row>
    <row r="741" spans="1:4" ht="13.2">
      <c r="A741" s="193"/>
      <c r="B741" s="173"/>
      <c r="C741" s="139" t="str">
        <f ca="1">IFERROR(__xludf.DUMMYFUNCTION("if(ISBLANK(INDIRECT(ADDRESS(6,(ROW()-5)))),,QUERY('NPC List'!$1:$1000, ""Select C,D WHERE A = ""&amp;INDIRECT(ADDRESS(6,(ROW()-5)))&amp;"""",0))"),"")</f>
        <v/>
      </c>
      <c r="D741" s="140"/>
    </row>
    <row r="742" spans="1:4" ht="13.2">
      <c r="A742" s="193"/>
      <c r="B742" s="173"/>
      <c r="C742" s="139" t="str">
        <f ca="1">IFERROR(__xludf.DUMMYFUNCTION("if(ISBLANK(INDIRECT(ADDRESS(6,(ROW()-5)))),,QUERY('NPC List'!$1:$1000, ""Select C,D WHERE A = ""&amp;INDIRECT(ADDRESS(6,(ROW()-5)))&amp;"""",0))"),"")</f>
        <v/>
      </c>
      <c r="D742" s="140"/>
    </row>
    <row r="743" spans="1:4" ht="13.2">
      <c r="A743" s="193"/>
      <c r="B743" s="173"/>
      <c r="C743" s="139" t="str">
        <f ca="1">IFERROR(__xludf.DUMMYFUNCTION("if(ISBLANK(INDIRECT(ADDRESS(6,(ROW()-5)))),,QUERY('NPC List'!$1:$1000, ""Select C,D WHERE A = ""&amp;INDIRECT(ADDRESS(6,(ROW()-5)))&amp;"""",0))"),"")</f>
        <v/>
      </c>
      <c r="D743" s="140"/>
    </row>
    <row r="744" spans="1:4" ht="13.2">
      <c r="A744" s="193"/>
      <c r="B744" s="173"/>
      <c r="C744" s="139" t="str">
        <f ca="1">IFERROR(__xludf.DUMMYFUNCTION("if(ISBLANK(INDIRECT(ADDRESS(6,(ROW()-5)))),,QUERY('NPC List'!$1:$1000, ""Select C,D WHERE A = ""&amp;INDIRECT(ADDRESS(6,(ROW()-5)))&amp;"""",0))"),"")</f>
        <v/>
      </c>
      <c r="D744" s="140"/>
    </row>
    <row r="745" spans="1:4" ht="13.2">
      <c r="A745" s="193"/>
      <c r="B745" s="173"/>
      <c r="C745" s="139" t="str">
        <f ca="1">IFERROR(__xludf.DUMMYFUNCTION("if(ISBLANK(INDIRECT(ADDRESS(6,(ROW()-5)))),,QUERY('NPC List'!$1:$1000, ""Select C,D WHERE A = ""&amp;INDIRECT(ADDRESS(6,(ROW()-5)))&amp;"""",0))"),"")</f>
        <v/>
      </c>
      <c r="D745" s="140"/>
    </row>
    <row r="746" spans="1:4" ht="13.2">
      <c r="A746" s="193"/>
      <c r="B746" s="173"/>
      <c r="C746" s="139" t="str">
        <f ca="1">IFERROR(__xludf.DUMMYFUNCTION("if(ISBLANK(INDIRECT(ADDRESS(6,(ROW()-5)))),,QUERY('NPC List'!$1:$1000, ""Select C,D WHERE A = ""&amp;INDIRECT(ADDRESS(6,(ROW()-5)))&amp;"""",0))"),"")</f>
        <v/>
      </c>
      <c r="D746" s="140"/>
    </row>
    <row r="747" spans="1:4" ht="13.2">
      <c r="A747" s="193"/>
      <c r="B747" s="173"/>
      <c r="C747" s="139" t="str">
        <f ca="1">IFERROR(__xludf.DUMMYFUNCTION("if(ISBLANK(INDIRECT(ADDRESS(6,(ROW()-5)))),,QUERY('NPC List'!$1:$1000, ""Select C,D WHERE A = ""&amp;INDIRECT(ADDRESS(6,(ROW()-5)))&amp;"""",0))"),"")</f>
        <v/>
      </c>
      <c r="D747" s="140"/>
    </row>
    <row r="748" spans="1:4" ht="13.2">
      <c r="A748" s="193"/>
      <c r="B748" s="173"/>
      <c r="C748" s="139" t="str">
        <f ca="1">IFERROR(__xludf.DUMMYFUNCTION("if(ISBLANK(INDIRECT(ADDRESS(6,(ROW()-5)))),,QUERY('NPC List'!$1:$1000, ""Select C,D WHERE A = ""&amp;INDIRECT(ADDRESS(6,(ROW()-5)))&amp;"""",0))"),"")</f>
        <v/>
      </c>
      <c r="D748" s="140"/>
    </row>
    <row r="749" spans="1:4" ht="13.2">
      <c r="A749" s="193"/>
      <c r="B749" s="173"/>
      <c r="C749" s="139" t="str">
        <f ca="1">IFERROR(__xludf.DUMMYFUNCTION("if(ISBLANK(INDIRECT(ADDRESS(6,(ROW()-5)))),,QUERY('NPC List'!$1:$1000, ""Select C,D WHERE A = ""&amp;INDIRECT(ADDRESS(6,(ROW()-5)))&amp;"""",0))"),"")</f>
        <v/>
      </c>
      <c r="D749" s="140"/>
    </row>
    <row r="750" spans="1:4" ht="13.2">
      <c r="A750" s="193"/>
      <c r="B750" s="173"/>
      <c r="C750" s="139" t="str">
        <f ca="1">IFERROR(__xludf.DUMMYFUNCTION("if(ISBLANK(INDIRECT(ADDRESS(6,(ROW()-5)))),,QUERY('NPC List'!$1:$1000, ""Select C,D WHERE A = ""&amp;INDIRECT(ADDRESS(6,(ROW()-5)))&amp;"""",0))"),"")</f>
        <v/>
      </c>
      <c r="D750" s="140"/>
    </row>
    <row r="751" spans="1:4" ht="13.2">
      <c r="A751" s="193"/>
      <c r="B751" s="173"/>
      <c r="C751" s="139" t="str">
        <f ca="1">IFERROR(__xludf.DUMMYFUNCTION("if(ISBLANK(INDIRECT(ADDRESS(6,(ROW()-5)))),,QUERY('NPC List'!$1:$1000, ""Select C,D WHERE A = ""&amp;INDIRECT(ADDRESS(6,(ROW()-5)))&amp;"""",0))"),"")</f>
        <v/>
      </c>
      <c r="D751" s="140"/>
    </row>
    <row r="752" spans="1:4" ht="13.2">
      <c r="A752" s="193"/>
      <c r="B752" s="173"/>
      <c r="C752" s="139" t="str">
        <f ca="1">IFERROR(__xludf.DUMMYFUNCTION("if(ISBLANK(INDIRECT(ADDRESS(6,(ROW()-5)))),,QUERY('NPC List'!$1:$1000, ""Select C,D WHERE A = ""&amp;INDIRECT(ADDRESS(6,(ROW()-5)))&amp;"""",0))"),"")</f>
        <v/>
      </c>
      <c r="D752" s="140"/>
    </row>
    <row r="753" spans="1:4" ht="13.2">
      <c r="A753" s="193"/>
      <c r="B753" s="173"/>
      <c r="C753" s="139" t="str">
        <f ca="1">IFERROR(__xludf.DUMMYFUNCTION("if(ISBLANK(INDIRECT(ADDRESS(6,(ROW()-5)))),,QUERY('NPC List'!$1:$1000, ""Select C,D WHERE A = ""&amp;INDIRECT(ADDRESS(6,(ROW()-5)))&amp;"""",0))"),"")</f>
        <v/>
      </c>
      <c r="D753" s="140"/>
    </row>
    <row r="754" spans="1:4" ht="13.2">
      <c r="A754" s="193"/>
      <c r="B754" s="173"/>
      <c r="C754" s="139" t="str">
        <f ca="1">IFERROR(__xludf.DUMMYFUNCTION("if(ISBLANK(INDIRECT(ADDRESS(6,(ROW()-5)))),,QUERY('NPC List'!$1:$1000, ""Select C,D WHERE A = ""&amp;INDIRECT(ADDRESS(6,(ROW()-5)))&amp;"""",0))"),"")</f>
        <v/>
      </c>
      <c r="D754" s="140"/>
    </row>
    <row r="755" spans="1:4" ht="13.2">
      <c r="A755" s="193"/>
      <c r="B755" s="173"/>
      <c r="C755" s="139" t="str">
        <f ca="1">IFERROR(__xludf.DUMMYFUNCTION("if(ISBLANK(INDIRECT(ADDRESS(6,(ROW()-5)))),,QUERY('NPC List'!$1:$1000, ""Select C,D WHERE A = ""&amp;INDIRECT(ADDRESS(6,(ROW()-5)))&amp;"""",0))"),"")</f>
        <v/>
      </c>
      <c r="D755" s="140"/>
    </row>
    <row r="756" spans="1:4" ht="13.2">
      <c r="A756" s="193"/>
      <c r="B756" s="173"/>
      <c r="C756" s="139" t="str">
        <f ca="1">IFERROR(__xludf.DUMMYFUNCTION("if(ISBLANK(INDIRECT(ADDRESS(6,(ROW()-5)))),,QUERY('NPC List'!$1:$1000, ""Select C,D WHERE A = ""&amp;INDIRECT(ADDRESS(6,(ROW()-5)))&amp;"""",0))"),"")</f>
        <v/>
      </c>
      <c r="D756" s="140"/>
    </row>
    <row r="757" spans="1:4" ht="13.2">
      <c r="A757" s="193"/>
      <c r="B757" s="173"/>
      <c r="C757" s="139" t="str">
        <f ca="1">IFERROR(__xludf.DUMMYFUNCTION("if(ISBLANK(INDIRECT(ADDRESS(6,(ROW()-5)))),,QUERY('NPC List'!$1:$1000, ""Select C,D WHERE A = ""&amp;INDIRECT(ADDRESS(6,(ROW()-5)))&amp;"""",0))"),"")</f>
        <v/>
      </c>
      <c r="D757" s="140"/>
    </row>
    <row r="758" spans="1:4" ht="13.2">
      <c r="A758" s="193"/>
      <c r="B758" s="173"/>
      <c r="C758" s="139" t="str">
        <f ca="1">IFERROR(__xludf.DUMMYFUNCTION("if(ISBLANK(INDIRECT(ADDRESS(6,(ROW()-5)))),,QUERY('NPC List'!$1:$1000, ""Select C,D WHERE A = ""&amp;INDIRECT(ADDRESS(6,(ROW()-5)))&amp;"""",0))"),"")</f>
        <v/>
      </c>
      <c r="D758" s="140"/>
    </row>
    <row r="759" spans="1:4" ht="13.2">
      <c r="A759" s="193"/>
      <c r="B759" s="173"/>
      <c r="C759" s="139" t="str">
        <f ca="1">IFERROR(__xludf.DUMMYFUNCTION("if(ISBLANK(INDIRECT(ADDRESS(6,(ROW()-5)))),,QUERY('NPC List'!$1:$1000, ""Select C,D WHERE A = ""&amp;INDIRECT(ADDRESS(6,(ROW()-5)))&amp;"""",0))"),"")</f>
        <v/>
      </c>
      <c r="D759" s="140"/>
    </row>
    <row r="760" spans="1:4" ht="13.2">
      <c r="A760" s="193"/>
      <c r="B760" s="173"/>
      <c r="C760" s="139" t="str">
        <f ca="1">IFERROR(__xludf.DUMMYFUNCTION("if(ISBLANK(INDIRECT(ADDRESS(6,(ROW()-5)))),,QUERY('NPC List'!$1:$1000, ""Select C,D WHERE A = ""&amp;INDIRECT(ADDRESS(6,(ROW()-5)))&amp;"""",0))"),"")</f>
        <v/>
      </c>
      <c r="D760" s="140"/>
    </row>
    <row r="761" spans="1:4" ht="13.2">
      <c r="A761" s="193"/>
      <c r="B761" s="173"/>
      <c r="C761" s="139" t="str">
        <f ca="1">IFERROR(__xludf.DUMMYFUNCTION("if(ISBLANK(INDIRECT(ADDRESS(6,(ROW()-5)))),,QUERY('NPC List'!$1:$1000, ""Select C,D WHERE A = ""&amp;INDIRECT(ADDRESS(6,(ROW()-5)))&amp;"""",0))"),"")</f>
        <v/>
      </c>
      <c r="D761" s="140"/>
    </row>
    <row r="762" spans="1:4" ht="13.2">
      <c r="A762" s="193"/>
      <c r="B762" s="173"/>
      <c r="C762" s="139" t="str">
        <f ca="1">IFERROR(__xludf.DUMMYFUNCTION("if(ISBLANK(INDIRECT(ADDRESS(6,(ROW()-5)))),,QUERY('NPC List'!$1:$1000, ""Select C,D WHERE A = ""&amp;INDIRECT(ADDRESS(6,(ROW()-5)))&amp;"""",0))"),"")</f>
        <v/>
      </c>
      <c r="D762" s="140"/>
    </row>
    <row r="763" spans="1:4" ht="13.2">
      <c r="A763" s="193"/>
      <c r="B763" s="173"/>
      <c r="C763" s="139" t="str">
        <f ca="1">IFERROR(__xludf.DUMMYFUNCTION("if(ISBLANK(INDIRECT(ADDRESS(6,(ROW()-5)))),,QUERY('NPC List'!$1:$1000, ""Select C,D WHERE A = ""&amp;INDIRECT(ADDRESS(6,(ROW()-5)))&amp;"""",0))"),"")</f>
        <v/>
      </c>
      <c r="D763" s="140"/>
    </row>
    <row r="764" spans="1:4" ht="13.2">
      <c r="A764" s="193"/>
      <c r="B764" s="173"/>
      <c r="C764" s="139" t="str">
        <f ca="1">IFERROR(__xludf.DUMMYFUNCTION("if(ISBLANK(INDIRECT(ADDRESS(6,(ROW()-5)))),,QUERY('NPC List'!$1:$1000, ""Select C,D WHERE A = ""&amp;INDIRECT(ADDRESS(6,(ROW()-5)))&amp;"""",0))"),"")</f>
        <v/>
      </c>
      <c r="D764" s="140"/>
    </row>
    <row r="765" spans="1:4" ht="13.2">
      <c r="A765" s="193"/>
      <c r="B765" s="173"/>
      <c r="C765" s="139" t="str">
        <f ca="1">IFERROR(__xludf.DUMMYFUNCTION("if(ISBLANK(INDIRECT(ADDRESS(6,(ROW()-5)))),,QUERY('NPC List'!$1:$1000, ""Select C,D WHERE A = ""&amp;INDIRECT(ADDRESS(6,(ROW()-5)))&amp;"""",0))"),"")</f>
        <v/>
      </c>
      <c r="D765" s="140"/>
    </row>
    <row r="766" spans="1:4" ht="13.2">
      <c r="A766" s="193"/>
      <c r="B766" s="173"/>
      <c r="C766" s="139" t="str">
        <f ca="1">IFERROR(__xludf.DUMMYFUNCTION("if(ISBLANK(INDIRECT(ADDRESS(6,(ROW()-5)))),,QUERY('NPC List'!$1:$1000, ""Select C,D WHERE A = ""&amp;INDIRECT(ADDRESS(6,(ROW()-5)))&amp;"""",0))"),"")</f>
        <v/>
      </c>
      <c r="D766" s="140"/>
    </row>
    <row r="767" spans="1:4" ht="13.2">
      <c r="A767" s="193"/>
      <c r="B767" s="173"/>
      <c r="C767" s="139" t="str">
        <f ca="1">IFERROR(__xludf.DUMMYFUNCTION("if(ISBLANK(INDIRECT(ADDRESS(6,(ROW()-5)))),,QUERY('NPC List'!$1:$1000, ""Select C,D WHERE A = ""&amp;INDIRECT(ADDRESS(6,(ROW()-5)))&amp;"""",0))"),"")</f>
        <v/>
      </c>
      <c r="D767" s="140"/>
    </row>
    <row r="768" spans="1:4" ht="13.2">
      <c r="A768" s="193"/>
      <c r="B768" s="173"/>
      <c r="C768" s="139" t="str">
        <f ca="1">IFERROR(__xludf.DUMMYFUNCTION("if(ISBLANK(INDIRECT(ADDRESS(6,(ROW()-5)))),,QUERY('NPC List'!$1:$1000, ""Select C,D WHERE A = ""&amp;INDIRECT(ADDRESS(6,(ROW()-5)))&amp;"""",0))"),"")</f>
        <v/>
      </c>
      <c r="D768" s="140"/>
    </row>
    <row r="769" spans="1:4" ht="13.2">
      <c r="A769" s="193"/>
      <c r="B769" s="173"/>
      <c r="C769" s="139" t="str">
        <f ca="1">IFERROR(__xludf.DUMMYFUNCTION("if(ISBLANK(INDIRECT(ADDRESS(6,(ROW()-5)))),,QUERY('NPC List'!$1:$1000, ""Select C,D WHERE A = ""&amp;INDIRECT(ADDRESS(6,(ROW()-5)))&amp;"""",0))"),"")</f>
        <v/>
      </c>
      <c r="D769" s="140"/>
    </row>
    <row r="770" spans="1:4" ht="13.2">
      <c r="A770" s="193"/>
      <c r="B770" s="173"/>
      <c r="C770" s="139" t="str">
        <f ca="1">IFERROR(__xludf.DUMMYFUNCTION("if(ISBLANK(INDIRECT(ADDRESS(6,(ROW()-5)))),,QUERY('NPC List'!$1:$1000, ""Select C,D WHERE A = ""&amp;INDIRECT(ADDRESS(6,(ROW()-5)))&amp;"""",0))"),"")</f>
        <v/>
      </c>
      <c r="D770" s="140"/>
    </row>
    <row r="771" spans="1:4" ht="13.2">
      <c r="A771" s="193"/>
      <c r="B771" s="173"/>
      <c r="C771" s="139" t="str">
        <f ca="1">IFERROR(__xludf.DUMMYFUNCTION("if(ISBLANK(INDIRECT(ADDRESS(6,(ROW()-5)))),,QUERY('NPC List'!$1:$1000, ""Select C,D WHERE A = ""&amp;INDIRECT(ADDRESS(6,(ROW()-5)))&amp;"""",0))"),"")</f>
        <v/>
      </c>
      <c r="D771" s="140"/>
    </row>
    <row r="772" spans="1:4" ht="13.2">
      <c r="A772" s="193"/>
      <c r="B772" s="173"/>
      <c r="C772" s="139" t="str">
        <f ca="1">IFERROR(__xludf.DUMMYFUNCTION("if(ISBLANK(INDIRECT(ADDRESS(6,(ROW()-5)))),,QUERY('NPC List'!$1:$1000, ""Select C,D WHERE A = ""&amp;INDIRECT(ADDRESS(6,(ROW()-5)))&amp;"""",0))"),"")</f>
        <v/>
      </c>
      <c r="D772" s="140"/>
    </row>
    <row r="773" spans="1:4" ht="13.2">
      <c r="A773" s="193"/>
      <c r="B773" s="173"/>
      <c r="C773" s="139" t="str">
        <f ca="1">IFERROR(__xludf.DUMMYFUNCTION("if(ISBLANK(INDIRECT(ADDRESS(6,(ROW()-5)))),,QUERY('NPC List'!$1:$1000, ""Select C,D WHERE A = ""&amp;INDIRECT(ADDRESS(6,(ROW()-5)))&amp;"""",0))"),"")</f>
        <v/>
      </c>
      <c r="D773" s="140"/>
    </row>
    <row r="774" spans="1:4" ht="13.2">
      <c r="A774" s="193"/>
      <c r="B774" s="173"/>
      <c r="C774" s="139" t="str">
        <f ca="1">IFERROR(__xludf.DUMMYFUNCTION("if(ISBLANK(INDIRECT(ADDRESS(6,(ROW()-5)))),,QUERY('NPC List'!$1:$1000, ""Select C,D WHERE A = ""&amp;INDIRECT(ADDRESS(6,(ROW()-5)))&amp;"""",0))"),"")</f>
        <v/>
      </c>
      <c r="D774" s="140"/>
    </row>
    <row r="775" spans="1:4" ht="13.2">
      <c r="A775" s="193"/>
      <c r="B775" s="173"/>
      <c r="C775" s="139" t="str">
        <f ca="1">IFERROR(__xludf.DUMMYFUNCTION("if(ISBLANK(INDIRECT(ADDRESS(6,(ROW()-5)))),,QUERY('NPC List'!$1:$1000, ""Select C,D WHERE A = ""&amp;INDIRECT(ADDRESS(6,(ROW()-5)))&amp;"""",0))"),"")</f>
        <v/>
      </c>
      <c r="D775" s="140"/>
    </row>
    <row r="776" spans="1:4" ht="13.2">
      <c r="A776" s="193"/>
      <c r="B776" s="173"/>
      <c r="C776" s="139" t="str">
        <f ca="1">IFERROR(__xludf.DUMMYFUNCTION("if(ISBLANK(INDIRECT(ADDRESS(6,(ROW()-5)))),,QUERY('NPC List'!$1:$1000, ""Select C,D WHERE A = ""&amp;INDIRECT(ADDRESS(6,(ROW()-5)))&amp;"""",0))"),"")</f>
        <v/>
      </c>
      <c r="D776" s="140"/>
    </row>
    <row r="777" spans="1:4" ht="13.2">
      <c r="A777" s="193"/>
      <c r="B777" s="173"/>
      <c r="C777" s="139" t="str">
        <f ca="1">IFERROR(__xludf.DUMMYFUNCTION("if(ISBLANK(INDIRECT(ADDRESS(6,(ROW()-5)))),,QUERY('NPC List'!$1:$1000, ""Select C,D WHERE A = ""&amp;INDIRECT(ADDRESS(6,(ROW()-5)))&amp;"""",0))"),"")</f>
        <v/>
      </c>
      <c r="D777" s="140"/>
    </row>
    <row r="778" spans="1:4" ht="13.2">
      <c r="A778" s="193"/>
      <c r="B778" s="173"/>
      <c r="C778" s="139" t="str">
        <f ca="1">IFERROR(__xludf.DUMMYFUNCTION("if(ISBLANK(INDIRECT(ADDRESS(6,(ROW()-5)))),,QUERY('NPC List'!$1:$1000, ""Select C,D WHERE A = ""&amp;INDIRECT(ADDRESS(6,(ROW()-5)))&amp;"""",0))"),"")</f>
        <v/>
      </c>
      <c r="D778" s="140"/>
    </row>
    <row r="779" spans="1:4" ht="13.2">
      <c r="A779" s="193"/>
      <c r="B779" s="173"/>
      <c r="C779" s="139" t="str">
        <f ca="1">IFERROR(__xludf.DUMMYFUNCTION("if(ISBLANK(INDIRECT(ADDRESS(6,(ROW()-5)))),,QUERY('NPC List'!$1:$1000, ""Select C,D WHERE A = ""&amp;INDIRECT(ADDRESS(6,(ROW()-5)))&amp;"""",0))"),"")</f>
        <v/>
      </c>
      <c r="D779" s="140"/>
    </row>
    <row r="780" spans="1:4" ht="13.2">
      <c r="A780" s="193"/>
      <c r="B780" s="173"/>
      <c r="C780" s="139" t="str">
        <f ca="1">IFERROR(__xludf.DUMMYFUNCTION("if(ISBLANK(INDIRECT(ADDRESS(6,(ROW()-5)))),,QUERY('NPC List'!$1:$1000, ""Select C,D WHERE A = ""&amp;INDIRECT(ADDRESS(6,(ROW()-5)))&amp;"""",0))"),"")</f>
        <v/>
      </c>
      <c r="D780" s="140"/>
    </row>
    <row r="781" spans="1:4" ht="13.2">
      <c r="A781" s="193"/>
      <c r="B781" s="173"/>
      <c r="C781" s="139" t="str">
        <f ca="1">IFERROR(__xludf.DUMMYFUNCTION("if(ISBLANK(INDIRECT(ADDRESS(6,(ROW()-5)))),,QUERY('NPC List'!$1:$1000, ""Select C,D WHERE A = ""&amp;INDIRECT(ADDRESS(6,(ROW()-5)))&amp;"""",0))"),"")</f>
        <v/>
      </c>
      <c r="D781" s="140"/>
    </row>
    <row r="782" spans="1:4" ht="13.2">
      <c r="A782" s="193"/>
      <c r="B782" s="173"/>
      <c r="C782" s="139" t="str">
        <f ca="1">IFERROR(__xludf.DUMMYFUNCTION("if(ISBLANK(INDIRECT(ADDRESS(6,(ROW()-5)))),,QUERY('NPC List'!$1:$1000, ""Select C,D WHERE A = ""&amp;INDIRECT(ADDRESS(6,(ROW()-5)))&amp;"""",0))"),"")</f>
        <v/>
      </c>
      <c r="D782" s="140"/>
    </row>
    <row r="783" spans="1:4" ht="13.2">
      <c r="A783" s="193"/>
      <c r="B783" s="173"/>
      <c r="C783" s="139" t="str">
        <f ca="1">IFERROR(__xludf.DUMMYFUNCTION("if(ISBLANK(INDIRECT(ADDRESS(6,(ROW()-5)))),,QUERY('NPC List'!$1:$1000, ""Select C,D WHERE A = ""&amp;INDIRECT(ADDRESS(6,(ROW()-5)))&amp;"""",0))"),"")</f>
        <v/>
      </c>
      <c r="D783" s="140"/>
    </row>
    <row r="784" spans="1:4" ht="13.2">
      <c r="A784" s="193"/>
      <c r="B784" s="173"/>
      <c r="C784" s="139" t="str">
        <f ca="1">IFERROR(__xludf.DUMMYFUNCTION("if(ISBLANK(INDIRECT(ADDRESS(6,(ROW()-5)))),,QUERY('NPC List'!$1:$1000, ""Select C,D WHERE A = ""&amp;INDIRECT(ADDRESS(6,(ROW()-5)))&amp;"""",0))"),"")</f>
        <v/>
      </c>
      <c r="D784" s="140"/>
    </row>
    <row r="785" spans="1:4" ht="13.2">
      <c r="A785" s="193"/>
      <c r="B785" s="173"/>
      <c r="C785" s="139" t="str">
        <f ca="1">IFERROR(__xludf.DUMMYFUNCTION("if(ISBLANK(INDIRECT(ADDRESS(6,(ROW()-5)))),,QUERY('NPC List'!$1:$1000, ""Select C,D WHERE A = ""&amp;INDIRECT(ADDRESS(6,(ROW()-5)))&amp;"""",0))"),"")</f>
        <v/>
      </c>
      <c r="D785" s="140"/>
    </row>
    <row r="786" spans="1:4" ht="13.2">
      <c r="A786" s="193"/>
      <c r="B786" s="173"/>
      <c r="C786" s="139" t="str">
        <f ca="1">IFERROR(__xludf.DUMMYFUNCTION("if(ISBLANK(INDIRECT(ADDRESS(6,(ROW()-5)))),,QUERY('NPC List'!$1:$1000, ""Select C,D WHERE A = ""&amp;INDIRECT(ADDRESS(6,(ROW()-5)))&amp;"""",0))"),"")</f>
        <v/>
      </c>
      <c r="D786" s="140"/>
    </row>
    <row r="787" spans="1:4" ht="13.2">
      <c r="A787" s="193"/>
      <c r="B787" s="173"/>
      <c r="C787" s="139" t="str">
        <f ca="1">IFERROR(__xludf.DUMMYFUNCTION("if(ISBLANK(INDIRECT(ADDRESS(6,(ROW()-5)))),,QUERY('NPC List'!$1:$1000, ""Select C,D WHERE A = ""&amp;INDIRECT(ADDRESS(6,(ROW()-5)))&amp;"""",0))"),"")</f>
        <v/>
      </c>
      <c r="D787" s="140"/>
    </row>
    <row r="788" spans="1:4" ht="13.2">
      <c r="A788" s="193"/>
      <c r="B788" s="173"/>
      <c r="C788" s="139" t="str">
        <f ca="1">IFERROR(__xludf.DUMMYFUNCTION("if(ISBLANK(INDIRECT(ADDRESS(6,(ROW()-5)))),,QUERY('NPC List'!$1:$1000, ""Select C,D WHERE A = ""&amp;INDIRECT(ADDRESS(6,(ROW()-5)))&amp;"""",0))"),"")</f>
        <v/>
      </c>
      <c r="D788" s="140"/>
    </row>
    <row r="789" spans="1:4" ht="13.2">
      <c r="A789" s="193"/>
      <c r="B789" s="173"/>
      <c r="C789" s="139" t="str">
        <f ca="1">IFERROR(__xludf.DUMMYFUNCTION("if(ISBLANK(INDIRECT(ADDRESS(6,(ROW()-5)))),,QUERY('NPC List'!$1:$1000, ""Select C,D WHERE A = ""&amp;INDIRECT(ADDRESS(6,(ROW()-5)))&amp;"""",0))"),"")</f>
        <v/>
      </c>
      <c r="D789" s="140"/>
    </row>
    <row r="790" spans="1:4" ht="13.2">
      <c r="A790" s="193"/>
      <c r="B790" s="173"/>
      <c r="C790" s="139" t="str">
        <f ca="1">IFERROR(__xludf.DUMMYFUNCTION("if(ISBLANK(INDIRECT(ADDRESS(6,(ROW()-5)))),,QUERY('NPC List'!$1:$1000, ""Select C,D WHERE A = ""&amp;INDIRECT(ADDRESS(6,(ROW()-5)))&amp;"""",0))"),"")</f>
        <v/>
      </c>
      <c r="D790" s="140"/>
    </row>
    <row r="791" spans="1:4" ht="13.2">
      <c r="A791" s="193"/>
      <c r="B791" s="173"/>
      <c r="C791" s="139" t="str">
        <f ca="1">IFERROR(__xludf.DUMMYFUNCTION("if(ISBLANK(INDIRECT(ADDRESS(6,(ROW()-5)))),,QUERY('NPC List'!$1:$1000, ""Select C,D WHERE A = ""&amp;INDIRECT(ADDRESS(6,(ROW()-5)))&amp;"""",0))"),"")</f>
        <v/>
      </c>
      <c r="D791" s="140"/>
    </row>
    <row r="792" spans="1:4" ht="13.2">
      <c r="A792" s="193"/>
      <c r="B792" s="173"/>
      <c r="C792" s="139" t="str">
        <f ca="1">IFERROR(__xludf.DUMMYFUNCTION("if(ISBLANK(INDIRECT(ADDRESS(6,(ROW()-5)))),,QUERY('NPC List'!$1:$1000, ""Select C,D WHERE A = ""&amp;INDIRECT(ADDRESS(6,(ROW()-5)))&amp;"""",0))"),"")</f>
        <v/>
      </c>
      <c r="D792" s="140"/>
    </row>
    <row r="793" spans="1:4" ht="13.2">
      <c r="A793" s="193"/>
      <c r="B793" s="173"/>
      <c r="C793" s="139" t="str">
        <f ca="1">IFERROR(__xludf.DUMMYFUNCTION("if(ISBLANK(INDIRECT(ADDRESS(6,(ROW()-5)))),,QUERY('NPC List'!$1:$1000, ""Select C,D WHERE A = ""&amp;INDIRECT(ADDRESS(6,(ROW()-5)))&amp;"""",0))"),"")</f>
        <v/>
      </c>
      <c r="D793" s="140"/>
    </row>
    <row r="794" spans="1:4" ht="13.2">
      <c r="A794" s="193"/>
      <c r="B794" s="173"/>
      <c r="C794" s="139" t="str">
        <f ca="1">IFERROR(__xludf.DUMMYFUNCTION("if(ISBLANK(INDIRECT(ADDRESS(6,(ROW()-5)))),,QUERY('NPC List'!$1:$1000, ""Select C,D WHERE A = ""&amp;INDIRECT(ADDRESS(6,(ROW()-5)))&amp;"""",0))"),"")</f>
        <v/>
      </c>
      <c r="D794" s="140"/>
    </row>
    <row r="795" spans="1:4" ht="13.2">
      <c r="A795" s="193"/>
      <c r="B795" s="173"/>
      <c r="C795" s="139" t="str">
        <f ca="1">IFERROR(__xludf.DUMMYFUNCTION("if(ISBLANK(INDIRECT(ADDRESS(6,(ROW()-5)))),,QUERY('NPC List'!$1:$1000, ""Select C,D WHERE A = ""&amp;INDIRECT(ADDRESS(6,(ROW()-5)))&amp;"""",0))"),"")</f>
        <v/>
      </c>
      <c r="D795" s="140"/>
    </row>
    <row r="796" spans="1:4" ht="13.2">
      <c r="A796" s="193"/>
      <c r="B796" s="173"/>
      <c r="C796" s="139" t="str">
        <f ca="1">IFERROR(__xludf.DUMMYFUNCTION("if(ISBLANK(INDIRECT(ADDRESS(6,(ROW()-5)))),,QUERY('NPC List'!$1:$1000, ""Select C,D WHERE A = ""&amp;INDIRECT(ADDRESS(6,(ROW()-5)))&amp;"""",0))"),"")</f>
        <v/>
      </c>
      <c r="D796" s="140"/>
    </row>
    <row r="797" spans="1:4" ht="13.2">
      <c r="A797" s="193"/>
      <c r="B797" s="173"/>
      <c r="C797" s="139" t="str">
        <f ca="1">IFERROR(__xludf.DUMMYFUNCTION("if(ISBLANK(INDIRECT(ADDRESS(6,(ROW()-5)))),,QUERY('NPC List'!$1:$1000, ""Select C,D WHERE A = ""&amp;INDIRECT(ADDRESS(6,(ROW()-5)))&amp;"""",0))"),"")</f>
        <v/>
      </c>
      <c r="D797" s="140"/>
    </row>
    <row r="798" spans="1:4" ht="13.2">
      <c r="A798" s="193"/>
      <c r="B798" s="173"/>
      <c r="C798" s="139" t="str">
        <f ca="1">IFERROR(__xludf.DUMMYFUNCTION("if(ISBLANK(INDIRECT(ADDRESS(6,(ROW()-5)))),,QUERY('NPC List'!$1:$1000, ""Select C,D WHERE A = ""&amp;INDIRECT(ADDRESS(6,(ROW()-5)))&amp;"""",0))"),"")</f>
        <v/>
      </c>
      <c r="D798" s="140"/>
    </row>
    <row r="799" spans="1:4" ht="13.2">
      <c r="A799" s="193"/>
      <c r="B799" s="173"/>
      <c r="C799" s="139" t="str">
        <f ca="1">IFERROR(__xludf.DUMMYFUNCTION("if(ISBLANK(INDIRECT(ADDRESS(6,(ROW()-5)))),,QUERY('NPC List'!$1:$1000, ""Select C,D WHERE A = ""&amp;INDIRECT(ADDRESS(6,(ROW()-5)))&amp;"""",0))"),"")</f>
        <v/>
      </c>
      <c r="D799" s="140"/>
    </row>
    <row r="800" spans="1:4" ht="13.2">
      <c r="A800" s="193"/>
      <c r="B800" s="173"/>
      <c r="C800" s="139" t="str">
        <f ca="1">IFERROR(__xludf.DUMMYFUNCTION("if(ISBLANK(INDIRECT(ADDRESS(6,(ROW()-5)))),,QUERY('NPC List'!$1:$1000, ""Select C,D WHERE A = ""&amp;INDIRECT(ADDRESS(6,(ROW()-5)))&amp;"""",0))"),"")</f>
        <v/>
      </c>
      <c r="D800" s="140"/>
    </row>
    <row r="801" spans="1:4" ht="13.2">
      <c r="A801" s="193"/>
      <c r="B801" s="173"/>
      <c r="C801" s="139" t="str">
        <f ca="1">IFERROR(__xludf.DUMMYFUNCTION("if(ISBLANK(INDIRECT(ADDRESS(6,(ROW()-5)))),,QUERY('NPC List'!$1:$1000, ""Select C,D WHERE A = ""&amp;INDIRECT(ADDRESS(6,(ROW()-5)))&amp;"""",0))"),"")</f>
        <v/>
      </c>
      <c r="D801" s="140"/>
    </row>
    <row r="802" spans="1:4" ht="13.2">
      <c r="A802" s="193"/>
      <c r="B802" s="173"/>
      <c r="C802" s="139" t="str">
        <f ca="1">IFERROR(__xludf.DUMMYFUNCTION("if(ISBLANK(INDIRECT(ADDRESS(6,(ROW()-5)))),,QUERY('NPC List'!$1:$1000, ""Select C,D WHERE A = ""&amp;INDIRECT(ADDRESS(6,(ROW()-5)))&amp;"""",0))"),"")</f>
        <v/>
      </c>
      <c r="D802" s="140"/>
    </row>
    <row r="803" spans="1:4" ht="13.2">
      <c r="A803" s="193"/>
      <c r="B803" s="173"/>
      <c r="C803" s="139" t="str">
        <f ca="1">IFERROR(__xludf.DUMMYFUNCTION("if(ISBLANK(INDIRECT(ADDRESS(6,(ROW()-5)))),,QUERY('NPC List'!$1:$1000, ""Select C,D WHERE A = ""&amp;INDIRECT(ADDRESS(6,(ROW()-5)))&amp;"""",0))"),"")</f>
        <v/>
      </c>
      <c r="D803" s="140"/>
    </row>
    <row r="804" spans="1:4" ht="13.2">
      <c r="A804" s="193"/>
      <c r="B804" s="173"/>
      <c r="C804" s="139" t="str">
        <f ca="1">IFERROR(__xludf.DUMMYFUNCTION("if(ISBLANK(INDIRECT(ADDRESS(6,(ROW()-5)))),,QUERY('NPC List'!$1:$1000, ""Select C,D WHERE A = ""&amp;INDIRECT(ADDRESS(6,(ROW()-5)))&amp;"""",0))"),"")</f>
        <v/>
      </c>
      <c r="D804" s="140"/>
    </row>
    <row r="805" spans="1:4" ht="13.2">
      <c r="A805" s="193"/>
      <c r="B805" s="173"/>
      <c r="C805" s="139" t="str">
        <f ca="1">IFERROR(__xludf.DUMMYFUNCTION("if(ISBLANK(INDIRECT(ADDRESS(6,(ROW()-5)))),,QUERY('NPC List'!$1:$1000, ""Select C,D WHERE A = ""&amp;INDIRECT(ADDRESS(6,(ROW()-5)))&amp;"""",0))"),"")</f>
        <v/>
      </c>
      <c r="D805" s="140"/>
    </row>
    <row r="806" spans="1:4" ht="13.2">
      <c r="A806" s="193"/>
      <c r="B806" s="173"/>
      <c r="C806" s="139" t="str">
        <f ca="1">IFERROR(__xludf.DUMMYFUNCTION("if(ISBLANK(INDIRECT(ADDRESS(6,(ROW()-5)))),,QUERY('NPC List'!$1:$1000, ""Select C,D WHERE A = ""&amp;INDIRECT(ADDRESS(6,(ROW()-5)))&amp;"""",0))"),"")</f>
        <v/>
      </c>
      <c r="D806" s="140"/>
    </row>
    <row r="807" spans="1:4" ht="13.2">
      <c r="A807" s="193"/>
      <c r="B807" s="173"/>
      <c r="C807" s="139" t="str">
        <f ca="1">IFERROR(__xludf.DUMMYFUNCTION("if(ISBLANK(INDIRECT(ADDRESS(6,(ROW()-5)))),,QUERY('NPC List'!$1:$1000, ""Select C,D WHERE A = ""&amp;INDIRECT(ADDRESS(6,(ROW()-5)))&amp;"""",0))"),"")</f>
        <v/>
      </c>
      <c r="D807" s="140"/>
    </row>
    <row r="808" spans="1:4" ht="13.2">
      <c r="A808" s="193"/>
      <c r="B808" s="173"/>
      <c r="C808" s="139" t="str">
        <f ca="1">IFERROR(__xludf.DUMMYFUNCTION("if(ISBLANK(INDIRECT(ADDRESS(6,(ROW()-5)))),,QUERY('NPC List'!$1:$1000, ""Select C,D WHERE A = ""&amp;INDIRECT(ADDRESS(6,(ROW()-5)))&amp;"""",0))"),"")</f>
        <v/>
      </c>
      <c r="D808" s="140"/>
    </row>
    <row r="809" spans="1:4" ht="13.2">
      <c r="A809" s="193"/>
      <c r="B809" s="173"/>
      <c r="C809" s="139" t="str">
        <f ca="1">IFERROR(__xludf.DUMMYFUNCTION("if(ISBLANK(INDIRECT(ADDRESS(6,(ROW()-5)))),,QUERY('NPC List'!$1:$1000, ""Select C,D WHERE A = ""&amp;INDIRECT(ADDRESS(6,(ROW()-5)))&amp;"""",0))"),"")</f>
        <v/>
      </c>
      <c r="D809" s="140"/>
    </row>
    <row r="810" spans="1:4" ht="13.2">
      <c r="A810" s="193"/>
      <c r="B810" s="173"/>
      <c r="C810" s="139" t="str">
        <f ca="1">IFERROR(__xludf.DUMMYFUNCTION("if(ISBLANK(INDIRECT(ADDRESS(6,(ROW()-5)))),,QUERY('NPC List'!$1:$1000, ""Select C,D WHERE A = ""&amp;INDIRECT(ADDRESS(6,(ROW()-5)))&amp;"""",0))"),"")</f>
        <v/>
      </c>
      <c r="D810" s="140"/>
    </row>
    <row r="811" spans="1:4" ht="13.2">
      <c r="A811" s="193"/>
      <c r="B811" s="173"/>
      <c r="C811" s="139" t="str">
        <f ca="1">IFERROR(__xludf.DUMMYFUNCTION("if(ISBLANK(INDIRECT(ADDRESS(6,(ROW()-5)))),,QUERY('NPC List'!$1:$1000, ""Select C,D WHERE A = ""&amp;INDIRECT(ADDRESS(6,(ROW()-5)))&amp;"""",0))"),"")</f>
        <v/>
      </c>
      <c r="D811" s="140"/>
    </row>
    <row r="812" spans="1:4" ht="13.2">
      <c r="A812" s="193"/>
      <c r="B812" s="173"/>
      <c r="C812" s="139" t="str">
        <f ca="1">IFERROR(__xludf.DUMMYFUNCTION("if(ISBLANK(INDIRECT(ADDRESS(6,(ROW()-5)))),,QUERY('NPC List'!$1:$1000, ""Select C,D WHERE A = ""&amp;INDIRECT(ADDRESS(6,(ROW()-5)))&amp;"""",0))"),"")</f>
        <v/>
      </c>
      <c r="D812" s="140"/>
    </row>
    <row r="813" spans="1:4" ht="13.2">
      <c r="A813" s="193"/>
      <c r="B813" s="173"/>
      <c r="C813" s="139" t="str">
        <f ca="1">IFERROR(__xludf.DUMMYFUNCTION("if(ISBLANK(INDIRECT(ADDRESS(6,(ROW()-5)))),,QUERY('NPC List'!$1:$1000, ""Select C,D WHERE A = ""&amp;INDIRECT(ADDRESS(6,(ROW()-5)))&amp;"""",0))"),"")</f>
        <v/>
      </c>
      <c r="D813" s="140"/>
    </row>
    <row r="814" spans="1:4" ht="13.2">
      <c r="A814" s="193"/>
      <c r="B814" s="173"/>
      <c r="C814" s="139" t="str">
        <f ca="1">IFERROR(__xludf.DUMMYFUNCTION("if(ISBLANK(INDIRECT(ADDRESS(6,(ROW()-5)))),,QUERY('NPC List'!$1:$1000, ""Select C,D WHERE A = ""&amp;INDIRECT(ADDRESS(6,(ROW()-5)))&amp;"""",0))"),"")</f>
        <v/>
      </c>
      <c r="D814" s="140"/>
    </row>
    <row r="815" spans="1:4" ht="13.2">
      <c r="A815" s="193"/>
      <c r="B815" s="173"/>
      <c r="C815" s="139" t="str">
        <f ca="1">IFERROR(__xludf.DUMMYFUNCTION("if(ISBLANK(INDIRECT(ADDRESS(6,(ROW()-5)))),,QUERY('NPC List'!$1:$1000, ""Select C,D WHERE A = ""&amp;INDIRECT(ADDRESS(6,(ROW()-5)))&amp;"""",0))"),"")</f>
        <v/>
      </c>
      <c r="D815" s="140"/>
    </row>
    <row r="816" spans="1:4" ht="13.2">
      <c r="A816" s="193"/>
      <c r="B816" s="173"/>
      <c r="C816" s="139" t="str">
        <f ca="1">IFERROR(__xludf.DUMMYFUNCTION("if(ISBLANK(INDIRECT(ADDRESS(6,(ROW()-5)))),,QUERY('NPC List'!$1:$1000, ""Select C,D WHERE A = ""&amp;INDIRECT(ADDRESS(6,(ROW()-5)))&amp;"""",0))"),"")</f>
        <v/>
      </c>
      <c r="D816" s="140"/>
    </row>
    <row r="817" spans="1:4" ht="13.2">
      <c r="A817" s="193"/>
      <c r="B817" s="173"/>
      <c r="C817" s="139" t="str">
        <f ca="1">IFERROR(__xludf.DUMMYFUNCTION("if(ISBLANK(INDIRECT(ADDRESS(6,(ROW()-5)))),,QUERY('NPC List'!$1:$1000, ""Select C,D WHERE A = ""&amp;INDIRECT(ADDRESS(6,(ROW()-5)))&amp;"""",0))"),"")</f>
        <v/>
      </c>
      <c r="D817" s="140"/>
    </row>
    <row r="818" spans="1:4" ht="13.2">
      <c r="A818" s="193"/>
      <c r="B818" s="173"/>
      <c r="C818" s="139" t="str">
        <f ca="1">IFERROR(__xludf.DUMMYFUNCTION("if(ISBLANK(INDIRECT(ADDRESS(6,(ROW()-5)))),,QUERY('NPC List'!$1:$1000, ""Select C,D WHERE A = ""&amp;INDIRECT(ADDRESS(6,(ROW()-5)))&amp;"""",0))"),"")</f>
        <v/>
      </c>
      <c r="D818" s="140"/>
    </row>
    <row r="819" spans="1:4" ht="13.2">
      <c r="A819" s="193"/>
      <c r="B819" s="173"/>
      <c r="C819" s="139" t="str">
        <f ca="1">IFERROR(__xludf.DUMMYFUNCTION("if(ISBLANK(INDIRECT(ADDRESS(6,(ROW()-5)))),,QUERY('NPC List'!$1:$1000, ""Select C,D WHERE A = ""&amp;INDIRECT(ADDRESS(6,(ROW()-5)))&amp;"""",0))"),"")</f>
        <v/>
      </c>
      <c r="D819" s="140"/>
    </row>
    <row r="820" spans="1:4" ht="13.2">
      <c r="A820" s="193"/>
      <c r="B820" s="173"/>
      <c r="C820" s="139" t="str">
        <f ca="1">IFERROR(__xludf.DUMMYFUNCTION("if(ISBLANK(INDIRECT(ADDRESS(6,(ROW()-5)))),,QUERY('NPC List'!$1:$1000, ""Select C,D WHERE A = ""&amp;INDIRECT(ADDRESS(6,(ROW()-5)))&amp;"""",0))"),"")</f>
        <v/>
      </c>
      <c r="D820" s="140"/>
    </row>
    <row r="821" spans="1:4" ht="13.2">
      <c r="A821" s="193"/>
      <c r="B821" s="173"/>
      <c r="C821" s="139" t="str">
        <f ca="1">IFERROR(__xludf.DUMMYFUNCTION("if(ISBLANK(INDIRECT(ADDRESS(6,(ROW()-5)))),,QUERY('NPC List'!$1:$1000, ""Select C,D WHERE A = ""&amp;INDIRECT(ADDRESS(6,(ROW()-5)))&amp;"""",0))"),"")</f>
        <v/>
      </c>
      <c r="D821" s="140"/>
    </row>
    <row r="822" spans="1:4" ht="13.2">
      <c r="A822" s="193"/>
      <c r="B822" s="173"/>
      <c r="C822" s="139" t="str">
        <f ca="1">IFERROR(__xludf.DUMMYFUNCTION("if(ISBLANK(INDIRECT(ADDRESS(6,(ROW()-5)))),,QUERY('NPC List'!$1:$1000, ""Select C,D WHERE A = ""&amp;INDIRECT(ADDRESS(6,(ROW()-5)))&amp;"""",0))"),"")</f>
        <v/>
      </c>
      <c r="D822" s="140"/>
    </row>
    <row r="823" spans="1:4" ht="13.2">
      <c r="A823" s="193"/>
      <c r="B823" s="173"/>
      <c r="C823" s="139" t="str">
        <f ca="1">IFERROR(__xludf.DUMMYFUNCTION("if(ISBLANK(INDIRECT(ADDRESS(6,(ROW()-5)))),,QUERY('NPC List'!$1:$1000, ""Select C,D WHERE A = ""&amp;INDIRECT(ADDRESS(6,(ROW()-5)))&amp;"""",0))"),"")</f>
        <v/>
      </c>
      <c r="D823" s="140"/>
    </row>
    <row r="824" spans="1:4" ht="13.2">
      <c r="A824" s="193"/>
      <c r="B824" s="173"/>
      <c r="C824" s="139" t="str">
        <f ca="1">IFERROR(__xludf.DUMMYFUNCTION("if(ISBLANK(INDIRECT(ADDRESS(6,(ROW()-5)))),,QUERY('NPC List'!$1:$1000, ""Select C,D WHERE A = ""&amp;INDIRECT(ADDRESS(6,(ROW()-5)))&amp;"""",0))"),"")</f>
        <v/>
      </c>
      <c r="D824" s="140"/>
    </row>
    <row r="825" spans="1:4" ht="13.2">
      <c r="A825" s="193"/>
      <c r="B825" s="173"/>
      <c r="C825" s="139" t="str">
        <f ca="1">IFERROR(__xludf.DUMMYFUNCTION("if(ISBLANK(INDIRECT(ADDRESS(6,(ROW()-5)))),,QUERY('NPC List'!$1:$1000, ""Select C,D WHERE A = ""&amp;INDIRECT(ADDRESS(6,(ROW()-5)))&amp;"""",0))"),"")</f>
        <v/>
      </c>
      <c r="D825" s="140"/>
    </row>
    <row r="826" spans="1:4" ht="13.2">
      <c r="A826" s="193"/>
      <c r="B826" s="173"/>
      <c r="C826" s="139" t="str">
        <f ca="1">IFERROR(__xludf.DUMMYFUNCTION("if(ISBLANK(INDIRECT(ADDRESS(6,(ROW()-5)))),,QUERY('NPC List'!$1:$1000, ""Select C,D WHERE A = ""&amp;INDIRECT(ADDRESS(6,(ROW()-5)))&amp;"""",0))"),"")</f>
        <v/>
      </c>
      <c r="D826" s="140"/>
    </row>
    <row r="827" spans="1:4" ht="13.2">
      <c r="A827" s="193"/>
      <c r="B827" s="173"/>
      <c r="C827" s="139" t="str">
        <f ca="1">IFERROR(__xludf.DUMMYFUNCTION("if(ISBLANK(INDIRECT(ADDRESS(6,(ROW()-5)))),,QUERY('NPC List'!$1:$1000, ""Select C,D WHERE A = ""&amp;INDIRECT(ADDRESS(6,(ROW()-5)))&amp;"""",0))"),"")</f>
        <v/>
      </c>
      <c r="D827" s="140"/>
    </row>
    <row r="828" spans="1:4" ht="13.2">
      <c r="A828" s="193"/>
      <c r="B828" s="173"/>
      <c r="C828" s="139" t="str">
        <f ca="1">IFERROR(__xludf.DUMMYFUNCTION("if(ISBLANK(INDIRECT(ADDRESS(6,(ROW()-5)))),,QUERY('NPC List'!$1:$1000, ""Select C,D WHERE A = ""&amp;INDIRECT(ADDRESS(6,(ROW()-5)))&amp;"""",0))"),"")</f>
        <v/>
      </c>
      <c r="D828" s="140"/>
    </row>
    <row r="829" spans="1:4" ht="13.2">
      <c r="A829" s="193"/>
      <c r="B829" s="173"/>
      <c r="C829" s="139" t="str">
        <f ca="1">IFERROR(__xludf.DUMMYFUNCTION("if(ISBLANK(INDIRECT(ADDRESS(6,(ROW()-5)))),,QUERY('NPC List'!$1:$1000, ""Select C,D WHERE A = ""&amp;INDIRECT(ADDRESS(6,(ROW()-5)))&amp;"""",0))"),"")</f>
        <v/>
      </c>
      <c r="D829" s="140"/>
    </row>
    <row r="830" spans="1:4" ht="13.2">
      <c r="A830" s="193"/>
      <c r="B830" s="173"/>
      <c r="C830" s="139" t="str">
        <f ca="1">IFERROR(__xludf.DUMMYFUNCTION("if(ISBLANK(INDIRECT(ADDRESS(6,(ROW()-5)))),,QUERY('NPC List'!$1:$1000, ""Select C,D WHERE A = ""&amp;INDIRECT(ADDRESS(6,(ROW()-5)))&amp;"""",0))"),"")</f>
        <v/>
      </c>
      <c r="D830" s="140"/>
    </row>
    <row r="831" spans="1:4" ht="13.2">
      <c r="A831" s="193"/>
      <c r="B831" s="173"/>
      <c r="C831" s="139" t="str">
        <f ca="1">IFERROR(__xludf.DUMMYFUNCTION("if(ISBLANK(INDIRECT(ADDRESS(6,(ROW()-5)))),,QUERY('NPC List'!$1:$1000, ""Select C,D WHERE A = ""&amp;INDIRECT(ADDRESS(6,(ROW()-5)))&amp;"""",0))"),"")</f>
        <v/>
      </c>
      <c r="D831" s="140"/>
    </row>
    <row r="832" spans="1:4" ht="13.2">
      <c r="A832" s="193"/>
      <c r="B832" s="173"/>
      <c r="C832" s="139" t="str">
        <f ca="1">IFERROR(__xludf.DUMMYFUNCTION("if(ISBLANK(INDIRECT(ADDRESS(6,(ROW()-5)))),,QUERY('NPC List'!$1:$1000, ""Select C,D WHERE A = ""&amp;INDIRECT(ADDRESS(6,(ROW()-5)))&amp;"""",0))"),"")</f>
        <v/>
      </c>
      <c r="D832" s="140"/>
    </row>
    <row r="833" spans="1:4" ht="13.2">
      <c r="A833" s="193"/>
      <c r="B833" s="173"/>
      <c r="C833" s="139" t="str">
        <f ca="1">IFERROR(__xludf.DUMMYFUNCTION("if(ISBLANK(INDIRECT(ADDRESS(6,(ROW()-5)))),,QUERY('NPC List'!$1:$1000, ""Select C,D WHERE A = ""&amp;INDIRECT(ADDRESS(6,(ROW()-5)))&amp;"""",0))"),"")</f>
        <v/>
      </c>
      <c r="D833" s="140"/>
    </row>
    <row r="834" spans="1:4" ht="13.2">
      <c r="A834" s="193"/>
      <c r="B834" s="173"/>
      <c r="C834" s="139" t="str">
        <f ca="1">IFERROR(__xludf.DUMMYFUNCTION("if(ISBLANK(INDIRECT(ADDRESS(6,(ROW()-5)))),,QUERY('NPC List'!$1:$1000, ""Select C,D WHERE A = ""&amp;INDIRECT(ADDRESS(6,(ROW()-5)))&amp;"""",0))"),"")</f>
        <v/>
      </c>
      <c r="D834" s="140"/>
    </row>
    <row r="835" spans="1:4" ht="13.2">
      <c r="A835" s="193"/>
      <c r="B835" s="173"/>
      <c r="C835" s="139" t="str">
        <f ca="1">IFERROR(__xludf.DUMMYFUNCTION("if(ISBLANK(INDIRECT(ADDRESS(6,(ROW()-5)))),,QUERY('NPC List'!$1:$1000, ""Select C,D WHERE A = ""&amp;INDIRECT(ADDRESS(6,(ROW()-5)))&amp;"""",0))"),"")</f>
        <v/>
      </c>
      <c r="D835" s="140"/>
    </row>
    <row r="836" spans="1:4" ht="13.2">
      <c r="A836" s="193"/>
      <c r="B836" s="173"/>
      <c r="C836" s="139" t="str">
        <f ca="1">IFERROR(__xludf.DUMMYFUNCTION("if(ISBLANK(INDIRECT(ADDRESS(6,(ROW()-5)))),,QUERY('NPC List'!$1:$1000, ""Select C,D WHERE A = ""&amp;INDIRECT(ADDRESS(6,(ROW()-5)))&amp;"""",0))"),"")</f>
        <v/>
      </c>
      <c r="D836" s="140"/>
    </row>
    <row r="837" spans="1:4" ht="13.2">
      <c r="A837" s="193"/>
      <c r="B837" s="173"/>
      <c r="C837" s="139" t="str">
        <f ca="1">IFERROR(__xludf.DUMMYFUNCTION("if(ISBLANK(INDIRECT(ADDRESS(6,(ROW()-5)))),,QUERY('NPC List'!$1:$1000, ""Select C,D WHERE A = ""&amp;INDIRECT(ADDRESS(6,(ROW()-5)))&amp;"""",0))"),"")</f>
        <v/>
      </c>
      <c r="D837" s="140"/>
    </row>
    <row r="838" spans="1:4" ht="13.2">
      <c r="A838" s="193"/>
      <c r="B838" s="173"/>
      <c r="C838" s="139" t="str">
        <f ca="1">IFERROR(__xludf.DUMMYFUNCTION("if(ISBLANK(INDIRECT(ADDRESS(6,(ROW()-5)))),,QUERY('NPC List'!$1:$1000, ""Select C,D WHERE A = ""&amp;INDIRECT(ADDRESS(6,(ROW()-5)))&amp;"""",0))"),"")</f>
        <v/>
      </c>
      <c r="D838" s="140"/>
    </row>
    <row r="839" spans="1:4" ht="13.2">
      <c r="A839" s="193"/>
      <c r="B839" s="173"/>
      <c r="C839" s="139" t="str">
        <f ca="1">IFERROR(__xludf.DUMMYFUNCTION("if(ISBLANK(INDIRECT(ADDRESS(6,(ROW()-5)))),,QUERY('NPC List'!$1:$1000, ""Select C,D WHERE A = ""&amp;INDIRECT(ADDRESS(6,(ROW()-5)))&amp;"""",0))"),"")</f>
        <v/>
      </c>
      <c r="D839" s="140"/>
    </row>
    <row r="840" spans="1:4" ht="13.2">
      <c r="A840" s="193"/>
      <c r="B840" s="173"/>
      <c r="C840" s="139" t="str">
        <f ca="1">IFERROR(__xludf.DUMMYFUNCTION("if(ISBLANK(INDIRECT(ADDRESS(6,(ROW()-5)))),,QUERY('NPC List'!$1:$1000, ""Select C,D WHERE A = ""&amp;INDIRECT(ADDRESS(6,(ROW()-5)))&amp;"""",0))"),"")</f>
        <v/>
      </c>
      <c r="D840" s="140"/>
    </row>
    <row r="841" spans="1:4" ht="13.2">
      <c r="A841" s="193"/>
      <c r="B841" s="173"/>
      <c r="C841" s="139" t="str">
        <f ca="1">IFERROR(__xludf.DUMMYFUNCTION("if(ISBLANK(INDIRECT(ADDRESS(6,(ROW()-5)))),,QUERY('NPC List'!$1:$1000, ""Select C,D WHERE A = ""&amp;INDIRECT(ADDRESS(6,(ROW()-5)))&amp;"""",0))"),"")</f>
        <v/>
      </c>
      <c r="D841" s="140"/>
    </row>
    <row r="842" spans="1:4" ht="13.2">
      <c r="A842" s="193"/>
      <c r="B842" s="173"/>
      <c r="C842" s="139" t="str">
        <f ca="1">IFERROR(__xludf.DUMMYFUNCTION("if(ISBLANK(INDIRECT(ADDRESS(6,(ROW()-5)))),,QUERY('NPC List'!$1:$1000, ""Select C,D WHERE A = ""&amp;INDIRECT(ADDRESS(6,(ROW()-5)))&amp;"""",0))"),"")</f>
        <v/>
      </c>
      <c r="D842" s="140"/>
    </row>
    <row r="843" spans="1:4" ht="13.2">
      <c r="A843" s="193"/>
      <c r="B843" s="173"/>
      <c r="C843" s="139" t="str">
        <f ca="1">IFERROR(__xludf.DUMMYFUNCTION("if(ISBLANK(INDIRECT(ADDRESS(6,(ROW()-5)))),,QUERY('NPC List'!$1:$1000, ""Select C,D WHERE A = ""&amp;INDIRECT(ADDRESS(6,(ROW()-5)))&amp;"""",0))"),"")</f>
        <v/>
      </c>
      <c r="D843" s="140"/>
    </row>
    <row r="844" spans="1:4" ht="13.2">
      <c r="A844" s="193"/>
      <c r="B844" s="173"/>
      <c r="C844" s="139" t="str">
        <f ca="1">IFERROR(__xludf.DUMMYFUNCTION("if(ISBLANK(INDIRECT(ADDRESS(6,(ROW()-5)))),,QUERY('NPC List'!$1:$1000, ""Select C,D WHERE A = ""&amp;INDIRECT(ADDRESS(6,(ROW()-5)))&amp;"""",0))"),"")</f>
        <v/>
      </c>
      <c r="D844" s="140"/>
    </row>
    <row r="845" spans="1:4" ht="13.2">
      <c r="A845" s="193"/>
      <c r="B845" s="173"/>
      <c r="C845" s="139" t="str">
        <f ca="1">IFERROR(__xludf.DUMMYFUNCTION("if(ISBLANK(INDIRECT(ADDRESS(6,(ROW()-5)))),,QUERY('NPC List'!$1:$1000, ""Select C,D WHERE A = ""&amp;INDIRECT(ADDRESS(6,(ROW()-5)))&amp;"""",0))"),"")</f>
        <v/>
      </c>
      <c r="D845" s="140"/>
    </row>
    <row r="846" spans="1:4" ht="13.2">
      <c r="A846" s="193"/>
      <c r="B846" s="173"/>
      <c r="C846" s="139" t="str">
        <f ca="1">IFERROR(__xludf.DUMMYFUNCTION("if(ISBLANK(INDIRECT(ADDRESS(6,(ROW()-5)))),,QUERY('NPC List'!$1:$1000, ""Select C,D WHERE A = ""&amp;INDIRECT(ADDRESS(6,(ROW()-5)))&amp;"""",0))"),"")</f>
        <v/>
      </c>
      <c r="D846" s="140"/>
    </row>
    <row r="847" spans="1:4" ht="13.2">
      <c r="A847" s="193"/>
      <c r="B847" s="173"/>
      <c r="C847" s="139" t="str">
        <f ca="1">IFERROR(__xludf.DUMMYFUNCTION("if(ISBLANK(INDIRECT(ADDRESS(6,(ROW()-5)))),,QUERY('NPC List'!$1:$1000, ""Select C,D WHERE A = ""&amp;INDIRECT(ADDRESS(6,(ROW()-5)))&amp;"""",0))"),"")</f>
        <v/>
      </c>
      <c r="D847" s="140"/>
    </row>
    <row r="848" spans="1:4" ht="13.2">
      <c r="A848" s="193"/>
      <c r="B848" s="173"/>
      <c r="C848" s="139" t="str">
        <f ca="1">IFERROR(__xludf.DUMMYFUNCTION("if(ISBLANK(INDIRECT(ADDRESS(6,(ROW()-5)))),,QUERY('NPC List'!$1:$1000, ""Select C,D WHERE A = ""&amp;INDIRECT(ADDRESS(6,(ROW()-5)))&amp;"""",0))"),"")</f>
        <v/>
      </c>
      <c r="D848" s="140"/>
    </row>
    <row r="849" spans="1:4" ht="13.2">
      <c r="A849" s="193"/>
      <c r="B849" s="173"/>
      <c r="C849" s="139" t="str">
        <f ca="1">IFERROR(__xludf.DUMMYFUNCTION("if(ISBLANK(INDIRECT(ADDRESS(6,(ROW()-5)))),,QUERY('NPC List'!$1:$1000, ""Select C,D WHERE A = ""&amp;INDIRECT(ADDRESS(6,(ROW()-5)))&amp;"""",0))"),"")</f>
        <v/>
      </c>
      <c r="D849" s="140"/>
    </row>
    <row r="850" spans="1:4" ht="13.2">
      <c r="A850" s="193"/>
      <c r="B850" s="173"/>
      <c r="C850" s="139" t="str">
        <f ca="1">IFERROR(__xludf.DUMMYFUNCTION("if(ISBLANK(INDIRECT(ADDRESS(6,(ROW()-5)))),,QUERY('NPC List'!$1:$1000, ""Select C,D WHERE A = ""&amp;INDIRECT(ADDRESS(6,(ROW()-5)))&amp;"""",0))"),"")</f>
        <v/>
      </c>
      <c r="D850" s="140"/>
    </row>
    <row r="851" spans="1:4" ht="13.2">
      <c r="A851" s="193"/>
      <c r="B851" s="173"/>
      <c r="C851" s="139" t="str">
        <f ca="1">IFERROR(__xludf.DUMMYFUNCTION("if(ISBLANK(INDIRECT(ADDRESS(6,(ROW()-5)))),,QUERY('NPC List'!$1:$1000, ""Select C,D WHERE A = ""&amp;INDIRECT(ADDRESS(6,(ROW()-5)))&amp;"""",0))"),"")</f>
        <v/>
      </c>
      <c r="D851" s="140"/>
    </row>
    <row r="852" spans="1:4" ht="13.2">
      <c r="A852" s="193"/>
      <c r="B852" s="173"/>
      <c r="C852" s="139" t="str">
        <f ca="1">IFERROR(__xludf.DUMMYFUNCTION("if(ISBLANK(INDIRECT(ADDRESS(6,(ROW()-5)))),,QUERY('NPC List'!$1:$1000, ""Select C,D WHERE A = ""&amp;INDIRECT(ADDRESS(6,(ROW()-5)))&amp;"""",0))"),"")</f>
        <v/>
      </c>
      <c r="D852" s="140"/>
    </row>
    <row r="853" spans="1:4" ht="13.2">
      <c r="A853" s="193"/>
      <c r="B853" s="173"/>
      <c r="C853" s="139" t="str">
        <f ca="1">IFERROR(__xludf.DUMMYFUNCTION("if(ISBLANK(INDIRECT(ADDRESS(6,(ROW()-5)))),,QUERY('NPC List'!$1:$1000, ""Select C,D WHERE A = ""&amp;INDIRECT(ADDRESS(6,(ROW()-5)))&amp;"""",0))"),"")</f>
        <v/>
      </c>
      <c r="D853" s="140"/>
    </row>
    <row r="854" spans="1:4" ht="13.2">
      <c r="A854" s="193"/>
      <c r="B854" s="173"/>
      <c r="C854" s="139" t="str">
        <f ca="1">IFERROR(__xludf.DUMMYFUNCTION("if(ISBLANK(INDIRECT(ADDRESS(6,(ROW()-5)))),,QUERY('NPC List'!$1:$1000, ""Select C,D WHERE A = ""&amp;INDIRECT(ADDRESS(6,(ROW()-5)))&amp;"""",0))"),"")</f>
        <v/>
      </c>
      <c r="D854" s="140"/>
    </row>
    <row r="855" spans="1:4" ht="13.2">
      <c r="A855" s="193"/>
      <c r="B855" s="173"/>
      <c r="C855" s="139" t="str">
        <f ca="1">IFERROR(__xludf.DUMMYFUNCTION("if(ISBLANK(INDIRECT(ADDRESS(6,(ROW()-5)))),,QUERY('NPC List'!$1:$1000, ""Select C,D WHERE A = ""&amp;INDIRECT(ADDRESS(6,(ROW()-5)))&amp;"""",0))"),"")</f>
        <v/>
      </c>
      <c r="D855" s="140"/>
    </row>
    <row r="856" spans="1:4" ht="13.2">
      <c r="A856" s="193"/>
      <c r="B856" s="173"/>
      <c r="C856" s="139" t="str">
        <f ca="1">IFERROR(__xludf.DUMMYFUNCTION("if(ISBLANK(INDIRECT(ADDRESS(6,(ROW()-5)))),,QUERY('NPC List'!$1:$1000, ""Select C,D WHERE A = ""&amp;INDIRECT(ADDRESS(6,(ROW()-5)))&amp;"""",0))"),"")</f>
        <v/>
      </c>
      <c r="D856" s="140"/>
    </row>
    <row r="857" spans="1:4" ht="13.2">
      <c r="A857" s="193"/>
      <c r="B857" s="173"/>
      <c r="C857" s="139" t="str">
        <f ca="1">IFERROR(__xludf.DUMMYFUNCTION("if(ISBLANK(INDIRECT(ADDRESS(6,(ROW()-5)))),,QUERY('NPC List'!$1:$1000, ""Select C,D WHERE A = ""&amp;INDIRECT(ADDRESS(6,(ROW()-5)))&amp;"""",0))"),"")</f>
        <v/>
      </c>
      <c r="D857" s="140"/>
    </row>
    <row r="858" spans="1:4" ht="13.2">
      <c r="A858" s="193"/>
      <c r="B858" s="173"/>
      <c r="C858" s="139" t="str">
        <f ca="1">IFERROR(__xludf.DUMMYFUNCTION("if(ISBLANK(INDIRECT(ADDRESS(6,(ROW()-5)))),,QUERY('NPC List'!$1:$1000, ""Select C,D WHERE A = ""&amp;INDIRECT(ADDRESS(6,(ROW()-5)))&amp;"""",0))"),"")</f>
        <v/>
      </c>
      <c r="D858" s="140"/>
    </row>
    <row r="859" spans="1:4" ht="13.2">
      <c r="A859" s="193"/>
      <c r="B859" s="173"/>
      <c r="C859" s="139" t="str">
        <f ca="1">IFERROR(__xludf.DUMMYFUNCTION("if(ISBLANK(INDIRECT(ADDRESS(6,(ROW()-5)))),,QUERY('NPC List'!$1:$1000, ""Select C,D WHERE A = ""&amp;INDIRECT(ADDRESS(6,(ROW()-5)))&amp;"""",0))"),"")</f>
        <v/>
      </c>
      <c r="D859" s="140"/>
    </row>
    <row r="860" spans="1:4" ht="13.2">
      <c r="A860" s="193"/>
      <c r="B860" s="173"/>
      <c r="C860" s="139" t="str">
        <f ca="1">IFERROR(__xludf.DUMMYFUNCTION("if(ISBLANK(INDIRECT(ADDRESS(6,(ROW()-5)))),,QUERY('NPC List'!$1:$1000, ""Select C,D WHERE A = ""&amp;INDIRECT(ADDRESS(6,(ROW()-5)))&amp;"""",0))"),"")</f>
        <v/>
      </c>
      <c r="D860" s="140"/>
    </row>
    <row r="861" spans="1:4" ht="13.2">
      <c r="A861" s="193"/>
      <c r="B861" s="173"/>
      <c r="C861" s="139" t="str">
        <f ca="1">IFERROR(__xludf.DUMMYFUNCTION("if(ISBLANK(INDIRECT(ADDRESS(6,(ROW()-5)))),,QUERY('NPC List'!$1:$1000, ""Select C,D WHERE A = ""&amp;INDIRECT(ADDRESS(6,(ROW()-5)))&amp;"""",0))"),"")</f>
        <v/>
      </c>
      <c r="D861" s="140"/>
    </row>
    <row r="862" spans="1:4" ht="13.2">
      <c r="A862" s="193"/>
      <c r="B862" s="173"/>
      <c r="C862" s="139" t="str">
        <f ca="1">IFERROR(__xludf.DUMMYFUNCTION("if(ISBLANK(INDIRECT(ADDRESS(6,(ROW()-5)))),,QUERY('NPC List'!$1:$1000, ""Select C,D WHERE A = ""&amp;INDIRECT(ADDRESS(6,(ROW()-5)))&amp;"""",0))"),"")</f>
        <v/>
      </c>
      <c r="D862" s="140"/>
    </row>
    <row r="863" spans="1:4" ht="13.2">
      <c r="A863" s="193"/>
      <c r="B863" s="173"/>
      <c r="C863" s="139" t="str">
        <f ca="1">IFERROR(__xludf.DUMMYFUNCTION("if(ISBLANK(INDIRECT(ADDRESS(6,(ROW()-5)))),,QUERY('NPC List'!$1:$1000, ""Select C,D WHERE A = ""&amp;INDIRECT(ADDRESS(6,(ROW()-5)))&amp;"""",0))"),"")</f>
        <v/>
      </c>
      <c r="D863" s="140"/>
    </row>
    <row r="864" spans="1:4" ht="13.2">
      <c r="A864" s="193"/>
      <c r="B864" s="173"/>
      <c r="C864" s="139" t="str">
        <f ca="1">IFERROR(__xludf.DUMMYFUNCTION("if(ISBLANK(INDIRECT(ADDRESS(6,(ROW()-5)))),,QUERY('NPC List'!$1:$1000, ""Select C,D WHERE A = ""&amp;INDIRECT(ADDRESS(6,(ROW()-5)))&amp;"""",0))"),"")</f>
        <v/>
      </c>
      <c r="D864" s="140"/>
    </row>
    <row r="865" spans="1:4" ht="13.2">
      <c r="A865" s="193"/>
      <c r="B865" s="173"/>
      <c r="C865" s="139" t="str">
        <f ca="1">IFERROR(__xludf.DUMMYFUNCTION("if(ISBLANK(INDIRECT(ADDRESS(6,(ROW()-5)))),,QUERY('NPC List'!$1:$1000, ""Select C,D WHERE A = ""&amp;INDIRECT(ADDRESS(6,(ROW()-5)))&amp;"""",0))"),"")</f>
        <v/>
      </c>
      <c r="D865" s="140"/>
    </row>
    <row r="866" spans="1:4" ht="13.2">
      <c r="A866" s="193"/>
      <c r="B866" s="173"/>
      <c r="C866" s="139" t="str">
        <f ca="1">IFERROR(__xludf.DUMMYFUNCTION("if(ISBLANK(INDIRECT(ADDRESS(6,(ROW()-5)))),,QUERY('NPC List'!$1:$1000, ""Select C,D WHERE A = ""&amp;INDIRECT(ADDRESS(6,(ROW()-5)))&amp;"""",0))"),"")</f>
        <v/>
      </c>
      <c r="D866" s="140"/>
    </row>
    <row r="867" spans="1:4" ht="13.2">
      <c r="A867" s="193"/>
      <c r="B867" s="173"/>
      <c r="C867" s="139" t="str">
        <f ca="1">IFERROR(__xludf.DUMMYFUNCTION("if(ISBLANK(INDIRECT(ADDRESS(6,(ROW()-5)))),,QUERY('NPC List'!$1:$1000, ""Select C,D WHERE A = ""&amp;INDIRECT(ADDRESS(6,(ROW()-5)))&amp;"""",0))"),"")</f>
        <v/>
      </c>
      <c r="D867" s="140"/>
    </row>
    <row r="868" spans="1:4" ht="13.2">
      <c r="A868" s="193"/>
      <c r="B868" s="173"/>
      <c r="C868" s="139" t="str">
        <f ca="1">IFERROR(__xludf.DUMMYFUNCTION("if(ISBLANK(INDIRECT(ADDRESS(6,(ROW()-5)))),,QUERY('NPC List'!$1:$1000, ""Select C,D WHERE A = ""&amp;INDIRECT(ADDRESS(6,(ROW()-5)))&amp;"""",0))"),"")</f>
        <v/>
      </c>
      <c r="D868" s="140"/>
    </row>
    <row r="869" spans="1:4" ht="13.2">
      <c r="A869" s="193"/>
      <c r="B869" s="173"/>
      <c r="C869" s="139" t="str">
        <f ca="1">IFERROR(__xludf.DUMMYFUNCTION("if(ISBLANK(INDIRECT(ADDRESS(6,(ROW()-5)))),,QUERY('NPC List'!$1:$1000, ""Select C,D WHERE A = ""&amp;INDIRECT(ADDRESS(6,(ROW()-5)))&amp;"""",0))"),"")</f>
        <v/>
      </c>
      <c r="D869" s="140"/>
    </row>
    <row r="870" spans="1:4" ht="13.2">
      <c r="A870" s="193"/>
      <c r="B870" s="173"/>
      <c r="C870" s="139" t="str">
        <f ca="1">IFERROR(__xludf.DUMMYFUNCTION("if(ISBLANK(INDIRECT(ADDRESS(6,(ROW()-5)))),,QUERY('NPC List'!$1:$1000, ""Select C,D WHERE A = ""&amp;INDIRECT(ADDRESS(6,(ROW()-5)))&amp;"""",0))"),"")</f>
        <v/>
      </c>
      <c r="D870" s="140"/>
    </row>
    <row r="871" spans="1:4" ht="13.2">
      <c r="A871" s="193"/>
      <c r="B871" s="173"/>
      <c r="C871" s="139" t="str">
        <f ca="1">IFERROR(__xludf.DUMMYFUNCTION("if(ISBLANK(INDIRECT(ADDRESS(6,(ROW()-5)))),,QUERY('NPC List'!$1:$1000, ""Select C,D WHERE A = ""&amp;INDIRECT(ADDRESS(6,(ROW()-5)))&amp;"""",0))"),"")</f>
        <v/>
      </c>
      <c r="D871" s="140"/>
    </row>
    <row r="872" spans="1:4" ht="13.2">
      <c r="A872" s="193"/>
      <c r="B872" s="173"/>
      <c r="C872" s="139" t="str">
        <f ca="1">IFERROR(__xludf.DUMMYFUNCTION("if(ISBLANK(INDIRECT(ADDRESS(6,(ROW()-5)))),,QUERY('NPC List'!$1:$1000, ""Select C,D WHERE A = ""&amp;INDIRECT(ADDRESS(6,(ROW()-5)))&amp;"""",0))"),"")</f>
        <v/>
      </c>
      <c r="D872" s="140"/>
    </row>
    <row r="873" spans="1:4" ht="13.2">
      <c r="A873" s="193"/>
      <c r="B873" s="173"/>
      <c r="C873" s="139" t="str">
        <f ca="1">IFERROR(__xludf.DUMMYFUNCTION("if(ISBLANK(INDIRECT(ADDRESS(6,(ROW()-5)))),,QUERY('NPC List'!$1:$1000, ""Select C,D WHERE A = ""&amp;INDIRECT(ADDRESS(6,(ROW()-5)))&amp;"""",0))"),"")</f>
        <v/>
      </c>
      <c r="D873" s="140"/>
    </row>
    <row r="874" spans="1:4" ht="13.2">
      <c r="A874" s="193"/>
      <c r="B874" s="173"/>
      <c r="C874" s="139" t="str">
        <f ca="1">IFERROR(__xludf.DUMMYFUNCTION("if(ISBLANK(INDIRECT(ADDRESS(6,(ROW()-5)))),,QUERY('NPC List'!$1:$1000, ""Select C,D WHERE A = ""&amp;INDIRECT(ADDRESS(6,(ROW()-5)))&amp;"""",0))"),"")</f>
        <v/>
      </c>
      <c r="D874" s="140"/>
    </row>
    <row r="875" spans="1:4" ht="13.2">
      <c r="A875" s="193"/>
      <c r="B875" s="173"/>
      <c r="C875" s="139" t="str">
        <f ca="1">IFERROR(__xludf.DUMMYFUNCTION("if(ISBLANK(INDIRECT(ADDRESS(6,(ROW()-5)))),,QUERY('NPC List'!$1:$1000, ""Select C,D WHERE A = ""&amp;INDIRECT(ADDRESS(6,(ROW()-5)))&amp;"""",0))"),"")</f>
        <v/>
      </c>
      <c r="D875" s="140"/>
    </row>
    <row r="876" spans="1:4" ht="13.2">
      <c r="A876" s="193"/>
      <c r="B876" s="173"/>
      <c r="C876" s="139" t="str">
        <f ca="1">IFERROR(__xludf.DUMMYFUNCTION("if(ISBLANK(INDIRECT(ADDRESS(6,(ROW()-5)))),,QUERY('NPC List'!$1:$1000, ""Select C,D WHERE A = ""&amp;INDIRECT(ADDRESS(6,(ROW()-5)))&amp;"""",0))"),"")</f>
        <v/>
      </c>
      <c r="D876" s="140"/>
    </row>
    <row r="877" spans="1:4" ht="13.2">
      <c r="A877" s="193"/>
      <c r="B877" s="173"/>
      <c r="C877" s="139" t="str">
        <f ca="1">IFERROR(__xludf.DUMMYFUNCTION("if(ISBLANK(INDIRECT(ADDRESS(6,(ROW()-5)))),,QUERY('NPC List'!$1:$1000, ""Select C,D WHERE A = ""&amp;INDIRECT(ADDRESS(6,(ROW()-5)))&amp;"""",0))"),"")</f>
        <v/>
      </c>
      <c r="D877" s="140"/>
    </row>
    <row r="878" spans="1:4" ht="13.2">
      <c r="A878" s="193"/>
      <c r="B878" s="173"/>
      <c r="C878" s="139" t="str">
        <f ca="1">IFERROR(__xludf.DUMMYFUNCTION("if(ISBLANK(INDIRECT(ADDRESS(6,(ROW()-5)))),,QUERY('NPC List'!$1:$1000, ""Select C,D WHERE A = ""&amp;INDIRECT(ADDRESS(6,(ROW()-5)))&amp;"""",0))"),"")</f>
        <v/>
      </c>
      <c r="D878" s="140"/>
    </row>
    <row r="879" spans="1:4" ht="13.2">
      <c r="A879" s="193"/>
      <c r="B879" s="173"/>
      <c r="C879" s="139" t="str">
        <f ca="1">IFERROR(__xludf.DUMMYFUNCTION("if(ISBLANK(INDIRECT(ADDRESS(6,(ROW()-5)))),,QUERY('NPC List'!$1:$1000, ""Select C,D WHERE A = ""&amp;INDIRECT(ADDRESS(6,(ROW()-5)))&amp;"""",0))"),"")</f>
        <v/>
      </c>
      <c r="D879" s="140"/>
    </row>
    <row r="880" spans="1:4" ht="13.2">
      <c r="A880" s="193"/>
      <c r="B880" s="173"/>
      <c r="C880" s="139" t="str">
        <f ca="1">IFERROR(__xludf.DUMMYFUNCTION("if(ISBLANK(INDIRECT(ADDRESS(6,(ROW()-5)))),,QUERY('NPC List'!$1:$1000, ""Select C,D WHERE A = ""&amp;INDIRECT(ADDRESS(6,(ROW()-5)))&amp;"""",0))"),"")</f>
        <v/>
      </c>
      <c r="D880" s="140"/>
    </row>
    <row r="881" spans="1:4" ht="13.2">
      <c r="A881" s="193"/>
      <c r="B881" s="173"/>
      <c r="C881" s="139" t="str">
        <f ca="1">IFERROR(__xludf.DUMMYFUNCTION("if(ISBLANK(INDIRECT(ADDRESS(6,(ROW()-5)))),,QUERY('NPC List'!$1:$1000, ""Select C,D WHERE A = ""&amp;INDIRECT(ADDRESS(6,(ROW()-5)))&amp;"""",0))"),"")</f>
        <v/>
      </c>
      <c r="D881" s="140"/>
    </row>
    <row r="882" spans="1:4" ht="13.2">
      <c r="A882" s="193"/>
      <c r="B882" s="173"/>
      <c r="C882" s="139" t="str">
        <f ca="1">IFERROR(__xludf.DUMMYFUNCTION("if(ISBLANK(INDIRECT(ADDRESS(6,(ROW()-5)))),,QUERY('NPC List'!$1:$1000, ""Select C,D WHERE A = ""&amp;INDIRECT(ADDRESS(6,(ROW()-5)))&amp;"""",0))"),"")</f>
        <v/>
      </c>
      <c r="D882" s="140"/>
    </row>
    <row r="883" spans="1:4" ht="13.2">
      <c r="A883" s="193"/>
      <c r="B883" s="173"/>
      <c r="C883" s="139" t="str">
        <f ca="1">IFERROR(__xludf.DUMMYFUNCTION("if(ISBLANK(INDIRECT(ADDRESS(6,(ROW()-5)))),,QUERY('NPC List'!$1:$1000, ""Select C,D WHERE A = ""&amp;INDIRECT(ADDRESS(6,(ROW()-5)))&amp;"""",0))"),"")</f>
        <v/>
      </c>
      <c r="D883" s="140"/>
    </row>
    <row r="884" spans="1:4" ht="13.2">
      <c r="A884" s="193"/>
      <c r="B884" s="173"/>
      <c r="C884" s="139" t="str">
        <f ca="1">IFERROR(__xludf.DUMMYFUNCTION("if(ISBLANK(INDIRECT(ADDRESS(6,(ROW()-5)))),,QUERY('NPC List'!$1:$1000, ""Select C,D WHERE A = ""&amp;INDIRECT(ADDRESS(6,(ROW()-5)))&amp;"""",0))"),"")</f>
        <v/>
      </c>
      <c r="D884" s="140"/>
    </row>
    <row r="885" spans="1:4" ht="13.2">
      <c r="A885" s="193"/>
      <c r="B885" s="173"/>
      <c r="C885" s="139" t="str">
        <f ca="1">IFERROR(__xludf.DUMMYFUNCTION("if(ISBLANK(INDIRECT(ADDRESS(6,(ROW()-5)))),,QUERY('NPC List'!$1:$1000, ""Select C,D WHERE A = ""&amp;INDIRECT(ADDRESS(6,(ROW()-5)))&amp;"""",0))"),"")</f>
        <v/>
      </c>
      <c r="D885" s="140"/>
    </row>
    <row r="886" spans="1:4" ht="13.2">
      <c r="A886" s="193"/>
      <c r="B886" s="173"/>
      <c r="C886" s="139" t="str">
        <f ca="1">IFERROR(__xludf.DUMMYFUNCTION("if(ISBLANK(INDIRECT(ADDRESS(6,(ROW()-5)))),,QUERY('NPC List'!$1:$1000, ""Select C,D WHERE A = ""&amp;INDIRECT(ADDRESS(6,(ROW()-5)))&amp;"""",0))"),"")</f>
        <v/>
      </c>
      <c r="D886" s="140"/>
    </row>
    <row r="887" spans="1:4" ht="13.2">
      <c r="A887" s="193"/>
      <c r="B887" s="173"/>
      <c r="C887" s="139" t="str">
        <f ca="1">IFERROR(__xludf.DUMMYFUNCTION("if(ISBLANK(INDIRECT(ADDRESS(6,(ROW()-5)))),,QUERY('NPC List'!$1:$1000, ""Select C,D WHERE A = ""&amp;INDIRECT(ADDRESS(6,(ROW()-5)))&amp;"""",0))"),"")</f>
        <v/>
      </c>
      <c r="D887" s="140"/>
    </row>
    <row r="888" spans="1:4" ht="13.2">
      <c r="A888" s="193"/>
      <c r="B888" s="173"/>
      <c r="C888" s="139" t="str">
        <f ca="1">IFERROR(__xludf.DUMMYFUNCTION("if(ISBLANK(INDIRECT(ADDRESS(6,(ROW()-5)))),,QUERY('NPC List'!$1:$1000, ""Select C,D WHERE A = ""&amp;INDIRECT(ADDRESS(6,(ROW()-5)))&amp;"""",0))"),"")</f>
        <v/>
      </c>
      <c r="D888" s="140"/>
    </row>
    <row r="889" spans="1:4" ht="13.2">
      <c r="A889" s="193"/>
      <c r="B889" s="173"/>
      <c r="C889" s="139" t="str">
        <f ca="1">IFERROR(__xludf.DUMMYFUNCTION("if(ISBLANK(INDIRECT(ADDRESS(6,(ROW()-5)))),,QUERY('NPC List'!$1:$1000, ""Select C,D WHERE A = ""&amp;INDIRECT(ADDRESS(6,(ROW()-5)))&amp;"""",0))"),"")</f>
        <v/>
      </c>
      <c r="D889" s="140"/>
    </row>
    <row r="890" spans="1:4" ht="13.2">
      <c r="A890" s="193"/>
      <c r="B890" s="173"/>
      <c r="C890" s="139" t="str">
        <f ca="1">IFERROR(__xludf.DUMMYFUNCTION("if(ISBLANK(INDIRECT(ADDRESS(6,(ROW()-5)))),,QUERY('NPC List'!$1:$1000, ""Select C,D WHERE A = ""&amp;INDIRECT(ADDRESS(6,(ROW()-5)))&amp;"""",0))"),"")</f>
        <v/>
      </c>
      <c r="D890" s="140"/>
    </row>
    <row r="891" spans="1:4" ht="13.2">
      <c r="A891" s="193"/>
      <c r="B891" s="173"/>
      <c r="C891" s="139" t="str">
        <f ca="1">IFERROR(__xludf.DUMMYFUNCTION("if(ISBLANK(INDIRECT(ADDRESS(6,(ROW()-5)))),,QUERY('NPC List'!$1:$1000, ""Select C,D WHERE A = ""&amp;INDIRECT(ADDRESS(6,(ROW()-5)))&amp;"""",0))"),"")</f>
        <v/>
      </c>
      <c r="D891" s="140"/>
    </row>
    <row r="892" spans="1:4" ht="13.2">
      <c r="A892" s="193"/>
      <c r="B892" s="173"/>
      <c r="C892" s="139" t="str">
        <f ca="1">IFERROR(__xludf.DUMMYFUNCTION("if(ISBLANK(INDIRECT(ADDRESS(6,(ROW()-5)))),,QUERY('NPC List'!$1:$1000, ""Select C,D WHERE A = ""&amp;INDIRECT(ADDRESS(6,(ROW()-5)))&amp;"""",0))"),"")</f>
        <v/>
      </c>
      <c r="D892" s="140"/>
    </row>
    <row r="893" spans="1:4" ht="13.2">
      <c r="A893" s="193"/>
      <c r="B893" s="173"/>
      <c r="C893" s="139" t="str">
        <f ca="1">IFERROR(__xludf.DUMMYFUNCTION("if(ISBLANK(INDIRECT(ADDRESS(6,(ROW()-5)))),,QUERY('NPC List'!$1:$1000, ""Select C,D WHERE A = ""&amp;INDIRECT(ADDRESS(6,(ROW()-5)))&amp;"""",0))"),"")</f>
        <v/>
      </c>
      <c r="D893" s="140"/>
    </row>
    <row r="894" spans="1:4" ht="13.2">
      <c r="A894" s="193"/>
      <c r="B894" s="173"/>
      <c r="C894" s="139" t="str">
        <f ca="1">IFERROR(__xludf.DUMMYFUNCTION("if(ISBLANK(INDIRECT(ADDRESS(6,(ROW()-5)))),,QUERY('NPC List'!$1:$1000, ""Select C,D WHERE A = ""&amp;INDIRECT(ADDRESS(6,(ROW()-5)))&amp;"""",0))"),"")</f>
        <v/>
      </c>
      <c r="D894" s="140"/>
    </row>
    <row r="895" spans="1:4" ht="13.2">
      <c r="A895" s="193"/>
      <c r="B895" s="173"/>
      <c r="C895" s="139" t="str">
        <f ca="1">IFERROR(__xludf.DUMMYFUNCTION("if(ISBLANK(INDIRECT(ADDRESS(6,(ROW()-5)))),,QUERY('NPC List'!$1:$1000, ""Select C,D WHERE A = ""&amp;INDIRECT(ADDRESS(6,(ROW()-5)))&amp;"""",0))"),"")</f>
        <v/>
      </c>
      <c r="D895" s="140"/>
    </row>
    <row r="896" spans="1:4" ht="13.2">
      <c r="A896" s="193"/>
      <c r="B896" s="173"/>
      <c r="C896" s="139" t="str">
        <f ca="1">IFERROR(__xludf.DUMMYFUNCTION("if(ISBLANK(INDIRECT(ADDRESS(6,(ROW()-5)))),,QUERY('NPC List'!$1:$1000, ""Select C,D WHERE A = ""&amp;INDIRECT(ADDRESS(6,(ROW()-5)))&amp;"""",0))"),"")</f>
        <v/>
      </c>
      <c r="D896" s="140"/>
    </row>
    <row r="897" spans="1:4" ht="13.2">
      <c r="A897" s="193"/>
      <c r="B897" s="173"/>
      <c r="C897" s="139" t="str">
        <f ca="1">IFERROR(__xludf.DUMMYFUNCTION("if(ISBLANK(INDIRECT(ADDRESS(6,(ROW()-5)))),,QUERY('NPC List'!$1:$1000, ""Select C,D WHERE A = ""&amp;INDIRECT(ADDRESS(6,(ROW()-5)))&amp;"""",0))"),"")</f>
        <v/>
      </c>
      <c r="D897" s="140"/>
    </row>
    <row r="898" spans="1:4" ht="13.2">
      <c r="A898" s="193"/>
      <c r="B898" s="173"/>
      <c r="C898" s="139" t="str">
        <f ca="1">IFERROR(__xludf.DUMMYFUNCTION("if(ISBLANK(INDIRECT(ADDRESS(6,(ROW()-5)))),,QUERY('NPC List'!$1:$1000, ""Select C,D WHERE A = ""&amp;INDIRECT(ADDRESS(6,(ROW()-5)))&amp;"""",0))"),"")</f>
        <v/>
      </c>
      <c r="D898" s="140"/>
    </row>
    <row r="899" spans="1:4" ht="13.2">
      <c r="A899" s="193"/>
      <c r="B899" s="173"/>
      <c r="C899" s="139" t="str">
        <f ca="1">IFERROR(__xludf.DUMMYFUNCTION("if(ISBLANK(INDIRECT(ADDRESS(6,(ROW()-5)))),,QUERY('NPC List'!$1:$1000, ""Select C,D WHERE A = ""&amp;INDIRECT(ADDRESS(6,(ROW()-5)))&amp;"""",0))"),"")</f>
        <v/>
      </c>
      <c r="D899" s="140"/>
    </row>
    <row r="900" spans="1:4" ht="13.2">
      <c r="A900" s="193"/>
      <c r="B900" s="173"/>
      <c r="C900" s="139" t="str">
        <f ca="1">IFERROR(__xludf.DUMMYFUNCTION("if(ISBLANK(INDIRECT(ADDRESS(6,(ROW()-5)))),,QUERY('NPC List'!$1:$1000, ""Select C,D WHERE A = ""&amp;INDIRECT(ADDRESS(6,(ROW()-5)))&amp;"""",0))"),"")</f>
        <v/>
      </c>
      <c r="D900" s="140"/>
    </row>
    <row r="901" spans="1:4" ht="13.2">
      <c r="A901" s="193"/>
      <c r="B901" s="173"/>
      <c r="C901" s="139" t="str">
        <f ca="1">IFERROR(__xludf.DUMMYFUNCTION("if(ISBLANK(INDIRECT(ADDRESS(6,(ROW()-5)))),,QUERY('NPC List'!$1:$1000, ""Select C,D WHERE A = ""&amp;INDIRECT(ADDRESS(6,(ROW()-5)))&amp;"""",0))"),"")</f>
        <v/>
      </c>
      <c r="D901" s="140"/>
    </row>
    <row r="902" spans="1:4" ht="13.2">
      <c r="A902" s="193"/>
      <c r="B902" s="173"/>
      <c r="C902" s="139" t="str">
        <f ca="1">IFERROR(__xludf.DUMMYFUNCTION("if(ISBLANK(INDIRECT(ADDRESS(6,(ROW()-5)))),,QUERY('NPC List'!$1:$1000, ""Select C,D WHERE A = ""&amp;INDIRECT(ADDRESS(6,(ROW()-5)))&amp;"""",0))"),"")</f>
        <v/>
      </c>
      <c r="D902" s="140"/>
    </row>
    <row r="903" spans="1:4" ht="13.2">
      <c r="A903" s="193"/>
      <c r="B903" s="173"/>
      <c r="C903" s="139" t="str">
        <f ca="1">IFERROR(__xludf.DUMMYFUNCTION("if(ISBLANK(INDIRECT(ADDRESS(6,(ROW()-5)))),,QUERY('NPC List'!$1:$1000, ""Select C,D WHERE A = ""&amp;INDIRECT(ADDRESS(6,(ROW()-5)))&amp;"""",0))"),"")</f>
        <v/>
      </c>
      <c r="D903" s="140"/>
    </row>
    <row r="904" spans="1:4" ht="13.2">
      <c r="A904" s="193"/>
      <c r="B904" s="173"/>
      <c r="C904" s="139" t="str">
        <f ca="1">IFERROR(__xludf.DUMMYFUNCTION("if(ISBLANK(INDIRECT(ADDRESS(6,(ROW()-5)))),,QUERY('NPC List'!$1:$1000, ""Select C,D WHERE A = ""&amp;INDIRECT(ADDRESS(6,(ROW()-5)))&amp;"""",0))"),"")</f>
        <v/>
      </c>
      <c r="D904" s="140"/>
    </row>
    <row r="905" spans="1:4" ht="13.2">
      <c r="A905" s="193"/>
      <c r="B905" s="173"/>
      <c r="C905" s="139" t="str">
        <f ca="1">IFERROR(__xludf.DUMMYFUNCTION("if(ISBLANK(INDIRECT(ADDRESS(6,(ROW()-5)))),,QUERY('NPC List'!$1:$1000, ""Select C,D WHERE A = ""&amp;INDIRECT(ADDRESS(6,(ROW()-5)))&amp;"""",0))"),"")</f>
        <v/>
      </c>
      <c r="D905" s="140"/>
    </row>
    <row r="906" spans="1:4" ht="13.2">
      <c r="A906" s="193"/>
      <c r="B906" s="173"/>
      <c r="C906" s="139" t="str">
        <f ca="1">IFERROR(__xludf.DUMMYFUNCTION("if(ISBLANK(INDIRECT(ADDRESS(6,(ROW()-5)))),,QUERY('NPC List'!$1:$1000, ""Select C,D WHERE A = ""&amp;INDIRECT(ADDRESS(6,(ROW()-5)))&amp;"""",0))"),"")</f>
        <v/>
      </c>
      <c r="D906" s="140"/>
    </row>
    <row r="907" spans="1:4" ht="13.2">
      <c r="A907" s="193"/>
      <c r="B907" s="173"/>
      <c r="C907" s="139" t="str">
        <f ca="1">IFERROR(__xludf.DUMMYFUNCTION("if(ISBLANK(INDIRECT(ADDRESS(6,(ROW()-5)))),,QUERY('NPC List'!$1:$1000, ""Select C,D WHERE A = ""&amp;INDIRECT(ADDRESS(6,(ROW()-5)))&amp;"""",0))"),"")</f>
        <v/>
      </c>
      <c r="D907" s="140"/>
    </row>
    <row r="908" spans="1:4" ht="13.2">
      <c r="A908" s="193"/>
      <c r="B908" s="173"/>
      <c r="C908" s="139" t="str">
        <f ca="1">IFERROR(__xludf.DUMMYFUNCTION("if(ISBLANK(INDIRECT(ADDRESS(6,(ROW()-5)))),,QUERY('NPC List'!$1:$1000, ""Select C,D WHERE A = ""&amp;INDIRECT(ADDRESS(6,(ROW()-5)))&amp;"""",0))"),"")</f>
        <v/>
      </c>
      <c r="D908" s="140"/>
    </row>
    <row r="909" spans="1:4" ht="13.2">
      <c r="A909" s="193"/>
      <c r="B909" s="173"/>
      <c r="C909" s="139" t="str">
        <f ca="1">IFERROR(__xludf.DUMMYFUNCTION("if(ISBLANK(INDIRECT(ADDRESS(6,(ROW()-5)))),,QUERY('NPC List'!$1:$1000, ""Select C,D WHERE A = ""&amp;INDIRECT(ADDRESS(6,(ROW()-5)))&amp;"""",0))"),"")</f>
        <v/>
      </c>
      <c r="D909" s="140"/>
    </row>
    <row r="910" spans="1:4" ht="13.2">
      <c r="A910" s="193"/>
      <c r="B910" s="173"/>
      <c r="C910" s="139" t="str">
        <f ca="1">IFERROR(__xludf.DUMMYFUNCTION("if(ISBLANK(INDIRECT(ADDRESS(6,(ROW()-5)))),,QUERY('NPC List'!$1:$1000, ""Select C,D WHERE A = ""&amp;INDIRECT(ADDRESS(6,(ROW()-5)))&amp;"""",0))"),"")</f>
        <v/>
      </c>
      <c r="D910" s="140"/>
    </row>
    <row r="911" spans="1:4" ht="13.2">
      <c r="A911" s="193"/>
      <c r="B911" s="173"/>
      <c r="C911" s="139" t="str">
        <f ca="1">IFERROR(__xludf.DUMMYFUNCTION("if(ISBLANK(INDIRECT(ADDRESS(6,(ROW()-5)))),,QUERY('NPC List'!$1:$1000, ""Select C,D WHERE A = ""&amp;INDIRECT(ADDRESS(6,(ROW()-5)))&amp;"""",0))"),"")</f>
        <v/>
      </c>
      <c r="D911" s="140"/>
    </row>
    <row r="912" spans="1:4" ht="13.2">
      <c r="A912" s="193"/>
      <c r="B912" s="173"/>
      <c r="C912" s="139" t="str">
        <f ca="1">IFERROR(__xludf.DUMMYFUNCTION("if(ISBLANK(INDIRECT(ADDRESS(6,(ROW()-5)))),,QUERY('NPC List'!$1:$1000, ""Select C,D WHERE A = ""&amp;INDIRECT(ADDRESS(6,(ROW()-5)))&amp;"""",0))"),"")</f>
        <v/>
      </c>
      <c r="D912" s="140"/>
    </row>
    <row r="913" spans="1:4" ht="13.2">
      <c r="A913" s="193"/>
      <c r="B913" s="173"/>
      <c r="C913" s="139" t="str">
        <f ca="1">IFERROR(__xludf.DUMMYFUNCTION("if(ISBLANK(INDIRECT(ADDRESS(6,(ROW()-5)))),,QUERY('NPC List'!$1:$1000, ""Select C,D WHERE A = ""&amp;INDIRECT(ADDRESS(6,(ROW()-5)))&amp;"""",0))"),"")</f>
        <v/>
      </c>
      <c r="D913" s="140"/>
    </row>
    <row r="914" spans="1:4" ht="13.2">
      <c r="A914" s="193"/>
      <c r="B914" s="173"/>
      <c r="C914" s="139" t="str">
        <f ca="1">IFERROR(__xludf.DUMMYFUNCTION("if(ISBLANK(INDIRECT(ADDRESS(6,(ROW()-5)))),,QUERY('NPC List'!$1:$1000, ""Select C,D WHERE A = ""&amp;INDIRECT(ADDRESS(6,(ROW()-5)))&amp;"""",0))"),"")</f>
        <v/>
      </c>
      <c r="D914" s="140"/>
    </row>
    <row r="915" spans="1:4" ht="13.2">
      <c r="A915" s="193"/>
      <c r="B915" s="173"/>
      <c r="C915" s="139" t="str">
        <f ca="1">IFERROR(__xludf.DUMMYFUNCTION("if(ISBLANK(INDIRECT(ADDRESS(6,(ROW()-5)))),,QUERY('NPC List'!$1:$1000, ""Select C,D WHERE A = ""&amp;INDIRECT(ADDRESS(6,(ROW()-5)))&amp;"""",0))"),"")</f>
        <v/>
      </c>
      <c r="D915" s="140"/>
    </row>
    <row r="916" spans="1:4" ht="13.2">
      <c r="A916" s="193"/>
      <c r="B916" s="173"/>
      <c r="C916" s="139" t="str">
        <f ca="1">IFERROR(__xludf.DUMMYFUNCTION("if(ISBLANK(INDIRECT(ADDRESS(6,(ROW()-5)))),,QUERY('NPC List'!$1:$1000, ""Select C,D WHERE A = ""&amp;INDIRECT(ADDRESS(6,(ROW()-5)))&amp;"""",0))"),"")</f>
        <v/>
      </c>
      <c r="D916" s="140"/>
    </row>
    <row r="917" spans="1:4" ht="13.2">
      <c r="A917" s="193"/>
      <c r="B917" s="173"/>
      <c r="C917" s="139" t="str">
        <f ca="1">IFERROR(__xludf.DUMMYFUNCTION("if(ISBLANK(INDIRECT(ADDRESS(6,(ROW()-5)))),,QUERY('NPC List'!$1:$1000, ""Select C,D WHERE A = ""&amp;INDIRECT(ADDRESS(6,(ROW()-5)))&amp;"""",0))"),"")</f>
        <v/>
      </c>
      <c r="D917" s="140"/>
    </row>
    <row r="918" spans="1:4" ht="13.2">
      <c r="A918" s="193"/>
      <c r="B918" s="173"/>
      <c r="C918" s="139" t="str">
        <f ca="1">IFERROR(__xludf.DUMMYFUNCTION("if(ISBLANK(INDIRECT(ADDRESS(6,(ROW()-5)))),,QUERY('NPC List'!$1:$1000, ""Select C,D WHERE A = ""&amp;INDIRECT(ADDRESS(6,(ROW()-5)))&amp;"""",0))"),"")</f>
        <v/>
      </c>
      <c r="D918" s="140"/>
    </row>
    <row r="919" spans="1:4" ht="13.2">
      <c r="A919" s="193"/>
      <c r="B919" s="173"/>
      <c r="C919" s="139" t="str">
        <f ca="1">IFERROR(__xludf.DUMMYFUNCTION("if(ISBLANK(INDIRECT(ADDRESS(6,(ROW()-5)))),,QUERY('NPC List'!$1:$1000, ""Select C,D WHERE A = ""&amp;INDIRECT(ADDRESS(6,(ROW()-5)))&amp;"""",0))"),"")</f>
        <v/>
      </c>
      <c r="D919" s="140"/>
    </row>
    <row r="920" spans="1:4" ht="13.2">
      <c r="A920" s="193"/>
      <c r="B920" s="173"/>
      <c r="C920" s="139" t="str">
        <f ca="1">IFERROR(__xludf.DUMMYFUNCTION("if(ISBLANK(INDIRECT(ADDRESS(6,(ROW()-5)))),,QUERY('NPC List'!$1:$1000, ""Select C,D WHERE A = ""&amp;INDIRECT(ADDRESS(6,(ROW()-5)))&amp;"""",0))"),"")</f>
        <v/>
      </c>
      <c r="D920" s="140"/>
    </row>
    <row r="921" spans="1:4" ht="13.2">
      <c r="A921" s="193"/>
      <c r="B921" s="173"/>
      <c r="C921" s="139" t="str">
        <f ca="1">IFERROR(__xludf.DUMMYFUNCTION("if(ISBLANK(INDIRECT(ADDRESS(6,(ROW()-5)))),,QUERY('NPC List'!$1:$1000, ""Select C,D WHERE A = ""&amp;INDIRECT(ADDRESS(6,(ROW()-5)))&amp;"""",0))"),"")</f>
        <v/>
      </c>
      <c r="D921" s="140"/>
    </row>
    <row r="922" spans="1:4" ht="13.2">
      <c r="A922" s="193"/>
      <c r="B922" s="173"/>
      <c r="C922" s="139" t="str">
        <f ca="1">IFERROR(__xludf.DUMMYFUNCTION("if(ISBLANK(INDIRECT(ADDRESS(6,(ROW()-5)))),,QUERY('NPC List'!$1:$1000, ""Select C,D WHERE A = ""&amp;INDIRECT(ADDRESS(6,(ROW()-5)))&amp;"""",0))"),"")</f>
        <v/>
      </c>
      <c r="D922" s="140"/>
    </row>
    <row r="923" spans="1:4" ht="13.2">
      <c r="A923" s="193"/>
      <c r="B923" s="173"/>
      <c r="C923" s="139" t="str">
        <f ca="1">IFERROR(__xludf.DUMMYFUNCTION("if(ISBLANK(INDIRECT(ADDRESS(6,(ROW()-5)))),,QUERY('NPC List'!$1:$1000, ""Select C,D WHERE A = ""&amp;INDIRECT(ADDRESS(6,(ROW()-5)))&amp;"""",0))"),"")</f>
        <v/>
      </c>
      <c r="D923" s="140"/>
    </row>
    <row r="924" spans="1:4" ht="13.2">
      <c r="A924" s="193"/>
      <c r="B924" s="173"/>
      <c r="C924" s="139" t="str">
        <f ca="1">IFERROR(__xludf.DUMMYFUNCTION("if(ISBLANK(INDIRECT(ADDRESS(6,(ROW()-5)))),,QUERY('NPC List'!$1:$1000, ""Select C,D WHERE A = ""&amp;INDIRECT(ADDRESS(6,(ROW()-5)))&amp;"""",0))"),"")</f>
        <v/>
      </c>
      <c r="D924" s="140"/>
    </row>
    <row r="925" spans="1:4" ht="13.2">
      <c r="A925" s="193"/>
      <c r="B925" s="173"/>
      <c r="C925" s="139" t="str">
        <f ca="1">IFERROR(__xludf.DUMMYFUNCTION("if(ISBLANK(INDIRECT(ADDRESS(6,(ROW()-5)))),,QUERY('NPC List'!$1:$1000, ""Select C,D WHERE A = ""&amp;INDIRECT(ADDRESS(6,(ROW()-5)))&amp;"""",0))"),"")</f>
        <v/>
      </c>
      <c r="D925" s="140"/>
    </row>
    <row r="926" spans="1:4" ht="13.2">
      <c r="A926" s="193"/>
      <c r="B926" s="173"/>
      <c r="C926" s="139" t="str">
        <f ca="1">IFERROR(__xludf.DUMMYFUNCTION("if(ISBLANK(INDIRECT(ADDRESS(6,(ROW()-5)))),,QUERY('NPC List'!$1:$1000, ""Select C,D WHERE A = ""&amp;INDIRECT(ADDRESS(6,(ROW()-5)))&amp;"""",0))"),"")</f>
        <v/>
      </c>
      <c r="D926" s="140"/>
    </row>
    <row r="927" spans="1:4" ht="13.2">
      <c r="A927" s="193"/>
      <c r="B927" s="173"/>
      <c r="C927" s="139" t="str">
        <f ca="1">IFERROR(__xludf.DUMMYFUNCTION("if(ISBLANK(INDIRECT(ADDRESS(6,(ROW()-5)))),,QUERY('NPC List'!$1:$1000, ""Select C,D WHERE A = ""&amp;INDIRECT(ADDRESS(6,(ROW()-5)))&amp;"""",0))"),"")</f>
        <v/>
      </c>
      <c r="D927" s="140"/>
    </row>
    <row r="928" spans="1:4" ht="13.2">
      <c r="A928" s="193"/>
      <c r="B928" s="173"/>
      <c r="C928" s="139" t="str">
        <f ca="1">IFERROR(__xludf.DUMMYFUNCTION("if(ISBLANK(INDIRECT(ADDRESS(6,(ROW()-5)))),,QUERY('NPC List'!$1:$1000, ""Select C,D WHERE A = ""&amp;INDIRECT(ADDRESS(6,(ROW()-5)))&amp;"""",0))"),"")</f>
        <v/>
      </c>
      <c r="D928" s="140"/>
    </row>
    <row r="929" spans="1:4" ht="13.2">
      <c r="A929" s="193"/>
      <c r="B929" s="173"/>
      <c r="C929" s="139" t="str">
        <f ca="1">IFERROR(__xludf.DUMMYFUNCTION("if(ISBLANK(INDIRECT(ADDRESS(6,(ROW()-5)))),,QUERY('NPC List'!$1:$1000, ""Select C,D WHERE A = ""&amp;INDIRECT(ADDRESS(6,(ROW()-5)))&amp;"""",0))"),"")</f>
        <v/>
      </c>
      <c r="D929" s="140"/>
    </row>
    <row r="930" spans="1:4" ht="13.2">
      <c r="A930" s="193"/>
      <c r="B930" s="173"/>
      <c r="C930" s="139" t="str">
        <f ca="1">IFERROR(__xludf.DUMMYFUNCTION("if(ISBLANK(INDIRECT(ADDRESS(6,(ROW()-5)))),,QUERY('NPC List'!$1:$1000, ""Select C,D WHERE A = ""&amp;INDIRECT(ADDRESS(6,(ROW()-5)))&amp;"""",0))"),"")</f>
        <v/>
      </c>
      <c r="D930" s="140"/>
    </row>
    <row r="931" spans="1:4" ht="13.2">
      <c r="A931" s="193"/>
      <c r="B931" s="173"/>
      <c r="C931" s="139" t="str">
        <f ca="1">IFERROR(__xludf.DUMMYFUNCTION("if(ISBLANK(INDIRECT(ADDRESS(6,(ROW()-5)))),,QUERY('NPC List'!$1:$1000, ""Select C,D WHERE A = ""&amp;INDIRECT(ADDRESS(6,(ROW()-5)))&amp;"""",0))"),"")</f>
        <v/>
      </c>
      <c r="D931" s="140"/>
    </row>
    <row r="932" spans="1:4" ht="13.2">
      <c r="A932" s="193"/>
      <c r="B932" s="173"/>
      <c r="C932" s="139" t="str">
        <f ca="1">IFERROR(__xludf.DUMMYFUNCTION("if(ISBLANK(INDIRECT(ADDRESS(6,(ROW()-5)))),,QUERY('NPC List'!$1:$1000, ""Select C,D WHERE A = ""&amp;INDIRECT(ADDRESS(6,(ROW()-5)))&amp;"""",0))"),"")</f>
        <v/>
      </c>
      <c r="D932" s="140"/>
    </row>
    <row r="933" spans="1:4" ht="13.2">
      <c r="A933" s="193"/>
      <c r="B933" s="173"/>
      <c r="C933" s="139" t="str">
        <f ca="1">IFERROR(__xludf.DUMMYFUNCTION("if(ISBLANK(INDIRECT(ADDRESS(6,(ROW()-5)))),,QUERY('NPC List'!$1:$1000, ""Select C,D WHERE A = ""&amp;INDIRECT(ADDRESS(6,(ROW()-5)))&amp;"""",0))"),"")</f>
        <v/>
      </c>
      <c r="D933" s="140"/>
    </row>
    <row r="934" spans="1:4" ht="13.2">
      <c r="A934" s="193"/>
      <c r="B934" s="173"/>
      <c r="C934" s="139" t="str">
        <f ca="1">IFERROR(__xludf.DUMMYFUNCTION("if(ISBLANK(INDIRECT(ADDRESS(6,(ROW()-5)))),,QUERY('NPC List'!$1:$1000, ""Select C,D WHERE A = ""&amp;INDIRECT(ADDRESS(6,(ROW()-5)))&amp;"""",0))"),"")</f>
        <v/>
      </c>
      <c r="D934" s="140"/>
    </row>
    <row r="935" spans="1:4" ht="13.2">
      <c r="A935" s="193"/>
      <c r="B935" s="173"/>
      <c r="C935" s="139" t="str">
        <f ca="1">IFERROR(__xludf.DUMMYFUNCTION("if(ISBLANK(INDIRECT(ADDRESS(6,(ROW()-5)))),,QUERY('NPC List'!$1:$1000, ""Select C,D WHERE A = ""&amp;INDIRECT(ADDRESS(6,(ROW()-5)))&amp;"""",0))"),"")</f>
        <v/>
      </c>
      <c r="D935" s="140"/>
    </row>
    <row r="936" spans="1:4" ht="13.2">
      <c r="A936" s="193"/>
      <c r="B936" s="173"/>
      <c r="C936" s="139" t="str">
        <f ca="1">IFERROR(__xludf.DUMMYFUNCTION("if(ISBLANK(INDIRECT(ADDRESS(6,(ROW()-5)))),,QUERY('NPC List'!$1:$1000, ""Select C,D WHERE A = ""&amp;INDIRECT(ADDRESS(6,(ROW()-5)))&amp;"""",0))"),"")</f>
        <v/>
      </c>
      <c r="D936" s="140"/>
    </row>
    <row r="937" spans="1:4" ht="13.2">
      <c r="A937" s="193"/>
      <c r="B937" s="173"/>
      <c r="C937" s="139" t="str">
        <f ca="1">IFERROR(__xludf.DUMMYFUNCTION("if(ISBLANK(INDIRECT(ADDRESS(6,(ROW()-5)))),,QUERY('NPC List'!$1:$1000, ""Select C,D WHERE A = ""&amp;INDIRECT(ADDRESS(6,(ROW()-5)))&amp;"""",0))"),"")</f>
        <v/>
      </c>
      <c r="D937" s="140"/>
    </row>
    <row r="938" spans="1:4" ht="13.2">
      <c r="A938" s="193"/>
      <c r="B938" s="173"/>
      <c r="C938" s="139" t="str">
        <f ca="1">IFERROR(__xludf.DUMMYFUNCTION("if(ISBLANK(INDIRECT(ADDRESS(6,(ROW()-5)))),,QUERY('NPC List'!$1:$1000, ""Select C,D WHERE A = ""&amp;INDIRECT(ADDRESS(6,(ROW()-5)))&amp;"""",0))"),"")</f>
        <v/>
      </c>
      <c r="D938" s="140"/>
    </row>
    <row r="939" spans="1:4" ht="13.2">
      <c r="A939" s="193"/>
      <c r="B939" s="173"/>
      <c r="C939" s="139" t="str">
        <f ca="1">IFERROR(__xludf.DUMMYFUNCTION("if(ISBLANK(INDIRECT(ADDRESS(6,(ROW()-5)))),,QUERY('NPC List'!$1:$1000, ""Select C,D WHERE A = ""&amp;INDIRECT(ADDRESS(6,(ROW()-5)))&amp;"""",0))"),"")</f>
        <v/>
      </c>
      <c r="D939" s="140"/>
    </row>
    <row r="940" spans="1:4" ht="13.2">
      <c r="A940" s="193"/>
      <c r="B940" s="173"/>
      <c r="C940" s="139" t="str">
        <f ca="1">IFERROR(__xludf.DUMMYFUNCTION("if(ISBLANK(INDIRECT(ADDRESS(6,(ROW()-5)))),,QUERY('NPC List'!$1:$1000, ""Select C,D WHERE A = ""&amp;INDIRECT(ADDRESS(6,(ROW()-5)))&amp;"""",0))"),"")</f>
        <v/>
      </c>
      <c r="D940" s="140"/>
    </row>
    <row r="941" spans="1:4" ht="13.2">
      <c r="A941" s="193"/>
      <c r="B941" s="173"/>
      <c r="C941" s="139" t="str">
        <f ca="1">IFERROR(__xludf.DUMMYFUNCTION("if(ISBLANK(INDIRECT(ADDRESS(6,(ROW()-5)))),,QUERY('NPC List'!$1:$1000, ""Select C,D WHERE A = ""&amp;INDIRECT(ADDRESS(6,(ROW()-5)))&amp;"""",0))"),"")</f>
        <v/>
      </c>
      <c r="D941" s="140"/>
    </row>
    <row r="942" spans="1:4" ht="13.2">
      <c r="A942" s="193"/>
      <c r="B942" s="173"/>
      <c r="C942" s="139" t="str">
        <f ca="1">IFERROR(__xludf.DUMMYFUNCTION("if(ISBLANK(INDIRECT(ADDRESS(6,(ROW()-5)))),,QUERY('NPC List'!$1:$1000, ""Select C,D WHERE A = ""&amp;INDIRECT(ADDRESS(6,(ROW()-5)))&amp;"""",0))"),"")</f>
        <v/>
      </c>
      <c r="D942" s="140"/>
    </row>
    <row r="943" spans="1:4" ht="13.2">
      <c r="A943" s="193"/>
      <c r="B943" s="173"/>
      <c r="C943" s="139" t="str">
        <f ca="1">IFERROR(__xludf.DUMMYFUNCTION("if(ISBLANK(INDIRECT(ADDRESS(6,(ROW()-5)))),,QUERY('NPC List'!$1:$1000, ""Select C,D WHERE A = ""&amp;INDIRECT(ADDRESS(6,(ROW()-5)))&amp;"""",0))"),"")</f>
        <v/>
      </c>
      <c r="D943" s="140"/>
    </row>
    <row r="944" spans="1:4" ht="13.2">
      <c r="A944" s="193"/>
      <c r="B944" s="173"/>
      <c r="C944" s="139" t="str">
        <f ca="1">IFERROR(__xludf.DUMMYFUNCTION("if(ISBLANK(INDIRECT(ADDRESS(6,(ROW()-5)))),,QUERY('NPC List'!$1:$1000, ""Select C,D WHERE A = ""&amp;INDIRECT(ADDRESS(6,(ROW()-5)))&amp;"""",0))"),"")</f>
        <v/>
      </c>
      <c r="D944" s="140"/>
    </row>
    <row r="945" spans="1:4" ht="13.2">
      <c r="A945" s="193"/>
      <c r="B945" s="173"/>
      <c r="C945" s="139" t="str">
        <f ca="1">IFERROR(__xludf.DUMMYFUNCTION("if(ISBLANK(INDIRECT(ADDRESS(6,(ROW()-5)))),,QUERY('NPC List'!$1:$1000, ""Select C,D WHERE A = ""&amp;INDIRECT(ADDRESS(6,(ROW()-5)))&amp;"""",0))"),"")</f>
        <v/>
      </c>
      <c r="D945" s="140"/>
    </row>
    <row r="946" spans="1:4" ht="13.2">
      <c r="A946" s="193"/>
      <c r="B946" s="173"/>
      <c r="C946" s="139" t="str">
        <f ca="1">IFERROR(__xludf.DUMMYFUNCTION("if(ISBLANK(INDIRECT(ADDRESS(6,(ROW()-5)))),,QUERY('NPC List'!$1:$1000, ""Select C,D WHERE A = ""&amp;INDIRECT(ADDRESS(6,(ROW()-5)))&amp;"""",0))"),"")</f>
        <v/>
      </c>
      <c r="D946" s="140"/>
    </row>
    <row r="947" spans="1:4" ht="13.2">
      <c r="A947" s="193"/>
      <c r="B947" s="173"/>
      <c r="C947" s="139" t="str">
        <f ca="1">IFERROR(__xludf.DUMMYFUNCTION("if(ISBLANK(INDIRECT(ADDRESS(6,(ROW()-5)))),,QUERY('NPC List'!$1:$1000, ""Select C,D WHERE A = ""&amp;INDIRECT(ADDRESS(6,(ROW()-5)))&amp;"""",0))"),"")</f>
        <v/>
      </c>
      <c r="D947" s="140"/>
    </row>
    <row r="948" spans="1:4" ht="13.2">
      <c r="A948" s="193"/>
      <c r="B948" s="173"/>
      <c r="C948" s="139" t="str">
        <f ca="1">IFERROR(__xludf.DUMMYFUNCTION("if(ISBLANK(INDIRECT(ADDRESS(6,(ROW()-5)))),,QUERY('NPC List'!$1:$1000, ""Select C,D WHERE A = ""&amp;INDIRECT(ADDRESS(6,(ROW()-5)))&amp;"""",0))"),"")</f>
        <v/>
      </c>
      <c r="D948" s="140"/>
    </row>
    <row r="949" spans="1:4" ht="13.2">
      <c r="A949" s="193"/>
      <c r="B949" s="173"/>
      <c r="C949" s="139" t="str">
        <f ca="1">IFERROR(__xludf.DUMMYFUNCTION("if(ISBLANK(INDIRECT(ADDRESS(6,(ROW()-5)))),,QUERY('NPC List'!$1:$1000, ""Select C,D WHERE A = ""&amp;INDIRECT(ADDRESS(6,(ROW()-5)))&amp;"""",0))"),"")</f>
        <v/>
      </c>
      <c r="D949" s="140"/>
    </row>
    <row r="950" spans="1:4" ht="13.2">
      <c r="A950" s="193"/>
      <c r="B950" s="173"/>
      <c r="C950" s="139" t="str">
        <f ca="1">IFERROR(__xludf.DUMMYFUNCTION("if(ISBLANK(INDIRECT(ADDRESS(6,(ROW()-5)))),,QUERY('NPC List'!$1:$1000, ""Select C,D WHERE A = ""&amp;INDIRECT(ADDRESS(6,(ROW()-5)))&amp;"""",0))"),"")</f>
        <v/>
      </c>
      <c r="D950" s="140"/>
    </row>
    <row r="951" spans="1:4" ht="13.2">
      <c r="A951" s="193"/>
      <c r="B951" s="173"/>
      <c r="C951" s="139" t="str">
        <f ca="1">IFERROR(__xludf.DUMMYFUNCTION("if(ISBLANK(INDIRECT(ADDRESS(6,(ROW()-5)))),,QUERY('NPC List'!$1:$1000, ""Select C,D WHERE A = ""&amp;INDIRECT(ADDRESS(6,(ROW()-5)))&amp;"""",0))"),"")</f>
        <v/>
      </c>
      <c r="D951" s="140"/>
    </row>
    <row r="952" spans="1:4" ht="13.2">
      <c r="A952" s="193"/>
      <c r="B952" s="173"/>
      <c r="C952" s="139" t="str">
        <f ca="1">IFERROR(__xludf.DUMMYFUNCTION("if(ISBLANK(INDIRECT(ADDRESS(6,(ROW()-5)))),,QUERY('NPC List'!$1:$1000, ""Select C,D WHERE A = ""&amp;INDIRECT(ADDRESS(6,(ROW()-5)))&amp;"""",0))"),"")</f>
        <v/>
      </c>
      <c r="D952" s="140"/>
    </row>
    <row r="953" spans="1:4" ht="13.2">
      <c r="A953" s="193"/>
      <c r="B953" s="173"/>
      <c r="C953" s="139" t="str">
        <f ca="1">IFERROR(__xludf.DUMMYFUNCTION("if(ISBLANK(INDIRECT(ADDRESS(6,(ROW()-5)))),,QUERY('NPC List'!$1:$1000, ""Select C,D WHERE A = ""&amp;INDIRECT(ADDRESS(6,(ROW()-5)))&amp;"""",0))"),"")</f>
        <v/>
      </c>
      <c r="D953" s="140"/>
    </row>
    <row r="954" spans="1:4" ht="13.2">
      <c r="A954" s="193"/>
      <c r="B954" s="173"/>
      <c r="C954" s="139" t="str">
        <f ca="1">IFERROR(__xludf.DUMMYFUNCTION("if(ISBLANK(INDIRECT(ADDRESS(6,(ROW()-5)))),,QUERY('NPC List'!$1:$1000, ""Select C,D WHERE A = ""&amp;INDIRECT(ADDRESS(6,(ROW()-5)))&amp;"""",0))"),"")</f>
        <v/>
      </c>
      <c r="D954" s="140"/>
    </row>
    <row r="955" spans="1:4" ht="13.2">
      <c r="A955" s="193"/>
      <c r="B955" s="173"/>
      <c r="C955" s="139" t="str">
        <f ca="1">IFERROR(__xludf.DUMMYFUNCTION("if(ISBLANK(INDIRECT(ADDRESS(6,(ROW()-5)))),,QUERY('NPC List'!$1:$1000, ""Select C,D WHERE A = ""&amp;INDIRECT(ADDRESS(6,(ROW()-5)))&amp;"""",0))"),"")</f>
        <v/>
      </c>
      <c r="D955" s="140"/>
    </row>
    <row r="956" spans="1:4" ht="13.2">
      <c r="A956" s="193"/>
      <c r="B956" s="173"/>
      <c r="C956" s="139" t="str">
        <f ca="1">IFERROR(__xludf.DUMMYFUNCTION("if(ISBLANK(INDIRECT(ADDRESS(6,(ROW()-5)))),,QUERY('NPC List'!$1:$1000, ""Select C,D WHERE A = ""&amp;INDIRECT(ADDRESS(6,(ROW()-5)))&amp;"""",0))"),"")</f>
        <v/>
      </c>
      <c r="D956" s="140"/>
    </row>
    <row r="957" spans="1:4" ht="13.2">
      <c r="A957" s="193"/>
      <c r="B957" s="173"/>
      <c r="C957" s="139" t="str">
        <f ca="1">IFERROR(__xludf.DUMMYFUNCTION("if(ISBLANK(INDIRECT(ADDRESS(6,(ROW()-5)))),,QUERY('NPC List'!$1:$1000, ""Select C,D WHERE A = ""&amp;INDIRECT(ADDRESS(6,(ROW()-5)))&amp;"""",0))"),"")</f>
        <v/>
      </c>
      <c r="D957" s="140"/>
    </row>
    <row r="958" spans="1:4" ht="13.2">
      <c r="A958" s="193"/>
      <c r="B958" s="173"/>
      <c r="C958" s="139" t="str">
        <f ca="1">IFERROR(__xludf.DUMMYFUNCTION("if(ISBLANK(INDIRECT(ADDRESS(6,(ROW()-5)))),,QUERY('NPC List'!$1:$1000, ""Select C,D WHERE A = ""&amp;INDIRECT(ADDRESS(6,(ROW()-5)))&amp;"""",0))"),"")</f>
        <v/>
      </c>
      <c r="D958" s="140"/>
    </row>
    <row r="959" spans="1:4" ht="13.2">
      <c r="A959" s="193"/>
      <c r="B959" s="173"/>
      <c r="C959" s="139" t="str">
        <f ca="1">IFERROR(__xludf.DUMMYFUNCTION("if(ISBLANK(INDIRECT(ADDRESS(6,(ROW()-5)))),,QUERY('NPC List'!$1:$1000, ""Select C,D WHERE A = ""&amp;INDIRECT(ADDRESS(6,(ROW()-5)))&amp;"""",0))"),"")</f>
        <v/>
      </c>
      <c r="D959" s="140"/>
    </row>
    <row r="960" spans="1:4" ht="13.2">
      <c r="A960" s="193"/>
      <c r="B960" s="173"/>
      <c r="C960" s="139" t="str">
        <f ca="1">IFERROR(__xludf.DUMMYFUNCTION("if(ISBLANK(INDIRECT(ADDRESS(6,(ROW()-5)))),,QUERY('NPC List'!$1:$1000, ""Select C,D WHERE A = ""&amp;INDIRECT(ADDRESS(6,(ROW()-5)))&amp;"""",0))"),"")</f>
        <v/>
      </c>
      <c r="D960" s="140"/>
    </row>
    <row r="961" spans="1:4" ht="13.2">
      <c r="A961" s="193"/>
      <c r="B961" s="173"/>
      <c r="C961" s="139" t="str">
        <f ca="1">IFERROR(__xludf.DUMMYFUNCTION("if(ISBLANK(INDIRECT(ADDRESS(6,(ROW()-5)))),,QUERY('NPC List'!$1:$1000, ""Select C,D WHERE A = ""&amp;INDIRECT(ADDRESS(6,(ROW()-5)))&amp;"""",0))"),"")</f>
        <v/>
      </c>
      <c r="D961" s="140"/>
    </row>
    <row r="962" spans="1:4" ht="13.2">
      <c r="A962" s="193"/>
      <c r="B962" s="173"/>
      <c r="C962" s="139" t="str">
        <f ca="1">IFERROR(__xludf.DUMMYFUNCTION("if(ISBLANK(INDIRECT(ADDRESS(6,(ROW()-5)))),,QUERY('NPC List'!$1:$1000, ""Select C,D WHERE A = ""&amp;INDIRECT(ADDRESS(6,(ROW()-5)))&amp;"""",0))"),"")</f>
        <v/>
      </c>
      <c r="D962" s="140"/>
    </row>
    <row r="963" spans="1:4" ht="13.2">
      <c r="A963" s="193"/>
      <c r="B963" s="173"/>
      <c r="C963" s="139" t="str">
        <f ca="1">IFERROR(__xludf.DUMMYFUNCTION("if(ISBLANK(INDIRECT(ADDRESS(6,(ROW()-5)))),,QUERY('NPC List'!$1:$1000, ""Select C,D WHERE A = ""&amp;INDIRECT(ADDRESS(6,(ROW()-5)))&amp;"""",0))"),"")</f>
        <v/>
      </c>
      <c r="D963" s="140"/>
    </row>
    <row r="964" spans="1:4" ht="13.2">
      <c r="A964" s="193"/>
      <c r="B964" s="173"/>
      <c r="C964" s="139" t="str">
        <f ca="1">IFERROR(__xludf.DUMMYFUNCTION("if(ISBLANK(INDIRECT(ADDRESS(6,(ROW()-5)))),,QUERY('NPC List'!$1:$1000, ""Select C,D WHERE A = ""&amp;INDIRECT(ADDRESS(6,(ROW()-5)))&amp;"""",0))"),"")</f>
        <v/>
      </c>
      <c r="D964" s="140"/>
    </row>
    <row r="965" spans="1:4" ht="13.2">
      <c r="A965" s="193"/>
      <c r="B965" s="173"/>
      <c r="C965" s="139" t="str">
        <f ca="1">IFERROR(__xludf.DUMMYFUNCTION("if(ISBLANK(INDIRECT(ADDRESS(6,(ROW()-5)))),,QUERY('NPC List'!$1:$1000, ""Select C,D WHERE A = ""&amp;INDIRECT(ADDRESS(6,(ROW()-5)))&amp;"""",0))"),"")</f>
        <v/>
      </c>
      <c r="D965" s="140"/>
    </row>
    <row r="966" spans="1:4" ht="13.2">
      <c r="A966" s="193"/>
      <c r="B966" s="173"/>
      <c r="C966" s="139" t="str">
        <f ca="1">IFERROR(__xludf.DUMMYFUNCTION("if(ISBLANK(INDIRECT(ADDRESS(6,(ROW()-5)))),,QUERY('NPC List'!$1:$1000, ""Select C,D WHERE A = ""&amp;INDIRECT(ADDRESS(6,(ROW()-5)))&amp;"""",0))"),"")</f>
        <v/>
      </c>
      <c r="D966" s="140"/>
    </row>
    <row r="967" spans="1:4" ht="13.2">
      <c r="A967" s="193"/>
      <c r="B967" s="173"/>
      <c r="C967" s="139" t="str">
        <f ca="1">IFERROR(__xludf.DUMMYFUNCTION("if(ISBLANK(INDIRECT(ADDRESS(6,(ROW()-5)))),,QUERY('NPC List'!$1:$1000, ""Select C,D WHERE A = ""&amp;INDIRECT(ADDRESS(6,(ROW()-5)))&amp;"""",0))"),"")</f>
        <v/>
      </c>
      <c r="D967" s="140"/>
    </row>
    <row r="968" spans="1:4" ht="13.2">
      <c r="A968" s="193"/>
      <c r="B968" s="173"/>
      <c r="C968" s="139" t="str">
        <f ca="1">IFERROR(__xludf.DUMMYFUNCTION("if(ISBLANK(INDIRECT(ADDRESS(6,(ROW()-5)))),,QUERY('NPC List'!$1:$1000, ""Select C,D WHERE A = ""&amp;INDIRECT(ADDRESS(6,(ROW()-5)))&amp;"""",0))"),"")</f>
        <v/>
      </c>
      <c r="D968" s="140"/>
    </row>
    <row r="969" spans="1:4" ht="13.2">
      <c r="A969" s="193"/>
      <c r="B969" s="173"/>
      <c r="C969" s="139" t="str">
        <f ca="1">IFERROR(__xludf.DUMMYFUNCTION("if(ISBLANK(INDIRECT(ADDRESS(6,(ROW()-5)))),,QUERY('NPC List'!$1:$1000, ""Select C,D WHERE A = ""&amp;INDIRECT(ADDRESS(6,(ROW()-5)))&amp;"""",0))"),"")</f>
        <v/>
      </c>
      <c r="D969" s="140"/>
    </row>
    <row r="970" spans="1:4" ht="13.2">
      <c r="A970" s="193"/>
      <c r="B970" s="173"/>
      <c r="C970" s="139" t="str">
        <f ca="1">IFERROR(__xludf.DUMMYFUNCTION("if(ISBLANK(INDIRECT(ADDRESS(6,(ROW()-5)))),,QUERY('NPC List'!$1:$1000, ""Select C,D WHERE A = ""&amp;INDIRECT(ADDRESS(6,(ROW()-5)))&amp;"""",0))"),"")</f>
        <v/>
      </c>
      <c r="D970" s="140"/>
    </row>
    <row r="971" spans="1:4" ht="13.2">
      <c r="A971" s="193"/>
      <c r="B971" s="173"/>
      <c r="C971" s="139" t="str">
        <f ca="1">IFERROR(__xludf.DUMMYFUNCTION("if(ISBLANK(INDIRECT(ADDRESS(6,(ROW()-5)))),,QUERY('NPC List'!$1:$1000, ""Select C,D WHERE A = ""&amp;INDIRECT(ADDRESS(6,(ROW()-5)))&amp;"""",0))"),"")</f>
        <v/>
      </c>
      <c r="D971" s="140"/>
    </row>
    <row r="972" spans="1:4" ht="13.2">
      <c r="A972" s="193"/>
      <c r="B972" s="173"/>
      <c r="C972" s="139" t="str">
        <f ca="1">IFERROR(__xludf.DUMMYFUNCTION("if(ISBLANK(INDIRECT(ADDRESS(6,(ROW()-5)))),,QUERY('NPC List'!$1:$1000, ""Select C,D WHERE A = ""&amp;INDIRECT(ADDRESS(6,(ROW()-5)))&amp;"""",0))"),"")</f>
        <v/>
      </c>
      <c r="D972" s="140"/>
    </row>
    <row r="973" spans="1:4" ht="13.2">
      <c r="A973" s="193"/>
      <c r="B973" s="173"/>
      <c r="C973" s="139" t="str">
        <f ca="1">IFERROR(__xludf.DUMMYFUNCTION("if(ISBLANK(INDIRECT(ADDRESS(6,(ROW()-5)))),,QUERY('NPC List'!$1:$1000, ""Select C,D WHERE A = ""&amp;INDIRECT(ADDRESS(6,(ROW()-5)))&amp;"""",0))"),"")</f>
        <v/>
      </c>
      <c r="D973" s="140"/>
    </row>
    <row r="974" spans="1:4" ht="13.2">
      <c r="A974" s="193"/>
      <c r="B974" s="173"/>
      <c r="C974" s="139" t="str">
        <f ca="1">IFERROR(__xludf.DUMMYFUNCTION("if(ISBLANK(INDIRECT(ADDRESS(6,(ROW()-5)))),,QUERY('NPC List'!$1:$1000, ""Select C,D WHERE A = ""&amp;INDIRECT(ADDRESS(6,(ROW()-5)))&amp;"""",0))"),"")</f>
        <v/>
      </c>
      <c r="D974" s="140"/>
    </row>
    <row r="975" spans="1:4" ht="13.2">
      <c r="A975" s="193"/>
      <c r="B975" s="173"/>
      <c r="C975" s="139" t="str">
        <f ca="1">IFERROR(__xludf.DUMMYFUNCTION("if(ISBLANK(INDIRECT(ADDRESS(6,(ROW()-5)))),,QUERY('NPC List'!$1:$1000, ""Select C,D WHERE A = ""&amp;INDIRECT(ADDRESS(6,(ROW()-5)))&amp;"""",0))"),"")</f>
        <v/>
      </c>
      <c r="D975" s="140"/>
    </row>
    <row r="976" spans="1:4" ht="13.2">
      <c r="A976" s="193"/>
      <c r="B976" s="173"/>
      <c r="C976" s="139" t="str">
        <f ca="1">IFERROR(__xludf.DUMMYFUNCTION("if(ISBLANK(INDIRECT(ADDRESS(6,(ROW()-5)))),,QUERY('NPC List'!$1:$1000, ""Select C,D WHERE A = ""&amp;INDIRECT(ADDRESS(6,(ROW()-5)))&amp;"""",0))"),"")</f>
        <v/>
      </c>
      <c r="D976" s="140"/>
    </row>
    <row r="977" spans="1:4" ht="13.2">
      <c r="A977" s="193"/>
      <c r="B977" s="173"/>
      <c r="C977" s="139" t="str">
        <f ca="1">IFERROR(__xludf.DUMMYFUNCTION("if(ISBLANK(INDIRECT(ADDRESS(6,(ROW()-5)))),,QUERY('NPC List'!$1:$1000, ""Select C,D WHERE A = ""&amp;INDIRECT(ADDRESS(6,(ROW()-5)))&amp;"""",0))"),"")</f>
        <v/>
      </c>
      <c r="D977" s="140"/>
    </row>
    <row r="978" spans="1:4" ht="13.2">
      <c r="A978" s="193"/>
      <c r="B978" s="173"/>
      <c r="C978" s="139" t="str">
        <f ca="1">IFERROR(__xludf.DUMMYFUNCTION("if(ISBLANK(INDIRECT(ADDRESS(6,(ROW()-5)))),,QUERY('NPC List'!$1:$1000, ""Select C,D WHERE A = ""&amp;INDIRECT(ADDRESS(6,(ROW()-5)))&amp;"""",0))"),"")</f>
        <v/>
      </c>
      <c r="D978" s="140"/>
    </row>
    <row r="979" spans="1:4" ht="13.2">
      <c r="A979" s="193"/>
      <c r="B979" s="173"/>
      <c r="C979" s="139" t="str">
        <f ca="1">IFERROR(__xludf.DUMMYFUNCTION("if(ISBLANK(INDIRECT(ADDRESS(6,(ROW()-5)))),,QUERY('NPC List'!$1:$1000, ""Select C,D WHERE A = ""&amp;INDIRECT(ADDRESS(6,(ROW()-5)))&amp;"""",0))"),"")</f>
        <v/>
      </c>
      <c r="D979" s="140"/>
    </row>
    <row r="980" spans="1:4" ht="13.2">
      <c r="A980" s="193"/>
      <c r="B980" s="173"/>
      <c r="C980" s="139" t="str">
        <f ca="1">IFERROR(__xludf.DUMMYFUNCTION("if(ISBLANK(INDIRECT(ADDRESS(6,(ROW()-5)))),,QUERY('NPC List'!$1:$1000, ""Select C,D WHERE A = ""&amp;INDIRECT(ADDRESS(6,(ROW()-5)))&amp;"""",0))"),"")</f>
        <v/>
      </c>
      <c r="D980" s="140"/>
    </row>
    <row r="981" spans="1:4" ht="13.2">
      <c r="A981" s="193"/>
      <c r="B981" s="173"/>
      <c r="C981" s="139" t="str">
        <f ca="1">IFERROR(__xludf.DUMMYFUNCTION("if(ISBLANK(INDIRECT(ADDRESS(6,(ROW()-5)))),,QUERY('NPC List'!$1:$1000, ""Select C,D WHERE A = ""&amp;INDIRECT(ADDRESS(6,(ROW()-5)))&amp;"""",0))"),"")</f>
        <v/>
      </c>
      <c r="D981" s="140"/>
    </row>
    <row r="982" spans="1:4" ht="13.2">
      <c r="A982" s="193"/>
      <c r="B982" s="173"/>
      <c r="C982" s="139" t="str">
        <f ca="1">IFERROR(__xludf.DUMMYFUNCTION("if(ISBLANK(INDIRECT(ADDRESS(6,(ROW()-5)))),,QUERY('NPC List'!$1:$1000, ""Select C,D WHERE A = ""&amp;INDIRECT(ADDRESS(6,(ROW()-5)))&amp;"""",0))"),"")</f>
        <v/>
      </c>
      <c r="D982" s="140"/>
    </row>
    <row r="983" spans="1:4" ht="13.2">
      <c r="A983" s="193"/>
      <c r="B983" s="173"/>
      <c r="C983" s="139" t="str">
        <f ca="1">IFERROR(__xludf.DUMMYFUNCTION("if(ISBLANK(INDIRECT(ADDRESS(6,(ROW()-5)))),,QUERY('NPC List'!$1:$1000, ""Select C,D WHERE A = ""&amp;INDIRECT(ADDRESS(6,(ROW()-5)))&amp;"""",0))"),"")</f>
        <v/>
      </c>
      <c r="D983" s="140"/>
    </row>
    <row r="984" spans="1:4" ht="13.2">
      <c r="A984" s="193"/>
      <c r="B984" s="173"/>
      <c r="C984" s="139" t="str">
        <f ca="1">IFERROR(__xludf.DUMMYFUNCTION("if(ISBLANK(INDIRECT(ADDRESS(6,(ROW()-5)))),,QUERY('NPC List'!$1:$1000, ""Select C,D WHERE A = ""&amp;INDIRECT(ADDRESS(6,(ROW()-5)))&amp;"""",0))"),"")</f>
        <v/>
      </c>
      <c r="D984" s="140"/>
    </row>
    <row r="985" spans="1:4" ht="13.2">
      <c r="A985" s="193"/>
      <c r="B985" s="173"/>
      <c r="C985" s="139" t="str">
        <f ca="1">IFERROR(__xludf.DUMMYFUNCTION("if(ISBLANK(INDIRECT(ADDRESS(6,(ROW()-5)))),,QUERY('NPC List'!$1:$1000, ""Select C,D WHERE A = ""&amp;INDIRECT(ADDRESS(6,(ROW()-5)))&amp;"""",0))"),"")</f>
        <v/>
      </c>
      <c r="D985" s="140"/>
    </row>
    <row r="986" spans="1:4" ht="13.2">
      <c r="A986" s="193"/>
      <c r="B986" s="173"/>
      <c r="C986" s="139" t="str">
        <f ca="1">IFERROR(__xludf.DUMMYFUNCTION("if(ISBLANK(INDIRECT(ADDRESS(6,(ROW()-5)))),,QUERY('NPC List'!$1:$1000, ""Select C,D WHERE A = ""&amp;INDIRECT(ADDRESS(6,(ROW()-5)))&amp;"""",0))"),"")</f>
        <v/>
      </c>
      <c r="D986" s="140"/>
    </row>
    <row r="987" spans="1:4" ht="13.2">
      <c r="A987" s="193"/>
      <c r="B987" s="173"/>
      <c r="C987" s="139" t="str">
        <f ca="1">IFERROR(__xludf.DUMMYFUNCTION("if(ISBLANK(INDIRECT(ADDRESS(6,(ROW()-5)))),,QUERY('NPC List'!$1:$1000, ""Select C,D WHERE A = ""&amp;INDIRECT(ADDRESS(6,(ROW()-5)))&amp;"""",0))"),"")</f>
        <v/>
      </c>
      <c r="D987" s="140"/>
    </row>
    <row r="988" spans="1:4" ht="13.2">
      <c r="A988" s="193"/>
      <c r="B988" s="173"/>
      <c r="C988" s="139" t="str">
        <f ca="1">IFERROR(__xludf.DUMMYFUNCTION("if(ISBLANK(INDIRECT(ADDRESS(6,(ROW()-5)))),,QUERY('NPC List'!$1:$1000, ""Select C,D WHERE A = ""&amp;INDIRECT(ADDRESS(6,(ROW()-5)))&amp;"""",0))"),"")</f>
        <v/>
      </c>
      <c r="D988" s="140"/>
    </row>
    <row r="989" spans="1:4" ht="13.2">
      <c r="A989" s="193"/>
      <c r="B989" s="173"/>
      <c r="C989" s="139" t="str">
        <f ca="1">IFERROR(__xludf.DUMMYFUNCTION("if(ISBLANK(INDIRECT(ADDRESS(6,(ROW()-5)))),,QUERY('NPC List'!$1:$1000, ""Select C,D WHERE A = ""&amp;INDIRECT(ADDRESS(6,(ROW()-5)))&amp;"""",0))"),"")</f>
        <v/>
      </c>
      <c r="D989" s="140"/>
    </row>
    <row r="990" spans="1:4" ht="13.2">
      <c r="A990" s="193"/>
      <c r="B990" s="173"/>
      <c r="C990" s="139" t="str">
        <f ca="1">IFERROR(__xludf.DUMMYFUNCTION("if(ISBLANK(INDIRECT(ADDRESS(6,(ROW()-5)))),,QUERY('NPC List'!$1:$1000, ""Select C,D WHERE A = ""&amp;INDIRECT(ADDRESS(6,(ROW()-5)))&amp;"""",0))"),"")</f>
        <v/>
      </c>
      <c r="D990" s="140"/>
    </row>
    <row r="991" spans="1:4" ht="13.2">
      <c r="A991" s="193"/>
      <c r="B991" s="173"/>
      <c r="C991" s="139" t="str">
        <f ca="1">IFERROR(__xludf.DUMMYFUNCTION("if(ISBLANK(INDIRECT(ADDRESS(6,(ROW()-5)))),,QUERY('NPC List'!$1:$1000, ""Select C,D WHERE A = ""&amp;INDIRECT(ADDRESS(6,(ROW()-5)))&amp;"""",0))"),"")</f>
        <v/>
      </c>
      <c r="D991" s="140"/>
    </row>
    <row r="992" spans="1:4" ht="13.2">
      <c r="A992" s="193"/>
      <c r="B992" s="173"/>
      <c r="C992" s="139" t="str">
        <f ca="1">IFERROR(__xludf.DUMMYFUNCTION("if(ISBLANK(INDIRECT(ADDRESS(6,(ROW()-5)))),,QUERY('NPC List'!$1:$1000, ""Select C,D WHERE A = ""&amp;INDIRECT(ADDRESS(6,(ROW()-5)))&amp;"""",0))"),"")</f>
        <v/>
      </c>
      <c r="D992" s="140"/>
    </row>
    <row r="993" spans="1:4" ht="13.2">
      <c r="A993" s="193"/>
      <c r="B993" s="173"/>
      <c r="C993" s="139" t="str">
        <f ca="1">IFERROR(__xludf.DUMMYFUNCTION("if(ISBLANK(INDIRECT(ADDRESS(6,(ROW()-5)))),,QUERY('NPC List'!$1:$1000, ""Select C,D WHERE A = ""&amp;INDIRECT(ADDRESS(6,(ROW()-5)))&amp;"""",0))"),"")</f>
        <v/>
      </c>
      <c r="D993" s="140"/>
    </row>
    <row r="994" spans="1:4" ht="13.2">
      <c r="A994" s="193"/>
      <c r="B994" s="173"/>
      <c r="C994" s="139" t="str">
        <f ca="1">IFERROR(__xludf.DUMMYFUNCTION("if(ISBLANK(INDIRECT(ADDRESS(6,(ROW()-5)))),,QUERY('NPC List'!$1:$1000, ""Select C,D WHERE A = ""&amp;INDIRECT(ADDRESS(6,(ROW()-5)))&amp;"""",0))"),"")</f>
        <v/>
      </c>
      <c r="D994" s="140"/>
    </row>
    <row r="995" spans="1:4" ht="13.2">
      <c r="A995" s="193"/>
      <c r="B995" s="173"/>
      <c r="C995" s="139" t="str">
        <f ca="1">IFERROR(__xludf.DUMMYFUNCTION("if(ISBLANK(INDIRECT(ADDRESS(6,(ROW()-5)))),,QUERY('NPC List'!$1:$1000, ""Select C,D WHERE A = ""&amp;INDIRECT(ADDRESS(6,(ROW()-5)))&amp;"""",0))"),"")</f>
        <v/>
      </c>
      <c r="D995" s="140"/>
    </row>
    <row r="996" spans="1:4" ht="13.2">
      <c r="A996" s="193"/>
      <c r="B996" s="173"/>
      <c r="C996" s="139" t="str">
        <f ca="1">IFERROR(__xludf.DUMMYFUNCTION("if(ISBLANK(INDIRECT(ADDRESS(6,(ROW()-5)))),,QUERY('NPC List'!$1:$1000, ""Select C,D WHERE A = ""&amp;INDIRECT(ADDRESS(6,(ROW()-5)))&amp;"""",0))"),"")</f>
        <v/>
      </c>
      <c r="D996" s="140"/>
    </row>
    <row r="997" spans="1:4" ht="13.2">
      <c r="A997" s="193"/>
      <c r="B997" s="173"/>
      <c r="C997" s="139" t="str">
        <f ca="1">IFERROR(__xludf.DUMMYFUNCTION("if(ISBLANK(INDIRECT(ADDRESS(6,(ROW()-5)))),,QUERY('NPC List'!$1:$1000, ""Select C,D WHERE A = ""&amp;INDIRECT(ADDRESS(6,(ROW()-5)))&amp;"""",0))"),"")</f>
        <v/>
      </c>
      <c r="D997" s="140"/>
    </row>
    <row r="998" spans="1:4" ht="13.2">
      <c r="A998" s="193"/>
      <c r="B998" s="173"/>
      <c r="C998" s="139" t="str">
        <f ca="1">IFERROR(__xludf.DUMMYFUNCTION("if(ISBLANK(INDIRECT(ADDRESS(6,(ROW()-5)))),,QUERY('NPC List'!$1:$1000, ""Select C,D WHERE A = ""&amp;INDIRECT(ADDRESS(6,(ROW()-5)))&amp;"""",0))"),"")</f>
        <v/>
      </c>
      <c r="D998" s="140"/>
    </row>
    <row r="999" spans="1:4" ht="13.2">
      <c r="A999" s="193"/>
      <c r="B999" s="173"/>
      <c r="C999" s="139" t="str">
        <f ca="1">IFERROR(__xludf.DUMMYFUNCTION("if(ISBLANK(INDIRECT(ADDRESS(6,(ROW()-5)))),,QUERY('NPC List'!$1:$1000, ""Select C,D WHERE A = ""&amp;INDIRECT(ADDRESS(6,(ROW()-5)))&amp;"""",0))"),"")</f>
        <v/>
      </c>
      <c r="D999" s="140"/>
    </row>
    <row r="1000" spans="1:4" ht="13.2">
      <c r="A1000" s="193"/>
      <c r="B1000" s="173"/>
      <c r="C1000" s="139" t="str">
        <f ca="1">IFERROR(__xludf.DUMMYFUNCTION("if(ISBLANK(INDIRECT(ADDRESS(6,(ROW()-5)))),,QUERY('NPC List'!$1:$1000, ""Select C,D WHERE A = ""&amp;INDIRECT(ADDRESS(6,(ROW()-5)))&amp;"""",0))"),"")</f>
        <v/>
      </c>
      <c r="D1000" s="140"/>
    </row>
  </sheetData>
  <mergeCells count="1002">
    <mergeCell ref="A680:B680"/>
    <mergeCell ref="A681:B681"/>
    <mergeCell ref="A682:B682"/>
    <mergeCell ref="A683:B683"/>
    <mergeCell ref="A684:B684"/>
    <mergeCell ref="A663:B663"/>
    <mergeCell ref="A664:B664"/>
    <mergeCell ref="A665:B665"/>
    <mergeCell ref="A666:B666"/>
    <mergeCell ref="A667:B667"/>
    <mergeCell ref="A668:B668"/>
    <mergeCell ref="A669:B669"/>
    <mergeCell ref="A670:B670"/>
    <mergeCell ref="A671:B671"/>
    <mergeCell ref="A672:B672"/>
    <mergeCell ref="A673:B673"/>
    <mergeCell ref="A674:B674"/>
    <mergeCell ref="A675:B675"/>
    <mergeCell ref="A676:B676"/>
    <mergeCell ref="A677:B677"/>
    <mergeCell ref="A678:B678"/>
    <mergeCell ref="A679:B679"/>
    <mergeCell ref="A646:B646"/>
    <mergeCell ref="A647:B647"/>
    <mergeCell ref="A648:B648"/>
    <mergeCell ref="A649:B649"/>
    <mergeCell ref="A650:B650"/>
    <mergeCell ref="A651:B651"/>
    <mergeCell ref="A652:B652"/>
    <mergeCell ref="A653:B653"/>
    <mergeCell ref="A654:B654"/>
    <mergeCell ref="A655:B655"/>
    <mergeCell ref="A656:B656"/>
    <mergeCell ref="A657:B657"/>
    <mergeCell ref="A658:B658"/>
    <mergeCell ref="A659:B659"/>
    <mergeCell ref="A660:B660"/>
    <mergeCell ref="A661:B661"/>
    <mergeCell ref="A662:B662"/>
    <mergeCell ref="A629:B629"/>
    <mergeCell ref="A630:B630"/>
    <mergeCell ref="A631:B631"/>
    <mergeCell ref="A632:B632"/>
    <mergeCell ref="A633:B633"/>
    <mergeCell ref="A634:B634"/>
    <mergeCell ref="A635:B635"/>
    <mergeCell ref="A636:B636"/>
    <mergeCell ref="A637:B637"/>
    <mergeCell ref="A638:B638"/>
    <mergeCell ref="A639:B639"/>
    <mergeCell ref="A640:B640"/>
    <mergeCell ref="A641:B641"/>
    <mergeCell ref="A642:B642"/>
    <mergeCell ref="A643:B643"/>
    <mergeCell ref="A644:B644"/>
    <mergeCell ref="A645:B645"/>
    <mergeCell ref="A612:B612"/>
    <mergeCell ref="A613:B613"/>
    <mergeCell ref="A614:B614"/>
    <mergeCell ref="A615:B615"/>
    <mergeCell ref="A616:B616"/>
    <mergeCell ref="A617:B617"/>
    <mergeCell ref="A618:B618"/>
    <mergeCell ref="A619:B619"/>
    <mergeCell ref="A620:B620"/>
    <mergeCell ref="A621:B621"/>
    <mergeCell ref="A622:B622"/>
    <mergeCell ref="A623:B623"/>
    <mergeCell ref="A624:B624"/>
    <mergeCell ref="A625:B625"/>
    <mergeCell ref="A626:B626"/>
    <mergeCell ref="A627:B627"/>
    <mergeCell ref="A628:B628"/>
    <mergeCell ref="A595:B595"/>
    <mergeCell ref="A596:B596"/>
    <mergeCell ref="A597:B597"/>
    <mergeCell ref="A598:B598"/>
    <mergeCell ref="A599:B599"/>
    <mergeCell ref="A600:B600"/>
    <mergeCell ref="A601:B601"/>
    <mergeCell ref="A602:B602"/>
    <mergeCell ref="A603:B603"/>
    <mergeCell ref="A604:B604"/>
    <mergeCell ref="A605:B605"/>
    <mergeCell ref="A606:B606"/>
    <mergeCell ref="A607:B607"/>
    <mergeCell ref="A608:B608"/>
    <mergeCell ref="A609:B609"/>
    <mergeCell ref="A610:B610"/>
    <mergeCell ref="A611:B611"/>
    <mergeCell ref="A578:B578"/>
    <mergeCell ref="A579:B579"/>
    <mergeCell ref="A580:B580"/>
    <mergeCell ref="A581:B581"/>
    <mergeCell ref="A582:B582"/>
    <mergeCell ref="A583:B583"/>
    <mergeCell ref="A584:B584"/>
    <mergeCell ref="A585:B585"/>
    <mergeCell ref="A586:B586"/>
    <mergeCell ref="A587:B587"/>
    <mergeCell ref="A588:B588"/>
    <mergeCell ref="A589:B589"/>
    <mergeCell ref="A590:B590"/>
    <mergeCell ref="A591:B591"/>
    <mergeCell ref="A592:B592"/>
    <mergeCell ref="A593:B593"/>
    <mergeCell ref="A594:B594"/>
    <mergeCell ref="A561:B561"/>
    <mergeCell ref="A562:B562"/>
    <mergeCell ref="A563:B563"/>
    <mergeCell ref="A564:B564"/>
    <mergeCell ref="A565:B565"/>
    <mergeCell ref="A566:B566"/>
    <mergeCell ref="A567:B567"/>
    <mergeCell ref="A568:B568"/>
    <mergeCell ref="A569:B569"/>
    <mergeCell ref="A570:B570"/>
    <mergeCell ref="A571:B571"/>
    <mergeCell ref="A572:B572"/>
    <mergeCell ref="A573:B573"/>
    <mergeCell ref="A574:B574"/>
    <mergeCell ref="A575:B575"/>
    <mergeCell ref="A576:B576"/>
    <mergeCell ref="A577:B577"/>
    <mergeCell ref="A544:B544"/>
    <mergeCell ref="A545:B545"/>
    <mergeCell ref="A546:B546"/>
    <mergeCell ref="A547:B547"/>
    <mergeCell ref="A548:B548"/>
    <mergeCell ref="A549:B549"/>
    <mergeCell ref="A550:B550"/>
    <mergeCell ref="A551:B551"/>
    <mergeCell ref="A552:B552"/>
    <mergeCell ref="A553:B553"/>
    <mergeCell ref="A554:B554"/>
    <mergeCell ref="A555:B555"/>
    <mergeCell ref="A556:B556"/>
    <mergeCell ref="A557:B557"/>
    <mergeCell ref="A558:B558"/>
    <mergeCell ref="A559:B559"/>
    <mergeCell ref="A560:B560"/>
    <mergeCell ref="A527:B527"/>
    <mergeCell ref="A528:B528"/>
    <mergeCell ref="A529:B529"/>
    <mergeCell ref="A530:B530"/>
    <mergeCell ref="A531:B531"/>
    <mergeCell ref="A532:B532"/>
    <mergeCell ref="A533:B533"/>
    <mergeCell ref="A534:B534"/>
    <mergeCell ref="A535:B535"/>
    <mergeCell ref="A536:B536"/>
    <mergeCell ref="A537:B537"/>
    <mergeCell ref="A538:B538"/>
    <mergeCell ref="A539:B539"/>
    <mergeCell ref="A540:B540"/>
    <mergeCell ref="A541:B541"/>
    <mergeCell ref="A542:B542"/>
    <mergeCell ref="A543:B543"/>
    <mergeCell ref="A510:B510"/>
    <mergeCell ref="A511:B511"/>
    <mergeCell ref="A512:B512"/>
    <mergeCell ref="A513:B513"/>
    <mergeCell ref="A514:B514"/>
    <mergeCell ref="A515:B515"/>
    <mergeCell ref="A516:B516"/>
    <mergeCell ref="A517:B517"/>
    <mergeCell ref="A518:B518"/>
    <mergeCell ref="A519:B519"/>
    <mergeCell ref="A520:B520"/>
    <mergeCell ref="A521:B521"/>
    <mergeCell ref="A522:B522"/>
    <mergeCell ref="A523:B523"/>
    <mergeCell ref="A524:B524"/>
    <mergeCell ref="A525:B525"/>
    <mergeCell ref="A526:B526"/>
    <mergeCell ref="A493:B493"/>
    <mergeCell ref="A494:B494"/>
    <mergeCell ref="A495:B495"/>
    <mergeCell ref="A496:B496"/>
    <mergeCell ref="A497:B497"/>
    <mergeCell ref="A498:B498"/>
    <mergeCell ref="A499:B499"/>
    <mergeCell ref="A500:B500"/>
    <mergeCell ref="A501:B501"/>
    <mergeCell ref="A502:B502"/>
    <mergeCell ref="A503:B503"/>
    <mergeCell ref="A504:B504"/>
    <mergeCell ref="A505:B505"/>
    <mergeCell ref="A506:B506"/>
    <mergeCell ref="A507:B507"/>
    <mergeCell ref="A508:B508"/>
    <mergeCell ref="A509:B509"/>
    <mergeCell ref="A476:B476"/>
    <mergeCell ref="A477:B477"/>
    <mergeCell ref="A478:B478"/>
    <mergeCell ref="A479:B479"/>
    <mergeCell ref="A480:B480"/>
    <mergeCell ref="A481:B481"/>
    <mergeCell ref="A482:B482"/>
    <mergeCell ref="A483:B483"/>
    <mergeCell ref="A484:B484"/>
    <mergeCell ref="A485:B485"/>
    <mergeCell ref="A486:B486"/>
    <mergeCell ref="A487:B487"/>
    <mergeCell ref="A488:B488"/>
    <mergeCell ref="A489:B489"/>
    <mergeCell ref="A490:B490"/>
    <mergeCell ref="A491:B491"/>
    <mergeCell ref="A492:B492"/>
    <mergeCell ref="A459:B459"/>
    <mergeCell ref="A460:B460"/>
    <mergeCell ref="A461:B461"/>
    <mergeCell ref="A462:B462"/>
    <mergeCell ref="A463:B463"/>
    <mergeCell ref="A464:B464"/>
    <mergeCell ref="A465:B465"/>
    <mergeCell ref="A466:B466"/>
    <mergeCell ref="A467:B467"/>
    <mergeCell ref="A468:B468"/>
    <mergeCell ref="A469:B469"/>
    <mergeCell ref="A470:B470"/>
    <mergeCell ref="A471:B471"/>
    <mergeCell ref="A472:B472"/>
    <mergeCell ref="A473:B473"/>
    <mergeCell ref="A474:B474"/>
    <mergeCell ref="A475:B475"/>
    <mergeCell ref="A442:B442"/>
    <mergeCell ref="A443:B443"/>
    <mergeCell ref="A444:B444"/>
    <mergeCell ref="A445:B445"/>
    <mergeCell ref="A446:B446"/>
    <mergeCell ref="A447:B447"/>
    <mergeCell ref="A448:B448"/>
    <mergeCell ref="A449:B449"/>
    <mergeCell ref="A450:B450"/>
    <mergeCell ref="A451:B451"/>
    <mergeCell ref="A452:B452"/>
    <mergeCell ref="A453:B453"/>
    <mergeCell ref="A454:B454"/>
    <mergeCell ref="A455:B455"/>
    <mergeCell ref="A456:B456"/>
    <mergeCell ref="A457:B457"/>
    <mergeCell ref="A458:B458"/>
    <mergeCell ref="A425:B425"/>
    <mergeCell ref="A426:B426"/>
    <mergeCell ref="A427:B427"/>
    <mergeCell ref="A428:B428"/>
    <mergeCell ref="A429:B429"/>
    <mergeCell ref="A430:B430"/>
    <mergeCell ref="A431:B431"/>
    <mergeCell ref="A432:B432"/>
    <mergeCell ref="A433:B433"/>
    <mergeCell ref="A434:B434"/>
    <mergeCell ref="A435:B435"/>
    <mergeCell ref="A436:B436"/>
    <mergeCell ref="A437:B437"/>
    <mergeCell ref="A438:B438"/>
    <mergeCell ref="A439:B439"/>
    <mergeCell ref="A440:B440"/>
    <mergeCell ref="A441:B441"/>
    <mergeCell ref="A408:B408"/>
    <mergeCell ref="A409:B409"/>
    <mergeCell ref="A410:B410"/>
    <mergeCell ref="A411:B411"/>
    <mergeCell ref="A412:B412"/>
    <mergeCell ref="A413:B413"/>
    <mergeCell ref="A414:B414"/>
    <mergeCell ref="A415:B415"/>
    <mergeCell ref="A416:B416"/>
    <mergeCell ref="A417:B417"/>
    <mergeCell ref="A418:B418"/>
    <mergeCell ref="A419:B419"/>
    <mergeCell ref="A420:B420"/>
    <mergeCell ref="A421:B421"/>
    <mergeCell ref="A422:B422"/>
    <mergeCell ref="A423:B423"/>
    <mergeCell ref="A424:B424"/>
    <mergeCell ref="A391:B391"/>
    <mergeCell ref="A392:B392"/>
    <mergeCell ref="A393:B393"/>
    <mergeCell ref="A394:B394"/>
    <mergeCell ref="A395:B395"/>
    <mergeCell ref="A396:B396"/>
    <mergeCell ref="A397:B397"/>
    <mergeCell ref="A398:B398"/>
    <mergeCell ref="A399:B399"/>
    <mergeCell ref="A400:B400"/>
    <mergeCell ref="A401:B401"/>
    <mergeCell ref="A402:B402"/>
    <mergeCell ref="A403:B403"/>
    <mergeCell ref="A404:B404"/>
    <mergeCell ref="A405:B405"/>
    <mergeCell ref="A406:B406"/>
    <mergeCell ref="A407:B407"/>
    <mergeCell ref="A374:B374"/>
    <mergeCell ref="A375:B375"/>
    <mergeCell ref="A376:B376"/>
    <mergeCell ref="A377:B377"/>
    <mergeCell ref="A378:B378"/>
    <mergeCell ref="A379:B379"/>
    <mergeCell ref="A380:B380"/>
    <mergeCell ref="A381:B381"/>
    <mergeCell ref="A382:B382"/>
    <mergeCell ref="A383:B383"/>
    <mergeCell ref="A384:B384"/>
    <mergeCell ref="A385:B385"/>
    <mergeCell ref="A386:B386"/>
    <mergeCell ref="A387:B387"/>
    <mergeCell ref="A388:B388"/>
    <mergeCell ref="A389:B389"/>
    <mergeCell ref="A390:B390"/>
    <mergeCell ref="A357:B357"/>
    <mergeCell ref="A358:B358"/>
    <mergeCell ref="A359:B359"/>
    <mergeCell ref="A360:B360"/>
    <mergeCell ref="A361:B361"/>
    <mergeCell ref="A362:B362"/>
    <mergeCell ref="A363:B363"/>
    <mergeCell ref="A364:B364"/>
    <mergeCell ref="A365:B365"/>
    <mergeCell ref="A366:B366"/>
    <mergeCell ref="A367:B367"/>
    <mergeCell ref="A368:B368"/>
    <mergeCell ref="A369:B369"/>
    <mergeCell ref="A370:B370"/>
    <mergeCell ref="A371:B371"/>
    <mergeCell ref="A372:B372"/>
    <mergeCell ref="A373:B373"/>
    <mergeCell ref="A962:B962"/>
    <mergeCell ref="A963:B963"/>
    <mergeCell ref="A964:B964"/>
    <mergeCell ref="A965:B965"/>
    <mergeCell ref="A966:B966"/>
    <mergeCell ref="A967:B967"/>
    <mergeCell ref="A968:B968"/>
    <mergeCell ref="A969:B969"/>
    <mergeCell ref="A970:B970"/>
    <mergeCell ref="A971:B971"/>
    <mergeCell ref="A972:B972"/>
    <mergeCell ref="A973:B973"/>
    <mergeCell ref="A974:B974"/>
    <mergeCell ref="A975:B975"/>
    <mergeCell ref="A976:B976"/>
    <mergeCell ref="A977:B977"/>
    <mergeCell ref="A978:B978"/>
    <mergeCell ref="A993:B993"/>
    <mergeCell ref="A994:B994"/>
    <mergeCell ref="A995:B995"/>
    <mergeCell ref="A996:B996"/>
    <mergeCell ref="A997:B997"/>
    <mergeCell ref="A998:B998"/>
    <mergeCell ref="A999:B999"/>
    <mergeCell ref="A1000:B1000"/>
    <mergeCell ref="A986:B986"/>
    <mergeCell ref="A987:B987"/>
    <mergeCell ref="A988:B988"/>
    <mergeCell ref="A989:B989"/>
    <mergeCell ref="A990:B990"/>
    <mergeCell ref="A991:B991"/>
    <mergeCell ref="A992:B992"/>
    <mergeCell ref="A930:B930"/>
    <mergeCell ref="A931:B931"/>
    <mergeCell ref="A932:B932"/>
    <mergeCell ref="A933:B933"/>
    <mergeCell ref="A934:B934"/>
    <mergeCell ref="A935:B935"/>
    <mergeCell ref="A936:B936"/>
    <mergeCell ref="A937:B937"/>
    <mergeCell ref="A938:B938"/>
    <mergeCell ref="A939:B939"/>
    <mergeCell ref="A940:B940"/>
    <mergeCell ref="A941:B941"/>
    <mergeCell ref="A942:B942"/>
    <mergeCell ref="A943:B943"/>
    <mergeCell ref="A944:B944"/>
    <mergeCell ref="A945:B945"/>
    <mergeCell ref="A946:B946"/>
    <mergeCell ref="A920:B920"/>
    <mergeCell ref="A921:B921"/>
    <mergeCell ref="A922:B922"/>
    <mergeCell ref="A923:B923"/>
    <mergeCell ref="A924:B924"/>
    <mergeCell ref="A925:B925"/>
    <mergeCell ref="A926:B926"/>
    <mergeCell ref="A927:B927"/>
    <mergeCell ref="A928:B928"/>
    <mergeCell ref="A929:B929"/>
    <mergeCell ref="A979:B979"/>
    <mergeCell ref="A980:B980"/>
    <mergeCell ref="A981:B981"/>
    <mergeCell ref="A982:B982"/>
    <mergeCell ref="A983:B983"/>
    <mergeCell ref="A984:B984"/>
    <mergeCell ref="A985:B985"/>
    <mergeCell ref="A947:B947"/>
    <mergeCell ref="A948:B948"/>
    <mergeCell ref="A949:B949"/>
    <mergeCell ref="A950:B950"/>
    <mergeCell ref="A951:B951"/>
    <mergeCell ref="A952:B952"/>
    <mergeCell ref="A953:B953"/>
    <mergeCell ref="A954:B954"/>
    <mergeCell ref="A955:B955"/>
    <mergeCell ref="A956:B956"/>
    <mergeCell ref="A957:B957"/>
    <mergeCell ref="A958:B958"/>
    <mergeCell ref="A959:B959"/>
    <mergeCell ref="A960:B960"/>
    <mergeCell ref="A961:B961"/>
    <mergeCell ref="A903:B903"/>
    <mergeCell ref="A904:B904"/>
    <mergeCell ref="A905:B905"/>
    <mergeCell ref="A906:B906"/>
    <mergeCell ref="A907:B907"/>
    <mergeCell ref="A908:B908"/>
    <mergeCell ref="A909:B909"/>
    <mergeCell ref="A910:B910"/>
    <mergeCell ref="A911:B911"/>
    <mergeCell ref="A912:B912"/>
    <mergeCell ref="A913:B913"/>
    <mergeCell ref="A914:B914"/>
    <mergeCell ref="A915:B915"/>
    <mergeCell ref="A916:B916"/>
    <mergeCell ref="A917:B917"/>
    <mergeCell ref="A918:B918"/>
    <mergeCell ref="A919:B919"/>
    <mergeCell ref="A886:B886"/>
    <mergeCell ref="A887:B887"/>
    <mergeCell ref="A888:B888"/>
    <mergeCell ref="A889:B889"/>
    <mergeCell ref="A890:B890"/>
    <mergeCell ref="A891:B891"/>
    <mergeCell ref="A892:B892"/>
    <mergeCell ref="A893:B893"/>
    <mergeCell ref="A894:B894"/>
    <mergeCell ref="A895:B895"/>
    <mergeCell ref="A896:B896"/>
    <mergeCell ref="A897:B897"/>
    <mergeCell ref="A898:B898"/>
    <mergeCell ref="A899:B899"/>
    <mergeCell ref="A900:B900"/>
    <mergeCell ref="A901:B901"/>
    <mergeCell ref="A902:B902"/>
    <mergeCell ref="A869:B869"/>
    <mergeCell ref="A870:B870"/>
    <mergeCell ref="A871:B871"/>
    <mergeCell ref="A872:B872"/>
    <mergeCell ref="A873:B873"/>
    <mergeCell ref="A874:B874"/>
    <mergeCell ref="A875:B875"/>
    <mergeCell ref="A876:B876"/>
    <mergeCell ref="A877:B877"/>
    <mergeCell ref="A878:B878"/>
    <mergeCell ref="A879:B879"/>
    <mergeCell ref="A880:B880"/>
    <mergeCell ref="A881:B881"/>
    <mergeCell ref="A882:B882"/>
    <mergeCell ref="A883:B883"/>
    <mergeCell ref="A884:B884"/>
    <mergeCell ref="A885:B885"/>
    <mergeCell ref="A852:B852"/>
    <mergeCell ref="A853:B853"/>
    <mergeCell ref="A854:B854"/>
    <mergeCell ref="A855:B855"/>
    <mergeCell ref="A856:B856"/>
    <mergeCell ref="A857:B857"/>
    <mergeCell ref="A858:B858"/>
    <mergeCell ref="A859:B859"/>
    <mergeCell ref="A860:B860"/>
    <mergeCell ref="A861:B861"/>
    <mergeCell ref="A862:B862"/>
    <mergeCell ref="A863:B863"/>
    <mergeCell ref="A864:B864"/>
    <mergeCell ref="A865:B865"/>
    <mergeCell ref="A866:B866"/>
    <mergeCell ref="A867:B867"/>
    <mergeCell ref="A868:B868"/>
    <mergeCell ref="A835:B835"/>
    <mergeCell ref="A836:B836"/>
    <mergeCell ref="A837:B837"/>
    <mergeCell ref="A838:B838"/>
    <mergeCell ref="A839:B839"/>
    <mergeCell ref="A840:B840"/>
    <mergeCell ref="A841:B841"/>
    <mergeCell ref="A842:B842"/>
    <mergeCell ref="A843:B843"/>
    <mergeCell ref="A844:B844"/>
    <mergeCell ref="A845:B845"/>
    <mergeCell ref="A846:B846"/>
    <mergeCell ref="A847:B847"/>
    <mergeCell ref="A848:B848"/>
    <mergeCell ref="A849:B849"/>
    <mergeCell ref="A850:B850"/>
    <mergeCell ref="A851:B851"/>
    <mergeCell ref="A818:B818"/>
    <mergeCell ref="A819:B819"/>
    <mergeCell ref="A820:B820"/>
    <mergeCell ref="A821:B821"/>
    <mergeCell ref="A822:B822"/>
    <mergeCell ref="A823:B823"/>
    <mergeCell ref="A824:B824"/>
    <mergeCell ref="A825:B825"/>
    <mergeCell ref="A826:B826"/>
    <mergeCell ref="A827:B827"/>
    <mergeCell ref="A828:B828"/>
    <mergeCell ref="A829:B829"/>
    <mergeCell ref="A830:B830"/>
    <mergeCell ref="A831:B831"/>
    <mergeCell ref="A832:B832"/>
    <mergeCell ref="A833:B833"/>
    <mergeCell ref="A834:B834"/>
    <mergeCell ref="A801:B801"/>
    <mergeCell ref="A802:B802"/>
    <mergeCell ref="A803:B803"/>
    <mergeCell ref="A804:B804"/>
    <mergeCell ref="A805:B805"/>
    <mergeCell ref="A806:B806"/>
    <mergeCell ref="A807:B807"/>
    <mergeCell ref="A808:B808"/>
    <mergeCell ref="A809:B809"/>
    <mergeCell ref="A810:B810"/>
    <mergeCell ref="A811:B811"/>
    <mergeCell ref="A812:B812"/>
    <mergeCell ref="A813:B813"/>
    <mergeCell ref="A814:B814"/>
    <mergeCell ref="A815:B815"/>
    <mergeCell ref="A816:B816"/>
    <mergeCell ref="A817:B817"/>
    <mergeCell ref="A784:B784"/>
    <mergeCell ref="A785:B785"/>
    <mergeCell ref="A786:B786"/>
    <mergeCell ref="A787:B787"/>
    <mergeCell ref="A788:B788"/>
    <mergeCell ref="A789:B789"/>
    <mergeCell ref="A790:B790"/>
    <mergeCell ref="A791:B791"/>
    <mergeCell ref="A792:B792"/>
    <mergeCell ref="A793:B793"/>
    <mergeCell ref="A794:B794"/>
    <mergeCell ref="A795:B795"/>
    <mergeCell ref="A796:B796"/>
    <mergeCell ref="A797:B797"/>
    <mergeCell ref="A798:B798"/>
    <mergeCell ref="A799:B799"/>
    <mergeCell ref="A800:B800"/>
    <mergeCell ref="A767:B767"/>
    <mergeCell ref="A768:B768"/>
    <mergeCell ref="A769:B769"/>
    <mergeCell ref="A770:B770"/>
    <mergeCell ref="A771:B771"/>
    <mergeCell ref="A772:B772"/>
    <mergeCell ref="A773:B773"/>
    <mergeCell ref="A774:B774"/>
    <mergeCell ref="A775:B775"/>
    <mergeCell ref="A776:B776"/>
    <mergeCell ref="A777:B777"/>
    <mergeCell ref="A778:B778"/>
    <mergeCell ref="A779:B779"/>
    <mergeCell ref="A780:B780"/>
    <mergeCell ref="A781:B781"/>
    <mergeCell ref="A782:B782"/>
    <mergeCell ref="A783:B783"/>
    <mergeCell ref="A750:B750"/>
    <mergeCell ref="A751:B751"/>
    <mergeCell ref="A752:B752"/>
    <mergeCell ref="A753:B753"/>
    <mergeCell ref="A754:B754"/>
    <mergeCell ref="A755:B755"/>
    <mergeCell ref="A756:B756"/>
    <mergeCell ref="A757:B757"/>
    <mergeCell ref="A758:B758"/>
    <mergeCell ref="A759:B759"/>
    <mergeCell ref="A760:B760"/>
    <mergeCell ref="A761:B761"/>
    <mergeCell ref="A762:B762"/>
    <mergeCell ref="A763:B763"/>
    <mergeCell ref="A764:B764"/>
    <mergeCell ref="A765:B765"/>
    <mergeCell ref="A766:B766"/>
    <mergeCell ref="A733:B733"/>
    <mergeCell ref="A734:B734"/>
    <mergeCell ref="A735:B735"/>
    <mergeCell ref="A736:B736"/>
    <mergeCell ref="A737:B737"/>
    <mergeCell ref="A738:B738"/>
    <mergeCell ref="A739:B739"/>
    <mergeCell ref="A740:B740"/>
    <mergeCell ref="A741:B741"/>
    <mergeCell ref="A742:B742"/>
    <mergeCell ref="A743:B743"/>
    <mergeCell ref="A744:B744"/>
    <mergeCell ref="A745:B745"/>
    <mergeCell ref="A746:B746"/>
    <mergeCell ref="A747:B747"/>
    <mergeCell ref="A748:B748"/>
    <mergeCell ref="A749:B749"/>
    <mergeCell ref="A716:B716"/>
    <mergeCell ref="A717:B717"/>
    <mergeCell ref="A718:B718"/>
    <mergeCell ref="A719:B719"/>
    <mergeCell ref="A720:B720"/>
    <mergeCell ref="A721:B721"/>
    <mergeCell ref="A722:B722"/>
    <mergeCell ref="A723:B723"/>
    <mergeCell ref="A724:B724"/>
    <mergeCell ref="A725:B725"/>
    <mergeCell ref="A726:B726"/>
    <mergeCell ref="A727:B727"/>
    <mergeCell ref="A728:B728"/>
    <mergeCell ref="A729:B729"/>
    <mergeCell ref="A730:B730"/>
    <mergeCell ref="A731:B731"/>
    <mergeCell ref="A732:B732"/>
    <mergeCell ref="A699:B699"/>
    <mergeCell ref="A700:B700"/>
    <mergeCell ref="A701:B701"/>
    <mergeCell ref="A702:B702"/>
    <mergeCell ref="A703:B703"/>
    <mergeCell ref="A704:B704"/>
    <mergeCell ref="A705:B705"/>
    <mergeCell ref="A706:B706"/>
    <mergeCell ref="A707:B707"/>
    <mergeCell ref="A708:B708"/>
    <mergeCell ref="A709:B709"/>
    <mergeCell ref="A710:B710"/>
    <mergeCell ref="A711:B711"/>
    <mergeCell ref="A712:B712"/>
    <mergeCell ref="A713:B713"/>
    <mergeCell ref="A714:B714"/>
    <mergeCell ref="A715:B715"/>
    <mergeCell ref="A339:B339"/>
    <mergeCell ref="A340:B340"/>
    <mergeCell ref="A341:B341"/>
    <mergeCell ref="A685:B685"/>
    <mergeCell ref="A686:B686"/>
    <mergeCell ref="A687:B687"/>
    <mergeCell ref="A688:B688"/>
    <mergeCell ref="A689:B689"/>
    <mergeCell ref="A690:B690"/>
    <mergeCell ref="A691:B691"/>
    <mergeCell ref="A692:B692"/>
    <mergeCell ref="A693:B693"/>
    <mergeCell ref="A694:B694"/>
    <mergeCell ref="A695:B695"/>
    <mergeCell ref="A696:B696"/>
    <mergeCell ref="A697:B697"/>
    <mergeCell ref="A698:B698"/>
    <mergeCell ref="A342:B342"/>
    <mergeCell ref="A343:B343"/>
    <mergeCell ref="A344:B344"/>
    <mergeCell ref="A345:B345"/>
    <mergeCell ref="A346:B346"/>
    <mergeCell ref="A347:B347"/>
    <mergeCell ref="A348:B348"/>
    <mergeCell ref="A349:B349"/>
    <mergeCell ref="A350:B350"/>
    <mergeCell ref="A351:B351"/>
    <mergeCell ref="A352:B352"/>
    <mergeCell ref="A353:B353"/>
    <mergeCell ref="A354:B354"/>
    <mergeCell ref="A355:B355"/>
    <mergeCell ref="A356:B356"/>
    <mergeCell ref="A322:B322"/>
    <mergeCell ref="A323:B323"/>
    <mergeCell ref="A324:B324"/>
    <mergeCell ref="A325:B325"/>
    <mergeCell ref="A326:B326"/>
    <mergeCell ref="A327:B327"/>
    <mergeCell ref="A328:B328"/>
    <mergeCell ref="A329:B329"/>
    <mergeCell ref="A330:B330"/>
    <mergeCell ref="A331:B331"/>
    <mergeCell ref="A332:B332"/>
    <mergeCell ref="A333:B333"/>
    <mergeCell ref="A334:B334"/>
    <mergeCell ref="A335:B335"/>
    <mergeCell ref="A336:B336"/>
    <mergeCell ref="A337:B337"/>
    <mergeCell ref="A338:B338"/>
    <mergeCell ref="A305:B305"/>
    <mergeCell ref="A306:B306"/>
    <mergeCell ref="A307:B307"/>
    <mergeCell ref="A308:B308"/>
    <mergeCell ref="A309:B309"/>
    <mergeCell ref="A310:B310"/>
    <mergeCell ref="A311:B311"/>
    <mergeCell ref="A312:B312"/>
    <mergeCell ref="A313:B313"/>
    <mergeCell ref="A314:B314"/>
    <mergeCell ref="A315:B315"/>
    <mergeCell ref="A316:B316"/>
    <mergeCell ref="A317:B317"/>
    <mergeCell ref="A318:B318"/>
    <mergeCell ref="A319:B319"/>
    <mergeCell ref="A320:B320"/>
    <mergeCell ref="A321:B321"/>
    <mergeCell ref="A288:B288"/>
    <mergeCell ref="A289:B289"/>
    <mergeCell ref="A290:B290"/>
    <mergeCell ref="A291:B291"/>
    <mergeCell ref="A292:B292"/>
    <mergeCell ref="A293:B293"/>
    <mergeCell ref="A294:B294"/>
    <mergeCell ref="A295:B295"/>
    <mergeCell ref="A296:B296"/>
    <mergeCell ref="A297:B297"/>
    <mergeCell ref="A298:B298"/>
    <mergeCell ref="A299:B299"/>
    <mergeCell ref="A300:B300"/>
    <mergeCell ref="A301:B301"/>
    <mergeCell ref="A302:B302"/>
    <mergeCell ref="A303:B303"/>
    <mergeCell ref="A304:B304"/>
    <mergeCell ref="A271:B271"/>
    <mergeCell ref="A272:B272"/>
    <mergeCell ref="A273:B273"/>
    <mergeCell ref="A274:B274"/>
    <mergeCell ref="A275:B275"/>
    <mergeCell ref="A276:B276"/>
    <mergeCell ref="A277:B277"/>
    <mergeCell ref="A278:B278"/>
    <mergeCell ref="A279:B279"/>
    <mergeCell ref="A280:B280"/>
    <mergeCell ref="A281:B281"/>
    <mergeCell ref="A282:B282"/>
    <mergeCell ref="A283:B283"/>
    <mergeCell ref="A284:B284"/>
    <mergeCell ref="A285:B285"/>
    <mergeCell ref="A286:B286"/>
    <mergeCell ref="A287:B287"/>
    <mergeCell ref="A254:B254"/>
    <mergeCell ref="A255:B255"/>
    <mergeCell ref="A256:B256"/>
    <mergeCell ref="A257:B257"/>
    <mergeCell ref="A258:B258"/>
    <mergeCell ref="A259:B259"/>
    <mergeCell ref="A260:B260"/>
    <mergeCell ref="A261:B261"/>
    <mergeCell ref="A262:B262"/>
    <mergeCell ref="A263:B263"/>
    <mergeCell ref="A264:B264"/>
    <mergeCell ref="A265:B265"/>
    <mergeCell ref="A266:B266"/>
    <mergeCell ref="A267:B267"/>
    <mergeCell ref="A268:B268"/>
    <mergeCell ref="A269:B269"/>
    <mergeCell ref="A270:B270"/>
    <mergeCell ref="A237:B237"/>
    <mergeCell ref="A238:B238"/>
    <mergeCell ref="A239:B239"/>
    <mergeCell ref="A240:B240"/>
    <mergeCell ref="A241:B241"/>
    <mergeCell ref="A242:B242"/>
    <mergeCell ref="A243:B243"/>
    <mergeCell ref="A244:B244"/>
    <mergeCell ref="A245:B245"/>
    <mergeCell ref="A246:B246"/>
    <mergeCell ref="A247:B247"/>
    <mergeCell ref="A248:B248"/>
    <mergeCell ref="A249:B249"/>
    <mergeCell ref="A250:B250"/>
    <mergeCell ref="A251:B251"/>
    <mergeCell ref="A252:B252"/>
    <mergeCell ref="A253:B253"/>
    <mergeCell ref="A220:B220"/>
    <mergeCell ref="A221:B221"/>
    <mergeCell ref="A222:B222"/>
    <mergeCell ref="A223:B223"/>
    <mergeCell ref="A224:B224"/>
    <mergeCell ref="A225:B225"/>
    <mergeCell ref="A226:B226"/>
    <mergeCell ref="A227:B227"/>
    <mergeCell ref="A228:B228"/>
    <mergeCell ref="A229:B229"/>
    <mergeCell ref="A230:B230"/>
    <mergeCell ref="A231:B231"/>
    <mergeCell ref="A232:B232"/>
    <mergeCell ref="A233:B233"/>
    <mergeCell ref="A234:B234"/>
    <mergeCell ref="A235:B235"/>
    <mergeCell ref="A236:B236"/>
    <mergeCell ref="A203:B203"/>
    <mergeCell ref="A204:B204"/>
    <mergeCell ref="A205:B205"/>
    <mergeCell ref="A206:B206"/>
    <mergeCell ref="A207:B207"/>
    <mergeCell ref="A208:B208"/>
    <mergeCell ref="A209:B209"/>
    <mergeCell ref="A210:B210"/>
    <mergeCell ref="A211:B211"/>
    <mergeCell ref="A212:B212"/>
    <mergeCell ref="A213:B213"/>
    <mergeCell ref="A214:B214"/>
    <mergeCell ref="A215:B215"/>
    <mergeCell ref="A216:B216"/>
    <mergeCell ref="A217:B217"/>
    <mergeCell ref="A218:B218"/>
    <mergeCell ref="A219:B219"/>
    <mergeCell ref="A186:B186"/>
    <mergeCell ref="A187:B187"/>
    <mergeCell ref="A188:B188"/>
    <mergeCell ref="A189:B189"/>
    <mergeCell ref="A190:B190"/>
    <mergeCell ref="A191:B191"/>
    <mergeCell ref="A192:B192"/>
    <mergeCell ref="A193:B193"/>
    <mergeCell ref="A194:B194"/>
    <mergeCell ref="A195:B195"/>
    <mergeCell ref="A196:B196"/>
    <mergeCell ref="A197:B197"/>
    <mergeCell ref="A198:B198"/>
    <mergeCell ref="A199:B199"/>
    <mergeCell ref="A200:B200"/>
    <mergeCell ref="A201:B201"/>
    <mergeCell ref="A202:B202"/>
    <mergeCell ref="A169:B169"/>
    <mergeCell ref="A170:B170"/>
    <mergeCell ref="A171:B171"/>
    <mergeCell ref="A172:B172"/>
    <mergeCell ref="A173:B173"/>
    <mergeCell ref="A174:B174"/>
    <mergeCell ref="A175:B175"/>
    <mergeCell ref="A176:B176"/>
    <mergeCell ref="A177:B177"/>
    <mergeCell ref="A178:B178"/>
    <mergeCell ref="A179:B179"/>
    <mergeCell ref="A180:B180"/>
    <mergeCell ref="A181:B181"/>
    <mergeCell ref="A182:B182"/>
    <mergeCell ref="A183:B183"/>
    <mergeCell ref="A184:B184"/>
    <mergeCell ref="A185:B185"/>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01:B101"/>
    <mergeCell ref="A102:B102"/>
    <mergeCell ref="A103:B103"/>
    <mergeCell ref="A104:B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84:B84"/>
    <mergeCell ref="A85:B85"/>
    <mergeCell ref="A86:B86"/>
    <mergeCell ref="A87:B87"/>
    <mergeCell ref="A88:B88"/>
    <mergeCell ref="A89:B89"/>
    <mergeCell ref="A90:B90"/>
    <mergeCell ref="A91:B91"/>
    <mergeCell ref="A92:B92"/>
    <mergeCell ref="A93:B93"/>
    <mergeCell ref="A94:B94"/>
    <mergeCell ref="A95:B95"/>
    <mergeCell ref="A96:B96"/>
    <mergeCell ref="A97:B97"/>
    <mergeCell ref="A98:B98"/>
    <mergeCell ref="A99:B99"/>
    <mergeCell ref="A100:B100"/>
    <mergeCell ref="A67:B67"/>
    <mergeCell ref="A68:B68"/>
    <mergeCell ref="A69:B69"/>
    <mergeCell ref="A70:B70"/>
    <mergeCell ref="A71:B71"/>
    <mergeCell ref="A72:B72"/>
    <mergeCell ref="A73:B73"/>
    <mergeCell ref="A74:B74"/>
    <mergeCell ref="A75:B75"/>
    <mergeCell ref="A76:B76"/>
    <mergeCell ref="A77:B77"/>
    <mergeCell ref="A78:B78"/>
    <mergeCell ref="A79:B79"/>
    <mergeCell ref="A80:B80"/>
    <mergeCell ref="A81:B81"/>
    <mergeCell ref="A82:B82"/>
    <mergeCell ref="A83:B83"/>
    <mergeCell ref="A50:B50"/>
    <mergeCell ref="A51:B51"/>
    <mergeCell ref="A52:B52"/>
    <mergeCell ref="A53:B53"/>
    <mergeCell ref="A54:B54"/>
    <mergeCell ref="A55:B55"/>
    <mergeCell ref="A56:B56"/>
    <mergeCell ref="A57:B57"/>
    <mergeCell ref="A58:B58"/>
    <mergeCell ref="A59:B59"/>
    <mergeCell ref="A60:B60"/>
    <mergeCell ref="A61:B61"/>
    <mergeCell ref="A62:B62"/>
    <mergeCell ref="A63:B63"/>
    <mergeCell ref="A64:B64"/>
    <mergeCell ref="A65:B65"/>
    <mergeCell ref="A66:B66"/>
    <mergeCell ref="A33:B33"/>
    <mergeCell ref="A34:B34"/>
    <mergeCell ref="A35:B35"/>
    <mergeCell ref="A36:B36"/>
    <mergeCell ref="A37:B37"/>
    <mergeCell ref="A38:B38"/>
    <mergeCell ref="A39:B39"/>
    <mergeCell ref="A40:B40"/>
    <mergeCell ref="A41:B41"/>
    <mergeCell ref="A42:B42"/>
    <mergeCell ref="A43:B43"/>
    <mergeCell ref="A44:B44"/>
    <mergeCell ref="A45:B45"/>
    <mergeCell ref="A46:B46"/>
    <mergeCell ref="A47:B47"/>
    <mergeCell ref="A48:B48"/>
    <mergeCell ref="A49:B49"/>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1:B1"/>
    <mergeCell ref="B2:D2"/>
    <mergeCell ref="G2:G4"/>
    <mergeCell ref="H2:M4"/>
    <mergeCell ref="Q2:Q3"/>
    <mergeCell ref="B3:D4"/>
    <mergeCell ref="O3:O4"/>
    <mergeCell ref="A5:B5"/>
    <mergeCell ref="A7:B7"/>
    <mergeCell ref="A8:B8"/>
    <mergeCell ref="A9:B9"/>
    <mergeCell ref="A10:B10"/>
    <mergeCell ref="A11:B11"/>
    <mergeCell ref="A12:B12"/>
    <mergeCell ref="A13:B13"/>
    <mergeCell ref="A14:B14"/>
    <mergeCell ref="A15:B15"/>
  </mergeCells>
  <dataValidations count="1">
    <dataValidation type="decimal" operator="greaterThan" allowBlank="1" showErrorMessage="1" sqref="O3 Q4" xr:uid="{00000000-0002-0000-0900-000000000000}">
      <formula1>-1</formula1>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LL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2.6640625" defaultRowHeight="15.75" customHeight="1"/>
  <sheetData>
    <row r="1" spans="1:1000" ht="15.75" customHeight="1">
      <c r="A1" s="142"/>
      <c r="B1" s="142" t="str">
        <f t="array" ref="B1:ALL1">TRANSPOSE(NPCJobs)</f>
        <v>Tavern Keep</v>
      </c>
      <c r="C1" s="142" t="str">
        <v>Black Smith</v>
      </c>
      <c r="D1" s="142" t="str">
        <v>Magic Shop</v>
      </c>
      <c r="E1" s="142" t="str">
        <v>Thief</v>
      </c>
      <c r="F1" s="142" t="str">
        <v>Whore</v>
      </c>
      <c r="G1" s="142" t="str">
        <v>Armory</v>
      </c>
      <c r="H1" s="142" t="str">
        <v>Alchamist</v>
      </c>
      <c r="I1" s="142" t="str">
        <v>Clergy</v>
      </c>
      <c r="J1" s="142" t="str">
        <v>Wood Cutter</v>
      </c>
      <c r="K1" s="142" t="str">
        <v>Adventure</v>
      </c>
      <c r="L1" s="142" t="str">
        <v>Guard</v>
      </c>
      <c r="M1" s="143" t="str">
        <v>Land Lord</v>
      </c>
      <c r="N1" s="142" t="str">
        <v>None</v>
      </c>
      <c r="O1" s="142">
        <v>0</v>
      </c>
      <c r="P1" s="142">
        <v>0</v>
      </c>
      <c r="Q1" s="142">
        <v>0</v>
      </c>
      <c r="R1" s="142">
        <v>0</v>
      </c>
      <c r="S1" s="142">
        <v>0</v>
      </c>
      <c r="T1" s="142">
        <v>0</v>
      </c>
      <c r="U1" s="142">
        <v>0</v>
      </c>
      <c r="V1" s="142">
        <v>0</v>
      </c>
      <c r="W1" s="142">
        <v>0</v>
      </c>
      <c r="X1" s="142">
        <v>0</v>
      </c>
      <c r="Y1" s="142">
        <v>0</v>
      </c>
      <c r="Z1" s="142">
        <v>0</v>
      </c>
      <c r="AA1">
        <v>0</v>
      </c>
      <c r="AB1">
        <v>0</v>
      </c>
      <c r="AC1">
        <v>0</v>
      </c>
      <c r="AD1">
        <v>0</v>
      </c>
      <c r="AE1">
        <v>0</v>
      </c>
      <c r="AF1">
        <v>0</v>
      </c>
      <c r="AG1">
        <v>0</v>
      </c>
      <c r="AH1">
        <v>0</v>
      </c>
      <c r="AI1">
        <v>0</v>
      </c>
      <c r="AJ1">
        <v>0</v>
      </c>
      <c r="AK1">
        <v>0</v>
      </c>
      <c r="AL1">
        <v>0</v>
      </c>
      <c r="AM1">
        <v>0</v>
      </c>
      <c r="AN1">
        <v>0</v>
      </c>
      <c r="AO1">
        <v>0</v>
      </c>
      <c r="AP1">
        <v>0</v>
      </c>
      <c r="AQ1">
        <v>0</v>
      </c>
      <c r="AR1">
        <v>0</v>
      </c>
      <c r="AS1">
        <v>0</v>
      </c>
      <c r="AT1">
        <v>0</v>
      </c>
      <c r="AU1">
        <v>0</v>
      </c>
      <c r="AV1">
        <v>0</v>
      </c>
      <c r="AW1">
        <v>0</v>
      </c>
      <c r="AX1">
        <v>0</v>
      </c>
      <c r="AY1">
        <v>0</v>
      </c>
      <c r="AZ1">
        <v>0</v>
      </c>
      <c r="BA1">
        <v>0</v>
      </c>
      <c r="BB1">
        <v>0</v>
      </c>
      <c r="BC1">
        <v>0</v>
      </c>
      <c r="BD1">
        <v>0</v>
      </c>
      <c r="BE1">
        <v>0</v>
      </c>
      <c r="BF1">
        <v>0</v>
      </c>
      <c r="BG1">
        <v>0</v>
      </c>
      <c r="BH1">
        <v>0</v>
      </c>
      <c r="BI1">
        <v>0</v>
      </c>
      <c r="BJ1">
        <v>0</v>
      </c>
      <c r="BK1">
        <v>0</v>
      </c>
      <c r="BL1">
        <v>0</v>
      </c>
      <c r="BM1">
        <v>0</v>
      </c>
      <c r="BN1">
        <v>0</v>
      </c>
      <c r="BO1">
        <v>0</v>
      </c>
      <c r="BP1">
        <v>0</v>
      </c>
      <c r="BQ1">
        <v>0</v>
      </c>
      <c r="BR1">
        <v>0</v>
      </c>
      <c r="BS1">
        <v>0</v>
      </c>
      <c r="BT1">
        <v>0</v>
      </c>
      <c r="BU1">
        <v>0</v>
      </c>
      <c r="BV1">
        <v>0</v>
      </c>
      <c r="BW1">
        <v>0</v>
      </c>
      <c r="BX1">
        <v>0</v>
      </c>
      <c r="BY1">
        <v>0</v>
      </c>
      <c r="BZ1">
        <v>0</v>
      </c>
      <c r="CA1">
        <v>0</v>
      </c>
      <c r="CB1">
        <v>0</v>
      </c>
      <c r="CC1">
        <v>0</v>
      </c>
      <c r="CD1">
        <v>0</v>
      </c>
      <c r="CE1">
        <v>0</v>
      </c>
      <c r="CF1">
        <v>0</v>
      </c>
      <c r="CG1">
        <v>0</v>
      </c>
      <c r="CH1">
        <v>0</v>
      </c>
      <c r="CI1">
        <v>0</v>
      </c>
      <c r="CJ1">
        <v>0</v>
      </c>
      <c r="CK1">
        <v>0</v>
      </c>
      <c r="CL1">
        <v>0</v>
      </c>
      <c r="CM1">
        <v>0</v>
      </c>
      <c r="CN1">
        <v>0</v>
      </c>
      <c r="CO1">
        <v>0</v>
      </c>
      <c r="CP1">
        <v>0</v>
      </c>
      <c r="CQ1">
        <v>0</v>
      </c>
      <c r="CR1">
        <v>0</v>
      </c>
      <c r="CS1">
        <v>0</v>
      </c>
      <c r="CT1">
        <v>0</v>
      </c>
      <c r="CU1">
        <v>0</v>
      </c>
      <c r="CV1">
        <v>0</v>
      </c>
      <c r="CW1">
        <v>0</v>
      </c>
      <c r="CX1">
        <v>0</v>
      </c>
      <c r="CY1">
        <v>0</v>
      </c>
      <c r="CZ1">
        <v>0</v>
      </c>
      <c r="DA1">
        <v>0</v>
      </c>
      <c r="DB1">
        <v>0</v>
      </c>
      <c r="DC1">
        <v>0</v>
      </c>
      <c r="DD1">
        <v>0</v>
      </c>
      <c r="DE1">
        <v>0</v>
      </c>
      <c r="DF1">
        <v>0</v>
      </c>
      <c r="DG1">
        <v>0</v>
      </c>
      <c r="DH1">
        <v>0</v>
      </c>
      <c r="DI1">
        <v>0</v>
      </c>
      <c r="DJ1">
        <v>0</v>
      </c>
      <c r="DK1">
        <v>0</v>
      </c>
      <c r="DL1">
        <v>0</v>
      </c>
      <c r="DM1">
        <v>0</v>
      </c>
      <c r="DN1">
        <v>0</v>
      </c>
      <c r="DO1">
        <v>0</v>
      </c>
      <c r="DP1">
        <v>0</v>
      </c>
      <c r="DQ1">
        <v>0</v>
      </c>
      <c r="DR1">
        <v>0</v>
      </c>
      <c r="DS1">
        <v>0</v>
      </c>
      <c r="DT1">
        <v>0</v>
      </c>
      <c r="DU1">
        <v>0</v>
      </c>
      <c r="DV1">
        <v>0</v>
      </c>
      <c r="DW1">
        <v>0</v>
      </c>
      <c r="DX1">
        <v>0</v>
      </c>
      <c r="DY1">
        <v>0</v>
      </c>
      <c r="DZ1">
        <v>0</v>
      </c>
      <c r="EA1">
        <v>0</v>
      </c>
      <c r="EB1">
        <v>0</v>
      </c>
      <c r="EC1">
        <v>0</v>
      </c>
      <c r="ED1">
        <v>0</v>
      </c>
      <c r="EE1">
        <v>0</v>
      </c>
      <c r="EF1">
        <v>0</v>
      </c>
      <c r="EG1">
        <v>0</v>
      </c>
      <c r="EH1">
        <v>0</v>
      </c>
      <c r="EI1">
        <v>0</v>
      </c>
      <c r="EJ1">
        <v>0</v>
      </c>
      <c r="EK1">
        <v>0</v>
      </c>
      <c r="EL1">
        <v>0</v>
      </c>
      <c r="EM1">
        <v>0</v>
      </c>
      <c r="EN1">
        <v>0</v>
      </c>
      <c r="EO1">
        <v>0</v>
      </c>
      <c r="EP1">
        <v>0</v>
      </c>
      <c r="EQ1">
        <v>0</v>
      </c>
      <c r="ER1">
        <v>0</v>
      </c>
      <c r="ES1">
        <v>0</v>
      </c>
      <c r="ET1">
        <v>0</v>
      </c>
      <c r="EU1">
        <v>0</v>
      </c>
      <c r="EV1">
        <v>0</v>
      </c>
      <c r="EW1">
        <v>0</v>
      </c>
      <c r="EX1">
        <v>0</v>
      </c>
      <c r="EY1">
        <v>0</v>
      </c>
      <c r="EZ1">
        <v>0</v>
      </c>
      <c r="FA1">
        <v>0</v>
      </c>
      <c r="FB1">
        <v>0</v>
      </c>
      <c r="FC1">
        <v>0</v>
      </c>
      <c r="FD1">
        <v>0</v>
      </c>
      <c r="FE1">
        <v>0</v>
      </c>
      <c r="FF1">
        <v>0</v>
      </c>
      <c r="FG1">
        <v>0</v>
      </c>
      <c r="FH1">
        <v>0</v>
      </c>
      <c r="FI1">
        <v>0</v>
      </c>
      <c r="FJ1">
        <v>0</v>
      </c>
      <c r="FK1">
        <v>0</v>
      </c>
      <c r="FL1">
        <v>0</v>
      </c>
      <c r="FM1">
        <v>0</v>
      </c>
      <c r="FN1">
        <v>0</v>
      </c>
      <c r="FO1">
        <v>0</v>
      </c>
      <c r="FP1">
        <v>0</v>
      </c>
      <c r="FQ1">
        <v>0</v>
      </c>
      <c r="FR1">
        <v>0</v>
      </c>
      <c r="FS1">
        <v>0</v>
      </c>
      <c r="FT1">
        <v>0</v>
      </c>
      <c r="FU1">
        <v>0</v>
      </c>
      <c r="FV1">
        <v>0</v>
      </c>
      <c r="FW1">
        <v>0</v>
      </c>
      <c r="FX1">
        <v>0</v>
      </c>
      <c r="FY1">
        <v>0</v>
      </c>
      <c r="FZ1">
        <v>0</v>
      </c>
      <c r="GA1">
        <v>0</v>
      </c>
      <c r="GB1">
        <v>0</v>
      </c>
      <c r="GC1">
        <v>0</v>
      </c>
      <c r="GD1">
        <v>0</v>
      </c>
      <c r="GE1">
        <v>0</v>
      </c>
      <c r="GF1">
        <v>0</v>
      </c>
      <c r="GG1">
        <v>0</v>
      </c>
      <c r="GH1">
        <v>0</v>
      </c>
      <c r="GI1">
        <v>0</v>
      </c>
      <c r="GJ1">
        <v>0</v>
      </c>
      <c r="GK1">
        <v>0</v>
      </c>
      <c r="GL1">
        <v>0</v>
      </c>
      <c r="GM1">
        <v>0</v>
      </c>
      <c r="GN1">
        <v>0</v>
      </c>
      <c r="GO1">
        <v>0</v>
      </c>
      <c r="GP1">
        <v>0</v>
      </c>
      <c r="GQ1">
        <v>0</v>
      </c>
      <c r="GR1">
        <v>0</v>
      </c>
      <c r="GS1">
        <v>0</v>
      </c>
      <c r="GT1">
        <v>0</v>
      </c>
      <c r="GU1">
        <v>0</v>
      </c>
      <c r="GV1">
        <v>0</v>
      </c>
      <c r="GW1">
        <v>0</v>
      </c>
      <c r="GX1">
        <v>0</v>
      </c>
      <c r="GY1">
        <v>0</v>
      </c>
      <c r="GZ1">
        <v>0</v>
      </c>
      <c r="HA1">
        <v>0</v>
      </c>
      <c r="HB1">
        <v>0</v>
      </c>
      <c r="HC1">
        <v>0</v>
      </c>
      <c r="HD1">
        <v>0</v>
      </c>
      <c r="HE1">
        <v>0</v>
      </c>
      <c r="HF1">
        <v>0</v>
      </c>
      <c r="HG1">
        <v>0</v>
      </c>
      <c r="HH1">
        <v>0</v>
      </c>
      <c r="HI1">
        <v>0</v>
      </c>
      <c r="HJ1">
        <v>0</v>
      </c>
      <c r="HK1">
        <v>0</v>
      </c>
      <c r="HL1">
        <v>0</v>
      </c>
      <c r="HM1">
        <v>0</v>
      </c>
      <c r="HN1">
        <v>0</v>
      </c>
      <c r="HO1">
        <v>0</v>
      </c>
      <c r="HP1">
        <v>0</v>
      </c>
      <c r="HQ1">
        <v>0</v>
      </c>
      <c r="HR1">
        <v>0</v>
      </c>
      <c r="HS1">
        <v>0</v>
      </c>
      <c r="HT1">
        <v>0</v>
      </c>
      <c r="HU1">
        <v>0</v>
      </c>
      <c r="HV1">
        <v>0</v>
      </c>
      <c r="HW1">
        <v>0</v>
      </c>
      <c r="HX1">
        <v>0</v>
      </c>
      <c r="HY1">
        <v>0</v>
      </c>
      <c r="HZ1">
        <v>0</v>
      </c>
      <c r="IA1">
        <v>0</v>
      </c>
      <c r="IB1">
        <v>0</v>
      </c>
      <c r="IC1">
        <v>0</v>
      </c>
      <c r="ID1">
        <v>0</v>
      </c>
      <c r="IE1">
        <v>0</v>
      </c>
      <c r="IF1">
        <v>0</v>
      </c>
      <c r="IG1">
        <v>0</v>
      </c>
      <c r="IH1">
        <v>0</v>
      </c>
      <c r="II1">
        <v>0</v>
      </c>
      <c r="IJ1">
        <v>0</v>
      </c>
      <c r="IK1">
        <v>0</v>
      </c>
      <c r="IL1">
        <v>0</v>
      </c>
      <c r="IM1">
        <v>0</v>
      </c>
      <c r="IN1">
        <v>0</v>
      </c>
      <c r="IO1">
        <v>0</v>
      </c>
      <c r="IP1">
        <v>0</v>
      </c>
      <c r="IQ1">
        <v>0</v>
      </c>
      <c r="IR1">
        <v>0</v>
      </c>
      <c r="IS1">
        <v>0</v>
      </c>
      <c r="IT1">
        <v>0</v>
      </c>
      <c r="IU1">
        <v>0</v>
      </c>
      <c r="IV1">
        <v>0</v>
      </c>
      <c r="IW1">
        <v>0</v>
      </c>
      <c r="IX1">
        <v>0</v>
      </c>
      <c r="IY1">
        <v>0</v>
      </c>
      <c r="IZ1">
        <v>0</v>
      </c>
      <c r="JA1">
        <v>0</v>
      </c>
      <c r="JB1">
        <v>0</v>
      </c>
      <c r="JC1">
        <v>0</v>
      </c>
      <c r="JD1">
        <v>0</v>
      </c>
      <c r="JE1">
        <v>0</v>
      </c>
      <c r="JF1">
        <v>0</v>
      </c>
      <c r="JG1">
        <v>0</v>
      </c>
      <c r="JH1">
        <v>0</v>
      </c>
      <c r="JI1">
        <v>0</v>
      </c>
      <c r="JJ1">
        <v>0</v>
      </c>
      <c r="JK1">
        <v>0</v>
      </c>
      <c r="JL1">
        <v>0</v>
      </c>
      <c r="JM1">
        <v>0</v>
      </c>
      <c r="JN1">
        <v>0</v>
      </c>
      <c r="JO1">
        <v>0</v>
      </c>
      <c r="JP1">
        <v>0</v>
      </c>
      <c r="JQ1">
        <v>0</v>
      </c>
      <c r="JR1">
        <v>0</v>
      </c>
      <c r="JS1">
        <v>0</v>
      </c>
      <c r="JT1">
        <v>0</v>
      </c>
      <c r="JU1">
        <v>0</v>
      </c>
      <c r="JV1">
        <v>0</v>
      </c>
      <c r="JW1">
        <v>0</v>
      </c>
      <c r="JX1">
        <v>0</v>
      </c>
      <c r="JY1">
        <v>0</v>
      </c>
      <c r="JZ1">
        <v>0</v>
      </c>
      <c r="KA1">
        <v>0</v>
      </c>
      <c r="KB1">
        <v>0</v>
      </c>
      <c r="KC1">
        <v>0</v>
      </c>
      <c r="KD1">
        <v>0</v>
      </c>
      <c r="KE1">
        <v>0</v>
      </c>
      <c r="KF1">
        <v>0</v>
      </c>
      <c r="KG1">
        <v>0</v>
      </c>
      <c r="KH1">
        <v>0</v>
      </c>
      <c r="KI1">
        <v>0</v>
      </c>
      <c r="KJ1">
        <v>0</v>
      </c>
      <c r="KK1">
        <v>0</v>
      </c>
      <c r="KL1">
        <v>0</v>
      </c>
      <c r="KM1">
        <v>0</v>
      </c>
      <c r="KN1">
        <v>0</v>
      </c>
      <c r="KO1">
        <v>0</v>
      </c>
      <c r="KP1">
        <v>0</v>
      </c>
      <c r="KQ1">
        <v>0</v>
      </c>
      <c r="KR1">
        <v>0</v>
      </c>
      <c r="KS1">
        <v>0</v>
      </c>
      <c r="KT1">
        <v>0</v>
      </c>
      <c r="KU1">
        <v>0</v>
      </c>
      <c r="KV1">
        <v>0</v>
      </c>
      <c r="KW1">
        <v>0</v>
      </c>
      <c r="KX1">
        <v>0</v>
      </c>
      <c r="KY1">
        <v>0</v>
      </c>
      <c r="KZ1">
        <v>0</v>
      </c>
      <c r="LA1">
        <v>0</v>
      </c>
      <c r="LB1">
        <v>0</v>
      </c>
      <c r="LC1">
        <v>0</v>
      </c>
      <c r="LD1">
        <v>0</v>
      </c>
      <c r="LE1">
        <v>0</v>
      </c>
      <c r="LF1">
        <v>0</v>
      </c>
      <c r="LG1">
        <v>0</v>
      </c>
      <c r="LH1">
        <v>0</v>
      </c>
      <c r="LI1">
        <v>0</v>
      </c>
      <c r="LJ1">
        <v>0</v>
      </c>
      <c r="LK1">
        <v>0</v>
      </c>
      <c r="LL1">
        <v>0</v>
      </c>
      <c r="LM1">
        <v>0</v>
      </c>
      <c r="LN1">
        <v>0</v>
      </c>
      <c r="LO1">
        <v>0</v>
      </c>
      <c r="LP1">
        <v>0</v>
      </c>
      <c r="LQ1">
        <v>0</v>
      </c>
      <c r="LR1">
        <v>0</v>
      </c>
      <c r="LS1">
        <v>0</v>
      </c>
      <c r="LT1">
        <v>0</v>
      </c>
      <c r="LU1">
        <v>0</v>
      </c>
      <c r="LV1">
        <v>0</v>
      </c>
      <c r="LW1">
        <v>0</v>
      </c>
      <c r="LX1">
        <v>0</v>
      </c>
      <c r="LY1">
        <v>0</v>
      </c>
      <c r="LZ1">
        <v>0</v>
      </c>
      <c r="MA1">
        <v>0</v>
      </c>
      <c r="MB1">
        <v>0</v>
      </c>
      <c r="MC1">
        <v>0</v>
      </c>
      <c r="MD1">
        <v>0</v>
      </c>
      <c r="ME1">
        <v>0</v>
      </c>
      <c r="MF1">
        <v>0</v>
      </c>
      <c r="MG1">
        <v>0</v>
      </c>
      <c r="MH1">
        <v>0</v>
      </c>
      <c r="MI1">
        <v>0</v>
      </c>
      <c r="MJ1">
        <v>0</v>
      </c>
      <c r="MK1">
        <v>0</v>
      </c>
      <c r="ML1">
        <v>0</v>
      </c>
      <c r="MM1">
        <v>0</v>
      </c>
      <c r="MN1">
        <v>0</v>
      </c>
      <c r="MO1">
        <v>0</v>
      </c>
      <c r="MP1">
        <v>0</v>
      </c>
      <c r="MQ1">
        <v>0</v>
      </c>
      <c r="MR1">
        <v>0</v>
      </c>
      <c r="MS1">
        <v>0</v>
      </c>
      <c r="MT1">
        <v>0</v>
      </c>
      <c r="MU1">
        <v>0</v>
      </c>
      <c r="MV1">
        <v>0</v>
      </c>
      <c r="MW1">
        <v>0</v>
      </c>
      <c r="MX1">
        <v>0</v>
      </c>
      <c r="MY1">
        <v>0</v>
      </c>
      <c r="MZ1">
        <v>0</v>
      </c>
      <c r="NA1">
        <v>0</v>
      </c>
      <c r="NB1">
        <v>0</v>
      </c>
      <c r="NC1">
        <v>0</v>
      </c>
      <c r="ND1">
        <v>0</v>
      </c>
      <c r="NE1">
        <v>0</v>
      </c>
      <c r="NF1">
        <v>0</v>
      </c>
      <c r="NG1">
        <v>0</v>
      </c>
      <c r="NH1">
        <v>0</v>
      </c>
      <c r="NI1">
        <v>0</v>
      </c>
      <c r="NJ1">
        <v>0</v>
      </c>
      <c r="NK1">
        <v>0</v>
      </c>
      <c r="NL1">
        <v>0</v>
      </c>
      <c r="NM1">
        <v>0</v>
      </c>
      <c r="NN1">
        <v>0</v>
      </c>
      <c r="NO1">
        <v>0</v>
      </c>
      <c r="NP1">
        <v>0</v>
      </c>
      <c r="NQ1">
        <v>0</v>
      </c>
      <c r="NR1">
        <v>0</v>
      </c>
      <c r="NS1">
        <v>0</v>
      </c>
      <c r="NT1">
        <v>0</v>
      </c>
      <c r="NU1">
        <v>0</v>
      </c>
      <c r="NV1">
        <v>0</v>
      </c>
      <c r="NW1">
        <v>0</v>
      </c>
      <c r="NX1">
        <v>0</v>
      </c>
      <c r="NY1">
        <v>0</v>
      </c>
      <c r="NZ1">
        <v>0</v>
      </c>
      <c r="OA1">
        <v>0</v>
      </c>
      <c r="OB1">
        <v>0</v>
      </c>
      <c r="OC1">
        <v>0</v>
      </c>
      <c r="OD1">
        <v>0</v>
      </c>
      <c r="OE1">
        <v>0</v>
      </c>
      <c r="OF1">
        <v>0</v>
      </c>
      <c r="OG1">
        <v>0</v>
      </c>
      <c r="OH1">
        <v>0</v>
      </c>
      <c r="OI1">
        <v>0</v>
      </c>
      <c r="OJ1">
        <v>0</v>
      </c>
      <c r="OK1">
        <v>0</v>
      </c>
      <c r="OL1">
        <v>0</v>
      </c>
      <c r="OM1">
        <v>0</v>
      </c>
      <c r="ON1">
        <v>0</v>
      </c>
      <c r="OO1">
        <v>0</v>
      </c>
      <c r="OP1">
        <v>0</v>
      </c>
      <c r="OQ1">
        <v>0</v>
      </c>
      <c r="OR1">
        <v>0</v>
      </c>
      <c r="OS1">
        <v>0</v>
      </c>
      <c r="OT1">
        <v>0</v>
      </c>
      <c r="OU1">
        <v>0</v>
      </c>
      <c r="OV1">
        <v>0</v>
      </c>
      <c r="OW1">
        <v>0</v>
      </c>
      <c r="OX1">
        <v>0</v>
      </c>
      <c r="OY1">
        <v>0</v>
      </c>
      <c r="OZ1">
        <v>0</v>
      </c>
      <c r="PA1">
        <v>0</v>
      </c>
      <c r="PB1">
        <v>0</v>
      </c>
      <c r="PC1">
        <v>0</v>
      </c>
      <c r="PD1">
        <v>0</v>
      </c>
      <c r="PE1">
        <v>0</v>
      </c>
      <c r="PF1">
        <v>0</v>
      </c>
      <c r="PG1">
        <v>0</v>
      </c>
      <c r="PH1">
        <v>0</v>
      </c>
      <c r="PI1">
        <v>0</v>
      </c>
      <c r="PJ1">
        <v>0</v>
      </c>
      <c r="PK1">
        <v>0</v>
      </c>
      <c r="PL1">
        <v>0</v>
      </c>
      <c r="PM1">
        <v>0</v>
      </c>
      <c r="PN1">
        <v>0</v>
      </c>
      <c r="PO1">
        <v>0</v>
      </c>
      <c r="PP1">
        <v>0</v>
      </c>
      <c r="PQ1">
        <v>0</v>
      </c>
      <c r="PR1">
        <v>0</v>
      </c>
      <c r="PS1">
        <v>0</v>
      </c>
      <c r="PT1">
        <v>0</v>
      </c>
      <c r="PU1">
        <v>0</v>
      </c>
      <c r="PV1">
        <v>0</v>
      </c>
      <c r="PW1">
        <v>0</v>
      </c>
      <c r="PX1">
        <v>0</v>
      </c>
      <c r="PY1">
        <v>0</v>
      </c>
      <c r="PZ1">
        <v>0</v>
      </c>
      <c r="QA1">
        <v>0</v>
      </c>
      <c r="QB1">
        <v>0</v>
      </c>
      <c r="QC1">
        <v>0</v>
      </c>
      <c r="QD1">
        <v>0</v>
      </c>
      <c r="QE1">
        <v>0</v>
      </c>
      <c r="QF1">
        <v>0</v>
      </c>
      <c r="QG1">
        <v>0</v>
      </c>
      <c r="QH1">
        <v>0</v>
      </c>
      <c r="QI1">
        <v>0</v>
      </c>
      <c r="QJ1">
        <v>0</v>
      </c>
      <c r="QK1">
        <v>0</v>
      </c>
      <c r="QL1">
        <v>0</v>
      </c>
      <c r="QM1">
        <v>0</v>
      </c>
      <c r="QN1">
        <v>0</v>
      </c>
      <c r="QO1">
        <v>0</v>
      </c>
      <c r="QP1">
        <v>0</v>
      </c>
      <c r="QQ1">
        <v>0</v>
      </c>
      <c r="QR1">
        <v>0</v>
      </c>
      <c r="QS1">
        <v>0</v>
      </c>
      <c r="QT1">
        <v>0</v>
      </c>
      <c r="QU1">
        <v>0</v>
      </c>
      <c r="QV1">
        <v>0</v>
      </c>
      <c r="QW1">
        <v>0</v>
      </c>
      <c r="QX1">
        <v>0</v>
      </c>
      <c r="QY1">
        <v>0</v>
      </c>
      <c r="QZ1">
        <v>0</v>
      </c>
      <c r="RA1">
        <v>0</v>
      </c>
      <c r="RB1">
        <v>0</v>
      </c>
      <c r="RC1">
        <v>0</v>
      </c>
      <c r="RD1">
        <v>0</v>
      </c>
      <c r="RE1">
        <v>0</v>
      </c>
      <c r="RF1">
        <v>0</v>
      </c>
      <c r="RG1">
        <v>0</v>
      </c>
      <c r="RH1">
        <v>0</v>
      </c>
      <c r="RI1">
        <v>0</v>
      </c>
      <c r="RJ1">
        <v>0</v>
      </c>
      <c r="RK1">
        <v>0</v>
      </c>
      <c r="RL1">
        <v>0</v>
      </c>
      <c r="RM1">
        <v>0</v>
      </c>
      <c r="RN1">
        <v>0</v>
      </c>
      <c r="RO1">
        <v>0</v>
      </c>
      <c r="RP1">
        <v>0</v>
      </c>
      <c r="RQ1">
        <v>0</v>
      </c>
      <c r="RR1">
        <v>0</v>
      </c>
      <c r="RS1">
        <v>0</v>
      </c>
      <c r="RT1">
        <v>0</v>
      </c>
      <c r="RU1">
        <v>0</v>
      </c>
      <c r="RV1">
        <v>0</v>
      </c>
      <c r="RW1">
        <v>0</v>
      </c>
      <c r="RX1">
        <v>0</v>
      </c>
      <c r="RY1">
        <v>0</v>
      </c>
      <c r="RZ1">
        <v>0</v>
      </c>
      <c r="SA1">
        <v>0</v>
      </c>
      <c r="SB1">
        <v>0</v>
      </c>
      <c r="SC1">
        <v>0</v>
      </c>
      <c r="SD1">
        <v>0</v>
      </c>
      <c r="SE1">
        <v>0</v>
      </c>
      <c r="SF1">
        <v>0</v>
      </c>
      <c r="SG1">
        <v>0</v>
      </c>
      <c r="SH1">
        <v>0</v>
      </c>
      <c r="SI1">
        <v>0</v>
      </c>
      <c r="SJ1">
        <v>0</v>
      </c>
      <c r="SK1">
        <v>0</v>
      </c>
      <c r="SL1">
        <v>0</v>
      </c>
      <c r="SM1">
        <v>0</v>
      </c>
      <c r="SN1">
        <v>0</v>
      </c>
      <c r="SO1">
        <v>0</v>
      </c>
      <c r="SP1">
        <v>0</v>
      </c>
      <c r="SQ1">
        <v>0</v>
      </c>
      <c r="SR1">
        <v>0</v>
      </c>
      <c r="SS1">
        <v>0</v>
      </c>
      <c r="ST1">
        <v>0</v>
      </c>
      <c r="SU1">
        <v>0</v>
      </c>
      <c r="SV1">
        <v>0</v>
      </c>
      <c r="SW1">
        <v>0</v>
      </c>
      <c r="SX1">
        <v>0</v>
      </c>
      <c r="SY1">
        <v>0</v>
      </c>
      <c r="SZ1">
        <v>0</v>
      </c>
      <c r="TA1">
        <v>0</v>
      </c>
      <c r="TB1">
        <v>0</v>
      </c>
      <c r="TC1">
        <v>0</v>
      </c>
      <c r="TD1">
        <v>0</v>
      </c>
      <c r="TE1">
        <v>0</v>
      </c>
      <c r="TF1">
        <v>0</v>
      </c>
      <c r="TG1">
        <v>0</v>
      </c>
      <c r="TH1">
        <v>0</v>
      </c>
      <c r="TI1">
        <v>0</v>
      </c>
      <c r="TJ1">
        <v>0</v>
      </c>
      <c r="TK1">
        <v>0</v>
      </c>
      <c r="TL1">
        <v>0</v>
      </c>
      <c r="TM1">
        <v>0</v>
      </c>
      <c r="TN1">
        <v>0</v>
      </c>
      <c r="TO1">
        <v>0</v>
      </c>
      <c r="TP1">
        <v>0</v>
      </c>
      <c r="TQ1">
        <v>0</v>
      </c>
      <c r="TR1">
        <v>0</v>
      </c>
      <c r="TS1">
        <v>0</v>
      </c>
      <c r="TT1">
        <v>0</v>
      </c>
      <c r="TU1">
        <v>0</v>
      </c>
      <c r="TV1">
        <v>0</v>
      </c>
      <c r="TW1">
        <v>0</v>
      </c>
      <c r="TX1">
        <v>0</v>
      </c>
      <c r="TY1">
        <v>0</v>
      </c>
      <c r="TZ1">
        <v>0</v>
      </c>
      <c r="UA1">
        <v>0</v>
      </c>
      <c r="UB1">
        <v>0</v>
      </c>
      <c r="UC1">
        <v>0</v>
      </c>
      <c r="UD1">
        <v>0</v>
      </c>
      <c r="UE1">
        <v>0</v>
      </c>
      <c r="UF1">
        <v>0</v>
      </c>
      <c r="UG1">
        <v>0</v>
      </c>
      <c r="UH1">
        <v>0</v>
      </c>
      <c r="UI1">
        <v>0</v>
      </c>
      <c r="UJ1">
        <v>0</v>
      </c>
      <c r="UK1">
        <v>0</v>
      </c>
      <c r="UL1">
        <v>0</v>
      </c>
      <c r="UM1">
        <v>0</v>
      </c>
      <c r="UN1">
        <v>0</v>
      </c>
      <c r="UO1">
        <v>0</v>
      </c>
      <c r="UP1">
        <v>0</v>
      </c>
      <c r="UQ1">
        <v>0</v>
      </c>
      <c r="UR1">
        <v>0</v>
      </c>
      <c r="US1">
        <v>0</v>
      </c>
      <c r="UT1">
        <v>0</v>
      </c>
      <c r="UU1">
        <v>0</v>
      </c>
      <c r="UV1">
        <v>0</v>
      </c>
      <c r="UW1">
        <v>0</v>
      </c>
      <c r="UX1">
        <v>0</v>
      </c>
      <c r="UY1">
        <v>0</v>
      </c>
      <c r="UZ1">
        <v>0</v>
      </c>
      <c r="VA1">
        <v>0</v>
      </c>
      <c r="VB1">
        <v>0</v>
      </c>
      <c r="VC1">
        <v>0</v>
      </c>
      <c r="VD1">
        <v>0</v>
      </c>
      <c r="VE1">
        <v>0</v>
      </c>
      <c r="VF1">
        <v>0</v>
      </c>
      <c r="VG1">
        <v>0</v>
      </c>
      <c r="VH1">
        <v>0</v>
      </c>
      <c r="VI1">
        <v>0</v>
      </c>
      <c r="VJ1">
        <v>0</v>
      </c>
      <c r="VK1">
        <v>0</v>
      </c>
      <c r="VL1">
        <v>0</v>
      </c>
      <c r="VM1">
        <v>0</v>
      </c>
      <c r="VN1">
        <v>0</v>
      </c>
      <c r="VO1">
        <v>0</v>
      </c>
      <c r="VP1">
        <v>0</v>
      </c>
      <c r="VQ1">
        <v>0</v>
      </c>
      <c r="VR1">
        <v>0</v>
      </c>
      <c r="VS1">
        <v>0</v>
      </c>
      <c r="VT1">
        <v>0</v>
      </c>
      <c r="VU1">
        <v>0</v>
      </c>
      <c r="VV1">
        <v>0</v>
      </c>
      <c r="VW1">
        <v>0</v>
      </c>
      <c r="VX1">
        <v>0</v>
      </c>
      <c r="VY1">
        <v>0</v>
      </c>
      <c r="VZ1">
        <v>0</v>
      </c>
      <c r="WA1">
        <v>0</v>
      </c>
      <c r="WB1">
        <v>0</v>
      </c>
      <c r="WC1">
        <v>0</v>
      </c>
      <c r="WD1">
        <v>0</v>
      </c>
      <c r="WE1">
        <v>0</v>
      </c>
      <c r="WF1">
        <v>0</v>
      </c>
      <c r="WG1">
        <v>0</v>
      </c>
      <c r="WH1">
        <v>0</v>
      </c>
      <c r="WI1">
        <v>0</v>
      </c>
      <c r="WJ1">
        <v>0</v>
      </c>
      <c r="WK1">
        <v>0</v>
      </c>
      <c r="WL1">
        <v>0</v>
      </c>
      <c r="WM1">
        <v>0</v>
      </c>
      <c r="WN1">
        <v>0</v>
      </c>
      <c r="WO1">
        <v>0</v>
      </c>
      <c r="WP1">
        <v>0</v>
      </c>
      <c r="WQ1">
        <v>0</v>
      </c>
      <c r="WR1">
        <v>0</v>
      </c>
      <c r="WS1">
        <v>0</v>
      </c>
      <c r="WT1">
        <v>0</v>
      </c>
      <c r="WU1">
        <v>0</v>
      </c>
      <c r="WV1">
        <v>0</v>
      </c>
      <c r="WW1">
        <v>0</v>
      </c>
      <c r="WX1">
        <v>0</v>
      </c>
      <c r="WY1">
        <v>0</v>
      </c>
      <c r="WZ1">
        <v>0</v>
      </c>
      <c r="XA1">
        <v>0</v>
      </c>
      <c r="XB1">
        <v>0</v>
      </c>
      <c r="XC1">
        <v>0</v>
      </c>
      <c r="XD1">
        <v>0</v>
      </c>
      <c r="XE1">
        <v>0</v>
      </c>
      <c r="XF1">
        <v>0</v>
      </c>
      <c r="XG1">
        <v>0</v>
      </c>
      <c r="XH1">
        <v>0</v>
      </c>
      <c r="XI1">
        <v>0</v>
      </c>
      <c r="XJ1">
        <v>0</v>
      </c>
      <c r="XK1">
        <v>0</v>
      </c>
      <c r="XL1">
        <v>0</v>
      </c>
      <c r="XM1">
        <v>0</v>
      </c>
      <c r="XN1">
        <v>0</v>
      </c>
      <c r="XO1">
        <v>0</v>
      </c>
      <c r="XP1">
        <v>0</v>
      </c>
      <c r="XQ1">
        <v>0</v>
      </c>
      <c r="XR1">
        <v>0</v>
      </c>
      <c r="XS1">
        <v>0</v>
      </c>
      <c r="XT1">
        <v>0</v>
      </c>
      <c r="XU1">
        <v>0</v>
      </c>
      <c r="XV1">
        <v>0</v>
      </c>
      <c r="XW1">
        <v>0</v>
      </c>
      <c r="XX1">
        <v>0</v>
      </c>
      <c r="XY1">
        <v>0</v>
      </c>
      <c r="XZ1">
        <v>0</v>
      </c>
      <c r="YA1">
        <v>0</v>
      </c>
      <c r="YB1">
        <v>0</v>
      </c>
      <c r="YC1">
        <v>0</v>
      </c>
      <c r="YD1">
        <v>0</v>
      </c>
      <c r="YE1">
        <v>0</v>
      </c>
      <c r="YF1">
        <v>0</v>
      </c>
      <c r="YG1">
        <v>0</v>
      </c>
      <c r="YH1">
        <v>0</v>
      </c>
      <c r="YI1">
        <v>0</v>
      </c>
      <c r="YJ1">
        <v>0</v>
      </c>
      <c r="YK1">
        <v>0</v>
      </c>
      <c r="YL1">
        <v>0</v>
      </c>
      <c r="YM1">
        <v>0</v>
      </c>
      <c r="YN1">
        <v>0</v>
      </c>
      <c r="YO1">
        <v>0</v>
      </c>
      <c r="YP1">
        <v>0</v>
      </c>
      <c r="YQ1">
        <v>0</v>
      </c>
      <c r="YR1">
        <v>0</v>
      </c>
      <c r="YS1">
        <v>0</v>
      </c>
      <c r="YT1">
        <v>0</v>
      </c>
      <c r="YU1">
        <v>0</v>
      </c>
      <c r="YV1">
        <v>0</v>
      </c>
      <c r="YW1">
        <v>0</v>
      </c>
      <c r="YX1">
        <v>0</v>
      </c>
      <c r="YY1">
        <v>0</v>
      </c>
      <c r="YZ1">
        <v>0</v>
      </c>
      <c r="ZA1">
        <v>0</v>
      </c>
      <c r="ZB1">
        <v>0</v>
      </c>
      <c r="ZC1">
        <v>0</v>
      </c>
      <c r="ZD1">
        <v>0</v>
      </c>
      <c r="ZE1">
        <v>0</v>
      </c>
      <c r="ZF1">
        <v>0</v>
      </c>
      <c r="ZG1">
        <v>0</v>
      </c>
      <c r="ZH1">
        <v>0</v>
      </c>
      <c r="ZI1">
        <v>0</v>
      </c>
      <c r="ZJ1">
        <v>0</v>
      </c>
      <c r="ZK1">
        <v>0</v>
      </c>
      <c r="ZL1">
        <v>0</v>
      </c>
      <c r="ZM1">
        <v>0</v>
      </c>
      <c r="ZN1">
        <v>0</v>
      </c>
      <c r="ZO1">
        <v>0</v>
      </c>
      <c r="ZP1">
        <v>0</v>
      </c>
      <c r="ZQ1">
        <v>0</v>
      </c>
      <c r="ZR1">
        <v>0</v>
      </c>
      <c r="ZS1">
        <v>0</v>
      </c>
      <c r="ZT1">
        <v>0</v>
      </c>
      <c r="ZU1">
        <v>0</v>
      </c>
      <c r="ZV1">
        <v>0</v>
      </c>
      <c r="ZW1">
        <v>0</v>
      </c>
      <c r="ZX1">
        <v>0</v>
      </c>
      <c r="ZY1">
        <v>0</v>
      </c>
      <c r="ZZ1">
        <v>0</v>
      </c>
      <c r="AAA1">
        <v>0</v>
      </c>
      <c r="AAB1">
        <v>0</v>
      </c>
      <c r="AAC1">
        <v>0</v>
      </c>
      <c r="AAD1">
        <v>0</v>
      </c>
      <c r="AAE1">
        <v>0</v>
      </c>
      <c r="AAF1">
        <v>0</v>
      </c>
      <c r="AAG1">
        <v>0</v>
      </c>
      <c r="AAH1">
        <v>0</v>
      </c>
      <c r="AAI1">
        <v>0</v>
      </c>
      <c r="AAJ1">
        <v>0</v>
      </c>
      <c r="AAK1">
        <v>0</v>
      </c>
      <c r="AAL1">
        <v>0</v>
      </c>
      <c r="AAM1">
        <v>0</v>
      </c>
      <c r="AAN1">
        <v>0</v>
      </c>
      <c r="AAO1">
        <v>0</v>
      </c>
      <c r="AAP1">
        <v>0</v>
      </c>
      <c r="AAQ1">
        <v>0</v>
      </c>
      <c r="AAR1">
        <v>0</v>
      </c>
      <c r="AAS1">
        <v>0</v>
      </c>
      <c r="AAT1">
        <v>0</v>
      </c>
      <c r="AAU1">
        <v>0</v>
      </c>
      <c r="AAV1">
        <v>0</v>
      </c>
      <c r="AAW1">
        <v>0</v>
      </c>
      <c r="AAX1">
        <v>0</v>
      </c>
      <c r="AAY1">
        <v>0</v>
      </c>
      <c r="AAZ1">
        <v>0</v>
      </c>
      <c r="ABA1">
        <v>0</v>
      </c>
      <c r="ABB1">
        <v>0</v>
      </c>
      <c r="ABC1">
        <v>0</v>
      </c>
      <c r="ABD1">
        <v>0</v>
      </c>
      <c r="ABE1">
        <v>0</v>
      </c>
      <c r="ABF1">
        <v>0</v>
      </c>
      <c r="ABG1">
        <v>0</v>
      </c>
      <c r="ABH1">
        <v>0</v>
      </c>
      <c r="ABI1">
        <v>0</v>
      </c>
      <c r="ABJ1">
        <v>0</v>
      </c>
      <c r="ABK1">
        <v>0</v>
      </c>
      <c r="ABL1">
        <v>0</v>
      </c>
      <c r="ABM1">
        <v>0</v>
      </c>
      <c r="ABN1">
        <v>0</v>
      </c>
      <c r="ABO1">
        <v>0</v>
      </c>
      <c r="ABP1">
        <v>0</v>
      </c>
      <c r="ABQ1">
        <v>0</v>
      </c>
      <c r="ABR1">
        <v>0</v>
      </c>
      <c r="ABS1">
        <v>0</v>
      </c>
      <c r="ABT1">
        <v>0</v>
      </c>
      <c r="ABU1">
        <v>0</v>
      </c>
      <c r="ABV1">
        <v>0</v>
      </c>
      <c r="ABW1">
        <v>0</v>
      </c>
      <c r="ABX1">
        <v>0</v>
      </c>
      <c r="ABY1">
        <v>0</v>
      </c>
      <c r="ABZ1">
        <v>0</v>
      </c>
      <c r="ACA1">
        <v>0</v>
      </c>
      <c r="ACB1">
        <v>0</v>
      </c>
      <c r="ACC1">
        <v>0</v>
      </c>
      <c r="ACD1">
        <v>0</v>
      </c>
      <c r="ACE1">
        <v>0</v>
      </c>
      <c r="ACF1">
        <v>0</v>
      </c>
      <c r="ACG1">
        <v>0</v>
      </c>
      <c r="ACH1">
        <v>0</v>
      </c>
      <c r="ACI1">
        <v>0</v>
      </c>
      <c r="ACJ1">
        <v>0</v>
      </c>
      <c r="ACK1">
        <v>0</v>
      </c>
      <c r="ACL1">
        <v>0</v>
      </c>
      <c r="ACM1">
        <v>0</v>
      </c>
      <c r="ACN1">
        <v>0</v>
      </c>
      <c r="ACO1">
        <v>0</v>
      </c>
      <c r="ACP1">
        <v>0</v>
      </c>
      <c r="ACQ1">
        <v>0</v>
      </c>
      <c r="ACR1">
        <v>0</v>
      </c>
      <c r="ACS1">
        <v>0</v>
      </c>
      <c r="ACT1">
        <v>0</v>
      </c>
      <c r="ACU1">
        <v>0</v>
      </c>
      <c r="ACV1">
        <v>0</v>
      </c>
      <c r="ACW1">
        <v>0</v>
      </c>
      <c r="ACX1">
        <v>0</v>
      </c>
      <c r="ACY1">
        <v>0</v>
      </c>
      <c r="ACZ1">
        <v>0</v>
      </c>
      <c r="ADA1">
        <v>0</v>
      </c>
      <c r="ADB1">
        <v>0</v>
      </c>
      <c r="ADC1">
        <v>0</v>
      </c>
      <c r="ADD1">
        <v>0</v>
      </c>
      <c r="ADE1">
        <v>0</v>
      </c>
      <c r="ADF1">
        <v>0</v>
      </c>
      <c r="ADG1">
        <v>0</v>
      </c>
      <c r="ADH1">
        <v>0</v>
      </c>
      <c r="ADI1">
        <v>0</v>
      </c>
      <c r="ADJ1">
        <v>0</v>
      </c>
      <c r="ADK1">
        <v>0</v>
      </c>
      <c r="ADL1">
        <v>0</v>
      </c>
      <c r="ADM1">
        <v>0</v>
      </c>
      <c r="ADN1">
        <v>0</v>
      </c>
      <c r="ADO1">
        <v>0</v>
      </c>
      <c r="ADP1">
        <v>0</v>
      </c>
      <c r="ADQ1">
        <v>0</v>
      </c>
      <c r="ADR1">
        <v>0</v>
      </c>
      <c r="ADS1">
        <v>0</v>
      </c>
      <c r="ADT1">
        <v>0</v>
      </c>
      <c r="ADU1">
        <v>0</v>
      </c>
      <c r="ADV1">
        <v>0</v>
      </c>
      <c r="ADW1">
        <v>0</v>
      </c>
      <c r="ADX1">
        <v>0</v>
      </c>
      <c r="ADY1">
        <v>0</v>
      </c>
      <c r="ADZ1">
        <v>0</v>
      </c>
      <c r="AEA1">
        <v>0</v>
      </c>
      <c r="AEB1">
        <v>0</v>
      </c>
      <c r="AEC1">
        <v>0</v>
      </c>
      <c r="AED1">
        <v>0</v>
      </c>
      <c r="AEE1">
        <v>0</v>
      </c>
      <c r="AEF1">
        <v>0</v>
      </c>
      <c r="AEG1">
        <v>0</v>
      </c>
      <c r="AEH1">
        <v>0</v>
      </c>
      <c r="AEI1">
        <v>0</v>
      </c>
      <c r="AEJ1">
        <v>0</v>
      </c>
      <c r="AEK1">
        <v>0</v>
      </c>
      <c r="AEL1">
        <v>0</v>
      </c>
      <c r="AEM1">
        <v>0</v>
      </c>
      <c r="AEN1">
        <v>0</v>
      </c>
      <c r="AEO1">
        <v>0</v>
      </c>
      <c r="AEP1">
        <v>0</v>
      </c>
      <c r="AEQ1">
        <v>0</v>
      </c>
      <c r="AER1">
        <v>0</v>
      </c>
      <c r="AES1">
        <v>0</v>
      </c>
      <c r="AET1">
        <v>0</v>
      </c>
      <c r="AEU1">
        <v>0</v>
      </c>
      <c r="AEV1">
        <v>0</v>
      </c>
      <c r="AEW1">
        <v>0</v>
      </c>
      <c r="AEX1">
        <v>0</v>
      </c>
      <c r="AEY1">
        <v>0</v>
      </c>
      <c r="AEZ1">
        <v>0</v>
      </c>
      <c r="AFA1">
        <v>0</v>
      </c>
      <c r="AFB1">
        <v>0</v>
      </c>
      <c r="AFC1">
        <v>0</v>
      </c>
      <c r="AFD1">
        <v>0</v>
      </c>
      <c r="AFE1">
        <v>0</v>
      </c>
      <c r="AFF1">
        <v>0</v>
      </c>
      <c r="AFG1">
        <v>0</v>
      </c>
      <c r="AFH1">
        <v>0</v>
      </c>
      <c r="AFI1">
        <v>0</v>
      </c>
      <c r="AFJ1">
        <v>0</v>
      </c>
      <c r="AFK1">
        <v>0</v>
      </c>
      <c r="AFL1">
        <v>0</v>
      </c>
      <c r="AFM1">
        <v>0</v>
      </c>
      <c r="AFN1">
        <v>0</v>
      </c>
      <c r="AFO1">
        <v>0</v>
      </c>
      <c r="AFP1">
        <v>0</v>
      </c>
      <c r="AFQ1">
        <v>0</v>
      </c>
      <c r="AFR1">
        <v>0</v>
      </c>
      <c r="AFS1">
        <v>0</v>
      </c>
      <c r="AFT1">
        <v>0</v>
      </c>
      <c r="AFU1">
        <v>0</v>
      </c>
      <c r="AFV1">
        <v>0</v>
      </c>
      <c r="AFW1">
        <v>0</v>
      </c>
      <c r="AFX1">
        <v>0</v>
      </c>
      <c r="AFY1">
        <v>0</v>
      </c>
      <c r="AFZ1">
        <v>0</v>
      </c>
      <c r="AGA1">
        <v>0</v>
      </c>
      <c r="AGB1">
        <v>0</v>
      </c>
      <c r="AGC1">
        <v>0</v>
      </c>
      <c r="AGD1">
        <v>0</v>
      </c>
      <c r="AGE1">
        <v>0</v>
      </c>
      <c r="AGF1">
        <v>0</v>
      </c>
      <c r="AGG1">
        <v>0</v>
      </c>
      <c r="AGH1">
        <v>0</v>
      </c>
      <c r="AGI1">
        <v>0</v>
      </c>
      <c r="AGJ1">
        <v>0</v>
      </c>
      <c r="AGK1">
        <v>0</v>
      </c>
      <c r="AGL1">
        <v>0</v>
      </c>
      <c r="AGM1">
        <v>0</v>
      </c>
      <c r="AGN1">
        <v>0</v>
      </c>
      <c r="AGO1">
        <v>0</v>
      </c>
      <c r="AGP1">
        <v>0</v>
      </c>
      <c r="AGQ1">
        <v>0</v>
      </c>
      <c r="AGR1">
        <v>0</v>
      </c>
      <c r="AGS1">
        <v>0</v>
      </c>
      <c r="AGT1">
        <v>0</v>
      </c>
      <c r="AGU1">
        <v>0</v>
      </c>
      <c r="AGV1">
        <v>0</v>
      </c>
      <c r="AGW1">
        <v>0</v>
      </c>
      <c r="AGX1">
        <v>0</v>
      </c>
      <c r="AGY1">
        <v>0</v>
      </c>
      <c r="AGZ1">
        <v>0</v>
      </c>
      <c r="AHA1">
        <v>0</v>
      </c>
      <c r="AHB1">
        <v>0</v>
      </c>
      <c r="AHC1">
        <v>0</v>
      </c>
      <c r="AHD1">
        <v>0</v>
      </c>
      <c r="AHE1">
        <v>0</v>
      </c>
      <c r="AHF1">
        <v>0</v>
      </c>
      <c r="AHG1">
        <v>0</v>
      </c>
      <c r="AHH1">
        <v>0</v>
      </c>
      <c r="AHI1">
        <v>0</v>
      </c>
      <c r="AHJ1">
        <v>0</v>
      </c>
      <c r="AHK1">
        <v>0</v>
      </c>
      <c r="AHL1">
        <v>0</v>
      </c>
      <c r="AHM1">
        <v>0</v>
      </c>
      <c r="AHN1">
        <v>0</v>
      </c>
      <c r="AHO1">
        <v>0</v>
      </c>
      <c r="AHP1">
        <v>0</v>
      </c>
      <c r="AHQ1">
        <v>0</v>
      </c>
      <c r="AHR1">
        <v>0</v>
      </c>
      <c r="AHS1">
        <v>0</v>
      </c>
      <c r="AHT1">
        <v>0</v>
      </c>
      <c r="AHU1">
        <v>0</v>
      </c>
      <c r="AHV1">
        <v>0</v>
      </c>
      <c r="AHW1">
        <v>0</v>
      </c>
      <c r="AHX1">
        <v>0</v>
      </c>
      <c r="AHY1">
        <v>0</v>
      </c>
      <c r="AHZ1">
        <v>0</v>
      </c>
      <c r="AIA1">
        <v>0</v>
      </c>
      <c r="AIB1">
        <v>0</v>
      </c>
      <c r="AIC1">
        <v>0</v>
      </c>
      <c r="AID1">
        <v>0</v>
      </c>
      <c r="AIE1">
        <v>0</v>
      </c>
      <c r="AIF1">
        <v>0</v>
      </c>
      <c r="AIG1">
        <v>0</v>
      </c>
      <c r="AIH1">
        <v>0</v>
      </c>
      <c r="AII1">
        <v>0</v>
      </c>
      <c r="AIJ1">
        <v>0</v>
      </c>
      <c r="AIK1">
        <v>0</v>
      </c>
      <c r="AIL1">
        <v>0</v>
      </c>
      <c r="AIM1">
        <v>0</v>
      </c>
      <c r="AIN1">
        <v>0</v>
      </c>
      <c r="AIO1">
        <v>0</v>
      </c>
      <c r="AIP1">
        <v>0</v>
      </c>
      <c r="AIQ1">
        <v>0</v>
      </c>
      <c r="AIR1">
        <v>0</v>
      </c>
      <c r="AIS1">
        <v>0</v>
      </c>
      <c r="AIT1">
        <v>0</v>
      </c>
      <c r="AIU1">
        <v>0</v>
      </c>
      <c r="AIV1">
        <v>0</v>
      </c>
      <c r="AIW1">
        <v>0</v>
      </c>
      <c r="AIX1">
        <v>0</v>
      </c>
      <c r="AIY1">
        <v>0</v>
      </c>
      <c r="AIZ1">
        <v>0</v>
      </c>
      <c r="AJA1">
        <v>0</v>
      </c>
      <c r="AJB1">
        <v>0</v>
      </c>
      <c r="AJC1">
        <v>0</v>
      </c>
      <c r="AJD1">
        <v>0</v>
      </c>
      <c r="AJE1">
        <v>0</v>
      </c>
      <c r="AJF1">
        <v>0</v>
      </c>
      <c r="AJG1">
        <v>0</v>
      </c>
      <c r="AJH1">
        <v>0</v>
      </c>
      <c r="AJI1">
        <v>0</v>
      </c>
      <c r="AJJ1">
        <v>0</v>
      </c>
      <c r="AJK1">
        <v>0</v>
      </c>
      <c r="AJL1">
        <v>0</v>
      </c>
      <c r="AJM1">
        <v>0</v>
      </c>
      <c r="AJN1">
        <v>0</v>
      </c>
      <c r="AJO1">
        <v>0</v>
      </c>
      <c r="AJP1">
        <v>0</v>
      </c>
      <c r="AJQ1">
        <v>0</v>
      </c>
      <c r="AJR1">
        <v>0</v>
      </c>
      <c r="AJS1">
        <v>0</v>
      </c>
      <c r="AJT1">
        <v>0</v>
      </c>
      <c r="AJU1">
        <v>0</v>
      </c>
      <c r="AJV1">
        <v>0</v>
      </c>
      <c r="AJW1">
        <v>0</v>
      </c>
      <c r="AJX1">
        <v>0</v>
      </c>
      <c r="AJY1">
        <v>0</v>
      </c>
      <c r="AJZ1">
        <v>0</v>
      </c>
      <c r="AKA1">
        <v>0</v>
      </c>
      <c r="AKB1">
        <v>0</v>
      </c>
      <c r="AKC1">
        <v>0</v>
      </c>
      <c r="AKD1">
        <v>0</v>
      </c>
      <c r="AKE1">
        <v>0</v>
      </c>
      <c r="AKF1">
        <v>0</v>
      </c>
      <c r="AKG1">
        <v>0</v>
      </c>
      <c r="AKH1">
        <v>0</v>
      </c>
      <c r="AKI1">
        <v>0</v>
      </c>
      <c r="AKJ1">
        <v>0</v>
      </c>
      <c r="AKK1">
        <v>0</v>
      </c>
      <c r="AKL1">
        <v>0</v>
      </c>
      <c r="AKM1">
        <v>0</v>
      </c>
      <c r="AKN1">
        <v>0</v>
      </c>
      <c r="AKO1">
        <v>0</v>
      </c>
      <c r="AKP1">
        <v>0</v>
      </c>
      <c r="AKQ1">
        <v>0</v>
      </c>
      <c r="AKR1">
        <v>0</v>
      </c>
      <c r="AKS1">
        <v>0</v>
      </c>
      <c r="AKT1">
        <v>0</v>
      </c>
      <c r="AKU1">
        <v>0</v>
      </c>
      <c r="AKV1">
        <v>0</v>
      </c>
      <c r="AKW1">
        <v>0</v>
      </c>
      <c r="AKX1">
        <v>0</v>
      </c>
      <c r="AKY1">
        <v>0</v>
      </c>
      <c r="AKZ1">
        <v>0</v>
      </c>
      <c r="ALA1">
        <v>0</v>
      </c>
      <c r="ALB1">
        <v>0</v>
      </c>
      <c r="ALC1">
        <v>0</v>
      </c>
      <c r="ALD1">
        <v>0</v>
      </c>
      <c r="ALE1">
        <v>0</v>
      </c>
      <c r="ALF1">
        <v>0</v>
      </c>
      <c r="ALG1">
        <v>0</v>
      </c>
      <c r="ALH1">
        <v>0</v>
      </c>
      <c r="ALI1">
        <v>0</v>
      </c>
      <c r="ALJ1">
        <v>0</v>
      </c>
      <c r="ALK1">
        <v>0</v>
      </c>
      <c r="ALL1">
        <v>0</v>
      </c>
    </row>
    <row r="2" spans="1:1000" ht="15.75" customHeight="1">
      <c r="A2" s="144" t="str">
        <f t="array" ref="A2:A1000">INDEX(NPCClass,0)</f>
        <v>Barbarian</v>
      </c>
      <c r="B2" s="145">
        <v>0</v>
      </c>
      <c r="C2" s="145">
        <v>0</v>
      </c>
      <c r="D2" s="145">
        <v>0.2</v>
      </c>
      <c r="E2" s="145">
        <v>0.4</v>
      </c>
      <c r="F2" s="145">
        <v>0.4</v>
      </c>
      <c r="G2" s="145">
        <v>0.5</v>
      </c>
      <c r="H2" s="145">
        <v>0.6</v>
      </c>
      <c r="I2" s="145">
        <v>0.6</v>
      </c>
      <c r="J2" s="145">
        <v>0.6</v>
      </c>
      <c r="K2" s="145">
        <v>0.7</v>
      </c>
      <c r="L2" s="145">
        <v>0.95</v>
      </c>
      <c r="M2" s="146">
        <v>0.99</v>
      </c>
      <c r="N2" s="146">
        <v>1</v>
      </c>
      <c r="O2" s="145"/>
      <c r="P2" s="145"/>
      <c r="Q2" s="145"/>
      <c r="R2" s="145"/>
      <c r="S2" s="145"/>
      <c r="T2" s="145"/>
      <c r="U2" s="145"/>
      <c r="V2" s="145"/>
      <c r="W2" s="145"/>
      <c r="X2" s="145"/>
      <c r="Y2" s="145"/>
      <c r="Z2" s="145"/>
    </row>
    <row r="3" spans="1:1000" ht="15.75" customHeight="1">
      <c r="A3" s="144" t="str">
        <v>Bard</v>
      </c>
      <c r="B3" s="145">
        <v>0</v>
      </c>
      <c r="C3" s="145">
        <v>0.3</v>
      </c>
      <c r="D3" s="145">
        <v>0.3</v>
      </c>
      <c r="E3" s="145">
        <v>0.3</v>
      </c>
      <c r="F3" s="145">
        <v>0.5</v>
      </c>
      <c r="G3" s="145">
        <v>0.6</v>
      </c>
      <c r="H3" s="145">
        <v>0.6</v>
      </c>
      <c r="I3" s="145">
        <v>0.6</v>
      </c>
      <c r="J3" s="145">
        <v>0.6</v>
      </c>
      <c r="K3" s="145">
        <v>0.9</v>
      </c>
      <c r="L3" s="145">
        <v>0.99</v>
      </c>
      <c r="M3" s="146">
        <v>1</v>
      </c>
      <c r="N3" s="146">
        <v>1</v>
      </c>
      <c r="O3" s="145"/>
      <c r="P3" s="145"/>
      <c r="Q3" s="145"/>
      <c r="R3" s="145"/>
      <c r="S3" s="145"/>
      <c r="T3" s="145"/>
      <c r="U3" s="145"/>
      <c r="V3" s="145"/>
      <c r="W3" s="145"/>
      <c r="X3" s="145"/>
      <c r="Y3" s="145"/>
      <c r="Z3" s="145"/>
    </row>
    <row r="4" spans="1:1000" ht="15.75" customHeight="1">
      <c r="A4" s="144" t="str">
        <v>Druid</v>
      </c>
      <c r="B4" s="145">
        <v>0</v>
      </c>
      <c r="C4" s="145">
        <v>0</v>
      </c>
      <c r="D4" s="145">
        <v>0</v>
      </c>
      <c r="E4" s="145">
        <v>0.3</v>
      </c>
      <c r="F4" s="145">
        <v>0.3</v>
      </c>
      <c r="G4" s="145">
        <v>0.6</v>
      </c>
      <c r="H4" s="145">
        <v>0.7</v>
      </c>
      <c r="I4" s="145">
        <v>0.65</v>
      </c>
      <c r="J4" s="145">
        <v>0.7</v>
      </c>
      <c r="K4" s="145">
        <v>0.95</v>
      </c>
      <c r="L4" s="145">
        <v>0.99</v>
      </c>
      <c r="M4" s="146">
        <v>0.99</v>
      </c>
      <c r="N4" s="146">
        <v>1</v>
      </c>
      <c r="O4" s="145"/>
      <c r="P4" s="145"/>
      <c r="Q4" s="145"/>
      <c r="R4" s="145"/>
      <c r="S4" s="145"/>
      <c r="T4" s="145"/>
      <c r="U4" s="145"/>
      <c r="V4" s="145"/>
      <c r="W4" s="145"/>
      <c r="X4" s="145"/>
      <c r="Y4" s="145"/>
      <c r="Z4" s="145"/>
    </row>
    <row r="5" spans="1:1000" ht="15.75" customHeight="1">
      <c r="A5" s="144" t="str">
        <v>Monk</v>
      </c>
      <c r="B5" s="145">
        <v>0</v>
      </c>
      <c r="C5" s="145">
        <v>0.4</v>
      </c>
      <c r="D5" s="145">
        <v>0.4</v>
      </c>
      <c r="E5" s="145">
        <v>0.4</v>
      </c>
      <c r="F5" s="145">
        <v>0.4</v>
      </c>
      <c r="G5" s="145">
        <v>0.4</v>
      </c>
      <c r="H5" s="145">
        <v>0.4</v>
      </c>
      <c r="I5" s="145">
        <v>0.4</v>
      </c>
      <c r="J5" s="145">
        <v>0.4</v>
      </c>
      <c r="K5" s="145">
        <v>0.4</v>
      </c>
      <c r="L5" s="145">
        <v>0.99</v>
      </c>
      <c r="M5" s="146">
        <v>1</v>
      </c>
      <c r="N5" s="146">
        <v>1</v>
      </c>
      <c r="O5" s="145"/>
      <c r="P5" s="145"/>
      <c r="Q5" s="145"/>
      <c r="R5" s="145"/>
      <c r="S5" s="145"/>
      <c r="T5" s="145"/>
      <c r="U5" s="145"/>
      <c r="V5" s="145"/>
      <c r="W5" s="145"/>
      <c r="X5" s="145"/>
      <c r="Y5" s="145"/>
      <c r="Z5" s="145"/>
    </row>
    <row r="6" spans="1:1000" ht="15.75" customHeight="1">
      <c r="A6" s="144" t="str">
        <v>Paladin</v>
      </c>
      <c r="B6" s="145">
        <v>0</v>
      </c>
      <c r="C6" s="145">
        <v>0.1</v>
      </c>
      <c r="D6" s="145">
        <v>0.2</v>
      </c>
      <c r="E6" s="145">
        <v>0.2</v>
      </c>
      <c r="F6" s="145">
        <v>0.2</v>
      </c>
      <c r="G6" s="145">
        <v>0.4</v>
      </c>
      <c r="H6" s="145">
        <v>0.4</v>
      </c>
      <c r="I6" s="145">
        <v>0.8</v>
      </c>
      <c r="J6" s="145">
        <v>0.5</v>
      </c>
      <c r="K6" s="145">
        <v>0.95</v>
      </c>
      <c r="L6" s="145">
        <v>0.99</v>
      </c>
      <c r="M6" s="145">
        <v>0.99</v>
      </c>
      <c r="N6" s="146">
        <v>1</v>
      </c>
      <c r="O6" s="145"/>
      <c r="P6" s="145"/>
      <c r="Q6" s="145"/>
      <c r="R6" s="145"/>
      <c r="S6" s="145"/>
      <c r="T6" s="145"/>
      <c r="U6" s="145"/>
      <c r="V6" s="145"/>
      <c r="W6" s="145"/>
      <c r="X6" s="145"/>
      <c r="Y6" s="145"/>
      <c r="Z6" s="145"/>
    </row>
    <row r="7" spans="1:1000" ht="15.75" customHeight="1">
      <c r="A7" s="144" t="str">
        <v>Ranger</v>
      </c>
      <c r="B7" s="145">
        <v>0</v>
      </c>
      <c r="C7" s="145">
        <v>0</v>
      </c>
      <c r="D7" s="145">
        <v>0</v>
      </c>
      <c r="E7" s="145">
        <v>0</v>
      </c>
      <c r="F7" s="145">
        <v>0.3</v>
      </c>
      <c r="G7" s="145">
        <v>0.5</v>
      </c>
      <c r="H7" s="145">
        <v>0.5</v>
      </c>
      <c r="I7" s="145">
        <v>0.5</v>
      </c>
      <c r="J7" s="145">
        <v>0.5</v>
      </c>
      <c r="K7" s="145">
        <v>0.9</v>
      </c>
      <c r="L7" s="145">
        <v>0.99</v>
      </c>
      <c r="M7" s="146">
        <v>1</v>
      </c>
      <c r="N7" s="146">
        <v>1</v>
      </c>
      <c r="O7" s="145"/>
      <c r="P7" s="145"/>
      <c r="Q7" s="145"/>
      <c r="R7" s="145"/>
      <c r="S7" s="145"/>
      <c r="T7" s="145"/>
      <c r="U7" s="145"/>
      <c r="V7" s="145"/>
      <c r="W7" s="145"/>
      <c r="X7" s="145"/>
      <c r="Y7" s="145"/>
      <c r="Z7" s="145"/>
    </row>
    <row r="8" spans="1:1000" ht="15.75" customHeight="1">
      <c r="A8" s="144" t="str">
        <v>Sorcerer</v>
      </c>
      <c r="B8" s="145">
        <v>0</v>
      </c>
      <c r="C8" s="145">
        <v>0.5</v>
      </c>
      <c r="D8" s="145">
        <v>0.5</v>
      </c>
      <c r="E8" s="145">
        <v>0.5</v>
      </c>
      <c r="F8" s="145">
        <v>0.6</v>
      </c>
      <c r="G8" s="145">
        <v>0.6</v>
      </c>
      <c r="H8" s="145">
        <v>0.65</v>
      </c>
      <c r="I8" s="145">
        <v>0.8</v>
      </c>
      <c r="J8" s="145">
        <v>0.9</v>
      </c>
      <c r="K8" s="145">
        <v>0.91</v>
      </c>
      <c r="L8" s="145">
        <v>0.94</v>
      </c>
      <c r="M8" s="146">
        <v>0.94</v>
      </c>
      <c r="N8" s="146">
        <v>1</v>
      </c>
      <c r="O8" s="145"/>
      <c r="P8" s="145"/>
      <c r="Q8" s="145"/>
      <c r="R8" s="145"/>
      <c r="S8" s="145"/>
      <c r="T8" s="145"/>
      <c r="U8" s="145"/>
      <c r="V8" s="145"/>
      <c r="W8" s="145"/>
      <c r="X8" s="145"/>
      <c r="Y8" s="145"/>
      <c r="Z8" s="145"/>
    </row>
    <row r="9" spans="1:1000" ht="15.75" customHeight="1">
      <c r="A9" s="144" t="str">
        <v>Warlock</v>
      </c>
      <c r="B9" s="145">
        <v>0</v>
      </c>
      <c r="C9" s="145">
        <v>0.5</v>
      </c>
      <c r="D9" s="145">
        <v>0.2</v>
      </c>
      <c r="E9" s="145">
        <v>0.6</v>
      </c>
      <c r="F9" s="145">
        <v>0.7</v>
      </c>
      <c r="G9" s="145">
        <v>0.7</v>
      </c>
      <c r="H9" s="145">
        <v>0.7</v>
      </c>
      <c r="I9" s="145">
        <v>0.92</v>
      </c>
      <c r="J9" s="145">
        <v>0.92</v>
      </c>
      <c r="K9" s="145">
        <v>0.92</v>
      </c>
      <c r="L9" s="145">
        <v>0.95</v>
      </c>
      <c r="M9" s="146">
        <v>0.95</v>
      </c>
      <c r="N9" s="146">
        <v>1</v>
      </c>
      <c r="O9" s="145"/>
      <c r="P9" s="145"/>
      <c r="Q9" s="145"/>
      <c r="R9" s="145"/>
      <c r="S9" s="145"/>
      <c r="T9" s="145"/>
      <c r="U9" s="145"/>
      <c r="V9" s="145"/>
      <c r="W9" s="145"/>
      <c r="X9" s="145"/>
      <c r="Y9" s="145"/>
      <c r="Z9" s="145"/>
    </row>
    <row r="10" spans="1:1000" ht="15.75" customHeight="1">
      <c r="A10" s="144" t="str">
        <v>None</v>
      </c>
      <c r="B10" s="145">
        <v>0</v>
      </c>
      <c r="C10" s="145">
        <v>0.02</v>
      </c>
      <c r="D10" s="145">
        <v>0.2</v>
      </c>
      <c r="E10" s="145">
        <v>0.3</v>
      </c>
      <c r="F10" s="145">
        <v>0.4</v>
      </c>
      <c r="G10" s="145">
        <v>0.5</v>
      </c>
      <c r="H10" s="145">
        <v>0.6</v>
      </c>
      <c r="I10" s="145">
        <v>0.7</v>
      </c>
      <c r="J10" s="145">
        <v>0.8</v>
      </c>
      <c r="K10" s="145">
        <v>0.9</v>
      </c>
      <c r="L10" s="145">
        <v>1</v>
      </c>
      <c r="M10" s="146">
        <v>1</v>
      </c>
      <c r="N10" s="146">
        <v>1</v>
      </c>
      <c r="O10" s="145"/>
      <c r="P10" s="145"/>
      <c r="Q10" s="145"/>
      <c r="R10" s="145"/>
      <c r="S10" s="145"/>
      <c r="T10" s="145"/>
      <c r="U10" s="145"/>
      <c r="V10" s="145"/>
      <c r="W10" s="145"/>
      <c r="X10" s="145"/>
      <c r="Y10" s="145"/>
      <c r="Z10" s="145"/>
    </row>
    <row r="11" spans="1:1000" ht="15.75" customHeight="1">
      <c r="A11" s="144" t="str">
        <v>Cleric</v>
      </c>
      <c r="B11" s="145">
        <v>0</v>
      </c>
      <c r="C11" s="145">
        <v>0</v>
      </c>
      <c r="D11" s="145">
        <v>0.2</v>
      </c>
      <c r="E11" s="145">
        <v>0.4</v>
      </c>
      <c r="F11" s="145">
        <v>0.4</v>
      </c>
      <c r="G11" s="145">
        <v>0.45</v>
      </c>
      <c r="H11" s="145">
        <v>0.5</v>
      </c>
      <c r="I11" s="145">
        <v>0.9</v>
      </c>
      <c r="J11" s="145">
        <v>0.91</v>
      </c>
      <c r="K11" s="145">
        <v>0.91</v>
      </c>
      <c r="L11" s="145">
        <v>0.96</v>
      </c>
      <c r="M11" s="146">
        <v>0.99</v>
      </c>
      <c r="N11" s="146">
        <v>1</v>
      </c>
      <c r="O11" s="145"/>
      <c r="P11" s="145"/>
      <c r="Q11" s="145"/>
      <c r="R11" s="145"/>
      <c r="S11" s="145"/>
      <c r="T11" s="145"/>
      <c r="U11" s="145"/>
      <c r="V11" s="145"/>
      <c r="W11" s="145"/>
      <c r="X11" s="145"/>
      <c r="Y11" s="145"/>
      <c r="Z11" s="145"/>
    </row>
    <row r="12" spans="1:1000" ht="15.75" customHeight="1">
      <c r="A12" s="144" t="str">
        <v>Fighter</v>
      </c>
      <c r="B12" s="145">
        <v>0</v>
      </c>
      <c r="C12" s="145">
        <v>0.05</v>
      </c>
      <c r="D12" s="145">
        <v>0.2</v>
      </c>
      <c r="E12" s="145">
        <v>0.3</v>
      </c>
      <c r="F12" s="145">
        <v>0.4</v>
      </c>
      <c r="G12" s="145">
        <v>0.5</v>
      </c>
      <c r="H12" s="145">
        <v>0.6</v>
      </c>
      <c r="I12" s="145">
        <v>0.7</v>
      </c>
      <c r="J12" s="145">
        <v>0.8</v>
      </c>
      <c r="K12" s="145">
        <v>0.9</v>
      </c>
      <c r="L12" s="145">
        <v>1</v>
      </c>
      <c r="M12" s="146">
        <v>1</v>
      </c>
      <c r="N12" s="146">
        <v>1</v>
      </c>
      <c r="O12" s="145"/>
      <c r="P12" s="145"/>
      <c r="Q12" s="145"/>
      <c r="R12" s="145"/>
      <c r="S12" s="145"/>
      <c r="T12" s="145"/>
      <c r="U12" s="145"/>
      <c r="V12" s="145"/>
      <c r="W12" s="145"/>
      <c r="X12" s="145"/>
      <c r="Y12" s="145"/>
      <c r="Z12" s="145"/>
    </row>
    <row r="13" spans="1:1000" ht="15.75" customHeight="1">
      <c r="A13" s="144" t="str">
        <v>Wizard</v>
      </c>
      <c r="B13" s="145">
        <v>0</v>
      </c>
      <c r="C13" s="145">
        <v>0.1</v>
      </c>
      <c r="D13" s="145">
        <v>0.49</v>
      </c>
      <c r="E13" s="145">
        <v>0.45</v>
      </c>
      <c r="F13" s="145">
        <v>0.55000000000000004</v>
      </c>
      <c r="G13" s="145">
        <v>0.4</v>
      </c>
      <c r="H13" s="145">
        <v>0.7</v>
      </c>
      <c r="I13" s="145">
        <v>0.8</v>
      </c>
      <c r="J13" s="145">
        <v>0.9</v>
      </c>
      <c r="K13" s="145">
        <v>0.9</v>
      </c>
      <c r="L13" s="145">
        <v>0.95</v>
      </c>
      <c r="M13" s="146">
        <v>0.99</v>
      </c>
      <c r="N13" s="146">
        <v>1.01</v>
      </c>
      <c r="O13" s="145"/>
      <c r="P13" s="145"/>
      <c r="Q13" s="145"/>
      <c r="R13" s="145"/>
      <c r="S13" s="145"/>
      <c r="T13" s="145"/>
      <c r="U13" s="145"/>
      <c r="V13" s="145"/>
      <c r="W13" s="145"/>
      <c r="X13" s="145"/>
      <c r="Y13" s="145"/>
      <c r="Z13" s="145"/>
    </row>
    <row r="14" spans="1:1000" ht="15.75" customHeight="1">
      <c r="A14" s="144">
        <v>0</v>
      </c>
      <c r="B14" s="145"/>
      <c r="C14" s="145"/>
      <c r="D14" s="145"/>
      <c r="E14" s="145"/>
      <c r="F14" s="145"/>
      <c r="G14" s="145"/>
      <c r="H14" s="145"/>
      <c r="I14" s="145"/>
      <c r="J14" s="145"/>
      <c r="K14" s="145"/>
      <c r="L14" s="145"/>
      <c r="M14" s="146"/>
      <c r="N14" s="145"/>
      <c r="O14" s="145"/>
      <c r="P14" s="145"/>
      <c r="Q14" s="145"/>
      <c r="R14" s="145"/>
      <c r="S14" s="145"/>
      <c r="T14" s="145"/>
      <c r="U14" s="145"/>
      <c r="V14" s="145"/>
      <c r="W14" s="145"/>
      <c r="X14" s="145"/>
      <c r="Y14" s="145"/>
      <c r="Z14" s="145"/>
    </row>
    <row r="15" spans="1:1000" ht="15.75" customHeight="1">
      <c r="A15" s="144">
        <v>0</v>
      </c>
      <c r="B15" s="145"/>
      <c r="C15" s="145"/>
      <c r="D15" s="145"/>
      <c r="E15" s="145"/>
      <c r="F15" s="145"/>
      <c r="G15" s="145"/>
      <c r="H15" s="145"/>
      <c r="I15" s="145"/>
      <c r="J15" s="145"/>
      <c r="K15" s="145"/>
      <c r="L15" s="145"/>
      <c r="M15" s="146"/>
      <c r="N15" s="145"/>
      <c r="O15" s="145"/>
      <c r="P15" s="145"/>
      <c r="Q15" s="145"/>
      <c r="R15" s="145"/>
      <c r="S15" s="145"/>
      <c r="T15" s="145"/>
      <c r="U15" s="145"/>
      <c r="V15" s="145"/>
      <c r="W15" s="145"/>
      <c r="X15" s="145"/>
      <c r="Y15" s="145"/>
      <c r="Z15" s="145"/>
    </row>
    <row r="16" spans="1:1000" ht="15.75" customHeight="1">
      <c r="A16" s="144">
        <v>0</v>
      </c>
      <c r="B16" s="145"/>
      <c r="C16" s="145"/>
      <c r="D16" s="145"/>
      <c r="E16" s="145"/>
      <c r="F16" s="145"/>
      <c r="G16" s="145"/>
      <c r="H16" s="145"/>
      <c r="I16" s="145"/>
      <c r="J16" s="145"/>
      <c r="K16" s="145"/>
      <c r="L16" s="145"/>
      <c r="M16" s="146"/>
      <c r="N16" s="145"/>
      <c r="O16" s="145"/>
      <c r="P16" s="145"/>
      <c r="Q16" s="145"/>
      <c r="R16" s="145"/>
      <c r="S16" s="145"/>
      <c r="T16" s="145"/>
      <c r="U16" s="145"/>
      <c r="V16" s="145"/>
      <c r="W16" s="145"/>
      <c r="X16" s="145"/>
      <c r="Y16" s="145"/>
      <c r="Z16" s="145"/>
    </row>
    <row r="17" spans="1:26" ht="15.75" customHeight="1">
      <c r="A17" s="144">
        <v>0</v>
      </c>
      <c r="B17" s="145"/>
      <c r="C17" s="145"/>
      <c r="D17" s="145"/>
      <c r="E17" s="145"/>
      <c r="F17" s="145"/>
      <c r="G17" s="145"/>
      <c r="H17" s="145"/>
      <c r="I17" s="145"/>
      <c r="J17" s="145"/>
      <c r="K17" s="145"/>
      <c r="L17" s="145"/>
      <c r="M17" s="146"/>
      <c r="N17" s="145"/>
      <c r="O17" s="145"/>
      <c r="P17" s="145"/>
      <c r="Q17" s="145"/>
      <c r="R17" s="145"/>
      <c r="S17" s="145"/>
      <c r="T17" s="145"/>
      <c r="U17" s="145"/>
      <c r="V17" s="145"/>
      <c r="W17" s="145"/>
      <c r="X17" s="145"/>
      <c r="Y17" s="145"/>
      <c r="Z17" s="145"/>
    </row>
    <row r="18" spans="1:26" ht="15.75" customHeight="1">
      <c r="A18" s="144">
        <v>0</v>
      </c>
      <c r="B18" s="145"/>
      <c r="C18" s="145"/>
      <c r="D18" s="145"/>
      <c r="E18" s="145"/>
      <c r="F18" s="145"/>
      <c r="G18" s="145"/>
      <c r="H18" s="145"/>
      <c r="I18" s="145"/>
      <c r="J18" s="145"/>
      <c r="K18" s="145"/>
      <c r="L18" s="145"/>
      <c r="M18" s="146"/>
      <c r="N18" s="145"/>
      <c r="O18" s="145"/>
      <c r="P18" s="145"/>
      <c r="Q18" s="145"/>
      <c r="R18" s="145"/>
      <c r="S18" s="145"/>
      <c r="T18" s="145"/>
      <c r="U18" s="145"/>
      <c r="V18" s="145"/>
      <c r="W18" s="145"/>
      <c r="X18" s="145"/>
      <c r="Y18" s="145"/>
      <c r="Z18" s="145"/>
    </row>
    <row r="19" spans="1:26" ht="15.75" customHeight="1">
      <c r="A19" s="144">
        <v>0</v>
      </c>
      <c r="B19" s="145"/>
      <c r="C19" s="145"/>
      <c r="D19" s="145"/>
      <c r="E19" s="145"/>
      <c r="F19" s="145"/>
      <c r="G19" s="145"/>
      <c r="H19" s="145"/>
      <c r="I19" s="145"/>
      <c r="J19" s="145"/>
      <c r="K19" s="145"/>
      <c r="L19" s="145"/>
      <c r="M19" s="146"/>
      <c r="N19" s="145"/>
      <c r="O19" s="145"/>
      <c r="P19" s="145"/>
      <c r="Q19" s="145"/>
      <c r="R19" s="145"/>
      <c r="S19" s="145"/>
      <c r="T19" s="145"/>
      <c r="U19" s="145"/>
      <c r="V19" s="145"/>
      <c r="W19" s="145"/>
      <c r="X19" s="145"/>
      <c r="Y19" s="145"/>
      <c r="Z19" s="145"/>
    </row>
    <row r="20" spans="1:26" ht="15.75" customHeight="1">
      <c r="A20" s="144">
        <v>0</v>
      </c>
      <c r="B20" s="145"/>
      <c r="C20" s="145"/>
      <c r="D20" s="145"/>
      <c r="E20" s="145"/>
      <c r="F20" s="145"/>
      <c r="G20" s="145"/>
      <c r="H20" s="145"/>
      <c r="I20" s="145"/>
      <c r="J20" s="145"/>
      <c r="K20" s="145"/>
      <c r="L20" s="145"/>
      <c r="M20" s="146"/>
      <c r="N20" s="145"/>
      <c r="O20" s="145"/>
      <c r="P20" s="145"/>
      <c r="Q20" s="145"/>
      <c r="R20" s="145"/>
      <c r="S20" s="145"/>
      <c r="T20" s="145"/>
      <c r="U20" s="145"/>
      <c r="V20" s="145"/>
      <c r="W20" s="145"/>
      <c r="X20" s="145"/>
      <c r="Y20" s="145"/>
      <c r="Z20" s="145"/>
    </row>
    <row r="21" spans="1:26" ht="15.75" customHeight="1">
      <c r="A21" s="144">
        <v>0</v>
      </c>
      <c r="B21" s="145"/>
      <c r="C21" s="145"/>
      <c r="D21" s="145"/>
      <c r="E21" s="145"/>
      <c r="F21" s="145"/>
      <c r="G21" s="145"/>
      <c r="H21" s="145"/>
      <c r="I21" s="145"/>
      <c r="J21" s="145"/>
      <c r="K21" s="145"/>
      <c r="L21" s="145"/>
      <c r="M21" s="146"/>
      <c r="N21" s="145"/>
      <c r="O21" s="145"/>
      <c r="P21" s="145"/>
      <c r="Q21" s="145"/>
      <c r="R21" s="145"/>
      <c r="S21" s="145"/>
      <c r="T21" s="145"/>
      <c r="U21" s="145"/>
      <c r="V21" s="145"/>
      <c r="W21" s="145"/>
      <c r="X21" s="145"/>
      <c r="Y21" s="145"/>
      <c r="Z21" s="145"/>
    </row>
    <row r="22" spans="1:26" ht="15.75" customHeight="1">
      <c r="A22" s="144">
        <v>0</v>
      </c>
      <c r="B22" s="145"/>
      <c r="C22" s="145"/>
      <c r="D22" s="145"/>
      <c r="E22" s="145"/>
      <c r="F22" s="145"/>
      <c r="G22" s="145"/>
      <c r="H22" s="145"/>
      <c r="I22" s="145"/>
      <c r="J22" s="145"/>
      <c r="K22" s="145"/>
      <c r="L22" s="145"/>
      <c r="M22" s="146"/>
      <c r="N22" s="145"/>
      <c r="O22" s="145"/>
      <c r="P22" s="145"/>
      <c r="Q22" s="145"/>
      <c r="R22" s="145"/>
      <c r="S22" s="145"/>
      <c r="T22" s="145"/>
      <c r="U22" s="145"/>
      <c r="V22" s="145"/>
      <c r="W22" s="145"/>
      <c r="X22" s="145"/>
      <c r="Y22" s="145"/>
      <c r="Z22" s="145"/>
    </row>
    <row r="23" spans="1:26" ht="15.75" customHeight="1">
      <c r="A23" s="144">
        <v>0</v>
      </c>
      <c r="B23" s="145"/>
      <c r="C23" s="145"/>
      <c r="D23" s="145"/>
      <c r="E23" s="145"/>
      <c r="F23" s="145"/>
      <c r="G23" s="145"/>
      <c r="H23" s="145"/>
      <c r="I23" s="145"/>
      <c r="J23" s="145"/>
      <c r="K23" s="145"/>
      <c r="L23" s="145"/>
      <c r="M23" s="146"/>
      <c r="N23" s="145"/>
      <c r="O23" s="145"/>
      <c r="P23" s="145"/>
      <c r="Q23" s="145"/>
      <c r="R23" s="145"/>
      <c r="S23" s="145"/>
      <c r="T23" s="145"/>
      <c r="U23" s="145"/>
      <c r="V23" s="145"/>
      <c r="W23" s="145"/>
      <c r="X23" s="145"/>
      <c r="Y23" s="145"/>
      <c r="Z23" s="145"/>
    </row>
    <row r="24" spans="1:26" ht="15.75" customHeight="1">
      <c r="A24" s="144">
        <v>0</v>
      </c>
      <c r="B24" s="145"/>
      <c r="C24" s="145"/>
      <c r="D24" s="145"/>
      <c r="E24" s="145"/>
      <c r="F24" s="145"/>
      <c r="G24" s="145"/>
      <c r="H24" s="145"/>
      <c r="I24" s="145"/>
      <c r="J24" s="145"/>
      <c r="K24" s="145"/>
      <c r="L24" s="145"/>
      <c r="M24" s="146"/>
      <c r="N24" s="145"/>
      <c r="O24" s="145"/>
      <c r="P24" s="145"/>
      <c r="Q24" s="145"/>
      <c r="R24" s="145"/>
      <c r="S24" s="145"/>
      <c r="T24" s="145"/>
      <c r="U24" s="145"/>
      <c r="V24" s="145"/>
      <c r="W24" s="145"/>
      <c r="X24" s="145"/>
      <c r="Y24" s="145"/>
      <c r="Z24" s="145"/>
    </row>
    <row r="25" spans="1:26" ht="15.75" customHeight="1">
      <c r="A25" s="144">
        <v>0</v>
      </c>
      <c r="B25" s="145"/>
      <c r="C25" s="145"/>
      <c r="D25" s="145"/>
      <c r="E25" s="145"/>
      <c r="F25" s="145"/>
      <c r="G25" s="145"/>
      <c r="H25" s="145"/>
      <c r="I25" s="145"/>
      <c r="J25" s="145"/>
      <c r="K25" s="145"/>
      <c r="L25" s="145"/>
      <c r="M25" s="146"/>
      <c r="N25" s="145"/>
      <c r="O25" s="145"/>
      <c r="P25" s="145"/>
      <c r="Q25" s="145"/>
      <c r="R25" s="145"/>
      <c r="S25" s="145"/>
      <c r="T25" s="145"/>
      <c r="U25" s="145"/>
      <c r="V25" s="145"/>
      <c r="W25" s="145"/>
      <c r="X25" s="145"/>
      <c r="Y25" s="145"/>
      <c r="Z25" s="145"/>
    </row>
    <row r="26" spans="1:26" ht="15.75" customHeight="1">
      <c r="A26" s="144">
        <v>0</v>
      </c>
      <c r="B26" s="145"/>
      <c r="C26" s="145"/>
      <c r="D26" s="145"/>
      <c r="E26" s="145"/>
      <c r="F26" s="145"/>
      <c r="G26" s="145"/>
      <c r="H26" s="145"/>
      <c r="I26" s="145"/>
      <c r="J26" s="145"/>
      <c r="K26" s="145"/>
      <c r="L26" s="145"/>
      <c r="M26" s="146"/>
      <c r="N26" s="145"/>
      <c r="O26" s="145"/>
      <c r="P26" s="145"/>
      <c r="Q26" s="145"/>
      <c r="R26" s="145"/>
      <c r="S26" s="145"/>
      <c r="T26" s="145"/>
      <c r="U26" s="145"/>
      <c r="V26" s="145"/>
      <c r="W26" s="145"/>
      <c r="X26" s="145"/>
      <c r="Y26" s="145"/>
      <c r="Z26" s="145"/>
    </row>
    <row r="27" spans="1:26" ht="15.75" customHeight="1">
      <c r="A27" s="144">
        <v>0</v>
      </c>
      <c r="B27" s="145"/>
      <c r="C27" s="145"/>
      <c r="D27" s="145"/>
      <c r="E27" s="145"/>
      <c r="F27" s="145"/>
      <c r="G27" s="145"/>
      <c r="H27" s="145"/>
      <c r="I27" s="145"/>
      <c r="J27" s="145"/>
      <c r="K27" s="145"/>
      <c r="L27" s="145"/>
      <c r="M27" s="146"/>
      <c r="N27" s="145"/>
      <c r="O27" s="145"/>
      <c r="P27" s="145"/>
      <c r="Q27" s="145"/>
      <c r="R27" s="145"/>
      <c r="S27" s="145"/>
      <c r="T27" s="145"/>
      <c r="U27" s="145"/>
      <c r="V27" s="145"/>
      <c r="W27" s="145"/>
      <c r="X27" s="145"/>
      <c r="Y27" s="145"/>
      <c r="Z27" s="145"/>
    </row>
    <row r="28" spans="1:26" ht="15.75" customHeight="1">
      <c r="A28" s="144">
        <v>0</v>
      </c>
      <c r="B28" s="145"/>
      <c r="C28" s="145"/>
      <c r="D28" s="145"/>
      <c r="E28" s="145"/>
      <c r="F28" s="145"/>
      <c r="G28" s="145"/>
      <c r="H28" s="145"/>
      <c r="I28" s="145"/>
      <c r="J28" s="145"/>
      <c r="K28" s="145"/>
      <c r="L28" s="145"/>
      <c r="M28" s="146"/>
      <c r="N28" s="145"/>
      <c r="O28" s="145"/>
      <c r="P28" s="145"/>
      <c r="Q28" s="145"/>
      <c r="R28" s="145"/>
      <c r="S28" s="145"/>
      <c r="T28" s="145"/>
      <c r="U28" s="145"/>
      <c r="V28" s="145"/>
      <c r="W28" s="145"/>
      <c r="X28" s="145"/>
      <c r="Y28" s="145"/>
      <c r="Z28" s="145"/>
    </row>
    <row r="29" spans="1:26" ht="15.75" customHeight="1">
      <c r="A29" s="144">
        <v>0</v>
      </c>
      <c r="B29" s="145"/>
      <c r="C29" s="145"/>
      <c r="D29" s="145"/>
      <c r="E29" s="145"/>
      <c r="F29" s="145"/>
      <c r="G29" s="145"/>
      <c r="H29" s="145"/>
      <c r="I29" s="145"/>
      <c r="J29" s="145"/>
      <c r="K29" s="145"/>
      <c r="L29" s="145"/>
      <c r="M29" s="146"/>
      <c r="N29" s="145"/>
      <c r="O29" s="145"/>
      <c r="P29" s="145"/>
      <c r="Q29" s="145"/>
      <c r="R29" s="145"/>
      <c r="S29" s="145"/>
      <c r="T29" s="145"/>
      <c r="U29" s="145"/>
      <c r="V29" s="145"/>
      <c r="W29" s="145"/>
      <c r="X29" s="145"/>
      <c r="Y29" s="145"/>
      <c r="Z29" s="145"/>
    </row>
    <row r="30" spans="1:26" ht="13.2">
      <c r="A30" s="144">
        <v>0</v>
      </c>
      <c r="B30" s="145"/>
      <c r="C30" s="145"/>
      <c r="D30" s="145"/>
      <c r="E30" s="145"/>
      <c r="F30" s="145"/>
      <c r="G30" s="145"/>
      <c r="H30" s="145"/>
      <c r="I30" s="145"/>
      <c r="J30" s="145"/>
      <c r="K30" s="145"/>
      <c r="L30" s="145"/>
      <c r="M30" s="146"/>
      <c r="N30" s="145"/>
      <c r="O30" s="145"/>
      <c r="P30" s="145"/>
      <c r="Q30" s="145"/>
      <c r="R30" s="145"/>
      <c r="S30" s="145"/>
      <c r="T30" s="145"/>
      <c r="U30" s="145"/>
      <c r="V30" s="145"/>
      <c r="W30" s="145"/>
      <c r="X30" s="145"/>
      <c r="Y30" s="145"/>
      <c r="Z30" s="145"/>
    </row>
    <row r="31" spans="1:26" ht="13.2">
      <c r="A31" s="144">
        <v>0</v>
      </c>
      <c r="B31" s="145"/>
      <c r="C31" s="145"/>
      <c r="D31" s="145"/>
      <c r="E31" s="145"/>
      <c r="F31" s="145"/>
      <c r="G31" s="145"/>
      <c r="H31" s="145"/>
      <c r="I31" s="145"/>
      <c r="J31" s="145"/>
      <c r="K31" s="145"/>
      <c r="L31" s="145"/>
      <c r="M31" s="146"/>
      <c r="N31" s="145"/>
      <c r="O31" s="145"/>
      <c r="P31" s="145"/>
      <c r="Q31" s="145"/>
      <c r="R31" s="145"/>
      <c r="S31" s="145"/>
      <c r="T31" s="145"/>
      <c r="U31" s="145"/>
      <c r="V31" s="145"/>
      <c r="W31" s="145"/>
      <c r="X31" s="145"/>
      <c r="Y31" s="145"/>
      <c r="Z31" s="145"/>
    </row>
    <row r="32" spans="1:26" ht="13.2">
      <c r="A32" s="144">
        <v>0</v>
      </c>
      <c r="B32" s="145"/>
      <c r="C32" s="145"/>
      <c r="D32" s="145"/>
      <c r="E32" s="145"/>
      <c r="F32" s="145"/>
      <c r="G32" s="145"/>
      <c r="H32" s="145"/>
      <c r="I32" s="145"/>
      <c r="J32" s="145"/>
      <c r="K32" s="145"/>
      <c r="L32" s="145"/>
      <c r="M32" s="146"/>
      <c r="N32" s="145"/>
      <c r="O32" s="145"/>
      <c r="P32" s="145"/>
      <c r="Q32" s="145"/>
      <c r="R32" s="145"/>
      <c r="S32" s="145"/>
      <c r="T32" s="145"/>
      <c r="U32" s="145"/>
      <c r="V32" s="145"/>
      <c r="W32" s="145"/>
      <c r="X32" s="145"/>
      <c r="Y32" s="145"/>
      <c r="Z32" s="145"/>
    </row>
    <row r="33" spans="1:26" ht="13.2">
      <c r="A33" s="144">
        <v>0</v>
      </c>
      <c r="B33" s="145"/>
      <c r="C33" s="145"/>
      <c r="D33" s="145"/>
      <c r="E33" s="145"/>
      <c r="F33" s="145"/>
      <c r="G33" s="145"/>
      <c r="H33" s="145"/>
      <c r="I33" s="145"/>
      <c r="J33" s="145"/>
      <c r="K33" s="145"/>
      <c r="L33" s="145"/>
      <c r="M33" s="146"/>
      <c r="N33" s="145"/>
      <c r="O33" s="145"/>
      <c r="P33" s="145"/>
      <c r="Q33" s="145"/>
      <c r="R33" s="145"/>
      <c r="S33" s="145"/>
      <c r="T33" s="145"/>
      <c r="U33" s="145"/>
      <c r="V33" s="145"/>
      <c r="W33" s="145"/>
      <c r="X33" s="145"/>
      <c r="Y33" s="145"/>
      <c r="Z33" s="145"/>
    </row>
    <row r="34" spans="1:26" ht="13.2">
      <c r="A34" s="144">
        <v>0</v>
      </c>
      <c r="B34" s="145"/>
      <c r="C34" s="145"/>
      <c r="D34" s="145"/>
      <c r="E34" s="145"/>
      <c r="F34" s="145"/>
      <c r="G34" s="145"/>
      <c r="H34" s="145"/>
      <c r="I34" s="145"/>
      <c r="J34" s="145"/>
      <c r="K34" s="145"/>
      <c r="L34" s="145"/>
      <c r="M34" s="146"/>
      <c r="N34" s="145"/>
      <c r="O34" s="145"/>
      <c r="P34" s="145"/>
      <c r="Q34" s="145"/>
      <c r="R34" s="145"/>
      <c r="S34" s="145"/>
      <c r="T34" s="145"/>
      <c r="U34" s="145"/>
      <c r="V34" s="145"/>
      <c r="W34" s="145"/>
      <c r="X34" s="145"/>
      <c r="Y34" s="145"/>
      <c r="Z34" s="145"/>
    </row>
    <row r="35" spans="1:26" ht="13.2">
      <c r="A35" s="144">
        <v>0</v>
      </c>
      <c r="B35" s="145"/>
      <c r="C35" s="145"/>
      <c r="D35" s="145"/>
      <c r="E35" s="145"/>
      <c r="F35" s="145"/>
      <c r="G35" s="145"/>
      <c r="H35" s="145"/>
      <c r="I35" s="145"/>
      <c r="J35" s="145"/>
      <c r="K35" s="145"/>
      <c r="L35" s="145"/>
      <c r="M35" s="146"/>
      <c r="N35" s="145"/>
      <c r="O35" s="145"/>
      <c r="P35" s="145"/>
      <c r="Q35" s="145"/>
      <c r="R35" s="145"/>
      <c r="S35" s="145"/>
      <c r="T35" s="145"/>
      <c r="U35" s="145"/>
      <c r="V35" s="145"/>
      <c r="W35" s="145"/>
      <c r="X35" s="145"/>
      <c r="Y35" s="145"/>
      <c r="Z35" s="145"/>
    </row>
    <row r="36" spans="1:26" ht="13.2">
      <c r="A36" s="144">
        <v>0</v>
      </c>
      <c r="B36" s="145"/>
      <c r="C36" s="145"/>
      <c r="D36" s="145"/>
      <c r="E36" s="145"/>
      <c r="F36" s="145"/>
      <c r="G36" s="145"/>
      <c r="H36" s="145"/>
      <c r="I36" s="145"/>
      <c r="J36" s="145"/>
      <c r="K36" s="145"/>
      <c r="L36" s="145"/>
      <c r="M36" s="146"/>
      <c r="N36" s="145"/>
      <c r="O36" s="145"/>
      <c r="P36" s="145"/>
      <c r="Q36" s="145"/>
      <c r="R36" s="145"/>
      <c r="S36" s="145"/>
      <c r="T36" s="145"/>
      <c r="U36" s="145"/>
      <c r="V36" s="145"/>
      <c r="W36" s="145"/>
      <c r="X36" s="145"/>
      <c r="Y36" s="145"/>
      <c r="Z36" s="145"/>
    </row>
    <row r="37" spans="1:26" ht="13.2">
      <c r="A37" s="144">
        <v>0</v>
      </c>
      <c r="B37" s="145"/>
      <c r="C37" s="145"/>
      <c r="D37" s="145"/>
      <c r="E37" s="145"/>
      <c r="F37" s="145"/>
      <c r="G37" s="145"/>
      <c r="H37" s="145"/>
      <c r="I37" s="145"/>
      <c r="J37" s="145"/>
      <c r="K37" s="145"/>
      <c r="L37" s="145"/>
      <c r="M37" s="146"/>
      <c r="N37" s="145"/>
      <c r="O37" s="145"/>
      <c r="P37" s="145"/>
      <c r="Q37" s="145"/>
      <c r="R37" s="145"/>
      <c r="S37" s="145"/>
      <c r="T37" s="145"/>
      <c r="U37" s="145"/>
      <c r="V37" s="145"/>
      <c r="W37" s="145"/>
      <c r="X37" s="145"/>
      <c r="Y37" s="145"/>
      <c r="Z37" s="145"/>
    </row>
    <row r="38" spans="1:26" ht="13.2">
      <c r="A38" s="144">
        <v>0</v>
      </c>
      <c r="B38" s="145"/>
      <c r="C38" s="145"/>
      <c r="D38" s="145"/>
      <c r="E38" s="145"/>
      <c r="F38" s="145"/>
      <c r="G38" s="145"/>
      <c r="H38" s="145"/>
      <c r="I38" s="145"/>
      <c r="J38" s="145"/>
      <c r="K38" s="145"/>
      <c r="L38" s="145"/>
      <c r="M38" s="146"/>
      <c r="N38" s="145"/>
      <c r="O38" s="145"/>
      <c r="P38" s="145"/>
      <c r="Q38" s="145"/>
      <c r="R38" s="145"/>
      <c r="S38" s="145"/>
      <c r="T38" s="145"/>
      <c r="U38" s="145"/>
      <c r="V38" s="145"/>
      <c r="W38" s="145"/>
      <c r="X38" s="145"/>
      <c r="Y38" s="145"/>
      <c r="Z38" s="145"/>
    </row>
    <row r="39" spans="1:26" ht="13.2">
      <c r="A39" s="144">
        <v>0</v>
      </c>
      <c r="B39" s="145"/>
      <c r="C39" s="145"/>
      <c r="D39" s="145"/>
      <c r="E39" s="145"/>
      <c r="F39" s="145"/>
      <c r="G39" s="145"/>
      <c r="H39" s="145"/>
      <c r="I39" s="145"/>
      <c r="J39" s="145"/>
      <c r="K39" s="145"/>
      <c r="L39" s="145"/>
      <c r="M39" s="146"/>
      <c r="N39" s="145"/>
      <c r="O39" s="145"/>
      <c r="P39" s="145"/>
      <c r="Q39" s="145"/>
      <c r="R39" s="145"/>
      <c r="S39" s="145"/>
      <c r="T39" s="145"/>
      <c r="U39" s="145"/>
      <c r="V39" s="145"/>
      <c r="W39" s="145"/>
      <c r="X39" s="145"/>
      <c r="Y39" s="145"/>
      <c r="Z39" s="145"/>
    </row>
    <row r="40" spans="1:26" ht="13.2">
      <c r="A40" s="144">
        <v>0</v>
      </c>
      <c r="B40" s="145"/>
      <c r="C40" s="145"/>
      <c r="D40" s="145"/>
      <c r="E40" s="145"/>
      <c r="F40" s="145"/>
      <c r="G40" s="145"/>
      <c r="H40" s="145"/>
      <c r="I40" s="145"/>
      <c r="J40" s="145"/>
      <c r="K40" s="145"/>
      <c r="L40" s="145"/>
      <c r="M40" s="146"/>
      <c r="N40" s="145"/>
      <c r="O40" s="145"/>
      <c r="P40" s="145"/>
      <c r="Q40" s="145"/>
      <c r="R40" s="145"/>
      <c r="S40" s="145"/>
      <c r="T40" s="145"/>
      <c r="U40" s="145"/>
      <c r="V40" s="145"/>
      <c r="W40" s="145"/>
      <c r="X40" s="145"/>
      <c r="Y40" s="145"/>
      <c r="Z40" s="145"/>
    </row>
    <row r="41" spans="1:26" ht="13.2">
      <c r="A41" s="144">
        <v>0</v>
      </c>
      <c r="B41" s="145"/>
      <c r="C41" s="145"/>
      <c r="D41" s="145"/>
      <c r="E41" s="145"/>
      <c r="F41" s="145"/>
      <c r="G41" s="145"/>
      <c r="H41" s="145"/>
      <c r="I41" s="145"/>
      <c r="J41" s="145"/>
      <c r="K41" s="145"/>
      <c r="L41" s="145"/>
      <c r="M41" s="146"/>
      <c r="N41" s="145"/>
      <c r="O41" s="145"/>
      <c r="P41" s="145"/>
      <c r="Q41" s="145"/>
      <c r="R41" s="145"/>
      <c r="S41" s="145"/>
      <c r="T41" s="145"/>
      <c r="U41" s="145"/>
      <c r="V41" s="145"/>
      <c r="W41" s="145"/>
      <c r="X41" s="145"/>
      <c r="Y41" s="145"/>
      <c r="Z41" s="145"/>
    </row>
    <row r="42" spans="1:26" ht="13.2">
      <c r="A42" s="144">
        <v>0</v>
      </c>
      <c r="B42" s="145"/>
      <c r="C42" s="145"/>
      <c r="D42" s="145"/>
      <c r="E42" s="145"/>
      <c r="F42" s="145"/>
      <c r="G42" s="145"/>
      <c r="H42" s="145"/>
      <c r="I42" s="145"/>
      <c r="J42" s="145"/>
      <c r="K42" s="145"/>
      <c r="L42" s="145"/>
      <c r="M42" s="146"/>
      <c r="N42" s="145"/>
      <c r="O42" s="145"/>
      <c r="P42" s="145"/>
      <c r="Q42" s="145"/>
      <c r="R42" s="145"/>
      <c r="S42" s="145"/>
      <c r="T42" s="145"/>
      <c r="U42" s="145"/>
      <c r="V42" s="145"/>
      <c r="W42" s="145"/>
      <c r="X42" s="145"/>
      <c r="Y42" s="145"/>
      <c r="Z42" s="145"/>
    </row>
    <row r="43" spans="1:26" ht="13.2">
      <c r="A43" s="144">
        <v>0</v>
      </c>
      <c r="B43" s="145"/>
      <c r="C43" s="145"/>
      <c r="D43" s="145"/>
      <c r="E43" s="145"/>
      <c r="F43" s="145"/>
      <c r="G43" s="145"/>
      <c r="H43" s="145"/>
      <c r="I43" s="145"/>
      <c r="J43" s="145"/>
      <c r="K43" s="145"/>
      <c r="L43" s="145"/>
      <c r="M43" s="146"/>
      <c r="N43" s="145"/>
      <c r="O43" s="145"/>
      <c r="P43" s="145"/>
      <c r="Q43" s="145"/>
      <c r="R43" s="145"/>
      <c r="S43" s="145"/>
      <c r="T43" s="145"/>
      <c r="U43" s="145"/>
      <c r="V43" s="145"/>
      <c r="W43" s="145"/>
      <c r="X43" s="145"/>
      <c r="Y43" s="145"/>
      <c r="Z43" s="145"/>
    </row>
    <row r="44" spans="1:26" ht="13.2">
      <c r="A44" s="144">
        <v>0</v>
      </c>
      <c r="B44" s="145"/>
      <c r="C44" s="145"/>
      <c r="D44" s="145"/>
      <c r="E44" s="145"/>
      <c r="F44" s="145"/>
      <c r="G44" s="145"/>
      <c r="H44" s="145"/>
      <c r="I44" s="145"/>
      <c r="J44" s="145"/>
      <c r="K44" s="145"/>
      <c r="L44" s="145"/>
      <c r="M44" s="146"/>
      <c r="N44" s="145"/>
      <c r="O44" s="145"/>
      <c r="P44" s="145"/>
      <c r="Q44" s="145"/>
      <c r="R44" s="145"/>
      <c r="S44" s="145"/>
      <c r="T44" s="145"/>
      <c r="U44" s="145"/>
      <c r="V44" s="145"/>
      <c r="W44" s="145"/>
      <c r="X44" s="145"/>
      <c r="Y44" s="145"/>
      <c r="Z44" s="145"/>
    </row>
    <row r="45" spans="1:26" ht="13.2">
      <c r="A45" s="144">
        <v>0</v>
      </c>
      <c r="B45" s="145"/>
      <c r="C45" s="145"/>
      <c r="D45" s="145"/>
      <c r="E45" s="145"/>
      <c r="F45" s="145"/>
      <c r="G45" s="145"/>
      <c r="H45" s="145"/>
      <c r="I45" s="145"/>
      <c r="J45" s="145"/>
      <c r="K45" s="145"/>
      <c r="L45" s="145"/>
      <c r="M45" s="146"/>
      <c r="N45" s="145"/>
      <c r="O45" s="145"/>
      <c r="P45" s="145"/>
      <c r="Q45" s="145"/>
      <c r="R45" s="145"/>
      <c r="S45" s="145"/>
      <c r="T45" s="145"/>
      <c r="U45" s="145"/>
      <c r="V45" s="145"/>
      <c r="W45" s="145"/>
      <c r="X45" s="145"/>
      <c r="Y45" s="145"/>
      <c r="Z45" s="145"/>
    </row>
    <row r="46" spans="1:26" ht="13.2">
      <c r="A46" s="144">
        <v>0</v>
      </c>
      <c r="B46" s="145"/>
      <c r="C46" s="145"/>
      <c r="D46" s="145"/>
      <c r="E46" s="145"/>
      <c r="F46" s="145"/>
      <c r="G46" s="145"/>
      <c r="H46" s="145"/>
      <c r="I46" s="145"/>
      <c r="J46" s="145"/>
      <c r="K46" s="145"/>
      <c r="L46" s="145"/>
      <c r="M46" s="146"/>
      <c r="N46" s="145"/>
      <c r="O46" s="145"/>
      <c r="P46" s="145"/>
      <c r="Q46" s="145"/>
      <c r="R46" s="145"/>
      <c r="S46" s="145"/>
      <c r="T46" s="145"/>
      <c r="U46" s="145"/>
      <c r="V46" s="145"/>
      <c r="W46" s="145"/>
      <c r="X46" s="145"/>
      <c r="Y46" s="145"/>
      <c r="Z46" s="145"/>
    </row>
    <row r="47" spans="1:26" ht="13.2">
      <c r="A47" s="144">
        <v>0</v>
      </c>
      <c r="B47" s="145"/>
      <c r="C47" s="145"/>
      <c r="D47" s="145"/>
      <c r="E47" s="145"/>
      <c r="F47" s="145"/>
      <c r="G47" s="145"/>
      <c r="H47" s="145"/>
      <c r="I47" s="145"/>
      <c r="J47" s="145"/>
      <c r="K47" s="145"/>
      <c r="L47" s="145"/>
      <c r="M47" s="146"/>
      <c r="N47" s="145"/>
      <c r="O47" s="145"/>
      <c r="P47" s="145"/>
      <c r="Q47" s="145"/>
      <c r="R47" s="145"/>
      <c r="S47" s="145"/>
      <c r="T47" s="145"/>
      <c r="U47" s="145"/>
      <c r="V47" s="145"/>
      <c r="W47" s="145"/>
      <c r="X47" s="145"/>
      <c r="Y47" s="145"/>
      <c r="Z47" s="145"/>
    </row>
    <row r="48" spans="1:26" ht="13.2">
      <c r="A48" s="144">
        <v>0</v>
      </c>
      <c r="B48" s="145"/>
      <c r="C48" s="145"/>
      <c r="D48" s="145"/>
      <c r="E48" s="145"/>
      <c r="F48" s="145"/>
      <c r="G48" s="145"/>
      <c r="H48" s="145"/>
      <c r="I48" s="145"/>
      <c r="J48" s="145"/>
      <c r="K48" s="145"/>
      <c r="L48" s="145"/>
      <c r="M48" s="146"/>
      <c r="N48" s="145"/>
      <c r="O48" s="145"/>
      <c r="P48" s="145"/>
      <c r="Q48" s="145"/>
      <c r="R48" s="145"/>
      <c r="S48" s="145"/>
      <c r="T48" s="145"/>
      <c r="U48" s="145"/>
      <c r="V48" s="145"/>
      <c r="W48" s="145"/>
      <c r="X48" s="145"/>
      <c r="Y48" s="145"/>
      <c r="Z48" s="145"/>
    </row>
    <row r="49" spans="1:26" ht="13.2">
      <c r="A49" s="144">
        <v>0</v>
      </c>
      <c r="B49" s="145"/>
      <c r="C49" s="145"/>
      <c r="D49" s="145"/>
      <c r="E49" s="145"/>
      <c r="F49" s="145"/>
      <c r="G49" s="145"/>
      <c r="H49" s="145"/>
      <c r="I49" s="145"/>
      <c r="J49" s="145"/>
      <c r="K49" s="145"/>
      <c r="L49" s="145"/>
      <c r="M49" s="146"/>
      <c r="N49" s="145"/>
      <c r="O49" s="145"/>
      <c r="P49" s="145"/>
      <c r="Q49" s="145"/>
      <c r="R49" s="145"/>
      <c r="S49" s="145"/>
      <c r="T49" s="145"/>
      <c r="U49" s="145"/>
      <c r="V49" s="145"/>
      <c r="W49" s="145"/>
      <c r="X49" s="145"/>
      <c r="Y49" s="145"/>
      <c r="Z49" s="145"/>
    </row>
    <row r="50" spans="1:26" ht="13.2">
      <c r="A50" s="144">
        <v>0</v>
      </c>
      <c r="B50" s="145"/>
      <c r="C50" s="145"/>
      <c r="D50" s="145"/>
      <c r="E50" s="145"/>
      <c r="F50" s="145"/>
      <c r="G50" s="145"/>
      <c r="H50" s="145"/>
      <c r="I50" s="145"/>
      <c r="J50" s="145"/>
      <c r="K50" s="145"/>
      <c r="L50" s="145"/>
      <c r="M50" s="146"/>
      <c r="N50" s="145"/>
      <c r="O50" s="145"/>
      <c r="P50" s="145"/>
      <c r="Q50" s="145"/>
      <c r="R50" s="145"/>
      <c r="S50" s="145"/>
      <c r="T50" s="145"/>
      <c r="U50" s="145"/>
      <c r="V50" s="145"/>
      <c r="W50" s="145"/>
      <c r="X50" s="145"/>
      <c r="Y50" s="145"/>
      <c r="Z50" s="145"/>
    </row>
    <row r="51" spans="1:26" ht="13.2">
      <c r="A51" s="144">
        <v>0</v>
      </c>
      <c r="B51" s="145"/>
      <c r="C51" s="145"/>
      <c r="D51" s="145"/>
      <c r="E51" s="145"/>
      <c r="F51" s="145"/>
      <c r="G51" s="145"/>
      <c r="H51" s="145"/>
      <c r="I51" s="145"/>
      <c r="J51" s="145"/>
      <c r="K51" s="145"/>
      <c r="L51" s="145"/>
      <c r="M51" s="146"/>
      <c r="N51" s="145"/>
      <c r="O51" s="145"/>
      <c r="P51" s="145"/>
      <c r="Q51" s="145"/>
      <c r="R51" s="145"/>
      <c r="S51" s="145"/>
      <c r="T51" s="145"/>
      <c r="U51" s="145"/>
      <c r="V51" s="145"/>
      <c r="W51" s="145"/>
      <c r="X51" s="145"/>
      <c r="Y51" s="145"/>
      <c r="Z51" s="145"/>
    </row>
    <row r="52" spans="1:26" ht="13.2">
      <c r="A52" s="144">
        <v>0</v>
      </c>
      <c r="B52" s="145"/>
      <c r="C52" s="145"/>
      <c r="D52" s="145"/>
      <c r="E52" s="145"/>
      <c r="F52" s="145"/>
      <c r="G52" s="145"/>
      <c r="H52" s="145"/>
      <c r="I52" s="145"/>
      <c r="J52" s="145"/>
      <c r="K52" s="145"/>
      <c r="L52" s="145"/>
      <c r="M52" s="146"/>
      <c r="N52" s="145"/>
      <c r="O52" s="145"/>
      <c r="P52" s="145"/>
      <c r="Q52" s="145"/>
      <c r="R52" s="145"/>
      <c r="S52" s="145"/>
      <c r="T52" s="145"/>
      <c r="U52" s="145"/>
      <c r="V52" s="145"/>
      <c r="W52" s="145"/>
      <c r="X52" s="145"/>
      <c r="Y52" s="145"/>
      <c r="Z52" s="145"/>
    </row>
    <row r="53" spans="1:26" ht="13.2">
      <c r="A53" s="144">
        <v>0</v>
      </c>
      <c r="B53" s="145"/>
      <c r="C53" s="145"/>
      <c r="D53" s="145"/>
      <c r="E53" s="145"/>
      <c r="F53" s="145"/>
      <c r="G53" s="145"/>
      <c r="H53" s="145"/>
      <c r="I53" s="145"/>
      <c r="J53" s="145"/>
      <c r="K53" s="145"/>
      <c r="L53" s="145"/>
      <c r="M53" s="146"/>
      <c r="N53" s="145"/>
      <c r="O53" s="145"/>
      <c r="P53" s="145"/>
      <c r="Q53" s="145"/>
      <c r="R53" s="145"/>
      <c r="S53" s="145"/>
      <c r="T53" s="145"/>
      <c r="U53" s="145"/>
      <c r="V53" s="145"/>
      <c r="W53" s="145"/>
      <c r="X53" s="145"/>
      <c r="Y53" s="145"/>
      <c r="Z53" s="145"/>
    </row>
    <row r="54" spans="1:26" ht="13.2">
      <c r="A54" s="144">
        <v>0</v>
      </c>
      <c r="B54" s="145"/>
      <c r="C54" s="145"/>
      <c r="D54" s="145"/>
      <c r="E54" s="145"/>
      <c r="F54" s="145"/>
      <c r="G54" s="145"/>
      <c r="H54" s="145"/>
      <c r="I54" s="145"/>
      <c r="J54" s="145"/>
      <c r="K54" s="145"/>
      <c r="L54" s="145"/>
      <c r="M54" s="146"/>
      <c r="N54" s="145"/>
      <c r="O54" s="145"/>
      <c r="P54" s="145"/>
      <c r="Q54" s="145"/>
      <c r="R54" s="145"/>
      <c r="S54" s="145"/>
      <c r="T54" s="145"/>
      <c r="U54" s="145"/>
      <c r="V54" s="145"/>
      <c r="W54" s="145"/>
      <c r="X54" s="145"/>
      <c r="Y54" s="145"/>
      <c r="Z54" s="145"/>
    </row>
    <row r="55" spans="1:26" ht="13.2">
      <c r="A55" s="144">
        <v>0</v>
      </c>
      <c r="B55" s="145"/>
      <c r="C55" s="145"/>
      <c r="D55" s="145"/>
      <c r="E55" s="145"/>
      <c r="F55" s="145"/>
      <c r="G55" s="145"/>
      <c r="H55" s="145"/>
      <c r="I55" s="145"/>
      <c r="J55" s="145"/>
      <c r="K55" s="145"/>
      <c r="L55" s="145"/>
      <c r="M55" s="146"/>
      <c r="N55" s="145"/>
      <c r="O55" s="145"/>
      <c r="P55" s="145"/>
      <c r="Q55" s="145"/>
      <c r="R55" s="145"/>
      <c r="S55" s="145"/>
      <c r="T55" s="145"/>
      <c r="U55" s="145"/>
      <c r="V55" s="145"/>
      <c r="W55" s="145"/>
      <c r="X55" s="145"/>
      <c r="Y55" s="145"/>
      <c r="Z55" s="145"/>
    </row>
    <row r="56" spans="1:26" ht="13.2">
      <c r="A56" s="144">
        <v>0</v>
      </c>
      <c r="B56" s="145"/>
      <c r="C56" s="145"/>
      <c r="D56" s="145"/>
      <c r="E56" s="145"/>
      <c r="F56" s="145"/>
      <c r="G56" s="145"/>
      <c r="H56" s="145"/>
      <c r="I56" s="145"/>
      <c r="J56" s="145"/>
      <c r="K56" s="145"/>
      <c r="L56" s="145"/>
      <c r="M56" s="146"/>
      <c r="N56" s="145"/>
      <c r="O56" s="145"/>
      <c r="P56" s="145"/>
      <c r="Q56" s="145"/>
      <c r="R56" s="145"/>
      <c r="S56" s="145"/>
      <c r="T56" s="145"/>
      <c r="U56" s="145"/>
      <c r="V56" s="145"/>
      <c r="W56" s="145"/>
      <c r="X56" s="145"/>
      <c r="Y56" s="145"/>
      <c r="Z56" s="145"/>
    </row>
    <row r="57" spans="1:26" ht="13.2">
      <c r="A57" s="144">
        <v>0</v>
      </c>
      <c r="B57" s="145"/>
      <c r="C57" s="145"/>
      <c r="D57" s="145"/>
      <c r="E57" s="145"/>
      <c r="F57" s="145"/>
      <c r="G57" s="145"/>
      <c r="H57" s="145"/>
      <c r="I57" s="145"/>
      <c r="J57" s="145"/>
      <c r="K57" s="145"/>
      <c r="L57" s="145"/>
      <c r="M57" s="146"/>
      <c r="N57" s="145"/>
      <c r="O57" s="145"/>
      <c r="P57" s="145"/>
      <c r="Q57" s="145"/>
      <c r="R57" s="145"/>
      <c r="S57" s="145"/>
      <c r="T57" s="145"/>
      <c r="U57" s="145"/>
      <c r="V57" s="145"/>
      <c r="W57" s="145"/>
      <c r="X57" s="145"/>
      <c r="Y57" s="145"/>
      <c r="Z57" s="145"/>
    </row>
    <row r="58" spans="1:26" ht="13.2">
      <c r="A58" s="144">
        <v>0</v>
      </c>
      <c r="B58" s="145"/>
      <c r="C58" s="145"/>
      <c r="D58" s="145"/>
      <c r="E58" s="145"/>
      <c r="F58" s="145"/>
      <c r="G58" s="145"/>
      <c r="H58" s="145"/>
      <c r="I58" s="145"/>
      <c r="J58" s="145"/>
      <c r="K58" s="145"/>
      <c r="L58" s="145"/>
      <c r="M58" s="146"/>
      <c r="N58" s="145"/>
      <c r="O58" s="145"/>
      <c r="P58" s="145"/>
      <c r="Q58" s="145"/>
      <c r="R58" s="145"/>
      <c r="S58" s="145"/>
      <c r="T58" s="145"/>
      <c r="U58" s="145"/>
      <c r="V58" s="145"/>
      <c r="W58" s="145"/>
      <c r="X58" s="145"/>
      <c r="Y58" s="145"/>
      <c r="Z58" s="145"/>
    </row>
    <row r="59" spans="1:26" ht="13.2">
      <c r="A59" s="144">
        <v>0</v>
      </c>
      <c r="B59" s="145"/>
      <c r="C59" s="145"/>
      <c r="D59" s="145"/>
      <c r="E59" s="145"/>
      <c r="F59" s="145"/>
      <c r="G59" s="145"/>
      <c r="H59" s="145"/>
      <c r="I59" s="145"/>
      <c r="J59" s="145"/>
      <c r="K59" s="145"/>
      <c r="L59" s="145"/>
      <c r="M59" s="146"/>
      <c r="N59" s="145"/>
      <c r="O59" s="145"/>
      <c r="P59" s="145"/>
      <c r="Q59" s="145"/>
      <c r="R59" s="145"/>
      <c r="S59" s="145"/>
      <c r="T59" s="145"/>
      <c r="U59" s="145"/>
      <c r="V59" s="145"/>
      <c r="W59" s="145"/>
      <c r="X59" s="145"/>
      <c r="Y59" s="145"/>
      <c r="Z59" s="145"/>
    </row>
    <row r="60" spans="1:26" ht="13.2">
      <c r="A60" s="144">
        <v>0</v>
      </c>
      <c r="B60" s="145"/>
      <c r="C60" s="145"/>
      <c r="D60" s="145"/>
      <c r="E60" s="145"/>
      <c r="F60" s="145"/>
      <c r="G60" s="145"/>
      <c r="H60" s="145"/>
      <c r="I60" s="145"/>
      <c r="J60" s="145"/>
      <c r="K60" s="145"/>
      <c r="L60" s="145"/>
      <c r="M60" s="146"/>
      <c r="N60" s="145"/>
      <c r="O60" s="145"/>
      <c r="P60" s="145"/>
      <c r="Q60" s="145"/>
      <c r="R60" s="145"/>
      <c r="S60" s="145"/>
      <c r="T60" s="145"/>
      <c r="U60" s="145"/>
      <c r="V60" s="145"/>
      <c r="W60" s="145"/>
      <c r="X60" s="145"/>
      <c r="Y60" s="145"/>
      <c r="Z60" s="145"/>
    </row>
    <row r="61" spans="1:26" ht="13.2">
      <c r="A61" s="144">
        <v>0</v>
      </c>
      <c r="B61" s="145"/>
      <c r="C61" s="145"/>
      <c r="D61" s="145"/>
      <c r="E61" s="145"/>
      <c r="F61" s="145"/>
      <c r="G61" s="145"/>
      <c r="H61" s="145"/>
      <c r="I61" s="145"/>
      <c r="J61" s="145"/>
      <c r="K61" s="145"/>
      <c r="L61" s="145"/>
      <c r="M61" s="146"/>
      <c r="N61" s="145"/>
      <c r="O61" s="145"/>
      <c r="P61" s="145"/>
      <c r="Q61" s="145"/>
      <c r="R61" s="145"/>
      <c r="S61" s="145"/>
      <c r="T61" s="145"/>
      <c r="U61" s="145"/>
      <c r="V61" s="145"/>
      <c r="W61" s="145"/>
      <c r="X61" s="145"/>
      <c r="Y61" s="145"/>
      <c r="Z61" s="145"/>
    </row>
    <row r="62" spans="1:26" ht="13.2">
      <c r="A62" s="144">
        <v>0</v>
      </c>
      <c r="B62" s="145"/>
      <c r="C62" s="145"/>
      <c r="D62" s="145"/>
      <c r="E62" s="145"/>
      <c r="F62" s="145"/>
      <c r="G62" s="145"/>
      <c r="H62" s="145"/>
      <c r="I62" s="145"/>
      <c r="J62" s="145"/>
      <c r="K62" s="145"/>
      <c r="L62" s="145"/>
      <c r="M62" s="146"/>
      <c r="N62" s="145"/>
      <c r="O62" s="145"/>
      <c r="P62" s="145"/>
      <c r="Q62" s="145"/>
      <c r="R62" s="145"/>
      <c r="S62" s="145"/>
      <c r="T62" s="145"/>
      <c r="U62" s="145"/>
      <c r="V62" s="145"/>
      <c r="W62" s="145"/>
      <c r="X62" s="145"/>
      <c r="Y62" s="145"/>
      <c r="Z62" s="145"/>
    </row>
    <row r="63" spans="1:26" ht="13.2">
      <c r="A63" s="144">
        <v>0</v>
      </c>
      <c r="B63" s="145"/>
      <c r="C63" s="145"/>
      <c r="D63" s="145"/>
      <c r="E63" s="145"/>
      <c r="F63" s="145"/>
      <c r="G63" s="145"/>
      <c r="H63" s="145"/>
      <c r="I63" s="145"/>
      <c r="J63" s="145"/>
      <c r="K63" s="145"/>
      <c r="L63" s="145"/>
      <c r="M63" s="146"/>
      <c r="N63" s="145"/>
      <c r="O63" s="145"/>
      <c r="P63" s="145"/>
      <c r="Q63" s="145"/>
      <c r="R63" s="145"/>
      <c r="S63" s="145"/>
      <c r="T63" s="145"/>
      <c r="U63" s="145"/>
      <c r="V63" s="145"/>
      <c r="W63" s="145"/>
      <c r="X63" s="145"/>
      <c r="Y63" s="145"/>
      <c r="Z63" s="145"/>
    </row>
    <row r="64" spans="1:26" ht="13.2">
      <c r="A64" s="144">
        <v>0</v>
      </c>
      <c r="B64" s="145"/>
      <c r="C64" s="145"/>
      <c r="D64" s="145"/>
      <c r="E64" s="145"/>
      <c r="F64" s="145"/>
      <c r="G64" s="145"/>
      <c r="H64" s="145"/>
      <c r="I64" s="145"/>
      <c r="J64" s="145"/>
      <c r="K64" s="145"/>
      <c r="L64" s="145"/>
      <c r="M64" s="146"/>
      <c r="N64" s="145"/>
      <c r="O64" s="145"/>
      <c r="P64" s="145"/>
      <c r="Q64" s="145"/>
      <c r="R64" s="145"/>
      <c r="S64" s="145"/>
      <c r="T64" s="145"/>
      <c r="U64" s="145"/>
      <c r="V64" s="145"/>
      <c r="W64" s="145"/>
      <c r="X64" s="145"/>
      <c r="Y64" s="145"/>
      <c r="Z64" s="145"/>
    </row>
    <row r="65" spans="1:26" ht="13.2">
      <c r="A65" s="144">
        <v>0</v>
      </c>
      <c r="B65" s="145"/>
      <c r="C65" s="145"/>
      <c r="D65" s="145"/>
      <c r="E65" s="145"/>
      <c r="F65" s="145"/>
      <c r="G65" s="145"/>
      <c r="H65" s="145"/>
      <c r="I65" s="145"/>
      <c r="J65" s="145"/>
      <c r="K65" s="145"/>
      <c r="L65" s="145"/>
      <c r="M65" s="146"/>
      <c r="N65" s="145"/>
      <c r="O65" s="145"/>
      <c r="P65" s="145"/>
      <c r="Q65" s="145"/>
      <c r="R65" s="145"/>
      <c r="S65" s="145"/>
      <c r="T65" s="145"/>
      <c r="U65" s="145"/>
      <c r="V65" s="145"/>
      <c r="W65" s="145"/>
      <c r="X65" s="145"/>
      <c r="Y65" s="145"/>
      <c r="Z65" s="145"/>
    </row>
    <row r="66" spans="1:26" ht="13.2">
      <c r="A66" s="144">
        <v>0</v>
      </c>
      <c r="B66" s="145"/>
      <c r="C66" s="145"/>
      <c r="D66" s="145"/>
      <c r="E66" s="145"/>
      <c r="F66" s="145"/>
      <c r="G66" s="145"/>
      <c r="H66" s="145"/>
      <c r="I66" s="145"/>
      <c r="J66" s="145"/>
      <c r="K66" s="145"/>
      <c r="L66" s="145"/>
      <c r="M66" s="146"/>
      <c r="N66" s="145"/>
      <c r="O66" s="145"/>
      <c r="P66" s="145"/>
      <c r="Q66" s="145"/>
      <c r="R66" s="145"/>
      <c r="S66" s="145"/>
      <c r="T66" s="145"/>
      <c r="U66" s="145"/>
      <c r="V66" s="145"/>
      <c r="W66" s="145"/>
      <c r="X66" s="145"/>
      <c r="Y66" s="145"/>
      <c r="Z66" s="145"/>
    </row>
    <row r="67" spans="1:26" ht="13.2">
      <c r="A67" s="144">
        <v>0</v>
      </c>
      <c r="B67" s="145"/>
      <c r="C67" s="145"/>
      <c r="D67" s="145"/>
      <c r="E67" s="145"/>
      <c r="F67" s="145"/>
      <c r="G67" s="145"/>
      <c r="H67" s="145"/>
      <c r="I67" s="145"/>
      <c r="J67" s="145"/>
      <c r="K67" s="145"/>
      <c r="L67" s="145"/>
      <c r="M67" s="146"/>
      <c r="N67" s="145"/>
      <c r="O67" s="145"/>
      <c r="P67" s="145"/>
      <c r="Q67" s="145"/>
      <c r="R67" s="145"/>
      <c r="S67" s="145"/>
      <c r="T67" s="145"/>
      <c r="U67" s="145"/>
      <c r="V67" s="145"/>
      <c r="W67" s="145"/>
      <c r="X67" s="145"/>
      <c r="Y67" s="145"/>
      <c r="Z67" s="145"/>
    </row>
    <row r="68" spans="1:26" ht="13.2">
      <c r="A68" s="144">
        <v>0</v>
      </c>
      <c r="B68" s="145"/>
      <c r="C68" s="145"/>
      <c r="D68" s="145"/>
      <c r="E68" s="145"/>
      <c r="F68" s="145"/>
      <c r="G68" s="145"/>
      <c r="H68" s="145"/>
      <c r="I68" s="145"/>
      <c r="J68" s="145"/>
      <c r="K68" s="145"/>
      <c r="L68" s="145"/>
      <c r="M68" s="146"/>
      <c r="N68" s="145"/>
      <c r="O68" s="145"/>
      <c r="P68" s="145"/>
      <c r="Q68" s="145"/>
      <c r="R68" s="145"/>
      <c r="S68" s="145"/>
      <c r="T68" s="145"/>
      <c r="U68" s="145"/>
      <c r="V68" s="145"/>
      <c r="W68" s="145"/>
      <c r="X68" s="145"/>
      <c r="Y68" s="145"/>
      <c r="Z68" s="145"/>
    </row>
    <row r="69" spans="1:26" ht="13.2">
      <c r="A69" s="144">
        <v>0</v>
      </c>
      <c r="B69" s="145"/>
      <c r="C69" s="145"/>
      <c r="D69" s="145"/>
      <c r="E69" s="145"/>
      <c r="F69" s="145"/>
      <c r="G69" s="145"/>
      <c r="H69" s="145"/>
      <c r="I69" s="145"/>
      <c r="J69" s="145"/>
      <c r="K69" s="145"/>
      <c r="L69" s="145"/>
      <c r="M69" s="146"/>
      <c r="N69" s="145"/>
      <c r="O69" s="145"/>
      <c r="P69" s="145"/>
      <c r="Q69" s="145"/>
      <c r="R69" s="145"/>
      <c r="S69" s="145"/>
      <c r="T69" s="145"/>
      <c r="U69" s="145"/>
      <c r="V69" s="145"/>
      <c r="W69" s="145"/>
      <c r="X69" s="145"/>
      <c r="Y69" s="145"/>
      <c r="Z69" s="145"/>
    </row>
    <row r="70" spans="1:26" ht="13.2">
      <c r="A70" s="144">
        <v>0</v>
      </c>
      <c r="B70" s="145"/>
      <c r="C70" s="145"/>
      <c r="D70" s="145"/>
      <c r="E70" s="145"/>
      <c r="F70" s="145"/>
      <c r="G70" s="145"/>
      <c r="H70" s="145"/>
      <c r="I70" s="145"/>
      <c r="J70" s="145"/>
      <c r="K70" s="145"/>
      <c r="L70" s="145"/>
      <c r="M70" s="146"/>
      <c r="N70" s="145"/>
      <c r="O70" s="145"/>
      <c r="P70" s="145"/>
      <c r="Q70" s="145"/>
      <c r="R70" s="145"/>
      <c r="S70" s="145"/>
      <c r="T70" s="145"/>
      <c r="U70" s="145"/>
      <c r="V70" s="145"/>
      <c r="W70" s="145"/>
      <c r="X70" s="145"/>
      <c r="Y70" s="145"/>
      <c r="Z70" s="145"/>
    </row>
    <row r="71" spans="1:26" ht="13.2">
      <c r="A71" s="144">
        <v>0</v>
      </c>
      <c r="B71" s="145"/>
      <c r="C71" s="145"/>
      <c r="D71" s="145"/>
      <c r="E71" s="145"/>
      <c r="F71" s="145"/>
      <c r="G71" s="145"/>
      <c r="H71" s="145"/>
      <c r="I71" s="145"/>
      <c r="J71" s="145"/>
      <c r="K71" s="145"/>
      <c r="L71" s="145"/>
      <c r="M71" s="146"/>
      <c r="N71" s="145"/>
      <c r="O71" s="145"/>
      <c r="P71" s="145"/>
      <c r="Q71" s="145"/>
      <c r="R71" s="145"/>
      <c r="S71" s="145"/>
      <c r="T71" s="145"/>
      <c r="U71" s="145"/>
      <c r="V71" s="145"/>
      <c r="W71" s="145"/>
      <c r="X71" s="145"/>
      <c r="Y71" s="145"/>
      <c r="Z71" s="145"/>
    </row>
    <row r="72" spans="1:26" ht="13.2">
      <c r="A72" s="144">
        <v>0</v>
      </c>
      <c r="B72" s="145"/>
      <c r="C72" s="145"/>
      <c r="D72" s="145"/>
      <c r="E72" s="145"/>
      <c r="F72" s="145"/>
      <c r="G72" s="145"/>
      <c r="H72" s="145"/>
      <c r="I72" s="145"/>
      <c r="J72" s="145"/>
      <c r="K72" s="145"/>
      <c r="L72" s="145"/>
      <c r="M72" s="146"/>
      <c r="N72" s="145"/>
      <c r="O72" s="145"/>
      <c r="P72" s="145"/>
      <c r="Q72" s="145"/>
      <c r="R72" s="145"/>
      <c r="S72" s="145"/>
      <c r="T72" s="145"/>
      <c r="U72" s="145"/>
      <c r="V72" s="145"/>
      <c r="W72" s="145"/>
      <c r="X72" s="145"/>
      <c r="Y72" s="145"/>
      <c r="Z72" s="145"/>
    </row>
    <row r="73" spans="1:26" ht="13.2">
      <c r="A73" s="144">
        <v>0</v>
      </c>
      <c r="B73" s="145"/>
      <c r="C73" s="145"/>
      <c r="D73" s="145"/>
      <c r="E73" s="145"/>
      <c r="F73" s="145"/>
      <c r="G73" s="145"/>
      <c r="H73" s="145"/>
      <c r="I73" s="145"/>
      <c r="J73" s="145"/>
      <c r="K73" s="145"/>
      <c r="L73" s="145"/>
      <c r="M73" s="146"/>
      <c r="N73" s="145"/>
      <c r="O73" s="145"/>
      <c r="P73" s="145"/>
      <c r="Q73" s="145"/>
      <c r="R73" s="145"/>
      <c r="S73" s="145"/>
      <c r="T73" s="145"/>
      <c r="U73" s="145"/>
      <c r="V73" s="145"/>
      <c r="W73" s="145"/>
      <c r="X73" s="145"/>
      <c r="Y73" s="145"/>
      <c r="Z73" s="145"/>
    </row>
    <row r="74" spans="1:26" ht="13.2">
      <c r="A74" s="144">
        <v>0</v>
      </c>
      <c r="B74" s="145"/>
      <c r="C74" s="145"/>
      <c r="D74" s="145"/>
      <c r="E74" s="145"/>
      <c r="F74" s="145"/>
      <c r="G74" s="145"/>
      <c r="H74" s="145"/>
      <c r="I74" s="145"/>
      <c r="J74" s="145"/>
      <c r="K74" s="145"/>
      <c r="L74" s="145"/>
      <c r="M74" s="146"/>
      <c r="N74" s="145"/>
      <c r="O74" s="145"/>
      <c r="P74" s="145"/>
      <c r="Q74" s="145"/>
      <c r="R74" s="145"/>
      <c r="S74" s="145"/>
      <c r="T74" s="145"/>
      <c r="U74" s="145"/>
      <c r="V74" s="145"/>
      <c r="W74" s="145"/>
      <c r="X74" s="145"/>
      <c r="Y74" s="145"/>
      <c r="Z74" s="145"/>
    </row>
    <row r="75" spans="1:26" ht="13.2">
      <c r="A75" s="144">
        <v>0</v>
      </c>
      <c r="B75" s="145"/>
      <c r="C75" s="145"/>
      <c r="D75" s="145"/>
      <c r="E75" s="145"/>
      <c r="F75" s="145"/>
      <c r="G75" s="145"/>
      <c r="H75" s="145"/>
      <c r="I75" s="145"/>
      <c r="J75" s="145"/>
      <c r="K75" s="145"/>
      <c r="L75" s="145"/>
      <c r="M75" s="146"/>
      <c r="N75" s="145"/>
      <c r="O75" s="145"/>
      <c r="P75" s="145"/>
      <c r="Q75" s="145"/>
      <c r="R75" s="145"/>
      <c r="S75" s="145"/>
      <c r="T75" s="145"/>
      <c r="U75" s="145"/>
      <c r="V75" s="145"/>
      <c r="W75" s="145"/>
      <c r="X75" s="145"/>
      <c r="Y75" s="145"/>
      <c r="Z75" s="145"/>
    </row>
    <row r="76" spans="1:26" ht="13.2">
      <c r="A76" s="144">
        <v>0</v>
      </c>
      <c r="B76" s="145"/>
      <c r="C76" s="145"/>
      <c r="D76" s="145"/>
      <c r="E76" s="145"/>
      <c r="F76" s="145"/>
      <c r="G76" s="145"/>
      <c r="H76" s="145"/>
      <c r="I76" s="145"/>
      <c r="J76" s="145"/>
      <c r="K76" s="145"/>
      <c r="L76" s="145"/>
      <c r="M76" s="146"/>
      <c r="N76" s="145"/>
      <c r="O76" s="145"/>
      <c r="P76" s="145"/>
      <c r="Q76" s="145"/>
      <c r="R76" s="145"/>
      <c r="S76" s="145"/>
      <c r="T76" s="145"/>
      <c r="U76" s="145"/>
      <c r="V76" s="145"/>
      <c r="W76" s="145"/>
      <c r="X76" s="145"/>
      <c r="Y76" s="145"/>
      <c r="Z76" s="145"/>
    </row>
    <row r="77" spans="1:26" ht="13.2">
      <c r="A77" s="144">
        <v>0</v>
      </c>
      <c r="B77" s="145"/>
      <c r="C77" s="145"/>
      <c r="D77" s="145"/>
      <c r="E77" s="145"/>
      <c r="F77" s="145"/>
      <c r="G77" s="145"/>
      <c r="H77" s="145"/>
      <c r="I77" s="145"/>
      <c r="J77" s="145"/>
      <c r="K77" s="145"/>
      <c r="L77" s="145"/>
      <c r="M77" s="146"/>
      <c r="N77" s="145"/>
      <c r="O77" s="145"/>
      <c r="P77" s="145"/>
      <c r="Q77" s="145"/>
      <c r="R77" s="145"/>
      <c r="S77" s="145"/>
      <c r="T77" s="145"/>
      <c r="U77" s="145"/>
      <c r="V77" s="145"/>
      <c r="W77" s="145"/>
      <c r="X77" s="145"/>
      <c r="Y77" s="145"/>
      <c r="Z77" s="145"/>
    </row>
    <row r="78" spans="1:26" ht="13.2">
      <c r="A78" s="144">
        <v>0</v>
      </c>
      <c r="B78" s="145"/>
      <c r="C78" s="145"/>
      <c r="D78" s="145"/>
      <c r="E78" s="145"/>
      <c r="F78" s="145"/>
      <c r="G78" s="145"/>
      <c r="H78" s="145"/>
      <c r="I78" s="145"/>
      <c r="J78" s="145"/>
      <c r="K78" s="145"/>
      <c r="L78" s="145"/>
      <c r="M78" s="146"/>
      <c r="N78" s="145"/>
      <c r="O78" s="145"/>
      <c r="P78" s="145"/>
      <c r="Q78" s="145"/>
      <c r="R78" s="145"/>
      <c r="S78" s="145"/>
      <c r="T78" s="145"/>
      <c r="U78" s="145"/>
      <c r="V78" s="145"/>
      <c r="W78" s="145"/>
      <c r="X78" s="145"/>
      <c r="Y78" s="145"/>
      <c r="Z78" s="145"/>
    </row>
    <row r="79" spans="1:26" ht="13.2">
      <c r="A79" s="144">
        <v>0</v>
      </c>
      <c r="B79" s="145"/>
      <c r="C79" s="145"/>
      <c r="D79" s="145"/>
      <c r="E79" s="145"/>
      <c r="F79" s="145"/>
      <c r="G79" s="145"/>
      <c r="H79" s="145"/>
      <c r="I79" s="145"/>
      <c r="J79" s="145"/>
      <c r="K79" s="145"/>
      <c r="L79" s="145"/>
      <c r="M79" s="146"/>
      <c r="N79" s="145"/>
      <c r="O79" s="145"/>
      <c r="P79" s="145"/>
      <c r="Q79" s="145"/>
      <c r="R79" s="145"/>
      <c r="S79" s="145"/>
      <c r="T79" s="145"/>
      <c r="U79" s="145"/>
      <c r="V79" s="145"/>
      <c r="W79" s="145"/>
      <c r="X79" s="145"/>
      <c r="Y79" s="145"/>
      <c r="Z79" s="145"/>
    </row>
    <row r="80" spans="1:26" ht="13.2">
      <c r="A80" s="144">
        <v>0</v>
      </c>
      <c r="B80" s="145"/>
      <c r="C80" s="145"/>
      <c r="D80" s="145"/>
      <c r="E80" s="145"/>
      <c r="F80" s="145"/>
      <c r="G80" s="145"/>
      <c r="H80" s="145"/>
      <c r="I80" s="145"/>
      <c r="J80" s="145"/>
      <c r="K80" s="145"/>
      <c r="L80" s="145"/>
      <c r="M80" s="146"/>
      <c r="N80" s="145"/>
      <c r="O80" s="145"/>
      <c r="P80" s="145"/>
      <c r="Q80" s="145"/>
      <c r="R80" s="145"/>
      <c r="S80" s="145"/>
      <c r="T80" s="145"/>
      <c r="U80" s="145"/>
      <c r="V80" s="145"/>
      <c r="W80" s="145"/>
      <c r="X80" s="145"/>
      <c r="Y80" s="145"/>
      <c r="Z80" s="145"/>
    </row>
    <row r="81" spans="1:26" ht="13.2">
      <c r="A81" s="144">
        <v>0</v>
      </c>
      <c r="B81" s="145"/>
      <c r="C81" s="145"/>
      <c r="D81" s="145"/>
      <c r="E81" s="145"/>
      <c r="F81" s="145"/>
      <c r="G81" s="145"/>
      <c r="H81" s="145"/>
      <c r="I81" s="145"/>
      <c r="J81" s="145"/>
      <c r="K81" s="145"/>
      <c r="L81" s="145"/>
      <c r="M81" s="146"/>
      <c r="N81" s="145"/>
      <c r="O81" s="145"/>
      <c r="P81" s="145"/>
      <c r="Q81" s="145"/>
      <c r="R81" s="145"/>
      <c r="S81" s="145"/>
      <c r="T81" s="145"/>
      <c r="U81" s="145"/>
      <c r="V81" s="145"/>
      <c r="W81" s="145"/>
      <c r="X81" s="145"/>
      <c r="Y81" s="145"/>
      <c r="Z81" s="145"/>
    </row>
    <row r="82" spans="1:26" ht="13.2">
      <c r="A82" s="144">
        <v>0</v>
      </c>
      <c r="B82" s="145"/>
      <c r="C82" s="145"/>
      <c r="D82" s="145"/>
      <c r="E82" s="145"/>
      <c r="F82" s="145"/>
      <c r="G82" s="145"/>
      <c r="H82" s="145"/>
      <c r="I82" s="145"/>
      <c r="J82" s="145"/>
      <c r="K82" s="145"/>
      <c r="L82" s="145"/>
      <c r="M82" s="146"/>
      <c r="N82" s="145"/>
      <c r="O82" s="145"/>
      <c r="P82" s="145"/>
      <c r="Q82" s="145"/>
      <c r="R82" s="145"/>
      <c r="S82" s="145"/>
      <c r="T82" s="145"/>
      <c r="U82" s="145"/>
      <c r="V82" s="145"/>
      <c r="W82" s="145"/>
      <c r="X82" s="145"/>
      <c r="Y82" s="145"/>
      <c r="Z82" s="145"/>
    </row>
    <row r="83" spans="1:26" ht="13.2">
      <c r="A83" s="144">
        <v>0</v>
      </c>
      <c r="B83" s="145"/>
      <c r="C83" s="145"/>
      <c r="D83" s="145"/>
      <c r="E83" s="145"/>
      <c r="F83" s="145"/>
      <c r="G83" s="145"/>
      <c r="H83" s="145"/>
      <c r="I83" s="145"/>
      <c r="J83" s="145"/>
      <c r="K83" s="145"/>
      <c r="L83" s="145"/>
      <c r="M83" s="146"/>
      <c r="N83" s="145"/>
      <c r="O83" s="145"/>
      <c r="P83" s="145"/>
      <c r="Q83" s="145"/>
      <c r="R83" s="145"/>
      <c r="S83" s="145"/>
      <c r="T83" s="145"/>
      <c r="U83" s="145"/>
      <c r="V83" s="145"/>
      <c r="W83" s="145"/>
      <c r="X83" s="145"/>
      <c r="Y83" s="145"/>
      <c r="Z83" s="145"/>
    </row>
    <row r="84" spans="1:26" ht="13.2">
      <c r="A84" s="144">
        <v>0</v>
      </c>
      <c r="B84" s="145"/>
      <c r="C84" s="145"/>
      <c r="D84" s="145"/>
      <c r="E84" s="145"/>
      <c r="F84" s="145"/>
      <c r="G84" s="145"/>
      <c r="H84" s="145"/>
      <c r="I84" s="145"/>
      <c r="J84" s="145"/>
      <c r="K84" s="145"/>
      <c r="L84" s="145"/>
      <c r="M84" s="146"/>
      <c r="N84" s="145"/>
      <c r="O84" s="145"/>
      <c r="P84" s="145"/>
      <c r="Q84" s="145"/>
      <c r="R84" s="145"/>
      <c r="S84" s="145"/>
      <c r="T84" s="145"/>
      <c r="U84" s="145"/>
      <c r="V84" s="145"/>
      <c r="W84" s="145"/>
      <c r="X84" s="145"/>
      <c r="Y84" s="145"/>
      <c r="Z84" s="145"/>
    </row>
    <row r="85" spans="1:26" ht="13.2">
      <c r="A85" s="144">
        <v>0</v>
      </c>
      <c r="B85" s="145"/>
      <c r="C85" s="145"/>
      <c r="D85" s="145"/>
      <c r="E85" s="145"/>
      <c r="F85" s="145"/>
      <c r="G85" s="145"/>
      <c r="H85" s="145"/>
      <c r="I85" s="145"/>
      <c r="J85" s="145"/>
      <c r="K85" s="145"/>
      <c r="L85" s="145"/>
      <c r="M85" s="146"/>
      <c r="N85" s="145"/>
      <c r="O85" s="145"/>
      <c r="P85" s="145"/>
      <c r="Q85" s="145"/>
      <c r="R85" s="145"/>
      <c r="S85" s="145"/>
      <c r="T85" s="145"/>
      <c r="U85" s="145"/>
      <c r="V85" s="145"/>
      <c r="W85" s="145"/>
      <c r="X85" s="145"/>
      <c r="Y85" s="145"/>
      <c r="Z85" s="145"/>
    </row>
    <row r="86" spans="1:26" ht="13.2">
      <c r="A86" s="144">
        <v>0</v>
      </c>
      <c r="B86" s="145"/>
      <c r="C86" s="145"/>
      <c r="D86" s="145"/>
      <c r="E86" s="145"/>
      <c r="F86" s="145"/>
      <c r="G86" s="145"/>
      <c r="H86" s="145"/>
      <c r="I86" s="145"/>
      <c r="J86" s="145"/>
      <c r="K86" s="145"/>
      <c r="L86" s="145"/>
      <c r="M86" s="146"/>
      <c r="N86" s="145"/>
      <c r="O86" s="145"/>
      <c r="P86" s="145"/>
      <c r="Q86" s="145"/>
      <c r="R86" s="145"/>
      <c r="S86" s="145"/>
      <c r="T86" s="145"/>
      <c r="U86" s="145"/>
      <c r="V86" s="145"/>
      <c r="W86" s="145"/>
      <c r="X86" s="145"/>
      <c r="Y86" s="145"/>
      <c r="Z86" s="145"/>
    </row>
    <row r="87" spans="1:26" ht="13.2">
      <c r="A87" s="144">
        <v>0</v>
      </c>
      <c r="B87" s="145"/>
      <c r="C87" s="145"/>
      <c r="D87" s="145"/>
      <c r="E87" s="145"/>
      <c r="F87" s="145"/>
      <c r="G87" s="145"/>
      <c r="H87" s="145"/>
      <c r="I87" s="145"/>
      <c r="J87" s="145"/>
      <c r="K87" s="145"/>
      <c r="L87" s="145"/>
      <c r="M87" s="146"/>
      <c r="N87" s="145"/>
      <c r="O87" s="145"/>
      <c r="P87" s="145"/>
      <c r="Q87" s="145"/>
      <c r="R87" s="145"/>
      <c r="S87" s="145"/>
      <c r="T87" s="145"/>
      <c r="U87" s="145"/>
      <c r="V87" s="145"/>
      <c r="W87" s="145"/>
      <c r="X87" s="145"/>
      <c r="Y87" s="145"/>
      <c r="Z87" s="145"/>
    </row>
    <row r="88" spans="1:26" ht="13.2">
      <c r="A88" s="144">
        <v>0</v>
      </c>
      <c r="B88" s="145"/>
      <c r="C88" s="145"/>
      <c r="D88" s="145"/>
      <c r="E88" s="145"/>
      <c r="F88" s="145"/>
      <c r="G88" s="145"/>
      <c r="H88" s="145"/>
      <c r="I88" s="145"/>
      <c r="J88" s="145"/>
      <c r="K88" s="145"/>
      <c r="L88" s="145"/>
      <c r="M88" s="146"/>
      <c r="N88" s="145"/>
      <c r="O88" s="145"/>
      <c r="P88" s="145"/>
      <c r="Q88" s="145"/>
      <c r="R88" s="145"/>
      <c r="S88" s="145"/>
      <c r="T88" s="145"/>
      <c r="U88" s="145"/>
      <c r="V88" s="145"/>
      <c r="W88" s="145"/>
      <c r="X88" s="145"/>
      <c r="Y88" s="145"/>
      <c r="Z88" s="145"/>
    </row>
    <row r="89" spans="1:26" ht="13.2">
      <c r="A89" s="144">
        <v>0</v>
      </c>
      <c r="B89" s="145"/>
      <c r="C89" s="145"/>
      <c r="D89" s="145"/>
      <c r="E89" s="145"/>
      <c r="F89" s="145"/>
      <c r="G89" s="145"/>
      <c r="H89" s="145"/>
      <c r="I89" s="145"/>
      <c r="J89" s="145"/>
      <c r="K89" s="145"/>
      <c r="L89" s="145"/>
      <c r="M89" s="146"/>
      <c r="N89" s="145"/>
      <c r="O89" s="145"/>
      <c r="P89" s="145"/>
      <c r="Q89" s="145"/>
      <c r="R89" s="145"/>
      <c r="S89" s="145"/>
      <c r="T89" s="145"/>
      <c r="U89" s="145"/>
      <c r="V89" s="145"/>
      <c r="W89" s="145"/>
      <c r="X89" s="145"/>
      <c r="Y89" s="145"/>
      <c r="Z89" s="145"/>
    </row>
    <row r="90" spans="1:26" ht="13.2">
      <c r="A90" s="144">
        <v>0</v>
      </c>
      <c r="B90" s="145"/>
      <c r="C90" s="145"/>
      <c r="D90" s="145"/>
      <c r="E90" s="145"/>
      <c r="F90" s="145"/>
      <c r="G90" s="145"/>
      <c r="H90" s="145"/>
      <c r="I90" s="145"/>
      <c r="J90" s="145"/>
      <c r="K90" s="145"/>
      <c r="L90" s="145"/>
      <c r="M90" s="146"/>
      <c r="N90" s="145"/>
      <c r="O90" s="145"/>
      <c r="P90" s="145"/>
      <c r="Q90" s="145"/>
      <c r="R90" s="145"/>
      <c r="S90" s="145"/>
      <c r="T90" s="145"/>
      <c r="U90" s="145"/>
      <c r="V90" s="145"/>
      <c r="W90" s="145"/>
      <c r="X90" s="145"/>
      <c r="Y90" s="145"/>
      <c r="Z90" s="145"/>
    </row>
    <row r="91" spans="1:26" ht="13.2">
      <c r="A91" s="144">
        <v>0</v>
      </c>
      <c r="B91" s="145"/>
      <c r="C91" s="145"/>
      <c r="D91" s="145"/>
      <c r="E91" s="145"/>
      <c r="F91" s="145"/>
      <c r="G91" s="145"/>
      <c r="H91" s="145"/>
      <c r="I91" s="145"/>
      <c r="J91" s="145"/>
      <c r="K91" s="145"/>
      <c r="L91" s="145"/>
      <c r="M91" s="146"/>
      <c r="N91" s="145"/>
      <c r="O91" s="145"/>
      <c r="P91" s="145"/>
      <c r="Q91" s="145"/>
      <c r="R91" s="145"/>
      <c r="S91" s="145"/>
      <c r="T91" s="145"/>
      <c r="U91" s="145"/>
      <c r="V91" s="145"/>
      <c r="W91" s="145"/>
      <c r="X91" s="145"/>
      <c r="Y91" s="145"/>
      <c r="Z91" s="145"/>
    </row>
    <row r="92" spans="1:26" ht="13.2">
      <c r="A92" s="144">
        <v>0</v>
      </c>
      <c r="B92" s="145"/>
      <c r="C92" s="145"/>
      <c r="D92" s="145"/>
      <c r="E92" s="145"/>
      <c r="F92" s="145"/>
      <c r="G92" s="145"/>
      <c r="H92" s="145"/>
      <c r="I92" s="145"/>
      <c r="J92" s="145"/>
      <c r="K92" s="145"/>
      <c r="L92" s="145"/>
      <c r="M92" s="146"/>
      <c r="N92" s="145"/>
      <c r="O92" s="145"/>
      <c r="P92" s="145"/>
      <c r="Q92" s="145"/>
      <c r="R92" s="145"/>
      <c r="S92" s="145"/>
      <c r="T92" s="145"/>
      <c r="U92" s="145"/>
      <c r="V92" s="145"/>
      <c r="W92" s="145"/>
      <c r="X92" s="145"/>
      <c r="Y92" s="145"/>
      <c r="Z92" s="145"/>
    </row>
    <row r="93" spans="1:26" ht="13.2">
      <c r="A93" s="144">
        <v>0</v>
      </c>
      <c r="B93" s="145"/>
      <c r="C93" s="145"/>
      <c r="D93" s="145"/>
      <c r="E93" s="145"/>
      <c r="F93" s="145"/>
      <c r="G93" s="145"/>
      <c r="H93" s="145"/>
      <c r="I93" s="145"/>
      <c r="J93" s="145"/>
      <c r="K93" s="145"/>
      <c r="L93" s="145"/>
      <c r="M93" s="146"/>
      <c r="N93" s="145"/>
      <c r="O93" s="145"/>
      <c r="P93" s="145"/>
      <c r="Q93" s="145"/>
      <c r="R93" s="145"/>
      <c r="S93" s="145"/>
      <c r="T93" s="145"/>
      <c r="U93" s="145"/>
      <c r="V93" s="145"/>
      <c r="W93" s="145"/>
      <c r="X93" s="145"/>
      <c r="Y93" s="145"/>
      <c r="Z93" s="145"/>
    </row>
    <row r="94" spans="1:26" ht="13.2">
      <c r="A94" s="144">
        <v>0</v>
      </c>
      <c r="B94" s="145"/>
      <c r="C94" s="145"/>
      <c r="D94" s="145"/>
      <c r="E94" s="145"/>
      <c r="F94" s="145"/>
      <c r="G94" s="145"/>
      <c r="H94" s="145"/>
      <c r="I94" s="145"/>
      <c r="J94" s="145"/>
      <c r="K94" s="145"/>
      <c r="L94" s="145"/>
      <c r="M94" s="146"/>
      <c r="N94" s="145"/>
      <c r="O94" s="145"/>
      <c r="P94" s="145"/>
      <c r="Q94" s="145"/>
      <c r="R94" s="145"/>
      <c r="S94" s="145"/>
      <c r="T94" s="145"/>
      <c r="U94" s="145"/>
      <c r="V94" s="145"/>
      <c r="W94" s="145"/>
      <c r="X94" s="145"/>
      <c r="Y94" s="145"/>
      <c r="Z94" s="145"/>
    </row>
    <row r="95" spans="1:26" ht="13.2">
      <c r="A95" s="144">
        <v>0</v>
      </c>
      <c r="B95" s="145"/>
      <c r="C95" s="145"/>
      <c r="D95" s="145"/>
      <c r="E95" s="145"/>
      <c r="F95" s="145"/>
      <c r="G95" s="145"/>
      <c r="H95" s="145"/>
      <c r="I95" s="145"/>
      <c r="J95" s="145"/>
      <c r="K95" s="145"/>
      <c r="L95" s="145"/>
      <c r="M95" s="146"/>
      <c r="N95" s="145"/>
      <c r="O95" s="145"/>
      <c r="P95" s="145"/>
      <c r="Q95" s="145"/>
      <c r="R95" s="145"/>
      <c r="S95" s="145"/>
      <c r="T95" s="145"/>
      <c r="U95" s="145"/>
      <c r="V95" s="145"/>
      <c r="W95" s="145"/>
      <c r="X95" s="145"/>
      <c r="Y95" s="145"/>
      <c r="Z95" s="145"/>
    </row>
    <row r="96" spans="1:26" ht="13.2">
      <c r="A96" s="144">
        <v>0</v>
      </c>
      <c r="B96" s="145"/>
      <c r="C96" s="145"/>
      <c r="D96" s="145"/>
      <c r="E96" s="145"/>
      <c r="F96" s="145"/>
      <c r="G96" s="145"/>
      <c r="H96" s="145"/>
      <c r="I96" s="145"/>
      <c r="J96" s="145"/>
      <c r="K96" s="145"/>
      <c r="L96" s="145"/>
      <c r="M96" s="146"/>
      <c r="N96" s="145"/>
      <c r="O96" s="145"/>
      <c r="P96" s="145"/>
      <c r="Q96" s="145"/>
      <c r="R96" s="145"/>
      <c r="S96" s="145"/>
      <c r="T96" s="145"/>
      <c r="U96" s="145"/>
      <c r="V96" s="145"/>
      <c r="W96" s="145"/>
      <c r="X96" s="145"/>
      <c r="Y96" s="145"/>
      <c r="Z96" s="145"/>
    </row>
    <row r="97" spans="1:26" ht="13.2">
      <c r="A97" s="144">
        <v>0</v>
      </c>
      <c r="B97" s="145"/>
      <c r="C97" s="145"/>
      <c r="D97" s="145"/>
      <c r="E97" s="145"/>
      <c r="F97" s="145"/>
      <c r="G97" s="145"/>
      <c r="H97" s="145"/>
      <c r="I97" s="145"/>
      <c r="J97" s="145"/>
      <c r="K97" s="145"/>
      <c r="L97" s="145"/>
      <c r="M97" s="146"/>
      <c r="N97" s="145"/>
      <c r="O97" s="145"/>
      <c r="P97" s="145"/>
      <c r="Q97" s="145"/>
      <c r="R97" s="145"/>
      <c r="S97" s="145"/>
      <c r="T97" s="145"/>
      <c r="U97" s="145"/>
      <c r="V97" s="145"/>
      <c r="W97" s="145"/>
      <c r="X97" s="145"/>
      <c r="Y97" s="145"/>
      <c r="Z97" s="145"/>
    </row>
    <row r="98" spans="1:26" ht="13.2">
      <c r="A98" s="144">
        <v>0</v>
      </c>
      <c r="B98" s="145"/>
      <c r="C98" s="145"/>
      <c r="D98" s="145"/>
      <c r="E98" s="145"/>
      <c r="F98" s="145"/>
      <c r="G98" s="145"/>
      <c r="H98" s="145"/>
      <c r="I98" s="145"/>
      <c r="J98" s="145"/>
      <c r="K98" s="145"/>
      <c r="L98" s="145"/>
      <c r="M98" s="146"/>
      <c r="N98" s="145"/>
      <c r="O98" s="145"/>
      <c r="P98" s="145"/>
      <c r="Q98" s="145"/>
      <c r="R98" s="145"/>
      <c r="S98" s="145"/>
      <c r="T98" s="145"/>
      <c r="U98" s="145"/>
      <c r="V98" s="145"/>
      <c r="W98" s="145"/>
      <c r="X98" s="145"/>
      <c r="Y98" s="145"/>
      <c r="Z98" s="145"/>
    </row>
    <row r="99" spans="1:26" ht="13.2">
      <c r="A99" s="144">
        <v>0</v>
      </c>
      <c r="B99" s="145"/>
      <c r="C99" s="145"/>
      <c r="D99" s="145"/>
      <c r="E99" s="145"/>
      <c r="F99" s="145"/>
      <c r="G99" s="145"/>
      <c r="H99" s="145"/>
      <c r="I99" s="145"/>
      <c r="J99" s="145"/>
      <c r="K99" s="145"/>
      <c r="L99" s="145"/>
      <c r="M99" s="146"/>
      <c r="N99" s="145"/>
      <c r="O99" s="145"/>
      <c r="P99" s="145"/>
      <c r="Q99" s="145"/>
      <c r="R99" s="145"/>
      <c r="S99" s="145"/>
      <c r="T99" s="145"/>
      <c r="U99" s="145"/>
      <c r="V99" s="145"/>
      <c r="W99" s="145"/>
      <c r="X99" s="145"/>
      <c r="Y99" s="145"/>
      <c r="Z99" s="145"/>
    </row>
    <row r="100" spans="1:26" ht="13.2">
      <c r="A100" s="144">
        <v>0</v>
      </c>
      <c r="B100" s="145"/>
      <c r="C100" s="145"/>
      <c r="D100" s="145"/>
      <c r="E100" s="145"/>
      <c r="F100" s="145"/>
      <c r="G100" s="145"/>
      <c r="H100" s="145"/>
      <c r="I100" s="145"/>
      <c r="J100" s="145"/>
      <c r="K100" s="145"/>
      <c r="L100" s="145"/>
      <c r="M100" s="146"/>
      <c r="N100" s="145"/>
      <c r="O100" s="145"/>
      <c r="P100" s="145"/>
      <c r="Q100" s="145"/>
      <c r="R100" s="145"/>
      <c r="S100" s="145"/>
      <c r="T100" s="145"/>
      <c r="U100" s="145"/>
      <c r="V100" s="145"/>
      <c r="W100" s="145"/>
      <c r="X100" s="145"/>
      <c r="Y100" s="145"/>
      <c r="Z100" s="145"/>
    </row>
    <row r="101" spans="1:26" ht="13.2">
      <c r="A101" s="144">
        <v>0</v>
      </c>
      <c r="B101" s="145"/>
      <c r="C101" s="145"/>
      <c r="D101" s="145"/>
      <c r="E101" s="145"/>
      <c r="F101" s="145"/>
      <c r="G101" s="145"/>
      <c r="H101" s="145"/>
      <c r="I101" s="145"/>
      <c r="J101" s="145"/>
      <c r="K101" s="145"/>
      <c r="L101" s="145"/>
      <c r="M101" s="146"/>
      <c r="N101" s="145"/>
      <c r="O101" s="145"/>
      <c r="P101" s="145"/>
      <c r="Q101" s="145"/>
      <c r="R101" s="145"/>
      <c r="S101" s="145"/>
      <c r="T101" s="145"/>
      <c r="U101" s="145"/>
      <c r="V101" s="145"/>
      <c r="W101" s="145"/>
      <c r="X101" s="145"/>
      <c r="Y101" s="145"/>
      <c r="Z101" s="145"/>
    </row>
    <row r="102" spans="1:26" ht="13.2">
      <c r="A102" s="144">
        <v>0</v>
      </c>
      <c r="B102" s="145"/>
      <c r="C102" s="145"/>
      <c r="D102" s="145"/>
      <c r="E102" s="145"/>
      <c r="F102" s="145"/>
      <c r="G102" s="145"/>
      <c r="H102" s="145"/>
      <c r="I102" s="145"/>
      <c r="J102" s="145"/>
      <c r="K102" s="145"/>
      <c r="L102" s="145"/>
      <c r="M102" s="146"/>
      <c r="N102" s="145"/>
      <c r="O102" s="145"/>
      <c r="P102" s="145"/>
      <c r="Q102" s="145"/>
      <c r="R102" s="145"/>
      <c r="S102" s="145"/>
      <c r="T102" s="145"/>
      <c r="U102" s="145"/>
      <c r="V102" s="145"/>
      <c r="W102" s="145"/>
      <c r="X102" s="145"/>
      <c r="Y102" s="145"/>
      <c r="Z102" s="145"/>
    </row>
    <row r="103" spans="1:26" ht="13.2">
      <c r="A103" s="144">
        <v>0</v>
      </c>
      <c r="B103" s="145"/>
      <c r="C103" s="145"/>
      <c r="D103" s="145"/>
      <c r="E103" s="145"/>
      <c r="F103" s="145"/>
      <c r="G103" s="145"/>
      <c r="H103" s="145"/>
      <c r="I103" s="145"/>
      <c r="J103" s="145"/>
      <c r="K103" s="145"/>
      <c r="L103" s="145"/>
      <c r="M103" s="146"/>
      <c r="N103" s="145"/>
      <c r="O103" s="145"/>
      <c r="P103" s="145"/>
      <c r="Q103" s="145"/>
      <c r="R103" s="145"/>
      <c r="S103" s="145"/>
      <c r="T103" s="145"/>
      <c r="U103" s="145"/>
      <c r="V103" s="145"/>
      <c r="W103" s="145"/>
      <c r="X103" s="145"/>
      <c r="Y103" s="145"/>
      <c r="Z103" s="145"/>
    </row>
    <row r="104" spans="1:26" ht="13.2">
      <c r="A104" s="144">
        <v>0</v>
      </c>
      <c r="B104" s="145"/>
      <c r="C104" s="145"/>
      <c r="D104" s="145"/>
      <c r="E104" s="145"/>
      <c r="F104" s="145"/>
      <c r="G104" s="145"/>
      <c r="H104" s="145"/>
      <c r="I104" s="145"/>
      <c r="J104" s="145"/>
      <c r="K104" s="145"/>
      <c r="L104" s="145"/>
      <c r="M104" s="146"/>
      <c r="N104" s="145"/>
      <c r="O104" s="145"/>
      <c r="P104" s="145"/>
      <c r="Q104" s="145"/>
      <c r="R104" s="145"/>
      <c r="S104" s="145"/>
      <c r="T104" s="145"/>
      <c r="U104" s="145"/>
      <c r="V104" s="145"/>
      <c r="W104" s="145"/>
      <c r="X104" s="145"/>
      <c r="Y104" s="145"/>
      <c r="Z104" s="145"/>
    </row>
    <row r="105" spans="1:26" ht="13.2">
      <c r="A105" s="144">
        <v>0</v>
      </c>
      <c r="B105" s="145"/>
      <c r="C105" s="145"/>
      <c r="D105" s="145"/>
      <c r="E105" s="145"/>
      <c r="F105" s="145"/>
      <c r="G105" s="145"/>
      <c r="H105" s="145"/>
      <c r="I105" s="145"/>
      <c r="J105" s="145"/>
      <c r="K105" s="145"/>
      <c r="L105" s="145"/>
      <c r="M105" s="146"/>
      <c r="N105" s="145"/>
      <c r="O105" s="145"/>
      <c r="P105" s="145"/>
      <c r="Q105" s="145"/>
      <c r="R105" s="145"/>
      <c r="S105" s="145"/>
      <c r="T105" s="145"/>
      <c r="U105" s="145"/>
      <c r="V105" s="145"/>
      <c r="W105" s="145"/>
      <c r="X105" s="145"/>
      <c r="Y105" s="145"/>
      <c r="Z105" s="145"/>
    </row>
    <row r="106" spans="1:26" ht="13.2">
      <c r="A106" s="144">
        <v>0</v>
      </c>
      <c r="B106" s="145"/>
      <c r="C106" s="145"/>
      <c r="D106" s="145"/>
      <c r="E106" s="145"/>
      <c r="F106" s="145"/>
      <c r="G106" s="145"/>
      <c r="H106" s="145"/>
      <c r="I106" s="145"/>
      <c r="J106" s="145"/>
      <c r="K106" s="145"/>
      <c r="L106" s="145"/>
      <c r="M106" s="146"/>
      <c r="N106" s="145"/>
      <c r="O106" s="145"/>
      <c r="P106" s="145"/>
      <c r="Q106" s="145"/>
      <c r="R106" s="145"/>
      <c r="S106" s="145"/>
      <c r="T106" s="145"/>
      <c r="U106" s="145"/>
      <c r="V106" s="145"/>
      <c r="W106" s="145"/>
      <c r="X106" s="145"/>
      <c r="Y106" s="145"/>
      <c r="Z106" s="145"/>
    </row>
    <row r="107" spans="1:26" ht="13.2">
      <c r="A107" s="144">
        <v>0</v>
      </c>
      <c r="B107" s="145"/>
      <c r="C107" s="145"/>
      <c r="D107" s="145"/>
      <c r="E107" s="145"/>
      <c r="F107" s="145"/>
      <c r="G107" s="145"/>
      <c r="H107" s="145"/>
      <c r="I107" s="145"/>
      <c r="J107" s="145"/>
      <c r="K107" s="145"/>
      <c r="L107" s="145"/>
      <c r="M107" s="146"/>
      <c r="N107" s="145"/>
      <c r="O107" s="145"/>
      <c r="P107" s="145"/>
      <c r="Q107" s="145"/>
      <c r="R107" s="145"/>
      <c r="S107" s="145"/>
      <c r="T107" s="145"/>
      <c r="U107" s="145"/>
      <c r="V107" s="145"/>
      <c r="W107" s="145"/>
      <c r="X107" s="145"/>
      <c r="Y107" s="145"/>
      <c r="Z107" s="145"/>
    </row>
    <row r="108" spans="1:26" ht="13.2">
      <c r="A108" s="144">
        <v>0</v>
      </c>
      <c r="B108" s="145"/>
      <c r="C108" s="145"/>
      <c r="D108" s="145"/>
      <c r="E108" s="145"/>
      <c r="F108" s="145"/>
      <c r="G108" s="145"/>
      <c r="H108" s="145"/>
      <c r="I108" s="145"/>
      <c r="J108" s="145"/>
      <c r="K108" s="145"/>
      <c r="L108" s="145"/>
      <c r="M108" s="146"/>
      <c r="N108" s="145"/>
      <c r="O108" s="145"/>
      <c r="P108" s="145"/>
      <c r="Q108" s="145"/>
      <c r="R108" s="145"/>
      <c r="S108" s="145"/>
      <c r="T108" s="145"/>
      <c r="U108" s="145"/>
      <c r="V108" s="145"/>
      <c r="W108" s="145"/>
      <c r="X108" s="145"/>
      <c r="Y108" s="145"/>
      <c r="Z108" s="145"/>
    </row>
    <row r="109" spans="1:26" ht="13.2">
      <c r="A109" s="144">
        <v>0</v>
      </c>
      <c r="B109" s="145"/>
      <c r="C109" s="145"/>
      <c r="D109" s="145"/>
      <c r="E109" s="145"/>
      <c r="F109" s="145"/>
      <c r="G109" s="145"/>
      <c r="H109" s="145"/>
      <c r="I109" s="145"/>
      <c r="J109" s="145"/>
      <c r="K109" s="145"/>
      <c r="L109" s="145"/>
      <c r="M109" s="146"/>
      <c r="N109" s="145"/>
      <c r="O109" s="145"/>
      <c r="P109" s="145"/>
      <c r="Q109" s="145"/>
      <c r="R109" s="145"/>
      <c r="S109" s="145"/>
      <c r="T109" s="145"/>
      <c r="U109" s="145"/>
      <c r="V109" s="145"/>
      <c r="W109" s="145"/>
      <c r="X109" s="145"/>
      <c r="Y109" s="145"/>
      <c r="Z109" s="145"/>
    </row>
    <row r="110" spans="1:26" ht="13.2">
      <c r="A110" s="144">
        <v>0</v>
      </c>
      <c r="B110" s="145"/>
      <c r="C110" s="145"/>
      <c r="D110" s="145"/>
      <c r="E110" s="145"/>
      <c r="F110" s="145"/>
      <c r="G110" s="145"/>
      <c r="H110" s="145"/>
      <c r="I110" s="145"/>
      <c r="J110" s="145"/>
      <c r="K110" s="145"/>
      <c r="L110" s="145"/>
      <c r="M110" s="146"/>
      <c r="N110" s="145"/>
      <c r="O110" s="145"/>
      <c r="P110" s="145"/>
      <c r="Q110" s="145"/>
      <c r="R110" s="145"/>
      <c r="S110" s="145"/>
      <c r="T110" s="145"/>
      <c r="U110" s="145"/>
      <c r="V110" s="145"/>
      <c r="W110" s="145"/>
      <c r="X110" s="145"/>
      <c r="Y110" s="145"/>
      <c r="Z110" s="145"/>
    </row>
    <row r="111" spans="1:26" ht="13.2">
      <c r="A111" s="144">
        <v>0</v>
      </c>
      <c r="B111" s="145"/>
      <c r="C111" s="145"/>
      <c r="D111" s="145"/>
      <c r="E111" s="145"/>
      <c r="F111" s="145"/>
      <c r="G111" s="145"/>
      <c r="H111" s="145"/>
      <c r="I111" s="145"/>
      <c r="J111" s="145"/>
      <c r="K111" s="145"/>
      <c r="L111" s="145"/>
      <c r="M111" s="146"/>
      <c r="N111" s="145"/>
      <c r="O111" s="145"/>
      <c r="P111" s="145"/>
      <c r="Q111" s="145"/>
      <c r="R111" s="145"/>
      <c r="S111" s="145"/>
      <c r="T111" s="145"/>
      <c r="U111" s="145"/>
      <c r="V111" s="145"/>
      <c r="W111" s="145"/>
      <c r="X111" s="145"/>
      <c r="Y111" s="145"/>
      <c r="Z111" s="145"/>
    </row>
    <row r="112" spans="1:26" ht="13.2">
      <c r="A112" s="144">
        <v>0</v>
      </c>
      <c r="B112" s="145"/>
      <c r="C112" s="145"/>
      <c r="D112" s="145"/>
      <c r="E112" s="145"/>
      <c r="F112" s="145"/>
      <c r="G112" s="145"/>
      <c r="H112" s="145"/>
      <c r="I112" s="145"/>
      <c r="J112" s="145"/>
      <c r="K112" s="145"/>
      <c r="L112" s="145"/>
      <c r="M112" s="146"/>
      <c r="N112" s="145"/>
      <c r="O112" s="145"/>
      <c r="P112" s="145"/>
      <c r="Q112" s="145"/>
      <c r="R112" s="145"/>
      <c r="S112" s="145"/>
      <c r="T112" s="145"/>
      <c r="U112" s="145"/>
      <c r="V112" s="145"/>
      <c r="W112" s="145"/>
      <c r="X112" s="145"/>
      <c r="Y112" s="145"/>
      <c r="Z112" s="145"/>
    </row>
    <row r="113" spans="1:26" ht="13.2">
      <c r="A113" s="144">
        <v>0</v>
      </c>
      <c r="B113" s="145"/>
      <c r="C113" s="145"/>
      <c r="D113" s="145"/>
      <c r="E113" s="145"/>
      <c r="F113" s="145"/>
      <c r="G113" s="145"/>
      <c r="H113" s="145"/>
      <c r="I113" s="145"/>
      <c r="J113" s="145"/>
      <c r="K113" s="145"/>
      <c r="L113" s="145"/>
      <c r="M113" s="146"/>
      <c r="N113" s="145"/>
      <c r="O113" s="145"/>
      <c r="P113" s="145"/>
      <c r="Q113" s="145"/>
      <c r="R113" s="145"/>
      <c r="S113" s="145"/>
      <c r="T113" s="145"/>
      <c r="U113" s="145"/>
      <c r="V113" s="145"/>
      <c r="W113" s="145"/>
      <c r="X113" s="145"/>
      <c r="Y113" s="145"/>
      <c r="Z113" s="145"/>
    </row>
    <row r="114" spans="1:26" ht="13.2">
      <c r="A114" s="144">
        <v>0</v>
      </c>
      <c r="B114" s="145"/>
      <c r="C114" s="145"/>
      <c r="D114" s="145"/>
      <c r="E114" s="145"/>
      <c r="F114" s="145"/>
      <c r="G114" s="145"/>
      <c r="H114" s="145"/>
      <c r="I114" s="145"/>
      <c r="J114" s="145"/>
      <c r="K114" s="145"/>
      <c r="L114" s="145"/>
      <c r="M114" s="146"/>
      <c r="N114" s="145"/>
      <c r="O114" s="145"/>
      <c r="P114" s="145"/>
      <c r="Q114" s="145"/>
      <c r="R114" s="145"/>
      <c r="S114" s="145"/>
      <c r="T114" s="145"/>
      <c r="U114" s="145"/>
      <c r="V114" s="145"/>
      <c r="W114" s="145"/>
      <c r="X114" s="145"/>
      <c r="Y114" s="145"/>
      <c r="Z114" s="145"/>
    </row>
    <row r="115" spans="1:26" ht="13.2">
      <c r="A115" s="144">
        <v>0</v>
      </c>
      <c r="B115" s="145"/>
      <c r="C115" s="145"/>
      <c r="D115" s="145"/>
      <c r="E115" s="145"/>
      <c r="F115" s="145"/>
      <c r="G115" s="145"/>
      <c r="H115" s="145"/>
      <c r="I115" s="145"/>
      <c r="J115" s="145"/>
      <c r="K115" s="145"/>
      <c r="L115" s="145"/>
      <c r="M115" s="146"/>
      <c r="N115" s="145"/>
      <c r="O115" s="145"/>
      <c r="P115" s="145"/>
      <c r="Q115" s="145"/>
      <c r="R115" s="145"/>
      <c r="S115" s="145"/>
      <c r="T115" s="145"/>
      <c r="U115" s="145"/>
      <c r="V115" s="145"/>
      <c r="W115" s="145"/>
      <c r="X115" s="145"/>
      <c r="Y115" s="145"/>
      <c r="Z115" s="145"/>
    </row>
    <row r="116" spans="1:26" ht="13.2">
      <c r="A116" s="144">
        <v>0</v>
      </c>
      <c r="B116" s="145"/>
      <c r="C116" s="145"/>
      <c r="D116" s="145"/>
      <c r="E116" s="145"/>
      <c r="F116" s="145"/>
      <c r="G116" s="145"/>
      <c r="H116" s="145"/>
      <c r="I116" s="145"/>
      <c r="J116" s="145"/>
      <c r="K116" s="145"/>
      <c r="L116" s="145"/>
      <c r="M116" s="146"/>
      <c r="N116" s="145"/>
      <c r="O116" s="145"/>
      <c r="P116" s="145"/>
      <c r="Q116" s="145"/>
      <c r="R116" s="145"/>
      <c r="S116" s="145"/>
      <c r="T116" s="145"/>
      <c r="U116" s="145"/>
      <c r="V116" s="145"/>
      <c r="W116" s="145"/>
      <c r="X116" s="145"/>
      <c r="Y116" s="145"/>
      <c r="Z116" s="145"/>
    </row>
    <row r="117" spans="1:26" ht="13.2">
      <c r="A117" s="144">
        <v>0</v>
      </c>
      <c r="B117" s="145"/>
      <c r="C117" s="145"/>
      <c r="D117" s="145"/>
      <c r="E117" s="145"/>
      <c r="F117" s="145"/>
      <c r="G117" s="145"/>
      <c r="H117" s="145"/>
      <c r="I117" s="145"/>
      <c r="J117" s="145"/>
      <c r="K117" s="145"/>
      <c r="L117" s="145"/>
      <c r="M117" s="146"/>
      <c r="N117" s="145"/>
      <c r="O117" s="145"/>
      <c r="P117" s="145"/>
      <c r="Q117" s="145"/>
      <c r="R117" s="145"/>
      <c r="S117" s="145"/>
      <c r="T117" s="145"/>
      <c r="U117" s="145"/>
      <c r="V117" s="145"/>
      <c r="W117" s="145"/>
      <c r="X117" s="145"/>
      <c r="Y117" s="145"/>
      <c r="Z117" s="145"/>
    </row>
    <row r="118" spans="1:26" ht="13.2">
      <c r="A118" s="144">
        <v>0</v>
      </c>
      <c r="B118" s="145"/>
      <c r="C118" s="145"/>
      <c r="D118" s="145"/>
      <c r="E118" s="145"/>
      <c r="F118" s="145"/>
      <c r="G118" s="145"/>
      <c r="H118" s="145"/>
      <c r="I118" s="145"/>
      <c r="J118" s="145"/>
      <c r="K118" s="145"/>
      <c r="L118" s="145"/>
      <c r="M118" s="146"/>
      <c r="N118" s="145"/>
      <c r="O118" s="145"/>
      <c r="P118" s="145"/>
      <c r="Q118" s="145"/>
      <c r="R118" s="145"/>
      <c r="S118" s="145"/>
      <c r="T118" s="145"/>
      <c r="U118" s="145"/>
      <c r="V118" s="145"/>
      <c r="W118" s="145"/>
      <c r="X118" s="145"/>
      <c r="Y118" s="145"/>
      <c r="Z118" s="145"/>
    </row>
    <row r="119" spans="1:26" ht="13.2">
      <c r="A119" s="144">
        <v>0</v>
      </c>
      <c r="B119" s="145"/>
      <c r="C119" s="145"/>
      <c r="D119" s="145"/>
      <c r="E119" s="145"/>
      <c r="F119" s="145"/>
      <c r="G119" s="145"/>
      <c r="H119" s="145"/>
      <c r="I119" s="145"/>
      <c r="J119" s="145"/>
      <c r="K119" s="145"/>
      <c r="L119" s="145"/>
      <c r="M119" s="146"/>
      <c r="N119" s="145"/>
      <c r="O119" s="145"/>
      <c r="P119" s="145"/>
      <c r="Q119" s="145"/>
      <c r="R119" s="145"/>
      <c r="S119" s="145"/>
      <c r="T119" s="145"/>
      <c r="U119" s="145"/>
      <c r="V119" s="145"/>
      <c r="W119" s="145"/>
      <c r="X119" s="145"/>
      <c r="Y119" s="145"/>
      <c r="Z119" s="145"/>
    </row>
    <row r="120" spans="1:26" ht="13.2">
      <c r="A120" s="144">
        <v>0</v>
      </c>
      <c r="B120" s="145"/>
      <c r="C120" s="145"/>
      <c r="D120" s="145"/>
      <c r="E120" s="145"/>
      <c r="F120" s="145"/>
      <c r="G120" s="145"/>
      <c r="H120" s="145"/>
      <c r="I120" s="145"/>
      <c r="J120" s="145"/>
      <c r="K120" s="145"/>
      <c r="L120" s="145"/>
      <c r="M120" s="146"/>
      <c r="N120" s="145"/>
      <c r="O120" s="145"/>
      <c r="P120" s="145"/>
      <c r="Q120" s="145"/>
      <c r="R120" s="145"/>
      <c r="S120" s="145"/>
      <c r="T120" s="145"/>
      <c r="U120" s="145"/>
      <c r="V120" s="145"/>
      <c r="W120" s="145"/>
      <c r="X120" s="145"/>
      <c r="Y120" s="145"/>
      <c r="Z120" s="145"/>
    </row>
    <row r="121" spans="1:26" ht="13.2">
      <c r="A121" s="144">
        <v>0</v>
      </c>
      <c r="B121" s="145"/>
      <c r="C121" s="145"/>
      <c r="D121" s="145"/>
      <c r="E121" s="145"/>
      <c r="F121" s="145"/>
      <c r="G121" s="145"/>
      <c r="H121" s="145"/>
      <c r="I121" s="145"/>
      <c r="J121" s="145"/>
      <c r="K121" s="145"/>
      <c r="L121" s="145"/>
      <c r="M121" s="146"/>
      <c r="N121" s="145"/>
      <c r="O121" s="145"/>
      <c r="P121" s="145"/>
      <c r="Q121" s="145"/>
      <c r="R121" s="145"/>
      <c r="S121" s="145"/>
      <c r="T121" s="145"/>
      <c r="U121" s="145"/>
      <c r="V121" s="145"/>
      <c r="W121" s="145"/>
      <c r="X121" s="145"/>
      <c r="Y121" s="145"/>
      <c r="Z121" s="145"/>
    </row>
    <row r="122" spans="1:26" ht="13.2">
      <c r="A122" s="144">
        <v>0</v>
      </c>
      <c r="B122" s="145"/>
      <c r="C122" s="145"/>
      <c r="D122" s="145"/>
      <c r="E122" s="145"/>
      <c r="F122" s="145"/>
      <c r="G122" s="145"/>
      <c r="H122" s="145"/>
      <c r="I122" s="145"/>
      <c r="J122" s="145"/>
      <c r="K122" s="145"/>
      <c r="L122" s="145"/>
      <c r="M122" s="146"/>
      <c r="N122" s="145"/>
      <c r="O122" s="145"/>
      <c r="P122" s="145"/>
      <c r="Q122" s="145"/>
      <c r="R122" s="145"/>
      <c r="S122" s="145"/>
      <c r="T122" s="145"/>
      <c r="U122" s="145"/>
      <c r="V122" s="145"/>
      <c r="W122" s="145"/>
      <c r="X122" s="145"/>
      <c r="Y122" s="145"/>
      <c r="Z122" s="145"/>
    </row>
    <row r="123" spans="1:26" ht="13.2">
      <c r="A123" s="144">
        <v>0</v>
      </c>
      <c r="B123" s="145"/>
      <c r="C123" s="145"/>
      <c r="D123" s="145"/>
      <c r="E123" s="145"/>
      <c r="F123" s="145"/>
      <c r="G123" s="145"/>
      <c r="H123" s="145"/>
      <c r="I123" s="145"/>
      <c r="J123" s="145"/>
      <c r="K123" s="145"/>
      <c r="L123" s="145"/>
      <c r="M123" s="146"/>
      <c r="N123" s="145"/>
      <c r="O123" s="145"/>
      <c r="P123" s="145"/>
      <c r="Q123" s="145"/>
      <c r="R123" s="145"/>
      <c r="S123" s="145"/>
      <c r="T123" s="145"/>
      <c r="U123" s="145"/>
      <c r="V123" s="145"/>
      <c r="W123" s="145"/>
      <c r="X123" s="145"/>
      <c r="Y123" s="145"/>
      <c r="Z123" s="145"/>
    </row>
    <row r="124" spans="1:26" ht="13.2">
      <c r="A124" s="144">
        <v>0</v>
      </c>
      <c r="B124" s="145"/>
      <c r="C124" s="145"/>
      <c r="D124" s="145"/>
      <c r="E124" s="145"/>
      <c r="F124" s="145"/>
      <c r="G124" s="145"/>
      <c r="H124" s="145"/>
      <c r="I124" s="145"/>
      <c r="J124" s="145"/>
      <c r="K124" s="145"/>
      <c r="L124" s="145"/>
      <c r="M124" s="146"/>
      <c r="N124" s="145"/>
      <c r="O124" s="145"/>
      <c r="P124" s="145"/>
      <c r="Q124" s="145"/>
      <c r="R124" s="145"/>
      <c r="S124" s="145"/>
      <c r="T124" s="145"/>
      <c r="U124" s="145"/>
      <c r="V124" s="145"/>
      <c r="W124" s="145"/>
      <c r="X124" s="145"/>
      <c r="Y124" s="145"/>
      <c r="Z124" s="145"/>
    </row>
    <row r="125" spans="1:26" ht="13.2">
      <c r="A125" s="144">
        <v>0</v>
      </c>
      <c r="B125" s="145"/>
      <c r="C125" s="145"/>
      <c r="D125" s="145"/>
      <c r="E125" s="145"/>
      <c r="F125" s="145"/>
      <c r="G125" s="145"/>
      <c r="H125" s="145"/>
      <c r="I125" s="145"/>
      <c r="J125" s="145"/>
      <c r="K125" s="145"/>
      <c r="L125" s="145"/>
      <c r="M125" s="146"/>
      <c r="N125" s="145"/>
      <c r="O125" s="145"/>
      <c r="P125" s="145"/>
      <c r="Q125" s="145"/>
      <c r="R125" s="145"/>
      <c r="S125" s="145"/>
      <c r="T125" s="145"/>
      <c r="U125" s="145"/>
      <c r="V125" s="145"/>
      <c r="W125" s="145"/>
      <c r="X125" s="145"/>
      <c r="Y125" s="145"/>
      <c r="Z125" s="145"/>
    </row>
    <row r="126" spans="1:26" ht="13.2">
      <c r="A126" s="144">
        <v>0</v>
      </c>
      <c r="B126" s="145"/>
      <c r="C126" s="145"/>
      <c r="D126" s="145"/>
      <c r="E126" s="145"/>
      <c r="F126" s="145"/>
      <c r="G126" s="145"/>
      <c r="H126" s="145"/>
      <c r="I126" s="145"/>
      <c r="J126" s="145"/>
      <c r="K126" s="145"/>
      <c r="L126" s="145"/>
      <c r="M126" s="146"/>
      <c r="N126" s="145"/>
      <c r="O126" s="145"/>
      <c r="P126" s="145"/>
      <c r="Q126" s="145"/>
      <c r="R126" s="145"/>
      <c r="S126" s="145"/>
      <c r="T126" s="145"/>
      <c r="U126" s="145"/>
      <c r="V126" s="145"/>
      <c r="W126" s="145"/>
      <c r="X126" s="145"/>
      <c r="Y126" s="145"/>
      <c r="Z126" s="145"/>
    </row>
    <row r="127" spans="1:26" ht="13.2">
      <c r="A127" s="144">
        <v>0</v>
      </c>
      <c r="B127" s="145"/>
      <c r="C127" s="145"/>
      <c r="D127" s="145"/>
      <c r="E127" s="145"/>
      <c r="F127" s="145"/>
      <c r="G127" s="145"/>
      <c r="H127" s="145"/>
      <c r="I127" s="145"/>
      <c r="J127" s="145"/>
      <c r="K127" s="145"/>
      <c r="L127" s="145"/>
      <c r="M127" s="146"/>
      <c r="N127" s="145"/>
      <c r="O127" s="145"/>
      <c r="P127" s="145"/>
      <c r="Q127" s="145"/>
      <c r="R127" s="145"/>
      <c r="S127" s="145"/>
      <c r="T127" s="145"/>
      <c r="U127" s="145"/>
      <c r="V127" s="145"/>
      <c r="W127" s="145"/>
      <c r="X127" s="145"/>
      <c r="Y127" s="145"/>
      <c r="Z127" s="145"/>
    </row>
    <row r="128" spans="1:26" ht="13.2">
      <c r="A128" s="144">
        <v>0</v>
      </c>
      <c r="B128" s="145"/>
      <c r="C128" s="145"/>
      <c r="D128" s="145"/>
      <c r="E128" s="145"/>
      <c r="F128" s="145"/>
      <c r="G128" s="145"/>
      <c r="H128" s="145"/>
      <c r="I128" s="145"/>
      <c r="J128" s="145"/>
      <c r="K128" s="145"/>
      <c r="L128" s="145"/>
      <c r="M128" s="146"/>
      <c r="N128" s="145"/>
      <c r="O128" s="145"/>
      <c r="P128" s="145"/>
      <c r="Q128" s="145"/>
      <c r="R128" s="145"/>
      <c r="S128" s="145"/>
      <c r="T128" s="145"/>
      <c r="U128" s="145"/>
      <c r="V128" s="145"/>
      <c r="W128" s="145"/>
      <c r="X128" s="145"/>
      <c r="Y128" s="145"/>
      <c r="Z128" s="145"/>
    </row>
    <row r="129" spans="1:26" ht="13.2">
      <c r="A129" s="144">
        <v>0</v>
      </c>
      <c r="B129" s="145"/>
      <c r="C129" s="145"/>
      <c r="D129" s="145"/>
      <c r="E129" s="145"/>
      <c r="F129" s="145"/>
      <c r="G129" s="145"/>
      <c r="H129" s="145"/>
      <c r="I129" s="145"/>
      <c r="J129" s="145"/>
      <c r="K129" s="145"/>
      <c r="L129" s="145"/>
      <c r="M129" s="146"/>
      <c r="N129" s="145"/>
      <c r="O129" s="145"/>
      <c r="P129" s="145"/>
      <c r="Q129" s="145"/>
      <c r="R129" s="145"/>
      <c r="S129" s="145"/>
      <c r="T129" s="145"/>
      <c r="U129" s="145"/>
      <c r="V129" s="145"/>
      <c r="W129" s="145"/>
      <c r="X129" s="145"/>
      <c r="Y129" s="145"/>
      <c r="Z129" s="145"/>
    </row>
    <row r="130" spans="1:26" ht="13.2">
      <c r="A130" s="144">
        <v>0</v>
      </c>
      <c r="B130" s="145"/>
      <c r="C130" s="145"/>
      <c r="D130" s="145"/>
      <c r="E130" s="145"/>
      <c r="F130" s="145"/>
      <c r="G130" s="145"/>
      <c r="H130" s="145"/>
      <c r="I130" s="145"/>
      <c r="J130" s="145"/>
      <c r="K130" s="145"/>
      <c r="L130" s="145"/>
      <c r="M130" s="146"/>
      <c r="N130" s="145"/>
      <c r="O130" s="145"/>
      <c r="P130" s="145"/>
      <c r="Q130" s="145"/>
      <c r="R130" s="145"/>
      <c r="S130" s="145"/>
      <c r="T130" s="145"/>
      <c r="U130" s="145"/>
      <c r="V130" s="145"/>
      <c r="W130" s="145"/>
      <c r="X130" s="145"/>
      <c r="Y130" s="145"/>
      <c r="Z130" s="145"/>
    </row>
    <row r="131" spans="1:26" ht="13.2">
      <c r="A131" s="144">
        <v>0</v>
      </c>
      <c r="B131" s="145"/>
      <c r="C131" s="145"/>
      <c r="D131" s="145"/>
      <c r="E131" s="145"/>
      <c r="F131" s="145"/>
      <c r="G131" s="145"/>
      <c r="H131" s="145"/>
      <c r="I131" s="145"/>
      <c r="J131" s="145"/>
      <c r="K131" s="145"/>
      <c r="L131" s="145"/>
      <c r="M131" s="146"/>
      <c r="N131" s="145"/>
      <c r="O131" s="145"/>
      <c r="P131" s="145"/>
      <c r="Q131" s="145"/>
      <c r="R131" s="145"/>
      <c r="S131" s="145"/>
      <c r="T131" s="145"/>
      <c r="U131" s="145"/>
      <c r="V131" s="145"/>
      <c r="W131" s="145"/>
      <c r="X131" s="145"/>
      <c r="Y131" s="145"/>
      <c r="Z131" s="145"/>
    </row>
    <row r="132" spans="1:26" ht="13.2">
      <c r="A132" s="144">
        <v>0</v>
      </c>
      <c r="B132" s="145"/>
      <c r="C132" s="145"/>
      <c r="D132" s="145"/>
      <c r="E132" s="145"/>
      <c r="F132" s="145"/>
      <c r="G132" s="145"/>
      <c r="H132" s="145"/>
      <c r="I132" s="145"/>
      <c r="J132" s="145"/>
      <c r="K132" s="145"/>
      <c r="L132" s="145"/>
      <c r="M132" s="146"/>
      <c r="N132" s="145"/>
      <c r="O132" s="145"/>
      <c r="P132" s="145"/>
      <c r="Q132" s="145"/>
      <c r="R132" s="145"/>
      <c r="S132" s="145"/>
      <c r="T132" s="145"/>
      <c r="U132" s="145"/>
      <c r="V132" s="145"/>
      <c r="W132" s="145"/>
      <c r="X132" s="145"/>
      <c r="Y132" s="145"/>
      <c r="Z132" s="145"/>
    </row>
    <row r="133" spans="1:26" ht="13.2">
      <c r="A133" s="144">
        <v>0</v>
      </c>
      <c r="B133" s="145"/>
      <c r="C133" s="145"/>
      <c r="D133" s="145"/>
      <c r="E133" s="145"/>
      <c r="F133" s="145"/>
      <c r="G133" s="145"/>
      <c r="H133" s="145"/>
      <c r="I133" s="145"/>
      <c r="J133" s="145"/>
      <c r="K133" s="145"/>
      <c r="L133" s="145"/>
      <c r="M133" s="146"/>
      <c r="N133" s="145"/>
      <c r="O133" s="145"/>
      <c r="P133" s="145"/>
      <c r="Q133" s="145"/>
      <c r="R133" s="145"/>
      <c r="S133" s="145"/>
      <c r="T133" s="145"/>
      <c r="U133" s="145"/>
      <c r="V133" s="145"/>
      <c r="W133" s="145"/>
      <c r="X133" s="145"/>
      <c r="Y133" s="145"/>
      <c r="Z133" s="145"/>
    </row>
    <row r="134" spans="1:26" ht="13.2">
      <c r="A134" s="144">
        <v>0</v>
      </c>
      <c r="B134" s="145"/>
      <c r="C134" s="145"/>
      <c r="D134" s="145"/>
      <c r="E134" s="145"/>
      <c r="F134" s="145"/>
      <c r="G134" s="145"/>
      <c r="H134" s="145"/>
      <c r="I134" s="145"/>
      <c r="J134" s="145"/>
      <c r="K134" s="145"/>
      <c r="L134" s="145"/>
      <c r="M134" s="146"/>
      <c r="N134" s="145"/>
      <c r="O134" s="145"/>
      <c r="P134" s="145"/>
      <c r="Q134" s="145"/>
      <c r="R134" s="145"/>
      <c r="S134" s="145"/>
      <c r="T134" s="145"/>
      <c r="U134" s="145"/>
      <c r="V134" s="145"/>
      <c r="W134" s="145"/>
      <c r="X134" s="145"/>
      <c r="Y134" s="145"/>
      <c r="Z134" s="145"/>
    </row>
    <row r="135" spans="1:26" ht="13.2">
      <c r="A135" s="144">
        <v>0</v>
      </c>
      <c r="B135" s="145"/>
      <c r="C135" s="145"/>
      <c r="D135" s="145"/>
      <c r="E135" s="145"/>
      <c r="F135" s="145"/>
      <c r="G135" s="145"/>
      <c r="H135" s="145"/>
      <c r="I135" s="145"/>
      <c r="J135" s="145"/>
      <c r="K135" s="145"/>
      <c r="L135" s="145"/>
      <c r="M135" s="146"/>
      <c r="N135" s="145"/>
      <c r="O135" s="145"/>
      <c r="P135" s="145"/>
      <c r="Q135" s="145"/>
      <c r="R135" s="145"/>
      <c r="S135" s="145"/>
      <c r="T135" s="145"/>
      <c r="U135" s="145"/>
      <c r="V135" s="145"/>
      <c r="W135" s="145"/>
      <c r="X135" s="145"/>
      <c r="Y135" s="145"/>
      <c r="Z135" s="145"/>
    </row>
    <row r="136" spans="1:26" ht="13.2">
      <c r="A136" s="144">
        <v>0</v>
      </c>
      <c r="B136" s="145"/>
      <c r="C136" s="145"/>
      <c r="D136" s="145"/>
      <c r="E136" s="145"/>
      <c r="F136" s="145"/>
      <c r="G136" s="145"/>
      <c r="H136" s="145"/>
      <c r="I136" s="145"/>
      <c r="J136" s="145"/>
      <c r="K136" s="145"/>
      <c r="L136" s="145"/>
      <c r="M136" s="146"/>
      <c r="N136" s="145"/>
      <c r="O136" s="145"/>
      <c r="P136" s="145"/>
      <c r="Q136" s="145"/>
      <c r="R136" s="145"/>
      <c r="S136" s="145"/>
      <c r="T136" s="145"/>
      <c r="U136" s="145"/>
      <c r="V136" s="145"/>
      <c r="W136" s="145"/>
      <c r="X136" s="145"/>
      <c r="Y136" s="145"/>
      <c r="Z136" s="145"/>
    </row>
    <row r="137" spans="1:26" ht="13.2">
      <c r="A137" s="144">
        <v>0</v>
      </c>
      <c r="B137" s="145"/>
      <c r="C137" s="145"/>
      <c r="D137" s="145"/>
      <c r="E137" s="145"/>
      <c r="F137" s="145"/>
      <c r="G137" s="145"/>
      <c r="H137" s="145"/>
      <c r="I137" s="145"/>
      <c r="J137" s="145"/>
      <c r="K137" s="145"/>
      <c r="L137" s="145"/>
      <c r="M137" s="146"/>
      <c r="N137" s="145"/>
      <c r="O137" s="145"/>
      <c r="P137" s="145"/>
      <c r="Q137" s="145"/>
      <c r="R137" s="145"/>
      <c r="S137" s="145"/>
      <c r="T137" s="145"/>
      <c r="U137" s="145"/>
      <c r="V137" s="145"/>
      <c r="W137" s="145"/>
      <c r="X137" s="145"/>
      <c r="Y137" s="145"/>
      <c r="Z137" s="145"/>
    </row>
    <row r="138" spans="1:26" ht="13.2">
      <c r="A138" s="144">
        <v>0</v>
      </c>
      <c r="B138" s="145"/>
      <c r="C138" s="145"/>
      <c r="D138" s="145"/>
      <c r="E138" s="145"/>
      <c r="F138" s="145"/>
      <c r="G138" s="145"/>
      <c r="H138" s="145"/>
      <c r="I138" s="145"/>
      <c r="J138" s="145"/>
      <c r="K138" s="145"/>
      <c r="L138" s="145"/>
      <c r="M138" s="146"/>
      <c r="N138" s="145"/>
      <c r="O138" s="145"/>
      <c r="P138" s="145"/>
      <c r="Q138" s="145"/>
      <c r="R138" s="145"/>
      <c r="S138" s="145"/>
      <c r="T138" s="145"/>
      <c r="U138" s="145"/>
      <c r="V138" s="145"/>
      <c r="W138" s="145"/>
      <c r="X138" s="145"/>
      <c r="Y138" s="145"/>
      <c r="Z138" s="145"/>
    </row>
    <row r="139" spans="1:26" ht="13.2">
      <c r="A139" s="144">
        <v>0</v>
      </c>
      <c r="B139" s="145"/>
      <c r="C139" s="145"/>
      <c r="D139" s="145"/>
      <c r="E139" s="145"/>
      <c r="F139" s="145"/>
      <c r="G139" s="145"/>
      <c r="H139" s="145"/>
      <c r="I139" s="145"/>
      <c r="J139" s="145"/>
      <c r="K139" s="145"/>
      <c r="L139" s="145"/>
      <c r="M139" s="146"/>
      <c r="N139" s="145"/>
      <c r="O139" s="145"/>
      <c r="P139" s="145"/>
      <c r="Q139" s="145"/>
      <c r="R139" s="145"/>
      <c r="S139" s="145"/>
      <c r="T139" s="145"/>
      <c r="U139" s="145"/>
      <c r="V139" s="145"/>
      <c r="W139" s="145"/>
      <c r="X139" s="145"/>
      <c r="Y139" s="145"/>
      <c r="Z139" s="145"/>
    </row>
    <row r="140" spans="1:26" ht="13.2">
      <c r="A140" s="144">
        <v>0</v>
      </c>
      <c r="B140" s="145"/>
      <c r="C140" s="145"/>
      <c r="D140" s="145"/>
      <c r="E140" s="145"/>
      <c r="F140" s="145"/>
      <c r="G140" s="145"/>
      <c r="H140" s="145"/>
      <c r="I140" s="145"/>
      <c r="J140" s="145"/>
      <c r="K140" s="145"/>
      <c r="L140" s="145"/>
      <c r="M140" s="146"/>
      <c r="N140" s="145"/>
      <c r="O140" s="145"/>
      <c r="P140" s="145"/>
      <c r="Q140" s="145"/>
      <c r="R140" s="145"/>
      <c r="S140" s="145"/>
      <c r="T140" s="145"/>
      <c r="U140" s="145"/>
      <c r="V140" s="145"/>
      <c r="W140" s="145"/>
      <c r="X140" s="145"/>
      <c r="Y140" s="145"/>
      <c r="Z140" s="145"/>
    </row>
    <row r="141" spans="1:26" ht="13.2">
      <c r="A141" s="144">
        <v>0</v>
      </c>
      <c r="B141" s="145"/>
      <c r="C141" s="145"/>
      <c r="D141" s="145"/>
      <c r="E141" s="145"/>
      <c r="F141" s="145"/>
      <c r="G141" s="145"/>
      <c r="H141" s="145"/>
      <c r="I141" s="145"/>
      <c r="J141" s="145"/>
      <c r="K141" s="145"/>
      <c r="L141" s="145"/>
      <c r="M141" s="146"/>
      <c r="N141" s="145"/>
      <c r="O141" s="145"/>
      <c r="P141" s="145"/>
      <c r="Q141" s="145"/>
      <c r="R141" s="145"/>
      <c r="S141" s="145"/>
      <c r="T141" s="145"/>
      <c r="U141" s="145"/>
      <c r="V141" s="145"/>
      <c r="W141" s="145"/>
      <c r="X141" s="145"/>
      <c r="Y141" s="145"/>
      <c r="Z141" s="145"/>
    </row>
    <row r="142" spans="1:26" ht="13.2">
      <c r="A142" s="144">
        <v>0</v>
      </c>
      <c r="B142" s="145"/>
      <c r="C142" s="145"/>
      <c r="D142" s="145"/>
      <c r="E142" s="145"/>
      <c r="F142" s="145"/>
      <c r="G142" s="145"/>
      <c r="H142" s="145"/>
      <c r="I142" s="145"/>
      <c r="J142" s="145"/>
      <c r="K142" s="145"/>
      <c r="L142" s="145"/>
      <c r="M142" s="146"/>
      <c r="N142" s="145"/>
      <c r="O142" s="145"/>
      <c r="P142" s="145"/>
      <c r="Q142" s="145"/>
      <c r="R142" s="145"/>
      <c r="S142" s="145"/>
      <c r="T142" s="145"/>
      <c r="U142" s="145"/>
      <c r="V142" s="145"/>
      <c r="W142" s="145"/>
      <c r="X142" s="145"/>
      <c r="Y142" s="145"/>
      <c r="Z142" s="145"/>
    </row>
    <row r="143" spans="1:26" ht="13.2">
      <c r="A143" s="144">
        <v>0</v>
      </c>
      <c r="B143" s="145"/>
      <c r="C143" s="145"/>
      <c r="D143" s="145"/>
      <c r="E143" s="145"/>
      <c r="F143" s="145"/>
      <c r="G143" s="145"/>
      <c r="H143" s="145"/>
      <c r="I143" s="145"/>
      <c r="J143" s="145"/>
      <c r="K143" s="145"/>
      <c r="L143" s="145"/>
      <c r="M143" s="146"/>
      <c r="N143" s="145"/>
      <c r="O143" s="145"/>
      <c r="P143" s="145"/>
      <c r="Q143" s="145"/>
      <c r="R143" s="145"/>
      <c r="S143" s="145"/>
      <c r="T143" s="145"/>
      <c r="U143" s="145"/>
      <c r="V143" s="145"/>
      <c r="W143" s="145"/>
      <c r="X143" s="145"/>
      <c r="Y143" s="145"/>
      <c r="Z143" s="145"/>
    </row>
    <row r="144" spans="1:26" ht="13.2">
      <c r="A144" s="144">
        <v>0</v>
      </c>
      <c r="B144" s="145"/>
      <c r="C144" s="145"/>
      <c r="D144" s="145"/>
      <c r="E144" s="145"/>
      <c r="F144" s="145"/>
      <c r="G144" s="145"/>
      <c r="H144" s="145"/>
      <c r="I144" s="145"/>
      <c r="J144" s="145"/>
      <c r="K144" s="145"/>
      <c r="L144" s="145"/>
      <c r="M144" s="146"/>
      <c r="N144" s="145"/>
      <c r="O144" s="145"/>
      <c r="P144" s="145"/>
      <c r="Q144" s="145"/>
      <c r="R144" s="145"/>
      <c r="S144" s="145"/>
      <c r="T144" s="145"/>
      <c r="U144" s="145"/>
      <c r="V144" s="145"/>
      <c r="W144" s="145"/>
      <c r="X144" s="145"/>
      <c r="Y144" s="145"/>
      <c r="Z144" s="145"/>
    </row>
    <row r="145" spans="1:26" ht="13.2">
      <c r="A145" s="144">
        <v>0</v>
      </c>
      <c r="B145" s="145"/>
      <c r="C145" s="145"/>
      <c r="D145" s="145"/>
      <c r="E145" s="145"/>
      <c r="F145" s="145"/>
      <c r="G145" s="145"/>
      <c r="H145" s="145"/>
      <c r="I145" s="145"/>
      <c r="J145" s="145"/>
      <c r="K145" s="145"/>
      <c r="L145" s="145"/>
      <c r="M145" s="146"/>
      <c r="N145" s="145"/>
      <c r="O145" s="145"/>
      <c r="P145" s="145"/>
      <c r="Q145" s="145"/>
      <c r="R145" s="145"/>
      <c r="S145" s="145"/>
      <c r="T145" s="145"/>
      <c r="U145" s="145"/>
      <c r="V145" s="145"/>
      <c r="W145" s="145"/>
      <c r="X145" s="145"/>
      <c r="Y145" s="145"/>
      <c r="Z145" s="145"/>
    </row>
    <row r="146" spans="1:26" ht="13.2">
      <c r="A146" s="144">
        <v>0</v>
      </c>
      <c r="B146" s="145"/>
      <c r="C146" s="145"/>
      <c r="D146" s="145"/>
      <c r="E146" s="145"/>
      <c r="F146" s="145"/>
      <c r="G146" s="145"/>
      <c r="H146" s="145"/>
      <c r="I146" s="145"/>
      <c r="J146" s="145"/>
      <c r="K146" s="145"/>
      <c r="L146" s="145"/>
      <c r="M146" s="146"/>
      <c r="N146" s="145"/>
      <c r="O146" s="145"/>
      <c r="P146" s="145"/>
      <c r="Q146" s="145"/>
      <c r="R146" s="145"/>
      <c r="S146" s="145"/>
      <c r="T146" s="145"/>
      <c r="U146" s="145"/>
      <c r="V146" s="145"/>
      <c r="W146" s="145"/>
      <c r="X146" s="145"/>
      <c r="Y146" s="145"/>
      <c r="Z146" s="145"/>
    </row>
    <row r="147" spans="1:26" ht="13.2">
      <c r="A147" s="144">
        <v>0</v>
      </c>
      <c r="B147" s="145"/>
      <c r="C147" s="145"/>
      <c r="D147" s="145"/>
      <c r="E147" s="145"/>
      <c r="F147" s="145"/>
      <c r="G147" s="145"/>
      <c r="H147" s="145"/>
      <c r="I147" s="145"/>
      <c r="J147" s="145"/>
      <c r="K147" s="145"/>
      <c r="L147" s="145"/>
      <c r="M147" s="146"/>
      <c r="N147" s="145"/>
      <c r="O147" s="145"/>
      <c r="P147" s="145"/>
      <c r="Q147" s="145"/>
      <c r="R147" s="145"/>
      <c r="S147" s="145"/>
      <c r="T147" s="145"/>
      <c r="U147" s="145"/>
      <c r="V147" s="145"/>
      <c r="W147" s="145"/>
      <c r="X147" s="145"/>
      <c r="Y147" s="145"/>
      <c r="Z147" s="145"/>
    </row>
    <row r="148" spans="1:26" ht="13.2">
      <c r="A148" s="144">
        <v>0</v>
      </c>
      <c r="B148" s="145"/>
      <c r="C148" s="145"/>
      <c r="D148" s="145"/>
      <c r="E148" s="145"/>
      <c r="F148" s="145"/>
      <c r="G148" s="145"/>
      <c r="H148" s="145"/>
      <c r="I148" s="145"/>
      <c r="J148" s="145"/>
      <c r="K148" s="145"/>
      <c r="L148" s="145"/>
      <c r="M148" s="146"/>
      <c r="N148" s="145"/>
      <c r="O148" s="145"/>
      <c r="P148" s="145"/>
      <c r="Q148" s="145"/>
      <c r="R148" s="145"/>
      <c r="S148" s="145"/>
      <c r="T148" s="145"/>
      <c r="U148" s="145"/>
      <c r="V148" s="145"/>
      <c r="W148" s="145"/>
      <c r="X148" s="145"/>
      <c r="Y148" s="145"/>
      <c r="Z148" s="145"/>
    </row>
    <row r="149" spans="1:26" ht="13.2">
      <c r="A149" s="144">
        <v>0</v>
      </c>
      <c r="B149" s="145"/>
      <c r="C149" s="145"/>
      <c r="D149" s="145"/>
      <c r="E149" s="145"/>
      <c r="F149" s="145"/>
      <c r="G149" s="145"/>
      <c r="H149" s="145"/>
      <c r="I149" s="145"/>
      <c r="J149" s="145"/>
      <c r="K149" s="145"/>
      <c r="L149" s="145"/>
      <c r="M149" s="146"/>
      <c r="N149" s="145"/>
      <c r="O149" s="145"/>
      <c r="P149" s="145"/>
      <c r="Q149" s="145"/>
      <c r="R149" s="145"/>
      <c r="S149" s="145"/>
      <c r="T149" s="145"/>
      <c r="U149" s="145"/>
      <c r="V149" s="145"/>
      <c r="W149" s="145"/>
      <c r="X149" s="145"/>
      <c r="Y149" s="145"/>
      <c r="Z149" s="145"/>
    </row>
    <row r="150" spans="1:26" ht="13.2">
      <c r="A150" s="144">
        <v>0</v>
      </c>
      <c r="B150" s="145"/>
      <c r="C150" s="145"/>
      <c r="D150" s="145"/>
      <c r="E150" s="145"/>
      <c r="F150" s="145"/>
      <c r="G150" s="145"/>
      <c r="H150" s="145"/>
      <c r="I150" s="145"/>
      <c r="J150" s="145"/>
      <c r="K150" s="145"/>
      <c r="L150" s="145"/>
      <c r="M150" s="146"/>
      <c r="N150" s="145"/>
      <c r="O150" s="145"/>
      <c r="P150" s="145"/>
      <c r="Q150" s="145"/>
      <c r="R150" s="145"/>
      <c r="S150" s="145"/>
      <c r="T150" s="145"/>
      <c r="U150" s="145"/>
      <c r="V150" s="145"/>
      <c r="W150" s="145"/>
      <c r="X150" s="145"/>
      <c r="Y150" s="145"/>
      <c r="Z150" s="145"/>
    </row>
    <row r="151" spans="1:26" ht="13.2">
      <c r="A151" s="144">
        <v>0</v>
      </c>
      <c r="B151" s="145"/>
      <c r="C151" s="145"/>
      <c r="D151" s="145"/>
      <c r="E151" s="145"/>
      <c r="F151" s="145"/>
      <c r="G151" s="145"/>
      <c r="H151" s="145"/>
      <c r="I151" s="145"/>
      <c r="J151" s="145"/>
      <c r="K151" s="145"/>
      <c r="L151" s="145"/>
      <c r="M151" s="146"/>
      <c r="N151" s="145"/>
      <c r="O151" s="145"/>
      <c r="P151" s="145"/>
      <c r="Q151" s="145"/>
      <c r="R151" s="145"/>
      <c r="S151" s="145"/>
      <c r="T151" s="145"/>
      <c r="U151" s="145"/>
      <c r="V151" s="145"/>
      <c r="W151" s="145"/>
      <c r="X151" s="145"/>
      <c r="Y151" s="145"/>
      <c r="Z151" s="145"/>
    </row>
    <row r="152" spans="1:26" ht="13.2">
      <c r="A152" s="144">
        <v>0</v>
      </c>
      <c r="B152" s="145"/>
      <c r="C152" s="145"/>
      <c r="D152" s="145"/>
      <c r="E152" s="145"/>
      <c r="F152" s="145"/>
      <c r="G152" s="145"/>
      <c r="H152" s="145"/>
      <c r="I152" s="145"/>
      <c r="J152" s="145"/>
      <c r="K152" s="145"/>
      <c r="L152" s="145"/>
      <c r="M152" s="146"/>
      <c r="N152" s="145"/>
      <c r="O152" s="145"/>
      <c r="P152" s="145"/>
      <c r="Q152" s="145"/>
      <c r="R152" s="145"/>
      <c r="S152" s="145"/>
      <c r="T152" s="145"/>
      <c r="U152" s="145"/>
      <c r="V152" s="145"/>
      <c r="W152" s="145"/>
      <c r="X152" s="145"/>
      <c r="Y152" s="145"/>
      <c r="Z152" s="145"/>
    </row>
    <row r="153" spans="1:26" ht="13.2">
      <c r="A153" s="144">
        <v>0</v>
      </c>
      <c r="B153" s="145"/>
      <c r="C153" s="145"/>
      <c r="D153" s="145"/>
      <c r="E153" s="145"/>
      <c r="F153" s="145"/>
      <c r="G153" s="145"/>
      <c r="H153" s="145"/>
      <c r="I153" s="145"/>
      <c r="J153" s="145"/>
      <c r="K153" s="145"/>
      <c r="L153" s="145"/>
      <c r="M153" s="146"/>
      <c r="N153" s="145"/>
      <c r="O153" s="145"/>
      <c r="P153" s="145"/>
      <c r="Q153" s="145"/>
      <c r="R153" s="145"/>
      <c r="S153" s="145"/>
      <c r="T153" s="145"/>
      <c r="U153" s="145"/>
      <c r="V153" s="145"/>
      <c r="W153" s="145"/>
      <c r="X153" s="145"/>
      <c r="Y153" s="145"/>
      <c r="Z153" s="145"/>
    </row>
    <row r="154" spans="1:26" ht="13.2">
      <c r="A154" s="144">
        <v>0</v>
      </c>
      <c r="B154" s="145"/>
      <c r="C154" s="145"/>
      <c r="D154" s="145"/>
      <c r="E154" s="145"/>
      <c r="F154" s="145"/>
      <c r="G154" s="145"/>
      <c r="H154" s="145"/>
      <c r="I154" s="145"/>
      <c r="J154" s="145"/>
      <c r="K154" s="145"/>
      <c r="L154" s="145"/>
      <c r="M154" s="146"/>
      <c r="N154" s="145"/>
      <c r="O154" s="145"/>
      <c r="P154" s="145"/>
      <c r="Q154" s="145"/>
      <c r="R154" s="145"/>
      <c r="S154" s="145"/>
      <c r="T154" s="145"/>
      <c r="U154" s="145"/>
      <c r="V154" s="145"/>
      <c r="W154" s="145"/>
      <c r="X154" s="145"/>
      <c r="Y154" s="145"/>
      <c r="Z154" s="145"/>
    </row>
    <row r="155" spans="1:26" ht="13.2">
      <c r="A155" s="144">
        <v>0</v>
      </c>
      <c r="B155" s="145"/>
      <c r="C155" s="145"/>
      <c r="D155" s="145"/>
      <c r="E155" s="145"/>
      <c r="F155" s="145"/>
      <c r="G155" s="145"/>
      <c r="H155" s="145"/>
      <c r="I155" s="145"/>
      <c r="J155" s="145"/>
      <c r="K155" s="145"/>
      <c r="L155" s="145"/>
      <c r="M155" s="146"/>
      <c r="N155" s="145"/>
      <c r="O155" s="145"/>
      <c r="P155" s="145"/>
      <c r="Q155" s="145"/>
      <c r="R155" s="145"/>
      <c r="S155" s="145"/>
      <c r="T155" s="145"/>
      <c r="U155" s="145"/>
      <c r="V155" s="145"/>
      <c r="W155" s="145"/>
      <c r="X155" s="145"/>
      <c r="Y155" s="145"/>
      <c r="Z155" s="145"/>
    </row>
    <row r="156" spans="1:26" ht="13.2">
      <c r="A156" s="144">
        <v>0</v>
      </c>
      <c r="B156" s="145"/>
      <c r="C156" s="145"/>
      <c r="D156" s="145"/>
      <c r="E156" s="145"/>
      <c r="F156" s="145"/>
      <c r="G156" s="145"/>
      <c r="H156" s="145"/>
      <c r="I156" s="145"/>
      <c r="J156" s="145"/>
      <c r="K156" s="145"/>
      <c r="L156" s="145"/>
      <c r="M156" s="146"/>
      <c r="N156" s="145"/>
      <c r="O156" s="145"/>
      <c r="P156" s="145"/>
      <c r="Q156" s="145"/>
      <c r="R156" s="145"/>
      <c r="S156" s="145"/>
      <c r="T156" s="145"/>
      <c r="U156" s="145"/>
      <c r="V156" s="145"/>
      <c r="W156" s="145"/>
      <c r="X156" s="145"/>
      <c r="Y156" s="145"/>
      <c r="Z156" s="145"/>
    </row>
    <row r="157" spans="1:26" ht="13.2">
      <c r="A157" s="144">
        <v>0</v>
      </c>
      <c r="B157" s="145"/>
      <c r="C157" s="145"/>
      <c r="D157" s="145"/>
      <c r="E157" s="145"/>
      <c r="F157" s="145"/>
      <c r="G157" s="145"/>
      <c r="H157" s="145"/>
      <c r="I157" s="145"/>
      <c r="J157" s="145"/>
      <c r="K157" s="145"/>
      <c r="L157" s="145"/>
      <c r="M157" s="146"/>
      <c r="N157" s="145"/>
      <c r="O157" s="145"/>
      <c r="P157" s="145"/>
      <c r="Q157" s="145"/>
      <c r="R157" s="145"/>
      <c r="S157" s="145"/>
      <c r="T157" s="145"/>
      <c r="U157" s="145"/>
      <c r="V157" s="145"/>
      <c r="W157" s="145"/>
      <c r="X157" s="145"/>
      <c r="Y157" s="145"/>
      <c r="Z157" s="145"/>
    </row>
    <row r="158" spans="1:26" ht="13.2">
      <c r="A158" s="144">
        <v>0</v>
      </c>
      <c r="B158" s="145"/>
      <c r="C158" s="145"/>
      <c r="D158" s="145"/>
      <c r="E158" s="145"/>
      <c r="F158" s="145"/>
      <c r="G158" s="145"/>
      <c r="H158" s="145"/>
      <c r="I158" s="145"/>
      <c r="J158" s="145"/>
      <c r="K158" s="145"/>
      <c r="L158" s="145"/>
      <c r="M158" s="146"/>
      <c r="N158" s="145"/>
      <c r="O158" s="145"/>
      <c r="P158" s="145"/>
      <c r="Q158" s="145"/>
      <c r="R158" s="145"/>
      <c r="S158" s="145"/>
      <c r="T158" s="145"/>
      <c r="U158" s="145"/>
      <c r="V158" s="145"/>
      <c r="W158" s="145"/>
      <c r="X158" s="145"/>
      <c r="Y158" s="145"/>
      <c r="Z158" s="145"/>
    </row>
    <row r="159" spans="1:26" ht="13.2">
      <c r="A159" s="144">
        <v>0</v>
      </c>
      <c r="B159" s="145"/>
      <c r="C159" s="145"/>
      <c r="D159" s="145"/>
      <c r="E159" s="145"/>
      <c r="F159" s="145"/>
      <c r="G159" s="145"/>
      <c r="H159" s="145"/>
      <c r="I159" s="145"/>
      <c r="J159" s="145"/>
      <c r="K159" s="145"/>
      <c r="L159" s="145"/>
      <c r="M159" s="146"/>
      <c r="N159" s="145"/>
      <c r="O159" s="145"/>
      <c r="P159" s="145"/>
      <c r="Q159" s="145"/>
      <c r="R159" s="145"/>
      <c r="S159" s="145"/>
      <c r="T159" s="145"/>
      <c r="U159" s="145"/>
      <c r="V159" s="145"/>
      <c r="W159" s="145"/>
      <c r="X159" s="145"/>
      <c r="Y159" s="145"/>
      <c r="Z159" s="145"/>
    </row>
    <row r="160" spans="1:26" ht="13.2">
      <c r="A160" s="144">
        <v>0</v>
      </c>
      <c r="B160" s="145"/>
      <c r="C160" s="145"/>
      <c r="D160" s="145"/>
      <c r="E160" s="145"/>
      <c r="F160" s="145"/>
      <c r="G160" s="145"/>
      <c r="H160" s="145"/>
      <c r="I160" s="145"/>
      <c r="J160" s="145"/>
      <c r="K160" s="145"/>
      <c r="L160" s="145"/>
      <c r="M160" s="146"/>
      <c r="N160" s="145"/>
      <c r="O160" s="145"/>
      <c r="P160" s="145"/>
      <c r="Q160" s="145"/>
      <c r="R160" s="145"/>
      <c r="S160" s="145"/>
      <c r="T160" s="145"/>
      <c r="U160" s="145"/>
      <c r="V160" s="145"/>
      <c r="W160" s="145"/>
      <c r="X160" s="145"/>
      <c r="Y160" s="145"/>
      <c r="Z160" s="145"/>
    </row>
    <row r="161" spans="1:26" ht="13.2">
      <c r="A161" s="144">
        <v>0</v>
      </c>
      <c r="B161" s="145"/>
      <c r="C161" s="145"/>
      <c r="D161" s="145"/>
      <c r="E161" s="145"/>
      <c r="F161" s="145"/>
      <c r="G161" s="145"/>
      <c r="H161" s="145"/>
      <c r="I161" s="145"/>
      <c r="J161" s="145"/>
      <c r="K161" s="145"/>
      <c r="L161" s="145"/>
      <c r="M161" s="146"/>
      <c r="N161" s="145"/>
      <c r="O161" s="145"/>
      <c r="P161" s="145"/>
      <c r="Q161" s="145"/>
      <c r="R161" s="145"/>
      <c r="S161" s="145"/>
      <c r="T161" s="145"/>
      <c r="U161" s="145"/>
      <c r="V161" s="145"/>
      <c r="W161" s="145"/>
      <c r="X161" s="145"/>
      <c r="Y161" s="145"/>
      <c r="Z161" s="145"/>
    </row>
    <row r="162" spans="1:26" ht="13.2">
      <c r="A162" s="144">
        <v>0</v>
      </c>
      <c r="B162" s="145"/>
      <c r="C162" s="145"/>
      <c r="D162" s="145"/>
      <c r="E162" s="145"/>
      <c r="F162" s="145"/>
      <c r="G162" s="145"/>
      <c r="H162" s="145"/>
      <c r="I162" s="145"/>
      <c r="J162" s="145"/>
      <c r="K162" s="145"/>
      <c r="L162" s="145"/>
      <c r="M162" s="146"/>
      <c r="N162" s="145"/>
      <c r="O162" s="145"/>
      <c r="P162" s="145"/>
      <c r="Q162" s="145"/>
      <c r="R162" s="145"/>
      <c r="S162" s="145"/>
      <c r="T162" s="145"/>
      <c r="U162" s="145"/>
      <c r="V162" s="145"/>
      <c r="W162" s="145"/>
      <c r="X162" s="145"/>
      <c r="Y162" s="145"/>
      <c r="Z162" s="145"/>
    </row>
    <row r="163" spans="1:26" ht="13.2">
      <c r="A163" s="144">
        <v>0</v>
      </c>
      <c r="B163" s="145"/>
      <c r="C163" s="145"/>
      <c r="D163" s="145"/>
      <c r="E163" s="145"/>
      <c r="F163" s="145"/>
      <c r="G163" s="145"/>
      <c r="H163" s="145"/>
      <c r="I163" s="145"/>
      <c r="J163" s="145"/>
      <c r="K163" s="145"/>
      <c r="L163" s="145"/>
      <c r="M163" s="146"/>
      <c r="N163" s="145"/>
      <c r="O163" s="145"/>
      <c r="P163" s="145"/>
      <c r="Q163" s="145"/>
      <c r="R163" s="145"/>
      <c r="S163" s="145"/>
      <c r="T163" s="145"/>
      <c r="U163" s="145"/>
      <c r="V163" s="145"/>
      <c r="W163" s="145"/>
      <c r="X163" s="145"/>
      <c r="Y163" s="145"/>
      <c r="Z163" s="145"/>
    </row>
    <row r="164" spans="1:26" ht="13.2">
      <c r="A164" s="144">
        <v>0</v>
      </c>
      <c r="B164" s="145"/>
      <c r="C164" s="145"/>
      <c r="D164" s="145"/>
      <c r="E164" s="145"/>
      <c r="F164" s="145"/>
      <c r="G164" s="145"/>
      <c r="H164" s="145"/>
      <c r="I164" s="145"/>
      <c r="J164" s="145"/>
      <c r="K164" s="145"/>
      <c r="L164" s="145"/>
      <c r="M164" s="146"/>
      <c r="N164" s="145"/>
      <c r="O164" s="145"/>
      <c r="P164" s="145"/>
      <c r="Q164" s="145"/>
      <c r="R164" s="145"/>
      <c r="S164" s="145"/>
      <c r="T164" s="145"/>
      <c r="U164" s="145"/>
      <c r="V164" s="145"/>
      <c r="W164" s="145"/>
      <c r="X164" s="145"/>
      <c r="Y164" s="145"/>
      <c r="Z164" s="145"/>
    </row>
    <row r="165" spans="1:26" ht="13.2">
      <c r="A165" s="144">
        <v>0</v>
      </c>
      <c r="B165" s="145"/>
      <c r="C165" s="145"/>
      <c r="D165" s="145"/>
      <c r="E165" s="145"/>
      <c r="F165" s="145"/>
      <c r="G165" s="145"/>
      <c r="H165" s="145"/>
      <c r="I165" s="145"/>
      <c r="J165" s="145"/>
      <c r="K165" s="145"/>
      <c r="L165" s="145"/>
      <c r="M165" s="146"/>
      <c r="N165" s="145"/>
      <c r="O165" s="145"/>
      <c r="P165" s="145"/>
      <c r="Q165" s="145"/>
      <c r="R165" s="145"/>
      <c r="S165" s="145"/>
      <c r="T165" s="145"/>
      <c r="U165" s="145"/>
      <c r="V165" s="145"/>
      <c r="W165" s="145"/>
      <c r="X165" s="145"/>
      <c r="Y165" s="145"/>
      <c r="Z165" s="145"/>
    </row>
    <row r="166" spans="1:26" ht="13.2">
      <c r="A166" s="144">
        <v>0</v>
      </c>
      <c r="B166" s="145"/>
      <c r="C166" s="145"/>
      <c r="D166" s="145"/>
      <c r="E166" s="145"/>
      <c r="F166" s="145"/>
      <c r="G166" s="145"/>
      <c r="H166" s="145"/>
      <c r="I166" s="145"/>
      <c r="J166" s="145"/>
      <c r="K166" s="145"/>
      <c r="L166" s="145"/>
      <c r="M166" s="146"/>
      <c r="N166" s="145"/>
      <c r="O166" s="145"/>
      <c r="P166" s="145"/>
      <c r="Q166" s="145"/>
      <c r="R166" s="145"/>
      <c r="S166" s="145"/>
      <c r="T166" s="145"/>
      <c r="U166" s="145"/>
      <c r="V166" s="145"/>
      <c r="W166" s="145"/>
      <c r="X166" s="145"/>
      <c r="Y166" s="145"/>
      <c r="Z166" s="145"/>
    </row>
    <row r="167" spans="1:26" ht="13.2">
      <c r="A167" s="144">
        <v>0</v>
      </c>
      <c r="B167" s="145"/>
      <c r="C167" s="145"/>
      <c r="D167" s="145"/>
      <c r="E167" s="145"/>
      <c r="F167" s="145"/>
      <c r="G167" s="145"/>
      <c r="H167" s="145"/>
      <c r="I167" s="145"/>
      <c r="J167" s="145"/>
      <c r="K167" s="145"/>
      <c r="L167" s="145"/>
      <c r="M167" s="146"/>
      <c r="N167" s="145"/>
      <c r="O167" s="145"/>
      <c r="P167" s="145"/>
      <c r="Q167" s="145"/>
      <c r="R167" s="145"/>
      <c r="S167" s="145"/>
      <c r="T167" s="145"/>
      <c r="U167" s="145"/>
      <c r="V167" s="145"/>
      <c r="W167" s="145"/>
      <c r="X167" s="145"/>
      <c r="Y167" s="145"/>
      <c r="Z167" s="145"/>
    </row>
    <row r="168" spans="1:26" ht="13.2">
      <c r="A168" s="144">
        <v>0</v>
      </c>
      <c r="B168" s="145"/>
      <c r="C168" s="145"/>
      <c r="D168" s="145"/>
      <c r="E168" s="145"/>
      <c r="F168" s="145"/>
      <c r="G168" s="145"/>
      <c r="H168" s="145"/>
      <c r="I168" s="145"/>
      <c r="J168" s="145"/>
      <c r="K168" s="145"/>
      <c r="L168" s="145"/>
      <c r="M168" s="146"/>
      <c r="N168" s="145"/>
      <c r="O168" s="145"/>
      <c r="P168" s="145"/>
      <c r="Q168" s="145"/>
      <c r="R168" s="145"/>
      <c r="S168" s="145"/>
      <c r="T168" s="145"/>
      <c r="U168" s="145"/>
      <c r="V168" s="145"/>
      <c r="W168" s="145"/>
      <c r="X168" s="145"/>
      <c r="Y168" s="145"/>
      <c r="Z168" s="145"/>
    </row>
    <row r="169" spans="1:26" ht="13.2">
      <c r="A169" s="144">
        <v>0</v>
      </c>
      <c r="B169" s="145"/>
      <c r="C169" s="145"/>
      <c r="D169" s="145"/>
      <c r="E169" s="145"/>
      <c r="F169" s="145"/>
      <c r="G169" s="145"/>
      <c r="H169" s="145"/>
      <c r="I169" s="145"/>
      <c r="J169" s="145"/>
      <c r="K169" s="145"/>
      <c r="L169" s="145"/>
      <c r="M169" s="146"/>
      <c r="N169" s="145"/>
      <c r="O169" s="145"/>
      <c r="P169" s="145"/>
      <c r="Q169" s="145"/>
      <c r="R169" s="145"/>
      <c r="S169" s="145"/>
      <c r="T169" s="145"/>
      <c r="U169" s="145"/>
      <c r="V169" s="145"/>
      <c r="W169" s="145"/>
      <c r="X169" s="145"/>
      <c r="Y169" s="145"/>
      <c r="Z169" s="145"/>
    </row>
    <row r="170" spans="1:26" ht="13.2">
      <c r="A170" s="144">
        <v>0</v>
      </c>
      <c r="B170" s="145"/>
      <c r="C170" s="145"/>
      <c r="D170" s="145"/>
      <c r="E170" s="145"/>
      <c r="F170" s="145"/>
      <c r="G170" s="145"/>
      <c r="H170" s="145"/>
      <c r="I170" s="145"/>
      <c r="J170" s="145"/>
      <c r="K170" s="145"/>
      <c r="L170" s="145"/>
      <c r="M170" s="146"/>
      <c r="N170" s="145"/>
      <c r="O170" s="145"/>
      <c r="P170" s="145"/>
      <c r="Q170" s="145"/>
      <c r="R170" s="145"/>
      <c r="S170" s="145"/>
      <c r="T170" s="145"/>
      <c r="U170" s="145"/>
      <c r="V170" s="145"/>
      <c r="W170" s="145"/>
      <c r="X170" s="145"/>
      <c r="Y170" s="145"/>
      <c r="Z170" s="145"/>
    </row>
    <row r="171" spans="1:26" ht="13.2">
      <c r="A171" s="144">
        <v>0</v>
      </c>
      <c r="B171" s="145"/>
      <c r="C171" s="145"/>
      <c r="D171" s="145"/>
      <c r="E171" s="145"/>
      <c r="F171" s="145"/>
      <c r="G171" s="145"/>
      <c r="H171" s="145"/>
      <c r="I171" s="145"/>
      <c r="J171" s="145"/>
      <c r="K171" s="145"/>
      <c r="L171" s="145"/>
      <c r="M171" s="146"/>
      <c r="N171" s="145"/>
      <c r="O171" s="145"/>
      <c r="P171" s="145"/>
      <c r="Q171" s="145"/>
      <c r="R171" s="145"/>
      <c r="S171" s="145"/>
      <c r="T171" s="145"/>
      <c r="U171" s="145"/>
      <c r="V171" s="145"/>
      <c r="W171" s="145"/>
      <c r="X171" s="145"/>
      <c r="Y171" s="145"/>
      <c r="Z171" s="145"/>
    </row>
    <row r="172" spans="1:26" ht="13.2">
      <c r="A172" s="144">
        <v>0</v>
      </c>
      <c r="B172" s="145"/>
      <c r="C172" s="145"/>
      <c r="D172" s="145"/>
      <c r="E172" s="145"/>
      <c r="F172" s="145"/>
      <c r="G172" s="145"/>
      <c r="H172" s="145"/>
      <c r="I172" s="145"/>
      <c r="J172" s="145"/>
      <c r="K172" s="145"/>
      <c r="L172" s="145"/>
      <c r="M172" s="146"/>
      <c r="N172" s="145"/>
      <c r="O172" s="145"/>
      <c r="P172" s="145"/>
      <c r="Q172" s="145"/>
      <c r="R172" s="145"/>
      <c r="S172" s="145"/>
      <c r="T172" s="145"/>
      <c r="U172" s="145"/>
      <c r="V172" s="145"/>
      <c r="W172" s="145"/>
      <c r="X172" s="145"/>
      <c r="Y172" s="145"/>
      <c r="Z172" s="145"/>
    </row>
    <row r="173" spans="1:26" ht="13.2">
      <c r="A173" s="144">
        <v>0</v>
      </c>
      <c r="B173" s="145"/>
      <c r="C173" s="145"/>
      <c r="D173" s="145"/>
      <c r="E173" s="145"/>
      <c r="F173" s="145"/>
      <c r="G173" s="145"/>
      <c r="H173" s="145"/>
      <c r="I173" s="145"/>
      <c r="J173" s="145"/>
      <c r="K173" s="145"/>
      <c r="L173" s="145"/>
      <c r="M173" s="146"/>
      <c r="N173" s="145"/>
      <c r="O173" s="145"/>
      <c r="P173" s="145"/>
      <c r="Q173" s="145"/>
      <c r="R173" s="145"/>
      <c r="S173" s="145"/>
      <c r="T173" s="145"/>
      <c r="U173" s="145"/>
      <c r="V173" s="145"/>
      <c r="W173" s="145"/>
      <c r="X173" s="145"/>
      <c r="Y173" s="145"/>
      <c r="Z173" s="145"/>
    </row>
    <row r="174" spans="1:26" ht="13.2">
      <c r="A174" s="144">
        <v>0</v>
      </c>
      <c r="B174" s="145"/>
      <c r="C174" s="145"/>
      <c r="D174" s="145"/>
      <c r="E174" s="145"/>
      <c r="F174" s="145"/>
      <c r="G174" s="145"/>
      <c r="H174" s="145"/>
      <c r="I174" s="145"/>
      <c r="J174" s="145"/>
      <c r="K174" s="145"/>
      <c r="L174" s="145"/>
      <c r="M174" s="146"/>
      <c r="N174" s="145"/>
      <c r="O174" s="145"/>
      <c r="P174" s="145"/>
      <c r="Q174" s="145"/>
      <c r="R174" s="145"/>
      <c r="S174" s="145"/>
      <c r="T174" s="145"/>
      <c r="U174" s="145"/>
      <c r="V174" s="145"/>
      <c r="W174" s="145"/>
      <c r="X174" s="145"/>
      <c r="Y174" s="145"/>
      <c r="Z174" s="145"/>
    </row>
    <row r="175" spans="1:26" ht="13.2">
      <c r="A175" s="144">
        <v>0</v>
      </c>
      <c r="B175" s="145"/>
      <c r="C175" s="145"/>
      <c r="D175" s="145"/>
      <c r="E175" s="145"/>
      <c r="F175" s="145"/>
      <c r="G175" s="145"/>
      <c r="H175" s="145"/>
      <c r="I175" s="145"/>
      <c r="J175" s="145"/>
      <c r="K175" s="145"/>
      <c r="L175" s="145"/>
      <c r="M175" s="146"/>
      <c r="N175" s="145"/>
      <c r="O175" s="145"/>
      <c r="P175" s="145"/>
      <c r="Q175" s="145"/>
      <c r="R175" s="145"/>
      <c r="S175" s="145"/>
      <c r="T175" s="145"/>
      <c r="U175" s="145"/>
      <c r="V175" s="145"/>
      <c r="W175" s="145"/>
      <c r="X175" s="145"/>
      <c r="Y175" s="145"/>
      <c r="Z175" s="145"/>
    </row>
    <row r="176" spans="1:26" ht="13.2">
      <c r="A176" s="144">
        <v>0</v>
      </c>
      <c r="B176" s="145"/>
      <c r="C176" s="145"/>
      <c r="D176" s="145"/>
      <c r="E176" s="145"/>
      <c r="F176" s="145"/>
      <c r="G176" s="145"/>
      <c r="H176" s="145"/>
      <c r="I176" s="145"/>
      <c r="J176" s="145"/>
      <c r="K176" s="145"/>
      <c r="L176" s="145"/>
      <c r="M176" s="146"/>
      <c r="N176" s="145"/>
      <c r="O176" s="145"/>
      <c r="P176" s="145"/>
      <c r="Q176" s="145"/>
      <c r="R176" s="145"/>
      <c r="S176" s="145"/>
      <c r="T176" s="145"/>
      <c r="U176" s="145"/>
      <c r="V176" s="145"/>
      <c r="W176" s="145"/>
      <c r="X176" s="145"/>
      <c r="Y176" s="145"/>
      <c r="Z176" s="145"/>
    </row>
    <row r="177" spans="1:26" ht="13.2">
      <c r="A177" s="144">
        <v>0</v>
      </c>
      <c r="B177" s="145"/>
      <c r="C177" s="145"/>
      <c r="D177" s="145"/>
      <c r="E177" s="145"/>
      <c r="F177" s="145"/>
      <c r="G177" s="145"/>
      <c r="H177" s="145"/>
      <c r="I177" s="145"/>
      <c r="J177" s="145"/>
      <c r="K177" s="145"/>
      <c r="L177" s="145"/>
      <c r="M177" s="146"/>
      <c r="N177" s="145"/>
      <c r="O177" s="145"/>
      <c r="P177" s="145"/>
      <c r="Q177" s="145"/>
      <c r="R177" s="145"/>
      <c r="S177" s="145"/>
      <c r="T177" s="145"/>
      <c r="U177" s="145"/>
      <c r="V177" s="145"/>
      <c r="W177" s="145"/>
      <c r="X177" s="145"/>
      <c r="Y177" s="145"/>
      <c r="Z177" s="145"/>
    </row>
    <row r="178" spans="1:26" ht="13.2">
      <c r="A178" s="144">
        <v>0</v>
      </c>
      <c r="B178" s="145"/>
      <c r="C178" s="145"/>
      <c r="D178" s="145"/>
      <c r="E178" s="145"/>
      <c r="F178" s="145"/>
      <c r="G178" s="145"/>
      <c r="H178" s="145"/>
      <c r="I178" s="145"/>
      <c r="J178" s="145"/>
      <c r="K178" s="145"/>
      <c r="L178" s="145"/>
      <c r="M178" s="146"/>
      <c r="N178" s="145"/>
      <c r="O178" s="145"/>
      <c r="P178" s="145"/>
      <c r="Q178" s="145"/>
      <c r="R178" s="145"/>
      <c r="S178" s="145"/>
      <c r="T178" s="145"/>
      <c r="U178" s="145"/>
      <c r="V178" s="145"/>
      <c r="W178" s="145"/>
      <c r="X178" s="145"/>
      <c r="Y178" s="145"/>
      <c r="Z178" s="145"/>
    </row>
    <row r="179" spans="1:26" ht="13.2">
      <c r="A179" s="144">
        <v>0</v>
      </c>
      <c r="B179" s="145"/>
      <c r="C179" s="145"/>
      <c r="D179" s="145"/>
      <c r="E179" s="145"/>
      <c r="F179" s="145"/>
      <c r="G179" s="145"/>
      <c r="H179" s="145"/>
      <c r="I179" s="145"/>
      <c r="J179" s="145"/>
      <c r="K179" s="145"/>
      <c r="L179" s="145"/>
      <c r="M179" s="146"/>
      <c r="N179" s="145"/>
      <c r="O179" s="145"/>
      <c r="P179" s="145"/>
      <c r="Q179" s="145"/>
      <c r="R179" s="145"/>
      <c r="S179" s="145"/>
      <c r="T179" s="145"/>
      <c r="U179" s="145"/>
      <c r="V179" s="145"/>
      <c r="W179" s="145"/>
      <c r="X179" s="145"/>
      <c r="Y179" s="145"/>
      <c r="Z179" s="145"/>
    </row>
    <row r="180" spans="1:26" ht="13.2">
      <c r="A180" s="144">
        <v>0</v>
      </c>
      <c r="B180" s="145"/>
      <c r="C180" s="145"/>
      <c r="D180" s="145"/>
      <c r="E180" s="145"/>
      <c r="F180" s="145"/>
      <c r="G180" s="145"/>
      <c r="H180" s="145"/>
      <c r="I180" s="145"/>
      <c r="J180" s="145"/>
      <c r="K180" s="145"/>
      <c r="L180" s="145"/>
      <c r="M180" s="146"/>
      <c r="N180" s="145"/>
      <c r="O180" s="145"/>
      <c r="P180" s="145"/>
      <c r="Q180" s="145"/>
      <c r="R180" s="145"/>
      <c r="S180" s="145"/>
      <c r="T180" s="145"/>
      <c r="U180" s="145"/>
      <c r="V180" s="145"/>
      <c r="W180" s="145"/>
      <c r="X180" s="145"/>
      <c r="Y180" s="145"/>
      <c r="Z180" s="145"/>
    </row>
    <row r="181" spans="1:26" ht="13.2">
      <c r="A181" s="144">
        <v>0</v>
      </c>
      <c r="B181" s="145"/>
      <c r="C181" s="145"/>
      <c r="D181" s="145"/>
      <c r="E181" s="145"/>
      <c r="F181" s="145"/>
      <c r="G181" s="145"/>
      <c r="H181" s="145"/>
      <c r="I181" s="145"/>
      <c r="J181" s="145"/>
      <c r="K181" s="145"/>
      <c r="L181" s="145"/>
      <c r="M181" s="146"/>
      <c r="N181" s="145"/>
      <c r="O181" s="145"/>
      <c r="P181" s="145"/>
      <c r="Q181" s="145"/>
      <c r="R181" s="145"/>
      <c r="S181" s="145"/>
      <c r="T181" s="145"/>
      <c r="U181" s="145"/>
      <c r="V181" s="145"/>
      <c r="W181" s="145"/>
      <c r="X181" s="145"/>
      <c r="Y181" s="145"/>
      <c r="Z181" s="145"/>
    </row>
    <row r="182" spans="1:26" ht="13.2">
      <c r="A182" s="144">
        <v>0</v>
      </c>
      <c r="B182" s="145"/>
      <c r="C182" s="145"/>
      <c r="D182" s="145"/>
      <c r="E182" s="145"/>
      <c r="F182" s="145"/>
      <c r="G182" s="145"/>
      <c r="H182" s="145"/>
      <c r="I182" s="145"/>
      <c r="J182" s="145"/>
      <c r="K182" s="145"/>
      <c r="L182" s="145"/>
      <c r="M182" s="146"/>
      <c r="N182" s="145"/>
      <c r="O182" s="145"/>
      <c r="P182" s="145"/>
      <c r="Q182" s="145"/>
      <c r="R182" s="145"/>
      <c r="S182" s="145"/>
      <c r="T182" s="145"/>
      <c r="U182" s="145"/>
      <c r="V182" s="145"/>
      <c r="W182" s="145"/>
      <c r="X182" s="145"/>
      <c r="Y182" s="145"/>
      <c r="Z182" s="145"/>
    </row>
    <row r="183" spans="1:26" ht="13.2">
      <c r="A183" s="144">
        <v>0</v>
      </c>
      <c r="B183" s="145"/>
      <c r="C183" s="145"/>
      <c r="D183" s="145"/>
      <c r="E183" s="145"/>
      <c r="F183" s="145"/>
      <c r="G183" s="145"/>
      <c r="H183" s="145"/>
      <c r="I183" s="145"/>
      <c r="J183" s="145"/>
      <c r="K183" s="145"/>
      <c r="L183" s="145"/>
      <c r="M183" s="146"/>
      <c r="N183" s="145"/>
      <c r="O183" s="145"/>
      <c r="P183" s="145"/>
      <c r="Q183" s="145"/>
      <c r="R183" s="145"/>
      <c r="S183" s="145"/>
      <c r="T183" s="145"/>
      <c r="U183" s="145"/>
      <c r="V183" s="145"/>
      <c r="W183" s="145"/>
      <c r="X183" s="145"/>
      <c r="Y183" s="145"/>
      <c r="Z183" s="145"/>
    </row>
    <row r="184" spans="1:26" ht="13.2">
      <c r="A184" s="144">
        <v>0</v>
      </c>
      <c r="B184" s="145"/>
      <c r="C184" s="145"/>
      <c r="D184" s="145"/>
      <c r="E184" s="145"/>
      <c r="F184" s="145"/>
      <c r="G184" s="145"/>
      <c r="H184" s="145"/>
      <c r="I184" s="145"/>
      <c r="J184" s="145"/>
      <c r="K184" s="145"/>
      <c r="L184" s="145"/>
      <c r="M184" s="146"/>
      <c r="N184" s="145"/>
      <c r="O184" s="145"/>
      <c r="P184" s="145"/>
      <c r="Q184" s="145"/>
      <c r="R184" s="145"/>
      <c r="S184" s="145"/>
      <c r="T184" s="145"/>
      <c r="U184" s="145"/>
      <c r="V184" s="145"/>
      <c r="W184" s="145"/>
      <c r="X184" s="145"/>
      <c r="Y184" s="145"/>
      <c r="Z184" s="145"/>
    </row>
    <row r="185" spans="1:26" ht="13.2">
      <c r="A185" s="144">
        <v>0</v>
      </c>
      <c r="B185" s="145"/>
      <c r="C185" s="145"/>
      <c r="D185" s="145"/>
      <c r="E185" s="145"/>
      <c r="F185" s="145"/>
      <c r="G185" s="145"/>
      <c r="H185" s="145"/>
      <c r="I185" s="145"/>
      <c r="J185" s="145"/>
      <c r="K185" s="145"/>
      <c r="L185" s="145"/>
      <c r="M185" s="146"/>
      <c r="N185" s="145"/>
      <c r="O185" s="145"/>
      <c r="P185" s="145"/>
      <c r="Q185" s="145"/>
      <c r="R185" s="145"/>
      <c r="S185" s="145"/>
      <c r="T185" s="145"/>
      <c r="U185" s="145"/>
      <c r="V185" s="145"/>
      <c r="W185" s="145"/>
      <c r="X185" s="145"/>
      <c r="Y185" s="145"/>
      <c r="Z185" s="145"/>
    </row>
    <row r="186" spans="1:26" ht="13.2">
      <c r="A186" s="144">
        <v>0</v>
      </c>
      <c r="B186" s="145"/>
      <c r="C186" s="145"/>
      <c r="D186" s="145"/>
      <c r="E186" s="145"/>
      <c r="F186" s="145"/>
      <c r="G186" s="145"/>
      <c r="H186" s="145"/>
      <c r="I186" s="145"/>
      <c r="J186" s="145"/>
      <c r="K186" s="145"/>
      <c r="L186" s="145"/>
      <c r="M186" s="146"/>
      <c r="N186" s="145"/>
      <c r="O186" s="145"/>
      <c r="P186" s="145"/>
      <c r="Q186" s="145"/>
      <c r="R186" s="145"/>
      <c r="S186" s="145"/>
      <c r="T186" s="145"/>
      <c r="U186" s="145"/>
      <c r="V186" s="145"/>
      <c r="W186" s="145"/>
      <c r="X186" s="145"/>
      <c r="Y186" s="145"/>
      <c r="Z186" s="145"/>
    </row>
    <row r="187" spans="1:26" ht="13.2">
      <c r="A187" s="144">
        <v>0</v>
      </c>
      <c r="B187" s="145"/>
      <c r="C187" s="145"/>
      <c r="D187" s="145"/>
      <c r="E187" s="145"/>
      <c r="F187" s="145"/>
      <c r="G187" s="145"/>
      <c r="H187" s="145"/>
      <c r="I187" s="145"/>
      <c r="J187" s="145"/>
      <c r="K187" s="145"/>
      <c r="L187" s="145"/>
      <c r="M187" s="146"/>
      <c r="N187" s="145"/>
      <c r="O187" s="145"/>
      <c r="P187" s="145"/>
      <c r="Q187" s="145"/>
      <c r="R187" s="145"/>
      <c r="S187" s="145"/>
      <c r="T187" s="145"/>
      <c r="U187" s="145"/>
      <c r="V187" s="145"/>
      <c r="W187" s="145"/>
      <c r="X187" s="145"/>
      <c r="Y187" s="145"/>
      <c r="Z187" s="145"/>
    </row>
    <row r="188" spans="1:26" ht="13.2">
      <c r="A188" s="144">
        <v>0</v>
      </c>
      <c r="B188" s="145"/>
      <c r="C188" s="145"/>
      <c r="D188" s="145"/>
      <c r="E188" s="145"/>
      <c r="F188" s="145"/>
      <c r="G188" s="145"/>
      <c r="H188" s="145"/>
      <c r="I188" s="145"/>
      <c r="J188" s="145"/>
      <c r="K188" s="145"/>
      <c r="L188" s="145"/>
      <c r="M188" s="146"/>
      <c r="N188" s="145"/>
      <c r="O188" s="145"/>
      <c r="P188" s="145"/>
      <c r="Q188" s="145"/>
      <c r="R188" s="145"/>
      <c r="S188" s="145"/>
      <c r="T188" s="145"/>
      <c r="U188" s="145"/>
      <c r="V188" s="145"/>
      <c r="W188" s="145"/>
      <c r="X188" s="145"/>
      <c r="Y188" s="145"/>
      <c r="Z188" s="145"/>
    </row>
    <row r="189" spans="1:26" ht="13.2">
      <c r="A189" s="144">
        <v>0</v>
      </c>
      <c r="B189" s="145"/>
      <c r="C189" s="145"/>
      <c r="D189" s="145"/>
      <c r="E189" s="145"/>
      <c r="F189" s="145"/>
      <c r="G189" s="145"/>
      <c r="H189" s="145"/>
      <c r="I189" s="145"/>
      <c r="J189" s="145"/>
      <c r="K189" s="145"/>
      <c r="L189" s="145"/>
      <c r="M189" s="146"/>
      <c r="N189" s="145"/>
      <c r="O189" s="145"/>
      <c r="P189" s="145"/>
      <c r="Q189" s="145"/>
      <c r="R189" s="145"/>
      <c r="S189" s="145"/>
      <c r="T189" s="145"/>
      <c r="U189" s="145"/>
      <c r="V189" s="145"/>
      <c r="W189" s="145"/>
      <c r="X189" s="145"/>
      <c r="Y189" s="145"/>
      <c r="Z189" s="145"/>
    </row>
    <row r="190" spans="1:26" ht="13.2">
      <c r="A190" s="144">
        <v>0</v>
      </c>
      <c r="B190" s="145"/>
      <c r="C190" s="145"/>
      <c r="D190" s="145"/>
      <c r="E190" s="145"/>
      <c r="F190" s="145"/>
      <c r="G190" s="145"/>
      <c r="H190" s="145"/>
      <c r="I190" s="145"/>
      <c r="J190" s="145"/>
      <c r="K190" s="145"/>
      <c r="L190" s="145"/>
      <c r="M190" s="146"/>
      <c r="N190" s="145"/>
      <c r="O190" s="145"/>
      <c r="P190" s="145"/>
      <c r="Q190" s="145"/>
      <c r="R190" s="145"/>
      <c r="S190" s="145"/>
      <c r="T190" s="145"/>
      <c r="U190" s="145"/>
      <c r="V190" s="145"/>
      <c r="W190" s="145"/>
      <c r="X190" s="145"/>
      <c r="Y190" s="145"/>
      <c r="Z190" s="145"/>
    </row>
    <row r="191" spans="1:26" ht="13.2">
      <c r="A191" s="144">
        <v>0</v>
      </c>
      <c r="B191" s="145"/>
      <c r="C191" s="145"/>
      <c r="D191" s="145"/>
      <c r="E191" s="145"/>
      <c r="F191" s="145"/>
      <c r="G191" s="145"/>
      <c r="H191" s="145"/>
      <c r="I191" s="145"/>
      <c r="J191" s="145"/>
      <c r="K191" s="145"/>
      <c r="L191" s="145"/>
      <c r="M191" s="146"/>
      <c r="N191" s="145"/>
      <c r="O191" s="145"/>
      <c r="P191" s="145"/>
      <c r="Q191" s="145"/>
      <c r="R191" s="145"/>
      <c r="S191" s="145"/>
      <c r="T191" s="145"/>
      <c r="U191" s="145"/>
      <c r="V191" s="145"/>
      <c r="W191" s="145"/>
      <c r="X191" s="145"/>
      <c r="Y191" s="145"/>
      <c r="Z191" s="145"/>
    </row>
    <row r="192" spans="1:26" ht="13.2">
      <c r="A192" s="144">
        <v>0</v>
      </c>
      <c r="B192" s="145"/>
      <c r="C192" s="145"/>
      <c r="D192" s="145"/>
      <c r="E192" s="145"/>
      <c r="F192" s="145"/>
      <c r="G192" s="145"/>
      <c r="H192" s="145"/>
      <c r="I192" s="145"/>
      <c r="J192" s="145"/>
      <c r="K192" s="145"/>
      <c r="L192" s="145"/>
      <c r="M192" s="146"/>
      <c r="N192" s="145"/>
      <c r="O192" s="145"/>
      <c r="P192" s="145"/>
      <c r="Q192" s="145"/>
      <c r="R192" s="145"/>
      <c r="S192" s="145"/>
      <c r="T192" s="145"/>
      <c r="U192" s="145"/>
      <c r="V192" s="145"/>
      <c r="W192" s="145"/>
      <c r="X192" s="145"/>
      <c r="Y192" s="145"/>
      <c r="Z192" s="145"/>
    </row>
    <row r="193" spans="1:26" ht="13.2">
      <c r="A193" s="144">
        <v>0</v>
      </c>
      <c r="B193" s="145"/>
      <c r="C193" s="145"/>
      <c r="D193" s="145"/>
      <c r="E193" s="145"/>
      <c r="F193" s="145"/>
      <c r="G193" s="145"/>
      <c r="H193" s="145"/>
      <c r="I193" s="145"/>
      <c r="J193" s="145"/>
      <c r="K193" s="145"/>
      <c r="L193" s="145"/>
      <c r="M193" s="146"/>
      <c r="N193" s="145"/>
      <c r="O193" s="145"/>
      <c r="P193" s="145"/>
      <c r="Q193" s="145"/>
      <c r="R193" s="145"/>
      <c r="S193" s="145"/>
      <c r="T193" s="145"/>
      <c r="U193" s="145"/>
      <c r="V193" s="145"/>
      <c r="W193" s="145"/>
      <c r="X193" s="145"/>
      <c r="Y193" s="145"/>
      <c r="Z193" s="145"/>
    </row>
    <row r="194" spans="1:26" ht="13.2">
      <c r="A194" s="144">
        <v>0</v>
      </c>
      <c r="B194" s="145"/>
      <c r="C194" s="145"/>
      <c r="D194" s="145"/>
      <c r="E194" s="145"/>
      <c r="F194" s="145"/>
      <c r="G194" s="145"/>
      <c r="H194" s="145"/>
      <c r="I194" s="145"/>
      <c r="J194" s="145"/>
      <c r="K194" s="145"/>
      <c r="L194" s="145"/>
      <c r="M194" s="146"/>
      <c r="N194" s="145"/>
      <c r="O194" s="145"/>
      <c r="P194" s="145"/>
      <c r="Q194" s="145"/>
      <c r="R194" s="145"/>
      <c r="S194" s="145"/>
      <c r="T194" s="145"/>
      <c r="U194" s="145"/>
      <c r="V194" s="145"/>
      <c r="W194" s="145"/>
      <c r="X194" s="145"/>
      <c r="Y194" s="145"/>
      <c r="Z194" s="145"/>
    </row>
    <row r="195" spans="1:26" ht="13.2">
      <c r="A195" s="144">
        <v>0</v>
      </c>
      <c r="B195" s="145"/>
      <c r="C195" s="145"/>
      <c r="D195" s="145"/>
      <c r="E195" s="145"/>
      <c r="F195" s="145"/>
      <c r="G195" s="145"/>
      <c r="H195" s="145"/>
      <c r="I195" s="145"/>
      <c r="J195" s="145"/>
      <c r="K195" s="145"/>
      <c r="L195" s="145"/>
      <c r="M195" s="146"/>
      <c r="N195" s="145"/>
      <c r="O195" s="145"/>
      <c r="P195" s="145"/>
      <c r="Q195" s="145"/>
      <c r="R195" s="145"/>
      <c r="S195" s="145"/>
      <c r="T195" s="145"/>
      <c r="U195" s="145"/>
      <c r="V195" s="145"/>
      <c r="W195" s="145"/>
      <c r="X195" s="145"/>
      <c r="Y195" s="145"/>
      <c r="Z195" s="145"/>
    </row>
    <row r="196" spans="1:26" ht="13.2">
      <c r="A196" s="144">
        <v>0</v>
      </c>
      <c r="B196" s="145"/>
      <c r="C196" s="145"/>
      <c r="D196" s="145"/>
      <c r="E196" s="145"/>
      <c r="F196" s="145"/>
      <c r="G196" s="145"/>
      <c r="H196" s="145"/>
      <c r="I196" s="145"/>
      <c r="J196" s="145"/>
      <c r="K196" s="145"/>
      <c r="L196" s="145"/>
      <c r="M196" s="146"/>
      <c r="N196" s="145"/>
      <c r="O196" s="145"/>
      <c r="P196" s="145"/>
      <c r="Q196" s="145"/>
      <c r="R196" s="145"/>
      <c r="S196" s="145"/>
      <c r="T196" s="145"/>
      <c r="U196" s="145"/>
      <c r="V196" s="145"/>
      <c r="W196" s="145"/>
      <c r="X196" s="145"/>
      <c r="Y196" s="145"/>
      <c r="Z196" s="145"/>
    </row>
    <row r="197" spans="1:26" ht="13.2">
      <c r="A197" s="144">
        <v>0</v>
      </c>
      <c r="B197" s="145"/>
      <c r="C197" s="145"/>
      <c r="D197" s="145"/>
      <c r="E197" s="145"/>
      <c r="F197" s="145"/>
      <c r="G197" s="145"/>
      <c r="H197" s="145"/>
      <c r="I197" s="145"/>
      <c r="J197" s="145"/>
      <c r="K197" s="145"/>
      <c r="L197" s="145"/>
      <c r="M197" s="146"/>
      <c r="N197" s="145"/>
      <c r="O197" s="145"/>
      <c r="P197" s="145"/>
      <c r="Q197" s="145"/>
      <c r="R197" s="145"/>
      <c r="S197" s="145"/>
      <c r="T197" s="145"/>
      <c r="U197" s="145"/>
      <c r="V197" s="145"/>
      <c r="W197" s="145"/>
      <c r="X197" s="145"/>
      <c r="Y197" s="145"/>
      <c r="Z197" s="145"/>
    </row>
    <row r="198" spans="1:26" ht="13.2">
      <c r="A198" s="144">
        <v>0</v>
      </c>
      <c r="B198" s="145"/>
      <c r="C198" s="145"/>
      <c r="D198" s="145"/>
      <c r="E198" s="145"/>
      <c r="F198" s="145"/>
      <c r="G198" s="145"/>
      <c r="H198" s="145"/>
      <c r="I198" s="145"/>
      <c r="J198" s="145"/>
      <c r="K198" s="145"/>
      <c r="L198" s="145"/>
      <c r="M198" s="146"/>
      <c r="N198" s="145"/>
      <c r="O198" s="145"/>
      <c r="P198" s="145"/>
      <c r="Q198" s="145"/>
      <c r="R198" s="145"/>
      <c r="S198" s="145"/>
      <c r="T198" s="145"/>
      <c r="U198" s="145"/>
      <c r="V198" s="145"/>
      <c r="W198" s="145"/>
      <c r="X198" s="145"/>
      <c r="Y198" s="145"/>
      <c r="Z198" s="145"/>
    </row>
    <row r="199" spans="1:26" ht="13.2">
      <c r="A199" s="144">
        <v>0</v>
      </c>
      <c r="B199" s="145"/>
      <c r="C199" s="145"/>
      <c r="D199" s="145"/>
      <c r="E199" s="145"/>
      <c r="F199" s="145"/>
      <c r="G199" s="145"/>
      <c r="H199" s="145"/>
      <c r="I199" s="145"/>
      <c r="J199" s="145"/>
      <c r="K199" s="145"/>
      <c r="L199" s="145"/>
      <c r="M199" s="146"/>
      <c r="N199" s="145"/>
      <c r="O199" s="145"/>
      <c r="P199" s="145"/>
      <c r="Q199" s="145"/>
      <c r="R199" s="145"/>
      <c r="S199" s="145"/>
      <c r="T199" s="145"/>
      <c r="U199" s="145"/>
      <c r="V199" s="145"/>
      <c r="W199" s="145"/>
      <c r="X199" s="145"/>
      <c r="Y199" s="145"/>
      <c r="Z199" s="145"/>
    </row>
    <row r="200" spans="1:26" ht="13.2">
      <c r="A200" s="144">
        <v>0</v>
      </c>
      <c r="B200" s="145"/>
      <c r="C200" s="145"/>
      <c r="D200" s="145"/>
      <c r="E200" s="145"/>
      <c r="F200" s="145"/>
      <c r="G200" s="145"/>
      <c r="H200" s="145"/>
      <c r="I200" s="145"/>
      <c r="J200" s="145"/>
      <c r="K200" s="145"/>
      <c r="L200" s="145"/>
      <c r="M200" s="146"/>
      <c r="N200" s="145"/>
      <c r="O200" s="145"/>
      <c r="P200" s="145"/>
      <c r="Q200" s="145"/>
      <c r="R200" s="145"/>
      <c r="S200" s="145"/>
      <c r="T200" s="145"/>
      <c r="U200" s="145"/>
      <c r="V200" s="145"/>
      <c r="W200" s="145"/>
      <c r="X200" s="145"/>
      <c r="Y200" s="145"/>
      <c r="Z200" s="145"/>
    </row>
    <row r="201" spans="1:26" ht="13.2">
      <c r="A201" s="144">
        <v>0</v>
      </c>
      <c r="B201" s="145"/>
      <c r="C201" s="145"/>
      <c r="D201" s="145"/>
      <c r="E201" s="145"/>
      <c r="F201" s="145"/>
      <c r="G201" s="145"/>
      <c r="H201" s="145"/>
      <c r="I201" s="145"/>
      <c r="J201" s="145"/>
      <c r="K201" s="145"/>
      <c r="L201" s="145"/>
      <c r="M201" s="146"/>
      <c r="N201" s="145"/>
      <c r="O201" s="145"/>
      <c r="P201" s="145"/>
      <c r="Q201" s="145"/>
      <c r="R201" s="145"/>
      <c r="S201" s="145"/>
      <c r="T201" s="145"/>
      <c r="U201" s="145"/>
      <c r="V201" s="145"/>
      <c r="W201" s="145"/>
      <c r="X201" s="145"/>
      <c r="Y201" s="145"/>
      <c r="Z201" s="145"/>
    </row>
    <row r="202" spans="1:26" ht="13.2">
      <c r="A202" s="144">
        <v>0</v>
      </c>
      <c r="B202" s="145"/>
      <c r="C202" s="145"/>
      <c r="D202" s="145"/>
      <c r="E202" s="145"/>
      <c r="F202" s="145"/>
      <c r="G202" s="145"/>
      <c r="H202" s="145"/>
      <c r="I202" s="145"/>
      <c r="J202" s="145"/>
      <c r="K202" s="145"/>
      <c r="L202" s="145"/>
      <c r="M202" s="146"/>
      <c r="N202" s="145"/>
      <c r="O202" s="145"/>
      <c r="P202" s="145"/>
      <c r="Q202" s="145"/>
      <c r="R202" s="145"/>
      <c r="S202" s="145"/>
      <c r="T202" s="145"/>
      <c r="U202" s="145"/>
      <c r="V202" s="145"/>
      <c r="W202" s="145"/>
      <c r="X202" s="145"/>
      <c r="Y202" s="145"/>
      <c r="Z202" s="145"/>
    </row>
    <row r="203" spans="1:26" ht="13.2">
      <c r="A203" s="144">
        <v>0</v>
      </c>
      <c r="B203" s="145"/>
      <c r="C203" s="145"/>
      <c r="D203" s="145"/>
      <c r="E203" s="145"/>
      <c r="F203" s="145"/>
      <c r="G203" s="145"/>
      <c r="H203" s="145"/>
      <c r="I203" s="145"/>
      <c r="J203" s="145"/>
      <c r="K203" s="145"/>
      <c r="L203" s="145"/>
      <c r="M203" s="146"/>
      <c r="N203" s="145"/>
      <c r="O203" s="145"/>
      <c r="P203" s="145"/>
      <c r="Q203" s="145"/>
      <c r="R203" s="145"/>
      <c r="S203" s="145"/>
      <c r="T203" s="145"/>
      <c r="U203" s="145"/>
      <c r="V203" s="145"/>
      <c r="W203" s="145"/>
      <c r="X203" s="145"/>
      <c r="Y203" s="145"/>
      <c r="Z203" s="145"/>
    </row>
    <row r="204" spans="1:26" ht="13.2">
      <c r="A204" s="144">
        <v>0</v>
      </c>
      <c r="B204" s="145"/>
      <c r="C204" s="145"/>
      <c r="D204" s="145"/>
      <c r="E204" s="145"/>
      <c r="F204" s="145"/>
      <c r="G204" s="145"/>
      <c r="H204" s="145"/>
      <c r="I204" s="145"/>
      <c r="J204" s="145"/>
      <c r="K204" s="145"/>
      <c r="L204" s="145"/>
      <c r="M204" s="146"/>
      <c r="N204" s="145"/>
      <c r="O204" s="145"/>
      <c r="P204" s="145"/>
      <c r="Q204" s="145"/>
      <c r="R204" s="145"/>
      <c r="S204" s="145"/>
      <c r="T204" s="145"/>
      <c r="U204" s="145"/>
      <c r="V204" s="145"/>
      <c r="W204" s="145"/>
      <c r="X204" s="145"/>
      <c r="Y204" s="145"/>
      <c r="Z204" s="145"/>
    </row>
    <row r="205" spans="1:26" ht="13.2">
      <c r="A205" s="144">
        <v>0</v>
      </c>
      <c r="B205" s="145"/>
      <c r="C205" s="145"/>
      <c r="D205" s="145"/>
      <c r="E205" s="145"/>
      <c r="F205" s="145"/>
      <c r="G205" s="145"/>
      <c r="H205" s="145"/>
      <c r="I205" s="145"/>
      <c r="J205" s="145"/>
      <c r="K205" s="145"/>
      <c r="L205" s="145"/>
      <c r="M205" s="146"/>
      <c r="N205" s="145"/>
      <c r="O205" s="145"/>
      <c r="P205" s="145"/>
      <c r="Q205" s="145"/>
      <c r="R205" s="145"/>
      <c r="S205" s="145"/>
      <c r="T205" s="145"/>
      <c r="U205" s="145"/>
      <c r="V205" s="145"/>
      <c r="W205" s="145"/>
      <c r="X205" s="145"/>
      <c r="Y205" s="145"/>
      <c r="Z205" s="145"/>
    </row>
    <row r="206" spans="1:26" ht="13.2">
      <c r="A206" s="144">
        <v>0</v>
      </c>
      <c r="B206" s="145"/>
      <c r="C206" s="145"/>
      <c r="D206" s="145"/>
      <c r="E206" s="145"/>
      <c r="F206" s="145"/>
      <c r="G206" s="145"/>
      <c r="H206" s="145"/>
      <c r="I206" s="145"/>
      <c r="J206" s="145"/>
      <c r="K206" s="145"/>
      <c r="L206" s="145"/>
      <c r="M206" s="146"/>
      <c r="N206" s="145"/>
      <c r="O206" s="145"/>
      <c r="P206" s="145"/>
      <c r="Q206" s="145"/>
      <c r="R206" s="145"/>
      <c r="S206" s="145"/>
      <c r="T206" s="145"/>
      <c r="U206" s="145"/>
      <c r="V206" s="145"/>
      <c r="W206" s="145"/>
      <c r="X206" s="145"/>
      <c r="Y206" s="145"/>
      <c r="Z206" s="145"/>
    </row>
    <row r="207" spans="1:26" ht="13.2">
      <c r="A207" s="144">
        <v>0</v>
      </c>
      <c r="B207" s="145"/>
      <c r="C207" s="145"/>
      <c r="D207" s="145"/>
      <c r="E207" s="145"/>
      <c r="F207" s="145"/>
      <c r="G207" s="145"/>
      <c r="H207" s="145"/>
      <c r="I207" s="145"/>
      <c r="J207" s="145"/>
      <c r="K207" s="145"/>
      <c r="L207" s="145"/>
      <c r="M207" s="146"/>
      <c r="N207" s="145"/>
      <c r="O207" s="145"/>
      <c r="P207" s="145"/>
      <c r="Q207" s="145"/>
      <c r="R207" s="145"/>
      <c r="S207" s="145"/>
      <c r="T207" s="145"/>
      <c r="U207" s="145"/>
      <c r="V207" s="145"/>
      <c r="W207" s="145"/>
      <c r="X207" s="145"/>
      <c r="Y207" s="145"/>
      <c r="Z207" s="145"/>
    </row>
    <row r="208" spans="1:26" ht="13.2">
      <c r="A208" s="144">
        <v>0</v>
      </c>
      <c r="B208" s="145"/>
      <c r="C208" s="145"/>
      <c r="D208" s="145"/>
      <c r="E208" s="145"/>
      <c r="F208" s="145"/>
      <c r="G208" s="145"/>
      <c r="H208" s="145"/>
      <c r="I208" s="145"/>
      <c r="J208" s="145"/>
      <c r="K208" s="145"/>
      <c r="L208" s="145"/>
      <c r="M208" s="146"/>
      <c r="N208" s="145"/>
      <c r="O208" s="145"/>
      <c r="P208" s="145"/>
      <c r="Q208" s="145"/>
      <c r="R208" s="145"/>
      <c r="S208" s="145"/>
      <c r="T208" s="145"/>
      <c r="U208" s="145"/>
      <c r="V208" s="145"/>
      <c r="W208" s="145"/>
      <c r="X208" s="145"/>
      <c r="Y208" s="145"/>
      <c r="Z208" s="145"/>
    </row>
    <row r="209" spans="1:26" ht="13.2">
      <c r="A209" s="144">
        <v>0</v>
      </c>
      <c r="B209" s="145"/>
      <c r="C209" s="145"/>
      <c r="D209" s="145"/>
      <c r="E209" s="145"/>
      <c r="F209" s="145"/>
      <c r="G209" s="145"/>
      <c r="H209" s="145"/>
      <c r="I209" s="145"/>
      <c r="J209" s="145"/>
      <c r="K209" s="145"/>
      <c r="L209" s="145"/>
      <c r="M209" s="146"/>
      <c r="N209" s="145"/>
      <c r="O209" s="145"/>
      <c r="P209" s="145"/>
      <c r="Q209" s="145"/>
      <c r="R209" s="145"/>
      <c r="S209" s="145"/>
      <c r="T209" s="145"/>
      <c r="U209" s="145"/>
      <c r="V209" s="145"/>
      <c r="W209" s="145"/>
      <c r="X209" s="145"/>
      <c r="Y209" s="145"/>
      <c r="Z209" s="145"/>
    </row>
    <row r="210" spans="1:26" ht="13.2">
      <c r="A210" s="144">
        <v>0</v>
      </c>
      <c r="B210" s="145"/>
      <c r="C210" s="145"/>
      <c r="D210" s="145"/>
      <c r="E210" s="145"/>
      <c r="F210" s="145"/>
      <c r="G210" s="145"/>
      <c r="H210" s="145"/>
      <c r="I210" s="145"/>
      <c r="J210" s="145"/>
      <c r="K210" s="145"/>
      <c r="L210" s="145"/>
      <c r="M210" s="146"/>
      <c r="N210" s="145"/>
      <c r="O210" s="145"/>
      <c r="P210" s="145"/>
      <c r="Q210" s="145"/>
      <c r="R210" s="145"/>
      <c r="S210" s="145"/>
      <c r="T210" s="145"/>
      <c r="U210" s="145"/>
      <c r="V210" s="145"/>
      <c r="W210" s="145"/>
      <c r="X210" s="145"/>
      <c r="Y210" s="145"/>
      <c r="Z210" s="145"/>
    </row>
    <row r="211" spans="1:26" ht="13.2">
      <c r="A211" s="144">
        <v>0</v>
      </c>
      <c r="B211" s="145"/>
      <c r="C211" s="145"/>
      <c r="D211" s="145"/>
      <c r="E211" s="145"/>
      <c r="F211" s="145"/>
      <c r="G211" s="145"/>
      <c r="H211" s="145"/>
      <c r="I211" s="145"/>
      <c r="J211" s="145"/>
      <c r="K211" s="145"/>
      <c r="L211" s="145"/>
      <c r="M211" s="146"/>
      <c r="N211" s="145"/>
      <c r="O211" s="145"/>
      <c r="P211" s="145"/>
      <c r="Q211" s="145"/>
      <c r="R211" s="145"/>
      <c r="S211" s="145"/>
      <c r="T211" s="145"/>
      <c r="U211" s="145"/>
      <c r="V211" s="145"/>
      <c r="W211" s="145"/>
      <c r="X211" s="145"/>
      <c r="Y211" s="145"/>
      <c r="Z211" s="145"/>
    </row>
    <row r="212" spans="1:26" ht="13.2">
      <c r="A212" s="144">
        <v>0</v>
      </c>
      <c r="B212" s="145"/>
      <c r="C212" s="145"/>
      <c r="D212" s="145"/>
      <c r="E212" s="145"/>
      <c r="F212" s="145"/>
      <c r="G212" s="145"/>
      <c r="H212" s="145"/>
      <c r="I212" s="145"/>
      <c r="J212" s="145"/>
      <c r="K212" s="145"/>
      <c r="L212" s="145"/>
      <c r="M212" s="146"/>
      <c r="N212" s="145"/>
      <c r="O212" s="145"/>
      <c r="P212" s="145"/>
      <c r="Q212" s="145"/>
      <c r="R212" s="145"/>
      <c r="S212" s="145"/>
      <c r="T212" s="145"/>
      <c r="U212" s="145"/>
      <c r="V212" s="145"/>
      <c r="W212" s="145"/>
      <c r="X212" s="145"/>
      <c r="Y212" s="145"/>
      <c r="Z212" s="145"/>
    </row>
    <row r="213" spans="1:26" ht="13.2">
      <c r="A213" s="144">
        <v>0</v>
      </c>
      <c r="B213" s="145"/>
      <c r="C213" s="145"/>
      <c r="D213" s="145"/>
      <c r="E213" s="145"/>
      <c r="F213" s="145"/>
      <c r="G213" s="145"/>
      <c r="H213" s="145"/>
      <c r="I213" s="145"/>
      <c r="J213" s="145"/>
      <c r="K213" s="145"/>
      <c r="L213" s="145"/>
      <c r="M213" s="146"/>
      <c r="N213" s="145"/>
      <c r="O213" s="145"/>
      <c r="P213" s="145"/>
      <c r="Q213" s="145"/>
      <c r="R213" s="145"/>
      <c r="S213" s="145"/>
      <c r="T213" s="145"/>
      <c r="U213" s="145"/>
      <c r="V213" s="145"/>
      <c r="W213" s="145"/>
      <c r="X213" s="145"/>
      <c r="Y213" s="145"/>
      <c r="Z213" s="145"/>
    </row>
    <row r="214" spans="1:26" ht="13.2">
      <c r="A214" s="144">
        <v>0</v>
      </c>
      <c r="B214" s="145"/>
      <c r="C214" s="145"/>
      <c r="D214" s="145"/>
      <c r="E214" s="145"/>
      <c r="F214" s="145"/>
      <c r="G214" s="145"/>
      <c r="H214" s="145"/>
      <c r="I214" s="145"/>
      <c r="J214" s="145"/>
      <c r="K214" s="145"/>
      <c r="L214" s="145"/>
      <c r="M214" s="146"/>
      <c r="N214" s="145"/>
      <c r="O214" s="145"/>
      <c r="P214" s="145"/>
      <c r="Q214" s="145"/>
      <c r="R214" s="145"/>
      <c r="S214" s="145"/>
      <c r="T214" s="145"/>
      <c r="U214" s="145"/>
      <c r="V214" s="145"/>
      <c r="W214" s="145"/>
      <c r="X214" s="145"/>
      <c r="Y214" s="145"/>
      <c r="Z214" s="145"/>
    </row>
    <row r="215" spans="1:26" ht="13.2">
      <c r="A215" s="144">
        <v>0</v>
      </c>
      <c r="B215" s="145"/>
      <c r="C215" s="145"/>
      <c r="D215" s="145"/>
      <c r="E215" s="145"/>
      <c r="F215" s="145"/>
      <c r="G215" s="145"/>
      <c r="H215" s="145"/>
      <c r="I215" s="145"/>
      <c r="J215" s="145"/>
      <c r="K215" s="145"/>
      <c r="L215" s="145"/>
      <c r="M215" s="146"/>
      <c r="N215" s="145"/>
      <c r="O215" s="145"/>
      <c r="P215" s="145"/>
      <c r="Q215" s="145"/>
      <c r="R215" s="145"/>
      <c r="S215" s="145"/>
      <c r="T215" s="145"/>
      <c r="U215" s="145"/>
      <c r="V215" s="145"/>
      <c r="W215" s="145"/>
      <c r="X215" s="145"/>
      <c r="Y215" s="145"/>
      <c r="Z215" s="145"/>
    </row>
    <row r="216" spans="1:26" ht="13.2">
      <c r="A216" s="144">
        <v>0</v>
      </c>
      <c r="B216" s="145"/>
      <c r="C216" s="145"/>
      <c r="D216" s="145"/>
      <c r="E216" s="145"/>
      <c r="F216" s="145"/>
      <c r="G216" s="145"/>
      <c r="H216" s="145"/>
      <c r="I216" s="145"/>
      <c r="J216" s="145"/>
      <c r="K216" s="145"/>
      <c r="L216" s="145"/>
      <c r="M216" s="146"/>
      <c r="N216" s="145"/>
      <c r="O216" s="145"/>
      <c r="P216" s="145"/>
      <c r="Q216" s="145"/>
      <c r="R216" s="145"/>
      <c r="S216" s="145"/>
      <c r="T216" s="145"/>
      <c r="U216" s="145"/>
      <c r="V216" s="145"/>
      <c r="W216" s="145"/>
      <c r="X216" s="145"/>
      <c r="Y216" s="145"/>
      <c r="Z216" s="145"/>
    </row>
    <row r="217" spans="1:26" ht="13.2">
      <c r="A217" s="144">
        <v>0</v>
      </c>
      <c r="B217" s="145"/>
      <c r="C217" s="145"/>
      <c r="D217" s="145"/>
      <c r="E217" s="145"/>
      <c r="F217" s="145"/>
      <c r="G217" s="145"/>
      <c r="H217" s="145"/>
      <c r="I217" s="145"/>
      <c r="J217" s="145"/>
      <c r="K217" s="145"/>
      <c r="L217" s="145"/>
      <c r="M217" s="146"/>
      <c r="N217" s="145"/>
      <c r="O217" s="145"/>
      <c r="P217" s="145"/>
      <c r="Q217" s="145"/>
      <c r="R217" s="145"/>
      <c r="S217" s="145"/>
      <c r="T217" s="145"/>
      <c r="U217" s="145"/>
      <c r="V217" s="145"/>
      <c r="W217" s="145"/>
      <c r="X217" s="145"/>
      <c r="Y217" s="145"/>
      <c r="Z217" s="145"/>
    </row>
    <row r="218" spans="1:26" ht="13.2">
      <c r="A218" s="144">
        <v>0</v>
      </c>
      <c r="B218" s="145"/>
      <c r="C218" s="145"/>
      <c r="D218" s="145"/>
      <c r="E218" s="145"/>
      <c r="F218" s="145"/>
      <c r="G218" s="145"/>
      <c r="H218" s="145"/>
      <c r="I218" s="145"/>
      <c r="J218" s="145"/>
      <c r="K218" s="145"/>
      <c r="L218" s="145"/>
      <c r="M218" s="146"/>
      <c r="N218" s="145"/>
      <c r="O218" s="145"/>
      <c r="P218" s="145"/>
      <c r="Q218" s="145"/>
      <c r="R218" s="145"/>
      <c r="S218" s="145"/>
      <c r="T218" s="145"/>
      <c r="U218" s="145"/>
      <c r="V218" s="145"/>
      <c r="W218" s="145"/>
      <c r="X218" s="145"/>
      <c r="Y218" s="145"/>
      <c r="Z218" s="145"/>
    </row>
    <row r="219" spans="1:26" ht="13.2">
      <c r="A219" s="144">
        <v>0</v>
      </c>
      <c r="B219" s="145"/>
      <c r="C219" s="145"/>
      <c r="D219" s="145"/>
      <c r="E219" s="145"/>
      <c r="F219" s="145"/>
      <c r="G219" s="145"/>
      <c r="H219" s="145"/>
      <c r="I219" s="145"/>
      <c r="J219" s="145"/>
      <c r="K219" s="145"/>
      <c r="L219" s="145"/>
      <c r="M219" s="146"/>
      <c r="N219" s="145"/>
      <c r="O219" s="145"/>
      <c r="P219" s="145"/>
      <c r="Q219" s="145"/>
      <c r="R219" s="145"/>
      <c r="S219" s="145"/>
      <c r="T219" s="145"/>
      <c r="U219" s="145"/>
      <c r="V219" s="145"/>
      <c r="W219" s="145"/>
      <c r="X219" s="145"/>
      <c r="Y219" s="145"/>
      <c r="Z219" s="145"/>
    </row>
    <row r="220" spans="1:26" ht="13.2">
      <c r="A220" s="144">
        <v>0</v>
      </c>
      <c r="B220" s="145"/>
      <c r="C220" s="145"/>
      <c r="D220" s="145"/>
      <c r="E220" s="145"/>
      <c r="F220" s="145"/>
      <c r="G220" s="145"/>
      <c r="H220" s="145"/>
      <c r="I220" s="145"/>
      <c r="J220" s="145"/>
      <c r="K220" s="145"/>
      <c r="L220" s="145"/>
      <c r="M220" s="146"/>
      <c r="N220" s="145"/>
      <c r="O220" s="145"/>
      <c r="P220" s="145"/>
      <c r="Q220" s="145"/>
      <c r="R220" s="145"/>
      <c r="S220" s="145"/>
      <c r="T220" s="145"/>
      <c r="U220" s="145"/>
      <c r="V220" s="145"/>
      <c r="W220" s="145"/>
      <c r="X220" s="145"/>
      <c r="Y220" s="145"/>
      <c r="Z220" s="145"/>
    </row>
    <row r="221" spans="1:26" ht="13.2">
      <c r="A221" s="144">
        <v>0</v>
      </c>
      <c r="B221" s="145"/>
      <c r="C221" s="145"/>
      <c r="D221" s="145"/>
      <c r="E221" s="145"/>
      <c r="F221" s="145"/>
      <c r="G221" s="145"/>
      <c r="H221" s="145"/>
      <c r="I221" s="145"/>
      <c r="J221" s="145"/>
      <c r="K221" s="145"/>
      <c r="L221" s="145"/>
      <c r="M221" s="146"/>
      <c r="N221" s="145"/>
      <c r="O221" s="145"/>
      <c r="P221" s="145"/>
      <c r="Q221" s="145"/>
      <c r="R221" s="145"/>
      <c r="S221" s="145"/>
      <c r="T221" s="145"/>
      <c r="U221" s="145"/>
      <c r="V221" s="145"/>
      <c r="W221" s="145"/>
      <c r="X221" s="145"/>
      <c r="Y221" s="145"/>
      <c r="Z221" s="145"/>
    </row>
    <row r="222" spans="1:26" ht="13.2">
      <c r="A222" s="144">
        <v>0</v>
      </c>
      <c r="B222" s="145"/>
      <c r="C222" s="145"/>
      <c r="D222" s="145"/>
      <c r="E222" s="145"/>
      <c r="F222" s="145"/>
      <c r="G222" s="145"/>
      <c r="H222" s="145"/>
      <c r="I222" s="145"/>
      <c r="J222" s="145"/>
      <c r="K222" s="145"/>
      <c r="L222" s="145"/>
      <c r="M222" s="146"/>
      <c r="N222" s="145"/>
      <c r="O222" s="145"/>
      <c r="P222" s="145"/>
      <c r="Q222" s="145"/>
      <c r="R222" s="145"/>
      <c r="S222" s="145"/>
      <c r="T222" s="145"/>
      <c r="U222" s="145"/>
      <c r="V222" s="145"/>
      <c r="W222" s="145"/>
      <c r="X222" s="145"/>
      <c r="Y222" s="145"/>
      <c r="Z222" s="145"/>
    </row>
    <row r="223" spans="1:26" ht="13.2">
      <c r="A223" s="144">
        <v>0</v>
      </c>
      <c r="B223" s="145"/>
      <c r="C223" s="145"/>
      <c r="D223" s="145"/>
      <c r="E223" s="145"/>
      <c r="F223" s="145"/>
      <c r="G223" s="145"/>
      <c r="H223" s="145"/>
      <c r="I223" s="145"/>
      <c r="J223" s="145"/>
      <c r="K223" s="145"/>
      <c r="L223" s="145"/>
      <c r="M223" s="146"/>
      <c r="N223" s="145"/>
      <c r="O223" s="145"/>
      <c r="P223" s="145"/>
      <c r="Q223" s="145"/>
      <c r="R223" s="145"/>
      <c r="S223" s="145"/>
      <c r="T223" s="145"/>
      <c r="U223" s="145"/>
      <c r="V223" s="145"/>
      <c r="W223" s="145"/>
      <c r="X223" s="145"/>
      <c r="Y223" s="145"/>
      <c r="Z223" s="145"/>
    </row>
    <row r="224" spans="1:26" ht="13.2">
      <c r="A224" s="144">
        <v>0</v>
      </c>
      <c r="B224" s="145"/>
      <c r="C224" s="145"/>
      <c r="D224" s="145"/>
      <c r="E224" s="145"/>
      <c r="F224" s="145"/>
      <c r="G224" s="145"/>
      <c r="H224" s="145"/>
      <c r="I224" s="145"/>
      <c r="J224" s="145"/>
      <c r="K224" s="145"/>
      <c r="L224" s="145"/>
      <c r="M224" s="146"/>
      <c r="N224" s="145"/>
      <c r="O224" s="145"/>
      <c r="P224" s="145"/>
      <c r="Q224" s="145"/>
      <c r="R224" s="145"/>
      <c r="S224" s="145"/>
      <c r="T224" s="145"/>
      <c r="U224" s="145"/>
      <c r="V224" s="145"/>
      <c r="W224" s="145"/>
      <c r="X224" s="145"/>
      <c r="Y224" s="145"/>
      <c r="Z224" s="145"/>
    </row>
    <row r="225" spans="1:26" ht="13.2">
      <c r="A225" s="144">
        <v>0</v>
      </c>
      <c r="B225" s="145"/>
      <c r="C225" s="145"/>
      <c r="D225" s="145"/>
      <c r="E225" s="145"/>
      <c r="F225" s="145"/>
      <c r="G225" s="145"/>
      <c r="H225" s="145"/>
      <c r="I225" s="145"/>
      <c r="J225" s="145"/>
      <c r="K225" s="145"/>
      <c r="L225" s="145"/>
      <c r="M225" s="146"/>
      <c r="N225" s="145"/>
      <c r="O225" s="145"/>
      <c r="P225" s="145"/>
      <c r="Q225" s="145"/>
      <c r="R225" s="145"/>
      <c r="S225" s="145"/>
      <c r="T225" s="145"/>
      <c r="U225" s="145"/>
      <c r="V225" s="145"/>
      <c r="W225" s="145"/>
      <c r="X225" s="145"/>
      <c r="Y225" s="145"/>
      <c r="Z225" s="145"/>
    </row>
    <row r="226" spans="1:26" ht="13.2">
      <c r="A226" s="144">
        <v>0</v>
      </c>
      <c r="B226" s="145"/>
      <c r="C226" s="145"/>
      <c r="D226" s="145"/>
      <c r="E226" s="145"/>
      <c r="F226" s="145"/>
      <c r="G226" s="145"/>
      <c r="H226" s="145"/>
      <c r="I226" s="145"/>
      <c r="J226" s="145"/>
      <c r="K226" s="145"/>
      <c r="L226" s="145"/>
      <c r="M226" s="146"/>
      <c r="N226" s="145"/>
      <c r="O226" s="145"/>
      <c r="P226" s="145"/>
      <c r="Q226" s="145"/>
      <c r="R226" s="145"/>
      <c r="S226" s="145"/>
      <c r="T226" s="145"/>
      <c r="U226" s="145"/>
      <c r="V226" s="145"/>
      <c r="W226" s="145"/>
      <c r="X226" s="145"/>
      <c r="Y226" s="145"/>
      <c r="Z226" s="145"/>
    </row>
    <row r="227" spans="1:26" ht="13.2">
      <c r="A227" s="144">
        <v>0</v>
      </c>
      <c r="B227" s="145"/>
      <c r="C227" s="145"/>
      <c r="D227" s="145"/>
      <c r="E227" s="145"/>
      <c r="F227" s="145"/>
      <c r="G227" s="145"/>
      <c r="H227" s="145"/>
      <c r="I227" s="145"/>
      <c r="J227" s="145"/>
      <c r="K227" s="145"/>
      <c r="L227" s="145"/>
      <c r="M227" s="146"/>
      <c r="N227" s="145"/>
      <c r="O227" s="145"/>
      <c r="P227" s="145"/>
      <c r="Q227" s="145"/>
      <c r="R227" s="145"/>
      <c r="S227" s="145"/>
      <c r="T227" s="145"/>
      <c r="U227" s="145"/>
      <c r="V227" s="145"/>
      <c r="W227" s="145"/>
      <c r="X227" s="145"/>
      <c r="Y227" s="145"/>
      <c r="Z227" s="145"/>
    </row>
    <row r="228" spans="1:26" ht="13.2">
      <c r="A228" s="144">
        <v>0</v>
      </c>
      <c r="B228" s="145"/>
      <c r="C228" s="145"/>
      <c r="D228" s="145"/>
      <c r="E228" s="145"/>
      <c r="F228" s="145"/>
      <c r="G228" s="145"/>
      <c r="H228" s="145"/>
      <c r="I228" s="145"/>
      <c r="J228" s="145"/>
      <c r="K228" s="145"/>
      <c r="L228" s="145"/>
      <c r="M228" s="146"/>
      <c r="N228" s="145"/>
      <c r="O228" s="145"/>
      <c r="P228" s="145"/>
      <c r="Q228" s="145"/>
      <c r="R228" s="145"/>
      <c r="S228" s="145"/>
      <c r="T228" s="145"/>
      <c r="U228" s="145"/>
      <c r="V228" s="145"/>
      <c r="W228" s="145"/>
      <c r="X228" s="145"/>
      <c r="Y228" s="145"/>
      <c r="Z228" s="145"/>
    </row>
    <row r="229" spans="1:26" ht="13.2">
      <c r="A229" s="144">
        <v>0</v>
      </c>
      <c r="B229" s="145"/>
      <c r="C229" s="145"/>
      <c r="D229" s="145"/>
      <c r="E229" s="145"/>
      <c r="F229" s="145"/>
      <c r="G229" s="145"/>
      <c r="H229" s="145"/>
      <c r="I229" s="145"/>
      <c r="J229" s="145"/>
      <c r="K229" s="145"/>
      <c r="L229" s="145"/>
      <c r="M229" s="146"/>
      <c r="N229" s="145"/>
      <c r="O229" s="145"/>
      <c r="P229" s="145"/>
      <c r="Q229" s="145"/>
      <c r="R229" s="145"/>
      <c r="S229" s="145"/>
      <c r="T229" s="145"/>
      <c r="U229" s="145"/>
      <c r="V229" s="145"/>
      <c r="W229" s="145"/>
      <c r="X229" s="145"/>
      <c r="Y229" s="145"/>
      <c r="Z229" s="145"/>
    </row>
    <row r="230" spans="1:26" ht="13.2">
      <c r="A230" s="144">
        <v>0</v>
      </c>
      <c r="B230" s="145"/>
      <c r="C230" s="145"/>
      <c r="D230" s="145"/>
      <c r="E230" s="145"/>
      <c r="F230" s="145"/>
      <c r="G230" s="145"/>
      <c r="H230" s="145"/>
      <c r="I230" s="145"/>
      <c r="J230" s="145"/>
      <c r="K230" s="145"/>
      <c r="L230" s="145"/>
      <c r="M230" s="146"/>
      <c r="N230" s="145"/>
      <c r="O230" s="145"/>
      <c r="P230" s="145"/>
      <c r="Q230" s="145"/>
      <c r="R230" s="145"/>
      <c r="S230" s="145"/>
      <c r="T230" s="145"/>
      <c r="U230" s="145"/>
      <c r="V230" s="145"/>
      <c r="W230" s="145"/>
      <c r="X230" s="145"/>
      <c r="Y230" s="145"/>
      <c r="Z230" s="145"/>
    </row>
    <row r="231" spans="1:26" ht="13.2">
      <c r="A231" s="144">
        <v>0</v>
      </c>
      <c r="B231" s="145"/>
      <c r="C231" s="145"/>
      <c r="D231" s="145"/>
      <c r="E231" s="145"/>
      <c r="F231" s="145"/>
      <c r="G231" s="145"/>
      <c r="H231" s="145"/>
      <c r="I231" s="145"/>
      <c r="J231" s="145"/>
      <c r="K231" s="145"/>
      <c r="L231" s="145"/>
      <c r="M231" s="146"/>
      <c r="N231" s="145"/>
      <c r="O231" s="145"/>
      <c r="P231" s="145"/>
      <c r="Q231" s="145"/>
      <c r="R231" s="145"/>
      <c r="S231" s="145"/>
      <c r="T231" s="145"/>
      <c r="U231" s="145"/>
      <c r="V231" s="145"/>
      <c r="W231" s="145"/>
      <c r="X231" s="145"/>
      <c r="Y231" s="145"/>
      <c r="Z231" s="145"/>
    </row>
    <row r="232" spans="1:26" ht="13.2">
      <c r="A232" s="144">
        <v>0</v>
      </c>
      <c r="B232" s="145"/>
      <c r="C232" s="145"/>
      <c r="D232" s="145"/>
      <c r="E232" s="145"/>
      <c r="F232" s="145"/>
      <c r="G232" s="145"/>
      <c r="H232" s="145"/>
      <c r="I232" s="145"/>
      <c r="J232" s="145"/>
      <c r="K232" s="145"/>
      <c r="L232" s="145"/>
      <c r="M232" s="146"/>
      <c r="N232" s="145"/>
      <c r="O232" s="145"/>
      <c r="P232" s="145"/>
      <c r="Q232" s="145"/>
      <c r="R232" s="145"/>
      <c r="S232" s="145"/>
      <c r="T232" s="145"/>
      <c r="U232" s="145"/>
      <c r="V232" s="145"/>
      <c r="W232" s="145"/>
      <c r="X232" s="145"/>
      <c r="Y232" s="145"/>
      <c r="Z232" s="145"/>
    </row>
    <row r="233" spans="1:26" ht="13.2">
      <c r="A233" s="144">
        <v>0</v>
      </c>
      <c r="B233" s="145"/>
      <c r="C233" s="145"/>
      <c r="D233" s="145"/>
      <c r="E233" s="145"/>
      <c r="F233" s="145"/>
      <c r="G233" s="145"/>
      <c r="H233" s="145"/>
      <c r="I233" s="145"/>
      <c r="J233" s="145"/>
      <c r="K233" s="145"/>
      <c r="L233" s="145"/>
      <c r="M233" s="146"/>
      <c r="N233" s="145"/>
      <c r="O233" s="145"/>
      <c r="P233" s="145"/>
      <c r="Q233" s="145"/>
      <c r="R233" s="145"/>
      <c r="S233" s="145"/>
      <c r="T233" s="145"/>
      <c r="U233" s="145"/>
      <c r="V233" s="145"/>
      <c r="W233" s="145"/>
      <c r="X233" s="145"/>
      <c r="Y233" s="145"/>
      <c r="Z233" s="145"/>
    </row>
    <row r="234" spans="1:26" ht="13.2">
      <c r="A234" s="144">
        <v>0</v>
      </c>
      <c r="B234" s="145"/>
      <c r="C234" s="145"/>
      <c r="D234" s="145"/>
      <c r="E234" s="145"/>
      <c r="F234" s="145"/>
      <c r="G234" s="145"/>
      <c r="H234" s="145"/>
      <c r="I234" s="145"/>
      <c r="J234" s="145"/>
      <c r="K234" s="145"/>
      <c r="L234" s="145"/>
      <c r="M234" s="146"/>
      <c r="N234" s="145"/>
      <c r="O234" s="145"/>
      <c r="P234" s="145"/>
      <c r="Q234" s="145"/>
      <c r="R234" s="145"/>
      <c r="S234" s="145"/>
      <c r="T234" s="145"/>
      <c r="U234" s="145"/>
      <c r="V234" s="145"/>
      <c r="W234" s="145"/>
      <c r="X234" s="145"/>
      <c r="Y234" s="145"/>
      <c r="Z234" s="145"/>
    </row>
    <row r="235" spans="1:26" ht="13.2">
      <c r="A235" s="144">
        <v>0</v>
      </c>
      <c r="B235" s="145"/>
      <c r="C235" s="145"/>
      <c r="D235" s="145"/>
      <c r="E235" s="145"/>
      <c r="F235" s="145"/>
      <c r="G235" s="145"/>
      <c r="H235" s="145"/>
      <c r="I235" s="145"/>
      <c r="J235" s="145"/>
      <c r="K235" s="145"/>
      <c r="L235" s="145"/>
      <c r="M235" s="146"/>
      <c r="N235" s="145"/>
      <c r="O235" s="145"/>
      <c r="P235" s="145"/>
      <c r="Q235" s="145"/>
      <c r="R235" s="145"/>
      <c r="S235" s="145"/>
      <c r="T235" s="145"/>
      <c r="U235" s="145"/>
      <c r="V235" s="145"/>
      <c r="W235" s="145"/>
      <c r="X235" s="145"/>
      <c r="Y235" s="145"/>
      <c r="Z235" s="145"/>
    </row>
    <row r="236" spans="1:26" ht="13.2">
      <c r="A236" s="144">
        <v>0</v>
      </c>
      <c r="B236" s="145"/>
      <c r="C236" s="145"/>
      <c r="D236" s="145"/>
      <c r="E236" s="145"/>
      <c r="F236" s="145"/>
      <c r="G236" s="145"/>
      <c r="H236" s="145"/>
      <c r="I236" s="145"/>
      <c r="J236" s="145"/>
      <c r="K236" s="145"/>
      <c r="L236" s="145"/>
      <c r="M236" s="146"/>
      <c r="N236" s="145"/>
      <c r="O236" s="145"/>
      <c r="P236" s="145"/>
      <c r="Q236" s="145"/>
      <c r="R236" s="145"/>
      <c r="S236" s="145"/>
      <c r="T236" s="145"/>
      <c r="U236" s="145"/>
      <c r="V236" s="145"/>
      <c r="W236" s="145"/>
      <c r="X236" s="145"/>
      <c r="Y236" s="145"/>
      <c r="Z236" s="145"/>
    </row>
    <row r="237" spans="1:26" ht="13.2">
      <c r="A237" s="144">
        <v>0</v>
      </c>
      <c r="B237" s="145"/>
      <c r="C237" s="145"/>
      <c r="D237" s="145"/>
      <c r="E237" s="145"/>
      <c r="F237" s="145"/>
      <c r="G237" s="145"/>
      <c r="H237" s="145"/>
      <c r="I237" s="145"/>
      <c r="J237" s="145"/>
      <c r="K237" s="145"/>
      <c r="L237" s="145"/>
      <c r="M237" s="146"/>
      <c r="N237" s="145"/>
      <c r="O237" s="145"/>
      <c r="P237" s="145"/>
      <c r="Q237" s="145"/>
      <c r="R237" s="145"/>
      <c r="S237" s="145"/>
      <c r="T237" s="145"/>
      <c r="U237" s="145"/>
      <c r="V237" s="145"/>
      <c r="W237" s="145"/>
      <c r="X237" s="145"/>
      <c r="Y237" s="145"/>
      <c r="Z237" s="145"/>
    </row>
    <row r="238" spans="1:26" ht="13.2">
      <c r="A238" s="144">
        <v>0</v>
      </c>
      <c r="B238" s="145"/>
      <c r="C238" s="145"/>
      <c r="D238" s="145"/>
      <c r="E238" s="145"/>
      <c r="F238" s="145"/>
      <c r="G238" s="145"/>
      <c r="H238" s="145"/>
      <c r="I238" s="145"/>
      <c r="J238" s="145"/>
      <c r="K238" s="145"/>
      <c r="L238" s="145"/>
      <c r="M238" s="146"/>
      <c r="N238" s="145"/>
      <c r="O238" s="145"/>
      <c r="P238" s="145"/>
      <c r="Q238" s="145"/>
      <c r="R238" s="145"/>
      <c r="S238" s="145"/>
      <c r="T238" s="145"/>
      <c r="U238" s="145"/>
      <c r="V238" s="145"/>
      <c r="W238" s="145"/>
      <c r="X238" s="145"/>
      <c r="Y238" s="145"/>
      <c r="Z238" s="145"/>
    </row>
    <row r="239" spans="1:26" ht="13.2">
      <c r="A239" s="144">
        <v>0</v>
      </c>
      <c r="B239" s="145"/>
      <c r="C239" s="145"/>
      <c r="D239" s="145"/>
      <c r="E239" s="145"/>
      <c r="F239" s="145"/>
      <c r="G239" s="145"/>
      <c r="H239" s="145"/>
      <c r="I239" s="145"/>
      <c r="J239" s="145"/>
      <c r="K239" s="145"/>
      <c r="L239" s="145"/>
      <c r="M239" s="146"/>
      <c r="N239" s="145"/>
      <c r="O239" s="145"/>
      <c r="P239" s="145"/>
      <c r="Q239" s="145"/>
      <c r="R239" s="145"/>
      <c r="S239" s="145"/>
      <c r="T239" s="145"/>
      <c r="U239" s="145"/>
      <c r="V239" s="145"/>
      <c r="W239" s="145"/>
      <c r="X239" s="145"/>
      <c r="Y239" s="145"/>
      <c r="Z239" s="145"/>
    </row>
    <row r="240" spans="1:26" ht="13.2">
      <c r="A240" s="144">
        <v>0</v>
      </c>
      <c r="B240" s="145"/>
      <c r="C240" s="145"/>
      <c r="D240" s="145"/>
      <c r="E240" s="145"/>
      <c r="F240" s="145"/>
      <c r="G240" s="145"/>
      <c r="H240" s="145"/>
      <c r="I240" s="145"/>
      <c r="J240" s="145"/>
      <c r="K240" s="145"/>
      <c r="L240" s="145"/>
      <c r="M240" s="146"/>
      <c r="N240" s="145"/>
      <c r="O240" s="145"/>
      <c r="P240" s="145"/>
      <c r="Q240" s="145"/>
      <c r="R240" s="145"/>
      <c r="S240" s="145"/>
      <c r="T240" s="145"/>
      <c r="U240" s="145"/>
      <c r="V240" s="145"/>
      <c r="W240" s="145"/>
      <c r="X240" s="145"/>
      <c r="Y240" s="145"/>
      <c r="Z240" s="145"/>
    </row>
    <row r="241" spans="1:26" ht="13.2">
      <c r="A241" s="144">
        <v>0</v>
      </c>
      <c r="B241" s="145"/>
      <c r="C241" s="145"/>
      <c r="D241" s="145"/>
      <c r="E241" s="145"/>
      <c r="F241" s="145"/>
      <c r="G241" s="145"/>
      <c r="H241" s="145"/>
      <c r="I241" s="145"/>
      <c r="J241" s="145"/>
      <c r="K241" s="145"/>
      <c r="L241" s="145"/>
      <c r="M241" s="146"/>
      <c r="N241" s="145"/>
      <c r="O241" s="145"/>
      <c r="P241" s="145"/>
      <c r="Q241" s="145"/>
      <c r="R241" s="145"/>
      <c r="S241" s="145"/>
      <c r="T241" s="145"/>
      <c r="U241" s="145"/>
      <c r="V241" s="145"/>
      <c r="W241" s="145"/>
      <c r="X241" s="145"/>
      <c r="Y241" s="145"/>
      <c r="Z241" s="145"/>
    </row>
    <row r="242" spans="1:26" ht="13.2">
      <c r="A242" s="144">
        <v>0</v>
      </c>
      <c r="B242" s="145"/>
      <c r="C242" s="145"/>
      <c r="D242" s="145"/>
      <c r="E242" s="145"/>
      <c r="F242" s="145"/>
      <c r="G242" s="145"/>
      <c r="H242" s="145"/>
      <c r="I242" s="145"/>
      <c r="J242" s="145"/>
      <c r="K242" s="145"/>
      <c r="L242" s="145"/>
      <c r="M242" s="146"/>
      <c r="N242" s="145"/>
      <c r="O242" s="145"/>
      <c r="P242" s="145"/>
      <c r="Q242" s="145"/>
      <c r="R242" s="145"/>
      <c r="S242" s="145"/>
      <c r="T242" s="145"/>
      <c r="U242" s="145"/>
      <c r="V242" s="145"/>
      <c r="W242" s="145"/>
      <c r="X242" s="145"/>
      <c r="Y242" s="145"/>
      <c r="Z242" s="145"/>
    </row>
    <row r="243" spans="1:26" ht="13.2">
      <c r="A243" s="144">
        <v>0</v>
      </c>
      <c r="B243" s="145"/>
      <c r="C243" s="145"/>
      <c r="D243" s="145"/>
      <c r="E243" s="145"/>
      <c r="F243" s="145"/>
      <c r="G243" s="145"/>
      <c r="H243" s="145"/>
      <c r="I243" s="145"/>
      <c r="J243" s="145"/>
      <c r="K243" s="145"/>
      <c r="L243" s="145"/>
      <c r="M243" s="146"/>
      <c r="N243" s="145"/>
      <c r="O243" s="145"/>
      <c r="P243" s="145"/>
      <c r="Q243" s="145"/>
      <c r="R243" s="145"/>
      <c r="S243" s="145"/>
      <c r="T243" s="145"/>
      <c r="U243" s="145"/>
      <c r="V243" s="145"/>
      <c r="W243" s="145"/>
      <c r="X243" s="145"/>
      <c r="Y243" s="145"/>
      <c r="Z243" s="145"/>
    </row>
    <row r="244" spans="1:26" ht="13.2">
      <c r="A244" s="144">
        <v>0</v>
      </c>
      <c r="B244" s="145"/>
      <c r="C244" s="145"/>
      <c r="D244" s="145"/>
      <c r="E244" s="145"/>
      <c r="F244" s="145"/>
      <c r="G244" s="145"/>
      <c r="H244" s="145"/>
      <c r="I244" s="145"/>
      <c r="J244" s="145"/>
      <c r="K244" s="145"/>
      <c r="L244" s="145"/>
      <c r="M244" s="146"/>
      <c r="N244" s="145"/>
      <c r="O244" s="145"/>
      <c r="P244" s="145"/>
      <c r="Q244" s="145"/>
      <c r="R244" s="145"/>
      <c r="S244" s="145"/>
      <c r="T244" s="145"/>
      <c r="U244" s="145"/>
      <c r="V244" s="145"/>
      <c r="W244" s="145"/>
      <c r="X244" s="145"/>
      <c r="Y244" s="145"/>
      <c r="Z244" s="145"/>
    </row>
    <row r="245" spans="1:26" ht="13.2">
      <c r="A245" s="144">
        <v>0</v>
      </c>
      <c r="B245" s="145"/>
      <c r="C245" s="145"/>
      <c r="D245" s="145"/>
      <c r="E245" s="145"/>
      <c r="F245" s="145"/>
      <c r="G245" s="145"/>
      <c r="H245" s="145"/>
      <c r="I245" s="145"/>
      <c r="J245" s="145"/>
      <c r="K245" s="145"/>
      <c r="L245" s="145"/>
      <c r="M245" s="146"/>
      <c r="N245" s="145"/>
      <c r="O245" s="145"/>
      <c r="P245" s="145"/>
      <c r="Q245" s="145"/>
      <c r="R245" s="145"/>
      <c r="S245" s="145"/>
      <c r="T245" s="145"/>
      <c r="U245" s="145"/>
      <c r="V245" s="145"/>
      <c r="W245" s="145"/>
      <c r="X245" s="145"/>
      <c r="Y245" s="145"/>
      <c r="Z245" s="145"/>
    </row>
    <row r="246" spans="1:26" ht="13.2">
      <c r="A246" s="144">
        <v>0</v>
      </c>
      <c r="B246" s="145"/>
      <c r="C246" s="145"/>
      <c r="D246" s="145"/>
      <c r="E246" s="145"/>
      <c r="F246" s="145"/>
      <c r="G246" s="145"/>
      <c r="H246" s="145"/>
      <c r="I246" s="145"/>
      <c r="J246" s="145"/>
      <c r="K246" s="145"/>
      <c r="L246" s="145"/>
      <c r="M246" s="146"/>
      <c r="N246" s="145"/>
      <c r="O246" s="145"/>
      <c r="P246" s="145"/>
      <c r="Q246" s="145"/>
      <c r="R246" s="145"/>
      <c r="S246" s="145"/>
      <c r="T246" s="145"/>
      <c r="U246" s="145"/>
      <c r="V246" s="145"/>
      <c r="W246" s="145"/>
      <c r="X246" s="145"/>
      <c r="Y246" s="145"/>
      <c r="Z246" s="145"/>
    </row>
    <row r="247" spans="1:26" ht="13.2">
      <c r="A247" s="144">
        <v>0</v>
      </c>
      <c r="B247" s="145"/>
      <c r="C247" s="145"/>
      <c r="D247" s="145"/>
      <c r="E247" s="145"/>
      <c r="F247" s="145"/>
      <c r="G247" s="145"/>
      <c r="H247" s="145"/>
      <c r="I247" s="145"/>
      <c r="J247" s="145"/>
      <c r="K247" s="145"/>
      <c r="L247" s="145"/>
      <c r="M247" s="146"/>
      <c r="N247" s="145"/>
      <c r="O247" s="145"/>
      <c r="P247" s="145"/>
      <c r="Q247" s="145"/>
      <c r="R247" s="145"/>
      <c r="S247" s="145"/>
      <c r="T247" s="145"/>
      <c r="U247" s="145"/>
      <c r="V247" s="145"/>
      <c r="W247" s="145"/>
      <c r="X247" s="145"/>
      <c r="Y247" s="145"/>
      <c r="Z247" s="145"/>
    </row>
    <row r="248" spans="1:26" ht="13.2">
      <c r="A248" s="144">
        <v>0</v>
      </c>
      <c r="B248" s="145"/>
      <c r="C248" s="145"/>
      <c r="D248" s="145"/>
      <c r="E248" s="145"/>
      <c r="F248" s="145"/>
      <c r="G248" s="145"/>
      <c r="H248" s="145"/>
      <c r="I248" s="145"/>
      <c r="J248" s="145"/>
      <c r="K248" s="145"/>
      <c r="L248" s="145"/>
      <c r="M248" s="146"/>
      <c r="N248" s="145"/>
      <c r="O248" s="145"/>
      <c r="P248" s="145"/>
      <c r="Q248" s="145"/>
      <c r="R248" s="145"/>
      <c r="S248" s="145"/>
      <c r="T248" s="145"/>
      <c r="U248" s="145"/>
      <c r="V248" s="145"/>
      <c r="W248" s="145"/>
      <c r="X248" s="145"/>
      <c r="Y248" s="145"/>
      <c r="Z248" s="145"/>
    </row>
    <row r="249" spans="1:26" ht="13.2">
      <c r="A249" s="144">
        <v>0</v>
      </c>
      <c r="B249" s="145"/>
      <c r="C249" s="145"/>
      <c r="D249" s="145"/>
      <c r="E249" s="145"/>
      <c r="F249" s="145"/>
      <c r="G249" s="145"/>
      <c r="H249" s="145"/>
      <c r="I249" s="145"/>
      <c r="J249" s="145"/>
      <c r="K249" s="145"/>
      <c r="L249" s="145"/>
      <c r="M249" s="146"/>
      <c r="N249" s="145"/>
      <c r="O249" s="145"/>
      <c r="P249" s="145"/>
      <c r="Q249" s="145"/>
      <c r="R249" s="145"/>
      <c r="S249" s="145"/>
      <c r="T249" s="145"/>
      <c r="U249" s="145"/>
      <c r="V249" s="145"/>
      <c r="W249" s="145"/>
      <c r="X249" s="145"/>
      <c r="Y249" s="145"/>
      <c r="Z249" s="145"/>
    </row>
    <row r="250" spans="1:26" ht="13.2">
      <c r="A250" s="144">
        <v>0</v>
      </c>
      <c r="B250" s="145"/>
      <c r="C250" s="145"/>
      <c r="D250" s="145"/>
      <c r="E250" s="145"/>
      <c r="F250" s="145"/>
      <c r="G250" s="145"/>
      <c r="H250" s="145"/>
      <c r="I250" s="145"/>
      <c r="J250" s="145"/>
      <c r="K250" s="145"/>
      <c r="L250" s="145"/>
      <c r="M250" s="146"/>
      <c r="N250" s="145"/>
      <c r="O250" s="145"/>
      <c r="P250" s="145"/>
      <c r="Q250" s="145"/>
      <c r="R250" s="145"/>
      <c r="S250" s="145"/>
      <c r="T250" s="145"/>
      <c r="U250" s="145"/>
      <c r="V250" s="145"/>
      <c r="W250" s="145"/>
      <c r="X250" s="145"/>
      <c r="Y250" s="145"/>
      <c r="Z250" s="145"/>
    </row>
    <row r="251" spans="1:26" ht="13.2">
      <c r="A251" s="144">
        <v>0</v>
      </c>
      <c r="B251" s="145"/>
      <c r="C251" s="145"/>
      <c r="D251" s="145"/>
      <c r="E251" s="145"/>
      <c r="F251" s="145"/>
      <c r="G251" s="145"/>
      <c r="H251" s="145"/>
      <c r="I251" s="145"/>
      <c r="J251" s="145"/>
      <c r="K251" s="145"/>
      <c r="L251" s="145"/>
      <c r="M251" s="146"/>
      <c r="N251" s="145"/>
      <c r="O251" s="145"/>
      <c r="P251" s="145"/>
      <c r="Q251" s="145"/>
      <c r="R251" s="145"/>
      <c r="S251" s="145"/>
      <c r="T251" s="145"/>
      <c r="U251" s="145"/>
      <c r="V251" s="145"/>
      <c r="W251" s="145"/>
      <c r="X251" s="145"/>
      <c r="Y251" s="145"/>
      <c r="Z251" s="145"/>
    </row>
    <row r="252" spans="1:26" ht="13.2">
      <c r="A252" s="144">
        <v>0</v>
      </c>
      <c r="B252" s="145"/>
      <c r="C252" s="145"/>
      <c r="D252" s="145"/>
      <c r="E252" s="145"/>
      <c r="F252" s="145"/>
      <c r="G252" s="145"/>
      <c r="H252" s="145"/>
      <c r="I252" s="145"/>
      <c r="J252" s="145"/>
      <c r="K252" s="145"/>
      <c r="L252" s="145"/>
      <c r="M252" s="146"/>
      <c r="N252" s="145"/>
      <c r="O252" s="145"/>
      <c r="P252" s="145"/>
      <c r="Q252" s="145"/>
      <c r="R252" s="145"/>
      <c r="S252" s="145"/>
      <c r="T252" s="145"/>
      <c r="U252" s="145"/>
      <c r="V252" s="145"/>
      <c r="W252" s="145"/>
      <c r="X252" s="145"/>
      <c r="Y252" s="145"/>
      <c r="Z252" s="145"/>
    </row>
    <row r="253" spans="1:26" ht="13.2">
      <c r="A253" s="144">
        <v>0</v>
      </c>
      <c r="B253" s="145"/>
      <c r="C253" s="145"/>
      <c r="D253" s="145"/>
      <c r="E253" s="145"/>
      <c r="F253" s="145"/>
      <c r="G253" s="145"/>
      <c r="H253" s="145"/>
      <c r="I253" s="145"/>
      <c r="J253" s="145"/>
      <c r="K253" s="145"/>
      <c r="L253" s="145"/>
      <c r="M253" s="146"/>
      <c r="N253" s="145"/>
      <c r="O253" s="145"/>
      <c r="P253" s="145"/>
      <c r="Q253" s="145"/>
      <c r="R253" s="145"/>
      <c r="S253" s="145"/>
      <c r="T253" s="145"/>
      <c r="U253" s="145"/>
      <c r="V253" s="145"/>
      <c r="W253" s="145"/>
      <c r="X253" s="145"/>
      <c r="Y253" s="145"/>
      <c r="Z253" s="145"/>
    </row>
    <row r="254" spans="1:26" ht="13.2">
      <c r="A254" s="144">
        <v>0</v>
      </c>
      <c r="B254" s="145"/>
      <c r="C254" s="145"/>
      <c r="D254" s="145"/>
      <c r="E254" s="145"/>
      <c r="F254" s="145"/>
      <c r="G254" s="145"/>
      <c r="H254" s="145"/>
      <c r="I254" s="145"/>
      <c r="J254" s="145"/>
      <c r="K254" s="145"/>
      <c r="L254" s="145"/>
      <c r="M254" s="146"/>
      <c r="N254" s="145"/>
      <c r="O254" s="145"/>
      <c r="P254" s="145"/>
      <c r="Q254" s="145"/>
      <c r="R254" s="145"/>
      <c r="S254" s="145"/>
      <c r="T254" s="145"/>
      <c r="U254" s="145"/>
      <c r="V254" s="145"/>
      <c r="W254" s="145"/>
      <c r="X254" s="145"/>
      <c r="Y254" s="145"/>
      <c r="Z254" s="145"/>
    </row>
    <row r="255" spans="1:26" ht="13.2">
      <c r="A255" s="144">
        <v>0</v>
      </c>
      <c r="B255" s="145"/>
      <c r="C255" s="145"/>
      <c r="D255" s="145"/>
      <c r="E255" s="145"/>
      <c r="F255" s="145"/>
      <c r="G255" s="145"/>
      <c r="H255" s="145"/>
      <c r="I255" s="145"/>
      <c r="J255" s="145"/>
      <c r="K255" s="145"/>
      <c r="L255" s="145"/>
      <c r="M255" s="146"/>
      <c r="N255" s="145"/>
      <c r="O255" s="145"/>
      <c r="P255" s="145"/>
      <c r="Q255" s="145"/>
      <c r="R255" s="145"/>
      <c r="S255" s="145"/>
      <c r="T255" s="145"/>
      <c r="U255" s="145"/>
      <c r="V255" s="145"/>
      <c r="W255" s="145"/>
      <c r="X255" s="145"/>
      <c r="Y255" s="145"/>
      <c r="Z255" s="145"/>
    </row>
    <row r="256" spans="1:26" ht="13.2">
      <c r="A256" s="144">
        <v>0</v>
      </c>
      <c r="B256" s="145"/>
      <c r="C256" s="145"/>
      <c r="D256" s="145"/>
      <c r="E256" s="145"/>
      <c r="F256" s="145"/>
      <c r="G256" s="145"/>
      <c r="H256" s="145"/>
      <c r="I256" s="145"/>
      <c r="J256" s="145"/>
      <c r="K256" s="145"/>
      <c r="L256" s="145"/>
      <c r="M256" s="146"/>
      <c r="N256" s="145"/>
      <c r="O256" s="145"/>
      <c r="P256" s="145"/>
      <c r="Q256" s="145"/>
      <c r="R256" s="145"/>
      <c r="S256" s="145"/>
      <c r="T256" s="145"/>
      <c r="U256" s="145"/>
      <c r="V256" s="145"/>
      <c r="W256" s="145"/>
      <c r="X256" s="145"/>
      <c r="Y256" s="145"/>
      <c r="Z256" s="145"/>
    </row>
    <row r="257" spans="1:26" ht="13.2">
      <c r="A257" s="144">
        <v>0</v>
      </c>
      <c r="B257" s="145"/>
      <c r="C257" s="145"/>
      <c r="D257" s="145"/>
      <c r="E257" s="145"/>
      <c r="F257" s="145"/>
      <c r="G257" s="145"/>
      <c r="H257" s="145"/>
      <c r="I257" s="145"/>
      <c r="J257" s="145"/>
      <c r="K257" s="145"/>
      <c r="L257" s="145"/>
      <c r="M257" s="146"/>
      <c r="N257" s="145"/>
      <c r="O257" s="145"/>
      <c r="P257" s="145"/>
      <c r="Q257" s="145"/>
      <c r="R257" s="145"/>
      <c r="S257" s="145"/>
      <c r="T257" s="145"/>
      <c r="U257" s="145"/>
      <c r="V257" s="145"/>
      <c r="W257" s="145"/>
      <c r="X257" s="145"/>
      <c r="Y257" s="145"/>
      <c r="Z257" s="145"/>
    </row>
    <row r="258" spans="1:26" ht="13.2">
      <c r="A258" s="144">
        <v>0</v>
      </c>
      <c r="B258" s="145"/>
      <c r="C258" s="145"/>
      <c r="D258" s="145"/>
      <c r="E258" s="145"/>
      <c r="F258" s="145"/>
      <c r="G258" s="145"/>
      <c r="H258" s="145"/>
      <c r="I258" s="145"/>
      <c r="J258" s="145"/>
      <c r="K258" s="145"/>
      <c r="L258" s="145"/>
      <c r="M258" s="146"/>
      <c r="N258" s="145"/>
      <c r="O258" s="145"/>
      <c r="P258" s="145"/>
      <c r="Q258" s="145"/>
      <c r="R258" s="145"/>
      <c r="S258" s="145"/>
      <c r="T258" s="145"/>
      <c r="U258" s="145"/>
      <c r="V258" s="145"/>
      <c r="W258" s="145"/>
      <c r="X258" s="145"/>
      <c r="Y258" s="145"/>
      <c r="Z258" s="145"/>
    </row>
    <row r="259" spans="1:26" ht="13.2">
      <c r="A259" s="144">
        <v>0</v>
      </c>
      <c r="B259" s="145"/>
      <c r="C259" s="145"/>
      <c r="D259" s="145"/>
      <c r="E259" s="145"/>
      <c r="F259" s="145"/>
      <c r="G259" s="145"/>
      <c r="H259" s="145"/>
      <c r="I259" s="145"/>
      <c r="J259" s="145"/>
      <c r="K259" s="145"/>
      <c r="L259" s="145"/>
      <c r="M259" s="146"/>
      <c r="N259" s="145"/>
      <c r="O259" s="145"/>
      <c r="P259" s="145"/>
      <c r="Q259" s="145"/>
      <c r="R259" s="145"/>
      <c r="S259" s="145"/>
      <c r="T259" s="145"/>
      <c r="U259" s="145"/>
      <c r="V259" s="145"/>
      <c r="W259" s="145"/>
      <c r="X259" s="145"/>
      <c r="Y259" s="145"/>
      <c r="Z259" s="145"/>
    </row>
    <row r="260" spans="1:26" ht="13.2">
      <c r="A260" s="144">
        <v>0</v>
      </c>
      <c r="B260" s="145"/>
      <c r="C260" s="145"/>
      <c r="D260" s="145"/>
      <c r="E260" s="145"/>
      <c r="F260" s="145"/>
      <c r="G260" s="145"/>
      <c r="H260" s="145"/>
      <c r="I260" s="145"/>
      <c r="J260" s="145"/>
      <c r="K260" s="145"/>
      <c r="L260" s="145"/>
      <c r="M260" s="146"/>
      <c r="N260" s="145"/>
      <c r="O260" s="145"/>
      <c r="P260" s="145"/>
      <c r="Q260" s="145"/>
      <c r="R260" s="145"/>
      <c r="S260" s="145"/>
      <c r="T260" s="145"/>
      <c r="U260" s="145"/>
      <c r="V260" s="145"/>
      <c r="W260" s="145"/>
      <c r="X260" s="145"/>
      <c r="Y260" s="145"/>
      <c r="Z260" s="145"/>
    </row>
    <row r="261" spans="1:26" ht="13.2">
      <c r="A261" s="144">
        <v>0</v>
      </c>
      <c r="B261" s="145"/>
      <c r="C261" s="145"/>
      <c r="D261" s="145"/>
      <c r="E261" s="145"/>
      <c r="F261" s="145"/>
      <c r="G261" s="145"/>
      <c r="H261" s="145"/>
      <c r="I261" s="145"/>
      <c r="J261" s="145"/>
      <c r="K261" s="145"/>
      <c r="L261" s="145"/>
      <c r="M261" s="146"/>
      <c r="N261" s="145"/>
      <c r="O261" s="145"/>
      <c r="P261" s="145"/>
      <c r="Q261" s="145"/>
      <c r="R261" s="145"/>
      <c r="S261" s="145"/>
      <c r="T261" s="145"/>
      <c r="U261" s="145"/>
      <c r="V261" s="145"/>
      <c r="W261" s="145"/>
      <c r="X261" s="145"/>
      <c r="Y261" s="145"/>
      <c r="Z261" s="145"/>
    </row>
    <row r="262" spans="1:26" ht="13.2">
      <c r="A262" s="144">
        <v>0</v>
      </c>
      <c r="B262" s="145"/>
      <c r="C262" s="145"/>
      <c r="D262" s="145"/>
      <c r="E262" s="145"/>
      <c r="F262" s="145"/>
      <c r="G262" s="145"/>
      <c r="H262" s="145"/>
      <c r="I262" s="145"/>
      <c r="J262" s="145"/>
      <c r="K262" s="145"/>
      <c r="L262" s="145"/>
      <c r="M262" s="146"/>
      <c r="N262" s="145"/>
      <c r="O262" s="145"/>
      <c r="P262" s="145"/>
      <c r="Q262" s="145"/>
      <c r="R262" s="145"/>
      <c r="S262" s="145"/>
      <c r="T262" s="145"/>
      <c r="U262" s="145"/>
      <c r="V262" s="145"/>
      <c r="W262" s="145"/>
      <c r="X262" s="145"/>
      <c r="Y262" s="145"/>
      <c r="Z262" s="145"/>
    </row>
    <row r="263" spans="1:26" ht="13.2">
      <c r="A263" s="144">
        <v>0</v>
      </c>
      <c r="B263" s="145"/>
      <c r="C263" s="145"/>
      <c r="D263" s="145"/>
      <c r="E263" s="145"/>
      <c r="F263" s="145"/>
      <c r="G263" s="145"/>
      <c r="H263" s="145"/>
      <c r="I263" s="145"/>
      <c r="J263" s="145"/>
      <c r="K263" s="145"/>
      <c r="L263" s="145"/>
      <c r="M263" s="146"/>
      <c r="N263" s="145"/>
      <c r="O263" s="145"/>
      <c r="P263" s="145"/>
      <c r="Q263" s="145"/>
      <c r="R263" s="145"/>
      <c r="S263" s="145"/>
      <c r="T263" s="145"/>
      <c r="U263" s="145"/>
      <c r="V263" s="145"/>
      <c r="W263" s="145"/>
      <c r="X263" s="145"/>
      <c r="Y263" s="145"/>
      <c r="Z263" s="145"/>
    </row>
    <row r="264" spans="1:26" ht="13.2">
      <c r="A264" s="144">
        <v>0</v>
      </c>
      <c r="B264" s="145"/>
      <c r="C264" s="145"/>
      <c r="D264" s="145"/>
      <c r="E264" s="145"/>
      <c r="F264" s="145"/>
      <c r="G264" s="145"/>
      <c r="H264" s="145"/>
      <c r="I264" s="145"/>
      <c r="J264" s="145"/>
      <c r="K264" s="145"/>
      <c r="L264" s="145"/>
      <c r="M264" s="146"/>
      <c r="N264" s="145"/>
      <c r="O264" s="145"/>
      <c r="P264" s="145"/>
      <c r="Q264" s="145"/>
      <c r="R264" s="145"/>
      <c r="S264" s="145"/>
      <c r="T264" s="145"/>
      <c r="U264" s="145"/>
      <c r="V264" s="145"/>
      <c r="W264" s="145"/>
      <c r="X264" s="145"/>
      <c r="Y264" s="145"/>
      <c r="Z264" s="145"/>
    </row>
    <row r="265" spans="1:26" ht="13.2">
      <c r="A265" s="144">
        <v>0</v>
      </c>
      <c r="B265" s="145"/>
      <c r="C265" s="145"/>
      <c r="D265" s="145"/>
      <c r="E265" s="145"/>
      <c r="F265" s="145"/>
      <c r="G265" s="145"/>
      <c r="H265" s="145"/>
      <c r="I265" s="145"/>
      <c r="J265" s="145"/>
      <c r="K265" s="145"/>
      <c r="L265" s="145"/>
      <c r="M265" s="146"/>
      <c r="N265" s="145"/>
      <c r="O265" s="145"/>
      <c r="P265" s="145"/>
      <c r="Q265" s="145"/>
      <c r="R265" s="145"/>
      <c r="S265" s="145"/>
      <c r="T265" s="145"/>
      <c r="U265" s="145"/>
      <c r="V265" s="145"/>
      <c r="W265" s="145"/>
      <c r="X265" s="145"/>
      <c r="Y265" s="145"/>
      <c r="Z265" s="145"/>
    </row>
    <row r="266" spans="1:26" ht="13.2">
      <c r="A266" s="144">
        <v>0</v>
      </c>
      <c r="B266" s="145"/>
      <c r="C266" s="145"/>
      <c r="D266" s="145"/>
      <c r="E266" s="145"/>
      <c r="F266" s="145"/>
      <c r="G266" s="145"/>
      <c r="H266" s="145"/>
      <c r="I266" s="145"/>
      <c r="J266" s="145"/>
      <c r="K266" s="145"/>
      <c r="L266" s="145"/>
      <c r="M266" s="146"/>
      <c r="N266" s="145"/>
      <c r="O266" s="145"/>
      <c r="P266" s="145"/>
      <c r="Q266" s="145"/>
      <c r="R266" s="145"/>
      <c r="S266" s="145"/>
      <c r="T266" s="145"/>
      <c r="U266" s="145"/>
      <c r="V266" s="145"/>
      <c r="W266" s="145"/>
      <c r="X266" s="145"/>
      <c r="Y266" s="145"/>
      <c r="Z266" s="145"/>
    </row>
    <row r="267" spans="1:26" ht="13.2">
      <c r="A267" s="144">
        <v>0</v>
      </c>
      <c r="B267" s="145"/>
      <c r="C267" s="145"/>
      <c r="D267" s="145"/>
      <c r="E267" s="145"/>
      <c r="F267" s="145"/>
      <c r="G267" s="145"/>
      <c r="H267" s="145"/>
      <c r="I267" s="145"/>
      <c r="J267" s="145"/>
      <c r="K267" s="145"/>
      <c r="L267" s="145"/>
      <c r="M267" s="146"/>
      <c r="N267" s="145"/>
      <c r="O267" s="145"/>
      <c r="P267" s="145"/>
      <c r="Q267" s="145"/>
      <c r="R267" s="145"/>
      <c r="S267" s="145"/>
      <c r="T267" s="145"/>
      <c r="U267" s="145"/>
      <c r="V267" s="145"/>
      <c r="W267" s="145"/>
      <c r="X267" s="145"/>
      <c r="Y267" s="145"/>
      <c r="Z267" s="145"/>
    </row>
    <row r="268" spans="1:26" ht="13.2">
      <c r="A268" s="144">
        <v>0</v>
      </c>
      <c r="B268" s="145"/>
      <c r="C268" s="145"/>
      <c r="D268" s="145"/>
      <c r="E268" s="145"/>
      <c r="F268" s="145"/>
      <c r="G268" s="145"/>
      <c r="H268" s="145"/>
      <c r="I268" s="145"/>
      <c r="J268" s="145"/>
      <c r="K268" s="145"/>
      <c r="L268" s="145"/>
      <c r="M268" s="146"/>
      <c r="N268" s="145"/>
      <c r="O268" s="145"/>
      <c r="P268" s="145"/>
      <c r="Q268" s="145"/>
      <c r="R268" s="145"/>
      <c r="S268" s="145"/>
      <c r="T268" s="145"/>
      <c r="U268" s="145"/>
      <c r="V268" s="145"/>
      <c r="W268" s="145"/>
      <c r="X268" s="145"/>
      <c r="Y268" s="145"/>
      <c r="Z268" s="145"/>
    </row>
    <row r="269" spans="1:26" ht="13.2">
      <c r="A269" s="144">
        <v>0</v>
      </c>
      <c r="B269" s="145"/>
      <c r="C269" s="145"/>
      <c r="D269" s="145"/>
      <c r="E269" s="145"/>
      <c r="F269" s="145"/>
      <c r="G269" s="145"/>
      <c r="H269" s="145"/>
      <c r="I269" s="145"/>
      <c r="J269" s="145"/>
      <c r="K269" s="145"/>
      <c r="L269" s="145"/>
      <c r="M269" s="146"/>
      <c r="N269" s="145"/>
      <c r="O269" s="145"/>
      <c r="P269" s="145"/>
      <c r="Q269" s="145"/>
      <c r="R269" s="145"/>
      <c r="S269" s="145"/>
      <c r="T269" s="145"/>
      <c r="U269" s="145"/>
      <c r="V269" s="145"/>
      <c r="W269" s="145"/>
      <c r="X269" s="145"/>
      <c r="Y269" s="145"/>
      <c r="Z269" s="145"/>
    </row>
    <row r="270" spans="1:26" ht="13.2">
      <c r="A270" s="144">
        <v>0</v>
      </c>
      <c r="B270" s="145"/>
      <c r="C270" s="145"/>
      <c r="D270" s="145"/>
      <c r="E270" s="145"/>
      <c r="F270" s="145"/>
      <c r="G270" s="145"/>
      <c r="H270" s="145"/>
      <c r="I270" s="145"/>
      <c r="J270" s="145"/>
      <c r="K270" s="145"/>
      <c r="L270" s="145"/>
      <c r="M270" s="146"/>
      <c r="N270" s="145"/>
      <c r="O270" s="145"/>
      <c r="P270" s="145"/>
      <c r="Q270" s="145"/>
      <c r="R270" s="145"/>
      <c r="S270" s="145"/>
      <c r="T270" s="145"/>
      <c r="U270" s="145"/>
      <c r="V270" s="145"/>
      <c r="W270" s="145"/>
      <c r="X270" s="145"/>
      <c r="Y270" s="145"/>
      <c r="Z270" s="145"/>
    </row>
    <row r="271" spans="1:26" ht="13.2">
      <c r="A271" s="144">
        <v>0</v>
      </c>
      <c r="B271" s="145"/>
      <c r="C271" s="145"/>
      <c r="D271" s="145"/>
      <c r="E271" s="145"/>
      <c r="F271" s="145"/>
      <c r="G271" s="145"/>
      <c r="H271" s="145"/>
      <c r="I271" s="145"/>
      <c r="J271" s="145"/>
      <c r="K271" s="145"/>
      <c r="L271" s="145"/>
      <c r="M271" s="146"/>
      <c r="N271" s="145"/>
      <c r="O271" s="145"/>
      <c r="P271" s="145"/>
      <c r="Q271" s="145"/>
      <c r="R271" s="145"/>
      <c r="S271" s="145"/>
      <c r="T271" s="145"/>
      <c r="U271" s="145"/>
      <c r="V271" s="145"/>
      <c r="W271" s="145"/>
      <c r="X271" s="145"/>
      <c r="Y271" s="145"/>
      <c r="Z271" s="145"/>
    </row>
    <row r="272" spans="1:26" ht="13.2">
      <c r="A272" s="144">
        <v>0</v>
      </c>
      <c r="B272" s="145"/>
      <c r="C272" s="145"/>
      <c r="D272" s="145"/>
      <c r="E272" s="145"/>
      <c r="F272" s="145"/>
      <c r="G272" s="145"/>
      <c r="H272" s="145"/>
      <c r="I272" s="145"/>
      <c r="J272" s="145"/>
      <c r="K272" s="145"/>
      <c r="L272" s="145"/>
      <c r="M272" s="146"/>
      <c r="N272" s="145"/>
      <c r="O272" s="145"/>
      <c r="P272" s="145"/>
      <c r="Q272" s="145"/>
      <c r="R272" s="145"/>
      <c r="S272" s="145"/>
      <c r="T272" s="145"/>
      <c r="U272" s="145"/>
      <c r="V272" s="145"/>
      <c r="W272" s="145"/>
      <c r="X272" s="145"/>
      <c r="Y272" s="145"/>
      <c r="Z272" s="145"/>
    </row>
    <row r="273" spans="1:26" ht="13.2">
      <c r="A273" s="144">
        <v>0</v>
      </c>
      <c r="B273" s="145"/>
      <c r="C273" s="145"/>
      <c r="D273" s="145"/>
      <c r="E273" s="145"/>
      <c r="F273" s="145"/>
      <c r="G273" s="145"/>
      <c r="H273" s="145"/>
      <c r="I273" s="145"/>
      <c r="J273" s="145"/>
      <c r="K273" s="145"/>
      <c r="L273" s="145"/>
      <c r="M273" s="146"/>
      <c r="N273" s="145"/>
      <c r="O273" s="145"/>
      <c r="P273" s="145"/>
      <c r="Q273" s="145"/>
      <c r="R273" s="145"/>
      <c r="S273" s="145"/>
      <c r="T273" s="145"/>
      <c r="U273" s="145"/>
      <c r="V273" s="145"/>
      <c r="W273" s="145"/>
      <c r="X273" s="145"/>
      <c r="Y273" s="145"/>
      <c r="Z273" s="145"/>
    </row>
    <row r="274" spans="1:26" ht="13.2">
      <c r="A274" s="144">
        <v>0</v>
      </c>
      <c r="B274" s="145"/>
      <c r="C274" s="145"/>
      <c r="D274" s="145"/>
      <c r="E274" s="145"/>
      <c r="F274" s="145"/>
      <c r="G274" s="145"/>
      <c r="H274" s="145"/>
      <c r="I274" s="145"/>
      <c r="J274" s="145"/>
      <c r="K274" s="145"/>
      <c r="L274" s="145"/>
      <c r="M274" s="146"/>
      <c r="N274" s="145"/>
      <c r="O274" s="145"/>
      <c r="P274" s="145"/>
      <c r="Q274" s="145"/>
      <c r="R274" s="145"/>
      <c r="S274" s="145"/>
      <c r="T274" s="145"/>
      <c r="U274" s="145"/>
      <c r="V274" s="145"/>
      <c r="W274" s="145"/>
      <c r="X274" s="145"/>
      <c r="Y274" s="145"/>
      <c r="Z274" s="145"/>
    </row>
    <row r="275" spans="1:26" ht="13.2">
      <c r="A275" s="144">
        <v>0</v>
      </c>
      <c r="B275" s="145"/>
      <c r="C275" s="145"/>
      <c r="D275" s="145"/>
      <c r="E275" s="145"/>
      <c r="F275" s="145"/>
      <c r="G275" s="145"/>
      <c r="H275" s="145"/>
      <c r="I275" s="145"/>
      <c r="J275" s="145"/>
      <c r="K275" s="145"/>
      <c r="L275" s="145"/>
      <c r="M275" s="146"/>
      <c r="N275" s="145"/>
      <c r="O275" s="145"/>
      <c r="P275" s="145"/>
      <c r="Q275" s="145"/>
      <c r="R275" s="145"/>
      <c r="S275" s="145"/>
      <c r="T275" s="145"/>
      <c r="U275" s="145"/>
      <c r="V275" s="145"/>
      <c r="W275" s="145"/>
      <c r="X275" s="145"/>
      <c r="Y275" s="145"/>
      <c r="Z275" s="145"/>
    </row>
    <row r="276" spans="1:26" ht="13.2">
      <c r="A276" s="144">
        <v>0</v>
      </c>
      <c r="B276" s="145"/>
      <c r="C276" s="145"/>
      <c r="D276" s="145"/>
      <c r="E276" s="145"/>
      <c r="F276" s="145"/>
      <c r="G276" s="145"/>
      <c r="H276" s="145"/>
      <c r="I276" s="145"/>
      <c r="J276" s="145"/>
      <c r="K276" s="145"/>
      <c r="L276" s="145"/>
      <c r="M276" s="146"/>
      <c r="N276" s="145"/>
      <c r="O276" s="145"/>
      <c r="P276" s="145"/>
      <c r="Q276" s="145"/>
      <c r="R276" s="145"/>
      <c r="S276" s="145"/>
      <c r="T276" s="145"/>
      <c r="U276" s="145"/>
      <c r="V276" s="145"/>
      <c r="W276" s="145"/>
      <c r="X276" s="145"/>
      <c r="Y276" s="145"/>
      <c r="Z276" s="145"/>
    </row>
    <row r="277" spans="1:26" ht="13.2">
      <c r="A277" s="144">
        <v>0</v>
      </c>
      <c r="B277" s="145"/>
      <c r="C277" s="145"/>
      <c r="D277" s="145"/>
      <c r="E277" s="145"/>
      <c r="F277" s="145"/>
      <c r="G277" s="145"/>
      <c r="H277" s="145"/>
      <c r="I277" s="145"/>
      <c r="J277" s="145"/>
      <c r="K277" s="145"/>
      <c r="L277" s="145"/>
      <c r="M277" s="146"/>
      <c r="N277" s="145"/>
      <c r="O277" s="145"/>
      <c r="P277" s="145"/>
      <c r="Q277" s="145"/>
      <c r="R277" s="145"/>
      <c r="S277" s="145"/>
      <c r="T277" s="145"/>
      <c r="U277" s="145"/>
      <c r="V277" s="145"/>
      <c r="W277" s="145"/>
      <c r="X277" s="145"/>
      <c r="Y277" s="145"/>
      <c r="Z277" s="145"/>
    </row>
    <row r="278" spans="1:26" ht="13.2">
      <c r="A278" s="144">
        <v>0</v>
      </c>
      <c r="B278" s="145"/>
      <c r="C278" s="145"/>
      <c r="D278" s="145"/>
      <c r="E278" s="145"/>
      <c r="F278" s="145"/>
      <c r="G278" s="145"/>
      <c r="H278" s="145"/>
      <c r="I278" s="145"/>
      <c r="J278" s="145"/>
      <c r="K278" s="145"/>
      <c r="L278" s="145"/>
      <c r="M278" s="146"/>
      <c r="N278" s="145"/>
      <c r="O278" s="145"/>
      <c r="P278" s="145"/>
      <c r="Q278" s="145"/>
      <c r="R278" s="145"/>
      <c r="S278" s="145"/>
      <c r="T278" s="145"/>
      <c r="U278" s="145"/>
      <c r="V278" s="145"/>
      <c r="W278" s="145"/>
      <c r="X278" s="145"/>
      <c r="Y278" s="145"/>
      <c r="Z278" s="145"/>
    </row>
    <row r="279" spans="1:26" ht="13.2">
      <c r="A279" s="144">
        <v>0</v>
      </c>
      <c r="B279" s="145"/>
      <c r="C279" s="145"/>
      <c r="D279" s="145"/>
      <c r="E279" s="145"/>
      <c r="F279" s="145"/>
      <c r="G279" s="145"/>
      <c r="H279" s="145"/>
      <c r="I279" s="145"/>
      <c r="J279" s="145"/>
      <c r="K279" s="145"/>
      <c r="L279" s="145"/>
      <c r="M279" s="146"/>
      <c r="N279" s="145"/>
      <c r="O279" s="145"/>
      <c r="P279" s="145"/>
      <c r="Q279" s="145"/>
      <c r="R279" s="145"/>
      <c r="S279" s="145"/>
      <c r="T279" s="145"/>
      <c r="U279" s="145"/>
      <c r="V279" s="145"/>
      <c r="W279" s="145"/>
      <c r="X279" s="145"/>
      <c r="Y279" s="145"/>
      <c r="Z279" s="145"/>
    </row>
    <row r="280" spans="1:26" ht="13.2">
      <c r="A280" s="144">
        <v>0</v>
      </c>
      <c r="B280" s="145"/>
      <c r="C280" s="145"/>
      <c r="D280" s="145"/>
      <c r="E280" s="145"/>
      <c r="F280" s="145"/>
      <c r="G280" s="145"/>
      <c r="H280" s="145"/>
      <c r="I280" s="145"/>
      <c r="J280" s="145"/>
      <c r="K280" s="145"/>
      <c r="L280" s="145"/>
      <c r="M280" s="146"/>
      <c r="N280" s="145"/>
      <c r="O280" s="145"/>
      <c r="P280" s="145"/>
      <c r="Q280" s="145"/>
      <c r="R280" s="145"/>
      <c r="S280" s="145"/>
      <c r="T280" s="145"/>
      <c r="U280" s="145"/>
      <c r="V280" s="145"/>
      <c r="W280" s="145"/>
      <c r="X280" s="145"/>
      <c r="Y280" s="145"/>
      <c r="Z280" s="145"/>
    </row>
    <row r="281" spans="1:26" ht="13.2">
      <c r="A281" s="144">
        <v>0</v>
      </c>
      <c r="B281" s="145"/>
      <c r="C281" s="145"/>
      <c r="D281" s="145"/>
      <c r="E281" s="145"/>
      <c r="F281" s="145"/>
      <c r="G281" s="145"/>
      <c r="H281" s="145"/>
      <c r="I281" s="145"/>
      <c r="J281" s="145"/>
      <c r="K281" s="145"/>
      <c r="L281" s="145"/>
      <c r="M281" s="146"/>
      <c r="N281" s="145"/>
      <c r="O281" s="145"/>
      <c r="P281" s="145"/>
      <c r="Q281" s="145"/>
      <c r="R281" s="145"/>
      <c r="S281" s="145"/>
      <c r="T281" s="145"/>
      <c r="U281" s="145"/>
      <c r="V281" s="145"/>
      <c r="W281" s="145"/>
      <c r="X281" s="145"/>
      <c r="Y281" s="145"/>
      <c r="Z281" s="145"/>
    </row>
    <row r="282" spans="1:26" ht="13.2">
      <c r="A282" s="144">
        <v>0</v>
      </c>
      <c r="B282" s="145"/>
      <c r="C282" s="145"/>
      <c r="D282" s="145"/>
      <c r="E282" s="145"/>
      <c r="F282" s="145"/>
      <c r="G282" s="145"/>
      <c r="H282" s="145"/>
      <c r="I282" s="145"/>
      <c r="J282" s="145"/>
      <c r="K282" s="145"/>
      <c r="L282" s="145"/>
      <c r="M282" s="146"/>
      <c r="N282" s="145"/>
      <c r="O282" s="145"/>
      <c r="P282" s="145"/>
      <c r="Q282" s="145"/>
      <c r="R282" s="145"/>
      <c r="S282" s="145"/>
      <c r="T282" s="145"/>
      <c r="U282" s="145"/>
      <c r="V282" s="145"/>
      <c r="W282" s="145"/>
      <c r="X282" s="145"/>
      <c r="Y282" s="145"/>
      <c r="Z282" s="145"/>
    </row>
    <row r="283" spans="1:26" ht="13.2">
      <c r="A283" s="144">
        <v>0</v>
      </c>
      <c r="B283" s="145"/>
      <c r="C283" s="145"/>
      <c r="D283" s="145"/>
      <c r="E283" s="145"/>
      <c r="F283" s="145"/>
      <c r="G283" s="145"/>
      <c r="H283" s="145"/>
      <c r="I283" s="145"/>
      <c r="J283" s="145"/>
      <c r="K283" s="145"/>
      <c r="L283" s="145"/>
      <c r="M283" s="146"/>
      <c r="N283" s="145"/>
      <c r="O283" s="145"/>
      <c r="P283" s="145"/>
      <c r="Q283" s="145"/>
      <c r="R283" s="145"/>
      <c r="S283" s="145"/>
      <c r="T283" s="145"/>
      <c r="U283" s="145"/>
      <c r="V283" s="145"/>
      <c r="W283" s="145"/>
      <c r="X283" s="145"/>
      <c r="Y283" s="145"/>
      <c r="Z283" s="145"/>
    </row>
    <row r="284" spans="1:26" ht="13.2">
      <c r="A284" s="144">
        <v>0</v>
      </c>
      <c r="B284" s="145"/>
      <c r="C284" s="145"/>
      <c r="D284" s="145"/>
      <c r="E284" s="145"/>
      <c r="F284" s="145"/>
      <c r="G284" s="145"/>
      <c r="H284" s="145"/>
      <c r="I284" s="145"/>
      <c r="J284" s="145"/>
      <c r="K284" s="145"/>
      <c r="L284" s="145"/>
      <c r="M284" s="146"/>
      <c r="N284" s="145"/>
      <c r="O284" s="145"/>
      <c r="P284" s="145"/>
      <c r="Q284" s="145"/>
      <c r="R284" s="145"/>
      <c r="S284" s="145"/>
      <c r="T284" s="145"/>
      <c r="U284" s="145"/>
      <c r="V284" s="145"/>
      <c r="W284" s="145"/>
      <c r="X284" s="145"/>
      <c r="Y284" s="145"/>
      <c r="Z284" s="145"/>
    </row>
    <row r="285" spans="1:26" ht="13.2">
      <c r="A285" s="144">
        <v>0</v>
      </c>
      <c r="B285" s="145"/>
      <c r="C285" s="145"/>
      <c r="D285" s="145"/>
      <c r="E285" s="145"/>
      <c r="F285" s="145"/>
      <c r="G285" s="145"/>
      <c r="H285" s="145"/>
      <c r="I285" s="145"/>
      <c r="J285" s="145"/>
      <c r="K285" s="145"/>
      <c r="L285" s="145"/>
      <c r="M285" s="146"/>
      <c r="N285" s="145"/>
      <c r="O285" s="145"/>
      <c r="P285" s="145"/>
      <c r="Q285" s="145"/>
      <c r="R285" s="145"/>
      <c r="S285" s="145"/>
      <c r="T285" s="145"/>
      <c r="U285" s="145"/>
      <c r="V285" s="145"/>
      <c r="W285" s="145"/>
      <c r="X285" s="145"/>
      <c r="Y285" s="145"/>
      <c r="Z285" s="145"/>
    </row>
    <row r="286" spans="1:26" ht="13.2">
      <c r="A286" s="144">
        <v>0</v>
      </c>
      <c r="B286" s="145"/>
      <c r="C286" s="145"/>
      <c r="D286" s="145"/>
      <c r="E286" s="145"/>
      <c r="F286" s="145"/>
      <c r="G286" s="145"/>
      <c r="H286" s="145"/>
      <c r="I286" s="145"/>
      <c r="J286" s="145"/>
      <c r="K286" s="145"/>
      <c r="L286" s="145"/>
      <c r="M286" s="146"/>
      <c r="N286" s="145"/>
      <c r="O286" s="145"/>
      <c r="P286" s="145"/>
      <c r="Q286" s="145"/>
      <c r="R286" s="145"/>
      <c r="S286" s="145"/>
      <c r="T286" s="145"/>
      <c r="U286" s="145"/>
      <c r="V286" s="145"/>
      <c r="W286" s="145"/>
      <c r="X286" s="145"/>
      <c r="Y286" s="145"/>
      <c r="Z286" s="145"/>
    </row>
    <row r="287" spans="1:26" ht="13.2">
      <c r="A287" s="144">
        <v>0</v>
      </c>
      <c r="B287" s="145"/>
      <c r="C287" s="145"/>
      <c r="D287" s="145"/>
      <c r="E287" s="145"/>
      <c r="F287" s="145"/>
      <c r="G287" s="145"/>
      <c r="H287" s="145"/>
      <c r="I287" s="145"/>
      <c r="J287" s="145"/>
      <c r="K287" s="145"/>
      <c r="L287" s="145"/>
      <c r="M287" s="146"/>
      <c r="N287" s="145"/>
      <c r="O287" s="145"/>
      <c r="P287" s="145"/>
      <c r="Q287" s="145"/>
      <c r="R287" s="145"/>
      <c r="S287" s="145"/>
      <c r="T287" s="145"/>
      <c r="U287" s="145"/>
      <c r="V287" s="145"/>
      <c r="W287" s="145"/>
      <c r="X287" s="145"/>
      <c r="Y287" s="145"/>
      <c r="Z287" s="145"/>
    </row>
    <row r="288" spans="1:26" ht="13.2">
      <c r="A288" s="144">
        <v>0</v>
      </c>
      <c r="B288" s="145"/>
      <c r="C288" s="145"/>
      <c r="D288" s="145"/>
      <c r="E288" s="145"/>
      <c r="F288" s="145"/>
      <c r="G288" s="145"/>
      <c r="H288" s="145"/>
      <c r="I288" s="145"/>
      <c r="J288" s="145"/>
      <c r="K288" s="145"/>
      <c r="L288" s="145"/>
      <c r="M288" s="146"/>
      <c r="N288" s="145"/>
      <c r="O288" s="145"/>
      <c r="P288" s="145"/>
      <c r="Q288" s="145"/>
      <c r="R288" s="145"/>
      <c r="S288" s="145"/>
      <c r="T288" s="145"/>
      <c r="U288" s="145"/>
      <c r="V288" s="145"/>
      <c r="W288" s="145"/>
      <c r="X288" s="145"/>
      <c r="Y288" s="145"/>
      <c r="Z288" s="145"/>
    </row>
    <row r="289" spans="1:26" ht="13.2">
      <c r="A289" s="144">
        <v>0</v>
      </c>
      <c r="B289" s="145"/>
      <c r="C289" s="145"/>
      <c r="D289" s="145"/>
      <c r="E289" s="145"/>
      <c r="F289" s="145"/>
      <c r="G289" s="145"/>
      <c r="H289" s="145"/>
      <c r="I289" s="145"/>
      <c r="J289" s="145"/>
      <c r="K289" s="145"/>
      <c r="L289" s="145"/>
      <c r="M289" s="146"/>
      <c r="N289" s="145"/>
      <c r="O289" s="145"/>
      <c r="P289" s="145"/>
      <c r="Q289" s="145"/>
      <c r="R289" s="145"/>
      <c r="S289" s="145"/>
      <c r="T289" s="145"/>
      <c r="U289" s="145"/>
      <c r="V289" s="145"/>
      <c r="W289" s="145"/>
      <c r="X289" s="145"/>
      <c r="Y289" s="145"/>
      <c r="Z289" s="145"/>
    </row>
    <row r="290" spans="1:26" ht="13.2">
      <c r="A290" s="144">
        <v>0</v>
      </c>
      <c r="B290" s="145"/>
      <c r="C290" s="145"/>
      <c r="D290" s="145"/>
      <c r="E290" s="145"/>
      <c r="F290" s="145"/>
      <c r="G290" s="145"/>
      <c r="H290" s="145"/>
      <c r="I290" s="145"/>
      <c r="J290" s="145"/>
      <c r="K290" s="145"/>
      <c r="L290" s="145"/>
      <c r="M290" s="146"/>
      <c r="N290" s="145"/>
      <c r="O290" s="145"/>
      <c r="P290" s="145"/>
      <c r="Q290" s="145"/>
      <c r="R290" s="145"/>
      <c r="S290" s="145"/>
      <c r="T290" s="145"/>
      <c r="U290" s="145"/>
      <c r="V290" s="145"/>
      <c r="W290" s="145"/>
      <c r="X290" s="145"/>
      <c r="Y290" s="145"/>
      <c r="Z290" s="145"/>
    </row>
    <row r="291" spans="1:26" ht="13.2">
      <c r="A291" s="144">
        <v>0</v>
      </c>
      <c r="B291" s="145"/>
      <c r="C291" s="145"/>
      <c r="D291" s="145"/>
      <c r="E291" s="145"/>
      <c r="F291" s="145"/>
      <c r="G291" s="145"/>
      <c r="H291" s="145"/>
      <c r="I291" s="145"/>
      <c r="J291" s="145"/>
      <c r="K291" s="145"/>
      <c r="L291" s="145"/>
      <c r="M291" s="146"/>
      <c r="N291" s="145"/>
      <c r="O291" s="145"/>
      <c r="P291" s="145"/>
      <c r="Q291" s="145"/>
      <c r="R291" s="145"/>
      <c r="S291" s="145"/>
      <c r="T291" s="145"/>
      <c r="U291" s="145"/>
      <c r="V291" s="145"/>
      <c r="W291" s="145"/>
      <c r="X291" s="145"/>
      <c r="Y291" s="145"/>
      <c r="Z291" s="145"/>
    </row>
    <row r="292" spans="1:26" ht="13.2">
      <c r="A292" s="144">
        <v>0</v>
      </c>
      <c r="B292" s="145"/>
      <c r="C292" s="145"/>
      <c r="D292" s="145"/>
      <c r="E292" s="145"/>
      <c r="F292" s="145"/>
      <c r="G292" s="145"/>
      <c r="H292" s="145"/>
      <c r="I292" s="145"/>
      <c r="J292" s="145"/>
      <c r="K292" s="145"/>
      <c r="L292" s="145"/>
      <c r="M292" s="146"/>
      <c r="N292" s="145"/>
      <c r="O292" s="145"/>
      <c r="P292" s="145"/>
      <c r="Q292" s="145"/>
      <c r="R292" s="145"/>
      <c r="S292" s="145"/>
      <c r="T292" s="145"/>
      <c r="U292" s="145"/>
      <c r="V292" s="145"/>
      <c r="W292" s="145"/>
      <c r="X292" s="145"/>
      <c r="Y292" s="145"/>
      <c r="Z292" s="145"/>
    </row>
    <row r="293" spans="1:26" ht="13.2">
      <c r="A293" s="144">
        <v>0</v>
      </c>
      <c r="B293" s="145"/>
      <c r="C293" s="145"/>
      <c r="D293" s="145"/>
      <c r="E293" s="145"/>
      <c r="F293" s="145"/>
      <c r="G293" s="145"/>
      <c r="H293" s="145"/>
      <c r="I293" s="145"/>
      <c r="J293" s="145"/>
      <c r="K293" s="145"/>
      <c r="L293" s="145"/>
      <c r="M293" s="146"/>
      <c r="N293" s="145"/>
      <c r="O293" s="145"/>
      <c r="P293" s="145"/>
      <c r="Q293" s="145"/>
      <c r="R293" s="145"/>
      <c r="S293" s="145"/>
      <c r="T293" s="145"/>
      <c r="U293" s="145"/>
      <c r="V293" s="145"/>
      <c r="W293" s="145"/>
      <c r="X293" s="145"/>
      <c r="Y293" s="145"/>
      <c r="Z293" s="145"/>
    </row>
    <row r="294" spans="1:26" ht="13.2">
      <c r="A294" s="144">
        <v>0</v>
      </c>
      <c r="B294" s="145"/>
      <c r="C294" s="145"/>
      <c r="D294" s="145"/>
      <c r="E294" s="145"/>
      <c r="F294" s="145"/>
      <c r="G294" s="145"/>
      <c r="H294" s="145"/>
      <c r="I294" s="145"/>
      <c r="J294" s="145"/>
      <c r="K294" s="145"/>
      <c r="L294" s="145"/>
      <c r="M294" s="146"/>
      <c r="N294" s="145"/>
      <c r="O294" s="145"/>
      <c r="P294" s="145"/>
      <c r="Q294" s="145"/>
      <c r="R294" s="145"/>
      <c r="S294" s="145"/>
      <c r="T294" s="145"/>
      <c r="U294" s="145"/>
      <c r="V294" s="145"/>
      <c r="W294" s="145"/>
      <c r="X294" s="145"/>
      <c r="Y294" s="145"/>
      <c r="Z294" s="145"/>
    </row>
    <row r="295" spans="1:26" ht="13.2">
      <c r="A295" s="144">
        <v>0</v>
      </c>
      <c r="B295" s="145"/>
      <c r="C295" s="145"/>
      <c r="D295" s="145"/>
      <c r="E295" s="145"/>
      <c r="F295" s="145"/>
      <c r="G295" s="145"/>
      <c r="H295" s="145"/>
      <c r="I295" s="145"/>
      <c r="J295" s="145"/>
      <c r="K295" s="145"/>
      <c r="L295" s="145"/>
      <c r="M295" s="146"/>
      <c r="N295" s="145"/>
      <c r="O295" s="145"/>
      <c r="P295" s="145"/>
      <c r="Q295" s="145"/>
      <c r="R295" s="145"/>
      <c r="S295" s="145"/>
      <c r="T295" s="145"/>
      <c r="U295" s="145"/>
      <c r="V295" s="145"/>
      <c r="W295" s="145"/>
      <c r="X295" s="145"/>
      <c r="Y295" s="145"/>
      <c r="Z295" s="145"/>
    </row>
    <row r="296" spans="1:26" ht="13.2">
      <c r="A296" s="144">
        <v>0</v>
      </c>
      <c r="B296" s="145"/>
      <c r="C296" s="145"/>
      <c r="D296" s="145"/>
      <c r="E296" s="145"/>
      <c r="F296" s="145"/>
      <c r="G296" s="145"/>
      <c r="H296" s="145"/>
      <c r="I296" s="145"/>
      <c r="J296" s="145"/>
      <c r="K296" s="145"/>
      <c r="L296" s="145"/>
      <c r="M296" s="146"/>
      <c r="N296" s="145"/>
      <c r="O296" s="145"/>
      <c r="P296" s="145"/>
      <c r="Q296" s="145"/>
      <c r="R296" s="145"/>
      <c r="S296" s="145"/>
      <c r="T296" s="145"/>
      <c r="U296" s="145"/>
      <c r="V296" s="145"/>
      <c r="W296" s="145"/>
      <c r="X296" s="145"/>
      <c r="Y296" s="145"/>
      <c r="Z296" s="145"/>
    </row>
    <row r="297" spans="1:26" ht="13.2">
      <c r="A297" s="144">
        <v>0</v>
      </c>
      <c r="B297" s="145"/>
      <c r="C297" s="145"/>
      <c r="D297" s="145"/>
      <c r="E297" s="145"/>
      <c r="F297" s="145"/>
      <c r="G297" s="145"/>
      <c r="H297" s="145"/>
      <c r="I297" s="145"/>
      <c r="J297" s="145"/>
      <c r="K297" s="145"/>
      <c r="L297" s="145"/>
      <c r="M297" s="146"/>
      <c r="N297" s="145"/>
      <c r="O297" s="145"/>
      <c r="P297" s="145"/>
      <c r="Q297" s="145"/>
      <c r="R297" s="145"/>
      <c r="S297" s="145"/>
      <c r="T297" s="145"/>
      <c r="U297" s="145"/>
      <c r="V297" s="145"/>
      <c r="W297" s="145"/>
      <c r="X297" s="145"/>
      <c r="Y297" s="145"/>
      <c r="Z297" s="145"/>
    </row>
    <row r="298" spans="1:26" ht="13.2">
      <c r="A298" s="144">
        <v>0</v>
      </c>
      <c r="B298" s="145"/>
      <c r="C298" s="145"/>
      <c r="D298" s="145"/>
      <c r="E298" s="145"/>
      <c r="F298" s="145"/>
      <c r="G298" s="145"/>
      <c r="H298" s="145"/>
      <c r="I298" s="145"/>
      <c r="J298" s="145"/>
      <c r="K298" s="145"/>
      <c r="L298" s="145"/>
      <c r="M298" s="146"/>
      <c r="N298" s="145"/>
      <c r="O298" s="145"/>
      <c r="P298" s="145"/>
      <c r="Q298" s="145"/>
      <c r="R298" s="145"/>
      <c r="S298" s="145"/>
      <c r="T298" s="145"/>
      <c r="U298" s="145"/>
      <c r="V298" s="145"/>
      <c r="W298" s="145"/>
      <c r="X298" s="145"/>
      <c r="Y298" s="145"/>
      <c r="Z298" s="145"/>
    </row>
    <row r="299" spans="1:26" ht="13.2">
      <c r="A299" s="144">
        <v>0</v>
      </c>
      <c r="B299" s="145"/>
      <c r="C299" s="145"/>
      <c r="D299" s="145"/>
      <c r="E299" s="145"/>
      <c r="F299" s="145"/>
      <c r="G299" s="145"/>
      <c r="H299" s="145"/>
      <c r="I299" s="145"/>
      <c r="J299" s="145"/>
      <c r="K299" s="145"/>
      <c r="L299" s="145"/>
      <c r="M299" s="146"/>
      <c r="N299" s="145"/>
      <c r="O299" s="145"/>
      <c r="P299" s="145"/>
      <c r="Q299" s="145"/>
      <c r="R299" s="145"/>
      <c r="S299" s="145"/>
      <c r="T299" s="145"/>
      <c r="U299" s="145"/>
      <c r="V299" s="145"/>
      <c r="W299" s="145"/>
      <c r="X299" s="145"/>
      <c r="Y299" s="145"/>
      <c r="Z299" s="145"/>
    </row>
    <row r="300" spans="1:26" ht="13.2">
      <c r="A300" s="144">
        <v>0</v>
      </c>
      <c r="B300" s="145"/>
      <c r="C300" s="145"/>
      <c r="D300" s="145"/>
      <c r="E300" s="145"/>
      <c r="F300" s="145"/>
      <c r="G300" s="145"/>
      <c r="H300" s="145"/>
      <c r="I300" s="145"/>
      <c r="J300" s="145"/>
      <c r="K300" s="145"/>
      <c r="L300" s="145"/>
      <c r="M300" s="146"/>
      <c r="N300" s="145"/>
      <c r="O300" s="145"/>
      <c r="P300" s="145"/>
      <c r="Q300" s="145"/>
      <c r="R300" s="145"/>
      <c r="S300" s="145"/>
      <c r="T300" s="145"/>
      <c r="U300" s="145"/>
      <c r="V300" s="145"/>
      <c r="W300" s="145"/>
      <c r="X300" s="145"/>
      <c r="Y300" s="145"/>
      <c r="Z300" s="145"/>
    </row>
    <row r="301" spans="1:26" ht="13.2">
      <c r="A301" s="144">
        <v>0</v>
      </c>
      <c r="B301" s="145"/>
      <c r="C301" s="145"/>
      <c r="D301" s="145"/>
      <c r="E301" s="145"/>
      <c r="F301" s="145"/>
      <c r="G301" s="145"/>
      <c r="H301" s="145"/>
      <c r="I301" s="145"/>
      <c r="J301" s="145"/>
      <c r="K301" s="145"/>
      <c r="L301" s="145"/>
      <c r="M301" s="146"/>
      <c r="N301" s="145"/>
      <c r="O301" s="145"/>
      <c r="P301" s="145"/>
      <c r="Q301" s="145"/>
      <c r="R301" s="145"/>
      <c r="S301" s="145"/>
      <c r="T301" s="145"/>
      <c r="U301" s="145"/>
      <c r="V301" s="145"/>
      <c r="W301" s="145"/>
      <c r="X301" s="145"/>
      <c r="Y301" s="145"/>
      <c r="Z301" s="145"/>
    </row>
    <row r="302" spans="1:26" ht="13.2">
      <c r="A302" s="144">
        <v>0</v>
      </c>
      <c r="B302" s="145"/>
      <c r="C302" s="145"/>
      <c r="D302" s="145"/>
      <c r="E302" s="145"/>
      <c r="F302" s="145"/>
      <c r="G302" s="145"/>
      <c r="H302" s="145"/>
      <c r="I302" s="145"/>
      <c r="J302" s="145"/>
      <c r="K302" s="145"/>
      <c r="L302" s="145"/>
      <c r="M302" s="146"/>
      <c r="N302" s="145"/>
      <c r="O302" s="145"/>
      <c r="P302" s="145"/>
      <c r="Q302" s="145"/>
      <c r="R302" s="145"/>
      <c r="S302" s="145"/>
      <c r="T302" s="145"/>
      <c r="U302" s="145"/>
      <c r="V302" s="145"/>
      <c r="W302" s="145"/>
      <c r="X302" s="145"/>
      <c r="Y302" s="145"/>
      <c r="Z302" s="145"/>
    </row>
    <row r="303" spans="1:26" ht="13.2">
      <c r="A303" s="144">
        <v>0</v>
      </c>
      <c r="B303" s="145"/>
      <c r="C303" s="145"/>
      <c r="D303" s="145"/>
      <c r="E303" s="145"/>
      <c r="F303" s="145"/>
      <c r="G303" s="145"/>
      <c r="H303" s="145"/>
      <c r="I303" s="145"/>
      <c r="J303" s="145"/>
      <c r="K303" s="145"/>
      <c r="L303" s="145"/>
      <c r="M303" s="146"/>
      <c r="N303" s="145"/>
      <c r="O303" s="145"/>
      <c r="P303" s="145"/>
      <c r="Q303" s="145"/>
      <c r="R303" s="145"/>
      <c r="S303" s="145"/>
      <c r="T303" s="145"/>
      <c r="U303" s="145"/>
      <c r="V303" s="145"/>
      <c r="W303" s="145"/>
      <c r="X303" s="145"/>
      <c r="Y303" s="145"/>
      <c r="Z303" s="145"/>
    </row>
    <row r="304" spans="1:26" ht="13.2">
      <c r="A304" s="144">
        <v>0</v>
      </c>
      <c r="B304" s="145"/>
      <c r="C304" s="145"/>
      <c r="D304" s="145"/>
      <c r="E304" s="145"/>
      <c r="F304" s="145"/>
      <c r="G304" s="145"/>
      <c r="H304" s="145"/>
      <c r="I304" s="145"/>
      <c r="J304" s="145"/>
      <c r="K304" s="145"/>
      <c r="L304" s="145"/>
      <c r="M304" s="146"/>
      <c r="N304" s="145"/>
      <c r="O304" s="145"/>
      <c r="P304" s="145"/>
      <c r="Q304" s="145"/>
      <c r="R304" s="145"/>
      <c r="S304" s="145"/>
      <c r="T304" s="145"/>
      <c r="U304" s="145"/>
      <c r="V304" s="145"/>
      <c r="W304" s="145"/>
      <c r="X304" s="145"/>
      <c r="Y304" s="145"/>
      <c r="Z304" s="145"/>
    </row>
    <row r="305" spans="1:26" ht="13.2">
      <c r="A305" s="144">
        <v>0</v>
      </c>
      <c r="B305" s="145"/>
      <c r="C305" s="145"/>
      <c r="D305" s="145"/>
      <c r="E305" s="145"/>
      <c r="F305" s="145"/>
      <c r="G305" s="145"/>
      <c r="H305" s="145"/>
      <c r="I305" s="145"/>
      <c r="J305" s="145"/>
      <c r="K305" s="145"/>
      <c r="L305" s="145"/>
      <c r="M305" s="146"/>
      <c r="N305" s="145"/>
      <c r="O305" s="145"/>
      <c r="P305" s="145"/>
      <c r="Q305" s="145"/>
      <c r="R305" s="145"/>
      <c r="S305" s="145"/>
      <c r="T305" s="145"/>
      <c r="U305" s="145"/>
      <c r="V305" s="145"/>
      <c r="W305" s="145"/>
      <c r="X305" s="145"/>
      <c r="Y305" s="145"/>
      <c r="Z305" s="145"/>
    </row>
    <row r="306" spans="1:26" ht="13.2">
      <c r="A306" s="144">
        <v>0</v>
      </c>
      <c r="B306" s="145"/>
      <c r="C306" s="145"/>
      <c r="D306" s="145"/>
      <c r="E306" s="145"/>
      <c r="F306" s="145"/>
      <c r="G306" s="145"/>
      <c r="H306" s="145"/>
      <c r="I306" s="145"/>
      <c r="J306" s="145"/>
      <c r="K306" s="145"/>
      <c r="L306" s="145"/>
      <c r="M306" s="146"/>
      <c r="N306" s="145"/>
      <c r="O306" s="145"/>
      <c r="P306" s="145"/>
      <c r="Q306" s="145"/>
      <c r="R306" s="145"/>
      <c r="S306" s="145"/>
      <c r="T306" s="145"/>
      <c r="U306" s="145"/>
      <c r="V306" s="145"/>
      <c r="W306" s="145"/>
      <c r="X306" s="145"/>
      <c r="Y306" s="145"/>
      <c r="Z306" s="145"/>
    </row>
    <row r="307" spans="1:26" ht="13.2">
      <c r="A307" s="144">
        <v>0</v>
      </c>
      <c r="B307" s="145"/>
      <c r="C307" s="145"/>
      <c r="D307" s="145"/>
      <c r="E307" s="145"/>
      <c r="F307" s="145"/>
      <c r="G307" s="145"/>
      <c r="H307" s="145"/>
      <c r="I307" s="145"/>
      <c r="J307" s="145"/>
      <c r="K307" s="145"/>
      <c r="L307" s="145"/>
      <c r="M307" s="146"/>
      <c r="N307" s="145"/>
      <c r="O307" s="145"/>
      <c r="P307" s="145"/>
      <c r="Q307" s="145"/>
      <c r="R307" s="145"/>
      <c r="S307" s="145"/>
      <c r="T307" s="145"/>
      <c r="U307" s="145"/>
      <c r="V307" s="145"/>
      <c r="W307" s="145"/>
      <c r="X307" s="145"/>
      <c r="Y307" s="145"/>
      <c r="Z307" s="145"/>
    </row>
    <row r="308" spans="1:26" ht="13.2">
      <c r="A308" s="144">
        <v>0</v>
      </c>
      <c r="B308" s="145"/>
      <c r="C308" s="145"/>
      <c r="D308" s="145"/>
      <c r="E308" s="145"/>
      <c r="F308" s="145"/>
      <c r="G308" s="145"/>
      <c r="H308" s="145"/>
      <c r="I308" s="145"/>
      <c r="J308" s="145"/>
      <c r="K308" s="145"/>
      <c r="L308" s="145"/>
      <c r="M308" s="146"/>
      <c r="N308" s="145"/>
      <c r="O308" s="145"/>
      <c r="P308" s="145"/>
      <c r="Q308" s="145"/>
      <c r="R308" s="145"/>
      <c r="S308" s="145"/>
      <c r="T308" s="145"/>
      <c r="U308" s="145"/>
      <c r="V308" s="145"/>
      <c r="W308" s="145"/>
      <c r="X308" s="145"/>
      <c r="Y308" s="145"/>
      <c r="Z308" s="145"/>
    </row>
    <row r="309" spans="1:26" ht="13.2">
      <c r="A309" s="144">
        <v>0</v>
      </c>
      <c r="B309" s="145"/>
      <c r="C309" s="145"/>
      <c r="D309" s="145"/>
      <c r="E309" s="145"/>
      <c r="F309" s="145"/>
      <c r="G309" s="145"/>
      <c r="H309" s="145"/>
      <c r="I309" s="145"/>
      <c r="J309" s="145"/>
      <c r="K309" s="145"/>
      <c r="L309" s="145"/>
      <c r="M309" s="146"/>
      <c r="N309" s="145"/>
      <c r="O309" s="145"/>
      <c r="P309" s="145"/>
      <c r="Q309" s="145"/>
      <c r="R309" s="145"/>
      <c r="S309" s="145"/>
      <c r="T309" s="145"/>
      <c r="U309" s="145"/>
      <c r="V309" s="145"/>
      <c r="W309" s="145"/>
      <c r="X309" s="145"/>
      <c r="Y309" s="145"/>
      <c r="Z309" s="145"/>
    </row>
    <row r="310" spans="1:26" ht="13.2">
      <c r="A310" s="144">
        <v>0</v>
      </c>
      <c r="B310" s="145"/>
      <c r="C310" s="145"/>
      <c r="D310" s="145"/>
      <c r="E310" s="145"/>
      <c r="F310" s="145"/>
      <c r="G310" s="145"/>
      <c r="H310" s="145"/>
      <c r="I310" s="145"/>
      <c r="J310" s="145"/>
      <c r="K310" s="145"/>
      <c r="L310" s="145"/>
      <c r="M310" s="146"/>
      <c r="N310" s="145"/>
      <c r="O310" s="145"/>
      <c r="P310" s="145"/>
      <c r="Q310" s="145"/>
      <c r="R310" s="145"/>
      <c r="S310" s="145"/>
      <c r="T310" s="145"/>
      <c r="U310" s="145"/>
      <c r="V310" s="145"/>
      <c r="W310" s="145"/>
      <c r="X310" s="145"/>
      <c r="Y310" s="145"/>
      <c r="Z310" s="145"/>
    </row>
    <row r="311" spans="1:26" ht="13.2">
      <c r="A311" s="144">
        <v>0</v>
      </c>
      <c r="B311" s="145"/>
      <c r="C311" s="145"/>
      <c r="D311" s="145"/>
      <c r="E311" s="145"/>
      <c r="F311" s="145"/>
      <c r="G311" s="145"/>
      <c r="H311" s="145"/>
      <c r="I311" s="145"/>
      <c r="J311" s="145"/>
      <c r="K311" s="145"/>
      <c r="L311" s="145"/>
      <c r="M311" s="146"/>
      <c r="N311" s="145"/>
      <c r="O311" s="145"/>
      <c r="P311" s="145"/>
      <c r="Q311" s="145"/>
      <c r="R311" s="145"/>
      <c r="S311" s="145"/>
      <c r="T311" s="145"/>
      <c r="U311" s="145"/>
      <c r="V311" s="145"/>
      <c r="W311" s="145"/>
      <c r="X311" s="145"/>
      <c r="Y311" s="145"/>
      <c r="Z311" s="145"/>
    </row>
    <row r="312" spans="1:26" ht="13.2">
      <c r="A312" s="144">
        <v>0</v>
      </c>
      <c r="B312" s="145"/>
      <c r="C312" s="145"/>
      <c r="D312" s="145"/>
      <c r="E312" s="145"/>
      <c r="F312" s="145"/>
      <c r="G312" s="145"/>
      <c r="H312" s="145"/>
      <c r="I312" s="145"/>
      <c r="J312" s="145"/>
      <c r="K312" s="145"/>
      <c r="L312" s="145"/>
      <c r="M312" s="146"/>
      <c r="N312" s="145"/>
      <c r="O312" s="145"/>
      <c r="P312" s="145"/>
      <c r="Q312" s="145"/>
      <c r="R312" s="145"/>
      <c r="S312" s="145"/>
      <c r="T312" s="145"/>
      <c r="U312" s="145"/>
      <c r="V312" s="145"/>
      <c r="W312" s="145"/>
      <c r="X312" s="145"/>
      <c r="Y312" s="145"/>
      <c r="Z312" s="145"/>
    </row>
    <row r="313" spans="1:26" ht="13.2">
      <c r="A313" s="144">
        <v>0</v>
      </c>
      <c r="B313" s="145"/>
      <c r="C313" s="145"/>
      <c r="D313" s="145"/>
      <c r="E313" s="145"/>
      <c r="F313" s="145"/>
      <c r="G313" s="145"/>
      <c r="H313" s="145"/>
      <c r="I313" s="145"/>
      <c r="J313" s="145"/>
      <c r="K313" s="145"/>
      <c r="L313" s="145"/>
      <c r="M313" s="146"/>
      <c r="N313" s="145"/>
      <c r="O313" s="145"/>
      <c r="P313" s="145"/>
      <c r="Q313" s="145"/>
      <c r="R313" s="145"/>
      <c r="S313" s="145"/>
      <c r="T313" s="145"/>
      <c r="U313" s="145"/>
      <c r="V313" s="145"/>
      <c r="W313" s="145"/>
      <c r="X313" s="145"/>
      <c r="Y313" s="145"/>
      <c r="Z313" s="145"/>
    </row>
    <row r="314" spans="1:26" ht="13.2">
      <c r="A314" s="144">
        <v>0</v>
      </c>
      <c r="B314" s="145"/>
      <c r="C314" s="145"/>
      <c r="D314" s="145"/>
      <c r="E314" s="145"/>
      <c r="F314" s="145"/>
      <c r="G314" s="145"/>
      <c r="H314" s="145"/>
      <c r="I314" s="145"/>
      <c r="J314" s="145"/>
      <c r="K314" s="145"/>
      <c r="L314" s="145"/>
      <c r="M314" s="146"/>
      <c r="N314" s="145"/>
      <c r="O314" s="145"/>
      <c r="P314" s="145"/>
      <c r="Q314" s="145"/>
      <c r="R314" s="145"/>
      <c r="S314" s="145"/>
      <c r="T314" s="145"/>
      <c r="U314" s="145"/>
      <c r="V314" s="145"/>
      <c r="W314" s="145"/>
      <c r="X314" s="145"/>
      <c r="Y314" s="145"/>
      <c r="Z314" s="145"/>
    </row>
    <row r="315" spans="1:26" ht="13.2">
      <c r="A315" s="144">
        <v>0</v>
      </c>
      <c r="B315" s="145"/>
      <c r="C315" s="145"/>
      <c r="D315" s="145"/>
      <c r="E315" s="145"/>
      <c r="F315" s="145"/>
      <c r="G315" s="145"/>
      <c r="H315" s="145"/>
      <c r="I315" s="145"/>
      <c r="J315" s="145"/>
      <c r="K315" s="145"/>
      <c r="L315" s="145"/>
      <c r="M315" s="146"/>
      <c r="N315" s="145"/>
      <c r="O315" s="145"/>
      <c r="P315" s="145"/>
      <c r="Q315" s="145"/>
      <c r="R315" s="145"/>
      <c r="S315" s="145"/>
      <c r="T315" s="145"/>
      <c r="U315" s="145"/>
      <c r="V315" s="145"/>
      <c r="W315" s="145"/>
      <c r="X315" s="145"/>
      <c r="Y315" s="145"/>
      <c r="Z315" s="145"/>
    </row>
    <row r="316" spans="1:26" ht="13.2">
      <c r="A316" s="144">
        <v>0</v>
      </c>
      <c r="B316" s="145"/>
      <c r="C316" s="145"/>
      <c r="D316" s="145"/>
      <c r="E316" s="145"/>
      <c r="F316" s="145"/>
      <c r="G316" s="145"/>
      <c r="H316" s="145"/>
      <c r="I316" s="145"/>
      <c r="J316" s="145"/>
      <c r="K316" s="145"/>
      <c r="L316" s="145"/>
      <c r="M316" s="146"/>
      <c r="N316" s="145"/>
      <c r="O316" s="145"/>
      <c r="P316" s="145"/>
      <c r="Q316" s="145"/>
      <c r="R316" s="145"/>
      <c r="S316" s="145"/>
      <c r="T316" s="145"/>
      <c r="U316" s="145"/>
      <c r="V316" s="145"/>
      <c r="W316" s="145"/>
      <c r="X316" s="145"/>
      <c r="Y316" s="145"/>
      <c r="Z316" s="145"/>
    </row>
    <row r="317" spans="1:26" ht="13.2">
      <c r="A317" s="144">
        <v>0</v>
      </c>
      <c r="B317" s="145"/>
      <c r="C317" s="145"/>
      <c r="D317" s="145"/>
      <c r="E317" s="145"/>
      <c r="F317" s="145"/>
      <c r="G317" s="145"/>
      <c r="H317" s="145"/>
      <c r="I317" s="145"/>
      <c r="J317" s="145"/>
      <c r="K317" s="145"/>
      <c r="L317" s="145"/>
      <c r="M317" s="146"/>
      <c r="N317" s="145"/>
      <c r="O317" s="145"/>
      <c r="P317" s="145"/>
      <c r="Q317" s="145"/>
      <c r="R317" s="145"/>
      <c r="S317" s="145"/>
      <c r="T317" s="145"/>
      <c r="U317" s="145"/>
      <c r="V317" s="145"/>
      <c r="W317" s="145"/>
      <c r="X317" s="145"/>
      <c r="Y317" s="145"/>
      <c r="Z317" s="145"/>
    </row>
    <row r="318" spans="1:26" ht="13.2">
      <c r="A318" s="144">
        <v>0</v>
      </c>
      <c r="B318" s="145"/>
      <c r="C318" s="145"/>
      <c r="D318" s="145"/>
      <c r="E318" s="145"/>
      <c r="F318" s="145"/>
      <c r="G318" s="145"/>
      <c r="H318" s="145"/>
      <c r="I318" s="145"/>
      <c r="J318" s="145"/>
      <c r="K318" s="145"/>
      <c r="L318" s="145"/>
      <c r="M318" s="146"/>
      <c r="N318" s="145"/>
      <c r="O318" s="145"/>
      <c r="P318" s="145"/>
      <c r="Q318" s="145"/>
      <c r="R318" s="145"/>
      <c r="S318" s="145"/>
      <c r="T318" s="145"/>
      <c r="U318" s="145"/>
      <c r="V318" s="145"/>
      <c r="W318" s="145"/>
      <c r="X318" s="145"/>
      <c r="Y318" s="145"/>
      <c r="Z318" s="145"/>
    </row>
    <row r="319" spans="1:26" ht="13.2">
      <c r="A319" s="144">
        <v>0</v>
      </c>
      <c r="B319" s="145"/>
      <c r="C319" s="145"/>
      <c r="D319" s="145"/>
      <c r="E319" s="145"/>
      <c r="F319" s="145"/>
      <c r="G319" s="145"/>
      <c r="H319" s="145"/>
      <c r="I319" s="145"/>
      <c r="J319" s="145"/>
      <c r="K319" s="145"/>
      <c r="L319" s="145"/>
      <c r="M319" s="146"/>
      <c r="N319" s="145"/>
      <c r="O319" s="145"/>
      <c r="P319" s="145"/>
      <c r="Q319" s="145"/>
      <c r="R319" s="145"/>
      <c r="S319" s="145"/>
      <c r="T319" s="145"/>
      <c r="U319" s="145"/>
      <c r="V319" s="145"/>
      <c r="W319" s="145"/>
      <c r="X319" s="145"/>
      <c r="Y319" s="145"/>
      <c r="Z319" s="145"/>
    </row>
    <row r="320" spans="1:26" ht="13.2">
      <c r="A320" s="144">
        <v>0</v>
      </c>
      <c r="B320" s="145"/>
      <c r="C320" s="145"/>
      <c r="D320" s="145"/>
      <c r="E320" s="145"/>
      <c r="F320" s="145"/>
      <c r="G320" s="145"/>
      <c r="H320" s="145"/>
      <c r="I320" s="145"/>
      <c r="J320" s="145"/>
      <c r="K320" s="145"/>
      <c r="L320" s="145"/>
      <c r="M320" s="146"/>
      <c r="N320" s="145"/>
      <c r="O320" s="145"/>
      <c r="P320" s="145"/>
      <c r="Q320" s="145"/>
      <c r="R320" s="145"/>
      <c r="S320" s="145"/>
      <c r="T320" s="145"/>
      <c r="U320" s="145"/>
      <c r="V320" s="145"/>
      <c r="W320" s="145"/>
      <c r="X320" s="145"/>
      <c r="Y320" s="145"/>
      <c r="Z320" s="145"/>
    </row>
    <row r="321" spans="1:26" ht="13.2">
      <c r="A321" s="144">
        <v>0</v>
      </c>
      <c r="B321" s="145"/>
      <c r="C321" s="145"/>
      <c r="D321" s="145"/>
      <c r="E321" s="145"/>
      <c r="F321" s="145"/>
      <c r="G321" s="145"/>
      <c r="H321" s="145"/>
      <c r="I321" s="145"/>
      <c r="J321" s="145"/>
      <c r="K321" s="145"/>
      <c r="L321" s="145"/>
      <c r="M321" s="146"/>
      <c r="N321" s="145"/>
      <c r="O321" s="145"/>
      <c r="P321" s="145"/>
      <c r="Q321" s="145"/>
      <c r="R321" s="145"/>
      <c r="S321" s="145"/>
      <c r="T321" s="145"/>
      <c r="U321" s="145"/>
      <c r="V321" s="145"/>
      <c r="W321" s="145"/>
      <c r="X321" s="145"/>
      <c r="Y321" s="145"/>
      <c r="Z321" s="145"/>
    </row>
    <row r="322" spans="1:26" ht="13.2">
      <c r="A322" s="144">
        <v>0</v>
      </c>
      <c r="B322" s="145"/>
      <c r="C322" s="145"/>
      <c r="D322" s="145"/>
      <c r="E322" s="145"/>
      <c r="F322" s="145"/>
      <c r="G322" s="145"/>
      <c r="H322" s="145"/>
      <c r="I322" s="145"/>
      <c r="J322" s="145"/>
      <c r="K322" s="145"/>
      <c r="L322" s="145"/>
      <c r="M322" s="146"/>
      <c r="N322" s="145"/>
      <c r="O322" s="145"/>
      <c r="P322" s="145"/>
      <c r="Q322" s="145"/>
      <c r="R322" s="145"/>
      <c r="S322" s="145"/>
      <c r="T322" s="145"/>
      <c r="U322" s="145"/>
      <c r="V322" s="145"/>
      <c r="W322" s="145"/>
      <c r="X322" s="145"/>
      <c r="Y322" s="145"/>
      <c r="Z322" s="145"/>
    </row>
    <row r="323" spans="1:26" ht="13.2">
      <c r="A323" s="144">
        <v>0</v>
      </c>
      <c r="B323" s="145"/>
      <c r="C323" s="145"/>
      <c r="D323" s="145"/>
      <c r="E323" s="145"/>
      <c r="F323" s="145"/>
      <c r="G323" s="145"/>
      <c r="H323" s="145"/>
      <c r="I323" s="145"/>
      <c r="J323" s="145"/>
      <c r="K323" s="145"/>
      <c r="L323" s="145"/>
      <c r="M323" s="146"/>
      <c r="N323" s="145"/>
      <c r="O323" s="145"/>
      <c r="P323" s="145"/>
      <c r="Q323" s="145"/>
      <c r="R323" s="145"/>
      <c r="S323" s="145"/>
      <c r="T323" s="145"/>
      <c r="U323" s="145"/>
      <c r="V323" s="145"/>
      <c r="W323" s="145"/>
      <c r="X323" s="145"/>
      <c r="Y323" s="145"/>
      <c r="Z323" s="145"/>
    </row>
    <row r="324" spans="1:26" ht="13.2">
      <c r="A324" s="144">
        <v>0</v>
      </c>
      <c r="B324" s="145"/>
      <c r="C324" s="145"/>
      <c r="D324" s="145"/>
      <c r="E324" s="145"/>
      <c r="F324" s="145"/>
      <c r="G324" s="145"/>
      <c r="H324" s="145"/>
      <c r="I324" s="145"/>
      <c r="J324" s="145"/>
      <c r="K324" s="145"/>
      <c r="L324" s="145"/>
      <c r="M324" s="146"/>
      <c r="N324" s="145"/>
      <c r="O324" s="145"/>
      <c r="P324" s="145"/>
      <c r="Q324" s="145"/>
      <c r="R324" s="145"/>
      <c r="S324" s="145"/>
      <c r="T324" s="145"/>
      <c r="U324" s="145"/>
      <c r="V324" s="145"/>
      <c r="W324" s="145"/>
      <c r="X324" s="145"/>
      <c r="Y324" s="145"/>
      <c r="Z324" s="145"/>
    </row>
    <row r="325" spans="1:26" ht="13.2">
      <c r="A325" s="144">
        <v>0</v>
      </c>
      <c r="B325" s="145"/>
      <c r="C325" s="145"/>
      <c r="D325" s="145"/>
      <c r="E325" s="145"/>
      <c r="F325" s="145"/>
      <c r="G325" s="145"/>
      <c r="H325" s="145"/>
      <c r="I325" s="145"/>
      <c r="J325" s="145"/>
      <c r="K325" s="145"/>
      <c r="L325" s="145"/>
      <c r="M325" s="146"/>
      <c r="N325" s="145"/>
      <c r="O325" s="145"/>
      <c r="P325" s="145"/>
      <c r="Q325" s="145"/>
      <c r="R325" s="145"/>
      <c r="S325" s="145"/>
      <c r="T325" s="145"/>
      <c r="U325" s="145"/>
      <c r="V325" s="145"/>
      <c r="W325" s="145"/>
      <c r="X325" s="145"/>
      <c r="Y325" s="145"/>
      <c r="Z325" s="145"/>
    </row>
    <row r="326" spans="1:26" ht="13.2">
      <c r="A326" s="144">
        <v>0</v>
      </c>
      <c r="B326" s="145"/>
      <c r="C326" s="145"/>
      <c r="D326" s="145"/>
      <c r="E326" s="145"/>
      <c r="F326" s="145"/>
      <c r="G326" s="145"/>
      <c r="H326" s="145"/>
      <c r="I326" s="145"/>
      <c r="J326" s="145"/>
      <c r="K326" s="145"/>
      <c r="L326" s="145"/>
      <c r="M326" s="146"/>
      <c r="N326" s="145"/>
      <c r="O326" s="145"/>
      <c r="P326" s="145"/>
      <c r="Q326" s="145"/>
      <c r="R326" s="145"/>
      <c r="S326" s="145"/>
      <c r="T326" s="145"/>
      <c r="U326" s="145"/>
      <c r="V326" s="145"/>
      <c r="W326" s="145"/>
      <c r="X326" s="145"/>
      <c r="Y326" s="145"/>
      <c r="Z326" s="145"/>
    </row>
    <row r="327" spans="1:26" ht="13.2">
      <c r="A327" s="144">
        <v>0</v>
      </c>
      <c r="B327" s="145"/>
      <c r="C327" s="145"/>
      <c r="D327" s="145"/>
      <c r="E327" s="145"/>
      <c r="F327" s="145"/>
      <c r="G327" s="145"/>
      <c r="H327" s="145"/>
      <c r="I327" s="145"/>
      <c r="J327" s="145"/>
      <c r="K327" s="145"/>
      <c r="L327" s="145"/>
      <c r="M327" s="146"/>
      <c r="N327" s="145"/>
      <c r="O327" s="145"/>
      <c r="P327" s="145"/>
      <c r="Q327" s="145"/>
      <c r="R327" s="145"/>
      <c r="S327" s="145"/>
      <c r="T327" s="145"/>
      <c r="U327" s="145"/>
      <c r="V327" s="145"/>
      <c r="W327" s="145"/>
      <c r="X327" s="145"/>
      <c r="Y327" s="145"/>
      <c r="Z327" s="145"/>
    </row>
    <row r="328" spans="1:26" ht="13.2">
      <c r="A328" s="144">
        <v>0</v>
      </c>
      <c r="B328" s="145"/>
      <c r="C328" s="145"/>
      <c r="D328" s="145"/>
      <c r="E328" s="145"/>
      <c r="F328" s="145"/>
      <c r="G328" s="145"/>
      <c r="H328" s="145"/>
      <c r="I328" s="145"/>
      <c r="J328" s="145"/>
      <c r="K328" s="145"/>
      <c r="L328" s="145"/>
      <c r="M328" s="146"/>
      <c r="N328" s="145"/>
      <c r="O328" s="145"/>
      <c r="P328" s="145"/>
      <c r="Q328" s="145"/>
      <c r="R328" s="145"/>
      <c r="S328" s="145"/>
      <c r="T328" s="145"/>
      <c r="U328" s="145"/>
      <c r="V328" s="145"/>
      <c r="W328" s="145"/>
      <c r="X328" s="145"/>
      <c r="Y328" s="145"/>
      <c r="Z328" s="145"/>
    </row>
    <row r="329" spans="1:26" ht="13.2">
      <c r="A329" s="144">
        <v>0</v>
      </c>
      <c r="B329" s="145"/>
      <c r="C329" s="145"/>
      <c r="D329" s="145"/>
      <c r="E329" s="145"/>
      <c r="F329" s="145"/>
      <c r="G329" s="145"/>
      <c r="H329" s="145"/>
      <c r="I329" s="145"/>
      <c r="J329" s="145"/>
      <c r="K329" s="145"/>
      <c r="L329" s="145"/>
      <c r="M329" s="146"/>
      <c r="N329" s="145"/>
      <c r="O329" s="145"/>
      <c r="P329" s="145"/>
      <c r="Q329" s="145"/>
      <c r="R329" s="145"/>
      <c r="S329" s="145"/>
      <c r="T329" s="145"/>
      <c r="U329" s="145"/>
      <c r="V329" s="145"/>
      <c r="W329" s="145"/>
      <c r="X329" s="145"/>
      <c r="Y329" s="145"/>
      <c r="Z329" s="145"/>
    </row>
    <row r="330" spans="1:26" ht="13.2">
      <c r="A330" s="144">
        <v>0</v>
      </c>
      <c r="B330" s="145"/>
      <c r="C330" s="145"/>
      <c r="D330" s="145"/>
      <c r="E330" s="145"/>
      <c r="F330" s="145"/>
      <c r="G330" s="145"/>
      <c r="H330" s="145"/>
      <c r="I330" s="145"/>
      <c r="J330" s="145"/>
      <c r="K330" s="145"/>
      <c r="L330" s="145"/>
      <c r="M330" s="146"/>
      <c r="N330" s="145"/>
      <c r="O330" s="145"/>
      <c r="P330" s="145"/>
      <c r="Q330" s="145"/>
      <c r="R330" s="145"/>
      <c r="S330" s="145"/>
      <c r="T330" s="145"/>
      <c r="U330" s="145"/>
      <c r="V330" s="145"/>
      <c r="W330" s="145"/>
      <c r="X330" s="145"/>
      <c r="Y330" s="145"/>
      <c r="Z330" s="145"/>
    </row>
    <row r="331" spans="1:26" ht="13.2">
      <c r="A331" s="144">
        <v>0</v>
      </c>
      <c r="B331" s="145"/>
      <c r="C331" s="145"/>
      <c r="D331" s="145"/>
      <c r="E331" s="145"/>
      <c r="F331" s="145"/>
      <c r="G331" s="145"/>
      <c r="H331" s="145"/>
      <c r="I331" s="145"/>
      <c r="J331" s="145"/>
      <c r="K331" s="145"/>
      <c r="L331" s="145"/>
      <c r="M331" s="146"/>
      <c r="N331" s="145"/>
      <c r="O331" s="145"/>
      <c r="P331" s="145"/>
      <c r="Q331" s="145"/>
      <c r="R331" s="145"/>
      <c r="S331" s="145"/>
      <c r="T331" s="145"/>
      <c r="U331" s="145"/>
      <c r="V331" s="145"/>
      <c r="W331" s="145"/>
      <c r="X331" s="145"/>
      <c r="Y331" s="145"/>
      <c r="Z331" s="145"/>
    </row>
    <row r="332" spans="1:26" ht="13.2">
      <c r="A332" s="144">
        <v>0</v>
      </c>
      <c r="B332" s="145"/>
      <c r="C332" s="145"/>
      <c r="D332" s="145"/>
      <c r="E332" s="145"/>
      <c r="F332" s="145"/>
      <c r="G332" s="145"/>
      <c r="H332" s="145"/>
      <c r="I332" s="145"/>
      <c r="J332" s="145"/>
      <c r="K332" s="145"/>
      <c r="L332" s="145"/>
      <c r="M332" s="146"/>
      <c r="N332" s="145"/>
      <c r="O332" s="145"/>
      <c r="P332" s="145"/>
      <c r="Q332" s="145"/>
      <c r="R332" s="145"/>
      <c r="S332" s="145"/>
      <c r="T332" s="145"/>
      <c r="U332" s="145"/>
      <c r="V332" s="145"/>
      <c r="W332" s="145"/>
      <c r="X332" s="145"/>
      <c r="Y332" s="145"/>
      <c r="Z332" s="145"/>
    </row>
    <row r="333" spans="1:26" ht="13.2">
      <c r="A333" s="144">
        <v>0</v>
      </c>
      <c r="B333" s="145"/>
      <c r="C333" s="145"/>
      <c r="D333" s="145"/>
      <c r="E333" s="145"/>
      <c r="F333" s="145"/>
      <c r="G333" s="145"/>
      <c r="H333" s="145"/>
      <c r="I333" s="145"/>
      <c r="J333" s="145"/>
      <c r="K333" s="145"/>
      <c r="L333" s="145"/>
      <c r="M333" s="146"/>
      <c r="N333" s="145"/>
      <c r="O333" s="145"/>
      <c r="P333" s="145"/>
      <c r="Q333" s="145"/>
      <c r="R333" s="145"/>
      <c r="S333" s="145"/>
      <c r="T333" s="145"/>
      <c r="U333" s="145"/>
      <c r="V333" s="145"/>
      <c r="W333" s="145"/>
      <c r="X333" s="145"/>
      <c r="Y333" s="145"/>
      <c r="Z333" s="145"/>
    </row>
    <row r="334" spans="1:26" ht="13.2">
      <c r="A334" s="144">
        <v>0</v>
      </c>
      <c r="B334" s="145"/>
      <c r="C334" s="145"/>
      <c r="D334" s="145"/>
      <c r="E334" s="145"/>
      <c r="F334" s="145"/>
      <c r="G334" s="145"/>
      <c r="H334" s="145"/>
      <c r="I334" s="145"/>
      <c r="J334" s="145"/>
      <c r="K334" s="145"/>
      <c r="L334" s="145"/>
      <c r="M334" s="146"/>
      <c r="N334" s="145"/>
      <c r="O334" s="145"/>
      <c r="P334" s="145"/>
      <c r="Q334" s="145"/>
      <c r="R334" s="145"/>
      <c r="S334" s="145"/>
      <c r="T334" s="145"/>
      <c r="U334" s="145"/>
      <c r="V334" s="145"/>
      <c r="W334" s="145"/>
      <c r="X334" s="145"/>
      <c r="Y334" s="145"/>
      <c r="Z334" s="145"/>
    </row>
    <row r="335" spans="1:26" ht="13.2">
      <c r="A335" s="144">
        <v>0</v>
      </c>
      <c r="B335" s="145"/>
      <c r="C335" s="145"/>
      <c r="D335" s="145"/>
      <c r="E335" s="145"/>
      <c r="F335" s="145"/>
      <c r="G335" s="145"/>
      <c r="H335" s="145"/>
      <c r="I335" s="145"/>
      <c r="J335" s="145"/>
      <c r="K335" s="145"/>
      <c r="L335" s="145"/>
      <c r="M335" s="146"/>
      <c r="N335" s="145"/>
      <c r="O335" s="145"/>
      <c r="P335" s="145"/>
      <c r="Q335" s="145"/>
      <c r="R335" s="145"/>
      <c r="S335" s="145"/>
      <c r="T335" s="145"/>
      <c r="U335" s="145"/>
      <c r="V335" s="145"/>
      <c r="W335" s="145"/>
      <c r="X335" s="145"/>
      <c r="Y335" s="145"/>
      <c r="Z335" s="145"/>
    </row>
    <row r="336" spans="1:26" ht="13.2">
      <c r="A336" s="144">
        <v>0</v>
      </c>
      <c r="B336" s="145"/>
      <c r="C336" s="145"/>
      <c r="D336" s="145"/>
      <c r="E336" s="145"/>
      <c r="F336" s="145"/>
      <c r="G336" s="145"/>
      <c r="H336" s="145"/>
      <c r="I336" s="145"/>
      <c r="J336" s="145"/>
      <c r="K336" s="145"/>
      <c r="L336" s="145"/>
      <c r="M336" s="146"/>
      <c r="N336" s="145"/>
      <c r="O336" s="145"/>
      <c r="P336" s="145"/>
      <c r="Q336" s="145"/>
      <c r="R336" s="145"/>
      <c r="S336" s="145"/>
      <c r="T336" s="145"/>
      <c r="U336" s="145"/>
      <c r="V336" s="145"/>
      <c r="W336" s="145"/>
      <c r="X336" s="145"/>
      <c r="Y336" s="145"/>
      <c r="Z336" s="145"/>
    </row>
    <row r="337" spans="1:26" ht="13.2">
      <c r="A337" s="144">
        <v>0</v>
      </c>
      <c r="B337" s="145"/>
      <c r="C337" s="145"/>
      <c r="D337" s="145"/>
      <c r="E337" s="145"/>
      <c r="F337" s="145"/>
      <c r="G337" s="145"/>
      <c r="H337" s="145"/>
      <c r="I337" s="145"/>
      <c r="J337" s="145"/>
      <c r="K337" s="145"/>
      <c r="L337" s="145"/>
      <c r="M337" s="146"/>
      <c r="N337" s="145"/>
      <c r="O337" s="145"/>
      <c r="P337" s="145"/>
      <c r="Q337" s="145"/>
      <c r="R337" s="145"/>
      <c r="S337" s="145"/>
      <c r="T337" s="145"/>
      <c r="U337" s="145"/>
      <c r="V337" s="145"/>
      <c r="W337" s="145"/>
      <c r="X337" s="145"/>
      <c r="Y337" s="145"/>
      <c r="Z337" s="145"/>
    </row>
    <row r="338" spans="1:26" ht="13.2">
      <c r="A338" s="144">
        <v>0</v>
      </c>
      <c r="B338" s="145"/>
      <c r="C338" s="145"/>
      <c r="D338" s="145"/>
      <c r="E338" s="145"/>
      <c r="F338" s="145"/>
      <c r="G338" s="145"/>
      <c r="H338" s="145"/>
      <c r="I338" s="145"/>
      <c r="J338" s="145"/>
      <c r="K338" s="145"/>
      <c r="L338" s="145"/>
      <c r="M338" s="146"/>
      <c r="N338" s="145"/>
      <c r="O338" s="145"/>
      <c r="P338" s="145"/>
      <c r="Q338" s="145"/>
      <c r="R338" s="145"/>
      <c r="S338" s="145"/>
      <c r="T338" s="145"/>
      <c r="U338" s="145"/>
      <c r="V338" s="145"/>
      <c r="W338" s="145"/>
      <c r="X338" s="145"/>
      <c r="Y338" s="145"/>
      <c r="Z338" s="145"/>
    </row>
    <row r="339" spans="1:26" ht="13.2">
      <c r="A339" s="144">
        <v>0</v>
      </c>
      <c r="B339" s="145"/>
      <c r="C339" s="145"/>
      <c r="D339" s="145"/>
      <c r="E339" s="145"/>
      <c r="F339" s="145"/>
      <c r="G339" s="145"/>
      <c r="H339" s="145"/>
      <c r="I339" s="145"/>
      <c r="J339" s="145"/>
      <c r="K339" s="145"/>
      <c r="L339" s="145"/>
      <c r="M339" s="146"/>
      <c r="N339" s="145"/>
      <c r="O339" s="145"/>
      <c r="P339" s="145"/>
      <c r="Q339" s="145"/>
      <c r="R339" s="145"/>
      <c r="S339" s="145"/>
      <c r="T339" s="145"/>
      <c r="U339" s="145"/>
      <c r="V339" s="145"/>
      <c r="W339" s="145"/>
      <c r="X339" s="145"/>
      <c r="Y339" s="145"/>
      <c r="Z339" s="145"/>
    </row>
    <row r="340" spans="1:26" ht="13.2">
      <c r="A340" s="144">
        <v>0</v>
      </c>
      <c r="B340" s="145"/>
      <c r="C340" s="145"/>
      <c r="D340" s="145"/>
      <c r="E340" s="145"/>
      <c r="F340" s="145"/>
      <c r="G340" s="145"/>
      <c r="H340" s="145"/>
      <c r="I340" s="145"/>
      <c r="J340" s="145"/>
      <c r="K340" s="145"/>
      <c r="L340" s="145"/>
      <c r="M340" s="146"/>
      <c r="N340" s="145"/>
      <c r="O340" s="145"/>
      <c r="P340" s="145"/>
      <c r="Q340" s="145"/>
      <c r="R340" s="145"/>
      <c r="S340" s="145"/>
      <c r="T340" s="145"/>
      <c r="U340" s="145"/>
      <c r="V340" s="145"/>
      <c r="W340" s="145"/>
      <c r="X340" s="145"/>
      <c r="Y340" s="145"/>
      <c r="Z340" s="145"/>
    </row>
    <row r="341" spans="1:26" ht="13.2">
      <c r="A341" s="144">
        <v>0</v>
      </c>
      <c r="B341" s="145"/>
      <c r="C341" s="145"/>
      <c r="D341" s="145"/>
      <c r="E341" s="145"/>
      <c r="F341" s="145"/>
      <c r="G341" s="145"/>
      <c r="H341" s="145"/>
      <c r="I341" s="145"/>
      <c r="J341" s="145"/>
      <c r="K341" s="145"/>
      <c r="L341" s="145"/>
      <c r="M341" s="146"/>
      <c r="N341" s="145"/>
      <c r="O341" s="145"/>
      <c r="P341" s="145"/>
      <c r="Q341" s="145"/>
      <c r="R341" s="145"/>
      <c r="S341" s="145"/>
      <c r="T341" s="145"/>
      <c r="U341" s="145"/>
      <c r="V341" s="145"/>
      <c r="W341" s="145"/>
      <c r="X341" s="145"/>
      <c r="Y341" s="145"/>
      <c r="Z341" s="145"/>
    </row>
    <row r="342" spans="1:26" ht="13.2">
      <c r="A342" s="144">
        <v>0</v>
      </c>
      <c r="B342" s="145"/>
      <c r="C342" s="145"/>
      <c r="D342" s="145"/>
      <c r="E342" s="145"/>
      <c r="F342" s="145"/>
      <c r="G342" s="145"/>
      <c r="H342" s="145"/>
      <c r="I342" s="145"/>
      <c r="J342" s="145"/>
      <c r="K342" s="145"/>
      <c r="L342" s="145"/>
      <c r="M342" s="146"/>
      <c r="N342" s="145"/>
      <c r="O342" s="145"/>
      <c r="P342" s="145"/>
      <c r="Q342" s="145"/>
      <c r="R342" s="145"/>
      <c r="S342" s="145"/>
      <c r="T342" s="145"/>
      <c r="U342" s="145"/>
      <c r="V342" s="145"/>
      <c r="W342" s="145"/>
      <c r="X342" s="145"/>
      <c r="Y342" s="145"/>
      <c r="Z342" s="145"/>
    </row>
    <row r="343" spans="1:26" ht="13.2">
      <c r="A343" s="144">
        <v>0</v>
      </c>
      <c r="B343" s="145"/>
      <c r="C343" s="145"/>
      <c r="D343" s="145"/>
      <c r="E343" s="145"/>
      <c r="F343" s="145"/>
      <c r="G343" s="145"/>
      <c r="H343" s="145"/>
      <c r="I343" s="145"/>
      <c r="J343" s="145"/>
      <c r="K343" s="145"/>
      <c r="L343" s="145"/>
      <c r="M343" s="146"/>
      <c r="N343" s="145"/>
      <c r="O343" s="145"/>
      <c r="P343" s="145"/>
      <c r="Q343" s="145"/>
      <c r="R343" s="145"/>
      <c r="S343" s="145"/>
      <c r="T343" s="145"/>
      <c r="U343" s="145"/>
      <c r="V343" s="145"/>
      <c r="W343" s="145"/>
      <c r="X343" s="145"/>
      <c r="Y343" s="145"/>
      <c r="Z343" s="145"/>
    </row>
    <row r="344" spans="1:26" ht="13.2">
      <c r="A344" s="144">
        <v>0</v>
      </c>
      <c r="B344" s="145"/>
      <c r="C344" s="145"/>
      <c r="D344" s="145"/>
      <c r="E344" s="145"/>
      <c r="F344" s="145"/>
      <c r="G344" s="145"/>
      <c r="H344" s="145"/>
      <c r="I344" s="145"/>
      <c r="J344" s="145"/>
      <c r="K344" s="145"/>
      <c r="L344" s="145"/>
      <c r="M344" s="146"/>
      <c r="N344" s="145"/>
      <c r="O344" s="145"/>
      <c r="P344" s="145"/>
      <c r="Q344" s="145"/>
      <c r="R344" s="145"/>
      <c r="S344" s="145"/>
      <c r="T344" s="145"/>
      <c r="U344" s="145"/>
      <c r="V344" s="145"/>
      <c r="W344" s="145"/>
      <c r="X344" s="145"/>
      <c r="Y344" s="145"/>
      <c r="Z344" s="145"/>
    </row>
    <row r="345" spans="1:26" ht="13.2">
      <c r="A345" s="144">
        <v>0</v>
      </c>
      <c r="B345" s="145"/>
      <c r="C345" s="145"/>
      <c r="D345" s="145"/>
      <c r="E345" s="145"/>
      <c r="F345" s="145"/>
      <c r="G345" s="145"/>
      <c r="H345" s="145"/>
      <c r="I345" s="145"/>
      <c r="J345" s="145"/>
      <c r="K345" s="145"/>
      <c r="L345" s="145"/>
      <c r="M345" s="146"/>
      <c r="N345" s="145"/>
      <c r="O345" s="145"/>
      <c r="P345" s="145"/>
      <c r="Q345" s="145"/>
      <c r="R345" s="145"/>
      <c r="S345" s="145"/>
      <c r="T345" s="145"/>
      <c r="U345" s="145"/>
      <c r="V345" s="145"/>
      <c r="W345" s="145"/>
      <c r="X345" s="145"/>
      <c r="Y345" s="145"/>
      <c r="Z345" s="145"/>
    </row>
    <row r="346" spans="1:26" ht="13.2">
      <c r="A346" s="144">
        <v>0</v>
      </c>
      <c r="B346" s="145"/>
      <c r="C346" s="145"/>
      <c r="D346" s="145"/>
      <c r="E346" s="145"/>
      <c r="F346" s="145"/>
      <c r="G346" s="145"/>
      <c r="H346" s="145"/>
      <c r="I346" s="145"/>
      <c r="J346" s="145"/>
      <c r="K346" s="145"/>
      <c r="L346" s="145"/>
      <c r="M346" s="146"/>
      <c r="N346" s="145"/>
      <c r="O346" s="145"/>
      <c r="P346" s="145"/>
      <c r="Q346" s="145"/>
      <c r="R346" s="145"/>
      <c r="S346" s="145"/>
      <c r="T346" s="145"/>
      <c r="U346" s="145"/>
      <c r="V346" s="145"/>
      <c r="W346" s="145"/>
      <c r="X346" s="145"/>
      <c r="Y346" s="145"/>
      <c r="Z346" s="145"/>
    </row>
    <row r="347" spans="1:26" ht="13.2">
      <c r="A347" s="144">
        <v>0</v>
      </c>
      <c r="B347" s="145"/>
      <c r="C347" s="145"/>
      <c r="D347" s="145"/>
      <c r="E347" s="145"/>
      <c r="F347" s="145"/>
      <c r="G347" s="145"/>
      <c r="H347" s="145"/>
      <c r="I347" s="145"/>
      <c r="J347" s="145"/>
      <c r="K347" s="145"/>
      <c r="L347" s="145"/>
      <c r="M347" s="146"/>
      <c r="N347" s="145"/>
      <c r="O347" s="145"/>
      <c r="P347" s="145"/>
      <c r="Q347" s="145"/>
      <c r="R347" s="145"/>
      <c r="S347" s="145"/>
      <c r="T347" s="145"/>
      <c r="U347" s="145"/>
      <c r="V347" s="145"/>
      <c r="W347" s="145"/>
      <c r="X347" s="145"/>
      <c r="Y347" s="145"/>
      <c r="Z347" s="145"/>
    </row>
    <row r="348" spans="1:26" ht="13.2">
      <c r="A348" s="144">
        <v>0</v>
      </c>
      <c r="B348" s="145"/>
      <c r="C348" s="145"/>
      <c r="D348" s="145"/>
      <c r="E348" s="145"/>
      <c r="F348" s="145"/>
      <c r="G348" s="145"/>
      <c r="H348" s="145"/>
      <c r="I348" s="145"/>
      <c r="J348" s="145"/>
      <c r="K348" s="145"/>
      <c r="L348" s="145"/>
      <c r="M348" s="146"/>
      <c r="N348" s="145"/>
      <c r="O348" s="145"/>
      <c r="P348" s="145"/>
      <c r="Q348" s="145"/>
      <c r="R348" s="145"/>
      <c r="S348" s="145"/>
      <c r="T348" s="145"/>
      <c r="U348" s="145"/>
      <c r="V348" s="145"/>
      <c r="W348" s="145"/>
      <c r="X348" s="145"/>
      <c r="Y348" s="145"/>
      <c r="Z348" s="145"/>
    </row>
    <row r="349" spans="1:26" ht="13.2">
      <c r="A349" s="144">
        <v>0</v>
      </c>
      <c r="B349" s="145"/>
      <c r="C349" s="145"/>
      <c r="D349" s="145"/>
      <c r="E349" s="145"/>
      <c r="F349" s="145"/>
      <c r="G349" s="145"/>
      <c r="H349" s="145"/>
      <c r="I349" s="145"/>
      <c r="J349" s="145"/>
      <c r="K349" s="145"/>
      <c r="L349" s="145"/>
      <c r="M349" s="146"/>
      <c r="N349" s="145"/>
      <c r="O349" s="145"/>
      <c r="P349" s="145"/>
      <c r="Q349" s="145"/>
      <c r="R349" s="145"/>
      <c r="S349" s="145"/>
      <c r="T349" s="145"/>
      <c r="U349" s="145"/>
      <c r="V349" s="145"/>
      <c r="W349" s="145"/>
      <c r="X349" s="145"/>
      <c r="Y349" s="145"/>
      <c r="Z349" s="145"/>
    </row>
    <row r="350" spans="1:26" ht="13.2">
      <c r="A350" s="144">
        <v>0</v>
      </c>
      <c r="B350" s="145"/>
      <c r="C350" s="145"/>
      <c r="D350" s="145"/>
      <c r="E350" s="145"/>
      <c r="F350" s="145"/>
      <c r="G350" s="145"/>
      <c r="H350" s="145"/>
      <c r="I350" s="145"/>
      <c r="J350" s="145"/>
      <c r="K350" s="145"/>
      <c r="L350" s="145"/>
      <c r="M350" s="146"/>
      <c r="N350" s="145"/>
      <c r="O350" s="145"/>
      <c r="P350" s="145"/>
      <c r="Q350" s="145"/>
      <c r="R350" s="145"/>
      <c r="S350" s="145"/>
      <c r="T350" s="145"/>
      <c r="U350" s="145"/>
      <c r="V350" s="145"/>
      <c r="W350" s="145"/>
      <c r="X350" s="145"/>
      <c r="Y350" s="145"/>
      <c r="Z350" s="145"/>
    </row>
    <row r="351" spans="1:26" ht="13.2">
      <c r="A351" s="144">
        <v>0</v>
      </c>
      <c r="B351" s="145"/>
      <c r="C351" s="145"/>
      <c r="D351" s="145"/>
      <c r="E351" s="145"/>
      <c r="F351" s="145"/>
      <c r="G351" s="145"/>
      <c r="H351" s="145"/>
      <c r="I351" s="145"/>
      <c r="J351" s="145"/>
      <c r="K351" s="145"/>
      <c r="L351" s="145"/>
      <c r="M351" s="146"/>
      <c r="N351" s="145"/>
      <c r="O351" s="145"/>
      <c r="P351" s="145"/>
      <c r="Q351" s="145"/>
      <c r="R351" s="145"/>
      <c r="S351" s="145"/>
      <c r="T351" s="145"/>
      <c r="U351" s="145"/>
      <c r="V351" s="145"/>
      <c r="W351" s="145"/>
      <c r="X351" s="145"/>
      <c r="Y351" s="145"/>
      <c r="Z351" s="145"/>
    </row>
    <row r="352" spans="1:26" ht="13.2">
      <c r="A352" s="144">
        <v>0</v>
      </c>
      <c r="B352" s="145"/>
      <c r="C352" s="145"/>
      <c r="D352" s="145"/>
      <c r="E352" s="145"/>
      <c r="F352" s="145"/>
      <c r="G352" s="145"/>
      <c r="H352" s="145"/>
      <c r="I352" s="145"/>
      <c r="J352" s="145"/>
      <c r="K352" s="145"/>
      <c r="L352" s="145"/>
      <c r="M352" s="146"/>
      <c r="N352" s="145"/>
      <c r="O352" s="145"/>
      <c r="P352" s="145"/>
      <c r="Q352" s="145"/>
      <c r="R352" s="145"/>
      <c r="S352" s="145"/>
      <c r="T352" s="145"/>
      <c r="U352" s="145"/>
      <c r="V352" s="145"/>
      <c r="W352" s="145"/>
      <c r="X352" s="145"/>
      <c r="Y352" s="145"/>
      <c r="Z352" s="145"/>
    </row>
    <row r="353" spans="1:26" ht="13.2">
      <c r="A353" s="144">
        <v>0</v>
      </c>
      <c r="B353" s="145"/>
      <c r="C353" s="145"/>
      <c r="D353" s="145"/>
      <c r="E353" s="145"/>
      <c r="F353" s="145"/>
      <c r="G353" s="145"/>
      <c r="H353" s="145"/>
      <c r="I353" s="145"/>
      <c r="J353" s="145"/>
      <c r="K353" s="145"/>
      <c r="L353" s="145"/>
      <c r="M353" s="146"/>
      <c r="N353" s="145"/>
      <c r="O353" s="145"/>
      <c r="P353" s="145"/>
      <c r="Q353" s="145"/>
      <c r="R353" s="145"/>
      <c r="S353" s="145"/>
      <c r="T353" s="145"/>
      <c r="U353" s="145"/>
      <c r="V353" s="145"/>
      <c r="W353" s="145"/>
      <c r="X353" s="145"/>
      <c r="Y353" s="145"/>
      <c r="Z353" s="145"/>
    </row>
    <row r="354" spans="1:26" ht="13.2">
      <c r="A354" s="144">
        <v>0</v>
      </c>
      <c r="B354" s="145"/>
      <c r="C354" s="145"/>
      <c r="D354" s="145"/>
      <c r="E354" s="145"/>
      <c r="F354" s="145"/>
      <c r="G354" s="145"/>
      <c r="H354" s="145"/>
      <c r="I354" s="145"/>
      <c r="J354" s="145"/>
      <c r="K354" s="145"/>
      <c r="L354" s="145"/>
      <c r="M354" s="146"/>
      <c r="N354" s="145"/>
      <c r="O354" s="145"/>
      <c r="P354" s="145"/>
      <c r="Q354" s="145"/>
      <c r="R354" s="145"/>
      <c r="S354" s="145"/>
      <c r="T354" s="145"/>
      <c r="U354" s="145"/>
      <c r="V354" s="145"/>
      <c r="W354" s="145"/>
      <c r="X354" s="145"/>
      <c r="Y354" s="145"/>
      <c r="Z354" s="145"/>
    </row>
    <row r="355" spans="1:26" ht="13.2">
      <c r="A355" s="144">
        <v>0</v>
      </c>
      <c r="B355" s="145"/>
      <c r="C355" s="145"/>
      <c r="D355" s="145"/>
      <c r="E355" s="145"/>
      <c r="F355" s="145"/>
      <c r="G355" s="145"/>
      <c r="H355" s="145"/>
      <c r="I355" s="145"/>
      <c r="J355" s="145"/>
      <c r="K355" s="145"/>
      <c r="L355" s="145"/>
      <c r="M355" s="146"/>
      <c r="N355" s="145"/>
      <c r="O355" s="145"/>
      <c r="P355" s="145"/>
      <c r="Q355" s="145"/>
      <c r="R355" s="145"/>
      <c r="S355" s="145"/>
      <c r="T355" s="145"/>
      <c r="U355" s="145"/>
      <c r="V355" s="145"/>
      <c r="W355" s="145"/>
      <c r="X355" s="145"/>
      <c r="Y355" s="145"/>
      <c r="Z355" s="145"/>
    </row>
    <row r="356" spans="1:26" ht="13.2">
      <c r="A356" s="144">
        <v>0</v>
      </c>
      <c r="B356" s="145"/>
      <c r="C356" s="145"/>
      <c r="D356" s="145"/>
      <c r="E356" s="145"/>
      <c r="F356" s="145"/>
      <c r="G356" s="145"/>
      <c r="H356" s="145"/>
      <c r="I356" s="145"/>
      <c r="J356" s="145"/>
      <c r="K356" s="145"/>
      <c r="L356" s="145"/>
      <c r="M356" s="146"/>
      <c r="N356" s="145"/>
      <c r="O356" s="145"/>
      <c r="P356" s="145"/>
      <c r="Q356" s="145"/>
      <c r="R356" s="145"/>
      <c r="S356" s="145"/>
      <c r="T356" s="145"/>
      <c r="U356" s="145"/>
      <c r="V356" s="145"/>
      <c r="W356" s="145"/>
      <c r="X356" s="145"/>
      <c r="Y356" s="145"/>
      <c r="Z356" s="145"/>
    </row>
    <row r="357" spans="1:26" ht="13.2">
      <c r="A357" s="144">
        <v>0</v>
      </c>
      <c r="B357" s="145"/>
      <c r="C357" s="145"/>
      <c r="D357" s="145"/>
      <c r="E357" s="145"/>
      <c r="F357" s="145"/>
      <c r="G357" s="145"/>
      <c r="H357" s="145"/>
      <c r="I357" s="145"/>
      <c r="J357" s="145"/>
      <c r="K357" s="145"/>
      <c r="L357" s="145"/>
      <c r="M357" s="146"/>
      <c r="N357" s="145"/>
      <c r="O357" s="145"/>
      <c r="P357" s="145"/>
      <c r="Q357" s="145"/>
      <c r="R357" s="145"/>
      <c r="S357" s="145"/>
      <c r="T357" s="145"/>
      <c r="U357" s="145"/>
      <c r="V357" s="145"/>
      <c r="W357" s="145"/>
      <c r="X357" s="145"/>
      <c r="Y357" s="145"/>
      <c r="Z357" s="145"/>
    </row>
    <row r="358" spans="1:26" ht="13.2">
      <c r="A358" s="144">
        <v>0</v>
      </c>
      <c r="B358" s="145"/>
      <c r="C358" s="145"/>
      <c r="D358" s="145"/>
      <c r="E358" s="145"/>
      <c r="F358" s="145"/>
      <c r="G358" s="145"/>
      <c r="H358" s="145"/>
      <c r="I358" s="145"/>
      <c r="J358" s="145"/>
      <c r="K358" s="145"/>
      <c r="L358" s="145"/>
      <c r="M358" s="146"/>
      <c r="N358" s="145"/>
      <c r="O358" s="145"/>
      <c r="P358" s="145"/>
      <c r="Q358" s="145"/>
      <c r="R358" s="145"/>
      <c r="S358" s="145"/>
      <c r="T358" s="145"/>
      <c r="U358" s="145"/>
      <c r="V358" s="145"/>
      <c r="W358" s="145"/>
      <c r="X358" s="145"/>
      <c r="Y358" s="145"/>
      <c r="Z358" s="145"/>
    </row>
    <row r="359" spans="1:26" ht="13.2">
      <c r="A359" s="144">
        <v>0</v>
      </c>
      <c r="B359" s="145"/>
      <c r="C359" s="145"/>
      <c r="D359" s="145"/>
      <c r="E359" s="145"/>
      <c r="F359" s="145"/>
      <c r="G359" s="145"/>
      <c r="H359" s="145"/>
      <c r="I359" s="145"/>
      <c r="J359" s="145"/>
      <c r="K359" s="145"/>
      <c r="L359" s="145"/>
      <c r="M359" s="146"/>
      <c r="N359" s="145"/>
      <c r="O359" s="145"/>
      <c r="P359" s="145"/>
      <c r="Q359" s="145"/>
      <c r="R359" s="145"/>
      <c r="S359" s="145"/>
      <c r="T359" s="145"/>
      <c r="U359" s="145"/>
      <c r="V359" s="145"/>
      <c r="W359" s="145"/>
      <c r="X359" s="145"/>
      <c r="Y359" s="145"/>
      <c r="Z359" s="145"/>
    </row>
    <row r="360" spans="1:26" ht="13.2">
      <c r="A360" s="144">
        <v>0</v>
      </c>
      <c r="B360" s="145"/>
      <c r="C360" s="145"/>
      <c r="D360" s="145"/>
      <c r="E360" s="145"/>
      <c r="F360" s="145"/>
      <c r="G360" s="145"/>
      <c r="H360" s="145"/>
      <c r="I360" s="145"/>
      <c r="J360" s="145"/>
      <c r="K360" s="145"/>
      <c r="L360" s="145"/>
      <c r="M360" s="146"/>
      <c r="N360" s="145"/>
      <c r="O360" s="145"/>
      <c r="P360" s="145"/>
      <c r="Q360" s="145"/>
      <c r="R360" s="145"/>
      <c r="S360" s="145"/>
      <c r="T360" s="145"/>
      <c r="U360" s="145"/>
      <c r="V360" s="145"/>
      <c r="W360" s="145"/>
      <c r="X360" s="145"/>
      <c r="Y360" s="145"/>
      <c r="Z360" s="145"/>
    </row>
    <row r="361" spans="1:26" ht="13.2">
      <c r="A361" s="144">
        <v>0</v>
      </c>
      <c r="B361" s="145"/>
      <c r="C361" s="145"/>
      <c r="D361" s="145"/>
      <c r="E361" s="145"/>
      <c r="F361" s="145"/>
      <c r="G361" s="145"/>
      <c r="H361" s="145"/>
      <c r="I361" s="145"/>
      <c r="J361" s="145"/>
      <c r="K361" s="145"/>
      <c r="L361" s="145"/>
      <c r="M361" s="146"/>
      <c r="N361" s="145"/>
      <c r="O361" s="145"/>
      <c r="P361" s="145"/>
      <c r="Q361" s="145"/>
      <c r="R361" s="145"/>
      <c r="S361" s="145"/>
      <c r="T361" s="145"/>
      <c r="U361" s="145"/>
      <c r="V361" s="145"/>
      <c r="W361" s="145"/>
      <c r="X361" s="145"/>
      <c r="Y361" s="145"/>
      <c r="Z361" s="145"/>
    </row>
    <row r="362" spans="1:26" ht="13.2">
      <c r="A362" s="144">
        <v>0</v>
      </c>
      <c r="B362" s="145"/>
      <c r="C362" s="145"/>
      <c r="D362" s="145"/>
      <c r="E362" s="145"/>
      <c r="F362" s="145"/>
      <c r="G362" s="145"/>
      <c r="H362" s="145"/>
      <c r="I362" s="145"/>
      <c r="J362" s="145"/>
      <c r="K362" s="145"/>
      <c r="L362" s="145"/>
      <c r="M362" s="146"/>
      <c r="N362" s="145"/>
      <c r="O362" s="145"/>
      <c r="P362" s="145"/>
      <c r="Q362" s="145"/>
      <c r="R362" s="145"/>
      <c r="S362" s="145"/>
      <c r="T362" s="145"/>
      <c r="U362" s="145"/>
      <c r="V362" s="145"/>
      <c r="W362" s="145"/>
      <c r="X362" s="145"/>
      <c r="Y362" s="145"/>
      <c r="Z362" s="145"/>
    </row>
    <row r="363" spans="1:26" ht="13.2">
      <c r="A363" s="144">
        <v>0</v>
      </c>
      <c r="B363" s="145"/>
      <c r="C363" s="145"/>
      <c r="D363" s="145"/>
      <c r="E363" s="145"/>
      <c r="F363" s="145"/>
      <c r="G363" s="145"/>
      <c r="H363" s="145"/>
      <c r="I363" s="145"/>
      <c r="J363" s="145"/>
      <c r="K363" s="145"/>
      <c r="L363" s="145"/>
      <c r="M363" s="146"/>
      <c r="N363" s="145"/>
      <c r="O363" s="145"/>
      <c r="P363" s="145"/>
      <c r="Q363" s="145"/>
      <c r="R363" s="145"/>
      <c r="S363" s="145"/>
      <c r="T363" s="145"/>
      <c r="U363" s="145"/>
      <c r="V363" s="145"/>
      <c r="W363" s="145"/>
      <c r="X363" s="145"/>
      <c r="Y363" s="145"/>
      <c r="Z363" s="145"/>
    </row>
    <row r="364" spans="1:26" ht="13.2">
      <c r="A364" s="144">
        <v>0</v>
      </c>
      <c r="B364" s="145"/>
      <c r="C364" s="145"/>
      <c r="D364" s="145"/>
      <c r="E364" s="145"/>
      <c r="F364" s="145"/>
      <c r="G364" s="145"/>
      <c r="H364" s="145"/>
      <c r="I364" s="145"/>
      <c r="J364" s="145"/>
      <c r="K364" s="145"/>
      <c r="L364" s="145"/>
      <c r="M364" s="146"/>
      <c r="N364" s="145"/>
      <c r="O364" s="145"/>
      <c r="P364" s="145"/>
      <c r="Q364" s="145"/>
      <c r="R364" s="145"/>
      <c r="S364" s="145"/>
      <c r="T364" s="145"/>
      <c r="U364" s="145"/>
      <c r="V364" s="145"/>
      <c r="W364" s="145"/>
      <c r="X364" s="145"/>
      <c r="Y364" s="145"/>
      <c r="Z364" s="145"/>
    </row>
    <row r="365" spans="1:26" ht="13.2">
      <c r="A365" s="144">
        <v>0</v>
      </c>
      <c r="B365" s="145"/>
      <c r="C365" s="145"/>
      <c r="D365" s="145"/>
      <c r="E365" s="145"/>
      <c r="F365" s="145"/>
      <c r="G365" s="145"/>
      <c r="H365" s="145"/>
      <c r="I365" s="145"/>
      <c r="J365" s="145"/>
      <c r="K365" s="145"/>
      <c r="L365" s="145"/>
      <c r="M365" s="146"/>
      <c r="N365" s="145"/>
      <c r="O365" s="145"/>
      <c r="P365" s="145"/>
      <c r="Q365" s="145"/>
      <c r="R365" s="145"/>
      <c r="S365" s="145"/>
      <c r="T365" s="145"/>
      <c r="U365" s="145"/>
      <c r="V365" s="145"/>
      <c r="W365" s="145"/>
      <c r="X365" s="145"/>
      <c r="Y365" s="145"/>
      <c r="Z365" s="145"/>
    </row>
    <row r="366" spans="1:26" ht="13.2">
      <c r="A366" s="144">
        <v>0</v>
      </c>
      <c r="B366" s="145"/>
      <c r="C366" s="145"/>
      <c r="D366" s="145"/>
      <c r="E366" s="145"/>
      <c r="F366" s="145"/>
      <c r="G366" s="145"/>
      <c r="H366" s="145"/>
      <c r="I366" s="145"/>
      <c r="J366" s="145"/>
      <c r="K366" s="145"/>
      <c r="L366" s="145"/>
      <c r="M366" s="146"/>
      <c r="N366" s="145"/>
      <c r="O366" s="145"/>
      <c r="P366" s="145"/>
      <c r="Q366" s="145"/>
      <c r="R366" s="145"/>
      <c r="S366" s="145"/>
      <c r="T366" s="145"/>
      <c r="U366" s="145"/>
      <c r="V366" s="145"/>
      <c r="W366" s="145"/>
      <c r="X366" s="145"/>
      <c r="Y366" s="145"/>
      <c r="Z366" s="145"/>
    </row>
    <row r="367" spans="1:26" ht="13.2">
      <c r="A367" s="144">
        <v>0</v>
      </c>
      <c r="B367" s="145"/>
      <c r="C367" s="145"/>
      <c r="D367" s="145"/>
      <c r="E367" s="145"/>
      <c r="F367" s="145"/>
      <c r="G367" s="145"/>
      <c r="H367" s="145"/>
      <c r="I367" s="145"/>
      <c r="J367" s="145"/>
      <c r="K367" s="145"/>
      <c r="L367" s="145"/>
      <c r="M367" s="146"/>
      <c r="N367" s="145"/>
      <c r="O367" s="145"/>
      <c r="P367" s="145"/>
      <c r="Q367" s="145"/>
      <c r="R367" s="145"/>
      <c r="S367" s="145"/>
      <c r="T367" s="145"/>
      <c r="U367" s="145"/>
      <c r="V367" s="145"/>
      <c r="W367" s="145"/>
      <c r="X367" s="145"/>
      <c r="Y367" s="145"/>
      <c r="Z367" s="145"/>
    </row>
    <row r="368" spans="1:26" ht="13.2">
      <c r="A368" s="144">
        <v>0</v>
      </c>
      <c r="B368" s="145"/>
      <c r="C368" s="145"/>
      <c r="D368" s="145"/>
      <c r="E368" s="145"/>
      <c r="F368" s="145"/>
      <c r="G368" s="145"/>
      <c r="H368" s="145"/>
      <c r="I368" s="145"/>
      <c r="J368" s="145"/>
      <c r="K368" s="145"/>
      <c r="L368" s="145"/>
      <c r="M368" s="146"/>
      <c r="N368" s="145"/>
      <c r="O368" s="145"/>
      <c r="P368" s="145"/>
      <c r="Q368" s="145"/>
      <c r="R368" s="145"/>
      <c r="S368" s="145"/>
      <c r="T368" s="145"/>
      <c r="U368" s="145"/>
      <c r="V368" s="145"/>
      <c r="W368" s="145"/>
      <c r="X368" s="145"/>
      <c r="Y368" s="145"/>
      <c r="Z368" s="145"/>
    </row>
    <row r="369" spans="1:26" ht="13.2">
      <c r="A369" s="144">
        <v>0</v>
      </c>
      <c r="B369" s="145"/>
      <c r="C369" s="145"/>
      <c r="D369" s="145"/>
      <c r="E369" s="145"/>
      <c r="F369" s="145"/>
      <c r="G369" s="145"/>
      <c r="H369" s="145"/>
      <c r="I369" s="145"/>
      <c r="J369" s="145"/>
      <c r="K369" s="145"/>
      <c r="L369" s="145"/>
      <c r="M369" s="146"/>
      <c r="N369" s="145"/>
      <c r="O369" s="145"/>
      <c r="P369" s="145"/>
      <c r="Q369" s="145"/>
      <c r="R369" s="145"/>
      <c r="S369" s="145"/>
      <c r="T369" s="145"/>
      <c r="U369" s="145"/>
      <c r="V369" s="145"/>
      <c r="W369" s="145"/>
      <c r="X369" s="145"/>
      <c r="Y369" s="145"/>
      <c r="Z369" s="145"/>
    </row>
    <row r="370" spans="1:26" ht="13.2">
      <c r="A370" s="144">
        <v>0</v>
      </c>
      <c r="B370" s="145"/>
      <c r="C370" s="145"/>
      <c r="D370" s="145"/>
      <c r="E370" s="145"/>
      <c r="F370" s="145"/>
      <c r="G370" s="145"/>
      <c r="H370" s="145"/>
      <c r="I370" s="145"/>
      <c r="J370" s="145"/>
      <c r="K370" s="145"/>
      <c r="L370" s="145"/>
      <c r="M370" s="146"/>
      <c r="N370" s="145"/>
      <c r="O370" s="145"/>
      <c r="P370" s="145"/>
      <c r="Q370" s="145"/>
      <c r="R370" s="145"/>
      <c r="S370" s="145"/>
      <c r="T370" s="145"/>
      <c r="U370" s="145"/>
      <c r="V370" s="145"/>
      <c r="W370" s="145"/>
      <c r="X370" s="145"/>
      <c r="Y370" s="145"/>
      <c r="Z370" s="145"/>
    </row>
    <row r="371" spans="1:26" ht="13.2">
      <c r="A371" s="144">
        <v>0</v>
      </c>
      <c r="B371" s="145"/>
      <c r="C371" s="145"/>
      <c r="D371" s="145"/>
      <c r="E371" s="145"/>
      <c r="F371" s="145"/>
      <c r="G371" s="145"/>
      <c r="H371" s="145"/>
      <c r="I371" s="145"/>
      <c r="J371" s="145"/>
      <c r="K371" s="145"/>
      <c r="L371" s="145"/>
      <c r="M371" s="146"/>
      <c r="N371" s="145"/>
      <c r="O371" s="145"/>
      <c r="P371" s="145"/>
      <c r="Q371" s="145"/>
      <c r="R371" s="145"/>
      <c r="S371" s="145"/>
      <c r="T371" s="145"/>
      <c r="U371" s="145"/>
      <c r="V371" s="145"/>
      <c r="W371" s="145"/>
      <c r="X371" s="145"/>
      <c r="Y371" s="145"/>
      <c r="Z371" s="145"/>
    </row>
    <row r="372" spans="1:26" ht="13.2">
      <c r="A372" s="144">
        <v>0</v>
      </c>
      <c r="B372" s="145"/>
      <c r="C372" s="145"/>
      <c r="D372" s="145"/>
      <c r="E372" s="145"/>
      <c r="F372" s="145"/>
      <c r="G372" s="145"/>
      <c r="H372" s="145"/>
      <c r="I372" s="145"/>
      <c r="J372" s="145"/>
      <c r="K372" s="145"/>
      <c r="L372" s="145"/>
      <c r="M372" s="146"/>
      <c r="N372" s="145"/>
      <c r="O372" s="145"/>
      <c r="P372" s="145"/>
      <c r="Q372" s="145"/>
      <c r="R372" s="145"/>
      <c r="S372" s="145"/>
      <c r="T372" s="145"/>
      <c r="U372" s="145"/>
      <c r="V372" s="145"/>
      <c r="W372" s="145"/>
      <c r="X372" s="145"/>
      <c r="Y372" s="145"/>
      <c r="Z372" s="145"/>
    </row>
    <row r="373" spans="1:26" ht="13.2">
      <c r="A373" s="144">
        <v>0</v>
      </c>
      <c r="B373" s="145"/>
      <c r="C373" s="145"/>
      <c r="D373" s="145"/>
      <c r="E373" s="145"/>
      <c r="F373" s="145"/>
      <c r="G373" s="145"/>
      <c r="H373" s="145"/>
      <c r="I373" s="145"/>
      <c r="J373" s="145"/>
      <c r="K373" s="145"/>
      <c r="L373" s="145"/>
      <c r="M373" s="146"/>
      <c r="N373" s="145"/>
      <c r="O373" s="145"/>
      <c r="P373" s="145"/>
      <c r="Q373" s="145"/>
      <c r="R373" s="145"/>
      <c r="S373" s="145"/>
      <c r="T373" s="145"/>
      <c r="U373" s="145"/>
      <c r="V373" s="145"/>
      <c r="W373" s="145"/>
      <c r="X373" s="145"/>
      <c r="Y373" s="145"/>
      <c r="Z373" s="145"/>
    </row>
    <row r="374" spans="1:26" ht="13.2">
      <c r="A374" s="144">
        <v>0</v>
      </c>
      <c r="B374" s="145"/>
      <c r="C374" s="145"/>
      <c r="D374" s="145"/>
      <c r="E374" s="145"/>
      <c r="F374" s="145"/>
      <c r="G374" s="145"/>
      <c r="H374" s="145"/>
      <c r="I374" s="145"/>
      <c r="J374" s="145"/>
      <c r="K374" s="145"/>
      <c r="L374" s="145"/>
      <c r="M374" s="146"/>
      <c r="N374" s="145"/>
      <c r="O374" s="145"/>
      <c r="P374" s="145"/>
      <c r="Q374" s="145"/>
      <c r="R374" s="145"/>
      <c r="S374" s="145"/>
      <c r="T374" s="145"/>
      <c r="U374" s="145"/>
      <c r="V374" s="145"/>
      <c r="W374" s="145"/>
      <c r="X374" s="145"/>
      <c r="Y374" s="145"/>
      <c r="Z374" s="145"/>
    </row>
    <row r="375" spans="1:26" ht="13.2">
      <c r="A375" s="144">
        <v>0</v>
      </c>
      <c r="B375" s="145"/>
      <c r="C375" s="145"/>
      <c r="D375" s="145"/>
      <c r="E375" s="145"/>
      <c r="F375" s="145"/>
      <c r="G375" s="145"/>
      <c r="H375" s="145"/>
      <c r="I375" s="145"/>
      <c r="J375" s="145"/>
      <c r="K375" s="145"/>
      <c r="L375" s="145"/>
      <c r="M375" s="146"/>
      <c r="N375" s="145"/>
      <c r="O375" s="145"/>
      <c r="P375" s="145"/>
      <c r="Q375" s="145"/>
      <c r="R375" s="145"/>
      <c r="S375" s="145"/>
      <c r="T375" s="145"/>
      <c r="U375" s="145"/>
      <c r="V375" s="145"/>
      <c r="W375" s="145"/>
      <c r="X375" s="145"/>
      <c r="Y375" s="145"/>
      <c r="Z375" s="145"/>
    </row>
    <row r="376" spans="1:26" ht="13.2">
      <c r="A376" s="144">
        <v>0</v>
      </c>
      <c r="B376" s="145"/>
      <c r="C376" s="145"/>
      <c r="D376" s="145"/>
      <c r="E376" s="145"/>
      <c r="F376" s="145"/>
      <c r="G376" s="145"/>
      <c r="H376" s="145"/>
      <c r="I376" s="145"/>
      <c r="J376" s="145"/>
      <c r="K376" s="145"/>
      <c r="L376" s="145"/>
      <c r="M376" s="146"/>
      <c r="N376" s="145"/>
      <c r="O376" s="145"/>
      <c r="P376" s="145"/>
      <c r="Q376" s="145"/>
      <c r="R376" s="145"/>
      <c r="S376" s="145"/>
      <c r="T376" s="145"/>
      <c r="U376" s="145"/>
      <c r="V376" s="145"/>
      <c r="W376" s="145"/>
      <c r="X376" s="145"/>
      <c r="Y376" s="145"/>
      <c r="Z376" s="145"/>
    </row>
    <row r="377" spans="1:26" ht="13.2">
      <c r="A377" s="144">
        <v>0</v>
      </c>
      <c r="B377" s="145"/>
      <c r="C377" s="145"/>
      <c r="D377" s="145"/>
      <c r="E377" s="145"/>
      <c r="F377" s="145"/>
      <c r="G377" s="145"/>
      <c r="H377" s="145"/>
      <c r="I377" s="145"/>
      <c r="J377" s="145"/>
      <c r="K377" s="145"/>
      <c r="L377" s="145"/>
      <c r="M377" s="146"/>
      <c r="N377" s="145"/>
      <c r="O377" s="145"/>
      <c r="P377" s="145"/>
      <c r="Q377" s="145"/>
      <c r="R377" s="145"/>
      <c r="S377" s="145"/>
      <c r="T377" s="145"/>
      <c r="U377" s="145"/>
      <c r="V377" s="145"/>
      <c r="W377" s="145"/>
      <c r="X377" s="145"/>
      <c r="Y377" s="145"/>
      <c r="Z377" s="145"/>
    </row>
    <row r="378" spans="1:26" ht="13.2">
      <c r="A378" s="144">
        <v>0</v>
      </c>
      <c r="B378" s="145"/>
      <c r="C378" s="145"/>
      <c r="D378" s="145"/>
      <c r="E378" s="145"/>
      <c r="F378" s="145"/>
      <c r="G378" s="145"/>
      <c r="H378" s="145"/>
      <c r="I378" s="145"/>
      <c r="J378" s="145"/>
      <c r="K378" s="145"/>
      <c r="L378" s="145"/>
      <c r="M378" s="146"/>
      <c r="N378" s="145"/>
      <c r="O378" s="145"/>
      <c r="P378" s="145"/>
      <c r="Q378" s="145"/>
      <c r="R378" s="145"/>
      <c r="S378" s="145"/>
      <c r="T378" s="145"/>
      <c r="U378" s="145"/>
      <c r="V378" s="145"/>
      <c r="W378" s="145"/>
      <c r="X378" s="145"/>
      <c r="Y378" s="145"/>
      <c r="Z378" s="145"/>
    </row>
    <row r="379" spans="1:26" ht="13.2">
      <c r="A379" s="144">
        <v>0</v>
      </c>
      <c r="B379" s="145"/>
      <c r="C379" s="145"/>
      <c r="D379" s="145"/>
      <c r="E379" s="145"/>
      <c r="F379" s="145"/>
      <c r="G379" s="145"/>
      <c r="H379" s="145"/>
      <c r="I379" s="145"/>
      <c r="J379" s="145"/>
      <c r="K379" s="145"/>
      <c r="L379" s="145"/>
      <c r="M379" s="146"/>
      <c r="N379" s="145"/>
      <c r="O379" s="145"/>
      <c r="P379" s="145"/>
      <c r="Q379" s="145"/>
      <c r="R379" s="145"/>
      <c r="S379" s="145"/>
      <c r="T379" s="145"/>
      <c r="U379" s="145"/>
      <c r="V379" s="145"/>
      <c r="W379" s="145"/>
      <c r="X379" s="145"/>
      <c r="Y379" s="145"/>
      <c r="Z379" s="145"/>
    </row>
    <row r="380" spans="1:26" ht="13.2">
      <c r="A380" s="144">
        <v>0</v>
      </c>
      <c r="B380" s="145"/>
      <c r="C380" s="145"/>
      <c r="D380" s="145"/>
      <c r="E380" s="145"/>
      <c r="F380" s="145"/>
      <c r="G380" s="145"/>
      <c r="H380" s="145"/>
      <c r="I380" s="145"/>
      <c r="J380" s="145"/>
      <c r="K380" s="145"/>
      <c r="L380" s="145"/>
      <c r="M380" s="146"/>
      <c r="N380" s="145"/>
      <c r="O380" s="145"/>
      <c r="P380" s="145"/>
      <c r="Q380" s="145"/>
      <c r="R380" s="145"/>
      <c r="S380" s="145"/>
      <c r="T380" s="145"/>
      <c r="U380" s="145"/>
      <c r="V380" s="145"/>
      <c r="W380" s="145"/>
      <c r="X380" s="145"/>
      <c r="Y380" s="145"/>
      <c r="Z380" s="145"/>
    </row>
    <row r="381" spans="1:26" ht="13.2">
      <c r="A381" s="144">
        <v>0</v>
      </c>
      <c r="B381" s="145"/>
      <c r="C381" s="145"/>
      <c r="D381" s="145"/>
      <c r="E381" s="145"/>
      <c r="F381" s="145"/>
      <c r="G381" s="145"/>
      <c r="H381" s="145"/>
      <c r="I381" s="145"/>
      <c r="J381" s="145"/>
      <c r="K381" s="145"/>
      <c r="L381" s="145"/>
      <c r="M381" s="146"/>
      <c r="N381" s="145"/>
      <c r="O381" s="145"/>
      <c r="P381" s="145"/>
      <c r="Q381" s="145"/>
      <c r="R381" s="145"/>
      <c r="S381" s="145"/>
      <c r="T381" s="145"/>
      <c r="U381" s="145"/>
      <c r="V381" s="145"/>
      <c r="W381" s="145"/>
      <c r="X381" s="145"/>
      <c r="Y381" s="145"/>
      <c r="Z381" s="145"/>
    </row>
    <row r="382" spans="1:26" ht="13.2">
      <c r="A382" s="144">
        <v>0</v>
      </c>
      <c r="B382" s="145"/>
      <c r="C382" s="145"/>
      <c r="D382" s="145"/>
      <c r="E382" s="145"/>
      <c r="F382" s="145"/>
      <c r="G382" s="145"/>
      <c r="H382" s="145"/>
      <c r="I382" s="145"/>
      <c r="J382" s="145"/>
      <c r="K382" s="145"/>
      <c r="L382" s="145"/>
      <c r="M382" s="146"/>
      <c r="N382" s="145"/>
      <c r="O382" s="145"/>
      <c r="P382" s="145"/>
      <c r="Q382" s="145"/>
      <c r="R382" s="145"/>
      <c r="S382" s="145"/>
      <c r="T382" s="145"/>
      <c r="U382" s="145"/>
      <c r="V382" s="145"/>
      <c r="W382" s="145"/>
      <c r="X382" s="145"/>
      <c r="Y382" s="145"/>
      <c r="Z382" s="145"/>
    </row>
    <row r="383" spans="1:26" ht="13.2">
      <c r="A383" s="144">
        <v>0</v>
      </c>
      <c r="B383" s="145"/>
      <c r="C383" s="145"/>
      <c r="D383" s="145"/>
      <c r="E383" s="145"/>
      <c r="F383" s="145"/>
      <c r="G383" s="145"/>
      <c r="H383" s="145"/>
      <c r="I383" s="145"/>
      <c r="J383" s="145"/>
      <c r="K383" s="145"/>
      <c r="L383" s="145"/>
      <c r="M383" s="146"/>
      <c r="N383" s="145"/>
      <c r="O383" s="145"/>
      <c r="P383" s="145"/>
      <c r="Q383" s="145"/>
      <c r="R383" s="145"/>
      <c r="S383" s="145"/>
      <c r="T383" s="145"/>
      <c r="U383" s="145"/>
      <c r="V383" s="145"/>
      <c r="W383" s="145"/>
      <c r="X383" s="145"/>
      <c r="Y383" s="145"/>
      <c r="Z383" s="145"/>
    </row>
    <row r="384" spans="1:26" ht="13.2">
      <c r="A384" s="144">
        <v>0</v>
      </c>
      <c r="B384" s="145"/>
      <c r="C384" s="145"/>
      <c r="D384" s="145"/>
      <c r="E384" s="145"/>
      <c r="F384" s="145"/>
      <c r="G384" s="145"/>
      <c r="H384" s="145"/>
      <c r="I384" s="145"/>
      <c r="J384" s="145"/>
      <c r="K384" s="145"/>
      <c r="L384" s="145"/>
      <c r="M384" s="146"/>
      <c r="N384" s="145"/>
      <c r="O384" s="145"/>
      <c r="P384" s="145"/>
      <c r="Q384" s="145"/>
      <c r="R384" s="145"/>
      <c r="S384" s="145"/>
      <c r="T384" s="145"/>
      <c r="U384" s="145"/>
      <c r="V384" s="145"/>
      <c r="W384" s="145"/>
      <c r="X384" s="145"/>
      <c r="Y384" s="145"/>
      <c r="Z384" s="145"/>
    </row>
    <row r="385" spans="1:26" ht="13.2">
      <c r="A385" s="144">
        <v>0</v>
      </c>
      <c r="B385" s="145"/>
      <c r="C385" s="145"/>
      <c r="D385" s="145"/>
      <c r="E385" s="145"/>
      <c r="F385" s="145"/>
      <c r="G385" s="145"/>
      <c r="H385" s="145"/>
      <c r="I385" s="145"/>
      <c r="J385" s="145"/>
      <c r="K385" s="145"/>
      <c r="L385" s="145"/>
      <c r="M385" s="146"/>
      <c r="N385" s="145"/>
      <c r="O385" s="145"/>
      <c r="P385" s="145"/>
      <c r="Q385" s="145"/>
      <c r="R385" s="145"/>
      <c r="S385" s="145"/>
      <c r="T385" s="145"/>
      <c r="U385" s="145"/>
      <c r="V385" s="145"/>
      <c r="W385" s="145"/>
      <c r="X385" s="145"/>
      <c r="Y385" s="145"/>
      <c r="Z385" s="145"/>
    </row>
    <row r="386" spans="1:26" ht="13.2">
      <c r="A386" s="144">
        <v>0</v>
      </c>
      <c r="B386" s="145"/>
      <c r="C386" s="145"/>
      <c r="D386" s="145"/>
      <c r="E386" s="145"/>
      <c r="F386" s="145"/>
      <c r="G386" s="145"/>
      <c r="H386" s="145"/>
      <c r="I386" s="145"/>
      <c r="J386" s="145"/>
      <c r="K386" s="145"/>
      <c r="L386" s="145"/>
      <c r="M386" s="146"/>
      <c r="N386" s="145"/>
      <c r="O386" s="145"/>
      <c r="P386" s="145"/>
      <c r="Q386" s="145"/>
      <c r="R386" s="145"/>
      <c r="S386" s="145"/>
      <c r="T386" s="145"/>
      <c r="U386" s="145"/>
      <c r="V386" s="145"/>
      <c r="W386" s="145"/>
      <c r="X386" s="145"/>
      <c r="Y386" s="145"/>
      <c r="Z386" s="145"/>
    </row>
    <row r="387" spans="1:26" ht="13.2">
      <c r="A387" s="144">
        <v>0</v>
      </c>
      <c r="B387" s="145"/>
      <c r="C387" s="145"/>
      <c r="D387" s="145"/>
      <c r="E387" s="145"/>
      <c r="F387" s="145"/>
      <c r="G387" s="145"/>
      <c r="H387" s="145"/>
      <c r="I387" s="145"/>
      <c r="J387" s="145"/>
      <c r="K387" s="145"/>
      <c r="L387" s="145"/>
      <c r="M387" s="146"/>
      <c r="N387" s="145"/>
      <c r="O387" s="145"/>
      <c r="P387" s="145"/>
      <c r="Q387" s="145"/>
      <c r="R387" s="145"/>
      <c r="S387" s="145"/>
      <c r="T387" s="145"/>
      <c r="U387" s="145"/>
      <c r="V387" s="145"/>
      <c r="W387" s="145"/>
      <c r="X387" s="145"/>
      <c r="Y387" s="145"/>
      <c r="Z387" s="145"/>
    </row>
    <row r="388" spans="1:26" ht="13.2">
      <c r="A388" s="144">
        <v>0</v>
      </c>
      <c r="B388" s="145"/>
      <c r="C388" s="145"/>
      <c r="D388" s="145"/>
      <c r="E388" s="145"/>
      <c r="F388" s="145"/>
      <c r="G388" s="145"/>
      <c r="H388" s="145"/>
      <c r="I388" s="145"/>
      <c r="J388" s="145"/>
      <c r="K388" s="145"/>
      <c r="L388" s="145"/>
      <c r="M388" s="146"/>
      <c r="N388" s="145"/>
      <c r="O388" s="145"/>
      <c r="P388" s="145"/>
      <c r="Q388" s="145"/>
      <c r="R388" s="145"/>
      <c r="S388" s="145"/>
      <c r="T388" s="145"/>
      <c r="U388" s="145"/>
      <c r="V388" s="145"/>
      <c r="W388" s="145"/>
      <c r="X388" s="145"/>
      <c r="Y388" s="145"/>
      <c r="Z388" s="145"/>
    </row>
    <row r="389" spans="1:26" ht="13.2">
      <c r="A389" s="144">
        <v>0</v>
      </c>
      <c r="B389" s="145"/>
      <c r="C389" s="145"/>
      <c r="D389" s="145"/>
      <c r="E389" s="145"/>
      <c r="F389" s="145"/>
      <c r="G389" s="145"/>
      <c r="H389" s="145"/>
      <c r="I389" s="145"/>
      <c r="J389" s="145"/>
      <c r="K389" s="145"/>
      <c r="L389" s="145"/>
      <c r="M389" s="146"/>
      <c r="N389" s="145"/>
      <c r="O389" s="145"/>
      <c r="P389" s="145"/>
      <c r="Q389" s="145"/>
      <c r="R389" s="145"/>
      <c r="S389" s="145"/>
      <c r="T389" s="145"/>
      <c r="U389" s="145"/>
      <c r="V389" s="145"/>
      <c r="W389" s="145"/>
      <c r="X389" s="145"/>
      <c r="Y389" s="145"/>
      <c r="Z389" s="145"/>
    </row>
    <row r="390" spans="1:26" ht="13.2">
      <c r="A390" s="144">
        <v>0</v>
      </c>
      <c r="B390" s="145"/>
      <c r="C390" s="145"/>
      <c r="D390" s="145"/>
      <c r="E390" s="145"/>
      <c r="F390" s="145"/>
      <c r="G390" s="145"/>
      <c r="H390" s="145"/>
      <c r="I390" s="145"/>
      <c r="J390" s="145"/>
      <c r="K390" s="145"/>
      <c r="L390" s="145"/>
      <c r="M390" s="146"/>
      <c r="N390" s="145"/>
      <c r="O390" s="145"/>
      <c r="P390" s="145"/>
      <c r="Q390" s="145"/>
      <c r="R390" s="145"/>
      <c r="S390" s="145"/>
      <c r="T390" s="145"/>
      <c r="U390" s="145"/>
      <c r="V390" s="145"/>
      <c r="W390" s="145"/>
      <c r="X390" s="145"/>
      <c r="Y390" s="145"/>
      <c r="Z390" s="145"/>
    </row>
    <row r="391" spans="1:26" ht="13.2">
      <c r="A391" s="144">
        <v>0</v>
      </c>
      <c r="B391" s="145"/>
      <c r="C391" s="145"/>
      <c r="D391" s="145"/>
      <c r="E391" s="145"/>
      <c r="F391" s="145"/>
      <c r="G391" s="145"/>
      <c r="H391" s="145"/>
      <c r="I391" s="145"/>
      <c r="J391" s="145"/>
      <c r="K391" s="145"/>
      <c r="L391" s="145"/>
      <c r="M391" s="146"/>
      <c r="N391" s="145"/>
      <c r="O391" s="145"/>
      <c r="P391" s="145"/>
      <c r="Q391" s="145"/>
      <c r="R391" s="145"/>
      <c r="S391" s="145"/>
      <c r="T391" s="145"/>
      <c r="U391" s="145"/>
      <c r="V391" s="145"/>
      <c r="W391" s="145"/>
      <c r="X391" s="145"/>
      <c r="Y391" s="145"/>
      <c r="Z391" s="145"/>
    </row>
    <row r="392" spans="1:26" ht="13.2">
      <c r="A392" s="144">
        <v>0</v>
      </c>
      <c r="B392" s="145"/>
      <c r="C392" s="145"/>
      <c r="D392" s="145"/>
      <c r="E392" s="145"/>
      <c r="F392" s="145"/>
      <c r="G392" s="145"/>
      <c r="H392" s="145"/>
      <c r="I392" s="145"/>
      <c r="J392" s="145"/>
      <c r="K392" s="145"/>
      <c r="L392" s="145"/>
      <c r="M392" s="146"/>
      <c r="N392" s="145"/>
      <c r="O392" s="145"/>
      <c r="P392" s="145"/>
      <c r="Q392" s="145"/>
      <c r="R392" s="145"/>
      <c r="S392" s="145"/>
      <c r="T392" s="145"/>
      <c r="U392" s="145"/>
      <c r="V392" s="145"/>
      <c r="W392" s="145"/>
      <c r="X392" s="145"/>
      <c r="Y392" s="145"/>
      <c r="Z392" s="145"/>
    </row>
    <row r="393" spans="1:26" ht="13.2">
      <c r="A393" s="144">
        <v>0</v>
      </c>
      <c r="B393" s="145"/>
      <c r="C393" s="145"/>
      <c r="D393" s="145"/>
      <c r="E393" s="145"/>
      <c r="F393" s="145"/>
      <c r="G393" s="145"/>
      <c r="H393" s="145"/>
      <c r="I393" s="145"/>
      <c r="J393" s="145"/>
      <c r="K393" s="145"/>
      <c r="L393" s="145"/>
      <c r="M393" s="146"/>
      <c r="N393" s="145"/>
      <c r="O393" s="145"/>
      <c r="P393" s="145"/>
      <c r="Q393" s="145"/>
      <c r="R393" s="145"/>
      <c r="S393" s="145"/>
      <c r="T393" s="145"/>
      <c r="U393" s="145"/>
      <c r="V393" s="145"/>
      <c r="W393" s="145"/>
      <c r="X393" s="145"/>
      <c r="Y393" s="145"/>
      <c r="Z393" s="145"/>
    </row>
    <row r="394" spans="1:26" ht="13.2">
      <c r="A394" s="144">
        <v>0</v>
      </c>
      <c r="B394" s="145"/>
      <c r="C394" s="145"/>
      <c r="D394" s="145"/>
      <c r="E394" s="145"/>
      <c r="F394" s="145"/>
      <c r="G394" s="145"/>
      <c r="H394" s="145"/>
      <c r="I394" s="145"/>
      <c r="J394" s="145"/>
      <c r="K394" s="145"/>
      <c r="L394" s="145"/>
      <c r="M394" s="146"/>
      <c r="N394" s="145"/>
      <c r="O394" s="145"/>
      <c r="P394" s="145"/>
      <c r="Q394" s="145"/>
      <c r="R394" s="145"/>
      <c r="S394" s="145"/>
      <c r="T394" s="145"/>
      <c r="U394" s="145"/>
      <c r="V394" s="145"/>
      <c r="W394" s="145"/>
      <c r="X394" s="145"/>
      <c r="Y394" s="145"/>
      <c r="Z394" s="145"/>
    </row>
    <row r="395" spans="1:26" ht="13.2">
      <c r="A395" s="144">
        <v>0</v>
      </c>
      <c r="B395" s="145"/>
      <c r="C395" s="145"/>
      <c r="D395" s="145"/>
      <c r="E395" s="145"/>
      <c r="F395" s="145"/>
      <c r="G395" s="145"/>
      <c r="H395" s="145"/>
      <c r="I395" s="145"/>
      <c r="J395" s="145"/>
      <c r="K395" s="145"/>
      <c r="L395" s="145"/>
      <c r="M395" s="146"/>
      <c r="N395" s="145"/>
      <c r="O395" s="145"/>
      <c r="P395" s="145"/>
      <c r="Q395" s="145"/>
      <c r="R395" s="145"/>
      <c r="S395" s="145"/>
      <c r="T395" s="145"/>
      <c r="U395" s="145"/>
      <c r="V395" s="145"/>
      <c r="W395" s="145"/>
      <c r="X395" s="145"/>
      <c r="Y395" s="145"/>
      <c r="Z395" s="145"/>
    </row>
    <row r="396" spans="1:26" ht="13.2">
      <c r="A396" s="144">
        <v>0</v>
      </c>
      <c r="B396" s="145"/>
      <c r="C396" s="145"/>
      <c r="D396" s="145"/>
      <c r="E396" s="145"/>
      <c r="F396" s="145"/>
      <c r="G396" s="145"/>
      <c r="H396" s="145"/>
      <c r="I396" s="145"/>
      <c r="J396" s="145"/>
      <c r="K396" s="145"/>
      <c r="L396" s="145"/>
      <c r="M396" s="146"/>
      <c r="N396" s="145"/>
      <c r="O396" s="145"/>
      <c r="P396" s="145"/>
      <c r="Q396" s="145"/>
      <c r="R396" s="145"/>
      <c r="S396" s="145"/>
      <c r="T396" s="145"/>
      <c r="U396" s="145"/>
      <c r="V396" s="145"/>
      <c r="W396" s="145"/>
      <c r="X396" s="145"/>
      <c r="Y396" s="145"/>
      <c r="Z396" s="145"/>
    </row>
    <row r="397" spans="1:26" ht="13.2">
      <c r="A397" s="144">
        <v>0</v>
      </c>
      <c r="B397" s="145"/>
      <c r="C397" s="145"/>
      <c r="D397" s="145"/>
      <c r="E397" s="145"/>
      <c r="F397" s="145"/>
      <c r="G397" s="145"/>
      <c r="H397" s="145"/>
      <c r="I397" s="145"/>
      <c r="J397" s="145"/>
      <c r="K397" s="145"/>
      <c r="L397" s="145"/>
      <c r="M397" s="146"/>
      <c r="N397" s="145"/>
      <c r="O397" s="145"/>
      <c r="P397" s="145"/>
      <c r="Q397" s="145"/>
      <c r="R397" s="145"/>
      <c r="S397" s="145"/>
      <c r="T397" s="145"/>
      <c r="U397" s="145"/>
      <c r="V397" s="145"/>
      <c r="W397" s="145"/>
      <c r="X397" s="145"/>
      <c r="Y397" s="145"/>
      <c r="Z397" s="145"/>
    </row>
    <row r="398" spans="1:26" ht="13.2">
      <c r="A398" s="144">
        <v>0</v>
      </c>
      <c r="B398" s="145"/>
      <c r="C398" s="145"/>
      <c r="D398" s="145"/>
      <c r="E398" s="145"/>
      <c r="F398" s="145"/>
      <c r="G398" s="145"/>
      <c r="H398" s="145"/>
      <c r="I398" s="145"/>
      <c r="J398" s="145"/>
      <c r="K398" s="145"/>
      <c r="L398" s="145"/>
      <c r="M398" s="146"/>
      <c r="N398" s="145"/>
      <c r="O398" s="145"/>
      <c r="P398" s="145"/>
      <c r="Q398" s="145"/>
      <c r="R398" s="145"/>
      <c r="S398" s="145"/>
      <c r="T398" s="145"/>
      <c r="U398" s="145"/>
      <c r="V398" s="145"/>
      <c r="W398" s="145"/>
      <c r="X398" s="145"/>
      <c r="Y398" s="145"/>
      <c r="Z398" s="145"/>
    </row>
    <row r="399" spans="1:26" ht="13.2">
      <c r="A399" s="144">
        <v>0</v>
      </c>
      <c r="B399" s="145"/>
      <c r="C399" s="145"/>
      <c r="D399" s="145"/>
      <c r="E399" s="145"/>
      <c r="F399" s="145"/>
      <c r="G399" s="145"/>
      <c r="H399" s="145"/>
      <c r="I399" s="145"/>
      <c r="J399" s="145"/>
      <c r="K399" s="145"/>
      <c r="L399" s="145"/>
      <c r="M399" s="146"/>
      <c r="N399" s="145"/>
      <c r="O399" s="145"/>
      <c r="P399" s="145"/>
      <c r="Q399" s="145"/>
      <c r="R399" s="145"/>
      <c r="S399" s="145"/>
      <c r="T399" s="145"/>
      <c r="U399" s="145"/>
      <c r="V399" s="145"/>
      <c r="W399" s="145"/>
      <c r="X399" s="145"/>
      <c r="Y399" s="145"/>
      <c r="Z399" s="145"/>
    </row>
    <row r="400" spans="1:26" ht="13.2">
      <c r="A400" s="144">
        <v>0</v>
      </c>
      <c r="B400" s="145"/>
      <c r="C400" s="145"/>
      <c r="D400" s="145"/>
      <c r="E400" s="145"/>
      <c r="F400" s="145"/>
      <c r="G400" s="145"/>
      <c r="H400" s="145"/>
      <c r="I400" s="145"/>
      <c r="J400" s="145"/>
      <c r="K400" s="145"/>
      <c r="L400" s="145"/>
      <c r="M400" s="146"/>
      <c r="N400" s="145"/>
      <c r="O400" s="145"/>
      <c r="P400" s="145"/>
      <c r="Q400" s="145"/>
      <c r="R400" s="145"/>
      <c r="S400" s="145"/>
      <c r="T400" s="145"/>
      <c r="U400" s="145"/>
      <c r="V400" s="145"/>
      <c r="W400" s="145"/>
      <c r="X400" s="145"/>
      <c r="Y400" s="145"/>
      <c r="Z400" s="145"/>
    </row>
    <row r="401" spans="1:26" ht="13.2">
      <c r="A401" s="144">
        <v>0</v>
      </c>
      <c r="B401" s="145"/>
      <c r="C401" s="145"/>
      <c r="D401" s="145"/>
      <c r="E401" s="145"/>
      <c r="F401" s="145"/>
      <c r="G401" s="145"/>
      <c r="H401" s="145"/>
      <c r="I401" s="145"/>
      <c r="J401" s="145"/>
      <c r="K401" s="145"/>
      <c r="L401" s="145"/>
      <c r="M401" s="146"/>
      <c r="N401" s="145"/>
      <c r="O401" s="145"/>
      <c r="P401" s="145"/>
      <c r="Q401" s="145"/>
      <c r="R401" s="145"/>
      <c r="S401" s="145"/>
      <c r="T401" s="145"/>
      <c r="U401" s="145"/>
      <c r="V401" s="145"/>
      <c r="W401" s="145"/>
      <c r="X401" s="145"/>
      <c r="Y401" s="145"/>
      <c r="Z401" s="145"/>
    </row>
    <row r="402" spans="1:26" ht="13.2">
      <c r="A402" s="144">
        <v>0</v>
      </c>
      <c r="B402" s="145"/>
      <c r="C402" s="145"/>
      <c r="D402" s="145"/>
      <c r="E402" s="145"/>
      <c r="F402" s="145"/>
      <c r="G402" s="145"/>
      <c r="H402" s="145"/>
      <c r="I402" s="145"/>
      <c r="J402" s="145"/>
      <c r="K402" s="145"/>
      <c r="L402" s="145"/>
      <c r="M402" s="146"/>
      <c r="N402" s="145"/>
      <c r="O402" s="145"/>
      <c r="P402" s="145"/>
      <c r="Q402" s="145"/>
      <c r="R402" s="145"/>
      <c r="S402" s="145"/>
      <c r="T402" s="145"/>
      <c r="U402" s="145"/>
      <c r="V402" s="145"/>
      <c r="W402" s="145"/>
      <c r="X402" s="145"/>
      <c r="Y402" s="145"/>
      <c r="Z402" s="145"/>
    </row>
    <row r="403" spans="1:26" ht="13.2">
      <c r="A403" s="144">
        <v>0</v>
      </c>
      <c r="B403" s="145"/>
      <c r="C403" s="145"/>
      <c r="D403" s="145"/>
      <c r="E403" s="145"/>
      <c r="F403" s="145"/>
      <c r="G403" s="145"/>
      <c r="H403" s="145"/>
      <c r="I403" s="145"/>
      <c r="J403" s="145"/>
      <c r="K403" s="145"/>
      <c r="L403" s="145"/>
      <c r="M403" s="146"/>
      <c r="N403" s="145"/>
      <c r="O403" s="145"/>
      <c r="P403" s="145"/>
      <c r="Q403" s="145"/>
      <c r="R403" s="145"/>
      <c r="S403" s="145"/>
      <c r="T403" s="145"/>
      <c r="U403" s="145"/>
      <c r="V403" s="145"/>
      <c r="W403" s="145"/>
      <c r="X403" s="145"/>
      <c r="Y403" s="145"/>
      <c r="Z403" s="145"/>
    </row>
    <row r="404" spans="1:26" ht="13.2">
      <c r="A404" s="144">
        <v>0</v>
      </c>
      <c r="B404" s="145"/>
      <c r="C404" s="145"/>
      <c r="D404" s="145"/>
      <c r="E404" s="145"/>
      <c r="F404" s="145"/>
      <c r="G404" s="145"/>
      <c r="H404" s="145"/>
      <c r="I404" s="145"/>
      <c r="J404" s="145"/>
      <c r="K404" s="145"/>
      <c r="L404" s="145"/>
      <c r="M404" s="146"/>
      <c r="N404" s="145"/>
      <c r="O404" s="145"/>
      <c r="P404" s="145"/>
      <c r="Q404" s="145"/>
      <c r="R404" s="145"/>
      <c r="S404" s="145"/>
      <c r="T404" s="145"/>
      <c r="U404" s="145"/>
      <c r="V404" s="145"/>
      <c r="W404" s="145"/>
      <c r="X404" s="145"/>
      <c r="Y404" s="145"/>
      <c r="Z404" s="145"/>
    </row>
    <row r="405" spans="1:26" ht="13.2">
      <c r="A405" s="144">
        <v>0</v>
      </c>
      <c r="B405" s="145"/>
      <c r="C405" s="145"/>
      <c r="D405" s="145"/>
      <c r="E405" s="145"/>
      <c r="F405" s="145"/>
      <c r="G405" s="145"/>
      <c r="H405" s="145"/>
      <c r="I405" s="145"/>
      <c r="J405" s="145"/>
      <c r="K405" s="145"/>
      <c r="L405" s="145"/>
      <c r="M405" s="146"/>
      <c r="N405" s="145"/>
      <c r="O405" s="145"/>
      <c r="P405" s="145"/>
      <c r="Q405" s="145"/>
      <c r="R405" s="145"/>
      <c r="S405" s="145"/>
      <c r="T405" s="145"/>
      <c r="U405" s="145"/>
      <c r="V405" s="145"/>
      <c r="W405" s="145"/>
      <c r="X405" s="145"/>
      <c r="Y405" s="145"/>
      <c r="Z405" s="145"/>
    </row>
    <row r="406" spans="1:26" ht="13.2">
      <c r="A406" s="144">
        <v>0</v>
      </c>
      <c r="B406" s="145"/>
      <c r="C406" s="145"/>
      <c r="D406" s="145"/>
      <c r="E406" s="145"/>
      <c r="F406" s="145"/>
      <c r="G406" s="145"/>
      <c r="H406" s="145"/>
      <c r="I406" s="145"/>
      <c r="J406" s="145"/>
      <c r="K406" s="145"/>
      <c r="L406" s="145"/>
      <c r="M406" s="146"/>
      <c r="N406" s="145"/>
      <c r="O406" s="145"/>
      <c r="P406" s="145"/>
      <c r="Q406" s="145"/>
      <c r="R406" s="145"/>
      <c r="S406" s="145"/>
      <c r="T406" s="145"/>
      <c r="U406" s="145"/>
      <c r="V406" s="145"/>
      <c r="W406" s="145"/>
      <c r="X406" s="145"/>
      <c r="Y406" s="145"/>
      <c r="Z406" s="145"/>
    </row>
    <row r="407" spans="1:26" ht="13.2">
      <c r="A407" s="144">
        <v>0</v>
      </c>
      <c r="B407" s="145"/>
      <c r="C407" s="145"/>
      <c r="D407" s="145"/>
      <c r="E407" s="145"/>
      <c r="F407" s="145"/>
      <c r="G407" s="145"/>
      <c r="H407" s="145"/>
      <c r="I407" s="145"/>
      <c r="J407" s="145"/>
      <c r="K407" s="145"/>
      <c r="L407" s="145"/>
      <c r="M407" s="146"/>
      <c r="N407" s="145"/>
      <c r="O407" s="145"/>
      <c r="P407" s="145"/>
      <c r="Q407" s="145"/>
      <c r="R407" s="145"/>
      <c r="S407" s="145"/>
      <c r="T407" s="145"/>
      <c r="U407" s="145"/>
      <c r="V407" s="145"/>
      <c r="W407" s="145"/>
      <c r="X407" s="145"/>
      <c r="Y407" s="145"/>
      <c r="Z407" s="145"/>
    </row>
    <row r="408" spans="1:26" ht="13.2">
      <c r="A408" s="144">
        <v>0</v>
      </c>
      <c r="B408" s="145"/>
      <c r="C408" s="145"/>
      <c r="D408" s="145"/>
      <c r="E408" s="145"/>
      <c r="F408" s="145"/>
      <c r="G408" s="145"/>
      <c r="H408" s="145"/>
      <c r="I408" s="145"/>
      <c r="J408" s="145"/>
      <c r="K408" s="145"/>
      <c r="L408" s="145"/>
      <c r="M408" s="146"/>
      <c r="N408" s="145"/>
      <c r="O408" s="145"/>
      <c r="P408" s="145"/>
      <c r="Q408" s="145"/>
      <c r="R408" s="145"/>
      <c r="S408" s="145"/>
      <c r="T408" s="145"/>
      <c r="U408" s="145"/>
      <c r="V408" s="145"/>
      <c r="W408" s="145"/>
      <c r="X408" s="145"/>
      <c r="Y408" s="145"/>
      <c r="Z408" s="145"/>
    </row>
    <row r="409" spans="1:26" ht="13.2">
      <c r="A409" s="144">
        <v>0</v>
      </c>
      <c r="B409" s="145"/>
      <c r="C409" s="145"/>
      <c r="D409" s="145"/>
      <c r="E409" s="145"/>
      <c r="F409" s="145"/>
      <c r="G409" s="145"/>
      <c r="H409" s="145"/>
      <c r="I409" s="145"/>
      <c r="J409" s="145"/>
      <c r="K409" s="145"/>
      <c r="L409" s="145"/>
      <c r="M409" s="146"/>
      <c r="N409" s="145"/>
      <c r="O409" s="145"/>
      <c r="P409" s="145"/>
      <c r="Q409" s="145"/>
      <c r="R409" s="145"/>
      <c r="S409" s="145"/>
      <c r="T409" s="145"/>
      <c r="U409" s="145"/>
      <c r="V409" s="145"/>
      <c r="W409" s="145"/>
      <c r="X409" s="145"/>
      <c r="Y409" s="145"/>
      <c r="Z409" s="145"/>
    </row>
    <row r="410" spans="1:26" ht="13.2">
      <c r="A410" s="144">
        <v>0</v>
      </c>
      <c r="B410" s="145"/>
      <c r="C410" s="145"/>
      <c r="D410" s="145"/>
      <c r="E410" s="145"/>
      <c r="F410" s="145"/>
      <c r="G410" s="145"/>
      <c r="H410" s="145"/>
      <c r="I410" s="145"/>
      <c r="J410" s="145"/>
      <c r="K410" s="145"/>
      <c r="L410" s="145"/>
      <c r="M410" s="146"/>
      <c r="N410" s="145"/>
      <c r="O410" s="145"/>
      <c r="P410" s="145"/>
      <c r="Q410" s="145"/>
      <c r="R410" s="145"/>
      <c r="S410" s="145"/>
      <c r="T410" s="145"/>
      <c r="U410" s="145"/>
      <c r="V410" s="145"/>
      <c r="W410" s="145"/>
      <c r="X410" s="145"/>
      <c r="Y410" s="145"/>
      <c r="Z410" s="145"/>
    </row>
    <row r="411" spans="1:26" ht="13.2">
      <c r="A411" s="144">
        <v>0</v>
      </c>
      <c r="B411" s="145"/>
      <c r="C411" s="145"/>
      <c r="D411" s="145"/>
      <c r="E411" s="145"/>
      <c r="F411" s="145"/>
      <c r="G411" s="145"/>
      <c r="H411" s="145"/>
      <c r="I411" s="145"/>
      <c r="J411" s="145"/>
      <c r="K411" s="145"/>
      <c r="L411" s="145"/>
      <c r="M411" s="146"/>
      <c r="N411" s="145"/>
      <c r="O411" s="145"/>
      <c r="P411" s="145"/>
      <c r="Q411" s="145"/>
      <c r="R411" s="145"/>
      <c r="S411" s="145"/>
      <c r="T411" s="145"/>
      <c r="U411" s="145"/>
      <c r="V411" s="145"/>
      <c r="W411" s="145"/>
      <c r="X411" s="145"/>
      <c r="Y411" s="145"/>
      <c r="Z411" s="145"/>
    </row>
    <row r="412" spans="1:26" ht="13.2">
      <c r="A412" s="144">
        <v>0</v>
      </c>
      <c r="B412" s="145"/>
      <c r="C412" s="145"/>
      <c r="D412" s="145"/>
      <c r="E412" s="145"/>
      <c r="F412" s="145"/>
      <c r="G412" s="145"/>
      <c r="H412" s="145"/>
      <c r="I412" s="145"/>
      <c r="J412" s="145"/>
      <c r="K412" s="145"/>
      <c r="L412" s="145"/>
      <c r="M412" s="146"/>
      <c r="N412" s="145"/>
      <c r="O412" s="145"/>
      <c r="P412" s="145"/>
      <c r="Q412" s="145"/>
      <c r="R412" s="145"/>
      <c r="S412" s="145"/>
      <c r="T412" s="145"/>
      <c r="U412" s="145"/>
      <c r="V412" s="145"/>
      <c r="W412" s="145"/>
      <c r="X412" s="145"/>
      <c r="Y412" s="145"/>
      <c r="Z412" s="145"/>
    </row>
    <row r="413" spans="1:26" ht="13.2">
      <c r="A413" s="144">
        <v>0</v>
      </c>
      <c r="B413" s="145"/>
      <c r="C413" s="145"/>
      <c r="D413" s="145"/>
      <c r="E413" s="145"/>
      <c r="F413" s="145"/>
      <c r="G413" s="145"/>
      <c r="H413" s="145"/>
      <c r="I413" s="145"/>
      <c r="J413" s="145"/>
      <c r="K413" s="145"/>
      <c r="L413" s="145"/>
      <c r="M413" s="146"/>
      <c r="N413" s="145"/>
      <c r="O413" s="145"/>
      <c r="P413" s="145"/>
      <c r="Q413" s="145"/>
      <c r="R413" s="145"/>
      <c r="S413" s="145"/>
      <c r="T413" s="145"/>
      <c r="U413" s="145"/>
      <c r="V413" s="145"/>
      <c r="W413" s="145"/>
      <c r="X413" s="145"/>
      <c r="Y413" s="145"/>
      <c r="Z413" s="145"/>
    </row>
    <row r="414" spans="1:26" ht="13.2">
      <c r="A414" s="144">
        <v>0</v>
      </c>
      <c r="B414" s="145"/>
      <c r="C414" s="145"/>
      <c r="D414" s="145"/>
      <c r="E414" s="145"/>
      <c r="F414" s="145"/>
      <c r="G414" s="145"/>
      <c r="H414" s="145"/>
      <c r="I414" s="145"/>
      <c r="J414" s="145"/>
      <c r="K414" s="145"/>
      <c r="L414" s="145"/>
      <c r="M414" s="146"/>
      <c r="N414" s="145"/>
      <c r="O414" s="145"/>
      <c r="P414" s="145"/>
      <c r="Q414" s="145"/>
      <c r="R414" s="145"/>
      <c r="S414" s="145"/>
      <c r="T414" s="145"/>
      <c r="U414" s="145"/>
      <c r="V414" s="145"/>
      <c r="W414" s="145"/>
      <c r="X414" s="145"/>
      <c r="Y414" s="145"/>
      <c r="Z414" s="145"/>
    </row>
    <row r="415" spans="1:26" ht="13.2">
      <c r="A415" s="144">
        <v>0</v>
      </c>
      <c r="B415" s="145"/>
      <c r="C415" s="145"/>
      <c r="D415" s="145"/>
      <c r="E415" s="145"/>
      <c r="F415" s="145"/>
      <c r="G415" s="145"/>
      <c r="H415" s="145"/>
      <c r="I415" s="145"/>
      <c r="J415" s="145"/>
      <c r="K415" s="145"/>
      <c r="L415" s="145"/>
      <c r="M415" s="146"/>
      <c r="N415" s="145"/>
      <c r="O415" s="145"/>
      <c r="P415" s="145"/>
      <c r="Q415" s="145"/>
      <c r="R415" s="145"/>
      <c r="S415" s="145"/>
      <c r="T415" s="145"/>
      <c r="U415" s="145"/>
      <c r="V415" s="145"/>
      <c r="W415" s="145"/>
      <c r="X415" s="145"/>
      <c r="Y415" s="145"/>
      <c r="Z415" s="145"/>
    </row>
    <row r="416" spans="1:26" ht="13.2">
      <c r="A416" s="144">
        <v>0</v>
      </c>
      <c r="B416" s="145"/>
      <c r="C416" s="145"/>
      <c r="D416" s="145"/>
      <c r="E416" s="145"/>
      <c r="F416" s="145"/>
      <c r="G416" s="145"/>
      <c r="H416" s="145"/>
      <c r="I416" s="145"/>
      <c r="J416" s="145"/>
      <c r="K416" s="145"/>
      <c r="L416" s="145"/>
      <c r="M416" s="146"/>
      <c r="N416" s="145"/>
      <c r="O416" s="145"/>
      <c r="P416" s="145"/>
      <c r="Q416" s="145"/>
      <c r="R416" s="145"/>
      <c r="S416" s="145"/>
      <c r="T416" s="145"/>
      <c r="U416" s="145"/>
      <c r="V416" s="145"/>
      <c r="W416" s="145"/>
      <c r="X416" s="145"/>
      <c r="Y416" s="145"/>
      <c r="Z416" s="145"/>
    </row>
    <row r="417" spans="1:26" ht="13.2">
      <c r="A417" s="144">
        <v>0</v>
      </c>
      <c r="B417" s="145"/>
      <c r="C417" s="145"/>
      <c r="D417" s="145"/>
      <c r="E417" s="145"/>
      <c r="F417" s="145"/>
      <c r="G417" s="145"/>
      <c r="H417" s="145"/>
      <c r="I417" s="145"/>
      <c r="J417" s="145"/>
      <c r="K417" s="145"/>
      <c r="L417" s="145"/>
      <c r="M417" s="146"/>
      <c r="N417" s="145"/>
      <c r="O417" s="145"/>
      <c r="P417" s="145"/>
      <c r="Q417" s="145"/>
      <c r="R417" s="145"/>
      <c r="S417" s="145"/>
      <c r="T417" s="145"/>
      <c r="U417" s="145"/>
      <c r="V417" s="145"/>
      <c r="W417" s="145"/>
      <c r="X417" s="145"/>
      <c r="Y417" s="145"/>
      <c r="Z417" s="145"/>
    </row>
    <row r="418" spans="1:26" ht="13.2">
      <c r="A418" s="144">
        <v>0</v>
      </c>
      <c r="B418" s="145"/>
      <c r="C418" s="145"/>
      <c r="D418" s="145"/>
      <c r="E418" s="145"/>
      <c r="F418" s="145"/>
      <c r="G418" s="145"/>
      <c r="H418" s="145"/>
      <c r="I418" s="145"/>
      <c r="J418" s="145"/>
      <c r="K418" s="145"/>
      <c r="L418" s="145"/>
      <c r="M418" s="146"/>
      <c r="N418" s="145"/>
      <c r="O418" s="145"/>
      <c r="P418" s="145"/>
      <c r="Q418" s="145"/>
      <c r="R418" s="145"/>
      <c r="S418" s="145"/>
      <c r="T418" s="145"/>
      <c r="U418" s="145"/>
      <c r="V418" s="145"/>
      <c r="W418" s="145"/>
      <c r="X418" s="145"/>
      <c r="Y418" s="145"/>
      <c r="Z418" s="145"/>
    </row>
    <row r="419" spans="1:26" ht="13.2">
      <c r="A419" s="144">
        <v>0</v>
      </c>
      <c r="B419" s="145"/>
      <c r="C419" s="145"/>
      <c r="D419" s="145"/>
      <c r="E419" s="145"/>
      <c r="F419" s="145"/>
      <c r="G419" s="145"/>
      <c r="H419" s="145"/>
      <c r="I419" s="145"/>
      <c r="J419" s="145"/>
      <c r="K419" s="145"/>
      <c r="L419" s="145"/>
      <c r="M419" s="146"/>
      <c r="N419" s="145"/>
      <c r="O419" s="145"/>
      <c r="P419" s="145"/>
      <c r="Q419" s="145"/>
      <c r="R419" s="145"/>
      <c r="S419" s="145"/>
      <c r="T419" s="145"/>
      <c r="U419" s="145"/>
      <c r="V419" s="145"/>
      <c r="W419" s="145"/>
      <c r="X419" s="145"/>
      <c r="Y419" s="145"/>
      <c r="Z419" s="145"/>
    </row>
    <row r="420" spans="1:26" ht="13.2">
      <c r="A420" s="144">
        <v>0</v>
      </c>
      <c r="B420" s="145"/>
      <c r="C420" s="145"/>
      <c r="D420" s="145"/>
      <c r="E420" s="145"/>
      <c r="F420" s="145"/>
      <c r="G420" s="145"/>
      <c r="H420" s="145"/>
      <c r="I420" s="145"/>
      <c r="J420" s="145"/>
      <c r="K420" s="145"/>
      <c r="L420" s="145"/>
      <c r="M420" s="146"/>
      <c r="N420" s="145"/>
      <c r="O420" s="145"/>
      <c r="P420" s="145"/>
      <c r="Q420" s="145"/>
      <c r="R420" s="145"/>
      <c r="S420" s="145"/>
      <c r="T420" s="145"/>
      <c r="U420" s="145"/>
      <c r="V420" s="145"/>
      <c r="W420" s="145"/>
      <c r="X420" s="145"/>
      <c r="Y420" s="145"/>
      <c r="Z420" s="145"/>
    </row>
    <row r="421" spans="1:26" ht="13.2">
      <c r="A421" s="144">
        <v>0</v>
      </c>
      <c r="B421" s="145"/>
      <c r="C421" s="145"/>
      <c r="D421" s="145"/>
      <c r="E421" s="145"/>
      <c r="F421" s="145"/>
      <c r="G421" s="145"/>
      <c r="H421" s="145"/>
      <c r="I421" s="145"/>
      <c r="J421" s="145"/>
      <c r="K421" s="145"/>
      <c r="L421" s="145"/>
      <c r="M421" s="146"/>
      <c r="N421" s="145"/>
      <c r="O421" s="145"/>
      <c r="P421" s="145"/>
      <c r="Q421" s="145"/>
      <c r="R421" s="145"/>
      <c r="S421" s="145"/>
      <c r="T421" s="145"/>
      <c r="U421" s="145"/>
      <c r="V421" s="145"/>
      <c r="W421" s="145"/>
      <c r="X421" s="145"/>
      <c r="Y421" s="145"/>
      <c r="Z421" s="145"/>
    </row>
    <row r="422" spans="1:26" ht="13.2">
      <c r="A422" s="144">
        <v>0</v>
      </c>
      <c r="B422" s="145"/>
      <c r="C422" s="145"/>
      <c r="D422" s="145"/>
      <c r="E422" s="145"/>
      <c r="F422" s="145"/>
      <c r="G422" s="145"/>
      <c r="H422" s="145"/>
      <c r="I422" s="145"/>
      <c r="J422" s="145"/>
      <c r="K422" s="145"/>
      <c r="L422" s="145"/>
      <c r="M422" s="146"/>
      <c r="N422" s="145"/>
      <c r="O422" s="145"/>
      <c r="P422" s="145"/>
      <c r="Q422" s="145"/>
      <c r="R422" s="145"/>
      <c r="S422" s="145"/>
      <c r="T422" s="145"/>
      <c r="U422" s="145"/>
      <c r="V422" s="145"/>
      <c r="W422" s="145"/>
      <c r="X422" s="145"/>
      <c r="Y422" s="145"/>
      <c r="Z422" s="145"/>
    </row>
    <row r="423" spans="1:26" ht="13.2">
      <c r="A423" s="144">
        <v>0</v>
      </c>
      <c r="B423" s="145"/>
      <c r="C423" s="145"/>
      <c r="D423" s="145"/>
      <c r="E423" s="145"/>
      <c r="F423" s="145"/>
      <c r="G423" s="145"/>
      <c r="H423" s="145"/>
      <c r="I423" s="145"/>
      <c r="J423" s="145"/>
      <c r="K423" s="145"/>
      <c r="L423" s="145"/>
      <c r="M423" s="146"/>
      <c r="N423" s="145"/>
      <c r="O423" s="145"/>
      <c r="P423" s="145"/>
      <c r="Q423" s="145"/>
      <c r="R423" s="145"/>
      <c r="S423" s="145"/>
      <c r="T423" s="145"/>
      <c r="U423" s="145"/>
      <c r="V423" s="145"/>
      <c r="W423" s="145"/>
      <c r="X423" s="145"/>
      <c r="Y423" s="145"/>
      <c r="Z423" s="145"/>
    </row>
    <row r="424" spans="1:26" ht="13.2">
      <c r="A424" s="144">
        <v>0</v>
      </c>
      <c r="B424" s="145"/>
      <c r="C424" s="145"/>
      <c r="D424" s="145"/>
      <c r="E424" s="145"/>
      <c r="F424" s="145"/>
      <c r="G424" s="145"/>
      <c r="H424" s="145"/>
      <c r="I424" s="145"/>
      <c r="J424" s="145"/>
      <c r="K424" s="145"/>
      <c r="L424" s="145"/>
      <c r="M424" s="146"/>
      <c r="N424" s="145"/>
      <c r="O424" s="145"/>
      <c r="P424" s="145"/>
      <c r="Q424" s="145"/>
      <c r="R424" s="145"/>
      <c r="S424" s="145"/>
      <c r="T424" s="145"/>
      <c r="U424" s="145"/>
      <c r="V424" s="145"/>
      <c r="W424" s="145"/>
      <c r="X424" s="145"/>
      <c r="Y424" s="145"/>
      <c r="Z424" s="145"/>
    </row>
    <row r="425" spans="1:26" ht="13.2">
      <c r="A425" s="144">
        <v>0</v>
      </c>
      <c r="B425" s="145"/>
      <c r="C425" s="145"/>
      <c r="D425" s="145"/>
      <c r="E425" s="145"/>
      <c r="F425" s="145"/>
      <c r="G425" s="145"/>
      <c r="H425" s="145"/>
      <c r="I425" s="145"/>
      <c r="J425" s="145"/>
      <c r="K425" s="145"/>
      <c r="L425" s="145"/>
      <c r="M425" s="146"/>
      <c r="N425" s="145"/>
      <c r="O425" s="145"/>
      <c r="P425" s="145"/>
      <c r="Q425" s="145"/>
      <c r="R425" s="145"/>
      <c r="S425" s="145"/>
      <c r="T425" s="145"/>
      <c r="U425" s="145"/>
      <c r="V425" s="145"/>
      <c r="W425" s="145"/>
      <c r="X425" s="145"/>
      <c r="Y425" s="145"/>
      <c r="Z425" s="145"/>
    </row>
    <row r="426" spans="1:26" ht="13.2">
      <c r="A426" s="144">
        <v>0</v>
      </c>
      <c r="B426" s="145"/>
      <c r="C426" s="145"/>
      <c r="D426" s="145"/>
      <c r="E426" s="145"/>
      <c r="F426" s="145"/>
      <c r="G426" s="145"/>
      <c r="H426" s="145"/>
      <c r="I426" s="145"/>
      <c r="J426" s="145"/>
      <c r="K426" s="145"/>
      <c r="L426" s="145"/>
      <c r="M426" s="146"/>
      <c r="N426" s="145"/>
      <c r="O426" s="145"/>
      <c r="P426" s="145"/>
      <c r="Q426" s="145"/>
      <c r="R426" s="145"/>
      <c r="S426" s="145"/>
      <c r="T426" s="145"/>
      <c r="U426" s="145"/>
      <c r="V426" s="145"/>
      <c r="W426" s="145"/>
      <c r="X426" s="145"/>
      <c r="Y426" s="145"/>
      <c r="Z426" s="145"/>
    </row>
    <row r="427" spans="1:26" ht="13.2">
      <c r="A427" s="144">
        <v>0</v>
      </c>
      <c r="B427" s="145"/>
      <c r="C427" s="145"/>
      <c r="D427" s="145"/>
      <c r="E427" s="145"/>
      <c r="F427" s="145"/>
      <c r="G427" s="145"/>
      <c r="H427" s="145"/>
      <c r="I427" s="145"/>
      <c r="J427" s="145"/>
      <c r="K427" s="145"/>
      <c r="L427" s="145"/>
      <c r="M427" s="146"/>
      <c r="N427" s="145"/>
      <c r="O427" s="145"/>
      <c r="P427" s="145"/>
      <c r="Q427" s="145"/>
      <c r="R427" s="145"/>
      <c r="S427" s="145"/>
      <c r="T427" s="145"/>
      <c r="U427" s="145"/>
      <c r="V427" s="145"/>
      <c r="W427" s="145"/>
      <c r="X427" s="145"/>
      <c r="Y427" s="145"/>
      <c r="Z427" s="145"/>
    </row>
    <row r="428" spans="1:26" ht="13.2">
      <c r="A428" s="144">
        <v>0</v>
      </c>
      <c r="B428" s="145"/>
      <c r="C428" s="145"/>
      <c r="D428" s="145"/>
      <c r="E428" s="145"/>
      <c r="F428" s="145"/>
      <c r="G428" s="145"/>
      <c r="H428" s="145"/>
      <c r="I428" s="145"/>
      <c r="J428" s="145"/>
      <c r="K428" s="145"/>
      <c r="L428" s="145"/>
      <c r="M428" s="146"/>
      <c r="N428" s="145"/>
      <c r="O428" s="145"/>
      <c r="P428" s="145"/>
      <c r="Q428" s="145"/>
      <c r="R428" s="145"/>
      <c r="S428" s="145"/>
      <c r="T428" s="145"/>
      <c r="U428" s="145"/>
      <c r="V428" s="145"/>
      <c r="W428" s="145"/>
      <c r="X428" s="145"/>
      <c r="Y428" s="145"/>
      <c r="Z428" s="145"/>
    </row>
    <row r="429" spans="1:26" ht="13.2">
      <c r="A429" s="144">
        <v>0</v>
      </c>
      <c r="B429" s="145"/>
      <c r="C429" s="145"/>
      <c r="D429" s="145"/>
      <c r="E429" s="145"/>
      <c r="F429" s="145"/>
      <c r="G429" s="145"/>
      <c r="H429" s="145"/>
      <c r="I429" s="145"/>
      <c r="J429" s="145"/>
      <c r="K429" s="145"/>
      <c r="L429" s="145"/>
      <c r="M429" s="146"/>
      <c r="N429" s="145"/>
      <c r="O429" s="145"/>
      <c r="P429" s="145"/>
      <c r="Q429" s="145"/>
      <c r="R429" s="145"/>
      <c r="S429" s="145"/>
      <c r="T429" s="145"/>
      <c r="U429" s="145"/>
      <c r="V429" s="145"/>
      <c r="W429" s="145"/>
      <c r="X429" s="145"/>
      <c r="Y429" s="145"/>
      <c r="Z429" s="145"/>
    </row>
    <row r="430" spans="1:26" ht="13.2">
      <c r="A430" s="144">
        <v>0</v>
      </c>
      <c r="B430" s="145"/>
      <c r="C430" s="145"/>
      <c r="D430" s="145"/>
      <c r="E430" s="145"/>
      <c r="F430" s="145"/>
      <c r="G430" s="145"/>
      <c r="H430" s="145"/>
      <c r="I430" s="145"/>
      <c r="J430" s="145"/>
      <c r="K430" s="145"/>
      <c r="L430" s="145"/>
      <c r="M430" s="146"/>
      <c r="N430" s="145"/>
      <c r="O430" s="145"/>
      <c r="P430" s="145"/>
      <c r="Q430" s="145"/>
      <c r="R430" s="145"/>
      <c r="S430" s="145"/>
      <c r="T430" s="145"/>
      <c r="U430" s="145"/>
      <c r="V430" s="145"/>
      <c r="W430" s="145"/>
      <c r="X430" s="145"/>
      <c r="Y430" s="145"/>
      <c r="Z430" s="145"/>
    </row>
    <row r="431" spans="1:26" ht="13.2">
      <c r="A431" s="144">
        <v>0</v>
      </c>
      <c r="B431" s="145"/>
      <c r="C431" s="145"/>
      <c r="D431" s="145"/>
      <c r="E431" s="145"/>
      <c r="F431" s="145"/>
      <c r="G431" s="145"/>
      <c r="H431" s="145"/>
      <c r="I431" s="145"/>
      <c r="J431" s="145"/>
      <c r="K431" s="145"/>
      <c r="L431" s="145"/>
      <c r="M431" s="146"/>
      <c r="N431" s="145"/>
      <c r="O431" s="145"/>
      <c r="P431" s="145"/>
      <c r="Q431" s="145"/>
      <c r="R431" s="145"/>
      <c r="S431" s="145"/>
      <c r="T431" s="145"/>
      <c r="U431" s="145"/>
      <c r="V431" s="145"/>
      <c r="W431" s="145"/>
      <c r="X431" s="145"/>
      <c r="Y431" s="145"/>
      <c r="Z431" s="145"/>
    </row>
    <row r="432" spans="1:26" ht="13.2">
      <c r="A432" s="144">
        <v>0</v>
      </c>
      <c r="B432" s="145"/>
      <c r="C432" s="145"/>
      <c r="D432" s="145"/>
      <c r="E432" s="145"/>
      <c r="F432" s="145"/>
      <c r="G432" s="145"/>
      <c r="H432" s="145"/>
      <c r="I432" s="145"/>
      <c r="J432" s="145"/>
      <c r="K432" s="145"/>
      <c r="L432" s="145"/>
      <c r="M432" s="146"/>
      <c r="N432" s="145"/>
      <c r="O432" s="145"/>
      <c r="P432" s="145"/>
      <c r="Q432" s="145"/>
      <c r="R432" s="145"/>
      <c r="S432" s="145"/>
      <c r="T432" s="145"/>
      <c r="U432" s="145"/>
      <c r="V432" s="145"/>
      <c r="W432" s="145"/>
      <c r="X432" s="145"/>
      <c r="Y432" s="145"/>
      <c r="Z432" s="145"/>
    </row>
    <row r="433" spans="1:26" ht="13.2">
      <c r="A433" s="144">
        <v>0</v>
      </c>
      <c r="B433" s="145"/>
      <c r="C433" s="145"/>
      <c r="D433" s="145"/>
      <c r="E433" s="145"/>
      <c r="F433" s="145"/>
      <c r="G433" s="145"/>
      <c r="H433" s="145"/>
      <c r="I433" s="145"/>
      <c r="J433" s="145"/>
      <c r="K433" s="145"/>
      <c r="L433" s="145"/>
      <c r="M433" s="146"/>
      <c r="N433" s="145"/>
      <c r="O433" s="145"/>
      <c r="P433" s="145"/>
      <c r="Q433" s="145"/>
      <c r="R433" s="145"/>
      <c r="S433" s="145"/>
      <c r="T433" s="145"/>
      <c r="U433" s="145"/>
      <c r="V433" s="145"/>
      <c r="W433" s="145"/>
      <c r="X433" s="145"/>
      <c r="Y433" s="145"/>
      <c r="Z433" s="145"/>
    </row>
    <row r="434" spans="1:26" ht="13.2">
      <c r="A434" s="144">
        <v>0</v>
      </c>
      <c r="B434" s="145"/>
      <c r="C434" s="145"/>
      <c r="D434" s="145"/>
      <c r="E434" s="145"/>
      <c r="F434" s="145"/>
      <c r="G434" s="145"/>
      <c r="H434" s="145"/>
      <c r="I434" s="145"/>
      <c r="J434" s="145"/>
      <c r="K434" s="145"/>
      <c r="L434" s="145"/>
      <c r="M434" s="146"/>
      <c r="N434" s="145"/>
      <c r="O434" s="145"/>
      <c r="P434" s="145"/>
      <c r="Q434" s="145"/>
      <c r="R434" s="145"/>
      <c r="S434" s="145"/>
      <c r="T434" s="145"/>
      <c r="U434" s="145"/>
      <c r="V434" s="145"/>
      <c r="W434" s="145"/>
      <c r="X434" s="145"/>
      <c r="Y434" s="145"/>
      <c r="Z434" s="145"/>
    </row>
    <row r="435" spans="1:26" ht="13.2">
      <c r="A435" s="144">
        <v>0</v>
      </c>
      <c r="B435" s="145"/>
      <c r="C435" s="145"/>
      <c r="D435" s="145"/>
      <c r="E435" s="145"/>
      <c r="F435" s="145"/>
      <c r="G435" s="145"/>
      <c r="H435" s="145"/>
      <c r="I435" s="145"/>
      <c r="J435" s="145"/>
      <c r="K435" s="145"/>
      <c r="L435" s="145"/>
      <c r="M435" s="146"/>
      <c r="N435" s="145"/>
      <c r="O435" s="145"/>
      <c r="P435" s="145"/>
      <c r="Q435" s="145"/>
      <c r="R435" s="145"/>
      <c r="S435" s="145"/>
      <c r="T435" s="145"/>
      <c r="U435" s="145"/>
      <c r="V435" s="145"/>
      <c r="W435" s="145"/>
      <c r="X435" s="145"/>
      <c r="Y435" s="145"/>
      <c r="Z435" s="145"/>
    </row>
    <row r="436" spans="1:26" ht="13.2">
      <c r="A436" s="144">
        <v>0</v>
      </c>
      <c r="B436" s="145"/>
      <c r="C436" s="145"/>
      <c r="D436" s="145"/>
      <c r="E436" s="145"/>
      <c r="F436" s="145"/>
      <c r="G436" s="145"/>
      <c r="H436" s="145"/>
      <c r="I436" s="145"/>
      <c r="J436" s="145"/>
      <c r="K436" s="145"/>
      <c r="L436" s="145"/>
      <c r="M436" s="146"/>
      <c r="N436" s="145"/>
      <c r="O436" s="145"/>
      <c r="P436" s="145"/>
      <c r="Q436" s="145"/>
      <c r="R436" s="145"/>
      <c r="S436" s="145"/>
      <c r="T436" s="145"/>
      <c r="U436" s="145"/>
      <c r="V436" s="145"/>
      <c r="W436" s="145"/>
      <c r="X436" s="145"/>
      <c r="Y436" s="145"/>
      <c r="Z436" s="145"/>
    </row>
    <row r="437" spans="1:26" ht="13.2">
      <c r="A437" s="144">
        <v>0</v>
      </c>
      <c r="B437" s="145"/>
      <c r="C437" s="145"/>
      <c r="D437" s="145"/>
      <c r="E437" s="145"/>
      <c r="F437" s="145"/>
      <c r="G437" s="145"/>
      <c r="H437" s="145"/>
      <c r="I437" s="145"/>
      <c r="J437" s="145"/>
      <c r="K437" s="145"/>
      <c r="L437" s="145"/>
      <c r="M437" s="146"/>
      <c r="N437" s="145"/>
      <c r="O437" s="145"/>
      <c r="P437" s="145"/>
      <c r="Q437" s="145"/>
      <c r="R437" s="145"/>
      <c r="S437" s="145"/>
      <c r="T437" s="145"/>
      <c r="U437" s="145"/>
      <c r="V437" s="145"/>
      <c r="W437" s="145"/>
      <c r="X437" s="145"/>
      <c r="Y437" s="145"/>
      <c r="Z437" s="145"/>
    </row>
    <row r="438" spans="1:26" ht="13.2">
      <c r="A438" s="144">
        <v>0</v>
      </c>
      <c r="B438" s="145"/>
      <c r="C438" s="145"/>
      <c r="D438" s="145"/>
      <c r="E438" s="145"/>
      <c r="F438" s="145"/>
      <c r="G438" s="145"/>
      <c r="H438" s="145"/>
      <c r="I438" s="145"/>
      <c r="J438" s="145"/>
      <c r="K438" s="145"/>
      <c r="L438" s="145"/>
      <c r="M438" s="146"/>
      <c r="N438" s="145"/>
      <c r="O438" s="145"/>
      <c r="P438" s="145"/>
      <c r="Q438" s="145"/>
      <c r="R438" s="145"/>
      <c r="S438" s="145"/>
      <c r="T438" s="145"/>
      <c r="U438" s="145"/>
      <c r="V438" s="145"/>
      <c r="W438" s="145"/>
      <c r="X438" s="145"/>
      <c r="Y438" s="145"/>
      <c r="Z438" s="145"/>
    </row>
    <row r="439" spans="1:26" ht="13.2">
      <c r="A439" s="144">
        <v>0</v>
      </c>
      <c r="B439" s="145"/>
      <c r="C439" s="145"/>
      <c r="D439" s="145"/>
      <c r="E439" s="145"/>
      <c r="F439" s="145"/>
      <c r="G439" s="145"/>
      <c r="H439" s="145"/>
      <c r="I439" s="145"/>
      <c r="J439" s="145"/>
      <c r="K439" s="145"/>
      <c r="L439" s="145"/>
      <c r="M439" s="146"/>
      <c r="N439" s="145"/>
      <c r="O439" s="145"/>
      <c r="P439" s="145"/>
      <c r="Q439" s="145"/>
      <c r="R439" s="145"/>
      <c r="S439" s="145"/>
      <c r="T439" s="145"/>
      <c r="U439" s="145"/>
      <c r="V439" s="145"/>
      <c r="W439" s="145"/>
      <c r="X439" s="145"/>
      <c r="Y439" s="145"/>
      <c r="Z439" s="145"/>
    </row>
    <row r="440" spans="1:26" ht="13.2">
      <c r="A440" s="144">
        <v>0</v>
      </c>
      <c r="B440" s="145"/>
      <c r="C440" s="145"/>
      <c r="D440" s="145"/>
      <c r="E440" s="145"/>
      <c r="F440" s="145"/>
      <c r="G440" s="145"/>
      <c r="H440" s="145"/>
      <c r="I440" s="145"/>
      <c r="J440" s="145"/>
      <c r="K440" s="145"/>
      <c r="L440" s="145"/>
      <c r="M440" s="146"/>
      <c r="N440" s="145"/>
      <c r="O440" s="145"/>
      <c r="P440" s="145"/>
      <c r="Q440" s="145"/>
      <c r="R440" s="145"/>
      <c r="S440" s="145"/>
      <c r="T440" s="145"/>
      <c r="U440" s="145"/>
      <c r="V440" s="145"/>
      <c r="W440" s="145"/>
      <c r="X440" s="145"/>
      <c r="Y440" s="145"/>
      <c r="Z440" s="145"/>
    </row>
    <row r="441" spans="1:26" ht="13.2">
      <c r="A441" s="144">
        <v>0</v>
      </c>
      <c r="B441" s="145"/>
      <c r="C441" s="145"/>
      <c r="D441" s="145"/>
      <c r="E441" s="145"/>
      <c r="F441" s="145"/>
      <c r="G441" s="145"/>
      <c r="H441" s="145"/>
      <c r="I441" s="145"/>
      <c r="J441" s="145"/>
      <c r="K441" s="145"/>
      <c r="L441" s="145"/>
      <c r="M441" s="146"/>
      <c r="N441" s="145"/>
      <c r="O441" s="145"/>
      <c r="P441" s="145"/>
      <c r="Q441" s="145"/>
      <c r="R441" s="145"/>
      <c r="S441" s="145"/>
      <c r="T441" s="145"/>
      <c r="U441" s="145"/>
      <c r="V441" s="145"/>
      <c r="W441" s="145"/>
      <c r="X441" s="145"/>
      <c r="Y441" s="145"/>
      <c r="Z441" s="145"/>
    </row>
    <row r="442" spans="1:26" ht="13.2">
      <c r="A442" s="144">
        <v>0</v>
      </c>
      <c r="B442" s="145"/>
      <c r="C442" s="145"/>
      <c r="D442" s="145"/>
      <c r="E442" s="145"/>
      <c r="F442" s="145"/>
      <c r="G442" s="145"/>
      <c r="H442" s="145"/>
      <c r="I442" s="145"/>
      <c r="J442" s="145"/>
      <c r="K442" s="145"/>
      <c r="L442" s="145"/>
      <c r="M442" s="146"/>
      <c r="N442" s="145"/>
      <c r="O442" s="145"/>
      <c r="P442" s="145"/>
      <c r="Q442" s="145"/>
      <c r="R442" s="145"/>
      <c r="S442" s="145"/>
      <c r="T442" s="145"/>
      <c r="U442" s="145"/>
      <c r="V442" s="145"/>
      <c r="W442" s="145"/>
      <c r="X442" s="145"/>
      <c r="Y442" s="145"/>
      <c r="Z442" s="145"/>
    </row>
    <row r="443" spans="1:26" ht="13.2">
      <c r="A443" s="144">
        <v>0</v>
      </c>
      <c r="B443" s="145"/>
      <c r="C443" s="145"/>
      <c r="D443" s="145"/>
      <c r="E443" s="145"/>
      <c r="F443" s="145"/>
      <c r="G443" s="145"/>
      <c r="H443" s="145"/>
      <c r="I443" s="145"/>
      <c r="J443" s="145"/>
      <c r="K443" s="145"/>
      <c r="L443" s="145"/>
      <c r="M443" s="146"/>
      <c r="N443" s="145"/>
      <c r="O443" s="145"/>
      <c r="P443" s="145"/>
      <c r="Q443" s="145"/>
      <c r="R443" s="145"/>
      <c r="S443" s="145"/>
      <c r="T443" s="145"/>
      <c r="U443" s="145"/>
      <c r="V443" s="145"/>
      <c r="W443" s="145"/>
      <c r="X443" s="145"/>
      <c r="Y443" s="145"/>
      <c r="Z443" s="145"/>
    </row>
    <row r="444" spans="1:26" ht="13.2">
      <c r="A444" s="144">
        <v>0</v>
      </c>
      <c r="B444" s="145"/>
      <c r="C444" s="145"/>
      <c r="D444" s="145"/>
      <c r="E444" s="145"/>
      <c r="F444" s="145"/>
      <c r="G444" s="145"/>
      <c r="H444" s="145"/>
      <c r="I444" s="145"/>
      <c r="J444" s="145"/>
      <c r="K444" s="145"/>
      <c r="L444" s="145"/>
      <c r="M444" s="146"/>
      <c r="N444" s="145"/>
      <c r="O444" s="145"/>
      <c r="P444" s="145"/>
      <c r="Q444" s="145"/>
      <c r="R444" s="145"/>
      <c r="S444" s="145"/>
      <c r="T444" s="145"/>
      <c r="U444" s="145"/>
      <c r="V444" s="145"/>
      <c r="W444" s="145"/>
      <c r="X444" s="145"/>
      <c r="Y444" s="145"/>
      <c r="Z444" s="145"/>
    </row>
    <row r="445" spans="1:26" ht="13.2">
      <c r="A445" s="144">
        <v>0</v>
      </c>
      <c r="B445" s="145"/>
      <c r="C445" s="145"/>
      <c r="D445" s="145"/>
      <c r="E445" s="145"/>
      <c r="F445" s="145"/>
      <c r="G445" s="145"/>
      <c r="H445" s="145"/>
      <c r="I445" s="145"/>
      <c r="J445" s="145"/>
      <c r="K445" s="145"/>
      <c r="L445" s="145"/>
      <c r="M445" s="146"/>
      <c r="N445" s="145"/>
      <c r="O445" s="145"/>
      <c r="P445" s="145"/>
      <c r="Q445" s="145"/>
      <c r="R445" s="145"/>
      <c r="S445" s="145"/>
      <c r="T445" s="145"/>
      <c r="U445" s="145"/>
      <c r="V445" s="145"/>
      <c r="W445" s="145"/>
      <c r="X445" s="145"/>
      <c r="Y445" s="145"/>
      <c r="Z445" s="145"/>
    </row>
    <row r="446" spans="1:26" ht="13.2">
      <c r="A446" s="144">
        <v>0</v>
      </c>
      <c r="B446" s="145"/>
      <c r="C446" s="145"/>
      <c r="D446" s="145"/>
      <c r="E446" s="145"/>
      <c r="F446" s="145"/>
      <c r="G446" s="145"/>
      <c r="H446" s="145"/>
      <c r="I446" s="145"/>
      <c r="J446" s="145"/>
      <c r="K446" s="145"/>
      <c r="L446" s="145"/>
      <c r="M446" s="146"/>
      <c r="N446" s="145"/>
      <c r="O446" s="145"/>
      <c r="P446" s="145"/>
      <c r="Q446" s="145"/>
      <c r="R446" s="145"/>
      <c r="S446" s="145"/>
      <c r="T446" s="145"/>
      <c r="U446" s="145"/>
      <c r="V446" s="145"/>
      <c r="W446" s="145"/>
      <c r="X446" s="145"/>
      <c r="Y446" s="145"/>
      <c r="Z446" s="145"/>
    </row>
    <row r="447" spans="1:26" ht="13.2">
      <c r="A447" s="144">
        <v>0</v>
      </c>
      <c r="B447" s="145"/>
      <c r="C447" s="145"/>
      <c r="D447" s="145"/>
      <c r="E447" s="145"/>
      <c r="F447" s="145"/>
      <c r="G447" s="145"/>
      <c r="H447" s="145"/>
      <c r="I447" s="145"/>
      <c r="J447" s="145"/>
      <c r="K447" s="145"/>
      <c r="L447" s="145"/>
      <c r="M447" s="146"/>
      <c r="N447" s="145"/>
      <c r="O447" s="145"/>
      <c r="P447" s="145"/>
      <c r="Q447" s="145"/>
      <c r="R447" s="145"/>
      <c r="S447" s="145"/>
      <c r="T447" s="145"/>
      <c r="U447" s="145"/>
      <c r="V447" s="145"/>
      <c r="W447" s="145"/>
      <c r="X447" s="145"/>
      <c r="Y447" s="145"/>
      <c r="Z447" s="145"/>
    </row>
    <row r="448" spans="1:26" ht="13.2">
      <c r="A448" s="144">
        <v>0</v>
      </c>
      <c r="B448" s="145"/>
      <c r="C448" s="145"/>
      <c r="D448" s="145"/>
      <c r="E448" s="145"/>
      <c r="F448" s="145"/>
      <c r="G448" s="145"/>
      <c r="H448" s="145"/>
      <c r="I448" s="145"/>
      <c r="J448" s="145"/>
      <c r="K448" s="145"/>
      <c r="L448" s="145"/>
      <c r="M448" s="146"/>
      <c r="N448" s="145"/>
      <c r="O448" s="145"/>
      <c r="P448" s="145"/>
      <c r="Q448" s="145"/>
      <c r="R448" s="145"/>
      <c r="S448" s="145"/>
      <c r="T448" s="145"/>
      <c r="U448" s="145"/>
      <c r="V448" s="145"/>
      <c r="W448" s="145"/>
      <c r="X448" s="145"/>
      <c r="Y448" s="145"/>
      <c r="Z448" s="145"/>
    </row>
    <row r="449" spans="1:26" ht="13.2">
      <c r="A449" s="144">
        <v>0</v>
      </c>
      <c r="B449" s="145"/>
      <c r="C449" s="145"/>
      <c r="D449" s="145"/>
      <c r="E449" s="145"/>
      <c r="F449" s="145"/>
      <c r="G449" s="145"/>
      <c r="H449" s="145"/>
      <c r="I449" s="145"/>
      <c r="J449" s="145"/>
      <c r="K449" s="145"/>
      <c r="L449" s="145"/>
      <c r="M449" s="146"/>
      <c r="N449" s="145"/>
      <c r="O449" s="145"/>
      <c r="P449" s="145"/>
      <c r="Q449" s="145"/>
      <c r="R449" s="145"/>
      <c r="S449" s="145"/>
      <c r="T449" s="145"/>
      <c r="U449" s="145"/>
      <c r="V449" s="145"/>
      <c r="W449" s="145"/>
      <c r="X449" s="145"/>
      <c r="Y449" s="145"/>
      <c r="Z449" s="145"/>
    </row>
    <row r="450" spans="1:26" ht="13.2">
      <c r="A450" s="144">
        <v>0</v>
      </c>
      <c r="B450" s="145"/>
      <c r="C450" s="145"/>
      <c r="D450" s="145"/>
      <c r="E450" s="145"/>
      <c r="F450" s="145"/>
      <c r="G450" s="145"/>
      <c r="H450" s="145"/>
      <c r="I450" s="145"/>
      <c r="J450" s="145"/>
      <c r="K450" s="145"/>
      <c r="L450" s="145"/>
      <c r="M450" s="146"/>
      <c r="N450" s="145"/>
      <c r="O450" s="145"/>
      <c r="P450" s="145"/>
      <c r="Q450" s="145"/>
      <c r="R450" s="145"/>
      <c r="S450" s="145"/>
      <c r="T450" s="145"/>
      <c r="U450" s="145"/>
      <c r="V450" s="145"/>
      <c r="W450" s="145"/>
      <c r="X450" s="145"/>
      <c r="Y450" s="145"/>
      <c r="Z450" s="145"/>
    </row>
    <row r="451" spans="1:26" ht="13.2">
      <c r="A451" s="144">
        <v>0</v>
      </c>
      <c r="B451" s="145"/>
      <c r="C451" s="145"/>
      <c r="D451" s="145"/>
      <c r="E451" s="145"/>
      <c r="F451" s="145"/>
      <c r="G451" s="145"/>
      <c r="H451" s="145"/>
      <c r="I451" s="145"/>
      <c r="J451" s="145"/>
      <c r="K451" s="145"/>
      <c r="L451" s="145"/>
      <c r="M451" s="146"/>
      <c r="N451" s="145"/>
      <c r="O451" s="145"/>
      <c r="P451" s="145"/>
      <c r="Q451" s="145"/>
      <c r="R451" s="145"/>
      <c r="S451" s="145"/>
      <c r="T451" s="145"/>
      <c r="U451" s="145"/>
      <c r="V451" s="145"/>
      <c r="W451" s="145"/>
      <c r="X451" s="145"/>
      <c r="Y451" s="145"/>
      <c r="Z451" s="145"/>
    </row>
    <row r="452" spans="1:26" ht="13.2">
      <c r="A452" s="144">
        <v>0</v>
      </c>
      <c r="B452" s="145"/>
      <c r="C452" s="145"/>
      <c r="D452" s="145"/>
      <c r="E452" s="145"/>
      <c r="F452" s="145"/>
      <c r="G452" s="145"/>
      <c r="H452" s="145"/>
      <c r="I452" s="145"/>
      <c r="J452" s="145"/>
      <c r="K452" s="145"/>
      <c r="L452" s="145"/>
      <c r="M452" s="146"/>
      <c r="N452" s="145"/>
      <c r="O452" s="145"/>
      <c r="P452" s="145"/>
      <c r="Q452" s="145"/>
      <c r="R452" s="145"/>
      <c r="S452" s="145"/>
      <c r="T452" s="145"/>
      <c r="U452" s="145"/>
      <c r="V452" s="145"/>
      <c r="W452" s="145"/>
      <c r="X452" s="145"/>
      <c r="Y452" s="145"/>
      <c r="Z452" s="145"/>
    </row>
    <row r="453" spans="1:26" ht="13.2">
      <c r="A453" s="144">
        <v>0</v>
      </c>
      <c r="B453" s="145"/>
      <c r="C453" s="145"/>
      <c r="D453" s="145"/>
      <c r="E453" s="145"/>
      <c r="F453" s="145"/>
      <c r="G453" s="145"/>
      <c r="H453" s="145"/>
      <c r="I453" s="145"/>
      <c r="J453" s="145"/>
      <c r="K453" s="145"/>
      <c r="L453" s="145"/>
      <c r="M453" s="146"/>
      <c r="N453" s="145"/>
      <c r="O453" s="145"/>
      <c r="P453" s="145"/>
      <c r="Q453" s="145"/>
      <c r="R453" s="145"/>
      <c r="S453" s="145"/>
      <c r="T453" s="145"/>
      <c r="U453" s="145"/>
      <c r="V453" s="145"/>
      <c r="W453" s="145"/>
      <c r="X453" s="145"/>
      <c r="Y453" s="145"/>
      <c r="Z453" s="145"/>
    </row>
    <row r="454" spans="1:26" ht="13.2">
      <c r="A454" s="144">
        <v>0</v>
      </c>
      <c r="B454" s="145"/>
      <c r="C454" s="145"/>
      <c r="D454" s="145"/>
      <c r="E454" s="145"/>
      <c r="F454" s="145"/>
      <c r="G454" s="145"/>
      <c r="H454" s="145"/>
      <c r="I454" s="145"/>
      <c r="J454" s="145"/>
      <c r="K454" s="145"/>
      <c r="L454" s="145"/>
      <c r="M454" s="146"/>
      <c r="N454" s="145"/>
      <c r="O454" s="145"/>
      <c r="P454" s="145"/>
      <c r="Q454" s="145"/>
      <c r="R454" s="145"/>
      <c r="S454" s="145"/>
      <c r="T454" s="145"/>
      <c r="U454" s="145"/>
      <c r="V454" s="145"/>
      <c r="W454" s="145"/>
      <c r="X454" s="145"/>
      <c r="Y454" s="145"/>
      <c r="Z454" s="145"/>
    </row>
    <row r="455" spans="1:26" ht="13.2">
      <c r="A455" s="144">
        <v>0</v>
      </c>
      <c r="B455" s="145"/>
      <c r="C455" s="145"/>
      <c r="D455" s="145"/>
      <c r="E455" s="145"/>
      <c r="F455" s="145"/>
      <c r="G455" s="145"/>
      <c r="H455" s="145"/>
      <c r="I455" s="145"/>
      <c r="J455" s="145"/>
      <c r="K455" s="145"/>
      <c r="L455" s="145"/>
      <c r="M455" s="146"/>
      <c r="N455" s="145"/>
      <c r="O455" s="145"/>
      <c r="P455" s="145"/>
      <c r="Q455" s="145"/>
      <c r="R455" s="145"/>
      <c r="S455" s="145"/>
      <c r="T455" s="145"/>
      <c r="U455" s="145"/>
      <c r="V455" s="145"/>
      <c r="W455" s="145"/>
      <c r="X455" s="145"/>
      <c r="Y455" s="145"/>
      <c r="Z455" s="145"/>
    </row>
    <row r="456" spans="1:26" ht="13.2">
      <c r="A456" s="144">
        <v>0</v>
      </c>
      <c r="B456" s="145"/>
      <c r="C456" s="145"/>
      <c r="D456" s="145"/>
      <c r="E456" s="145"/>
      <c r="F456" s="145"/>
      <c r="G456" s="145"/>
      <c r="H456" s="145"/>
      <c r="I456" s="145"/>
      <c r="J456" s="145"/>
      <c r="K456" s="145"/>
      <c r="L456" s="145"/>
      <c r="M456" s="146"/>
      <c r="N456" s="145"/>
      <c r="O456" s="145"/>
      <c r="P456" s="145"/>
      <c r="Q456" s="145"/>
      <c r="R456" s="145"/>
      <c r="S456" s="145"/>
      <c r="T456" s="145"/>
      <c r="U456" s="145"/>
      <c r="V456" s="145"/>
      <c r="W456" s="145"/>
      <c r="X456" s="145"/>
      <c r="Y456" s="145"/>
      <c r="Z456" s="145"/>
    </row>
    <row r="457" spans="1:26" ht="13.2">
      <c r="A457" s="144">
        <v>0</v>
      </c>
      <c r="B457" s="145"/>
      <c r="C457" s="145"/>
      <c r="D457" s="145"/>
      <c r="E457" s="145"/>
      <c r="F457" s="145"/>
      <c r="G457" s="145"/>
      <c r="H457" s="145"/>
      <c r="I457" s="145"/>
      <c r="J457" s="145"/>
      <c r="K457" s="145"/>
      <c r="L457" s="145"/>
      <c r="M457" s="146"/>
      <c r="N457" s="145"/>
      <c r="O457" s="145"/>
      <c r="P457" s="145"/>
      <c r="Q457" s="145"/>
      <c r="R457" s="145"/>
      <c r="S457" s="145"/>
      <c r="T457" s="145"/>
      <c r="U457" s="145"/>
      <c r="V457" s="145"/>
      <c r="W457" s="145"/>
      <c r="X457" s="145"/>
      <c r="Y457" s="145"/>
      <c r="Z457" s="145"/>
    </row>
    <row r="458" spans="1:26" ht="13.2">
      <c r="A458" s="144">
        <v>0</v>
      </c>
      <c r="B458" s="145"/>
      <c r="C458" s="145"/>
      <c r="D458" s="145"/>
      <c r="E458" s="145"/>
      <c r="F458" s="145"/>
      <c r="G458" s="145"/>
      <c r="H458" s="145"/>
      <c r="I458" s="145"/>
      <c r="J458" s="145"/>
      <c r="K458" s="145"/>
      <c r="L458" s="145"/>
      <c r="M458" s="146"/>
      <c r="N458" s="145"/>
      <c r="O458" s="145"/>
      <c r="P458" s="145"/>
      <c r="Q458" s="145"/>
      <c r="R458" s="145"/>
      <c r="S458" s="145"/>
      <c r="T458" s="145"/>
      <c r="U458" s="145"/>
      <c r="V458" s="145"/>
      <c r="W458" s="145"/>
      <c r="X458" s="145"/>
      <c r="Y458" s="145"/>
      <c r="Z458" s="145"/>
    </row>
    <row r="459" spans="1:26" ht="13.2">
      <c r="A459" s="144">
        <v>0</v>
      </c>
      <c r="B459" s="145"/>
      <c r="C459" s="145"/>
      <c r="D459" s="145"/>
      <c r="E459" s="145"/>
      <c r="F459" s="145"/>
      <c r="G459" s="145"/>
      <c r="H459" s="145"/>
      <c r="I459" s="145"/>
      <c r="J459" s="145"/>
      <c r="K459" s="145"/>
      <c r="L459" s="145"/>
      <c r="M459" s="146"/>
      <c r="N459" s="145"/>
      <c r="O459" s="145"/>
      <c r="P459" s="145"/>
      <c r="Q459" s="145"/>
      <c r="R459" s="145"/>
      <c r="S459" s="145"/>
      <c r="T459" s="145"/>
      <c r="U459" s="145"/>
      <c r="V459" s="145"/>
      <c r="W459" s="145"/>
      <c r="X459" s="145"/>
      <c r="Y459" s="145"/>
      <c r="Z459" s="145"/>
    </row>
    <row r="460" spans="1:26" ht="13.2">
      <c r="A460" s="144">
        <v>0</v>
      </c>
      <c r="B460" s="145"/>
      <c r="C460" s="145"/>
      <c r="D460" s="145"/>
      <c r="E460" s="145"/>
      <c r="F460" s="145"/>
      <c r="G460" s="145"/>
      <c r="H460" s="145"/>
      <c r="I460" s="145"/>
      <c r="J460" s="145"/>
      <c r="K460" s="145"/>
      <c r="L460" s="145"/>
      <c r="M460" s="146"/>
      <c r="N460" s="145"/>
      <c r="O460" s="145"/>
      <c r="P460" s="145"/>
      <c r="Q460" s="145"/>
      <c r="R460" s="145"/>
      <c r="S460" s="145"/>
      <c r="T460" s="145"/>
      <c r="U460" s="145"/>
      <c r="V460" s="145"/>
      <c r="W460" s="145"/>
      <c r="X460" s="145"/>
      <c r="Y460" s="145"/>
      <c r="Z460" s="145"/>
    </row>
    <row r="461" spans="1:26" ht="13.2">
      <c r="A461" s="144">
        <v>0</v>
      </c>
      <c r="B461" s="145"/>
      <c r="C461" s="145"/>
      <c r="D461" s="145"/>
      <c r="E461" s="145"/>
      <c r="F461" s="145"/>
      <c r="G461" s="145"/>
      <c r="H461" s="145"/>
      <c r="I461" s="145"/>
      <c r="J461" s="145"/>
      <c r="K461" s="145"/>
      <c r="L461" s="145"/>
      <c r="M461" s="146"/>
      <c r="N461" s="145"/>
      <c r="O461" s="145"/>
      <c r="P461" s="145"/>
      <c r="Q461" s="145"/>
      <c r="R461" s="145"/>
      <c r="S461" s="145"/>
      <c r="T461" s="145"/>
      <c r="U461" s="145"/>
      <c r="V461" s="145"/>
      <c r="W461" s="145"/>
      <c r="X461" s="145"/>
      <c r="Y461" s="145"/>
      <c r="Z461" s="145"/>
    </row>
    <row r="462" spans="1:26" ht="13.2">
      <c r="A462" s="144">
        <v>0</v>
      </c>
      <c r="B462" s="145"/>
      <c r="C462" s="145"/>
      <c r="D462" s="145"/>
      <c r="E462" s="145"/>
      <c r="F462" s="145"/>
      <c r="G462" s="145"/>
      <c r="H462" s="145"/>
      <c r="I462" s="145"/>
      <c r="J462" s="145"/>
      <c r="K462" s="145"/>
      <c r="L462" s="145"/>
      <c r="M462" s="146"/>
      <c r="N462" s="145"/>
      <c r="O462" s="145"/>
      <c r="P462" s="145"/>
      <c r="Q462" s="145"/>
      <c r="R462" s="145"/>
      <c r="S462" s="145"/>
      <c r="T462" s="145"/>
      <c r="U462" s="145"/>
      <c r="V462" s="145"/>
      <c r="W462" s="145"/>
      <c r="X462" s="145"/>
      <c r="Y462" s="145"/>
      <c r="Z462" s="145"/>
    </row>
    <row r="463" spans="1:26" ht="13.2">
      <c r="A463" s="144">
        <v>0</v>
      </c>
      <c r="B463" s="145"/>
      <c r="C463" s="145"/>
      <c r="D463" s="145"/>
      <c r="E463" s="145"/>
      <c r="F463" s="145"/>
      <c r="G463" s="145"/>
      <c r="H463" s="145"/>
      <c r="I463" s="145"/>
      <c r="J463" s="145"/>
      <c r="K463" s="145"/>
      <c r="L463" s="145"/>
      <c r="M463" s="146"/>
      <c r="N463" s="145"/>
      <c r="O463" s="145"/>
      <c r="P463" s="145"/>
      <c r="Q463" s="145"/>
      <c r="R463" s="145"/>
      <c r="S463" s="145"/>
      <c r="T463" s="145"/>
      <c r="U463" s="145"/>
      <c r="V463" s="145"/>
      <c r="W463" s="145"/>
      <c r="X463" s="145"/>
      <c r="Y463" s="145"/>
      <c r="Z463" s="145"/>
    </row>
    <row r="464" spans="1:26" ht="13.2">
      <c r="A464" s="144">
        <v>0</v>
      </c>
      <c r="B464" s="145"/>
      <c r="C464" s="145"/>
      <c r="D464" s="145"/>
      <c r="E464" s="145"/>
      <c r="F464" s="145"/>
      <c r="G464" s="145"/>
      <c r="H464" s="145"/>
      <c r="I464" s="145"/>
      <c r="J464" s="145"/>
      <c r="K464" s="145"/>
      <c r="L464" s="145"/>
      <c r="M464" s="146"/>
      <c r="N464" s="145"/>
      <c r="O464" s="145"/>
      <c r="P464" s="145"/>
      <c r="Q464" s="145"/>
      <c r="R464" s="145"/>
      <c r="S464" s="145"/>
      <c r="T464" s="145"/>
      <c r="U464" s="145"/>
      <c r="V464" s="145"/>
      <c r="W464" s="145"/>
      <c r="X464" s="145"/>
      <c r="Y464" s="145"/>
      <c r="Z464" s="145"/>
    </row>
    <row r="465" spans="1:26" ht="13.2">
      <c r="A465" s="144">
        <v>0</v>
      </c>
      <c r="B465" s="145"/>
      <c r="C465" s="145"/>
      <c r="D465" s="145"/>
      <c r="E465" s="145"/>
      <c r="F465" s="145"/>
      <c r="G465" s="145"/>
      <c r="H465" s="145"/>
      <c r="I465" s="145"/>
      <c r="J465" s="145"/>
      <c r="K465" s="145"/>
      <c r="L465" s="145"/>
      <c r="M465" s="146"/>
      <c r="N465" s="145"/>
      <c r="O465" s="145"/>
      <c r="P465" s="145"/>
      <c r="Q465" s="145"/>
      <c r="R465" s="145"/>
      <c r="S465" s="145"/>
      <c r="T465" s="145"/>
      <c r="U465" s="145"/>
      <c r="V465" s="145"/>
      <c r="W465" s="145"/>
      <c r="X465" s="145"/>
      <c r="Y465" s="145"/>
      <c r="Z465" s="145"/>
    </row>
    <row r="466" spans="1:26" ht="13.2">
      <c r="A466" s="144">
        <v>0</v>
      </c>
      <c r="B466" s="145"/>
      <c r="C466" s="145"/>
      <c r="D466" s="145"/>
      <c r="E466" s="145"/>
      <c r="F466" s="145"/>
      <c r="G466" s="145"/>
      <c r="H466" s="145"/>
      <c r="I466" s="145"/>
      <c r="J466" s="145"/>
      <c r="K466" s="145"/>
      <c r="L466" s="145"/>
      <c r="M466" s="146"/>
      <c r="N466" s="145"/>
      <c r="O466" s="145"/>
      <c r="P466" s="145"/>
      <c r="Q466" s="145"/>
      <c r="R466" s="145"/>
      <c r="S466" s="145"/>
      <c r="T466" s="145"/>
      <c r="U466" s="145"/>
      <c r="V466" s="145"/>
      <c r="W466" s="145"/>
      <c r="X466" s="145"/>
      <c r="Y466" s="145"/>
      <c r="Z466" s="145"/>
    </row>
    <row r="467" spans="1:26" ht="13.2">
      <c r="A467" s="144">
        <v>0</v>
      </c>
      <c r="B467" s="145"/>
      <c r="C467" s="145"/>
      <c r="D467" s="145"/>
      <c r="E467" s="145"/>
      <c r="F467" s="145"/>
      <c r="G467" s="145"/>
      <c r="H467" s="145"/>
      <c r="I467" s="145"/>
      <c r="J467" s="145"/>
      <c r="K467" s="145"/>
      <c r="L467" s="145"/>
      <c r="M467" s="146"/>
      <c r="N467" s="145"/>
      <c r="O467" s="145"/>
      <c r="P467" s="145"/>
      <c r="Q467" s="145"/>
      <c r="R467" s="145"/>
      <c r="S467" s="145"/>
      <c r="T467" s="145"/>
      <c r="U467" s="145"/>
      <c r="V467" s="145"/>
      <c r="W467" s="145"/>
      <c r="X467" s="145"/>
      <c r="Y467" s="145"/>
      <c r="Z467" s="145"/>
    </row>
    <row r="468" spans="1:26" ht="13.2">
      <c r="A468" s="144">
        <v>0</v>
      </c>
      <c r="B468" s="145"/>
      <c r="C468" s="145"/>
      <c r="D468" s="145"/>
      <c r="E468" s="145"/>
      <c r="F468" s="145"/>
      <c r="G468" s="145"/>
      <c r="H468" s="145"/>
      <c r="I468" s="145"/>
      <c r="J468" s="145"/>
      <c r="K468" s="145"/>
      <c r="L468" s="145"/>
      <c r="M468" s="146"/>
      <c r="N468" s="145"/>
      <c r="O468" s="145"/>
      <c r="P468" s="145"/>
      <c r="Q468" s="145"/>
      <c r="R468" s="145"/>
      <c r="S468" s="145"/>
      <c r="T468" s="145"/>
      <c r="U468" s="145"/>
      <c r="V468" s="145"/>
      <c r="W468" s="145"/>
      <c r="X468" s="145"/>
      <c r="Y468" s="145"/>
      <c r="Z468" s="145"/>
    </row>
    <row r="469" spans="1:26" ht="13.2">
      <c r="A469" s="144">
        <v>0</v>
      </c>
      <c r="B469" s="145"/>
      <c r="C469" s="145"/>
      <c r="D469" s="145"/>
      <c r="E469" s="145"/>
      <c r="F469" s="145"/>
      <c r="G469" s="145"/>
      <c r="H469" s="145"/>
      <c r="I469" s="145"/>
      <c r="J469" s="145"/>
      <c r="K469" s="145"/>
      <c r="L469" s="145"/>
      <c r="M469" s="146"/>
      <c r="N469" s="145"/>
      <c r="O469" s="145"/>
      <c r="P469" s="145"/>
      <c r="Q469" s="145"/>
      <c r="R469" s="145"/>
      <c r="S469" s="145"/>
      <c r="T469" s="145"/>
      <c r="U469" s="145"/>
      <c r="V469" s="145"/>
      <c r="W469" s="145"/>
      <c r="X469" s="145"/>
      <c r="Y469" s="145"/>
      <c r="Z469" s="145"/>
    </row>
    <row r="470" spans="1:26" ht="13.2">
      <c r="A470" s="144">
        <v>0</v>
      </c>
      <c r="B470" s="145"/>
      <c r="C470" s="145"/>
      <c r="D470" s="145"/>
      <c r="E470" s="145"/>
      <c r="F470" s="145"/>
      <c r="G470" s="145"/>
      <c r="H470" s="145"/>
      <c r="I470" s="145"/>
      <c r="J470" s="145"/>
      <c r="K470" s="145"/>
      <c r="L470" s="145"/>
      <c r="M470" s="146"/>
      <c r="N470" s="145"/>
      <c r="O470" s="145"/>
      <c r="P470" s="145"/>
      <c r="Q470" s="145"/>
      <c r="R470" s="145"/>
      <c r="S470" s="145"/>
      <c r="T470" s="145"/>
      <c r="U470" s="145"/>
      <c r="V470" s="145"/>
      <c r="W470" s="145"/>
      <c r="X470" s="145"/>
      <c r="Y470" s="145"/>
      <c r="Z470" s="145"/>
    </row>
    <row r="471" spans="1:26" ht="13.2">
      <c r="A471" s="144">
        <v>0</v>
      </c>
      <c r="B471" s="145"/>
      <c r="C471" s="145"/>
      <c r="D471" s="145"/>
      <c r="E471" s="145"/>
      <c r="F471" s="145"/>
      <c r="G471" s="145"/>
      <c r="H471" s="145"/>
      <c r="I471" s="145"/>
      <c r="J471" s="145"/>
      <c r="K471" s="145"/>
      <c r="L471" s="145"/>
      <c r="M471" s="146"/>
      <c r="N471" s="145"/>
      <c r="O471" s="145"/>
      <c r="P471" s="145"/>
      <c r="Q471" s="145"/>
      <c r="R471" s="145"/>
      <c r="S471" s="145"/>
      <c r="T471" s="145"/>
      <c r="U471" s="145"/>
      <c r="V471" s="145"/>
      <c r="W471" s="145"/>
      <c r="X471" s="145"/>
      <c r="Y471" s="145"/>
      <c r="Z471" s="145"/>
    </row>
    <row r="472" spans="1:26" ht="13.2">
      <c r="A472" s="144">
        <v>0</v>
      </c>
      <c r="B472" s="145"/>
      <c r="C472" s="145"/>
      <c r="D472" s="145"/>
      <c r="E472" s="145"/>
      <c r="F472" s="145"/>
      <c r="G472" s="145"/>
      <c r="H472" s="145"/>
      <c r="I472" s="145"/>
      <c r="J472" s="145"/>
      <c r="K472" s="145"/>
      <c r="L472" s="145"/>
      <c r="M472" s="146"/>
      <c r="N472" s="145"/>
      <c r="O472" s="145"/>
      <c r="P472" s="145"/>
      <c r="Q472" s="145"/>
      <c r="R472" s="145"/>
      <c r="S472" s="145"/>
      <c r="T472" s="145"/>
      <c r="U472" s="145"/>
      <c r="V472" s="145"/>
      <c r="W472" s="145"/>
      <c r="X472" s="145"/>
      <c r="Y472" s="145"/>
      <c r="Z472" s="145"/>
    </row>
    <row r="473" spans="1:26" ht="13.2">
      <c r="A473" s="144">
        <v>0</v>
      </c>
      <c r="B473" s="145"/>
      <c r="C473" s="145"/>
      <c r="D473" s="145"/>
      <c r="E473" s="145"/>
      <c r="F473" s="145"/>
      <c r="G473" s="145"/>
      <c r="H473" s="145"/>
      <c r="I473" s="145"/>
      <c r="J473" s="145"/>
      <c r="K473" s="145"/>
      <c r="L473" s="145"/>
      <c r="M473" s="146"/>
      <c r="N473" s="145"/>
      <c r="O473" s="145"/>
      <c r="P473" s="145"/>
      <c r="Q473" s="145"/>
      <c r="R473" s="145"/>
      <c r="S473" s="145"/>
      <c r="T473" s="145"/>
      <c r="U473" s="145"/>
      <c r="V473" s="145"/>
      <c r="W473" s="145"/>
      <c r="X473" s="145"/>
      <c r="Y473" s="145"/>
      <c r="Z473" s="145"/>
    </row>
    <row r="474" spans="1:26" ht="13.2">
      <c r="A474" s="144">
        <v>0</v>
      </c>
      <c r="B474" s="145"/>
      <c r="C474" s="145"/>
      <c r="D474" s="145"/>
      <c r="E474" s="145"/>
      <c r="F474" s="145"/>
      <c r="G474" s="145"/>
      <c r="H474" s="145"/>
      <c r="I474" s="145"/>
      <c r="J474" s="145"/>
      <c r="K474" s="145"/>
      <c r="L474" s="145"/>
      <c r="M474" s="146"/>
      <c r="N474" s="145"/>
      <c r="O474" s="145"/>
      <c r="P474" s="145"/>
      <c r="Q474" s="145"/>
      <c r="R474" s="145"/>
      <c r="S474" s="145"/>
      <c r="T474" s="145"/>
      <c r="U474" s="145"/>
      <c r="V474" s="145"/>
      <c r="W474" s="145"/>
      <c r="X474" s="145"/>
      <c r="Y474" s="145"/>
      <c r="Z474" s="145"/>
    </row>
    <row r="475" spans="1:26" ht="13.2">
      <c r="A475" s="144">
        <v>0</v>
      </c>
      <c r="B475" s="145"/>
      <c r="C475" s="145"/>
      <c r="D475" s="145"/>
      <c r="E475" s="145"/>
      <c r="F475" s="145"/>
      <c r="G475" s="145"/>
      <c r="H475" s="145"/>
      <c r="I475" s="145"/>
      <c r="J475" s="145"/>
      <c r="K475" s="145"/>
      <c r="L475" s="145"/>
      <c r="M475" s="146"/>
      <c r="N475" s="145"/>
      <c r="O475" s="145"/>
      <c r="P475" s="145"/>
      <c r="Q475" s="145"/>
      <c r="R475" s="145"/>
      <c r="S475" s="145"/>
      <c r="T475" s="145"/>
      <c r="U475" s="145"/>
      <c r="V475" s="145"/>
      <c r="W475" s="145"/>
      <c r="X475" s="145"/>
      <c r="Y475" s="145"/>
      <c r="Z475" s="145"/>
    </row>
    <row r="476" spans="1:26" ht="13.2">
      <c r="A476" s="144">
        <v>0</v>
      </c>
      <c r="B476" s="145"/>
      <c r="C476" s="145"/>
      <c r="D476" s="145"/>
      <c r="E476" s="145"/>
      <c r="F476" s="145"/>
      <c r="G476" s="145"/>
      <c r="H476" s="145"/>
      <c r="I476" s="145"/>
      <c r="J476" s="145"/>
      <c r="K476" s="145"/>
      <c r="L476" s="145"/>
      <c r="M476" s="146"/>
      <c r="N476" s="145"/>
      <c r="O476" s="145"/>
      <c r="P476" s="145"/>
      <c r="Q476" s="145"/>
      <c r="R476" s="145"/>
      <c r="S476" s="145"/>
      <c r="T476" s="145"/>
      <c r="U476" s="145"/>
      <c r="V476" s="145"/>
      <c r="W476" s="145"/>
      <c r="X476" s="145"/>
      <c r="Y476" s="145"/>
      <c r="Z476" s="145"/>
    </row>
    <row r="477" spans="1:26" ht="13.2">
      <c r="A477" s="144">
        <v>0</v>
      </c>
      <c r="B477" s="145"/>
      <c r="C477" s="145"/>
      <c r="D477" s="145"/>
      <c r="E477" s="145"/>
      <c r="F477" s="145"/>
      <c r="G477" s="145"/>
      <c r="H477" s="145"/>
      <c r="I477" s="145"/>
      <c r="J477" s="145"/>
      <c r="K477" s="145"/>
      <c r="L477" s="145"/>
      <c r="M477" s="146"/>
      <c r="N477" s="145"/>
      <c r="O477" s="145"/>
      <c r="P477" s="145"/>
      <c r="Q477" s="145"/>
      <c r="R477" s="145"/>
      <c r="S477" s="145"/>
      <c r="T477" s="145"/>
      <c r="U477" s="145"/>
      <c r="V477" s="145"/>
      <c r="W477" s="145"/>
      <c r="X477" s="145"/>
      <c r="Y477" s="145"/>
      <c r="Z477" s="145"/>
    </row>
    <row r="478" spans="1:26" ht="13.2">
      <c r="A478" s="144">
        <v>0</v>
      </c>
      <c r="B478" s="145"/>
      <c r="C478" s="145"/>
      <c r="D478" s="145"/>
      <c r="E478" s="145"/>
      <c r="F478" s="145"/>
      <c r="G478" s="145"/>
      <c r="H478" s="145"/>
      <c r="I478" s="145"/>
      <c r="J478" s="145"/>
      <c r="K478" s="145"/>
      <c r="L478" s="145"/>
      <c r="M478" s="146"/>
      <c r="N478" s="145"/>
      <c r="O478" s="145"/>
      <c r="P478" s="145"/>
      <c r="Q478" s="145"/>
      <c r="R478" s="145"/>
      <c r="S478" s="145"/>
      <c r="T478" s="145"/>
      <c r="U478" s="145"/>
      <c r="V478" s="145"/>
      <c r="W478" s="145"/>
      <c r="X478" s="145"/>
      <c r="Y478" s="145"/>
      <c r="Z478" s="145"/>
    </row>
    <row r="479" spans="1:26" ht="13.2">
      <c r="A479" s="144">
        <v>0</v>
      </c>
      <c r="B479" s="145"/>
      <c r="C479" s="145"/>
      <c r="D479" s="145"/>
      <c r="E479" s="145"/>
      <c r="F479" s="145"/>
      <c r="G479" s="145"/>
      <c r="H479" s="145"/>
      <c r="I479" s="145"/>
      <c r="J479" s="145"/>
      <c r="K479" s="145"/>
      <c r="L479" s="145"/>
      <c r="M479" s="146"/>
      <c r="N479" s="145"/>
      <c r="O479" s="145"/>
      <c r="P479" s="145"/>
      <c r="Q479" s="145"/>
      <c r="R479" s="145"/>
      <c r="S479" s="145"/>
      <c r="T479" s="145"/>
      <c r="U479" s="145"/>
      <c r="V479" s="145"/>
      <c r="W479" s="145"/>
      <c r="X479" s="145"/>
      <c r="Y479" s="145"/>
      <c r="Z479" s="145"/>
    </row>
    <row r="480" spans="1:26" ht="13.2">
      <c r="A480" s="144">
        <v>0</v>
      </c>
      <c r="B480" s="145"/>
      <c r="C480" s="145"/>
      <c r="D480" s="145"/>
      <c r="E480" s="145"/>
      <c r="F480" s="145"/>
      <c r="G480" s="145"/>
      <c r="H480" s="145"/>
      <c r="I480" s="145"/>
      <c r="J480" s="145"/>
      <c r="K480" s="145"/>
      <c r="L480" s="145"/>
      <c r="M480" s="146"/>
      <c r="N480" s="145"/>
      <c r="O480" s="145"/>
      <c r="P480" s="145"/>
      <c r="Q480" s="145"/>
      <c r="R480" s="145"/>
      <c r="S480" s="145"/>
      <c r="T480" s="145"/>
      <c r="U480" s="145"/>
      <c r="V480" s="145"/>
      <c r="W480" s="145"/>
      <c r="X480" s="145"/>
      <c r="Y480" s="145"/>
      <c r="Z480" s="145"/>
    </row>
    <row r="481" spans="1:26" ht="13.2">
      <c r="A481" s="144">
        <v>0</v>
      </c>
      <c r="B481" s="145"/>
      <c r="C481" s="145"/>
      <c r="D481" s="145"/>
      <c r="E481" s="145"/>
      <c r="F481" s="145"/>
      <c r="G481" s="145"/>
      <c r="H481" s="145"/>
      <c r="I481" s="145"/>
      <c r="J481" s="145"/>
      <c r="K481" s="145"/>
      <c r="L481" s="145"/>
      <c r="M481" s="146"/>
      <c r="N481" s="145"/>
      <c r="O481" s="145"/>
      <c r="P481" s="145"/>
      <c r="Q481" s="145"/>
      <c r="R481" s="145"/>
      <c r="S481" s="145"/>
      <c r="T481" s="145"/>
      <c r="U481" s="145"/>
      <c r="V481" s="145"/>
      <c r="W481" s="145"/>
      <c r="X481" s="145"/>
      <c r="Y481" s="145"/>
      <c r="Z481" s="145"/>
    </row>
    <row r="482" spans="1:26" ht="13.2">
      <c r="A482" s="144">
        <v>0</v>
      </c>
      <c r="B482" s="145"/>
      <c r="C482" s="145"/>
      <c r="D482" s="145"/>
      <c r="E482" s="145"/>
      <c r="F482" s="145"/>
      <c r="G482" s="145"/>
      <c r="H482" s="145"/>
      <c r="I482" s="145"/>
      <c r="J482" s="145"/>
      <c r="K482" s="145"/>
      <c r="L482" s="145"/>
      <c r="M482" s="146"/>
      <c r="N482" s="145"/>
      <c r="O482" s="145"/>
      <c r="P482" s="145"/>
      <c r="Q482" s="145"/>
      <c r="R482" s="145"/>
      <c r="S482" s="145"/>
      <c r="T482" s="145"/>
      <c r="U482" s="145"/>
      <c r="V482" s="145"/>
      <c r="W482" s="145"/>
      <c r="X482" s="145"/>
      <c r="Y482" s="145"/>
      <c r="Z482" s="145"/>
    </row>
    <row r="483" spans="1:26" ht="13.2">
      <c r="A483" s="144">
        <v>0</v>
      </c>
      <c r="B483" s="145"/>
      <c r="C483" s="145"/>
      <c r="D483" s="145"/>
      <c r="E483" s="145"/>
      <c r="F483" s="145"/>
      <c r="G483" s="145"/>
      <c r="H483" s="145"/>
      <c r="I483" s="145"/>
      <c r="J483" s="145"/>
      <c r="K483" s="145"/>
      <c r="L483" s="145"/>
      <c r="M483" s="146"/>
      <c r="N483" s="145"/>
      <c r="O483" s="145"/>
      <c r="P483" s="145"/>
      <c r="Q483" s="145"/>
      <c r="R483" s="145"/>
      <c r="S483" s="145"/>
      <c r="T483" s="145"/>
      <c r="U483" s="145"/>
      <c r="V483" s="145"/>
      <c r="W483" s="145"/>
      <c r="X483" s="145"/>
      <c r="Y483" s="145"/>
      <c r="Z483" s="145"/>
    </row>
    <row r="484" spans="1:26" ht="13.2">
      <c r="A484" s="144">
        <v>0</v>
      </c>
      <c r="B484" s="145"/>
      <c r="C484" s="145"/>
      <c r="D484" s="145"/>
      <c r="E484" s="145"/>
      <c r="F484" s="145"/>
      <c r="G484" s="145"/>
      <c r="H484" s="145"/>
      <c r="I484" s="145"/>
      <c r="J484" s="145"/>
      <c r="K484" s="145"/>
      <c r="L484" s="145"/>
      <c r="M484" s="146"/>
      <c r="N484" s="145"/>
      <c r="O484" s="145"/>
      <c r="P484" s="145"/>
      <c r="Q484" s="145"/>
      <c r="R484" s="145"/>
      <c r="S484" s="145"/>
      <c r="T484" s="145"/>
      <c r="U484" s="145"/>
      <c r="V484" s="145"/>
      <c r="W484" s="145"/>
      <c r="X484" s="145"/>
      <c r="Y484" s="145"/>
      <c r="Z484" s="145"/>
    </row>
    <row r="485" spans="1:26" ht="13.2">
      <c r="A485" s="144">
        <v>0</v>
      </c>
      <c r="B485" s="145"/>
      <c r="C485" s="145"/>
      <c r="D485" s="145"/>
      <c r="E485" s="145"/>
      <c r="F485" s="145"/>
      <c r="G485" s="145"/>
      <c r="H485" s="145"/>
      <c r="I485" s="145"/>
      <c r="J485" s="145"/>
      <c r="K485" s="145"/>
      <c r="L485" s="145"/>
      <c r="M485" s="146"/>
      <c r="N485" s="145"/>
      <c r="O485" s="145"/>
      <c r="P485" s="145"/>
      <c r="Q485" s="145"/>
      <c r="R485" s="145"/>
      <c r="S485" s="145"/>
      <c r="T485" s="145"/>
      <c r="U485" s="145"/>
      <c r="V485" s="145"/>
      <c r="W485" s="145"/>
      <c r="X485" s="145"/>
      <c r="Y485" s="145"/>
      <c r="Z485" s="145"/>
    </row>
    <row r="486" spans="1:26" ht="13.2">
      <c r="A486" s="144">
        <v>0</v>
      </c>
      <c r="B486" s="145"/>
      <c r="C486" s="145"/>
      <c r="D486" s="145"/>
      <c r="E486" s="145"/>
      <c r="F486" s="145"/>
      <c r="G486" s="145"/>
      <c r="H486" s="145"/>
      <c r="I486" s="145"/>
      <c r="J486" s="145"/>
      <c r="K486" s="145"/>
      <c r="L486" s="145"/>
      <c r="M486" s="146"/>
      <c r="N486" s="145"/>
      <c r="O486" s="145"/>
      <c r="P486" s="145"/>
      <c r="Q486" s="145"/>
      <c r="R486" s="145"/>
      <c r="S486" s="145"/>
      <c r="T486" s="145"/>
      <c r="U486" s="145"/>
      <c r="V486" s="145"/>
      <c r="W486" s="145"/>
      <c r="X486" s="145"/>
      <c r="Y486" s="145"/>
      <c r="Z486" s="145"/>
    </row>
    <row r="487" spans="1:26" ht="13.2">
      <c r="A487" s="144">
        <v>0</v>
      </c>
      <c r="B487" s="145"/>
      <c r="C487" s="145"/>
      <c r="D487" s="145"/>
      <c r="E487" s="145"/>
      <c r="F487" s="145"/>
      <c r="G487" s="145"/>
      <c r="H487" s="145"/>
      <c r="I487" s="145"/>
      <c r="J487" s="145"/>
      <c r="K487" s="145"/>
      <c r="L487" s="145"/>
      <c r="M487" s="146"/>
      <c r="N487" s="145"/>
      <c r="O487" s="145"/>
      <c r="P487" s="145"/>
      <c r="Q487" s="145"/>
      <c r="R487" s="145"/>
      <c r="S487" s="145"/>
      <c r="T487" s="145"/>
      <c r="U487" s="145"/>
      <c r="V487" s="145"/>
      <c r="W487" s="145"/>
      <c r="X487" s="145"/>
      <c r="Y487" s="145"/>
      <c r="Z487" s="145"/>
    </row>
    <row r="488" spans="1:26" ht="13.2">
      <c r="A488" s="144">
        <v>0</v>
      </c>
      <c r="B488" s="145"/>
      <c r="C488" s="145"/>
      <c r="D488" s="145"/>
      <c r="E488" s="145"/>
      <c r="F488" s="145"/>
      <c r="G488" s="145"/>
      <c r="H488" s="145"/>
      <c r="I488" s="145"/>
      <c r="J488" s="145"/>
      <c r="K488" s="145"/>
      <c r="L488" s="145"/>
      <c r="M488" s="146"/>
      <c r="N488" s="145"/>
      <c r="O488" s="145"/>
      <c r="P488" s="145"/>
      <c r="Q488" s="145"/>
      <c r="R488" s="145"/>
      <c r="S488" s="145"/>
      <c r="T488" s="145"/>
      <c r="U488" s="145"/>
      <c r="V488" s="145"/>
      <c r="W488" s="145"/>
      <c r="X488" s="145"/>
      <c r="Y488" s="145"/>
      <c r="Z488" s="145"/>
    </row>
    <row r="489" spans="1:26" ht="13.2">
      <c r="A489" s="144">
        <v>0</v>
      </c>
      <c r="B489" s="145"/>
      <c r="C489" s="145"/>
      <c r="D489" s="145"/>
      <c r="E489" s="145"/>
      <c r="F489" s="145"/>
      <c r="G489" s="145"/>
      <c r="H489" s="145"/>
      <c r="I489" s="145"/>
      <c r="J489" s="145"/>
      <c r="K489" s="145"/>
      <c r="L489" s="145"/>
      <c r="M489" s="146"/>
      <c r="N489" s="145"/>
      <c r="O489" s="145"/>
      <c r="P489" s="145"/>
      <c r="Q489" s="145"/>
      <c r="R489" s="145"/>
      <c r="S489" s="145"/>
      <c r="T489" s="145"/>
      <c r="U489" s="145"/>
      <c r="V489" s="145"/>
      <c r="W489" s="145"/>
      <c r="X489" s="145"/>
      <c r="Y489" s="145"/>
      <c r="Z489" s="145"/>
    </row>
    <row r="490" spans="1:26" ht="13.2">
      <c r="A490" s="144">
        <v>0</v>
      </c>
      <c r="B490" s="145"/>
      <c r="C490" s="145"/>
      <c r="D490" s="145"/>
      <c r="E490" s="145"/>
      <c r="F490" s="145"/>
      <c r="G490" s="145"/>
      <c r="H490" s="145"/>
      <c r="I490" s="145"/>
      <c r="J490" s="145"/>
      <c r="K490" s="145"/>
      <c r="L490" s="145"/>
      <c r="M490" s="146"/>
      <c r="N490" s="145"/>
      <c r="O490" s="145"/>
      <c r="P490" s="145"/>
      <c r="Q490" s="145"/>
      <c r="R490" s="145"/>
      <c r="S490" s="145"/>
      <c r="T490" s="145"/>
      <c r="U490" s="145"/>
      <c r="V490" s="145"/>
      <c r="W490" s="145"/>
      <c r="X490" s="145"/>
      <c r="Y490" s="145"/>
      <c r="Z490" s="145"/>
    </row>
    <row r="491" spans="1:26" ht="13.2">
      <c r="A491" s="144">
        <v>0</v>
      </c>
      <c r="B491" s="145"/>
      <c r="C491" s="145"/>
      <c r="D491" s="145"/>
      <c r="E491" s="145"/>
      <c r="F491" s="145"/>
      <c r="G491" s="145"/>
      <c r="H491" s="145"/>
      <c r="I491" s="145"/>
      <c r="J491" s="145"/>
      <c r="K491" s="145"/>
      <c r="L491" s="145"/>
      <c r="M491" s="146"/>
      <c r="N491" s="145"/>
      <c r="O491" s="145"/>
      <c r="P491" s="145"/>
      <c r="Q491" s="145"/>
      <c r="R491" s="145"/>
      <c r="S491" s="145"/>
      <c r="T491" s="145"/>
      <c r="U491" s="145"/>
      <c r="V491" s="145"/>
      <c r="W491" s="145"/>
      <c r="X491" s="145"/>
      <c r="Y491" s="145"/>
      <c r="Z491" s="145"/>
    </row>
    <row r="492" spans="1:26" ht="13.2">
      <c r="A492" s="144">
        <v>0</v>
      </c>
      <c r="B492" s="145"/>
      <c r="C492" s="145"/>
      <c r="D492" s="145"/>
      <c r="E492" s="145"/>
      <c r="F492" s="145"/>
      <c r="G492" s="145"/>
      <c r="H492" s="145"/>
      <c r="I492" s="145"/>
      <c r="J492" s="145"/>
      <c r="K492" s="145"/>
      <c r="L492" s="145"/>
      <c r="M492" s="146"/>
      <c r="N492" s="145"/>
      <c r="O492" s="145"/>
      <c r="P492" s="145"/>
      <c r="Q492" s="145"/>
      <c r="R492" s="145"/>
      <c r="S492" s="145"/>
      <c r="T492" s="145"/>
      <c r="U492" s="145"/>
      <c r="V492" s="145"/>
      <c r="W492" s="145"/>
      <c r="X492" s="145"/>
      <c r="Y492" s="145"/>
      <c r="Z492" s="145"/>
    </row>
    <row r="493" spans="1:26" ht="13.2">
      <c r="A493" s="144">
        <v>0</v>
      </c>
      <c r="B493" s="145"/>
      <c r="C493" s="145"/>
      <c r="D493" s="145"/>
      <c r="E493" s="145"/>
      <c r="F493" s="145"/>
      <c r="G493" s="145"/>
      <c r="H493" s="145"/>
      <c r="I493" s="145"/>
      <c r="J493" s="145"/>
      <c r="K493" s="145"/>
      <c r="L493" s="145"/>
      <c r="M493" s="146"/>
      <c r="N493" s="145"/>
      <c r="O493" s="145"/>
      <c r="P493" s="145"/>
      <c r="Q493" s="145"/>
      <c r="R493" s="145"/>
      <c r="S493" s="145"/>
      <c r="T493" s="145"/>
      <c r="U493" s="145"/>
      <c r="V493" s="145"/>
      <c r="W493" s="145"/>
      <c r="X493" s="145"/>
      <c r="Y493" s="145"/>
      <c r="Z493" s="145"/>
    </row>
    <row r="494" spans="1:26" ht="13.2">
      <c r="A494" s="144">
        <v>0</v>
      </c>
      <c r="B494" s="145"/>
      <c r="C494" s="145"/>
      <c r="D494" s="145"/>
      <c r="E494" s="145"/>
      <c r="F494" s="145"/>
      <c r="G494" s="145"/>
      <c r="H494" s="145"/>
      <c r="I494" s="145"/>
      <c r="J494" s="145"/>
      <c r="K494" s="145"/>
      <c r="L494" s="145"/>
      <c r="M494" s="146"/>
      <c r="N494" s="145"/>
      <c r="O494" s="145"/>
      <c r="P494" s="145"/>
      <c r="Q494" s="145"/>
      <c r="R494" s="145"/>
      <c r="S494" s="145"/>
      <c r="T494" s="145"/>
      <c r="U494" s="145"/>
      <c r="V494" s="145"/>
      <c r="W494" s="145"/>
      <c r="X494" s="145"/>
      <c r="Y494" s="145"/>
      <c r="Z494" s="145"/>
    </row>
    <row r="495" spans="1:26" ht="13.2">
      <c r="A495" s="144">
        <v>0</v>
      </c>
      <c r="B495" s="145"/>
      <c r="C495" s="145"/>
      <c r="D495" s="145"/>
      <c r="E495" s="145"/>
      <c r="F495" s="145"/>
      <c r="G495" s="145"/>
      <c r="H495" s="145"/>
      <c r="I495" s="145"/>
      <c r="J495" s="145"/>
      <c r="K495" s="145"/>
      <c r="L495" s="145"/>
      <c r="M495" s="146"/>
      <c r="N495" s="145"/>
      <c r="O495" s="145"/>
      <c r="P495" s="145"/>
      <c r="Q495" s="145"/>
      <c r="R495" s="145"/>
      <c r="S495" s="145"/>
      <c r="T495" s="145"/>
      <c r="U495" s="145"/>
      <c r="V495" s="145"/>
      <c r="W495" s="145"/>
      <c r="X495" s="145"/>
      <c r="Y495" s="145"/>
      <c r="Z495" s="145"/>
    </row>
    <row r="496" spans="1:26" ht="13.2">
      <c r="A496" s="144">
        <v>0</v>
      </c>
      <c r="B496" s="145"/>
      <c r="C496" s="145"/>
      <c r="D496" s="145"/>
      <c r="E496" s="145"/>
      <c r="F496" s="145"/>
      <c r="G496" s="145"/>
      <c r="H496" s="145"/>
      <c r="I496" s="145"/>
      <c r="J496" s="145"/>
      <c r="K496" s="145"/>
      <c r="L496" s="145"/>
      <c r="M496" s="146"/>
      <c r="N496" s="145"/>
      <c r="O496" s="145"/>
      <c r="P496" s="145"/>
      <c r="Q496" s="145"/>
      <c r="R496" s="145"/>
      <c r="S496" s="145"/>
      <c r="T496" s="145"/>
      <c r="U496" s="145"/>
      <c r="V496" s="145"/>
      <c r="W496" s="145"/>
      <c r="X496" s="145"/>
      <c r="Y496" s="145"/>
      <c r="Z496" s="145"/>
    </row>
    <row r="497" spans="1:26" ht="13.2">
      <c r="A497" s="144">
        <v>0</v>
      </c>
      <c r="B497" s="145"/>
      <c r="C497" s="145"/>
      <c r="D497" s="145"/>
      <c r="E497" s="145"/>
      <c r="F497" s="145"/>
      <c r="G497" s="145"/>
      <c r="H497" s="145"/>
      <c r="I497" s="145"/>
      <c r="J497" s="145"/>
      <c r="K497" s="145"/>
      <c r="L497" s="145"/>
      <c r="M497" s="146"/>
      <c r="N497" s="145"/>
      <c r="O497" s="145"/>
      <c r="P497" s="145"/>
      <c r="Q497" s="145"/>
      <c r="R497" s="145"/>
      <c r="S497" s="145"/>
      <c r="T497" s="145"/>
      <c r="U497" s="145"/>
      <c r="V497" s="145"/>
      <c r="W497" s="145"/>
      <c r="X497" s="145"/>
      <c r="Y497" s="145"/>
      <c r="Z497" s="145"/>
    </row>
    <row r="498" spans="1:26" ht="13.2">
      <c r="A498" s="144">
        <v>0</v>
      </c>
      <c r="B498" s="145"/>
      <c r="C498" s="145"/>
      <c r="D498" s="145"/>
      <c r="E498" s="145"/>
      <c r="F498" s="145"/>
      <c r="G498" s="145"/>
      <c r="H498" s="145"/>
      <c r="I498" s="145"/>
      <c r="J498" s="145"/>
      <c r="K498" s="145"/>
      <c r="L498" s="145"/>
      <c r="M498" s="146"/>
      <c r="N498" s="145"/>
      <c r="O498" s="145"/>
      <c r="P498" s="145"/>
      <c r="Q498" s="145"/>
      <c r="R498" s="145"/>
      <c r="S498" s="145"/>
      <c r="T498" s="145"/>
      <c r="U498" s="145"/>
      <c r="V498" s="145"/>
      <c r="W498" s="145"/>
      <c r="X498" s="145"/>
      <c r="Y498" s="145"/>
      <c r="Z498" s="145"/>
    </row>
    <row r="499" spans="1:26" ht="13.2">
      <c r="A499" s="144">
        <v>0</v>
      </c>
      <c r="B499" s="145"/>
      <c r="C499" s="145"/>
      <c r="D499" s="145"/>
      <c r="E499" s="145"/>
      <c r="F499" s="145"/>
      <c r="G499" s="145"/>
      <c r="H499" s="145"/>
      <c r="I499" s="145"/>
      <c r="J499" s="145"/>
      <c r="K499" s="145"/>
      <c r="L499" s="145"/>
      <c r="M499" s="146"/>
      <c r="N499" s="145"/>
      <c r="O499" s="145"/>
      <c r="P499" s="145"/>
      <c r="Q499" s="145"/>
      <c r="R499" s="145"/>
      <c r="S499" s="145"/>
      <c r="T499" s="145"/>
      <c r="U499" s="145"/>
      <c r="V499" s="145"/>
      <c r="W499" s="145"/>
      <c r="X499" s="145"/>
      <c r="Y499" s="145"/>
      <c r="Z499" s="145"/>
    </row>
    <row r="500" spans="1:26" ht="13.2">
      <c r="A500" s="144">
        <v>0</v>
      </c>
      <c r="B500" s="145"/>
      <c r="C500" s="145"/>
      <c r="D500" s="145"/>
      <c r="E500" s="145"/>
      <c r="F500" s="145"/>
      <c r="G500" s="145"/>
      <c r="H500" s="145"/>
      <c r="I500" s="145"/>
      <c r="J500" s="145"/>
      <c r="K500" s="145"/>
      <c r="L500" s="145"/>
      <c r="M500" s="146"/>
      <c r="N500" s="145"/>
      <c r="O500" s="145"/>
      <c r="P500" s="145"/>
      <c r="Q500" s="145"/>
      <c r="R500" s="145"/>
      <c r="S500" s="145"/>
      <c r="T500" s="145"/>
      <c r="U500" s="145"/>
      <c r="V500" s="145"/>
      <c r="W500" s="145"/>
      <c r="X500" s="145"/>
      <c r="Y500" s="145"/>
      <c r="Z500" s="145"/>
    </row>
    <row r="501" spans="1:26" ht="13.2">
      <c r="A501" s="144">
        <v>0</v>
      </c>
      <c r="B501" s="145"/>
      <c r="C501" s="145"/>
      <c r="D501" s="145"/>
      <c r="E501" s="145"/>
      <c r="F501" s="145"/>
      <c r="G501" s="145"/>
      <c r="H501" s="145"/>
      <c r="I501" s="145"/>
      <c r="J501" s="145"/>
      <c r="K501" s="145"/>
      <c r="L501" s="145"/>
      <c r="M501" s="146"/>
      <c r="N501" s="145"/>
      <c r="O501" s="145"/>
      <c r="P501" s="145"/>
      <c r="Q501" s="145"/>
      <c r="R501" s="145"/>
      <c r="S501" s="145"/>
      <c r="T501" s="145"/>
      <c r="U501" s="145"/>
      <c r="V501" s="145"/>
      <c r="W501" s="145"/>
      <c r="X501" s="145"/>
      <c r="Y501" s="145"/>
      <c r="Z501" s="145"/>
    </row>
    <row r="502" spans="1:26" ht="13.2">
      <c r="A502" s="144">
        <v>0</v>
      </c>
      <c r="B502" s="145"/>
      <c r="C502" s="145"/>
      <c r="D502" s="145"/>
      <c r="E502" s="145"/>
      <c r="F502" s="145"/>
      <c r="G502" s="145"/>
      <c r="H502" s="145"/>
      <c r="I502" s="145"/>
      <c r="J502" s="145"/>
      <c r="K502" s="145"/>
      <c r="L502" s="145"/>
      <c r="M502" s="146"/>
      <c r="N502" s="145"/>
      <c r="O502" s="145"/>
      <c r="P502" s="145"/>
      <c r="Q502" s="145"/>
      <c r="R502" s="145"/>
      <c r="S502" s="145"/>
      <c r="T502" s="145"/>
      <c r="U502" s="145"/>
      <c r="V502" s="145"/>
      <c r="W502" s="145"/>
      <c r="X502" s="145"/>
      <c r="Y502" s="145"/>
      <c r="Z502" s="145"/>
    </row>
    <row r="503" spans="1:26" ht="13.2">
      <c r="A503" s="144">
        <v>0</v>
      </c>
      <c r="B503" s="145"/>
      <c r="C503" s="145"/>
      <c r="D503" s="145"/>
      <c r="E503" s="145"/>
      <c r="F503" s="145"/>
      <c r="G503" s="145"/>
      <c r="H503" s="145"/>
      <c r="I503" s="145"/>
      <c r="J503" s="145"/>
      <c r="K503" s="145"/>
      <c r="L503" s="145"/>
      <c r="M503" s="146"/>
      <c r="N503" s="145"/>
      <c r="O503" s="145"/>
      <c r="P503" s="145"/>
      <c r="Q503" s="145"/>
      <c r="R503" s="145"/>
      <c r="S503" s="145"/>
      <c r="T503" s="145"/>
      <c r="U503" s="145"/>
      <c r="V503" s="145"/>
      <c r="W503" s="145"/>
      <c r="X503" s="145"/>
      <c r="Y503" s="145"/>
      <c r="Z503" s="145"/>
    </row>
    <row r="504" spans="1:26" ht="13.2">
      <c r="A504" s="144">
        <v>0</v>
      </c>
      <c r="B504" s="145"/>
      <c r="C504" s="145"/>
      <c r="D504" s="145"/>
      <c r="E504" s="145"/>
      <c r="F504" s="145"/>
      <c r="G504" s="145"/>
      <c r="H504" s="145"/>
      <c r="I504" s="145"/>
      <c r="J504" s="145"/>
      <c r="K504" s="145"/>
      <c r="L504" s="145"/>
      <c r="M504" s="146"/>
      <c r="N504" s="145"/>
      <c r="O504" s="145"/>
      <c r="P504" s="145"/>
      <c r="Q504" s="145"/>
      <c r="R504" s="145"/>
      <c r="S504" s="145"/>
      <c r="T504" s="145"/>
      <c r="U504" s="145"/>
      <c r="V504" s="145"/>
      <c r="W504" s="145"/>
      <c r="X504" s="145"/>
      <c r="Y504" s="145"/>
      <c r="Z504" s="145"/>
    </row>
    <row r="505" spans="1:26" ht="13.2">
      <c r="A505" s="144">
        <v>0</v>
      </c>
      <c r="B505" s="145"/>
      <c r="C505" s="145"/>
      <c r="D505" s="145"/>
      <c r="E505" s="145"/>
      <c r="F505" s="145"/>
      <c r="G505" s="145"/>
      <c r="H505" s="145"/>
      <c r="I505" s="145"/>
      <c r="J505" s="145"/>
      <c r="K505" s="145"/>
      <c r="L505" s="145"/>
      <c r="M505" s="146"/>
      <c r="N505" s="145"/>
      <c r="O505" s="145"/>
      <c r="P505" s="145"/>
      <c r="Q505" s="145"/>
      <c r="R505" s="145"/>
      <c r="S505" s="145"/>
      <c r="T505" s="145"/>
      <c r="U505" s="145"/>
      <c r="V505" s="145"/>
      <c r="W505" s="145"/>
      <c r="X505" s="145"/>
      <c r="Y505" s="145"/>
      <c r="Z505" s="145"/>
    </row>
    <row r="506" spans="1:26" ht="13.2">
      <c r="A506" s="144">
        <v>0</v>
      </c>
      <c r="B506" s="145"/>
      <c r="C506" s="145"/>
      <c r="D506" s="145"/>
      <c r="E506" s="145"/>
      <c r="F506" s="145"/>
      <c r="G506" s="145"/>
      <c r="H506" s="145"/>
      <c r="I506" s="145"/>
      <c r="J506" s="145"/>
      <c r="K506" s="145"/>
      <c r="L506" s="145"/>
      <c r="M506" s="146"/>
      <c r="N506" s="145"/>
      <c r="O506" s="145"/>
      <c r="P506" s="145"/>
      <c r="Q506" s="145"/>
      <c r="R506" s="145"/>
      <c r="S506" s="145"/>
      <c r="T506" s="145"/>
      <c r="U506" s="145"/>
      <c r="V506" s="145"/>
      <c r="W506" s="145"/>
      <c r="X506" s="145"/>
      <c r="Y506" s="145"/>
      <c r="Z506" s="145"/>
    </row>
    <row r="507" spans="1:26" ht="13.2">
      <c r="A507" s="144">
        <v>0</v>
      </c>
      <c r="B507" s="145"/>
      <c r="C507" s="145"/>
      <c r="D507" s="145"/>
      <c r="E507" s="145"/>
      <c r="F507" s="145"/>
      <c r="G507" s="145"/>
      <c r="H507" s="145"/>
      <c r="I507" s="145"/>
      <c r="J507" s="145"/>
      <c r="K507" s="145"/>
      <c r="L507" s="145"/>
      <c r="M507" s="146"/>
      <c r="N507" s="145"/>
      <c r="O507" s="145"/>
      <c r="P507" s="145"/>
      <c r="Q507" s="145"/>
      <c r="R507" s="145"/>
      <c r="S507" s="145"/>
      <c r="T507" s="145"/>
      <c r="U507" s="145"/>
      <c r="V507" s="145"/>
      <c r="W507" s="145"/>
      <c r="X507" s="145"/>
      <c r="Y507" s="145"/>
      <c r="Z507" s="145"/>
    </row>
    <row r="508" spans="1:26" ht="13.2">
      <c r="A508" s="144">
        <v>0</v>
      </c>
      <c r="B508" s="145"/>
      <c r="C508" s="145"/>
      <c r="D508" s="145"/>
      <c r="E508" s="145"/>
      <c r="F508" s="145"/>
      <c r="G508" s="145"/>
      <c r="H508" s="145"/>
      <c r="I508" s="145"/>
      <c r="J508" s="145"/>
      <c r="K508" s="145"/>
      <c r="L508" s="145"/>
      <c r="M508" s="146"/>
      <c r="N508" s="145"/>
      <c r="O508" s="145"/>
      <c r="P508" s="145"/>
      <c r="Q508" s="145"/>
      <c r="R508" s="145"/>
      <c r="S508" s="145"/>
      <c r="T508" s="145"/>
      <c r="U508" s="145"/>
      <c r="V508" s="145"/>
      <c r="W508" s="145"/>
      <c r="X508" s="145"/>
      <c r="Y508" s="145"/>
      <c r="Z508" s="145"/>
    </row>
    <row r="509" spans="1:26" ht="13.2">
      <c r="A509" s="144">
        <v>0</v>
      </c>
      <c r="B509" s="145"/>
      <c r="C509" s="145"/>
      <c r="D509" s="145"/>
      <c r="E509" s="145"/>
      <c r="F509" s="145"/>
      <c r="G509" s="145"/>
      <c r="H509" s="145"/>
      <c r="I509" s="145"/>
      <c r="J509" s="145"/>
      <c r="K509" s="145"/>
      <c r="L509" s="145"/>
      <c r="M509" s="146"/>
      <c r="N509" s="145"/>
      <c r="O509" s="145"/>
      <c r="P509" s="145"/>
      <c r="Q509" s="145"/>
      <c r="R509" s="145"/>
      <c r="S509" s="145"/>
      <c r="T509" s="145"/>
      <c r="U509" s="145"/>
      <c r="V509" s="145"/>
      <c r="W509" s="145"/>
      <c r="X509" s="145"/>
      <c r="Y509" s="145"/>
      <c r="Z509" s="145"/>
    </row>
    <row r="510" spans="1:26" ht="13.2">
      <c r="A510" s="144">
        <v>0</v>
      </c>
      <c r="B510" s="145"/>
      <c r="C510" s="145"/>
      <c r="D510" s="145"/>
      <c r="E510" s="145"/>
      <c r="F510" s="145"/>
      <c r="G510" s="145"/>
      <c r="H510" s="145"/>
      <c r="I510" s="145"/>
      <c r="J510" s="145"/>
      <c r="K510" s="145"/>
      <c r="L510" s="145"/>
      <c r="M510" s="146"/>
      <c r="N510" s="145"/>
      <c r="O510" s="145"/>
      <c r="P510" s="145"/>
      <c r="Q510" s="145"/>
      <c r="R510" s="145"/>
      <c r="S510" s="145"/>
      <c r="T510" s="145"/>
      <c r="U510" s="145"/>
      <c r="V510" s="145"/>
      <c r="W510" s="145"/>
      <c r="X510" s="145"/>
      <c r="Y510" s="145"/>
      <c r="Z510" s="145"/>
    </row>
    <row r="511" spans="1:26" ht="13.2">
      <c r="A511" s="144">
        <v>0</v>
      </c>
      <c r="B511" s="145"/>
      <c r="C511" s="145"/>
      <c r="D511" s="145"/>
      <c r="E511" s="145"/>
      <c r="F511" s="145"/>
      <c r="G511" s="145"/>
      <c r="H511" s="145"/>
      <c r="I511" s="145"/>
      <c r="J511" s="145"/>
      <c r="K511" s="145"/>
      <c r="L511" s="145"/>
      <c r="M511" s="146"/>
      <c r="N511" s="145"/>
      <c r="O511" s="145"/>
      <c r="P511" s="145"/>
      <c r="Q511" s="145"/>
      <c r="R511" s="145"/>
      <c r="S511" s="145"/>
      <c r="T511" s="145"/>
      <c r="U511" s="145"/>
      <c r="V511" s="145"/>
      <c r="W511" s="145"/>
      <c r="X511" s="145"/>
      <c r="Y511" s="145"/>
      <c r="Z511" s="145"/>
    </row>
    <row r="512" spans="1:26" ht="13.2">
      <c r="A512" s="144">
        <v>0</v>
      </c>
      <c r="B512" s="145"/>
      <c r="C512" s="145"/>
      <c r="D512" s="145"/>
      <c r="E512" s="145"/>
      <c r="F512" s="145"/>
      <c r="G512" s="145"/>
      <c r="H512" s="145"/>
      <c r="I512" s="145"/>
      <c r="J512" s="145"/>
      <c r="K512" s="145"/>
      <c r="L512" s="145"/>
      <c r="M512" s="146"/>
      <c r="N512" s="145"/>
      <c r="O512" s="145"/>
      <c r="P512" s="145"/>
      <c r="Q512" s="145"/>
      <c r="R512" s="145"/>
      <c r="S512" s="145"/>
      <c r="T512" s="145"/>
      <c r="U512" s="145"/>
      <c r="V512" s="145"/>
      <c r="W512" s="145"/>
      <c r="X512" s="145"/>
      <c r="Y512" s="145"/>
      <c r="Z512" s="145"/>
    </row>
    <row r="513" spans="1:26" ht="13.2">
      <c r="A513" s="144">
        <v>0</v>
      </c>
      <c r="B513" s="145"/>
      <c r="C513" s="145"/>
      <c r="D513" s="145"/>
      <c r="E513" s="145"/>
      <c r="F513" s="145"/>
      <c r="G513" s="145"/>
      <c r="H513" s="145"/>
      <c r="I513" s="145"/>
      <c r="J513" s="145"/>
      <c r="K513" s="145"/>
      <c r="L513" s="145"/>
      <c r="M513" s="146"/>
      <c r="N513" s="145"/>
      <c r="O513" s="145"/>
      <c r="P513" s="145"/>
      <c r="Q513" s="145"/>
      <c r="R513" s="145"/>
      <c r="S513" s="145"/>
      <c r="T513" s="145"/>
      <c r="U513" s="145"/>
      <c r="V513" s="145"/>
      <c r="W513" s="145"/>
      <c r="X513" s="145"/>
      <c r="Y513" s="145"/>
      <c r="Z513" s="145"/>
    </row>
    <row r="514" spans="1:26" ht="13.2">
      <c r="A514" s="144">
        <v>0</v>
      </c>
      <c r="B514" s="145"/>
      <c r="C514" s="145"/>
      <c r="D514" s="145"/>
      <c r="E514" s="145"/>
      <c r="F514" s="145"/>
      <c r="G514" s="145"/>
      <c r="H514" s="145"/>
      <c r="I514" s="145"/>
      <c r="J514" s="145"/>
      <c r="K514" s="145"/>
      <c r="L514" s="145"/>
      <c r="M514" s="146"/>
      <c r="N514" s="145"/>
      <c r="O514" s="145"/>
      <c r="P514" s="145"/>
      <c r="Q514" s="145"/>
      <c r="R514" s="145"/>
      <c r="S514" s="145"/>
      <c r="T514" s="145"/>
      <c r="U514" s="145"/>
      <c r="V514" s="145"/>
      <c r="W514" s="145"/>
      <c r="X514" s="145"/>
      <c r="Y514" s="145"/>
      <c r="Z514" s="145"/>
    </row>
    <row r="515" spans="1:26" ht="13.2">
      <c r="A515" s="144">
        <v>0</v>
      </c>
      <c r="B515" s="145"/>
      <c r="C515" s="145"/>
      <c r="D515" s="145"/>
      <c r="E515" s="145"/>
      <c r="F515" s="145"/>
      <c r="G515" s="145"/>
      <c r="H515" s="145"/>
      <c r="I515" s="145"/>
      <c r="J515" s="145"/>
      <c r="K515" s="145"/>
      <c r="L515" s="145"/>
      <c r="M515" s="146"/>
      <c r="N515" s="145"/>
      <c r="O515" s="145"/>
      <c r="P515" s="145"/>
      <c r="Q515" s="145"/>
      <c r="R515" s="145"/>
      <c r="S515" s="145"/>
      <c r="T515" s="145"/>
      <c r="U515" s="145"/>
      <c r="V515" s="145"/>
      <c r="W515" s="145"/>
      <c r="X515" s="145"/>
      <c r="Y515" s="145"/>
      <c r="Z515" s="145"/>
    </row>
    <row r="516" spans="1:26" ht="13.2">
      <c r="A516" s="144">
        <v>0</v>
      </c>
      <c r="B516" s="145"/>
      <c r="C516" s="145"/>
      <c r="D516" s="145"/>
      <c r="E516" s="145"/>
      <c r="F516" s="145"/>
      <c r="G516" s="145"/>
      <c r="H516" s="145"/>
      <c r="I516" s="145"/>
      <c r="J516" s="145"/>
      <c r="K516" s="145"/>
      <c r="L516" s="145"/>
      <c r="M516" s="146"/>
      <c r="N516" s="145"/>
      <c r="O516" s="145"/>
      <c r="P516" s="145"/>
      <c r="Q516" s="145"/>
      <c r="R516" s="145"/>
      <c r="S516" s="145"/>
      <c r="T516" s="145"/>
      <c r="U516" s="145"/>
      <c r="V516" s="145"/>
      <c r="W516" s="145"/>
      <c r="X516" s="145"/>
      <c r="Y516" s="145"/>
      <c r="Z516" s="145"/>
    </row>
    <row r="517" spans="1:26" ht="13.2">
      <c r="A517" s="144">
        <v>0</v>
      </c>
      <c r="B517" s="145"/>
      <c r="C517" s="145"/>
      <c r="D517" s="145"/>
      <c r="E517" s="145"/>
      <c r="F517" s="145"/>
      <c r="G517" s="145"/>
      <c r="H517" s="145"/>
      <c r="I517" s="145"/>
      <c r="J517" s="145"/>
      <c r="K517" s="145"/>
      <c r="L517" s="145"/>
      <c r="M517" s="146"/>
      <c r="N517" s="145"/>
      <c r="O517" s="145"/>
      <c r="P517" s="145"/>
      <c r="Q517" s="145"/>
      <c r="R517" s="145"/>
      <c r="S517" s="145"/>
      <c r="T517" s="145"/>
      <c r="U517" s="145"/>
      <c r="V517" s="145"/>
      <c r="W517" s="145"/>
      <c r="X517" s="145"/>
      <c r="Y517" s="145"/>
      <c r="Z517" s="145"/>
    </row>
    <row r="518" spans="1:26" ht="13.2">
      <c r="A518" s="144">
        <v>0</v>
      </c>
      <c r="B518" s="145"/>
      <c r="C518" s="145"/>
      <c r="D518" s="145"/>
      <c r="E518" s="145"/>
      <c r="F518" s="145"/>
      <c r="G518" s="145"/>
      <c r="H518" s="145"/>
      <c r="I518" s="145"/>
      <c r="J518" s="145"/>
      <c r="K518" s="145"/>
      <c r="L518" s="145"/>
      <c r="M518" s="146"/>
      <c r="N518" s="145"/>
      <c r="O518" s="145"/>
      <c r="P518" s="145"/>
      <c r="Q518" s="145"/>
      <c r="R518" s="145"/>
      <c r="S518" s="145"/>
      <c r="T518" s="145"/>
      <c r="U518" s="145"/>
      <c r="V518" s="145"/>
      <c r="W518" s="145"/>
      <c r="X518" s="145"/>
      <c r="Y518" s="145"/>
      <c r="Z518" s="145"/>
    </row>
    <row r="519" spans="1:26" ht="13.2">
      <c r="A519" s="144">
        <v>0</v>
      </c>
      <c r="B519" s="145"/>
      <c r="C519" s="145"/>
      <c r="D519" s="145"/>
      <c r="E519" s="145"/>
      <c r="F519" s="145"/>
      <c r="G519" s="145"/>
      <c r="H519" s="145"/>
      <c r="I519" s="145"/>
      <c r="J519" s="145"/>
      <c r="K519" s="145"/>
      <c r="L519" s="145"/>
      <c r="M519" s="146"/>
      <c r="N519" s="145"/>
      <c r="O519" s="145"/>
      <c r="P519" s="145"/>
      <c r="Q519" s="145"/>
      <c r="R519" s="145"/>
      <c r="S519" s="145"/>
      <c r="T519" s="145"/>
      <c r="U519" s="145"/>
      <c r="V519" s="145"/>
      <c r="W519" s="145"/>
      <c r="X519" s="145"/>
      <c r="Y519" s="145"/>
      <c r="Z519" s="145"/>
    </row>
    <row r="520" spans="1:26" ht="13.2">
      <c r="A520" s="144">
        <v>0</v>
      </c>
      <c r="B520" s="145"/>
      <c r="C520" s="145"/>
      <c r="D520" s="145"/>
      <c r="E520" s="145"/>
      <c r="F520" s="145"/>
      <c r="G520" s="145"/>
      <c r="H520" s="145"/>
      <c r="I520" s="145"/>
      <c r="J520" s="145"/>
      <c r="K520" s="145"/>
      <c r="L520" s="145"/>
      <c r="M520" s="146"/>
      <c r="N520" s="145"/>
      <c r="O520" s="145"/>
      <c r="P520" s="145"/>
      <c r="Q520" s="145"/>
      <c r="R520" s="145"/>
      <c r="S520" s="145"/>
      <c r="T520" s="145"/>
      <c r="U520" s="145"/>
      <c r="V520" s="145"/>
      <c r="W520" s="145"/>
      <c r="X520" s="145"/>
      <c r="Y520" s="145"/>
      <c r="Z520" s="145"/>
    </row>
    <row r="521" spans="1:26" ht="13.2">
      <c r="A521" s="144">
        <v>0</v>
      </c>
      <c r="B521" s="145"/>
      <c r="C521" s="145"/>
      <c r="D521" s="145"/>
      <c r="E521" s="145"/>
      <c r="F521" s="145"/>
      <c r="G521" s="145"/>
      <c r="H521" s="145"/>
      <c r="I521" s="145"/>
      <c r="J521" s="145"/>
      <c r="K521" s="145"/>
      <c r="L521" s="145"/>
      <c r="M521" s="146"/>
      <c r="N521" s="145"/>
      <c r="O521" s="145"/>
      <c r="P521" s="145"/>
      <c r="Q521" s="145"/>
      <c r="R521" s="145"/>
      <c r="S521" s="145"/>
      <c r="T521" s="145"/>
      <c r="U521" s="145"/>
      <c r="V521" s="145"/>
      <c r="W521" s="145"/>
      <c r="X521" s="145"/>
      <c r="Y521" s="145"/>
      <c r="Z521" s="145"/>
    </row>
    <row r="522" spans="1:26" ht="13.2">
      <c r="A522" s="144">
        <v>0</v>
      </c>
      <c r="B522" s="145"/>
      <c r="C522" s="145"/>
      <c r="D522" s="145"/>
      <c r="E522" s="145"/>
      <c r="F522" s="145"/>
      <c r="G522" s="145"/>
      <c r="H522" s="145"/>
      <c r="I522" s="145"/>
      <c r="J522" s="145"/>
      <c r="K522" s="145"/>
      <c r="L522" s="145"/>
      <c r="M522" s="146"/>
      <c r="N522" s="145"/>
      <c r="O522" s="145"/>
      <c r="P522" s="145"/>
      <c r="Q522" s="145"/>
      <c r="R522" s="145"/>
      <c r="S522" s="145"/>
      <c r="T522" s="145"/>
      <c r="U522" s="145"/>
      <c r="V522" s="145"/>
      <c r="W522" s="145"/>
      <c r="X522" s="145"/>
      <c r="Y522" s="145"/>
      <c r="Z522" s="145"/>
    </row>
    <row r="523" spans="1:26" ht="13.2">
      <c r="A523" s="144">
        <v>0</v>
      </c>
      <c r="B523" s="145"/>
      <c r="C523" s="145"/>
      <c r="D523" s="145"/>
      <c r="E523" s="145"/>
      <c r="F523" s="145"/>
      <c r="G523" s="145"/>
      <c r="H523" s="145"/>
      <c r="I523" s="145"/>
      <c r="J523" s="145"/>
      <c r="K523" s="145"/>
      <c r="L523" s="145"/>
      <c r="M523" s="146"/>
      <c r="N523" s="145"/>
      <c r="O523" s="145"/>
      <c r="P523" s="145"/>
      <c r="Q523" s="145"/>
      <c r="R523" s="145"/>
      <c r="S523" s="145"/>
      <c r="T523" s="145"/>
      <c r="U523" s="145"/>
      <c r="V523" s="145"/>
      <c r="W523" s="145"/>
      <c r="X523" s="145"/>
      <c r="Y523" s="145"/>
      <c r="Z523" s="145"/>
    </row>
    <row r="524" spans="1:26" ht="13.2">
      <c r="A524" s="144">
        <v>0</v>
      </c>
      <c r="B524" s="145"/>
      <c r="C524" s="145"/>
      <c r="D524" s="145"/>
      <c r="E524" s="145"/>
      <c r="F524" s="145"/>
      <c r="G524" s="145"/>
      <c r="H524" s="145"/>
      <c r="I524" s="145"/>
      <c r="J524" s="145"/>
      <c r="K524" s="145"/>
      <c r="L524" s="145"/>
      <c r="M524" s="146"/>
      <c r="N524" s="145"/>
      <c r="O524" s="145"/>
      <c r="P524" s="145"/>
      <c r="Q524" s="145"/>
      <c r="R524" s="145"/>
      <c r="S524" s="145"/>
      <c r="T524" s="145"/>
      <c r="U524" s="145"/>
      <c r="V524" s="145"/>
      <c r="W524" s="145"/>
      <c r="X524" s="145"/>
      <c r="Y524" s="145"/>
      <c r="Z524" s="145"/>
    </row>
    <row r="525" spans="1:26" ht="13.2">
      <c r="A525" s="144">
        <v>0</v>
      </c>
      <c r="B525" s="145"/>
      <c r="C525" s="145"/>
      <c r="D525" s="145"/>
      <c r="E525" s="145"/>
      <c r="F525" s="145"/>
      <c r="G525" s="145"/>
      <c r="H525" s="145"/>
      <c r="I525" s="145"/>
      <c r="J525" s="145"/>
      <c r="K525" s="145"/>
      <c r="L525" s="145"/>
      <c r="M525" s="146"/>
      <c r="N525" s="145"/>
      <c r="O525" s="145"/>
      <c r="P525" s="145"/>
      <c r="Q525" s="145"/>
      <c r="R525" s="145"/>
      <c r="S525" s="145"/>
      <c r="T525" s="145"/>
      <c r="U525" s="145"/>
      <c r="V525" s="145"/>
      <c r="W525" s="145"/>
      <c r="X525" s="145"/>
      <c r="Y525" s="145"/>
      <c r="Z525" s="145"/>
    </row>
    <row r="526" spans="1:26" ht="13.2">
      <c r="A526" s="144">
        <v>0</v>
      </c>
      <c r="B526" s="145"/>
      <c r="C526" s="145"/>
      <c r="D526" s="145"/>
      <c r="E526" s="145"/>
      <c r="F526" s="145"/>
      <c r="G526" s="145"/>
      <c r="H526" s="145"/>
      <c r="I526" s="145"/>
      <c r="J526" s="145"/>
      <c r="K526" s="145"/>
      <c r="L526" s="145"/>
      <c r="M526" s="146"/>
      <c r="N526" s="145"/>
      <c r="O526" s="145"/>
      <c r="P526" s="145"/>
      <c r="Q526" s="145"/>
      <c r="R526" s="145"/>
      <c r="S526" s="145"/>
      <c r="T526" s="145"/>
      <c r="U526" s="145"/>
      <c r="V526" s="145"/>
      <c r="W526" s="145"/>
      <c r="X526" s="145"/>
      <c r="Y526" s="145"/>
      <c r="Z526" s="145"/>
    </row>
    <row r="527" spans="1:26" ht="13.2">
      <c r="A527" s="144">
        <v>0</v>
      </c>
      <c r="B527" s="145"/>
      <c r="C527" s="145"/>
      <c r="D527" s="145"/>
      <c r="E527" s="145"/>
      <c r="F527" s="145"/>
      <c r="G527" s="145"/>
      <c r="H527" s="145"/>
      <c r="I527" s="145"/>
      <c r="J527" s="145"/>
      <c r="K527" s="145"/>
      <c r="L527" s="145"/>
      <c r="M527" s="146"/>
      <c r="N527" s="145"/>
      <c r="O527" s="145"/>
      <c r="P527" s="145"/>
      <c r="Q527" s="145"/>
      <c r="R527" s="145"/>
      <c r="S527" s="145"/>
      <c r="T527" s="145"/>
      <c r="U527" s="145"/>
      <c r="V527" s="145"/>
      <c r="W527" s="145"/>
      <c r="X527" s="145"/>
      <c r="Y527" s="145"/>
      <c r="Z527" s="145"/>
    </row>
    <row r="528" spans="1:26" ht="13.2">
      <c r="A528" s="144">
        <v>0</v>
      </c>
      <c r="B528" s="145"/>
      <c r="C528" s="145"/>
      <c r="D528" s="145"/>
      <c r="E528" s="145"/>
      <c r="F528" s="145"/>
      <c r="G528" s="145"/>
      <c r="H528" s="145"/>
      <c r="I528" s="145"/>
      <c r="J528" s="145"/>
      <c r="K528" s="145"/>
      <c r="L528" s="145"/>
      <c r="M528" s="146"/>
      <c r="N528" s="145"/>
      <c r="O528" s="145"/>
      <c r="P528" s="145"/>
      <c r="Q528" s="145"/>
      <c r="R528" s="145"/>
      <c r="S528" s="145"/>
      <c r="T528" s="145"/>
      <c r="U528" s="145"/>
      <c r="V528" s="145"/>
      <c r="W528" s="145"/>
      <c r="X528" s="145"/>
      <c r="Y528" s="145"/>
      <c r="Z528" s="145"/>
    </row>
    <row r="529" spans="1:26" ht="13.2">
      <c r="A529" s="144">
        <v>0</v>
      </c>
      <c r="B529" s="145"/>
      <c r="C529" s="145"/>
      <c r="D529" s="145"/>
      <c r="E529" s="145"/>
      <c r="F529" s="145"/>
      <c r="G529" s="145"/>
      <c r="H529" s="145"/>
      <c r="I529" s="145"/>
      <c r="J529" s="145"/>
      <c r="K529" s="145"/>
      <c r="L529" s="145"/>
      <c r="M529" s="146"/>
      <c r="N529" s="145"/>
      <c r="O529" s="145"/>
      <c r="P529" s="145"/>
      <c r="Q529" s="145"/>
      <c r="R529" s="145"/>
      <c r="S529" s="145"/>
      <c r="T529" s="145"/>
      <c r="U529" s="145"/>
      <c r="V529" s="145"/>
      <c r="W529" s="145"/>
      <c r="X529" s="145"/>
      <c r="Y529" s="145"/>
      <c r="Z529" s="145"/>
    </row>
    <row r="530" spans="1:26" ht="13.2">
      <c r="A530" s="144">
        <v>0</v>
      </c>
      <c r="B530" s="145"/>
      <c r="C530" s="145"/>
      <c r="D530" s="145"/>
      <c r="E530" s="145"/>
      <c r="F530" s="145"/>
      <c r="G530" s="145"/>
      <c r="H530" s="145"/>
      <c r="I530" s="145"/>
      <c r="J530" s="145"/>
      <c r="K530" s="145"/>
      <c r="L530" s="145"/>
      <c r="M530" s="146"/>
      <c r="N530" s="145"/>
      <c r="O530" s="145"/>
      <c r="P530" s="145"/>
      <c r="Q530" s="145"/>
      <c r="R530" s="145"/>
      <c r="S530" s="145"/>
      <c r="T530" s="145"/>
      <c r="U530" s="145"/>
      <c r="V530" s="145"/>
      <c r="W530" s="145"/>
      <c r="X530" s="145"/>
      <c r="Y530" s="145"/>
      <c r="Z530" s="145"/>
    </row>
    <row r="531" spans="1:26" ht="13.2">
      <c r="A531" s="144">
        <v>0</v>
      </c>
      <c r="B531" s="145"/>
      <c r="C531" s="145"/>
      <c r="D531" s="145"/>
      <c r="E531" s="145"/>
      <c r="F531" s="145"/>
      <c r="G531" s="145"/>
      <c r="H531" s="145"/>
      <c r="I531" s="145"/>
      <c r="J531" s="145"/>
      <c r="K531" s="145"/>
      <c r="L531" s="145"/>
      <c r="M531" s="146"/>
      <c r="N531" s="145"/>
      <c r="O531" s="145"/>
      <c r="P531" s="145"/>
      <c r="Q531" s="145"/>
      <c r="R531" s="145"/>
      <c r="S531" s="145"/>
      <c r="T531" s="145"/>
      <c r="U531" s="145"/>
      <c r="V531" s="145"/>
      <c r="W531" s="145"/>
      <c r="X531" s="145"/>
      <c r="Y531" s="145"/>
      <c r="Z531" s="145"/>
    </row>
    <row r="532" spans="1:26" ht="13.2">
      <c r="A532" s="144">
        <v>0</v>
      </c>
      <c r="B532" s="145"/>
      <c r="C532" s="145"/>
      <c r="D532" s="145"/>
      <c r="E532" s="145"/>
      <c r="F532" s="145"/>
      <c r="G532" s="145"/>
      <c r="H532" s="145"/>
      <c r="I532" s="145"/>
      <c r="J532" s="145"/>
      <c r="K532" s="145"/>
      <c r="L532" s="145"/>
      <c r="M532" s="146"/>
      <c r="N532" s="145"/>
      <c r="O532" s="145"/>
      <c r="P532" s="145"/>
      <c r="Q532" s="145"/>
      <c r="R532" s="145"/>
      <c r="S532" s="145"/>
      <c r="T532" s="145"/>
      <c r="U532" s="145"/>
      <c r="V532" s="145"/>
      <c r="W532" s="145"/>
      <c r="X532" s="145"/>
      <c r="Y532" s="145"/>
      <c r="Z532" s="145"/>
    </row>
    <row r="533" spans="1:26" ht="13.2">
      <c r="A533" s="144">
        <v>0</v>
      </c>
      <c r="B533" s="145"/>
      <c r="C533" s="145"/>
      <c r="D533" s="145"/>
      <c r="E533" s="145"/>
      <c r="F533" s="145"/>
      <c r="G533" s="145"/>
      <c r="H533" s="145"/>
      <c r="I533" s="145"/>
      <c r="J533" s="145"/>
      <c r="K533" s="145"/>
      <c r="L533" s="145"/>
      <c r="M533" s="146"/>
      <c r="N533" s="145"/>
      <c r="O533" s="145"/>
      <c r="P533" s="145"/>
      <c r="Q533" s="145"/>
      <c r="R533" s="145"/>
      <c r="S533" s="145"/>
      <c r="T533" s="145"/>
      <c r="U533" s="145"/>
      <c r="V533" s="145"/>
      <c r="W533" s="145"/>
      <c r="X533" s="145"/>
      <c r="Y533" s="145"/>
      <c r="Z533" s="145"/>
    </row>
    <row r="534" spans="1:26" ht="13.2">
      <c r="A534" s="144">
        <v>0</v>
      </c>
      <c r="B534" s="145"/>
      <c r="C534" s="145"/>
      <c r="D534" s="145"/>
      <c r="E534" s="145"/>
      <c r="F534" s="145"/>
      <c r="G534" s="145"/>
      <c r="H534" s="145"/>
      <c r="I534" s="145"/>
      <c r="J534" s="145"/>
      <c r="K534" s="145"/>
      <c r="L534" s="145"/>
      <c r="M534" s="146"/>
      <c r="N534" s="145"/>
      <c r="O534" s="145"/>
      <c r="P534" s="145"/>
      <c r="Q534" s="145"/>
      <c r="R534" s="145"/>
      <c r="S534" s="145"/>
      <c r="T534" s="145"/>
      <c r="U534" s="145"/>
      <c r="V534" s="145"/>
      <c r="W534" s="145"/>
      <c r="X534" s="145"/>
      <c r="Y534" s="145"/>
      <c r="Z534" s="145"/>
    </row>
    <row r="535" spans="1:26" ht="13.2">
      <c r="A535" s="144">
        <v>0</v>
      </c>
      <c r="B535" s="145"/>
      <c r="C535" s="145"/>
      <c r="D535" s="145"/>
      <c r="E535" s="145"/>
      <c r="F535" s="145"/>
      <c r="G535" s="145"/>
      <c r="H535" s="145"/>
      <c r="I535" s="145"/>
      <c r="J535" s="145"/>
      <c r="K535" s="145"/>
      <c r="L535" s="145"/>
      <c r="M535" s="146"/>
      <c r="N535" s="145"/>
      <c r="O535" s="145"/>
      <c r="P535" s="145"/>
      <c r="Q535" s="145"/>
      <c r="R535" s="145"/>
      <c r="S535" s="145"/>
      <c r="T535" s="145"/>
      <c r="U535" s="145"/>
      <c r="V535" s="145"/>
      <c r="W535" s="145"/>
      <c r="X535" s="145"/>
      <c r="Y535" s="145"/>
      <c r="Z535" s="145"/>
    </row>
    <row r="536" spans="1:26" ht="13.2">
      <c r="A536" s="144">
        <v>0</v>
      </c>
      <c r="B536" s="145"/>
      <c r="C536" s="145"/>
      <c r="D536" s="145"/>
      <c r="E536" s="145"/>
      <c r="F536" s="145"/>
      <c r="G536" s="145"/>
      <c r="H536" s="145"/>
      <c r="I536" s="145"/>
      <c r="J536" s="145"/>
      <c r="K536" s="145"/>
      <c r="L536" s="145"/>
      <c r="M536" s="146"/>
      <c r="N536" s="145"/>
      <c r="O536" s="145"/>
      <c r="P536" s="145"/>
      <c r="Q536" s="145"/>
      <c r="R536" s="145"/>
      <c r="S536" s="145"/>
      <c r="T536" s="145"/>
      <c r="U536" s="145"/>
      <c r="V536" s="145"/>
      <c r="W536" s="145"/>
      <c r="X536" s="145"/>
      <c r="Y536" s="145"/>
      <c r="Z536" s="145"/>
    </row>
    <row r="537" spans="1:26" ht="13.2">
      <c r="A537" s="144">
        <v>0</v>
      </c>
      <c r="B537" s="145"/>
      <c r="C537" s="145"/>
      <c r="D537" s="145"/>
      <c r="E537" s="145"/>
      <c r="F537" s="145"/>
      <c r="G537" s="145"/>
      <c r="H537" s="145"/>
      <c r="I537" s="145"/>
      <c r="J537" s="145"/>
      <c r="K537" s="145"/>
      <c r="L537" s="145"/>
      <c r="M537" s="146"/>
      <c r="N537" s="145"/>
      <c r="O537" s="145"/>
      <c r="P537" s="145"/>
      <c r="Q537" s="145"/>
      <c r="R537" s="145"/>
      <c r="S537" s="145"/>
      <c r="T537" s="145"/>
      <c r="U537" s="145"/>
      <c r="V537" s="145"/>
      <c r="W537" s="145"/>
      <c r="X537" s="145"/>
      <c r="Y537" s="145"/>
      <c r="Z537" s="145"/>
    </row>
    <row r="538" spans="1:26" ht="13.2">
      <c r="A538" s="144">
        <v>0</v>
      </c>
      <c r="B538" s="145"/>
      <c r="C538" s="145"/>
      <c r="D538" s="145"/>
      <c r="E538" s="145"/>
      <c r="F538" s="145"/>
      <c r="G538" s="145"/>
      <c r="H538" s="145"/>
      <c r="I538" s="145"/>
      <c r="J538" s="145"/>
      <c r="K538" s="145"/>
      <c r="L538" s="145"/>
      <c r="M538" s="146"/>
      <c r="N538" s="145"/>
      <c r="O538" s="145"/>
      <c r="P538" s="145"/>
      <c r="Q538" s="145"/>
      <c r="R538" s="145"/>
      <c r="S538" s="145"/>
      <c r="T538" s="145"/>
      <c r="U538" s="145"/>
      <c r="V538" s="145"/>
      <c r="W538" s="145"/>
      <c r="X538" s="145"/>
      <c r="Y538" s="145"/>
      <c r="Z538" s="145"/>
    </row>
    <row r="539" spans="1:26" ht="13.2">
      <c r="A539" s="144">
        <v>0</v>
      </c>
      <c r="B539" s="145"/>
      <c r="C539" s="145"/>
      <c r="D539" s="145"/>
      <c r="E539" s="145"/>
      <c r="F539" s="145"/>
      <c r="G539" s="145"/>
      <c r="H539" s="145"/>
      <c r="I539" s="145"/>
      <c r="J539" s="145"/>
      <c r="K539" s="145"/>
      <c r="L539" s="145"/>
      <c r="M539" s="146"/>
      <c r="N539" s="145"/>
      <c r="O539" s="145"/>
      <c r="P539" s="145"/>
      <c r="Q539" s="145"/>
      <c r="R539" s="145"/>
      <c r="S539" s="145"/>
      <c r="T539" s="145"/>
      <c r="U539" s="145"/>
      <c r="V539" s="145"/>
      <c r="W539" s="145"/>
      <c r="X539" s="145"/>
      <c r="Y539" s="145"/>
      <c r="Z539" s="145"/>
    </row>
    <row r="540" spans="1:26" ht="13.2">
      <c r="A540" s="144">
        <v>0</v>
      </c>
      <c r="B540" s="145"/>
      <c r="C540" s="145"/>
      <c r="D540" s="145"/>
      <c r="E540" s="145"/>
      <c r="F540" s="145"/>
      <c r="G540" s="145"/>
      <c r="H540" s="145"/>
      <c r="I540" s="145"/>
      <c r="J540" s="145"/>
      <c r="K540" s="145"/>
      <c r="L540" s="145"/>
      <c r="M540" s="146"/>
      <c r="N540" s="145"/>
      <c r="O540" s="145"/>
      <c r="P540" s="145"/>
      <c r="Q540" s="145"/>
      <c r="R540" s="145"/>
      <c r="S540" s="145"/>
      <c r="T540" s="145"/>
      <c r="U540" s="145"/>
      <c r="V540" s="145"/>
      <c r="W540" s="145"/>
      <c r="X540" s="145"/>
      <c r="Y540" s="145"/>
      <c r="Z540" s="145"/>
    </row>
    <row r="541" spans="1:26" ht="13.2">
      <c r="A541" s="144">
        <v>0</v>
      </c>
      <c r="B541" s="145"/>
      <c r="C541" s="145"/>
      <c r="D541" s="145"/>
      <c r="E541" s="145"/>
      <c r="F541" s="145"/>
      <c r="G541" s="145"/>
      <c r="H541" s="145"/>
      <c r="I541" s="145"/>
      <c r="J541" s="145"/>
      <c r="K541" s="145"/>
      <c r="L541" s="145"/>
      <c r="M541" s="146"/>
      <c r="N541" s="145"/>
      <c r="O541" s="145"/>
      <c r="P541" s="145"/>
      <c r="Q541" s="145"/>
      <c r="R541" s="145"/>
      <c r="S541" s="145"/>
      <c r="T541" s="145"/>
      <c r="U541" s="145"/>
      <c r="V541" s="145"/>
      <c r="W541" s="145"/>
      <c r="X541" s="145"/>
      <c r="Y541" s="145"/>
      <c r="Z541" s="145"/>
    </row>
    <row r="542" spans="1:26" ht="13.2">
      <c r="A542" s="144">
        <v>0</v>
      </c>
      <c r="B542" s="145"/>
      <c r="C542" s="145"/>
      <c r="D542" s="145"/>
      <c r="E542" s="145"/>
      <c r="F542" s="145"/>
      <c r="G542" s="145"/>
      <c r="H542" s="145"/>
      <c r="I542" s="145"/>
      <c r="J542" s="145"/>
      <c r="K542" s="145"/>
      <c r="L542" s="145"/>
      <c r="M542" s="146"/>
      <c r="N542" s="145"/>
      <c r="O542" s="145"/>
      <c r="P542" s="145"/>
      <c r="Q542" s="145"/>
      <c r="R542" s="145"/>
      <c r="S542" s="145"/>
      <c r="T542" s="145"/>
      <c r="U542" s="145"/>
      <c r="V542" s="145"/>
      <c r="W542" s="145"/>
      <c r="X542" s="145"/>
      <c r="Y542" s="145"/>
      <c r="Z542" s="145"/>
    </row>
    <row r="543" spans="1:26" ht="13.2">
      <c r="A543" s="144">
        <v>0</v>
      </c>
      <c r="B543" s="145"/>
      <c r="C543" s="145"/>
      <c r="D543" s="145"/>
      <c r="E543" s="145"/>
      <c r="F543" s="145"/>
      <c r="G543" s="145"/>
      <c r="H543" s="145"/>
      <c r="I543" s="145"/>
      <c r="J543" s="145"/>
      <c r="K543" s="145"/>
      <c r="L543" s="145"/>
      <c r="M543" s="146"/>
      <c r="N543" s="145"/>
      <c r="O543" s="145"/>
      <c r="P543" s="145"/>
      <c r="Q543" s="145"/>
      <c r="R543" s="145"/>
      <c r="S543" s="145"/>
      <c r="T543" s="145"/>
      <c r="U543" s="145"/>
      <c r="V543" s="145"/>
      <c r="W543" s="145"/>
      <c r="X543" s="145"/>
      <c r="Y543" s="145"/>
      <c r="Z543" s="145"/>
    </row>
    <row r="544" spans="1:26" ht="13.2">
      <c r="A544" s="144">
        <v>0</v>
      </c>
      <c r="B544" s="145"/>
      <c r="C544" s="145"/>
      <c r="D544" s="145"/>
      <c r="E544" s="145"/>
      <c r="F544" s="145"/>
      <c r="G544" s="145"/>
      <c r="H544" s="145"/>
      <c r="I544" s="145"/>
      <c r="J544" s="145"/>
      <c r="K544" s="145"/>
      <c r="L544" s="145"/>
      <c r="M544" s="146"/>
      <c r="N544" s="145"/>
      <c r="O544" s="145"/>
      <c r="P544" s="145"/>
      <c r="Q544" s="145"/>
      <c r="R544" s="145"/>
      <c r="S544" s="145"/>
      <c r="T544" s="145"/>
      <c r="U544" s="145"/>
      <c r="V544" s="145"/>
      <c r="W544" s="145"/>
      <c r="X544" s="145"/>
      <c r="Y544" s="145"/>
      <c r="Z544" s="145"/>
    </row>
    <row r="545" spans="1:26" ht="13.2">
      <c r="A545" s="144">
        <v>0</v>
      </c>
      <c r="B545" s="145"/>
      <c r="C545" s="145"/>
      <c r="D545" s="145"/>
      <c r="E545" s="145"/>
      <c r="F545" s="145"/>
      <c r="G545" s="145"/>
      <c r="H545" s="145"/>
      <c r="I545" s="145"/>
      <c r="J545" s="145"/>
      <c r="K545" s="145"/>
      <c r="L545" s="145"/>
      <c r="M545" s="146"/>
      <c r="N545" s="145"/>
      <c r="O545" s="145"/>
      <c r="P545" s="145"/>
      <c r="Q545" s="145"/>
      <c r="R545" s="145"/>
      <c r="S545" s="145"/>
      <c r="T545" s="145"/>
      <c r="U545" s="145"/>
      <c r="V545" s="145"/>
      <c r="W545" s="145"/>
      <c r="X545" s="145"/>
      <c r="Y545" s="145"/>
      <c r="Z545" s="145"/>
    </row>
    <row r="546" spans="1:26" ht="13.2">
      <c r="A546" s="144">
        <v>0</v>
      </c>
      <c r="B546" s="145"/>
      <c r="C546" s="145"/>
      <c r="D546" s="145"/>
      <c r="E546" s="145"/>
      <c r="F546" s="145"/>
      <c r="G546" s="145"/>
      <c r="H546" s="145"/>
      <c r="I546" s="145"/>
      <c r="J546" s="145"/>
      <c r="K546" s="145"/>
      <c r="L546" s="145"/>
      <c r="M546" s="146"/>
      <c r="N546" s="145"/>
      <c r="O546" s="145"/>
      <c r="P546" s="145"/>
      <c r="Q546" s="145"/>
      <c r="R546" s="145"/>
      <c r="S546" s="145"/>
      <c r="T546" s="145"/>
      <c r="U546" s="145"/>
      <c r="V546" s="145"/>
      <c r="W546" s="145"/>
      <c r="X546" s="145"/>
      <c r="Y546" s="145"/>
      <c r="Z546" s="145"/>
    </row>
    <row r="547" spans="1:26" ht="13.2">
      <c r="A547" s="144">
        <v>0</v>
      </c>
      <c r="B547" s="145"/>
      <c r="C547" s="145"/>
      <c r="D547" s="145"/>
      <c r="E547" s="145"/>
      <c r="F547" s="145"/>
      <c r="G547" s="145"/>
      <c r="H547" s="145"/>
      <c r="I547" s="145"/>
      <c r="J547" s="145"/>
      <c r="K547" s="145"/>
      <c r="L547" s="145"/>
      <c r="M547" s="146"/>
      <c r="N547" s="145"/>
      <c r="O547" s="145"/>
      <c r="P547" s="145"/>
      <c r="Q547" s="145"/>
      <c r="R547" s="145"/>
      <c r="S547" s="145"/>
      <c r="T547" s="145"/>
      <c r="U547" s="145"/>
      <c r="V547" s="145"/>
      <c r="W547" s="145"/>
      <c r="X547" s="145"/>
      <c r="Y547" s="145"/>
      <c r="Z547" s="145"/>
    </row>
    <row r="548" spans="1:26" ht="13.2">
      <c r="A548" s="144">
        <v>0</v>
      </c>
      <c r="B548" s="145"/>
      <c r="C548" s="145"/>
      <c r="D548" s="145"/>
      <c r="E548" s="145"/>
      <c r="F548" s="145"/>
      <c r="G548" s="145"/>
      <c r="H548" s="145"/>
      <c r="I548" s="145"/>
      <c r="J548" s="145"/>
      <c r="K548" s="145"/>
      <c r="L548" s="145"/>
      <c r="M548" s="146"/>
      <c r="N548" s="145"/>
      <c r="O548" s="145"/>
      <c r="P548" s="145"/>
      <c r="Q548" s="145"/>
      <c r="R548" s="145"/>
      <c r="S548" s="145"/>
      <c r="T548" s="145"/>
      <c r="U548" s="145"/>
      <c r="V548" s="145"/>
      <c r="W548" s="145"/>
      <c r="X548" s="145"/>
      <c r="Y548" s="145"/>
      <c r="Z548" s="145"/>
    </row>
    <row r="549" spans="1:26" ht="13.2">
      <c r="A549" s="144">
        <v>0</v>
      </c>
      <c r="B549" s="145"/>
      <c r="C549" s="145"/>
      <c r="D549" s="145"/>
      <c r="E549" s="145"/>
      <c r="F549" s="145"/>
      <c r="G549" s="145"/>
      <c r="H549" s="145"/>
      <c r="I549" s="145"/>
      <c r="J549" s="145"/>
      <c r="K549" s="145"/>
      <c r="L549" s="145"/>
      <c r="M549" s="146"/>
      <c r="N549" s="145"/>
      <c r="O549" s="145"/>
      <c r="P549" s="145"/>
      <c r="Q549" s="145"/>
      <c r="R549" s="145"/>
      <c r="S549" s="145"/>
      <c r="T549" s="145"/>
      <c r="U549" s="145"/>
      <c r="V549" s="145"/>
      <c r="W549" s="145"/>
      <c r="X549" s="145"/>
      <c r="Y549" s="145"/>
      <c r="Z549" s="145"/>
    </row>
    <row r="550" spans="1:26" ht="13.2">
      <c r="A550" s="144">
        <v>0</v>
      </c>
      <c r="B550" s="145"/>
      <c r="C550" s="145"/>
      <c r="D550" s="145"/>
      <c r="E550" s="145"/>
      <c r="F550" s="145"/>
      <c r="G550" s="145"/>
      <c r="H550" s="145"/>
      <c r="I550" s="145"/>
      <c r="J550" s="145"/>
      <c r="K550" s="145"/>
      <c r="L550" s="145"/>
      <c r="M550" s="146"/>
      <c r="N550" s="145"/>
      <c r="O550" s="145"/>
      <c r="P550" s="145"/>
      <c r="Q550" s="145"/>
      <c r="R550" s="145"/>
      <c r="S550" s="145"/>
      <c r="T550" s="145"/>
      <c r="U550" s="145"/>
      <c r="V550" s="145"/>
      <c r="W550" s="145"/>
      <c r="X550" s="145"/>
      <c r="Y550" s="145"/>
      <c r="Z550" s="145"/>
    </row>
    <row r="551" spans="1:26" ht="13.2">
      <c r="A551" s="144">
        <v>0</v>
      </c>
      <c r="B551" s="145"/>
      <c r="C551" s="145"/>
      <c r="D551" s="145"/>
      <c r="E551" s="145"/>
      <c r="F551" s="145"/>
      <c r="G551" s="145"/>
      <c r="H551" s="145"/>
      <c r="I551" s="145"/>
      <c r="J551" s="145"/>
      <c r="K551" s="145"/>
      <c r="L551" s="145"/>
      <c r="M551" s="146"/>
      <c r="N551" s="145"/>
      <c r="O551" s="145"/>
      <c r="P551" s="145"/>
      <c r="Q551" s="145"/>
      <c r="R551" s="145"/>
      <c r="S551" s="145"/>
      <c r="T551" s="145"/>
      <c r="U551" s="145"/>
      <c r="V551" s="145"/>
      <c r="W551" s="145"/>
      <c r="X551" s="145"/>
      <c r="Y551" s="145"/>
      <c r="Z551" s="145"/>
    </row>
    <row r="552" spans="1:26" ht="13.2">
      <c r="A552" s="144">
        <v>0</v>
      </c>
      <c r="B552" s="145"/>
      <c r="C552" s="145"/>
      <c r="D552" s="145"/>
      <c r="E552" s="145"/>
      <c r="F552" s="145"/>
      <c r="G552" s="145"/>
      <c r="H552" s="145"/>
      <c r="I552" s="145"/>
      <c r="J552" s="145"/>
      <c r="K552" s="145"/>
      <c r="L552" s="145"/>
      <c r="M552" s="146"/>
      <c r="N552" s="145"/>
      <c r="O552" s="145"/>
      <c r="P552" s="145"/>
      <c r="Q552" s="145"/>
      <c r="R552" s="145"/>
      <c r="S552" s="145"/>
      <c r="T552" s="145"/>
      <c r="U552" s="145"/>
      <c r="V552" s="145"/>
      <c r="W552" s="145"/>
      <c r="X552" s="145"/>
      <c r="Y552" s="145"/>
      <c r="Z552" s="145"/>
    </row>
    <row r="553" spans="1:26" ht="13.2">
      <c r="A553" s="144">
        <v>0</v>
      </c>
      <c r="B553" s="145"/>
      <c r="C553" s="145"/>
      <c r="D553" s="145"/>
      <c r="E553" s="145"/>
      <c r="F553" s="145"/>
      <c r="G553" s="145"/>
      <c r="H553" s="145"/>
      <c r="I553" s="145"/>
      <c r="J553" s="145"/>
      <c r="K553" s="145"/>
      <c r="L553" s="145"/>
      <c r="M553" s="146"/>
      <c r="N553" s="145"/>
      <c r="O553" s="145"/>
      <c r="P553" s="145"/>
      <c r="Q553" s="145"/>
      <c r="R553" s="145"/>
      <c r="S553" s="145"/>
      <c r="T553" s="145"/>
      <c r="U553" s="145"/>
      <c r="V553" s="145"/>
      <c r="W553" s="145"/>
      <c r="X553" s="145"/>
      <c r="Y553" s="145"/>
      <c r="Z553" s="145"/>
    </row>
    <row r="554" spans="1:26" ht="13.2">
      <c r="A554" s="144">
        <v>0</v>
      </c>
      <c r="B554" s="145"/>
      <c r="C554" s="145"/>
      <c r="D554" s="145"/>
      <c r="E554" s="145"/>
      <c r="F554" s="145"/>
      <c r="G554" s="145"/>
      <c r="H554" s="145"/>
      <c r="I554" s="145"/>
      <c r="J554" s="145"/>
      <c r="K554" s="145"/>
      <c r="L554" s="145"/>
      <c r="M554" s="146"/>
      <c r="N554" s="145"/>
      <c r="O554" s="145"/>
      <c r="P554" s="145"/>
      <c r="Q554" s="145"/>
      <c r="R554" s="145"/>
      <c r="S554" s="145"/>
      <c r="T554" s="145"/>
      <c r="U554" s="145"/>
      <c r="V554" s="145"/>
      <c r="W554" s="145"/>
      <c r="X554" s="145"/>
      <c r="Y554" s="145"/>
      <c r="Z554" s="145"/>
    </row>
    <row r="555" spans="1:26" ht="13.2">
      <c r="A555" s="144">
        <v>0</v>
      </c>
      <c r="B555" s="145"/>
      <c r="C555" s="145"/>
      <c r="D555" s="145"/>
      <c r="E555" s="145"/>
      <c r="F555" s="145"/>
      <c r="G555" s="145"/>
      <c r="H555" s="145"/>
      <c r="I555" s="145"/>
      <c r="J555" s="145"/>
      <c r="K555" s="145"/>
      <c r="L555" s="145"/>
      <c r="M555" s="146"/>
      <c r="N555" s="145"/>
      <c r="O555" s="145"/>
      <c r="P555" s="145"/>
      <c r="Q555" s="145"/>
      <c r="R555" s="145"/>
      <c r="S555" s="145"/>
      <c r="T555" s="145"/>
      <c r="U555" s="145"/>
      <c r="V555" s="145"/>
      <c r="W555" s="145"/>
      <c r="X555" s="145"/>
      <c r="Y555" s="145"/>
      <c r="Z555" s="145"/>
    </row>
    <row r="556" spans="1:26" ht="13.2">
      <c r="A556" s="144">
        <v>0</v>
      </c>
      <c r="B556" s="145"/>
      <c r="C556" s="145"/>
      <c r="D556" s="145"/>
      <c r="E556" s="145"/>
      <c r="F556" s="145"/>
      <c r="G556" s="145"/>
      <c r="H556" s="145"/>
      <c r="I556" s="145"/>
      <c r="J556" s="145"/>
      <c r="K556" s="145"/>
      <c r="L556" s="145"/>
      <c r="M556" s="146"/>
      <c r="N556" s="145"/>
      <c r="O556" s="145"/>
      <c r="P556" s="145"/>
      <c r="Q556" s="145"/>
      <c r="R556" s="145"/>
      <c r="S556" s="145"/>
      <c r="T556" s="145"/>
      <c r="U556" s="145"/>
      <c r="V556" s="145"/>
      <c r="W556" s="145"/>
      <c r="X556" s="145"/>
      <c r="Y556" s="145"/>
      <c r="Z556" s="145"/>
    </row>
    <row r="557" spans="1:26" ht="13.2">
      <c r="A557" s="144">
        <v>0</v>
      </c>
      <c r="B557" s="145"/>
      <c r="C557" s="145"/>
      <c r="D557" s="145"/>
      <c r="E557" s="145"/>
      <c r="F557" s="145"/>
      <c r="G557" s="145"/>
      <c r="H557" s="145"/>
      <c r="I557" s="145"/>
      <c r="J557" s="145"/>
      <c r="K557" s="145"/>
      <c r="L557" s="145"/>
      <c r="M557" s="146"/>
      <c r="N557" s="145"/>
      <c r="O557" s="145"/>
      <c r="P557" s="145"/>
      <c r="Q557" s="145"/>
      <c r="R557" s="145"/>
      <c r="S557" s="145"/>
      <c r="T557" s="145"/>
      <c r="U557" s="145"/>
      <c r="V557" s="145"/>
      <c r="W557" s="145"/>
      <c r="X557" s="145"/>
      <c r="Y557" s="145"/>
      <c r="Z557" s="145"/>
    </row>
    <row r="558" spans="1:26" ht="13.2">
      <c r="A558" s="144">
        <v>0</v>
      </c>
      <c r="B558" s="145"/>
      <c r="C558" s="145"/>
      <c r="D558" s="145"/>
      <c r="E558" s="145"/>
      <c r="F558" s="145"/>
      <c r="G558" s="145"/>
      <c r="H558" s="145"/>
      <c r="I558" s="145"/>
      <c r="J558" s="145"/>
      <c r="K558" s="145"/>
      <c r="L558" s="145"/>
      <c r="M558" s="146"/>
      <c r="N558" s="145"/>
      <c r="O558" s="145"/>
      <c r="P558" s="145"/>
      <c r="Q558" s="145"/>
      <c r="R558" s="145"/>
      <c r="S558" s="145"/>
      <c r="T558" s="145"/>
      <c r="U558" s="145"/>
      <c r="V558" s="145"/>
      <c r="W558" s="145"/>
      <c r="X558" s="145"/>
      <c r="Y558" s="145"/>
      <c r="Z558" s="145"/>
    </row>
    <row r="559" spans="1:26" ht="13.2">
      <c r="A559" s="144">
        <v>0</v>
      </c>
      <c r="B559" s="145"/>
      <c r="C559" s="145"/>
      <c r="D559" s="145"/>
      <c r="E559" s="145"/>
      <c r="F559" s="145"/>
      <c r="G559" s="145"/>
      <c r="H559" s="145"/>
      <c r="I559" s="145"/>
      <c r="J559" s="145"/>
      <c r="K559" s="145"/>
      <c r="L559" s="145"/>
      <c r="M559" s="146"/>
      <c r="N559" s="145"/>
      <c r="O559" s="145"/>
      <c r="P559" s="145"/>
      <c r="Q559" s="145"/>
      <c r="R559" s="145"/>
      <c r="S559" s="145"/>
      <c r="T559" s="145"/>
      <c r="U559" s="145"/>
      <c r="V559" s="145"/>
      <c r="W559" s="145"/>
      <c r="X559" s="145"/>
      <c r="Y559" s="145"/>
      <c r="Z559" s="145"/>
    </row>
    <row r="560" spans="1:26" ht="13.2">
      <c r="A560" s="144">
        <v>0</v>
      </c>
      <c r="B560" s="145"/>
      <c r="C560" s="145"/>
      <c r="D560" s="145"/>
      <c r="E560" s="145"/>
      <c r="F560" s="145"/>
      <c r="G560" s="145"/>
      <c r="H560" s="145"/>
      <c r="I560" s="145"/>
      <c r="J560" s="145"/>
      <c r="K560" s="145"/>
      <c r="L560" s="145"/>
      <c r="M560" s="146"/>
      <c r="N560" s="145"/>
      <c r="O560" s="145"/>
      <c r="P560" s="145"/>
      <c r="Q560" s="145"/>
      <c r="R560" s="145"/>
      <c r="S560" s="145"/>
      <c r="T560" s="145"/>
      <c r="U560" s="145"/>
      <c r="V560" s="145"/>
      <c r="W560" s="145"/>
      <c r="X560" s="145"/>
      <c r="Y560" s="145"/>
      <c r="Z560" s="145"/>
    </row>
    <row r="561" spans="1:26" ht="13.2">
      <c r="A561" s="144">
        <v>0</v>
      </c>
      <c r="B561" s="145"/>
      <c r="C561" s="145"/>
      <c r="D561" s="145"/>
      <c r="E561" s="145"/>
      <c r="F561" s="145"/>
      <c r="G561" s="145"/>
      <c r="H561" s="145"/>
      <c r="I561" s="145"/>
      <c r="J561" s="145"/>
      <c r="K561" s="145"/>
      <c r="L561" s="145"/>
      <c r="M561" s="146"/>
      <c r="N561" s="145"/>
      <c r="O561" s="145"/>
      <c r="P561" s="145"/>
      <c r="Q561" s="145"/>
      <c r="R561" s="145"/>
      <c r="S561" s="145"/>
      <c r="T561" s="145"/>
      <c r="U561" s="145"/>
      <c r="V561" s="145"/>
      <c r="W561" s="145"/>
      <c r="X561" s="145"/>
      <c r="Y561" s="145"/>
      <c r="Z561" s="145"/>
    </row>
    <row r="562" spans="1:26" ht="13.2">
      <c r="A562" s="144">
        <v>0</v>
      </c>
      <c r="B562" s="145"/>
      <c r="C562" s="145"/>
      <c r="D562" s="145"/>
      <c r="E562" s="145"/>
      <c r="F562" s="145"/>
      <c r="G562" s="145"/>
      <c r="H562" s="145"/>
      <c r="I562" s="145"/>
      <c r="J562" s="145"/>
      <c r="K562" s="145"/>
      <c r="L562" s="145"/>
      <c r="M562" s="146"/>
      <c r="N562" s="145"/>
      <c r="O562" s="145"/>
      <c r="P562" s="145"/>
      <c r="Q562" s="145"/>
      <c r="R562" s="145"/>
      <c r="S562" s="145"/>
      <c r="T562" s="145"/>
      <c r="U562" s="145"/>
      <c r="V562" s="145"/>
      <c r="W562" s="145"/>
      <c r="X562" s="145"/>
      <c r="Y562" s="145"/>
      <c r="Z562" s="145"/>
    </row>
    <row r="563" spans="1:26" ht="13.2">
      <c r="A563" s="144">
        <v>0</v>
      </c>
      <c r="B563" s="145"/>
      <c r="C563" s="145"/>
      <c r="D563" s="145"/>
      <c r="E563" s="145"/>
      <c r="F563" s="145"/>
      <c r="G563" s="145"/>
      <c r="H563" s="145"/>
      <c r="I563" s="145"/>
      <c r="J563" s="145"/>
      <c r="K563" s="145"/>
      <c r="L563" s="145"/>
      <c r="M563" s="146"/>
      <c r="N563" s="145"/>
      <c r="O563" s="145"/>
      <c r="P563" s="145"/>
      <c r="Q563" s="145"/>
      <c r="R563" s="145"/>
      <c r="S563" s="145"/>
      <c r="T563" s="145"/>
      <c r="U563" s="145"/>
      <c r="V563" s="145"/>
      <c r="W563" s="145"/>
      <c r="X563" s="145"/>
      <c r="Y563" s="145"/>
      <c r="Z563" s="145"/>
    </row>
    <row r="564" spans="1:26" ht="13.2">
      <c r="A564" s="144">
        <v>0</v>
      </c>
      <c r="B564" s="145"/>
      <c r="C564" s="145"/>
      <c r="D564" s="145"/>
      <c r="E564" s="145"/>
      <c r="F564" s="145"/>
      <c r="G564" s="145"/>
      <c r="H564" s="145"/>
      <c r="I564" s="145"/>
      <c r="J564" s="145"/>
      <c r="K564" s="145"/>
      <c r="L564" s="145"/>
      <c r="M564" s="146"/>
      <c r="N564" s="145"/>
      <c r="O564" s="145"/>
      <c r="P564" s="145"/>
      <c r="Q564" s="145"/>
      <c r="R564" s="145"/>
      <c r="S564" s="145"/>
      <c r="T564" s="145"/>
      <c r="U564" s="145"/>
      <c r="V564" s="145"/>
      <c r="W564" s="145"/>
      <c r="X564" s="145"/>
      <c r="Y564" s="145"/>
      <c r="Z564" s="145"/>
    </row>
    <row r="565" spans="1:26" ht="13.2">
      <c r="A565" s="144">
        <v>0</v>
      </c>
      <c r="B565" s="145"/>
      <c r="C565" s="145"/>
      <c r="D565" s="145"/>
      <c r="E565" s="145"/>
      <c r="F565" s="145"/>
      <c r="G565" s="145"/>
      <c r="H565" s="145"/>
      <c r="I565" s="145"/>
      <c r="J565" s="145"/>
      <c r="K565" s="145"/>
      <c r="L565" s="145"/>
      <c r="M565" s="146"/>
      <c r="N565" s="145"/>
      <c r="O565" s="145"/>
      <c r="P565" s="145"/>
      <c r="Q565" s="145"/>
      <c r="R565" s="145"/>
      <c r="S565" s="145"/>
      <c r="T565" s="145"/>
      <c r="U565" s="145"/>
      <c r="V565" s="145"/>
      <c r="W565" s="145"/>
      <c r="X565" s="145"/>
      <c r="Y565" s="145"/>
      <c r="Z565" s="145"/>
    </row>
    <row r="566" spans="1:26" ht="13.2">
      <c r="A566" s="144">
        <v>0</v>
      </c>
      <c r="B566" s="145"/>
      <c r="C566" s="145"/>
      <c r="D566" s="145"/>
      <c r="E566" s="145"/>
      <c r="F566" s="145"/>
      <c r="G566" s="145"/>
      <c r="H566" s="145"/>
      <c r="I566" s="145"/>
      <c r="J566" s="145"/>
      <c r="K566" s="145"/>
      <c r="L566" s="145"/>
      <c r="M566" s="146"/>
      <c r="N566" s="145"/>
      <c r="O566" s="145"/>
      <c r="P566" s="145"/>
      <c r="Q566" s="145"/>
      <c r="R566" s="145"/>
      <c r="S566" s="145"/>
      <c r="T566" s="145"/>
      <c r="U566" s="145"/>
      <c r="V566" s="145"/>
      <c r="W566" s="145"/>
      <c r="X566" s="145"/>
      <c r="Y566" s="145"/>
      <c r="Z566" s="145"/>
    </row>
    <row r="567" spans="1:26" ht="13.2">
      <c r="A567" s="144">
        <v>0</v>
      </c>
      <c r="B567" s="145"/>
      <c r="C567" s="145"/>
      <c r="D567" s="145"/>
      <c r="E567" s="145"/>
      <c r="F567" s="145"/>
      <c r="G567" s="145"/>
      <c r="H567" s="145"/>
      <c r="I567" s="145"/>
      <c r="J567" s="145"/>
      <c r="K567" s="145"/>
      <c r="L567" s="145"/>
      <c r="M567" s="146"/>
      <c r="N567" s="145"/>
      <c r="O567" s="145"/>
      <c r="P567" s="145"/>
      <c r="Q567" s="145"/>
      <c r="R567" s="145"/>
      <c r="S567" s="145"/>
      <c r="T567" s="145"/>
      <c r="U567" s="145"/>
      <c r="V567" s="145"/>
      <c r="W567" s="145"/>
      <c r="X567" s="145"/>
      <c r="Y567" s="145"/>
      <c r="Z567" s="145"/>
    </row>
    <row r="568" spans="1:26" ht="13.2">
      <c r="A568" s="144">
        <v>0</v>
      </c>
      <c r="B568" s="145"/>
      <c r="C568" s="145"/>
      <c r="D568" s="145"/>
      <c r="E568" s="145"/>
      <c r="F568" s="145"/>
      <c r="G568" s="145"/>
      <c r="H568" s="145"/>
      <c r="I568" s="145"/>
      <c r="J568" s="145"/>
      <c r="K568" s="145"/>
      <c r="L568" s="145"/>
      <c r="M568" s="146"/>
      <c r="N568" s="145"/>
      <c r="O568" s="145"/>
      <c r="P568" s="145"/>
      <c r="Q568" s="145"/>
      <c r="R568" s="145"/>
      <c r="S568" s="145"/>
      <c r="T568" s="145"/>
      <c r="U568" s="145"/>
      <c r="V568" s="145"/>
      <c r="W568" s="145"/>
      <c r="X568" s="145"/>
      <c r="Y568" s="145"/>
      <c r="Z568" s="145"/>
    </row>
    <row r="569" spans="1:26" ht="13.2">
      <c r="A569" s="144">
        <v>0</v>
      </c>
      <c r="B569" s="145"/>
      <c r="C569" s="145"/>
      <c r="D569" s="145"/>
      <c r="E569" s="145"/>
      <c r="F569" s="145"/>
      <c r="G569" s="145"/>
      <c r="H569" s="145"/>
      <c r="I569" s="145"/>
      <c r="J569" s="145"/>
      <c r="K569" s="145"/>
      <c r="L569" s="145"/>
      <c r="M569" s="146"/>
      <c r="N569" s="145"/>
      <c r="O569" s="145"/>
      <c r="P569" s="145"/>
      <c r="Q569" s="145"/>
      <c r="R569" s="145"/>
      <c r="S569" s="145"/>
      <c r="T569" s="145"/>
      <c r="U569" s="145"/>
      <c r="V569" s="145"/>
      <c r="W569" s="145"/>
      <c r="X569" s="145"/>
      <c r="Y569" s="145"/>
      <c r="Z569" s="145"/>
    </row>
    <row r="570" spans="1:26" ht="13.2">
      <c r="A570" s="144">
        <v>0</v>
      </c>
      <c r="B570" s="145"/>
      <c r="C570" s="145"/>
      <c r="D570" s="145"/>
      <c r="E570" s="145"/>
      <c r="F570" s="145"/>
      <c r="G570" s="145"/>
      <c r="H570" s="145"/>
      <c r="I570" s="145"/>
      <c r="J570" s="145"/>
      <c r="K570" s="145"/>
      <c r="L570" s="145"/>
      <c r="M570" s="146"/>
      <c r="N570" s="145"/>
      <c r="O570" s="145"/>
      <c r="P570" s="145"/>
      <c r="Q570" s="145"/>
      <c r="R570" s="145"/>
      <c r="S570" s="145"/>
      <c r="T570" s="145"/>
      <c r="U570" s="145"/>
      <c r="V570" s="145"/>
      <c r="W570" s="145"/>
      <c r="X570" s="145"/>
      <c r="Y570" s="145"/>
      <c r="Z570" s="145"/>
    </row>
    <row r="571" spans="1:26" ht="13.2">
      <c r="A571" s="144">
        <v>0</v>
      </c>
      <c r="B571" s="145"/>
      <c r="C571" s="145"/>
      <c r="D571" s="145"/>
      <c r="E571" s="145"/>
      <c r="F571" s="145"/>
      <c r="G571" s="145"/>
      <c r="H571" s="145"/>
      <c r="I571" s="145"/>
      <c r="J571" s="145"/>
      <c r="K571" s="145"/>
      <c r="L571" s="145"/>
      <c r="M571" s="146"/>
      <c r="N571" s="145"/>
      <c r="O571" s="145"/>
      <c r="P571" s="145"/>
      <c r="Q571" s="145"/>
      <c r="R571" s="145"/>
      <c r="S571" s="145"/>
      <c r="T571" s="145"/>
      <c r="U571" s="145"/>
      <c r="V571" s="145"/>
      <c r="W571" s="145"/>
      <c r="X571" s="145"/>
      <c r="Y571" s="145"/>
      <c r="Z571" s="145"/>
    </row>
    <row r="572" spans="1:26" ht="13.2">
      <c r="A572" s="144">
        <v>0</v>
      </c>
      <c r="B572" s="145"/>
      <c r="C572" s="145"/>
      <c r="D572" s="145"/>
      <c r="E572" s="145"/>
      <c r="F572" s="145"/>
      <c r="G572" s="145"/>
      <c r="H572" s="145"/>
      <c r="I572" s="145"/>
      <c r="J572" s="145"/>
      <c r="K572" s="145"/>
      <c r="L572" s="145"/>
      <c r="M572" s="146"/>
      <c r="N572" s="145"/>
      <c r="O572" s="145"/>
      <c r="P572" s="145"/>
      <c r="Q572" s="145"/>
      <c r="R572" s="145"/>
      <c r="S572" s="145"/>
      <c r="T572" s="145"/>
      <c r="U572" s="145"/>
      <c r="V572" s="145"/>
      <c r="W572" s="145"/>
      <c r="X572" s="145"/>
      <c r="Y572" s="145"/>
      <c r="Z572" s="145"/>
    </row>
    <row r="573" spans="1:26" ht="13.2">
      <c r="A573" s="144">
        <v>0</v>
      </c>
      <c r="B573" s="145"/>
      <c r="C573" s="145"/>
      <c r="D573" s="145"/>
      <c r="E573" s="145"/>
      <c r="F573" s="145"/>
      <c r="G573" s="145"/>
      <c r="H573" s="145"/>
      <c r="I573" s="145"/>
      <c r="J573" s="145"/>
      <c r="K573" s="145"/>
      <c r="L573" s="145"/>
      <c r="M573" s="146"/>
      <c r="N573" s="145"/>
      <c r="O573" s="145"/>
      <c r="P573" s="145"/>
      <c r="Q573" s="145"/>
      <c r="R573" s="145"/>
      <c r="S573" s="145"/>
      <c r="T573" s="145"/>
      <c r="U573" s="145"/>
      <c r="V573" s="145"/>
      <c r="W573" s="145"/>
      <c r="X573" s="145"/>
      <c r="Y573" s="145"/>
      <c r="Z573" s="145"/>
    </row>
    <row r="574" spans="1:26" ht="13.2">
      <c r="A574" s="144">
        <v>0</v>
      </c>
      <c r="B574" s="145"/>
      <c r="C574" s="145"/>
      <c r="D574" s="145"/>
      <c r="E574" s="145"/>
      <c r="F574" s="145"/>
      <c r="G574" s="145"/>
      <c r="H574" s="145"/>
      <c r="I574" s="145"/>
      <c r="J574" s="145"/>
      <c r="K574" s="145"/>
      <c r="L574" s="145"/>
      <c r="M574" s="146"/>
      <c r="N574" s="145"/>
      <c r="O574" s="145"/>
      <c r="P574" s="145"/>
      <c r="Q574" s="145"/>
      <c r="R574" s="145"/>
      <c r="S574" s="145"/>
      <c r="T574" s="145"/>
      <c r="U574" s="145"/>
      <c r="V574" s="145"/>
      <c r="W574" s="145"/>
      <c r="X574" s="145"/>
      <c r="Y574" s="145"/>
      <c r="Z574" s="145"/>
    </row>
    <row r="575" spans="1:26" ht="13.2">
      <c r="A575" s="144">
        <v>0</v>
      </c>
      <c r="B575" s="145"/>
      <c r="C575" s="145"/>
      <c r="D575" s="145"/>
      <c r="E575" s="145"/>
      <c r="F575" s="145"/>
      <c r="G575" s="145"/>
      <c r="H575" s="145"/>
      <c r="I575" s="145"/>
      <c r="J575" s="145"/>
      <c r="K575" s="145"/>
      <c r="L575" s="145"/>
      <c r="M575" s="146"/>
      <c r="N575" s="145"/>
      <c r="O575" s="145"/>
      <c r="P575" s="145"/>
      <c r="Q575" s="145"/>
      <c r="R575" s="145"/>
      <c r="S575" s="145"/>
      <c r="T575" s="145"/>
      <c r="U575" s="145"/>
      <c r="V575" s="145"/>
      <c r="W575" s="145"/>
      <c r="X575" s="145"/>
      <c r="Y575" s="145"/>
      <c r="Z575" s="145"/>
    </row>
    <row r="576" spans="1:26" ht="13.2">
      <c r="A576" s="144">
        <v>0</v>
      </c>
      <c r="B576" s="145"/>
      <c r="C576" s="145"/>
      <c r="D576" s="145"/>
      <c r="E576" s="145"/>
      <c r="F576" s="145"/>
      <c r="G576" s="145"/>
      <c r="H576" s="145"/>
      <c r="I576" s="145"/>
      <c r="J576" s="145"/>
      <c r="K576" s="145"/>
      <c r="L576" s="145"/>
      <c r="M576" s="146"/>
      <c r="N576" s="145"/>
      <c r="O576" s="145"/>
      <c r="P576" s="145"/>
      <c r="Q576" s="145"/>
      <c r="R576" s="145"/>
      <c r="S576" s="145"/>
      <c r="T576" s="145"/>
      <c r="U576" s="145"/>
      <c r="V576" s="145"/>
      <c r="W576" s="145"/>
      <c r="X576" s="145"/>
      <c r="Y576" s="145"/>
      <c r="Z576" s="145"/>
    </row>
    <row r="577" spans="1:26" ht="13.2">
      <c r="A577" s="144">
        <v>0</v>
      </c>
      <c r="B577" s="145"/>
      <c r="C577" s="145"/>
      <c r="D577" s="145"/>
      <c r="E577" s="145"/>
      <c r="F577" s="145"/>
      <c r="G577" s="145"/>
      <c r="H577" s="145"/>
      <c r="I577" s="145"/>
      <c r="J577" s="145"/>
      <c r="K577" s="145"/>
      <c r="L577" s="145"/>
      <c r="M577" s="146"/>
      <c r="N577" s="145"/>
      <c r="O577" s="145"/>
      <c r="P577" s="145"/>
      <c r="Q577" s="145"/>
      <c r="R577" s="145"/>
      <c r="S577" s="145"/>
      <c r="T577" s="145"/>
      <c r="U577" s="145"/>
      <c r="V577" s="145"/>
      <c r="W577" s="145"/>
      <c r="X577" s="145"/>
      <c r="Y577" s="145"/>
      <c r="Z577" s="145"/>
    </row>
    <row r="578" spans="1:26" ht="13.2">
      <c r="A578" s="144">
        <v>0</v>
      </c>
      <c r="B578" s="145"/>
      <c r="C578" s="145"/>
      <c r="D578" s="145"/>
      <c r="E578" s="145"/>
      <c r="F578" s="145"/>
      <c r="G578" s="145"/>
      <c r="H578" s="145"/>
      <c r="I578" s="145"/>
      <c r="J578" s="145"/>
      <c r="K578" s="145"/>
      <c r="L578" s="145"/>
      <c r="M578" s="146"/>
      <c r="N578" s="145"/>
      <c r="O578" s="145"/>
      <c r="P578" s="145"/>
      <c r="Q578" s="145"/>
      <c r="R578" s="145"/>
      <c r="S578" s="145"/>
      <c r="T578" s="145"/>
      <c r="U578" s="145"/>
      <c r="V578" s="145"/>
      <c r="W578" s="145"/>
      <c r="X578" s="145"/>
      <c r="Y578" s="145"/>
      <c r="Z578" s="145"/>
    </row>
    <row r="579" spans="1:26" ht="13.2">
      <c r="A579" s="144">
        <v>0</v>
      </c>
      <c r="B579" s="145"/>
      <c r="C579" s="145"/>
      <c r="D579" s="145"/>
      <c r="E579" s="145"/>
      <c r="F579" s="145"/>
      <c r="G579" s="145"/>
      <c r="H579" s="145"/>
      <c r="I579" s="145"/>
      <c r="J579" s="145"/>
      <c r="K579" s="145"/>
      <c r="L579" s="145"/>
      <c r="M579" s="146"/>
      <c r="N579" s="145"/>
      <c r="O579" s="145"/>
      <c r="P579" s="145"/>
      <c r="Q579" s="145"/>
      <c r="R579" s="145"/>
      <c r="S579" s="145"/>
      <c r="T579" s="145"/>
      <c r="U579" s="145"/>
      <c r="V579" s="145"/>
      <c r="W579" s="145"/>
      <c r="X579" s="145"/>
      <c r="Y579" s="145"/>
      <c r="Z579" s="145"/>
    </row>
    <row r="580" spans="1:26" ht="13.2">
      <c r="A580" s="144">
        <v>0</v>
      </c>
      <c r="B580" s="145"/>
      <c r="C580" s="145"/>
      <c r="D580" s="145"/>
      <c r="E580" s="145"/>
      <c r="F580" s="145"/>
      <c r="G580" s="145"/>
      <c r="H580" s="145"/>
      <c r="I580" s="145"/>
      <c r="J580" s="145"/>
      <c r="K580" s="145"/>
      <c r="L580" s="145"/>
      <c r="M580" s="146"/>
      <c r="N580" s="145"/>
      <c r="O580" s="145"/>
      <c r="P580" s="145"/>
      <c r="Q580" s="145"/>
      <c r="R580" s="145"/>
      <c r="S580" s="145"/>
      <c r="T580" s="145"/>
      <c r="U580" s="145"/>
      <c r="V580" s="145"/>
      <c r="W580" s="145"/>
      <c r="X580" s="145"/>
      <c r="Y580" s="145"/>
      <c r="Z580" s="145"/>
    </row>
    <row r="581" spans="1:26" ht="13.2">
      <c r="A581" s="144">
        <v>0</v>
      </c>
      <c r="B581" s="145"/>
      <c r="C581" s="145"/>
      <c r="D581" s="145"/>
      <c r="E581" s="145"/>
      <c r="F581" s="145"/>
      <c r="G581" s="145"/>
      <c r="H581" s="145"/>
      <c r="I581" s="145"/>
      <c r="J581" s="145"/>
      <c r="K581" s="145"/>
      <c r="L581" s="145"/>
      <c r="M581" s="146"/>
      <c r="N581" s="145"/>
      <c r="O581" s="145"/>
      <c r="P581" s="145"/>
      <c r="Q581" s="145"/>
      <c r="R581" s="145"/>
      <c r="S581" s="145"/>
      <c r="T581" s="145"/>
      <c r="U581" s="145"/>
      <c r="V581" s="145"/>
      <c r="W581" s="145"/>
      <c r="X581" s="145"/>
      <c r="Y581" s="145"/>
      <c r="Z581" s="145"/>
    </row>
    <row r="582" spans="1:26" ht="13.2">
      <c r="A582" s="144">
        <v>0</v>
      </c>
      <c r="B582" s="145"/>
      <c r="C582" s="145"/>
      <c r="D582" s="145"/>
      <c r="E582" s="145"/>
      <c r="F582" s="145"/>
      <c r="G582" s="145"/>
      <c r="H582" s="145"/>
      <c r="I582" s="145"/>
      <c r="J582" s="145"/>
      <c r="K582" s="145"/>
      <c r="L582" s="145"/>
      <c r="M582" s="146"/>
      <c r="N582" s="145"/>
      <c r="O582" s="145"/>
      <c r="P582" s="145"/>
      <c r="Q582" s="145"/>
      <c r="R582" s="145"/>
      <c r="S582" s="145"/>
      <c r="T582" s="145"/>
      <c r="U582" s="145"/>
      <c r="V582" s="145"/>
      <c r="W582" s="145"/>
      <c r="X582" s="145"/>
      <c r="Y582" s="145"/>
      <c r="Z582" s="145"/>
    </row>
    <row r="583" spans="1:26" ht="13.2">
      <c r="A583" s="144">
        <v>0</v>
      </c>
      <c r="B583" s="145"/>
      <c r="C583" s="145"/>
      <c r="D583" s="145"/>
      <c r="E583" s="145"/>
      <c r="F583" s="145"/>
      <c r="G583" s="145"/>
      <c r="H583" s="145"/>
      <c r="I583" s="145"/>
      <c r="J583" s="145"/>
      <c r="K583" s="145"/>
      <c r="L583" s="145"/>
      <c r="M583" s="146"/>
      <c r="N583" s="145"/>
      <c r="O583" s="145"/>
      <c r="P583" s="145"/>
      <c r="Q583" s="145"/>
      <c r="R583" s="145"/>
      <c r="S583" s="145"/>
      <c r="T583" s="145"/>
      <c r="U583" s="145"/>
      <c r="V583" s="145"/>
      <c r="W583" s="145"/>
      <c r="X583" s="145"/>
      <c r="Y583" s="145"/>
      <c r="Z583" s="145"/>
    </row>
    <row r="584" spans="1:26" ht="13.2">
      <c r="A584" s="144">
        <v>0</v>
      </c>
      <c r="B584" s="145"/>
      <c r="C584" s="145"/>
      <c r="D584" s="145"/>
      <c r="E584" s="145"/>
      <c r="F584" s="145"/>
      <c r="G584" s="145"/>
      <c r="H584" s="145"/>
      <c r="I584" s="145"/>
      <c r="J584" s="145"/>
      <c r="K584" s="145"/>
      <c r="L584" s="145"/>
      <c r="M584" s="146"/>
      <c r="N584" s="145"/>
      <c r="O584" s="145"/>
      <c r="P584" s="145"/>
      <c r="Q584" s="145"/>
      <c r="R584" s="145"/>
      <c r="S584" s="145"/>
      <c r="T584" s="145"/>
      <c r="U584" s="145"/>
      <c r="V584" s="145"/>
      <c r="W584" s="145"/>
      <c r="X584" s="145"/>
      <c r="Y584" s="145"/>
      <c r="Z584" s="145"/>
    </row>
    <row r="585" spans="1:26" ht="13.2">
      <c r="A585" s="144">
        <v>0</v>
      </c>
      <c r="B585" s="145"/>
      <c r="C585" s="145"/>
      <c r="D585" s="145"/>
      <c r="E585" s="145"/>
      <c r="F585" s="145"/>
      <c r="G585" s="145"/>
      <c r="H585" s="145"/>
      <c r="I585" s="145"/>
      <c r="J585" s="145"/>
      <c r="K585" s="145"/>
      <c r="L585" s="145"/>
      <c r="M585" s="146"/>
      <c r="N585" s="145"/>
      <c r="O585" s="145"/>
      <c r="P585" s="145"/>
      <c r="Q585" s="145"/>
      <c r="R585" s="145"/>
      <c r="S585" s="145"/>
      <c r="T585" s="145"/>
      <c r="U585" s="145"/>
      <c r="V585" s="145"/>
      <c r="W585" s="145"/>
      <c r="X585" s="145"/>
      <c r="Y585" s="145"/>
      <c r="Z585" s="145"/>
    </row>
    <row r="586" spans="1:26" ht="13.2">
      <c r="A586" s="144">
        <v>0</v>
      </c>
      <c r="B586" s="145"/>
      <c r="C586" s="145"/>
      <c r="D586" s="145"/>
      <c r="E586" s="145"/>
      <c r="F586" s="145"/>
      <c r="G586" s="145"/>
      <c r="H586" s="145"/>
      <c r="I586" s="145"/>
      <c r="J586" s="145"/>
      <c r="K586" s="145"/>
      <c r="L586" s="145"/>
      <c r="M586" s="146"/>
      <c r="N586" s="145"/>
      <c r="O586" s="145"/>
      <c r="P586" s="145"/>
      <c r="Q586" s="145"/>
      <c r="R586" s="145"/>
      <c r="S586" s="145"/>
      <c r="T586" s="145"/>
      <c r="U586" s="145"/>
      <c r="V586" s="145"/>
      <c r="W586" s="145"/>
      <c r="X586" s="145"/>
      <c r="Y586" s="145"/>
      <c r="Z586" s="145"/>
    </row>
    <row r="587" spans="1:26" ht="13.2">
      <c r="A587" s="144">
        <v>0</v>
      </c>
      <c r="B587" s="145"/>
      <c r="C587" s="145"/>
      <c r="D587" s="145"/>
      <c r="E587" s="145"/>
      <c r="F587" s="145"/>
      <c r="G587" s="145"/>
      <c r="H587" s="145"/>
      <c r="I587" s="145"/>
      <c r="J587" s="145"/>
      <c r="K587" s="145"/>
      <c r="L587" s="145"/>
      <c r="M587" s="146"/>
      <c r="N587" s="145"/>
      <c r="O587" s="145"/>
      <c r="P587" s="145"/>
      <c r="Q587" s="145"/>
      <c r="R587" s="145"/>
      <c r="S587" s="145"/>
      <c r="T587" s="145"/>
      <c r="U587" s="145"/>
      <c r="V587" s="145"/>
      <c r="W587" s="145"/>
      <c r="X587" s="145"/>
      <c r="Y587" s="145"/>
      <c r="Z587" s="145"/>
    </row>
    <row r="588" spans="1:26" ht="13.2">
      <c r="A588" s="144">
        <v>0</v>
      </c>
      <c r="B588" s="145"/>
      <c r="C588" s="145"/>
      <c r="D588" s="145"/>
      <c r="E588" s="145"/>
      <c r="F588" s="145"/>
      <c r="G588" s="145"/>
      <c r="H588" s="145"/>
      <c r="I588" s="145"/>
      <c r="J588" s="145"/>
      <c r="K588" s="145"/>
      <c r="L588" s="145"/>
      <c r="M588" s="146"/>
      <c r="N588" s="145"/>
      <c r="O588" s="145"/>
      <c r="P588" s="145"/>
      <c r="Q588" s="145"/>
      <c r="R588" s="145"/>
      <c r="S588" s="145"/>
      <c r="T588" s="145"/>
      <c r="U588" s="145"/>
      <c r="V588" s="145"/>
      <c r="W588" s="145"/>
      <c r="X588" s="145"/>
      <c r="Y588" s="145"/>
      <c r="Z588" s="145"/>
    </row>
    <row r="589" spans="1:26" ht="13.2">
      <c r="A589" s="144">
        <v>0</v>
      </c>
      <c r="B589" s="145"/>
      <c r="C589" s="145"/>
      <c r="D589" s="145"/>
      <c r="E589" s="145"/>
      <c r="F589" s="145"/>
      <c r="G589" s="145"/>
      <c r="H589" s="145"/>
      <c r="I589" s="145"/>
      <c r="J589" s="145"/>
      <c r="K589" s="145"/>
      <c r="L589" s="145"/>
      <c r="M589" s="146"/>
      <c r="N589" s="145"/>
      <c r="O589" s="145"/>
      <c r="P589" s="145"/>
      <c r="Q589" s="145"/>
      <c r="R589" s="145"/>
      <c r="S589" s="145"/>
      <c r="T589" s="145"/>
      <c r="U589" s="145"/>
      <c r="V589" s="145"/>
      <c r="W589" s="145"/>
      <c r="X589" s="145"/>
      <c r="Y589" s="145"/>
      <c r="Z589" s="145"/>
    </row>
    <row r="590" spans="1:26" ht="13.2">
      <c r="A590" s="144">
        <v>0</v>
      </c>
      <c r="B590" s="145"/>
      <c r="C590" s="145"/>
      <c r="D590" s="145"/>
      <c r="E590" s="145"/>
      <c r="F590" s="145"/>
      <c r="G590" s="145"/>
      <c r="H590" s="145"/>
      <c r="I590" s="145"/>
      <c r="J590" s="145"/>
      <c r="K590" s="145"/>
      <c r="L590" s="145"/>
      <c r="M590" s="146"/>
      <c r="N590" s="145"/>
      <c r="O590" s="145"/>
      <c r="P590" s="145"/>
      <c r="Q590" s="145"/>
      <c r="R590" s="145"/>
      <c r="S590" s="145"/>
      <c r="T590" s="145"/>
      <c r="U590" s="145"/>
      <c r="V590" s="145"/>
      <c r="W590" s="145"/>
      <c r="X590" s="145"/>
      <c r="Y590" s="145"/>
      <c r="Z590" s="145"/>
    </row>
    <row r="591" spans="1:26" ht="13.2">
      <c r="A591" s="144">
        <v>0</v>
      </c>
      <c r="B591" s="145"/>
      <c r="C591" s="145"/>
      <c r="D591" s="145"/>
      <c r="E591" s="145"/>
      <c r="F591" s="145"/>
      <c r="G591" s="145"/>
      <c r="H591" s="145"/>
      <c r="I591" s="145"/>
      <c r="J591" s="145"/>
      <c r="K591" s="145"/>
      <c r="L591" s="145"/>
      <c r="M591" s="146"/>
      <c r="N591" s="145"/>
      <c r="O591" s="145"/>
      <c r="P591" s="145"/>
      <c r="Q591" s="145"/>
      <c r="R591" s="145"/>
      <c r="S591" s="145"/>
      <c r="T591" s="145"/>
      <c r="U591" s="145"/>
      <c r="V591" s="145"/>
      <c r="W591" s="145"/>
      <c r="X591" s="145"/>
      <c r="Y591" s="145"/>
      <c r="Z591" s="145"/>
    </row>
    <row r="592" spans="1:26" ht="13.2">
      <c r="A592" s="144">
        <v>0</v>
      </c>
      <c r="B592" s="145"/>
      <c r="C592" s="145"/>
      <c r="D592" s="145"/>
      <c r="E592" s="145"/>
      <c r="F592" s="145"/>
      <c r="G592" s="145"/>
      <c r="H592" s="145"/>
      <c r="I592" s="145"/>
      <c r="J592" s="145"/>
      <c r="K592" s="145"/>
      <c r="L592" s="145"/>
      <c r="M592" s="146"/>
      <c r="N592" s="145"/>
      <c r="O592" s="145"/>
      <c r="P592" s="145"/>
      <c r="Q592" s="145"/>
      <c r="R592" s="145"/>
      <c r="S592" s="145"/>
      <c r="T592" s="145"/>
      <c r="U592" s="145"/>
      <c r="V592" s="145"/>
      <c r="W592" s="145"/>
      <c r="X592" s="145"/>
      <c r="Y592" s="145"/>
      <c r="Z592" s="145"/>
    </row>
    <row r="593" spans="1:26" ht="13.2">
      <c r="A593" s="144">
        <v>0</v>
      </c>
      <c r="B593" s="145"/>
      <c r="C593" s="145"/>
      <c r="D593" s="145"/>
      <c r="E593" s="145"/>
      <c r="F593" s="145"/>
      <c r="G593" s="145"/>
      <c r="H593" s="145"/>
      <c r="I593" s="145"/>
      <c r="J593" s="145"/>
      <c r="K593" s="145"/>
      <c r="L593" s="145"/>
      <c r="M593" s="146"/>
      <c r="N593" s="145"/>
      <c r="O593" s="145"/>
      <c r="P593" s="145"/>
      <c r="Q593" s="145"/>
      <c r="R593" s="145"/>
      <c r="S593" s="145"/>
      <c r="T593" s="145"/>
      <c r="U593" s="145"/>
      <c r="V593" s="145"/>
      <c r="W593" s="145"/>
      <c r="X593" s="145"/>
      <c r="Y593" s="145"/>
      <c r="Z593" s="145"/>
    </row>
    <row r="594" spans="1:26" ht="13.2">
      <c r="A594" s="144">
        <v>0</v>
      </c>
      <c r="B594" s="145"/>
      <c r="C594" s="145"/>
      <c r="D594" s="145"/>
      <c r="E594" s="145"/>
      <c r="F594" s="145"/>
      <c r="G594" s="145"/>
      <c r="H594" s="145"/>
      <c r="I594" s="145"/>
      <c r="J594" s="145"/>
      <c r="K594" s="145"/>
      <c r="L594" s="145"/>
      <c r="M594" s="146"/>
      <c r="N594" s="145"/>
      <c r="O594" s="145"/>
      <c r="P594" s="145"/>
      <c r="Q594" s="145"/>
      <c r="R594" s="145"/>
      <c r="S594" s="145"/>
      <c r="T594" s="145"/>
      <c r="U594" s="145"/>
      <c r="V594" s="145"/>
      <c r="W594" s="145"/>
      <c r="X594" s="145"/>
      <c r="Y594" s="145"/>
      <c r="Z594" s="145"/>
    </row>
    <row r="595" spans="1:26" ht="13.2">
      <c r="A595" s="144">
        <v>0</v>
      </c>
      <c r="B595" s="145"/>
      <c r="C595" s="145"/>
      <c r="D595" s="145"/>
      <c r="E595" s="145"/>
      <c r="F595" s="145"/>
      <c r="G595" s="145"/>
      <c r="H595" s="145"/>
      <c r="I595" s="145"/>
      <c r="J595" s="145"/>
      <c r="K595" s="145"/>
      <c r="L595" s="145"/>
      <c r="M595" s="146"/>
      <c r="N595" s="145"/>
      <c r="O595" s="145"/>
      <c r="P595" s="145"/>
      <c r="Q595" s="145"/>
      <c r="R595" s="145"/>
      <c r="S595" s="145"/>
      <c r="T595" s="145"/>
      <c r="U595" s="145"/>
      <c r="V595" s="145"/>
      <c r="W595" s="145"/>
      <c r="X595" s="145"/>
      <c r="Y595" s="145"/>
      <c r="Z595" s="145"/>
    </row>
    <row r="596" spans="1:26" ht="13.2">
      <c r="A596" s="144">
        <v>0</v>
      </c>
      <c r="B596" s="145"/>
      <c r="C596" s="145"/>
      <c r="D596" s="145"/>
      <c r="E596" s="145"/>
      <c r="F596" s="145"/>
      <c r="G596" s="145"/>
      <c r="H596" s="145"/>
      <c r="I596" s="145"/>
      <c r="J596" s="145"/>
      <c r="K596" s="145"/>
      <c r="L596" s="145"/>
      <c r="M596" s="146"/>
      <c r="N596" s="145"/>
      <c r="O596" s="145"/>
      <c r="P596" s="145"/>
      <c r="Q596" s="145"/>
      <c r="R596" s="145"/>
      <c r="S596" s="145"/>
      <c r="T596" s="145"/>
      <c r="U596" s="145"/>
      <c r="V596" s="145"/>
      <c r="W596" s="145"/>
      <c r="X596" s="145"/>
      <c r="Y596" s="145"/>
      <c r="Z596" s="145"/>
    </row>
    <row r="597" spans="1:26" ht="13.2">
      <c r="A597" s="144">
        <v>0</v>
      </c>
      <c r="B597" s="145"/>
      <c r="C597" s="145"/>
      <c r="D597" s="145"/>
      <c r="E597" s="145"/>
      <c r="F597" s="145"/>
      <c r="G597" s="145"/>
      <c r="H597" s="145"/>
      <c r="I597" s="145"/>
      <c r="J597" s="145"/>
      <c r="K597" s="145"/>
      <c r="L597" s="145"/>
      <c r="M597" s="146"/>
      <c r="N597" s="145"/>
      <c r="O597" s="145"/>
      <c r="P597" s="145"/>
      <c r="Q597" s="145"/>
      <c r="R597" s="145"/>
      <c r="S597" s="145"/>
      <c r="T597" s="145"/>
      <c r="U597" s="145"/>
      <c r="V597" s="145"/>
      <c r="W597" s="145"/>
      <c r="X597" s="145"/>
      <c r="Y597" s="145"/>
      <c r="Z597" s="145"/>
    </row>
    <row r="598" spans="1:26" ht="13.2">
      <c r="A598" s="144">
        <v>0</v>
      </c>
      <c r="B598" s="145"/>
      <c r="C598" s="145"/>
      <c r="D598" s="145"/>
      <c r="E598" s="145"/>
      <c r="F598" s="145"/>
      <c r="G598" s="145"/>
      <c r="H598" s="145"/>
      <c r="I598" s="145"/>
      <c r="J598" s="145"/>
      <c r="K598" s="145"/>
      <c r="L598" s="145"/>
      <c r="M598" s="146"/>
      <c r="N598" s="145"/>
      <c r="O598" s="145"/>
      <c r="P598" s="145"/>
      <c r="Q598" s="145"/>
      <c r="R598" s="145"/>
      <c r="S598" s="145"/>
      <c r="T598" s="145"/>
      <c r="U598" s="145"/>
      <c r="V598" s="145"/>
      <c r="W598" s="145"/>
      <c r="X598" s="145"/>
      <c r="Y598" s="145"/>
      <c r="Z598" s="145"/>
    </row>
    <row r="599" spans="1:26" ht="13.2">
      <c r="A599" s="144">
        <v>0</v>
      </c>
      <c r="B599" s="145"/>
      <c r="C599" s="145"/>
      <c r="D599" s="145"/>
      <c r="E599" s="145"/>
      <c r="F599" s="145"/>
      <c r="G599" s="145"/>
      <c r="H599" s="145"/>
      <c r="I599" s="145"/>
      <c r="J599" s="145"/>
      <c r="K599" s="145"/>
      <c r="L599" s="145"/>
      <c r="M599" s="146"/>
      <c r="N599" s="145"/>
      <c r="O599" s="145"/>
      <c r="P599" s="145"/>
      <c r="Q599" s="145"/>
      <c r="R599" s="145"/>
      <c r="S599" s="145"/>
      <c r="T599" s="145"/>
      <c r="U599" s="145"/>
      <c r="V599" s="145"/>
      <c r="W599" s="145"/>
      <c r="X599" s="145"/>
      <c r="Y599" s="145"/>
      <c r="Z599" s="145"/>
    </row>
    <row r="600" spans="1:26" ht="13.2">
      <c r="A600" s="144">
        <v>0</v>
      </c>
      <c r="B600" s="145"/>
      <c r="C600" s="145"/>
      <c r="D600" s="145"/>
      <c r="E600" s="145"/>
      <c r="F600" s="145"/>
      <c r="G600" s="145"/>
      <c r="H600" s="145"/>
      <c r="I600" s="145"/>
      <c r="J600" s="145"/>
      <c r="K600" s="145"/>
      <c r="L600" s="145"/>
      <c r="M600" s="146"/>
      <c r="N600" s="145"/>
      <c r="O600" s="145"/>
      <c r="P600" s="145"/>
      <c r="Q600" s="145"/>
      <c r="R600" s="145"/>
      <c r="S600" s="145"/>
      <c r="T600" s="145"/>
      <c r="U600" s="145"/>
      <c r="V600" s="145"/>
      <c r="W600" s="145"/>
      <c r="X600" s="145"/>
      <c r="Y600" s="145"/>
      <c r="Z600" s="145"/>
    </row>
    <row r="601" spans="1:26" ht="13.2">
      <c r="A601" s="144">
        <v>0</v>
      </c>
      <c r="B601" s="145"/>
      <c r="C601" s="145"/>
      <c r="D601" s="145"/>
      <c r="E601" s="145"/>
      <c r="F601" s="145"/>
      <c r="G601" s="145"/>
      <c r="H601" s="145"/>
      <c r="I601" s="145"/>
      <c r="J601" s="145"/>
      <c r="K601" s="145"/>
      <c r="L601" s="145"/>
      <c r="M601" s="146"/>
      <c r="N601" s="145"/>
      <c r="O601" s="145"/>
      <c r="P601" s="145"/>
      <c r="Q601" s="145"/>
      <c r="R601" s="145"/>
      <c r="S601" s="145"/>
      <c r="T601" s="145"/>
      <c r="U601" s="145"/>
      <c r="V601" s="145"/>
      <c r="W601" s="145"/>
      <c r="X601" s="145"/>
      <c r="Y601" s="145"/>
      <c r="Z601" s="145"/>
    </row>
    <row r="602" spans="1:26" ht="13.2">
      <c r="A602" s="144">
        <v>0</v>
      </c>
      <c r="B602" s="145"/>
      <c r="C602" s="145"/>
      <c r="D602" s="145"/>
      <c r="E602" s="145"/>
      <c r="F602" s="145"/>
      <c r="G602" s="145"/>
      <c r="H602" s="145"/>
      <c r="I602" s="145"/>
      <c r="J602" s="145"/>
      <c r="K602" s="145"/>
      <c r="L602" s="145"/>
      <c r="M602" s="146"/>
      <c r="N602" s="145"/>
      <c r="O602" s="145"/>
      <c r="P602" s="145"/>
      <c r="Q602" s="145"/>
      <c r="R602" s="145"/>
      <c r="S602" s="145"/>
      <c r="T602" s="145"/>
      <c r="U602" s="145"/>
      <c r="V602" s="145"/>
      <c r="W602" s="145"/>
      <c r="X602" s="145"/>
      <c r="Y602" s="145"/>
      <c r="Z602" s="145"/>
    </row>
    <row r="603" spans="1:26" ht="13.2">
      <c r="A603" s="144">
        <v>0</v>
      </c>
      <c r="B603" s="145"/>
      <c r="C603" s="145"/>
      <c r="D603" s="145"/>
      <c r="E603" s="145"/>
      <c r="F603" s="145"/>
      <c r="G603" s="145"/>
      <c r="H603" s="145"/>
      <c r="I603" s="145"/>
      <c r="J603" s="145"/>
      <c r="K603" s="145"/>
      <c r="L603" s="145"/>
      <c r="M603" s="146"/>
      <c r="N603" s="145"/>
      <c r="O603" s="145"/>
      <c r="P603" s="145"/>
      <c r="Q603" s="145"/>
      <c r="R603" s="145"/>
      <c r="S603" s="145"/>
      <c r="T603" s="145"/>
      <c r="U603" s="145"/>
      <c r="V603" s="145"/>
      <c r="W603" s="145"/>
      <c r="X603" s="145"/>
      <c r="Y603" s="145"/>
      <c r="Z603" s="145"/>
    </row>
    <row r="604" spans="1:26" ht="13.2">
      <c r="A604" s="144">
        <v>0</v>
      </c>
      <c r="B604" s="145"/>
      <c r="C604" s="145"/>
      <c r="D604" s="145"/>
      <c r="E604" s="145"/>
      <c r="F604" s="145"/>
      <c r="G604" s="145"/>
      <c r="H604" s="145"/>
      <c r="I604" s="145"/>
      <c r="J604" s="145"/>
      <c r="K604" s="145"/>
      <c r="L604" s="145"/>
      <c r="M604" s="146"/>
      <c r="N604" s="145"/>
      <c r="O604" s="145"/>
      <c r="P604" s="145"/>
      <c r="Q604" s="145"/>
      <c r="R604" s="145"/>
      <c r="S604" s="145"/>
      <c r="T604" s="145"/>
      <c r="U604" s="145"/>
      <c r="V604" s="145"/>
      <c r="W604" s="145"/>
      <c r="X604" s="145"/>
      <c r="Y604" s="145"/>
      <c r="Z604" s="145"/>
    </row>
    <row r="605" spans="1:26" ht="13.2">
      <c r="A605" s="144">
        <v>0</v>
      </c>
      <c r="B605" s="145"/>
      <c r="C605" s="145"/>
      <c r="D605" s="145"/>
      <c r="E605" s="145"/>
      <c r="F605" s="145"/>
      <c r="G605" s="145"/>
      <c r="H605" s="145"/>
      <c r="I605" s="145"/>
      <c r="J605" s="145"/>
      <c r="K605" s="145"/>
      <c r="L605" s="145"/>
      <c r="M605" s="146"/>
      <c r="N605" s="145"/>
      <c r="O605" s="145"/>
      <c r="P605" s="145"/>
      <c r="Q605" s="145"/>
      <c r="R605" s="145"/>
      <c r="S605" s="145"/>
      <c r="T605" s="145"/>
      <c r="U605" s="145"/>
      <c r="V605" s="145"/>
      <c r="W605" s="145"/>
      <c r="X605" s="145"/>
      <c r="Y605" s="145"/>
      <c r="Z605" s="145"/>
    </row>
    <row r="606" spans="1:26" ht="13.2">
      <c r="A606" s="144">
        <v>0</v>
      </c>
      <c r="B606" s="145"/>
      <c r="C606" s="145"/>
      <c r="D606" s="145"/>
      <c r="E606" s="145"/>
      <c r="F606" s="145"/>
      <c r="G606" s="145"/>
      <c r="H606" s="145"/>
      <c r="I606" s="145"/>
      <c r="J606" s="145"/>
      <c r="K606" s="145"/>
      <c r="L606" s="145"/>
      <c r="M606" s="146"/>
      <c r="N606" s="145"/>
      <c r="O606" s="145"/>
      <c r="P606" s="145"/>
      <c r="Q606" s="145"/>
      <c r="R606" s="145"/>
      <c r="S606" s="145"/>
      <c r="T606" s="145"/>
      <c r="U606" s="145"/>
      <c r="V606" s="145"/>
      <c r="W606" s="145"/>
      <c r="X606" s="145"/>
      <c r="Y606" s="145"/>
      <c r="Z606" s="145"/>
    </row>
    <row r="607" spans="1:26" ht="13.2">
      <c r="A607" s="144">
        <v>0</v>
      </c>
      <c r="B607" s="145"/>
      <c r="C607" s="145"/>
      <c r="D607" s="145"/>
      <c r="E607" s="145"/>
      <c r="F607" s="145"/>
      <c r="G607" s="145"/>
      <c r="H607" s="145"/>
      <c r="I607" s="145"/>
      <c r="J607" s="145"/>
      <c r="K607" s="145"/>
      <c r="L607" s="145"/>
      <c r="M607" s="146"/>
      <c r="N607" s="145"/>
      <c r="O607" s="145"/>
      <c r="P607" s="145"/>
      <c r="Q607" s="145"/>
      <c r="R607" s="145"/>
      <c r="S607" s="145"/>
      <c r="T607" s="145"/>
      <c r="U607" s="145"/>
      <c r="V607" s="145"/>
      <c r="W607" s="145"/>
      <c r="X607" s="145"/>
      <c r="Y607" s="145"/>
      <c r="Z607" s="145"/>
    </row>
    <row r="608" spans="1:26" ht="13.2">
      <c r="A608" s="144">
        <v>0</v>
      </c>
      <c r="B608" s="145"/>
      <c r="C608" s="145"/>
      <c r="D608" s="145"/>
      <c r="E608" s="145"/>
      <c r="F608" s="145"/>
      <c r="G608" s="145"/>
      <c r="H608" s="145"/>
      <c r="I608" s="145"/>
      <c r="J608" s="145"/>
      <c r="K608" s="145"/>
      <c r="L608" s="145"/>
      <c r="M608" s="146"/>
      <c r="N608" s="145"/>
      <c r="O608" s="145"/>
      <c r="P608" s="145"/>
      <c r="Q608" s="145"/>
      <c r="R608" s="145"/>
      <c r="S608" s="145"/>
      <c r="T608" s="145"/>
      <c r="U608" s="145"/>
      <c r="V608" s="145"/>
      <c r="W608" s="145"/>
      <c r="X608" s="145"/>
      <c r="Y608" s="145"/>
      <c r="Z608" s="145"/>
    </row>
    <row r="609" spans="1:26" ht="13.2">
      <c r="A609" s="144">
        <v>0</v>
      </c>
      <c r="B609" s="145"/>
      <c r="C609" s="145"/>
      <c r="D609" s="145"/>
      <c r="E609" s="145"/>
      <c r="F609" s="145"/>
      <c r="G609" s="145"/>
      <c r="H609" s="145"/>
      <c r="I609" s="145"/>
      <c r="J609" s="145"/>
      <c r="K609" s="145"/>
      <c r="L609" s="145"/>
      <c r="M609" s="146"/>
      <c r="N609" s="145"/>
      <c r="O609" s="145"/>
      <c r="P609" s="145"/>
      <c r="Q609" s="145"/>
      <c r="R609" s="145"/>
      <c r="S609" s="145"/>
      <c r="T609" s="145"/>
      <c r="U609" s="145"/>
      <c r="V609" s="145"/>
      <c r="W609" s="145"/>
      <c r="X609" s="145"/>
      <c r="Y609" s="145"/>
      <c r="Z609" s="145"/>
    </row>
    <row r="610" spans="1:26" ht="13.2">
      <c r="A610" s="144">
        <v>0</v>
      </c>
      <c r="B610" s="145"/>
      <c r="C610" s="145"/>
      <c r="D610" s="145"/>
      <c r="E610" s="145"/>
      <c r="F610" s="145"/>
      <c r="G610" s="145"/>
      <c r="H610" s="145"/>
      <c r="I610" s="145"/>
      <c r="J610" s="145"/>
      <c r="K610" s="145"/>
      <c r="L610" s="145"/>
      <c r="M610" s="146"/>
      <c r="N610" s="145"/>
      <c r="O610" s="145"/>
      <c r="P610" s="145"/>
      <c r="Q610" s="145"/>
      <c r="R610" s="145"/>
      <c r="S610" s="145"/>
      <c r="T610" s="145"/>
      <c r="U610" s="145"/>
      <c r="V610" s="145"/>
      <c r="W610" s="145"/>
      <c r="X610" s="145"/>
      <c r="Y610" s="145"/>
      <c r="Z610" s="145"/>
    </row>
    <row r="611" spans="1:26" ht="13.2">
      <c r="A611" s="144">
        <v>0</v>
      </c>
      <c r="B611" s="145"/>
      <c r="C611" s="145"/>
      <c r="D611" s="145"/>
      <c r="E611" s="145"/>
      <c r="F611" s="145"/>
      <c r="G611" s="145"/>
      <c r="H611" s="145"/>
      <c r="I611" s="145"/>
      <c r="J611" s="145"/>
      <c r="K611" s="145"/>
      <c r="L611" s="145"/>
      <c r="M611" s="146"/>
      <c r="N611" s="145"/>
      <c r="O611" s="145"/>
      <c r="P611" s="145"/>
      <c r="Q611" s="145"/>
      <c r="R611" s="145"/>
      <c r="S611" s="145"/>
      <c r="T611" s="145"/>
      <c r="U611" s="145"/>
      <c r="V611" s="145"/>
      <c r="W611" s="145"/>
      <c r="X611" s="145"/>
      <c r="Y611" s="145"/>
      <c r="Z611" s="145"/>
    </row>
    <row r="612" spans="1:26" ht="13.2">
      <c r="A612" s="144">
        <v>0</v>
      </c>
      <c r="B612" s="145"/>
      <c r="C612" s="145"/>
      <c r="D612" s="145"/>
      <c r="E612" s="145"/>
      <c r="F612" s="145"/>
      <c r="G612" s="145"/>
      <c r="H612" s="145"/>
      <c r="I612" s="145"/>
      <c r="J612" s="145"/>
      <c r="K612" s="145"/>
      <c r="L612" s="145"/>
      <c r="M612" s="146"/>
      <c r="N612" s="145"/>
      <c r="O612" s="145"/>
      <c r="P612" s="145"/>
      <c r="Q612" s="145"/>
      <c r="R612" s="145"/>
      <c r="S612" s="145"/>
      <c r="T612" s="145"/>
      <c r="U612" s="145"/>
      <c r="V612" s="145"/>
      <c r="W612" s="145"/>
      <c r="X612" s="145"/>
      <c r="Y612" s="145"/>
      <c r="Z612" s="145"/>
    </row>
    <row r="613" spans="1:26" ht="13.2">
      <c r="A613" s="144">
        <v>0</v>
      </c>
      <c r="B613" s="145"/>
      <c r="C613" s="145"/>
      <c r="D613" s="145"/>
      <c r="E613" s="145"/>
      <c r="F613" s="145"/>
      <c r="G613" s="145"/>
      <c r="H613" s="145"/>
      <c r="I613" s="145"/>
      <c r="J613" s="145"/>
      <c r="K613" s="145"/>
      <c r="L613" s="145"/>
      <c r="M613" s="146"/>
      <c r="N613" s="145"/>
      <c r="O613" s="145"/>
      <c r="P613" s="145"/>
      <c r="Q613" s="145"/>
      <c r="R613" s="145"/>
      <c r="S613" s="145"/>
      <c r="T613" s="145"/>
      <c r="U613" s="145"/>
      <c r="V613" s="145"/>
      <c r="W613" s="145"/>
      <c r="X613" s="145"/>
      <c r="Y613" s="145"/>
      <c r="Z613" s="145"/>
    </row>
    <row r="614" spans="1:26" ht="13.2">
      <c r="A614" s="144">
        <v>0</v>
      </c>
      <c r="B614" s="145"/>
      <c r="C614" s="145"/>
      <c r="D614" s="145"/>
      <c r="E614" s="145"/>
      <c r="F614" s="145"/>
      <c r="G614" s="145"/>
      <c r="H614" s="145"/>
      <c r="I614" s="145"/>
      <c r="J614" s="145"/>
      <c r="K614" s="145"/>
      <c r="L614" s="145"/>
      <c r="M614" s="146"/>
      <c r="N614" s="145"/>
      <c r="O614" s="145"/>
      <c r="P614" s="145"/>
      <c r="Q614" s="145"/>
      <c r="R614" s="145"/>
      <c r="S614" s="145"/>
      <c r="T614" s="145"/>
      <c r="U614" s="145"/>
      <c r="V614" s="145"/>
      <c r="W614" s="145"/>
      <c r="X614" s="145"/>
      <c r="Y614" s="145"/>
      <c r="Z614" s="145"/>
    </row>
    <row r="615" spans="1:26" ht="13.2">
      <c r="A615" s="144">
        <v>0</v>
      </c>
      <c r="B615" s="145"/>
      <c r="C615" s="145"/>
      <c r="D615" s="145"/>
      <c r="E615" s="145"/>
      <c r="F615" s="145"/>
      <c r="G615" s="145"/>
      <c r="H615" s="145"/>
      <c r="I615" s="145"/>
      <c r="J615" s="145"/>
      <c r="K615" s="145"/>
      <c r="L615" s="145"/>
      <c r="M615" s="146"/>
      <c r="N615" s="145"/>
      <c r="O615" s="145"/>
      <c r="P615" s="145"/>
      <c r="Q615" s="145"/>
      <c r="R615" s="145"/>
      <c r="S615" s="145"/>
      <c r="T615" s="145"/>
      <c r="U615" s="145"/>
      <c r="V615" s="145"/>
      <c r="W615" s="145"/>
      <c r="X615" s="145"/>
      <c r="Y615" s="145"/>
      <c r="Z615" s="145"/>
    </row>
    <row r="616" spans="1:26" ht="13.2">
      <c r="A616" s="144">
        <v>0</v>
      </c>
      <c r="B616" s="145"/>
      <c r="C616" s="145"/>
      <c r="D616" s="145"/>
      <c r="E616" s="145"/>
      <c r="F616" s="145"/>
      <c r="G616" s="145"/>
      <c r="H616" s="145"/>
      <c r="I616" s="145"/>
      <c r="J616" s="145"/>
      <c r="K616" s="145"/>
      <c r="L616" s="145"/>
      <c r="M616" s="146"/>
      <c r="N616" s="145"/>
      <c r="O616" s="145"/>
      <c r="P616" s="145"/>
      <c r="Q616" s="145"/>
      <c r="R616" s="145"/>
      <c r="S616" s="145"/>
      <c r="T616" s="145"/>
      <c r="U616" s="145"/>
      <c r="V616" s="145"/>
      <c r="W616" s="145"/>
      <c r="X616" s="145"/>
      <c r="Y616" s="145"/>
      <c r="Z616" s="145"/>
    </row>
    <row r="617" spans="1:26" ht="13.2">
      <c r="A617" s="144">
        <v>0</v>
      </c>
      <c r="B617" s="145"/>
      <c r="C617" s="145"/>
      <c r="D617" s="145"/>
      <c r="E617" s="145"/>
      <c r="F617" s="145"/>
      <c r="G617" s="145"/>
      <c r="H617" s="145"/>
      <c r="I617" s="145"/>
      <c r="J617" s="145"/>
      <c r="K617" s="145"/>
      <c r="L617" s="145"/>
      <c r="M617" s="146"/>
      <c r="N617" s="145"/>
      <c r="O617" s="145"/>
      <c r="P617" s="145"/>
      <c r="Q617" s="145"/>
      <c r="R617" s="145"/>
      <c r="S617" s="145"/>
      <c r="T617" s="145"/>
      <c r="U617" s="145"/>
      <c r="V617" s="145"/>
      <c r="W617" s="145"/>
      <c r="X617" s="145"/>
      <c r="Y617" s="145"/>
      <c r="Z617" s="145"/>
    </row>
    <row r="618" spans="1:26" ht="13.2">
      <c r="A618" s="144">
        <v>0</v>
      </c>
      <c r="B618" s="145"/>
      <c r="C618" s="145"/>
      <c r="D618" s="145"/>
      <c r="E618" s="145"/>
      <c r="F618" s="145"/>
      <c r="G618" s="145"/>
      <c r="H618" s="145"/>
      <c r="I618" s="145"/>
      <c r="J618" s="145"/>
      <c r="K618" s="145"/>
      <c r="L618" s="145"/>
      <c r="M618" s="146"/>
      <c r="N618" s="145"/>
      <c r="O618" s="145"/>
      <c r="P618" s="145"/>
      <c r="Q618" s="145"/>
      <c r="R618" s="145"/>
      <c r="S618" s="145"/>
      <c r="T618" s="145"/>
      <c r="U618" s="145"/>
      <c r="V618" s="145"/>
      <c r="W618" s="145"/>
      <c r="X618" s="145"/>
      <c r="Y618" s="145"/>
      <c r="Z618" s="145"/>
    </row>
    <row r="619" spans="1:26" ht="13.2">
      <c r="A619" s="144">
        <v>0</v>
      </c>
      <c r="B619" s="145"/>
      <c r="C619" s="145"/>
      <c r="D619" s="145"/>
      <c r="E619" s="145"/>
      <c r="F619" s="145"/>
      <c r="G619" s="145"/>
      <c r="H619" s="145"/>
      <c r="I619" s="145"/>
      <c r="J619" s="145"/>
      <c r="K619" s="145"/>
      <c r="L619" s="145"/>
      <c r="M619" s="146"/>
      <c r="N619" s="145"/>
      <c r="O619" s="145"/>
      <c r="P619" s="145"/>
      <c r="Q619" s="145"/>
      <c r="R619" s="145"/>
      <c r="S619" s="145"/>
      <c r="T619" s="145"/>
      <c r="U619" s="145"/>
      <c r="V619" s="145"/>
      <c r="W619" s="145"/>
      <c r="X619" s="145"/>
      <c r="Y619" s="145"/>
      <c r="Z619" s="145"/>
    </row>
    <row r="620" spans="1:26" ht="13.2">
      <c r="A620" s="144">
        <v>0</v>
      </c>
      <c r="B620" s="145"/>
      <c r="C620" s="145"/>
      <c r="D620" s="145"/>
      <c r="E620" s="145"/>
      <c r="F620" s="145"/>
      <c r="G620" s="145"/>
      <c r="H620" s="145"/>
      <c r="I620" s="145"/>
      <c r="J620" s="145"/>
      <c r="K620" s="145"/>
      <c r="L620" s="145"/>
      <c r="M620" s="146"/>
      <c r="N620" s="145"/>
      <c r="O620" s="145"/>
      <c r="P620" s="145"/>
      <c r="Q620" s="145"/>
      <c r="R620" s="145"/>
      <c r="S620" s="145"/>
      <c r="T620" s="145"/>
      <c r="U620" s="145"/>
      <c r="V620" s="145"/>
      <c r="W620" s="145"/>
      <c r="X620" s="145"/>
      <c r="Y620" s="145"/>
      <c r="Z620" s="145"/>
    </row>
    <row r="621" spans="1:26" ht="13.2">
      <c r="A621" s="144">
        <v>0</v>
      </c>
      <c r="B621" s="145"/>
      <c r="C621" s="145"/>
      <c r="D621" s="145"/>
      <c r="E621" s="145"/>
      <c r="F621" s="145"/>
      <c r="G621" s="145"/>
      <c r="H621" s="145"/>
      <c r="I621" s="145"/>
      <c r="J621" s="145"/>
      <c r="K621" s="145"/>
      <c r="L621" s="145"/>
      <c r="M621" s="146"/>
      <c r="N621" s="145"/>
      <c r="O621" s="145"/>
      <c r="P621" s="145"/>
      <c r="Q621" s="145"/>
      <c r="R621" s="145"/>
      <c r="S621" s="145"/>
      <c r="T621" s="145"/>
      <c r="U621" s="145"/>
      <c r="V621" s="145"/>
      <c r="W621" s="145"/>
      <c r="X621" s="145"/>
      <c r="Y621" s="145"/>
      <c r="Z621" s="145"/>
    </row>
    <row r="622" spans="1:26" ht="13.2">
      <c r="A622" s="144">
        <v>0</v>
      </c>
      <c r="B622" s="145"/>
      <c r="C622" s="145"/>
      <c r="D622" s="145"/>
      <c r="E622" s="145"/>
      <c r="F622" s="145"/>
      <c r="G622" s="145"/>
      <c r="H622" s="145"/>
      <c r="I622" s="145"/>
      <c r="J622" s="145"/>
      <c r="K622" s="145"/>
      <c r="L622" s="145"/>
      <c r="M622" s="146"/>
      <c r="N622" s="145"/>
      <c r="O622" s="145"/>
      <c r="P622" s="145"/>
      <c r="Q622" s="145"/>
      <c r="R622" s="145"/>
      <c r="S622" s="145"/>
      <c r="T622" s="145"/>
      <c r="U622" s="145"/>
      <c r="V622" s="145"/>
      <c r="W622" s="145"/>
      <c r="X622" s="145"/>
      <c r="Y622" s="145"/>
      <c r="Z622" s="145"/>
    </row>
    <row r="623" spans="1:26" ht="13.2">
      <c r="A623" s="144">
        <v>0</v>
      </c>
      <c r="B623" s="145"/>
      <c r="C623" s="145"/>
      <c r="D623" s="145"/>
      <c r="E623" s="145"/>
      <c r="F623" s="145"/>
      <c r="G623" s="145"/>
      <c r="H623" s="145"/>
      <c r="I623" s="145"/>
      <c r="J623" s="145"/>
      <c r="K623" s="145"/>
      <c r="L623" s="145"/>
      <c r="M623" s="146"/>
      <c r="N623" s="145"/>
      <c r="O623" s="145"/>
      <c r="P623" s="145"/>
      <c r="Q623" s="145"/>
      <c r="R623" s="145"/>
      <c r="S623" s="145"/>
      <c r="T623" s="145"/>
      <c r="U623" s="145"/>
      <c r="V623" s="145"/>
      <c r="W623" s="145"/>
      <c r="X623" s="145"/>
      <c r="Y623" s="145"/>
      <c r="Z623" s="145"/>
    </row>
    <row r="624" spans="1:26" ht="13.2">
      <c r="A624" s="144">
        <v>0</v>
      </c>
      <c r="B624" s="145"/>
      <c r="C624" s="145"/>
      <c r="D624" s="145"/>
      <c r="E624" s="145"/>
      <c r="F624" s="145"/>
      <c r="G624" s="145"/>
      <c r="H624" s="145"/>
      <c r="I624" s="145"/>
      <c r="J624" s="145"/>
      <c r="K624" s="145"/>
      <c r="L624" s="145"/>
      <c r="M624" s="146"/>
      <c r="N624" s="145"/>
      <c r="O624" s="145"/>
      <c r="P624" s="145"/>
      <c r="Q624" s="145"/>
      <c r="R624" s="145"/>
      <c r="S624" s="145"/>
      <c r="T624" s="145"/>
      <c r="U624" s="145"/>
      <c r="V624" s="145"/>
      <c r="W624" s="145"/>
      <c r="X624" s="145"/>
      <c r="Y624" s="145"/>
      <c r="Z624" s="145"/>
    </row>
    <row r="625" spans="1:26" ht="13.2">
      <c r="A625" s="144">
        <v>0</v>
      </c>
      <c r="B625" s="145"/>
      <c r="C625" s="145"/>
      <c r="D625" s="145"/>
      <c r="E625" s="145"/>
      <c r="F625" s="145"/>
      <c r="G625" s="145"/>
      <c r="H625" s="145"/>
      <c r="I625" s="145"/>
      <c r="J625" s="145"/>
      <c r="K625" s="145"/>
      <c r="L625" s="145"/>
      <c r="M625" s="146"/>
      <c r="N625" s="145"/>
      <c r="O625" s="145"/>
      <c r="P625" s="145"/>
      <c r="Q625" s="145"/>
      <c r="R625" s="145"/>
      <c r="S625" s="145"/>
      <c r="T625" s="145"/>
      <c r="U625" s="145"/>
      <c r="V625" s="145"/>
      <c r="W625" s="145"/>
      <c r="X625" s="145"/>
      <c r="Y625" s="145"/>
      <c r="Z625" s="145"/>
    </row>
    <row r="626" spans="1:26" ht="13.2">
      <c r="A626" s="144">
        <v>0</v>
      </c>
      <c r="B626" s="145"/>
      <c r="C626" s="145"/>
      <c r="D626" s="145"/>
      <c r="E626" s="145"/>
      <c r="F626" s="145"/>
      <c r="G626" s="145"/>
      <c r="H626" s="145"/>
      <c r="I626" s="145"/>
      <c r="J626" s="145"/>
      <c r="K626" s="145"/>
      <c r="L626" s="145"/>
      <c r="M626" s="146"/>
      <c r="N626" s="145"/>
      <c r="O626" s="145"/>
      <c r="P626" s="145"/>
      <c r="Q626" s="145"/>
      <c r="R626" s="145"/>
      <c r="S626" s="145"/>
      <c r="T626" s="145"/>
      <c r="U626" s="145"/>
      <c r="V626" s="145"/>
      <c r="W626" s="145"/>
      <c r="X626" s="145"/>
      <c r="Y626" s="145"/>
      <c r="Z626" s="145"/>
    </row>
    <row r="627" spans="1:26" ht="13.2">
      <c r="A627" s="144">
        <v>0</v>
      </c>
      <c r="B627" s="145"/>
      <c r="C627" s="145"/>
      <c r="D627" s="145"/>
      <c r="E627" s="145"/>
      <c r="F627" s="145"/>
      <c r="G627" s="145"/>
      <c r="H627" s="145"/>
      <c r="I627" s="145"/>
      <c r="J627" s="145"/>
      <c r="K627" s="145"/>
      <c r="L627" s="145"/>
      <c r="M627" s="146"/>
      <c r="N627" s="145"/>
      <c r="O627" s="145"/>
      <c r="P627" s="145"/>
      <c r="Q627" s="145"/>
      <c r="R627" s="145"/>
      <c r="S627" s="145"/>
      <c r="T627" s="145"/>
      <c r="U627" s="145"/>
      <c r="V627" s="145"/>
      <c r="W627" s="145"/>
      <c r="X627" s="145"/>
      <c r="Y627" s="145"/>
      <c r="Z627" s="145"/>
    </row>
    <row r="628" spans="1:26" ht="13.2">
      <c r="A628" s="144">
        <v>0</v>
      </c>
      <c r="B628" s="145"/>
      <c r="C628" s="145"/>
      <c r="D628" s="145"/>
      <c r="E628" s="145"/>
      <c r="F628" s="145"/>
      <c r="G628" s="145"/>
      <c r="H628" s="145"/>
      <c r="I628" s="145"/>
      <c r="J628" s="145"/>
      <c r="K628" s="145"/>
      <c r="L628" s="145"/>
      <c r="M628" s="146"/>
      <c r="N628" s="145"/>
      <c r="O628" s="145"/>
      <c r="P628" s="145"/>
      <c r="Q628" s="145"/>
      <c r="R628" s="145"/>
      <c r="S628" s="145"/>
      <c r="T628" s="145"/>
      <c r="U628" s="145"/>
      <c r="V628" s="145"/>
      <c r="W628" s="145"/>
      <c r="X628" s="145"/>
      <c r="Y628" s="145"/>
      <c r="Z628" s="145"/>
    </row>
    <row r="629" spans="1:26" ht="13.2">
      <c r="A629" s="144">
        <v>0</v>
      </c>
      <c r="B629" s="145"/>
      <c r="C629" s="145"/>
      <c r="D629" s="145"/>
      <c r="E629" s="145"/>
      <c r="F629" s="145"/>
      <c r="G629" s="145"/>
      <c r="H629" s="145"/>
      <c r="I629" s="145"/>
      <c r="J629" s="145"/>
      <c r="K629" s="145"/>
      <c r="L629" s="145"/>
      <c r="M629" s="146"/>
      <c r="N629" s="145"/>
      <c r="O629" s="145"/>
      <c r="P629" s="145"/>
      <c r="Q629" s="145"/>
      <c r="R629" s="145"/>
      <c r="S629" s="145"/>
      <c r="T629" s="145"/>
      <c r="U629" s="145"/>
      <c r="V629" s="145"/>
      <c r="W629" s="145"/>
      <c r="X629" s="145"/>
      <c r="Y629" s="145"/>
      <c r="Z629" s="145"/>
    </row>
    <row r="630" spans="1:26" ht="13.2">
      <c r="A630" s="144">
        <v>0</v>
      </c>
      <c r="B630" s="145"/>
      <c r="C630" s="145"/>
      <c r="D630" s="145"/>
      <c r="E630" s="145"/>
      <c r="F630" s="145"/>
      <c r="G630" s="145"/>
      <c r="H630" s="145"/>
      <c r="I630" s="145"/>
      <c r="J630" s="145"/>
      <c r="K630" s="145"/>
      <c r="L630" s="145"/>
      <c r="M630" s="146"/>
      <c r="N630" s="145"/>
      <c r="O630" s="145"/>
      <c r="P630" s="145"/>
      <c r="Q630" s="145"/>
      <c r="R630" s="145"/>
      <c r="S630" s="145"/>
      <c r="T630" s="145"/>
      <c r="U630" s="145"/>
      <c r="V630" s="145"/>
      <c r="W630" s="145"/>
      <c r="X630" s="145"/>
      <c r="Y630" s="145"/>
      <c r="Z630" s="145"/>
    </row>
    <row r="631" spans="1:26" ht="13.2">
      <c r="A631" s="144">
        <v>0</v>
      </c>
      <c r="B631" s="145"/>
      <c r="C631" s="145"/>
      <c r="D631" s="145"/>
      <c r="E631" s="145"/>
      <c r="F631" s="145"/>
      <c r="G631" s="145"/>
      <c r="H631" s="145"/>
      <c r="I631" s="145"/>
      <c r="J631" s="145"/>
      <c r="K631" s="145"/>
      <c r="L631" s="145"/>
      <c r="M631" s="146"/>
      <c r="N631" s="145"/>
      <c r="O631" s="145"/>
      <c r="P631" s="145"/>
      <c r="Q631" s="145"/>
      <c r="R631" s="145"/>
      <c r="S631" s="145"/>
      <c r="T631" s="145"/>
      <c r="U631" s="145"/>
      <c r="V631" s="145"/>
      <c r="W631" s="145"/>
      <c r="X631" s="145"/>
      <c r="Y631" s="145"/>
      <c r="Z631" s="145"/>
    </row>
    <row r="632" spans="1:26" ht="13.2">
      <c r="A632" s="144">
        <v>0</v>
      </c>
      <c r="B632" s="145"/>
      <c r="C632" s="145"/>
      <c r="D632" s="145"/>
      <c r="E632" s="145"/>
      <c r="F632" s="145"/>
      <c r="G632" s="145"/>
      <c r="H632" s="145"/>
      <c r="I632" s="145"/>
      <c r="J632" s="145"/>
      <c r="K632" s="145"/>
      <c r="L632" s="145"/>
      <c r="M632" s="146"/>
      <c r="N632" s="145"/>
      <c r="O632" s="145"/>
      <c r="P632" s="145"/>
      <c r="Q632" s="145"/>
      <c r="R632" s="145"/>
      <c r="S632" s="145"/>
      <c r="T632" s="145"/>
      <c r="U632" s="145"/>
      <c r="V632" s="145"/>
      <c r="W632" s="145"/>
      <c r="X632" s="145"/>
      <c r="Y632" s="145"/>
      <c r="Z632" s="145"/>
    </row>
    <row r="633" spans="1:26" ht="13.2">
      <c r="A633" s="144">
        <v>0</v>
      </c>
      <c r="B633" s="145"/>
      <c r="C633" s="145"/>
      <c r="D633" s="145"/>
      <c r="E633" s="145"/>
      <c r="F633" s="145"/>
      <c r="G633" s="145"/>
      <c r="H633" s="145"/>
      <c r="I633" s="145"/>
      <c r="J633" s="145"/>
      <c r="K633" s="145"/>
      <c r="L633" s="145"/>
      <c r="M633" s="146"/>
      <c r="N633" s="145"/>
      <c r="O633" s="145"/>
      <c r="P633" s="145"/>
      <c r="Q633" s="145"/>
      <c r="R633" s="145"/>
      <c r="S633" s="145"/>
      <c r="T633" s="145"/>
      <c r="U633" s="145"/>
      <c r="V633" s="145"/>
      <c r="W633" s="145"/>
      <c r="X633" s="145"/>
      <c r="Y633" s="145"/>
      <c r="Z633" s="145"/>
    </row>
    <row r="634" spans="1:26" ht="13.2">
      <c r="A634" s="144">
        <v>0</v>
      </c>
      <c r="B634" s="145"/>
      <c r="C634" s="145"/>
      <c r="D634" s="145"/>
      <c r="E634" s="145"/>
      <c r="F634" s="145"/>
      <c r="G634" s="145"/>
      <c r="H634" s="145"/>
      <c r="I634" s="145"/>
      <c r="J634" s="145"/>
      <c r="K634" s="145"/>
      <c r="L634" s="145"/>
      <c r="M634" s="146"/>
      <c r="N634" s="145"/>
      <c r="O634" s="145"/>
      <c r="P634" s="145"/>
      <c r="Q634" s="145"/>
      <c r="R634" s="145"/>
      <c r="S634" s="145"/>
      <c r="T634" s="145"/>
      <c r="U634" s="145"/>
      <c r="V634" s="145"/>
      <c r="W634" s="145"/>
      <c r="X634" s="145"/>
      <c r="Y634" s="145"/>
      <c r="Z634" s="145"/>
    </row>
    <row r="635" spans="1:26" ht="13.2">
      <c r="A635" s="144">
        <v>0</v>
      </c>
      <c r="B635" s="145"/>
      <c r="C635" s="145"/>
      <c r="D635" s="145"/>
      <c r="E635" s="145"/>
      <c r="F635" s="145"/>
      <c r="G635" s="145"/>
      <c r="H635" s="145"/>
      <c r="I635" s="145"/>
      <c r="J635" s="145"/>
      <c r="K635" s="145"/>
      <c r="L635" s="145"/>
      <c r="M635" s="146"/>
      <c r="N635" s="145"/>
      <c r="O635" s="145"/>
      <c r="P635" s="145"/>
      <c r="Q635" s="145"/>
      <c r="R635" s="145"/>
      <c r="S635" s="145"/>
      <c r="T635" s="145"/>
      <c r="U635" s="145"/>
      <c r="V635" s="145"/>
      <c r="W635" s="145"/>
      <c r="X635" s="145"/>
      <c r="Y635" s="145"/>
      <c r="Z635" s="145"/>
    </row>
    <row r="636" spans="1:26" ht="13.2">
      <c r="A636" s="144">
        <v>0</v>
      </c>
      <c r="B636" s="145"/>
      <c r="C636" s="145"/>
      <c r="D636" s="145"/>
      <c r="E636" s="145"/>
      <c r="F636" s="145"/>
      <c r="G636" s="145"/>
      <c r="H636" s="145"/>
      <c r="I636" s="145"/>
      <c r="J636" s="145"/>
      <c r="K636" s="145"/>
      <c r="L636" s="145"/>
      <c r="M636" s="146"/>
      <c r="N636" s="145"/>
      <c r="O636" s="145"/>
      <c r="P636" s="145"/>
      <c r="Q636" s="145"/>
      <c r="R636" s="145"/>
      <c r="S636" s="145"/>
      <c r="T636" s="145"/>
      <c r="U636" s="145"/>
      <c r="V636" s="145"/>
      <c r="W636" s="145"/>
      <c r="X636" s="145"/>
      <c r="Y636" s="145"/>
      <c r="Z636" s="145"/>
    </row>
    <row r="637" spans="1:26" ht="13.2">
      <c r="A637" s="144">
        <v>0</v>
      </c>
      <c r="B637" s="145"/>
      <c r="C637" s="145"/>
      <c r="D637" s="145"/>
      <c r="E637" s="145"/>
      <c r="F637" s="145"/>
      <c r="G637" s="145"/>
      <c r="H637" s="145"/>
      <c r="I637" s="145"/>
      <c r="J637" s="145"/>
      <c r="K637" s="145"/>
      <c r="L637" s="145"/>
      <c r="M637" s="146"/>
      <c r="N637" s="145"/>
      <c r="O637" s="145"/>
      <c r="P637" s="145"/>
      <c r="Q637" s="145"/>
      <c r="R637" s="145"/>
      <c r="S637" s="145"/>
      <c r="T637" s="145"/>
      <c r="U637" s="145"/>
      <c r="V637" s="145"/>
      <c r="W637" s="145"/>
      <c r="X637" s="145"/>
      <c r="Y637" s="145"/>
      <c r="Z637" s="145"/>
    </row>
    <row r="638" spans="1:26" ht="13.2">
      <c r="A638" s="144">
        <v>0</v>
      </c>
      <c r="B638" s="145"/>
      <c r="C638" s="145"/>
      <c r="D638" s="145"/>
      <c r="E638" s="145"/>
      <c r="F638" s="145"/>
      <c r="G638" s="145"/>
      <c r="H638" s="145"/>
      <c r="I638" s="145"/>
      <c r="J638" s="145"/>
      <c r="K638" s="145"/>
      <c r="L638" s="145"/>
      <c r="M638" s="146"/>
      <c r="N638" s="145"/>
      <c r="O638" s="145"/>
      <c r="P638" s="145"/>
      <c r="Q638" s="145"/>
      <c r="R638" s="145"/>
      <c r="S638" s="145"/>
      <c r="T638" s="145"/>
      <c r="U638" s="145"/>
      <c r="V638" s="145"/>
      <c r="W638" s="145"/>
      <c r="X638" s="145"/>
      <c r="Y638" s="145"/>
      <c r="Z638" s="145"/>
    </row>
    <row r="639" spans="1:26" ht="13.2">
      <c r="A639" s="144">
        <v>0</v>
      </c>
      <c r="B639" s="145"/>
      <c r="C639" s="145"/>
      <c r="D639" s="145"/>
      <c r="E639" s="145"/>
      <c r="F639" s="145"/>
      <c r="G639" s="145"/>
      <c r="H639" s="145"/>
      <c r="I639" s="145"/>
      <c r="J639" s="145"/>
      <c r="K639" s="145"/>
      <c r="L639" s="145"/>
      <c r="M639" s="146"/>
      <c r="N639" s="145"/>
      <c r="O639" s="145"/>
      <c r="P639" s="145"/>
      <c r="Q639" s="145"/>
      <c r="R639" s="145"/>
      <c r="S639" s="145"/>
      <c r="T639" s="145"/>
      <c r="U639" s="145"/>
      <c r="V639" s="145"/>
      <c r="W639" s="145"/>
      <c r="X639" s="145"/>
      <c r="Y639" s="145"/>
      <c r="Z639" s="145"/>
    </row>
    <row r="640" spans="1:26" ht="13.2">
      <c r="A640" s="144">
        <v>0</v>
      </c>
      <c r="B640" s="145"/>
      <c r="C640" s="145"/>
      <c r="D640" s="145"/>
      <c r="E640" s="145"/>
      <c r="F640" s="145"/>
      <c r="G640" s="145"/>
      <c r="H640" s="145"/>
      <c r="I640" s="145"/>
      <c r="J640" s="145"/>
      <c r="K640" s="145"/>
      <c r="L640" s="145"/>
      <c r="M640" s="146"/>
      <c r="N640" s="145"/>
      <c r="O640" s="145"/>
      <c r="P640" s="145"/>
      <c r="Q640" s="145"/>
      <c r="R640" s="145"/>
      <c r="S640" s="145"/>
      <c r="T640" s="145"/>
      <c r="U640" s="145"/>
      <c r="V640" s="145"/>
      <c r="W640" s="145"/>
      <c r="X640" s="145"/>
      <c r="Y640" s="145"/>
      <c r="Z640" s="145"/>
    </row>
    <row r="641" spans="1:26" ht="13.2">
      <c r="A641" s="144">
        <v>0</v>
      </c>
      <c r="B641" s="145"/>
      <c r="C641" s="145"/>
      <c r="D641" s="145"/>
      <c r="E641" s="145"/>
      <c r="F641" s="145"/>
      <c r="G641" s="145"/>
      <c r="H641" s="145"/>
      <c r="I641" s="145"/>
      <c r="J641" s="145"/>
      <c r="K641" s="145"/>
      <c r="L641" s="145"/>
      <c r="M641" s="146"/>
      <c r="N641" s="145"/>
      <c r="O641" s="145"/>
      <c r="P641" s="145"/>
      <c r="Q641" s="145"/>
      <c r="R641" s="145"/>
      <c r="S641" s="145"/>
      <c r="T641" s="145"/>
      <c r="U641" s="145"/>
      <c r="V641" s="145"/>
      <c r="W641" s="145"/>
      <c r="X641" s="145"/>
      <c r="Y641" s="145"/>
      <c r="Z641" s="145"/>
    </row>
    <row r="642" spans="1:26" ht="13.2">
      <c r="A642" s="144">
        <v>0</v>
      </c>
      <c r="B642" s="145"/>
      <c r="C642" s="145"/>
      <c r="D642" s="145"/>
      <c r="E642" s="145"/>
      <c r="F642" s="145"/>
      <c r="G642" s="145"/>
      <c r="H642" s="145"/>
      <c r="I642" s="145"/>
      <c r="J642" s="145"/>
      <c r="K642" s="145"/>
      <c r="L642" s="145"/>
      <c r="M642" s="146"/>
      <c r="N642" s="145"/>
      <c r="O642" s="145"/>
      <c r="P642" s="145"/>
      <c r="Q642" s="145"/>
      <c r="R642" s="145"/>
      <c r="S642" s="145"/>
      <c r="T642" s="145"/>
      <c r="U642" s="145"/>
      <c r="V642" s="145"/>
      <c r="W642" s="145"/>
      <c r="X642" s="145"/>
      <c r="Y642" s="145"/>
      <c r="Z642" s="145"/>
    </row>
    <row r="643" spans="1:26" ht="13.2">
      <c r="A643" s="144">
        <v>0</v>
      </c>
      <c r="B643" s="145"/>
      <c r="C643" s="145"/>
      <c r="D643" s="145"/>
      <c r="E643" s="145"/>
      <c r="F643" s="145"/>
      <c r="G643" s="145"/>
      <c r="H643" s="145"/>
      <c r="I643" s="145"/>
      <c r="J643" s="145"/>
      <c r="K643" s="145"/>
      <c r="L643" s="145"/>
      <c r="M643" s="146"/>
      <c r="N643" s="145"/>
      <c r="O643" s="145"/>
      <c r="P643" s="145"/>
      <c r="Q643" s="145"/>
      <c r="R643" s="145"/>
      <c r="S643" s="145"/>
      <c r="T643" s="145"/>
      <c r="U643" s="145"/>
      <c r="V643" s="145"/>
      <c r="W643" s="145"/>
      <c r="X643" s="145"/>
      <c r="Y643" s="145"/>
      <c r="Z643" s="145"/>
    </row>
    <row r="644" spans="1:26" ht="13.2">
      <c r="A644" s="144">
        <v>0</v>
      </c>
      <c r="B644" s="145"/>
      <c r="C644" s="145"/>
      <c r="D644" s="145"/>
      <c r="E644" s="145"/>
      <c r="F644" s="145"/>
      <c r="G644" s="145"/>
      <c r="H644" s="145"/>
      <c r="I644" s="145"/>
      <c r="J644" s="145"/>
      <c r="K644" s="145"/>
      <c r="L644" s="145"/>
      <c r="M644" s="146"/>
      <c r="N644" s="145"/>
      <c r="O644" s="145"/>
      <c r="P644" s="145"/>
      <c r="Q644" s="145"/>
      <c r="R644" s="145"/>
      <c r="S644" s="145"/>
      <c r="T644" s="145"/>
      <c r="U644" s="145"/>
      <c r="V644" s="145"/>
      <c r="W644" s="145"/>
      <c r="X644" s="145"/>
      <c r="Y644" s="145"/>
      <c r="Z644" s="145"/>
    </row>
    <row r="645" spans="1:26" ht="13.2">
      <c r="A645" s="144">
        <v>0</v>
      </c>
      <c r="B645" s="145"/>
      <c r="C645" s="145"/>
      <c r="D645" s="145"/>
      <c r="E645" s="145"/>
      <c r="F645" s="145"/>
      <c r="G645" s="145"/>
      <c r="H645" s="145"/>
      <c r="I645" s="145"/>
      <c r="J645" s="145"/>
      <c r="K645" s="145"/>
      <c r="L645" s="145"/>
      <c r="M645" s="146"/>
      <c r="N645" s="145"/>
      <c r="O645" s="145"/>
      <c r="P645" s="145"/>
      <c r="Q645" s="145"/>
      <c r="R645" s="145"/>
      <c r="S645" s="145"/>
      <c r="T645" s="145"/>
      <c r="U645" s="145"/>
      <c r="V645" s="145"/>
      <c r="W645" s="145"/>
      <c r="X645" s="145"/>
      <c r="Y645" s="145"/>
      <c r="Z645" s="145"/>
    </row>
    <row r="646" spans="1:26" ht="13.2">
      <c r="A646" s="144">
        <v>0</v>
      </c>
      <c r="B646" s="145"/>
      <c r="C646" s="145"/>
      <c r="D646" s="145"/>
      <c r="E646" s="145"/>
      <c r="F646" s="145"/>
      <c r="G646" s="145"/>
      <c r="H646" s="145"/>
      <c r="I646" s="145"/>
      <c r="J646" s="145"/>
      <c r="K646" s="145"/>
      <c r="L646" s="145"/>
      <c r="M646" s="146"/>
      <c r="N646" s="145"/>
      <c r="O646" s="145"/>
      <c r="P646" s="145"/>
      <c r="Q646" s="145"/>
      <c r="R646" s="145"/>
      <c r="S646" s="145"/>
      <c r="T646" s="145"/>
      <c r="U646" s="145"/>
      <c r="V646" s="145"/>
      <c r="W646" s="145"/>
      <c r="X646" s="145"/>
      <c r="Y646" s="145"/>
      <c r="Z646" s="145"/>
    </row>
    <row r="647" spans="1:26" ht="13.2">
      <c r="A647" s="144">
        <v>0</v>
      </c>
      <c r="B647" s="145"/>
      <c r="C647" s="145"/>
      <c r="D647" s="145"/>
      <c r="E647" s="145"/>
      <c r="F647" s="145"/>
      <c r="G647" s="145"/>
      <c r="H647" s="145"/>
      <c r="I647" s="145"/>
      <c r="J647" s="145"/>
      <c r="K647" s="145"/>
      <c r="L647" s="145"/>
      <c r="M647" s="146"/>
      <c r="N647" s="145"/>
      <c r="O647" s="145"/>
      <c r="P647" s="145"/>
      <c r="Q647" s="145"/>
      <c r="R647" s="145"/>
      <c r="S647" s="145"/>
      <c r="T647" s="145"/>
      <c r="U647" s="145"/>
      <c r="V647" s="145"/>
      <c r="W647" s="145"/>
      <c r="X647" s="145"/>
      <c r="Y647" s="145"/>
      <c r="Z647" s="145"/>
    </row>
    <row r="648" spans="1:26" ht="13.2">
      <c r="A648" s="144">
        <v>0</v>
      </c>
      <c r="B648" s="145"/>
      <c r="C648" s="145"/>
      <c r="D648" s="145"/>
      <c r="E648" s="145"/>
      <c r="F648" s="145"/>
      <c r="G648" s="145"/>
      <c r="H648" s="145"/>
      <c r="I648" s="145"/>
      <c r="J648" s="145"/>
      <c r="K648" s="145"/>
      <c r="L648" s="145"/>
      <c r="M648" s="146"/>
      <c r="N648" s="145"/>
      <c r="O648" s="145"/>
      <c r="P648" s="145"/>
      <c r="Q648" s="145"/>
      <c r="R648" s="145"/>
      <c r="S648" s="145"/>
      <c r="T648" s="145"/>
      <c r="U648" s="145"/>
      <c r="V648" s="145"/>
      <c r="W648" s="145"/>
      <c r="X648" s="145"/>
      <c r="Y648" s="145"/>
      <c r="Z648" s="145"/>
    </row>
    <row r="649" spans="1:26" ht="13.2">
      <c r="A649" s="144">
        <v>0</v>
      </c>
      <c r="B649" s="145"/>
      <c r="C649" s="145"/>
      <c r="D649" s="145"/>
      <c r="E649" s="145"/>
      <c r="F649" s="145"/>
      <c r="G649" s="145"/>
      <c r="H649" s="145"/>
      <c r="I649" s="145"/>
      <c r="J649" s="145"/>
      <c r="K649" s="145"/>
      <c r="L649" s="145"/>
      <c r="M649" s="146"/>
      <c r="N649" s="145"/>
      <c r="O649" s="145"/>
      <c r="P649" s="145"/>
      <c r="Q649" s="145"/>
      <c r="R649" s="145"/>
      <c r="S649" s="145"/>
      <c r="T649" s="145"/>
      <c r="U649" s="145"/>
      <c r="V649" s="145"/>
      <c r="W649" s="145"/>
      <c r="X649" s="145"/>
      <c r="Y649" s="145"/>
      <c r="Z649" s="145"/>
    </row>
    <row r="650" spans="1:26" ht="13.2">
      <c r="A650" s="144">
        <v>0</v>
      </c>
      <c r="B650" s="145"/>
      <c r="C650" s="145"/>
      <c r="D650" s="145"/>
      <c r="E650" s="145"/>
      <c r="F650" s="145"/>
      <c r="G650" s="145"/>
      <c r="H650" s="145"/>
      <c r="I650" s="145"/>
      <c r="J650" s="145"/>
      <c r="K650" s="145"/>
      <c r="L650" s="145"/>
      <c r="M650" s="146"/>
      <c r="N650" s="145"/>
      <c r="O650" s="145"/>
      <c r="P650" s="145"/>
      <c r="Q650" s="145"/>
      <c r="R650" s="145"/>
      <c r="S650" s="145"/>
      <c r="T650" s="145"/>
      <c r="U650" s="145"/>
      <c r="V650" s="145"/>
      <c r="W650" s="145"/>
      <c r="X650" s="145"/>
      <c r="Y650" s="145"/>
      <c r="Z650" s="145"/>
    </row>
    <row r="651" spans="1:26" ht="13.2">
      <c r="A651" s="144">
        <v>0</v>
      </c>
      <c r="B651" s="145"/>
      <c r="C651" s="145"/>
      <c r="D651" s="145"/>
      <c r="E651" s="145"/>
      <c r="F651" s="145"/>
      <c r="G651" s="145"/>
      <c r="H651" s="145"/>
      <c r="I651" s="145"/>
      <c r="J651" s="145"/>
      <c r="K651" s="145"/>
      <c r="L651" s="145"/>
      <c r="M651" s="146"/>
      <c r="N651" s="145"/>
      <c r="O651" s="145"/>
      <c r="P651" s="145"/>
      <c r="Q651" s="145"/>
      <c r="R651" s="145"/>
      <c r="S651" s="145"/>
      <c r="T651" s="145"/>
      <c r="U651" s="145"/>
      <c r="V651" s="145"/>
      <c r="W651" s="145"/>
      <c r="X651" s="145"/>
      <c r="Y651" s="145"/>
      <c r="Z651" s="145"/>
    </row>
    <row r="652" spans="1:26" ht="13.2">
      <c r="A652" s="144">
        <v>0</v>
      </c>
      <c r="B652" s="145"/>
      <c r="C652" s="145"/>
      <c r="D652" s="145"/>
      <c r="E652" s="145"/>
      <c r="F652" s="145"/>
      <c r="G652" s="145"/>
      <c r="H652" s="145"/>
      <c r="I652" s="145"/>
      <c r="J652" s="145"/>
      <c r="K652" s="145"/>
      <c r="L652" s="145"/>
      <c r="M652" s="146"/>
      <c r="N652" s="145"/>
      <c r="O652" s="145"/>
      <c r="P652" s="145"/>
      <c r="Q652" s="145"/>
      <c r="R652" s="145"/>
      <c r="S652" s="145"/>
      <c r="T652" s="145"/>
      <c r="U652" s="145"/>
      <c r="V652" s="145"/>
      <c r="W652" s="145"/>
      <c r="X652" s="145"/>
      <c r="Y652" s="145"/>
      <c r="Z652" s="145"/>
    </row>
    <row r="653" spans="1:26" ht="13.2">
      <c r="A653" s="144">
        <v>0</v>
      </c>
      <c r="B653" s="145"/>
      <c r="C653" s="145"/>
      <c r="D653" s="145"/>
      <c r="E653" s="145"/>
      <c r="F653" s="145"/>
      <c r="G653" s="145"/>
      <c r="H653" s="145"/>
      <c r="I653" s="145"/>
      <c r="J653" s="145"/>
      <c r="K653" s="145"/>
      <c r="L653" s="145"/>
      <c r="M653" s="146"/>
      <c r="N653" s="145"/>
      <c r="O653" s="145"/>
      <c r="P653" s="145"/>
      <c r="Q653" s="145"/>
      <c r="R653" s="145"/>
      <c r="S653" s="145"/>
      <c r="T653" s="145"/>
      <c r="U653" s="145"/>
      <c r="V653" s="145"/>
      <c r="W653" s="145"/>
      <c r="X653" s="145"/>
      <c r="Y653" s="145"/>
      <c r="Z653" s="145"/>
    </row>
    <row r="654" spans="1:26" ht="13.2">
      <c r="A654" s="144">
        <v>0</v>
      </c>
      <c r="B654" s="145"/>
      <c r="C654" s="145"/>
      <c r="D654" s="145"/>
      <c r="E654" s="145"/>
      <c r="F654" s="145"/>
      <c r="G654" s="145"/>
      <c r="H654" s="145"/>
      <c r="I654" s="145"/>
      <c r="J654" s="145"/>
      <c r="K654" s="145"/>
      <c r="L654" s="145"/>
      <c r="M654" s="146"/>
      <c r="N654" s="145"/>
      <c r="O654" s="145"/>
      <c r="P654" s="145"/>
      <c r="Q654" s="145"/>
      <c r="R654" s="145"/>
      <c r="S654" s="145"/>
      <c r="T654" s="145"/>
      <c r="U654" s="145"/>
      <c r="V654" s="145"/>
      <c r="W654" s="145"/>
      <c r="X654" s="145"/>
      <c r="Y654" s="145"/>
      <c r="Z654" s="145"/>
    </row>
    <row r="655" spans="1:26" ht="13.2">
      <c r="A655" s="144">
        <v>0</v>
      </c>
      <c r="B655" s="145"/>
      <c r="C655" s="145"/>
      <c r="D655" s="145"/>
      <c r="E655" s="145"/>
      <c r="F655" s="145"/>
      <c r="G655" s="145"/>
      <c r="H655" s="145"/>
      <c r="I655" s="145"/>
      <c r="J655" s="145"/>
      <c r="K655" s="145"/>
      <c r="L655" s="145"/>
      <c r="M655" s="146"/>
      <c r="N655" s="145"/>
      <c r="O655" s="145"/>
      <c r="P655" s="145"/>
      <c r="Q655" s="145"/>
      <c r="R655" s="145"/>
      <c r="S655" s="145"/>
      <c r="T655" s="145"/>
      <c r="U655" s="145"/>
      <c r="V655" s="145"/>
      <c r="W655" s="145"/>
      <c r="X655" s="145"/>
      <c r="Y655" s="145"/>
      <c r="Z655" s="145"/>
    </row>
    <row r="656" spans="1:26" ht="13.2">
      <c r="A656" s="144">
        <v>0</v>
      </c>
      <c r="B656" s="145"/>
      <c r="C656" s="145"/>
      <c r="D656" s="145"/>
      <c r="E656" s="145"/>
      <c r="F656" s="145"/>
      <c r="G656" s="145"/>
      <c r="H656" s="145"/>
      <c r="I656" s="145"/>
      <c r="J656" s="145"/>
      <c r="K656" s="145"/>
      <c r="L656" s="145"/>
      <c r="M656" s="146"/>
      <c r="N656" s="145"/>
      <c r="O656" s="145"/>
      <c r="P656" s="145"/>
      <c r="Q656" s="145"/>
      <c r="R656" s="145"/>
      <c r="S656" s="145"/>
      <c r="T656" s="145"/>
      <c r="U656" s="145"/>
      <c r="V656" s="145"/>
      <c r="W656" s="145"/>
      <c r="X656" s="145"/>
      <c r="Y656" s="145"/>
      <c r="Z656" s="145"/>
    </row>
    <row r="657" spans="1:26" ht="13.2">
      <c r="A657" s="144">
        <v>0</v>
      </c>
      <c r="B657" s="145"/>
      <c r="C657" s="145"/>
      <c r="D657" s="145"/>
      <c r="E657" s="145"/>
      <c r="F657" s="145"/>
      <c r="G657" s="145"/>
      <c r="H657" s="145"/>
      <c r="I657" s="145"/>
      <c r="J657" s="145"/>
      <c r="K657" s="145"/>
      <c r="L657" s="145"/>
      <c r="M657" s="146"/>
      <c r="N657" s="145"/>
      <c r="O657" s="145"/>
      <c r="P657" s="145"/>
      <c r="Q657" s="145"/>
      <c r="R657" s="145"/>
      <c r="S657" s="145"/>
      <c r="T657" s="145"/>
      <c r="U657" s="145"/>
      <c r="V657" s="145"/>
      <c r="W657" s="145"/>
      <c r="X657" s="145"/>
      <c r="Y657" s="145"/>
      <c r="Z657" s="145"/>
    </row>
    <row r="658" spans="1:26" ht="13.2">
      <c r="A658" s="144">
        <v>0</v>
      </c>
      <c r="B658" s="145"/>
      <c r="C658" s="145"/>
      <c r="D658" s="145"/>
      <c r="E658" s="145"/>
      <c r="F658" s="145"/>
      <c r="G658" s="145"/>
      <c r="H658" s="145"/>
      <c r="I658" s="145"/>
      <c r="J658" s="145"/>
      <c r="K658" s="145"/>
      <c r="L658" s="145"/>
      <c r="M658" s="146"/>
      <c r="N658" s="145"/>
      <c r="O658" s="145"/>
      <c r="P658" s="145"/>
      <c r="Q658" s="145"/>
      <c r="R658" s="145"/>
      <c r="S658" s="145"/>
      <c r="T658" s="145"/>
      <c r="U658" s="145"/>
      <c r="V658" s="145"/>
      <c r="W658" s="145"/>
      <c r="X658" s="145"/>
      <c r="Y658" s="145"/>
      <c r="Z658" s="145"/>
    </row>
    <row r="659" spans="1:26" ht="13.2">
      <c r="A659" s="144">
        <v>0</v>
      </c>
      <c r="B659" s="145"/>
      <c r="C659" s="145"/>
      <c r="D659" s="145"/>
      <c r="E659" s="145"/>
      <c r="F659" s="145"/>
      <c r="G659" s="145"/>
      <c r="H659" s="145"/>
      <c r="I659" s="145"/>
      <c r="J659" s="145"/>
      <c r="K659" s="145"/>
      <c r="L659" s="145"/>
      <c r="M659" s="146"/>
      <c r="N659" s="145"/>
      <c r="O659" s="145"/>
      <c r="P659" s="145"/>
      <c r="Q659" s="145"/>
      <c r="R659" s="145"/>
      <c r="S659" s="145"/>
      <c r="T659" s="145"/>
      <c r="U659" s="145"/>
      <c r="V659" s="145"/>
      <c r="W659" s="145"/>
      <c r="X659" s="145"/>
      <c r="Y659" s="145"/>
      <c r="Z659" s="145"/>
    </row>
    <row r="660" spans="1:26" ht="13.2">
      <c r="A660" s="144">
        <v>0</v>
      </c>
      <c r="B660" s="145"/>
      <c r="C660" s="145"/>
      <c r="D660" s="145"/>
      <c r="E660" s="145"/>
      <c r="F660" s="145"/>
      <c r="G660" s="145"/>
      <c r="H660" s="145"/>
      <c r="I660" s="145"/>
      <c r="J660" s="145"/>
      <c r="K660" s="145"/>
      <c r="L660" s="145"/>
      <c r="M660" s="146"/>
      <c r="N660" s="145"/>
      <c r="O660" s="145"/>
      <c r="P660" s="145"/>
      <c r="Q660" s="145"/>
      <c r="R660" s="145"/>
      <c r="S660" s="145"/>
      <c r="T660" s="145"/>
      <c r="U660" s="145"/>
      <c r="V660" s="145"/>
      <c r="W660" s="145"/>
      <c r="X660" s="145"/>
      <c r="Y660" s="145"/>
      <c r="Z660" s="145"/>
    </row>
    <row r="661" spans="1:26" ht="13.2">
      <c r="A661" s="144">
        <v>0</v>
      </c>
      <c r="B661" s="145"/>
      <c r="C661" s="145"/>
      <c r="D661" s="145"/>
      <c r="E661" s="145"/>
      <c r="F661" s="145"/>
      <c r="G661" s="145"/>
      <c r="H661" s="145"/>
      <c r="I661" s="145"/>
      <c r="J661" s="145"/>
      <c r="K661" s="145"/>
      <c r="L661" s="145"/>
      <c r="M661" s="146"/>
      <c r="N661" s="145"/>
      <c r="O661" s="145"/>
      <c r="P661" s="145"/>
      <c r="Q661" s="145"/>
      <c r="R661" s="145"/>
      <c r="S661" s="145"/>
      <c r="T661" s="145"/>
      <c r="U661" s="145"/>
      <c r="V661" s="145"/>
      <c r="W661" s="145"/>
      <c r="X661" s="145"/>
      <c r="Y661" s="145"/>
      <c r="Z661" s="145"/>
    </row>
    <row r="662" spans="1:26" ht="13.2">
      <c r="A662" s="144">
        <v>0</v>
      </c>
      <c r="B662" s="145"/>
      <c r="C662" s="145"/>
      <c r="D662" s="145"/>
      <c r="E662" s="145"/>
      <c r="F662" s="145"/>
      <c r="G662" s="145"/>
      <c r="H662" s="145"/>
      <c r="I662" s="145"/>
      <c r="J662" s="145"/>
      <c r="K662" s="145"/>
      <c r="L662" s="145"/>
      <c r="M662" s="146"/>
      <c r="N662" s="145"/>
      <c r="O662" s="145"/>
      <c r="P662" s="145"/>
      <c r="Q662" s="145"/>
      <c r="R662" s="145"/>
      <c r="S662" s="145"/>
      <c r="T662" s="145"/>
      <c r="U662" s="145"/>
      <c r="V662" s="145"/>
      <c r="W662" s="145"/>
      <c r="X662" s="145"/>
      <c r="Y662" s="145"/>
      <c r="Z662" s="145"/>
    </row>
    <row r="663" spans="1:26" ht="13.2">
      <c r="A663" s="144">
        <v>0</v>
      </c>
      <c r="B663" s="145"/>
      <c r="C663" s="145"/>
      <c r="D663" s="145"/>
      <c r="E663" s="145"/>
      <c r="F663" s="145"/>
      <c r="G663" s="145"/>
      <c r="H663" s="145"/>
      <c r="I663" s="145"/>
      <c r="J663" s="145"/>
      <c r="K663" s="145"/>
      <c r="L663" s="145"/>
      <c r="M663" s="146"/>
      <c r="N663" s="145"/>
      <c r="O663" s="145"/>
      <c r="P663" s="145"/>
      <c r="Q663" s="145"/>
      <c r="R663" s="145"/>
      <c r="S663" s="145"/>
      <c r="T663" s="145"/>
      <c r="U663" s="145"/>
      <c r="V663" s="145"/>
      <c r="W663" s="145"/>
      <c r="X663" s="145"/>
      <c r="Y663" s="145"/>
      <c r="Z663" s="145"/>
    </row>
    <row r="664" spans="1:26" ht="13.2">
      <c r="A664" s="144">
        <v>0</v>
      </c>
      <c r="B664" s="145"/>
      <c r="C664" s="145"/>
      <c r="D664" s="145"/>
      <c r="E664" s="145"/>
      <c r="F664" s="145"/>
      <c r="G664" s="145"/>
      <c r="H664" s="145"/>
      <c r="I664" s="145"/>
      <c r="J664" s="145"/>
      <c r="K664" s="145"/>
      <c r="L664" s="145"/>
      <c r="M664" s="146"/>
      <c r="N664" s="145"/>
      <c r="O664" s="145"/>
      <c r="P664" s="145"/>
      <c r="Q664" s="145"/>
      <c r="R664" s="145"/>
      <c r="S664" s="145"/>
      <c r="T664" s="145"/>
      <c r="U664" s="145"/>
      <c r="V664" s="145"/>
      <c r="W664" s="145"/>
      <c r="X664" s="145"/>
      <c r="Y664" s="145"/>
      <c r="Z664" s="145"/>
    </row>
    <row r="665" spans="1:26" ht="13.2">
      <c r="A665" s="144">
        <v>0</v>
      </c>
      <c r="B665" s="145"/>
      <c r="C665" s="145"/>
      <c r="D665" s="145"/>
      <c r="E665" s="145"/>
      <c r="F665" s="145"/>
      <c r="G665" s="145"/>
      <c r="H665" s="145"/>
      <c r="I665" s="145"/>
      <c r="J665" s="145"/>
      <c r="K665" s="145"/>
      <c r="L665" s="145"/>
      <c r="M665" s="146"/>
      <c r="N665" s="145"/>
      <c r="O665" s="145"/>
      <c r="P665" s="145"/>
      <c r="Q665" s="145"/>
      <c r="R665" s="145"/>
      <c r="S665" s="145"/>
      <c r="T665" s="145"/>
      <c r="U665" s="145"/>
      <c r="V665" s="145"/>
      <c r="W665" s="145"/>
      <c r="X665" s="145"/>
      <c r="Y665" s="145"/>
      <c r="Z665" s="145"/>
    </row>
    <row r="666" spans="1:26" ht="13.2">
      <c r="A666" s="144">
        <v>0</v>
      </c>
      <c r="B666" s="145"/>
      <c r="C666" s="145"/>
      <c r="D666" s="145"/>
      <c r="E666" s="145"/>
      <c r="F666" s="145"/>
      <c r="G666" s="145"/>
      <c r="H666" s="145"/>
      <c r="I666" s="145"/>
      <c r="J666" s="145"/>
      <c r="K666" s="145"/>
      <c r="L666" s="145"/>
      <c r="M666" s="146"/>
      <c r="N666" s="145"/>
      <c r="O666" s="145"/>
      <c r="P666" s="145"/>
      <c r="Q666" s="145"/>
      <c r="R666" s="145"/>
      <c r="S666" s="145"/>
      <c r="T666" s="145"/>
      <c r="U666" s="145"/>
      <c r="V666" s="145"/>
      <c r="W666" s="145"/>
      <c r="X666" s="145"/>
      <c r="Y666" s="145"/>
      <c r="Z666" s="145"/>
    </row>
    <row r="667" spans="1:26" ht="13.2">
      <c r="A667" s="144">
        <v>0</v>
      </c>
      <c r="B667" s="145"/>
      <c r="C667" s="145"/>
      <c r="D667" s="145"/>
      <c r="E667" s="145"/>
      <c r="F667" s="145"/>
      <c r="G667" s="145"/>
      <c r="H667" s="145"/>
      <c r="I667" s="145"/>
      <c r="J667" s="145"/>
      <c r="K667" s="145"/>
      <c r="L667" s="145"/>
      <c r="M667" s="146"/>
      <c r="N667" s="145"/>
      <c r="O667" s="145"/>
      <c r="P667" s="145"/>
      <c r="Q667" s="145"/>
      <c r="R667" s="145"/>
      <c r="S667" s="145"/>
      <c r="T667" s="145"/>
      <c r="U667" s="145"/>
      <c r="V667" s="145"/>
      <c r="W667" s="145"/>
      <c r="X667" s="145"/>
      <c r="Y667" s="145"/>
      <c r="Z667" s="145"/>
    </row>
    <row r="668" spans="1:26" ht="13.2">
      <c r="A668" s="144">
        <v>0</v>
      </c>
      <c r="B668" s="145"/>
      <c r="C668" s="145"/>
      <c r="D668" s="145"/>
      <c r="E668" s="145"/>
      <c r="F668" s="145"/>
      <c r="G668" s="145"/>
      <c r="H668" s="145"/>
      <c r="I668" s="145"/>
      <c r="J668" s="145"/>
      <c r="K668" s="145"/>
      <c r="L668" s="145"/>
      <c r="M668" s="146"/>
      <c r="N668" s="145"/>
      <c r="O668" s="145"/>
      <c r="P668" s="145"/>
      <c r="Q668" s="145"/>
      <c r="R668" s="145"/>
      <c r="S668" s="145"/>
      <c r="T668" s="145"/>
      <c r="U668" s="145"/>
      <c r="V668" s="145"/>
      <c r="W668" s="145"/>
      <c r="X668" s="145"/>
      <c r="Y668" s="145"/>
      <c r="Z668" s="145"/>
    </row>
    <row r="669" spans="1:26" ht="13.2">
      <c r="A669" s="144">
        <v>0</v>
      </c>
      <c r="B669" s="145"/>
      <c r="C669" s="145"/>
      <c r="D669" s="145"/>
      <c r="E669" s="145"/>
      <c r="F669" s="145"/>
      <c r="G669" s="145"/>
      <c r="H669" s="145"/>
      <c r="I669" s="145"/>
      <c r="J669" s="145"/>
      <c r="K669" s="145"/>
      <c r="L669" s="145"/>
      <c r="M669" s="146"/>
      <c r="N669" s="145"/>
      <c r="O669" s="145"/>
      <c r="P669" s="145"/>
      <c r="Q669" s="145"/>
      <c r="R669" s="145"/>
      <c r="S669" s="145"/>
      <c r="T669" s="145"/>
      <c r="U669" s="145"/>
      <c r="V669" s="145"/>
      <c r="W669" s="145"/>
      <c r="X669" s="145"/>
      <c r="Y669" s="145"/>
      <c r="Z669" s="145"/>
    </row>
    <row r="670" spans="1:26" ht="13.2">
      <c r="A670" s="144">
        <v>0</v>
      </c>
      <c r="B670" s="145"/>
      <c r="C670" s="145"/>
      <c r="D670" s="145"/>
      <c r="E670" s="145"/>
      <c r="F670" s="145"/>
      <c r="G670" s="145"/>
      <c r="H670" s="145"/>
      <c r="I670" s="145"/>
      <c r="J670" s="145"/>
      <c r="K670" s="145"/>
      <c r="L670" s="145"/>
      <c r="M670" s="146"/>
      <c r="N670" s="145"/>
      <c r="O670" s="145"/>
      <c r="P670" s="145"/>
      <c r="Q670" s="145"/>
      <c r="R670" s="145"/>
      <c r="S670" s="145"/>
      <c r="T670" s="145"/>
      <c r="U670" s="145"/>
      <c r="V670" s="145"/>
      <c r="W670" s="145"/>
      <c r="X670" s="145"/>
      <c r="Y670" s="145"/>
      <c r="Z670" s="145"/>
    </row>
    <row r="671" spans="1:26" ht="13.2">
      <c r="A671" s="144">
        <v>0</v>
      </c>
      <c r="B671" s="145"/>
      <c r="C671" s="145"/>
      <c r="D671" s="145"/>
      <c r="E671" s="145"/>
      <c r="F671" s="145"/>
      <c r="G671" s="145"/>
      <c r="H671" s="145"/>
      <c r="I671" s="145"/>
      <c r="J671" s="145"/>
      <c r="K671" s="145"/>
      <c r="L671" s="145"/>
      <c r="M671" s="146"/>
      <c r="N671" s="145"/>
      <c r="O671" s="145"/>
      <c r="P671" s="145"/>
      <c r="Q671" s="145"/>
      <c r="R671" s="145"/>
      <c r="S671" s="145"/>
      <c r="T671" s="145"/>
      <c r="U671" s="145"/>
      <c r="V671" s="145"/>
      <c r="W671" s="145"/>
      <c r="X671" s="145"/>
      <c r="Y671" s="145"/>
      <c r="Z671" s="145"/>
    </row>
    <row r="672" spans="1:26" ht="13.2">
      <c r="A672" s="144">
        <v>0</v>
      </c>
      <c r="B672" s="145"/>
      <c r="C672" s="145"/>
      <c r="D672" s="145"/>
      <c r="E672" s="145"/>
      <c r="F672" s="145"/>
      <c r="G672" s="145"/>
      <c r="H672" s="145"/>
      <c r="I672" s="145"/>
      <c r="J672" s="145"/>
      <c r="K672" s="145"/>
      <c r="L672" s="145"/>
      <c r="M672" s="146"/>
      <c r="N672" s="145"/>
      <c r="O672" s="145"/>
      <c r="P672" s="145"/>
      <c r="Q672" s="145"/>
      <c r="R672" s="145"/>
      <c r="S672" s="145"/>
      <c r="T672" s="145"/>
      <c r="U672" s="145"/>
      <c r="V672" s="145"/>
      <c r="W672" s="145"/>
      <c r="X672" s="145"/>
      <c r="Y672" s="145"/>
      <c r="Z672" s="145"/>
    </row>
    <row r="673" spans="1:26" ht="13.2">
      <c r="A673" s="144">
        <v>0</v>
      </c>
      <c r="B673" s="145"/>
      <c r="C673" s="145"/>
      <c r="D673" s="145"/>
      <c r="E673" s="145"/>
      <c r="F673" s="145"/>
      <c r="G673" s="145"/>
      <c r="H673" s="145"/>
      <c r="I673" s="145"/>
      <c r="J673" s="145"/>
      <c r="K673" s="145"/>
      <c r="L673" s="145"/>
      <c r="M673" s="146"/>
      <c r="N673" s="145"/>
      <c r="O673" s="145"/>
      <c r="P673" s="145"/>
      <c r="Q673" s="145"/>
      <c r="R673" s="145"/>
      <c r="S673" s="145"/>
      <c r="T673" s="145"/>
      <c r="U673" s="145"/>
      <c r="V673" s="145"/>
      <c r="W673" s="145"/>
      <c r="X673" s="145"/>
      <c r="Y673" s="145"/>
      <c r="Z673" s="145"/>
    </row>
    <row r="674" spans="1:26" ht="13.2">
      <c r="A674" s="144">
        <v>0</v>
      </c>
      <c r="B674" s="145"/>
      <c r="C674" s="145"/>
      <c r="D674" s="145"/>
      <c r="E674" s="145"/>
      <c r="F674" s="145"/>
      <c r="G674" s="145"/>
      <c r="H674" s="145"/>
      <c r="I674" s="145"/>
      <c r="J674" s="145"/>
      <c r="K674" s="145"/>
      <c r="L674" s="145"/>
      <c r="M674" s="146"/>
      <c r="N674" s="145"/>
      <c r="O674" s="145"/>
      <c r="P674" s="145"/>
      <c r="Q674" s="145"/>
      <c r="R674" s="145"/>
      <c r="S674" s="145"/>
      <c r="T674" s="145"/>
      <c r="U674" s="145"/>
      <c r="V674" s="145"/>
      <c r="W674" s="145"/>
      <c r="X674" s="145"/>
      <c r="Y674" s="145"/>
      <c r="Z674" s="145"/>
    </row>
    <row r="675" spans="1:26" ht="13.2">
      <c r="A675" s="144">
        <v>0</v>
      </c>
      <c r="B675" s="145"/>
      <c r="C675" s="145"/>
      <c r="D675" s="145"/>
      <c r="E675" s="145"/>
      <c r="F675" s="145"/>
      <c r="G675" s="145"/>
      <c r="H675" s="145"/>
      <c r="I675" s="145"/>
      <c r="J675" s="145"/>
      <c r="K675" s="145"/>
      <c r="L675" s="145"/>
      <c r="M675" s="146"/>
      <c r="N675" s="145"/>
      <c r="O675" s="145"/>
      <c r="P675" s="145"/>
      <c r="Q675" s="145"/>
      <c r="R675" s="145"/>
      <c r="S675" s="145"/>
      <c r="T675" s="145"/>
      <c r="U675" s="145"/>
      <c r="V675" s="145"/>
      <c r="W675" s="145"/>
      <c r="X675" s="145"/>
      <c r="Y675" s="145"/>
      <c r="Z675" s="145"/>
    </row>
    <row r="676" spans="1:26" ht="13.2">
      <c r="A676" s="144">
        <v>0</v>
      </c>
      <c r="B676" s="145"/>
      <c r="C676" s="145"/>
      <c r="D676" s="145"/>
      <c r="E676" s="145"/>
      <c r="F676" s="145"/>
      <c r="G676" s="145"/>
      <c r="H676" s="145"/>
      <c r="I676" s="145"/>
      <c r="J676" s="145"/>
      <c r="K676" s="145"/>
      <c r="L676" s="145"/>
      <c r="M676" s="146"/>
      <c r="N676" s="145"/>
      <c r="O676" s="145"/>
      <c r="P676" s="145"/>
      <c r="Q676" s="145"/>
      <c r="R676" s="145"/>
      <c r="S676" s="145"/>
      <c r="T676" s="145"/>
      <c r="U676" s="145"/>
      <c r="V676" s="145"/>
      <c r="W676" s="145"/>
      <c r="X676" s="145"/>
      <c r="Y676" s="145"/>
      <c r="Z676" s="145"/>
    </row>
    <row r="677" spans="1:26" ht="13.2">
      <c r="A677" s="144">
        <v>0</v>
      </c>
      <c r="B677" s="145"/>
      <c r="C677" s="145"/>
      <c r="D677" s="145"/>
      <c r="E677" s="145"/>
      <c r="F677" s="145"/>
      <c r="G677" s="145"/>
      <c r="H677" s="145"/>
      <c r="I677" s="145"/>
      <c r="J677" s="145"/>
      <c r="K677" s="145"/>
      <c r="L677" s="145"/>
      <c r="M677" s="146"/>
      <c r="N677" s="145"/>
      <c r="O677" s="145"/>
      <c r="P677" s="145"/>
      <c r="Q677" s="145"/>
      <c r="R677" s="145"/>
      <c r="S677" s="145"/>
      <c r="T677" s="145"/>
      <c r="U677" s="145"/>
      <c r="V677" s="145"/>
      <c r="W677" s="145"/>
      <c r="X677" s="145"/>
      <c r="Y677" s="145"/>
      <c r="Z677" s="145"/>
    </row>
    <row r="678" spans="1:26" ht="13.2">
      <c r="A678" s="144">
        <v>0</v>
      </c>
      <c r="B678" s="145"/>
      <c r="C678" s="145"/>
      <c r="D678" s="145"/>
      <c r="E678" s="145"/>
      <c r="F678" s="145"/>
      <c r="G678" s="145"/>
      <c r="H678" s="145"/>
      <c r="I678" s="145"/>
      <c r="J678" s="145"/>
      <c r="K678" s="145"/>
      <c r="L678" s="145"/>
      <c r="M678" s="146"/>
      <c r="N678" s="145"/>
      <c r="O678" s="145"/>
      <c r="P678" s="145"/>
      <c r="Q678" s="145"/>
      <c r="R678" s="145"/>
      <c r="S678" s="145"/>
      <c r="T678" s="145"/>
      <c r="U678" s="145"/>
      <c r="V678" s="145"/>
      <c r="W678" s="145"/>
      <c r="X678" s="145"/>
      <c r="Y678" s="145"/>
      <c r="Z678" s="145"/>
    </row>
    <row r="679" spans="1:26" ht="13.2">
      <c r="A679" s="144">
        <v>0</v>
      </c>
      <c r="B679" s="145"/>
      <c r="C679" s="145"/>
      <c r="D679" s="145"/>
      <c r="E679" s="145"/>
      <c r="F679" s="145"/>
      <c r="G679" s="145"/>
      <c r="H679" s="145"/>
      <c r="I679" s="145"/>
      <c r="J679" s="145"/>
      <c r="K679" s="145"/>
      <c r="L679" s="145"/>
      <c r="M679" s="146"/>
      <c r="N679" s="145"/>
      <c r="O679" s="145"/>
      <c r="P679" s="145"/>
      <c r="Q679" s="145"/>
      <c r="R679" s="145"/>
      <c r="S679" s="145"/>
      <c r="T679" s="145"/>
      <c r="U679" s="145"/>
      <c r="V679" s="145"/>
      <c r="W679" s="145"/>
      <c r="X679" s="145"/>
      <c r="Y679" s="145"/>
      <c r="Z679" s="145"/>
    </row>
    <row r="680" spans="1:26" ht="13.2">
      <c r="A680" s="144">
        <v>0</v>
      </c>
      <c r="B680" s="145"/>
      <c r="C680" s="145"/>
      <c r="D680" s="145"/>
      <c r="E680" s="145"/>
      <c r="F680" s="145"/>
      <c r="G680" s="145"/>
      <c r="H680" s="145"/>
      <c r="I680" s="145"/>
      <c r="J680" s="145"/>
      <c r="K680" s="145"/>
      <c r="L680" s="145"/>
      <c r="M680" s="146"/>
      <c r="N680" s="145"/>
      <c r="O680" s="145"/>
      <c r="P680" s="145"/>
      <c r="Q680" s="145"/>
      <c r="R680" s="145"/>
      <c r="S680" s="145"/>
      <c r="T680" s="145"/>
      <c r="U680" s="145"/>
      <c r="V680" s="145"/>
      <c r="W680" s="145"/>
      <c r="X680" s="145"/>
      <c r="Y680" s="145"/>
      <c r="Z680" s="145"/>
    </row>
    <row r="681" spans="1:26" ht="13.2">
      <c r="A681" s="144">
        <v>0</v>
      </c>
      <c r="B681" s="145"/>
      <c r="C681" s="145"/>
      <c r="D681" s="145"/>
      <c r="E681" s="145"/>
      <c r="F681" s="145"/>
      <c r="G681" s="145"/>
      <c r="H681" s="145"/>
      <c r="I681" s="145"/>
      <c r="J681" s="145"/>
      <c r="K681" s="145"/>
      <c r="L681" s="145"/>
      <c r="M681" s="146"/>
      <c r="N681" s="145"/>
      <c r="O681" s="145"/>
      <c r="P681" s="145"/>
      <c r="Q681" s="145"/>
      <c r="R681" s="145"/>
      <c r="S681" s="145"/>
      <c r="T681" s="145"/>
      <c r="U681" s="145"/>
      <c r="V681" s="145"/>
      <c r="W681" s="145"/>
      <c r="X681" s="145"/>
      <c r="Y681" s="145"/>
      <c r="Z681" s="145"/>
    </row>
    <row r="682" spans="1:26" ht="13.2">
      <c r="A682" s="144">
        <v>0</v>
      </c>
      <c r="B682" s="145"/>
      <c r="C682" s="145"/>
      <c r="D682" s="145"/>
      <c r="E682" s="145"/>
      <c r="F682" s="145"/>
      <c r="G682" s="145"/>
      <c r="H682" s="145"/>
      <c r="I682" s="145"/>
      <c r="J682" s="145"/>
      <c r="K682" s="145"/>
      <c r="L682" s="145"/>
      <c r="M682" s="146"/>
      <c r="N682" s="145"/>
      <c r="O682" s="145"/>
      <c r="P682" s="145"/>
      <c r="Q682" s="145"/>
      <c r="R682" s="145"/>
      <c r="S682" s="145"/>
      <c r="T682" s="145"/>
      <c r="U682" s="145"/>
      <c r="V682" s="145"/>
      <c r="W682" s="145"/>
      <c r="X682" s="145"/>
      <c r="Y682" s="145"/>
      <c r="Z682" s="145"/>
    </row>
    <row r="683" spans="1:26" ht="13.2">
      <c r="A683" s="144">
        <v>0</v>
      </c>
      <c r="B683" s="145"/>
      <c r="C683" s="145"/>
      <c r="D683" s="145"/>
      <c r="E683" s="145"/>
      <c r="F683" s="145"/>
      <c r="G683" s="145"/>
      <c r="H683" s="145"/>
      <c r="I683" s="145"/>
      <c r="J683" s="145"/>
      <c r="K683" s="145"/>
      <c r="L683" s="145"/>
      <c r="M683" s="146"/>
      <c r="N683" s="145"/>
      <c r="O683" s="145"/>
      <c r="P683" s="145"/>
      <c r="Q683" s="145"/>
      <c r="R683" s="145"/>
      <c r="S683" s="145"/>
      <c r="T683" s="145"/>
      <c r="U683" s="145"/>
      <c r="V683" s="145"/>
      <c r="W683" s="145"/>
      <c r="X683" s="145"/>
      <c r="Y683" s="145"/>
      <c r="Z683" s="145"/>
    </row>
    <row r="684" spans="1:26" ht="13.2">
      <c r="A684" s="144">
        <v>0</v>
      </c>
      <c r="B684" s="145"/>
      <c r="C684" s="145"/>
      <c r="D684" s="145"/>
      <c r="E684" s="145"/>
      <c r="F684" s="145"/>
      <c r="G684" s="145"/>
      <c r="H684" s="145"/>
      <c r="I684" s="145"/>
      <c r="J684" s="145"/>
      <c r="K684" s="145"/>
      <c r="L684" s="145"/>
      <c r="M684" s="146"/>
      <c r="N684" s="145"/>
      <c r="O684" s="145"/>
      <c r="P684" s="145"/>
      <c r="Q684" s="145"/>
      <c r="R684" s="145"/>
      <c r="S684" s="145"/>
      <c r="T684" s="145"/>
      <c r="U684" s="145"/>
      <c r="V684" s="145"/>
      <c r="W684" s="145"/>
      <c r="X684" s="145"/>
      <c r="Y684" s="145"/>
      <c r="Z684" s="145"/>
    </row>
    <row r="685" spans="1:26" ht="13.2">
      <c r="A685" s="144">
        <v>0</v>
      </c>
      <c r="B685" s="145"/>
      <c r="C685" s="145"/>
      <c r="D685" s="145"/>
      <c r="E685" s="145"/>
      <c r="F685" s="145"/>
      <c r="G685" s="145"/>
      <c r="H685" s="145"/>
      <c r="I685" s="145"/>
      <c r="J685" s="145"/>
      <c r="K685" s="145"/>
      <c r="L685" s="145"/>
      <c r="M685" s="146"/>
      <c r="N685" s="145"/>
      <c r="O685" s="145"/>
      <c r="P685" s="145"/>
      <c r="Q685" s="145"/>
      <c r="R685" s="145"/>
      <c r="S685" s="145"/>
      <c r="T685" s="145"/>
      <c r="U685" s="145"/>
      <c r="V685" s="145"/>
      <c r="W685" s="145"/>
      <c r="X685" s="145"/>
      <c r="Y685" s="145"/>
      <c r="Z685" s="145"/>
    </row>
    <row r="686" spans="1:26" ht="13.2">
      <c r="A686" s="144">
        <v>0</v>
      </c>
      <c r="B686" s="145"/>
      <c r="C686" s="145"/>
      <c r="D686" s="145"/>
      <c r="E686" s="145"/>
      <c r="F686" s="145"/>
      <c r="G686" s="145"/>
      <c r="H686" s="145"/>
      <c r="I686" s="145"/>
      <c r="J686" s="145"/>
      <c r="K686" s="145"/>
      <c r="L686" s="145"/>
      <c r="M686" s="146"/>
      <c r="N686" s="145"/>
      <c r="O686" s="145"/>
      <c r="P686" s="145"/>
      <c r="Q686" s="145"/>
      <c r="R686" s="145"/>
      <c r="S686" s="145"/>
      <c r="T686" s="145"/>
      <c r="U686" s="145"/>
      <c r="V686" s="145"/>
      <c r="W686" s="145"/>
      <c r="X686" s="145"/>
      <c r="Y686" s="145"/>
      <c r="Z686" s="145"/>
    </row>
    <row r="687" spans="1:26" ht="13.2">
      <c r="A687" s="144">
        <v>0</v>
      </c>
      <c r="B687" s="145"/>
      <c r="C687" s="145"/>
      <c r="D687" s="145"/>
      <c r="E687" s="145"/>
      <c r="F687" s="145"/>
      <c r="G687" s="145"/>
      <c r="H687" s="145"/>
      <c r="I687" s="145"/>
      <c r="J687" s="145"/>
      <c r="K687" s="145"/>
      <c r="L687" s="145"/>
      <c r="M687" s="146"/>
      <c r="N687" s="145"/>
      <c r="O687" s="145"/>
      <c r="P687" s="145"/>
      <c r="Q687" s="145"/>
      <c r="R687" s="145"/>
      <c r="S687" s="145"/>
      <c r="T687" s="145"/>
      <c r="U687" s="145"/>
      <c r="V687" s="145"/>
      <c r="W687" s="145"/>
      <c r="X687" s="145"/>
      <c r="Y687" s="145"/>
      <c r="Z687" s="145"/>
    </row>
    <row r="688" spans="1:26" ht="13.2">
      <c r="A688" s="144">
        <v>0</v>
      </c>
      <c r="B688" s="145"/>
      <c r="C688" s="145"/>
      <c r="D688" s="145"/>
      <c r="E688" s="145"/>
      <c r="F688" s="145"/>
      <c r="G688" s="145"/>
      <c r="H688" s="145"/>
      <c r="I688" s="145"/>
      <c r="J688" s="145"/>
      <c r="K688" s="145"/>
      <c r="L688" s="145"/>
      <c r="M688" s="146"/>
      <c r="N688" s="145"/>
      <c r="O688" s="145"/>
      <c r="P688" s="145"/>
      <c r="Q688" s="145"/>
      <c r="R688" s="145"/>
      <c r="S688" s="145"/>
      <c r="T688" s="145"/>
      <c r="U688" s="145"/>
      <c r="V688" s="145"/>
      <c r="W688" s="145"/>
      <c r="X688" s="145"/>
      <c r="Y688" s="145"/>
      <c r="Z688" s="145"/>
    </row>
    <row r="689" spans="1:26" ht="13.2">
      <c r="A689" s="144">
        <v>0</v>
      </c>
      <c r="B689" s="145"/>
      <c r="C689" s="145"/>
      <c r="D689" s="145"/>
      <c r="E689" s="145"/>
      <c r="F689" s="145"/>
      <c r="G689" s="145"/>
      <c r="H689" s="145"/>
      <c r="I689" s="145"/>
      <c r="J689" s="145"/>
      <c r="K689" s="145"/>
      <c r="L689" s="145"/>
      <c r="M689" s="146"/>
      <c r="N689" s="145"/>
      <c r="O689" s="145"/>
      <c r="P689" s="145"/>
      <c r="Q689" s="145"/>
      <c r="R689" s="145"/>
      <c r="S689" s="145"/>
      <c r="T689" s="145"/>
      <c r="U689" s="145"/>
      <c r="V689" s="145"/>
      <c r="W689" s="145"/>
      <c r="X689" s="145"/>
      <c r="Y689" s="145"/>
      <c r="Z689" s="145"/>
    </row>
    <row r="690" spans="1:26" ht="13.2">
      <c r="A690" s="144">
        <v>0</v>
      </c>
      <c r="B690" s="145"/>
      <c r="C690" s="145"/>
      <c r="D690" s="145"/>
      <c r="E690" s="145"/>
      <c r="F690" s="145"/>
      <c r="G690" s="145"/>
      <c r="H690" s="145"/>
      <c r="I690" s="145"/>
      <c r="J690" s="145"/>
      <c r="K690" s="145"/>
      <c r="L690" s="145"/>
      <c r="M690" s="146"/>
      <c r="N690" s="145"/>
      <c r="O690" s="145"/>
      <c r="P690" s="145"/>
      <c r="Q690" s="145"/>
      <c r="R690" s="145"/>
      <c r="S690" s="145"/>
      <c r="T690" s="145"/>
      <c r="U690" s="145"/>
      <c r="V690" s="145"/>
      <c r="W690" s="145"/>
      <c r="X690" s="145"/>
      <c r="Y690" s="145"/>
      <c r="Z690" s="145"/>
    </row>
    <row r="691" spans="1:26" ht="13.2">
      <c r="A691" s="144">
        <v>0</v>
      </c>
      <c r="B691" s="145"/>
      <c r="C691" s="145"/>
      <c r="D691" s="145"/>
      <c r="E691" s="145"/>
      <c r="F691" s="145"/>
      <c r="G691" s="145"/>
      <c r="H691" s="145"/>
      <c r="I691" s="145"/>
      <c r="J691" s="145"/>
      <c r="K691" s="145"/>
      <c r="L691" s="145"/>
      <c r="M691" s="146"/>
      <c r="N691" s="145"/>
      <c r="O691" s="145"/>
      <c r="P691" s="145"/>
      <c r="Q691" s="145"/>
      <c r="R691" s="145"/>
      <c r="S691" s="145"/>
      <c r="T691" s="145"/>
      <c r="U691" s="145"/>
      <c r="V691" s="145"/>
      <c r="W691" s="145"/>
      <c r="X691" s="145"/>
      <c r="Y691" s="145"/>
      <c r="Z691" s="145"/>
    </row>
    <row r="692" spans="1:26" ht="13.2">
      <c r="A692" s="144">
        <v>0</v>
      </c>
      <c r="B692" s="145"/>
      <c r="C692" s="145"/>
      <c r="D692" s="145"/>
      <c r="E692" s="145"/>
      <c r="F692" s="145"/>
      <c r="G692" s="145"/>
      <c r="H692" s="145"/>
      <c r="I692" s="145"/>
      <c r="J692" s="145"/>
      <c r="K692" s="145"/>
      <c r="L692" s="145"/>
      <c r="M692" s="146"/>
      <c r="N692" s="145"/>
      <c r="O692" s="145"/>
      <c r="P692" s="145"/>
      <c r="Q692" s="145"/>
      <c r="R692" s="145"/>
      <c r="S692" s="145"/>
      <c r="T692" s="145"/>
      <c r="U692" s="145"/>
      <c r="V692" s="145"/>
      <c r="W692" s="145"/>
      <c r="X692" s="145"/>
      <c r="Y692" s="145"/>
      <c r="Z692" s="145"/>
    </row>
    <row r="693" spans="1:26" ht="13.2">
      <c r="A693" s="144">
        <v>0</v>
      </c>
      <c r="B693" s="145"/>
      <c r="C693" s="145"/>
      <c r="D693" s="145"/>
      <c r="E693" s="145"/>
      <c r="F693" s="145"/>
      <c r="G693" s="145"/>
      <c r="H693" s="145"/>
      <c r="I693" s="145"/>
      <c r="J693" s="145"/>
      <c r="K693" s="145"/>
      <c r="L693" s="145"/>
      <c r="M693" s="146"/>
      <c r="N693" s="145"/>
      <c r="O693" s="145"/>
      <c r="P693" s="145"/>
      <c r="Q693" s="145"/>
      <c r="R693" s="145"/>
      <c r="S693" s="145"/>
      <c r="T693" s="145"/>
      <c r="U693" s="145"/>
      <c r="V693" s="145"/>
      <c r="W693" s="145"/>
      <c r="X693" s="145"/>
      <c r="Y693" s="145"/>
      <c r="Z693" s="145"/>
    </row>
    <row r="694" spans="1:26" ht="13.2">
      <c r="A694" s="144">
        <v>0</v>
      </c>
      <c r="B694" s="145"/>
      <c r="C694" s="145"/>
      <c r="D694" s="145"/>
      <c r="E694" s="145"/>
      <c r="F694" s="145"/>
      <c r="G694" s="145"/>
      <c r="H694" s="145"/>
      <c r="I694" s="145"/>
      <c r="J694" s="145"/>
      <c r="K694" s="145"/>
      <c r="L694" s="145"/>
      <c r="M694" s="146"/>
      <c r="N694" s="145"/>
      <c r="O694" s="145"/>
      <c r="P694" s="145"/>
      <c r="Q694" s="145"/>
      <c r="R694" s="145"/>
      <c r="S694" s="145"/>
      <c r="T694" s="145"/>
      <c r="U694" s="145"/>
      <c r="V694" s="145"/>
      <c r="W694" s="145"/>
      <c r="X694" s="145"/>
      <c r="Y694" s="145"/>
      <c r="Z694" s="145"/>
    </row>
    <row r="695" spans="1:26" ht="13.2">
      <c r="A695" s="144">
        <v>0</v>
      </c>
      <c r="B695" s="145"/>
      <c r="C695" s="145"/>
      <c r="D695" s="145"/>
      <c r="E695" s="145"/>
      <c r="F695" s="145"/>
      <c r="G695" s="145"/>
      <c r="H695" s="145"/>
      <c r="I695" s="145"/>
      <c r="J695" s="145"/>
      <c r="K695" s="145"/>
      <c r="L695" s="145"/>
      <c r="M695" s="146"/>
      <c r="N695" s="145"/>
      <c r="O695" s="145"/>
      <c r="P695" s="145"/>
      <c r="Q695" s="145"/>
      <c r="R695" s="145"/>
      <c r="S695" s="145"/>
      <c r="T695" s="145"/>
      <c r="U695" s="145"/>
      <c r="V695" s="145"/>
      <c r="W695" s="145"/>
      <c r="X695" s="145"/>
      <c r="Y695" s="145"/>
      <c r="Z695" s="145"/>
    </row>
    <row r="696" spans="1:26" ht="13.2">
      <c r="A696" s="144">
        <v>0</v>
      </c>
      <c r="B696" s="145"/>
      <c r="C696" s="145"/>
      <c r="D696" s="145"/>
      <c r="E696" s="145"/>
      <c r="F696" s="145"/>
      <c r="G696" s="145"/>
      <c r="H696" s="145"/>
      <c r="I696" s="145"/>
      <c r="J696" s="145"/>
      <c r="K696" s="145"/>
      <c r="L696" s="145"/>
      <c r="M696" s="146"/>
      <c r="N696" s="145"/>
      <c r="O696" s="145"/>
      <c r="P696" s="145"/>
      <c r="Q696" s="145"/>
      <c r="R696" s="145"/>
      <c r="S696" s="145"/>
      <c r="T696" s="145"/>
      <c r="U696" s="145"/>
      <c r="V696" s="145"/>
      <c r="W696" s="145"/>
      <c r="X696" s="145"/>
      <c r="Y696" s="145"/>
      <c r="Z696" s="145"/>
    </row>
    <row r="697" spans="1:26" ht="13.2">
      <c r="A697" s="144">
        <v>0</v>
      </c>
      <c r="B697" s="145"/>
      <c r="C697" s="145"/>
      <c r="D697" s="145"/>
      <c r="E697" s="145"/>
      <c r="F697" s="145"/>
      <c r="G697" s="145"/>
      <c r="H697" s="145"/>
      <c r="I697" s="145"/>
      <c r="J697" s="145"/>
      <c r="K697" s="145"/>
      <c r="L697" s="145"/>
      <c r="M697" s="146"/>
      <c r="N697" s="145"/>
      <c r="O697" s="145"/>
      <c r="P697" s="145"/>
      <c r="Q697" s="145"/>
      <c r="R697" s="145"/>
      <c r="S697" s="145"/>
      <c r="T697" s="145"/>
      <c r="U697" s="145"/>
      <c r="V697" s="145"/>
      <c r="W697" s="145"/>
      <c r="X697" s="145"/>
      <c r="Y697" s="145"/>
      <c r="Z697" s="145"/>
    </row>
    <row r="698" spans="1:26" ht="13.2">
      <c r="A698" s="144">
        <v>0</v>
      </c>
      <c r="B698" s="145"/>
      <c r="C698" s="145"/>
      <c r="D698" s="145"/>
      <c r="E698" s="145"/>
      <c r="F698" s="145"/>
      <c r="G698" s="145"/>
      <c r="H698" s="145"/>
      <c r="I698" s="145"/>
      <c r="J698" s="145"/>
      <c r="K698" s="145"/>
      <c r="L698" s="145"/>
      <c r="M698" s="146"/>
      <c r="N698" s="145"/>
      <c r="O698" s="145"/>
      <c r="P698" s="145"/>
      <c r="Q698" s="145"/>
      <c r="R698" s="145"/>
      <c r="S698" s="145"/>
      <c r="T698" s="145"/>
      <c r="U698" s="145"/>
      <c r="V698" s="145"/>
      <c r="W698" s="145"/>
      <c r="X698" s="145"/>
      <c r="Y698" s="145"/>
      <c r="Z698" s="145"/>
    </row>
    <row r="699" spans="1:26" ht="13.2">
      <c r="A699" s="144">
        <v>0</v>
      </c>
      <c r="B699" s="145"/>
      <c r="C699" s="145"/>
      <c r="D699" s="145"/>
      <c r="E699" s="145"/>
      <c r="F699" s="145"/>
      <c r="G699" s="145"/>
      <c r="H699" s="145"/>
      <c r="I699" s="145"/>
      <c r="J699" s="145"/>
      <c r="K699" s="145"/>
      <c r="L699" s="145"/>
      <c r="M699" s="146"/>
      <c r="N699" s="145"/>
      <c r="O699" s="145"/>
      <c r="P699" s="145"/>
      <c r="Q699" s="145"/>
      <c r="R699" s="145"/>
      <c r="S699" s="145"/>
      <c r="T699" s="145"/>
      <c r="U699" s="145"/>
      <c r="V699" s="145"/>
      <c r="W699" s="145"/>
      <c r="X699" s="145"/>
      <c r="Y699" s="145"/>
      <c r="Z699" s="145"/>
    </row>
    <row r="700" spans="1:26" ht="13.2">
      <c r="A700" s="144">
        <v>0</v>
      </c>
      <c r="B700" s="145"/>
      <c r="C700" s="145"/>
      <c r="D700" s="145"/>
      <c r="E700" s="145"/>
      <c r="F700" s="145"/>
      <c r="G700" s="145"/>
      <c r="H700" s="145"/>
      <c r="I700" s="145"/>
      <c r="J700" s="145"/>
      <c r="K700" s="145"/>
      <c r="L700" s="145"/>
      <c r="M700" s="146"/>
      <c r="N700" s="145"/>
      <c r="O700" s="145"/>
      <c r="P700" s="145"/>
      <c r="Q700" s="145"/>
      <c r="R700" s="145"/>
      <c r="S700" s="145"/>
      <c r="T700" s="145"/>
      <c r="U700" s="145"/>
      <c r="V700" s="145"/>
      <c r="W700" s="145"/>
      <c r="X700" s="145"/>
      <c r="Y700" s="145"/>
      <c r="Z700" s="145"/>
    </row>
    <row r="701" spans="1:26" ht="13.2">
      <c r="A701" s="144">
        <v>0</v>
      </c>
      <c r="B701" s="145"/>
      <c r="C701" s="145"/>
      <c r="D701" s="145"/>
      <c r="E701" s="145"/>
      <c r="F701" s="145"/>
      <c r="G701" s="145"/>
      <c r="H701" s="145"/>
      <c r="I701" s="145"/>
      <c r="J701" s="145"/>
      <c r="K701" s="145"/>
      <c r="L701" s="145"/>
      <c r="M701" s="146"/>
      <c r="N701" s="145"/>
      <c r="O701" s="145"/>
      <c r="P701" s="145"/>
      <c r="Q701" s="145"/>
      <c r="R701" s="145"/>
      <c r="S701" s="145"/>
      <c r="T701" s="145"/>
      <c r="U701" s="145"/>
      <c r="V701" s="145"/>
      <c r="W701" s="145"/>
      <c r="X701" s="145"/>
      <c r="Y701" s="145"/>
      <c r="Z701" s="145"/>
    </row>
    <row r="702" spans="1:26" ht="13.2">
      <c r="A702" s="144">
        <v>0</v>
      </c>
      <c r="B702" s="145"/>
      <c r="C702" s="145"/>
      <c r="D702" s="145"/>
      <c r="E702" s="145"/>
      <c r="F702" s="145"/>
      <c r="G702" s="145"/>
      <c r="H702" s="145"/>
      <c r="I702" s="145"/>
      <c r="J702" s="145"/>
      <c r="K702" s="145"/>
      <c r="L702" s="145"/>
      <c r="M702" s="146"/>
      <c r="N702" s="145"/>
      <c r="O702" s="145"/>
      <c r="P702" s="145"/>
      <c r="Q702" s="145"/>
      <c r="R702" s="145"/>
      <c r="S702" s="145"/>
      <c r="T702" s="145"/>
      <c r="U702" s="145"/>
      <c r="V702" s="145"/>
      <c r="W702" s="145"/>
      <c r="X702" s="145"/>
      <c r="Y702" s="145"/>
      <c r="Z702" s="145"/>
    </row>
    <row r="703" spans="1:26" ht="13.2">
      <c r="A703" s="144">
        <v>0</v>
      </c>
      <c r="B703" s="145"/>
      <c r="C703" s="145"/>
      <c r="D703" s="145"/>
      <c r="E703" s="145"/>
      <c r="F703" s="145"/>
      <c r="G703" s="145"/>
      <c r="H703" s="145"/>
      <c r="I703" s="145"/>
      <c r="J703" s="145"/>
      <c r="K703" s="145"/>
      <c r="L703" s="145"/>
      <c r="M703" s="146"/>
      <c r="N703" s="145"/>
      <c r="O703" s="145"/>
      <c r="P703" s="145"/>
      <c r="Q703" s="145"/>
      <c r="R703" s="145"/>
      <c r="S703" s="145"/>
      <c r="T703" s="145"/>
      <c r="U703" s="145"/>
      <c r="V703" s="145"/>
      <c r="W703" s="145"/>
      <c r="X703" s="145"/>
      <c r="Y703" s="145"/>
      <c r="Z703" s="145"/>
    </row>
    <row r="704" spans="1:26" ht="13.2">
      <c r="A704" s="144">
        <v>0</v>
      </c>
      <c r="B704" s="145"/>
      <c r="C704" s="145"/>
      <c r="D704" s="145"/>
      <c r="E704" s="145"/>
      <c r="F704" s="145"/>
      <c r="G704" s="145"/>
      <c r="H704" s="145"/>
      <c r="I704" s="145"/>
      <c r="J704" s="145"/>
      <c r="K704" s="145"/>
      <c r="L704" s="145"/>
      <c r="M704" s="146"/>
      <c r="N704" s="145"/>
      <c r="O704" s="145"/>
      <c r="P704" s="145"/>
      <c r="Q704" s="145"/>
      <c r="R704" s="145"/>
      <c r="S704" s="145"/>
      <c r="T704" s="145"/>
      <c r="U704" s="145"/>
      <c r="V704" s="145"/>
      <c r="W704" s="145"/>
      <c r="X704" s="145"/>
      <c r="Y704" s="145"/>
      <c r="Z704" s="145"/>
    </row>
    <row r="705" spans="1:26" ht="13.2">
      <c r="A705" s="144">
        <v>0</v>
      </c>
      <c r="B705" s="145"/>
      <c r="C705" s="145"/>
      <c r="D705" s="145"/>
      <c r="E705" s="145"/>
      <c r="F705" s="145"/>
      <c r="G705" s="145"/>
      <c r="H705" s="145"/>
      <c r="I705" s="145"/>
      <c r="J705" s="145"/>
      <c r="K705" s="145"/>
      <c r="L705" s="145"/>
      <c r="M705" s="146"/>
      <c r="N705" s="145"/>
      <c r="O705" s="145"/>
      <c r="P705" s="145"/>
      <c r="Q705" s="145"/>
      <c r="R705" s="145"/>
      <c r="S705" s="145"/>
      <c r="T705" s="145"/>
      <c r="U705" s="145"/>
      <c r="V705" s="145"/>
      <c r="W705" s="145"/>
      <c r="X705" s="145"/>
      <c r="Y705" s="145"/>
      <c r="Z705" s="145"/>
    </row>
    <row r="706" spans="1:26" ht="13.2">
      <c r="A706" s="144">
        <v>0</v>
      </c>
      <c r="B706" s="145"/>
      <c r="C706" s="145"/>
      <c r="D706" s="145"/>
      <c r="E706" s="145"/>
      <c r="F706" s="145"/>
      <c r="G706" s="145"/>
      <c r="H706" s="145"/>
      <c r="I706" s="145"/>
      <c r="J706" s="145"/>
      <c r="K706" s="145"/>
      <c r="L706" s="145"/>
      <c r="M706" s="146"/>
      <c r="N706" s="145"/>
      <c r="O706" s="145"/>
      <c r="P706" s="145"/>
      <c r="Q706" s="145"/>
      <c r="R706" s="145"/>
      <c r="S706" s="145"/>
      <c r="T706" s="145"/>
      <c r="U706" s="145"/>
      <c r="V706" s="145"/>
      <c r="W706" s="145"/>
      <c r="X706" s="145"/>
      <c r="Y706" s="145"/>
      <c r="Z706" s="145"/>
    </row>
    <row r="707" spans="1:26" ht="13.2">
      <c r="A707" s="144">
        <v>0</v>
      </c>
      <c r="B707" s="145"/>
      <c r="C707" s="145"/>
      <c r="D707" s="145"/>
      <c r="E707" s="145"/>
      <c r="F707" s="145"/>
      <c r="G707" s="145"/>
      <c r="H707" s="145"/>
      <c r="I707" s="145"/>
      <c r="J707" s="145"/>
      <c r="K707" s="145"/>
      <c r="L707" s="145"/>
      <c r="M707" s="146"/>
      <c r="N707" s="145"/>
      <c r="O707" s="145"/>
      <c r="P707" s="145"/>
      <c r="Q707" s="145"/>
      <c r="R707" s="145"/>
      <c r="S707" s="145"/>
      <c r="T707" s="145"/>
      <c r="U707" s="145"/>
      <c r="V707" s="145"/>
      <c r="W707" s="145"/>
      <c r="X707" s="145"/>
      <c r="Y707" s="145"/>
      <c r="Z707" s="145"/>
    </row>
    <row r="708" spans="1:26" ht="13.2">
      <c r="A708" s="144">
        <v>0</v>
      </c>
      <c r="B708" s="145"/>
      <c r="C708" s="145"/>
      <c r="D708" s="145"/>
      <c r="E708" s="145"/>
      <c r="F708" s="145"/>
      <c r="G708" s="145"/>
      <c r="H708" s="145"/>
      <c r="I708" s="145"/>
      <c r="J708" s="145"/>
      <c r="K708" s="145"/>
      <c r="L708" s="145"/>
      <c r="M708" s="146"/>
      <c r="N708" s="145"/>
      <c r="O708" s="145"/>
      <c r="P708" s="145"/>
      <c r="Q708" s="145"/>
      <c r="R708" s="145"/>
      <c r="S708" s="145"/>
      <c r="T708" s="145"/>
      <c r="U708" s="145"/>
      <c r="V708" s="145"/>
      <c r="W708" s="145"/>
      <c r="X708" s="145"/>
      <c r="Y708" s="145"/>
      <c r="Z708" s="145"/>
    </row>
    <row r="709" spans="1:26" ht="13.2">
      <c r="A709" s="144">
        <v>0</v>
      </c>
      <c r="B709" s="145"/>
      <c r="C709" s="145"/>
      <c r="D709" s="145"/>
      <c r="E709" s="145"/>
      <c r="F709" s="145"/>
      <c r="G709" s="145"/>
      <c r="H709" s="145"/>
      <c r="I709" s="145"/>
      <c r="J709" s="145"/>
      <c r="K709" s="145"/>
      <c r="L709" s="145"/>
      <c r="M709" s="146"/>
      <c r="N709" s="145"/>
      <c r="O709" s="145"/>
      <c r="P709" s="145"/>
      <c r="Q709" s="145"/>
      <c r="R709" s="145"/>
      <c r="S709" s="145"/>
      <c r="T709" s="145"/>
      <c r="U709" s="145"/>
      <c r="V709" s="145"/>
      <c r="W709" s="145"/>
      <c r="X709" s="145"/>
      <c r="Y709" s="145"/>
      <c r="Z709" s="145"/>
    </row>
    <row r="710" spans="1:26" ht="13.2">
      <c r="A710" s="144">
        <v>0</v>
      </c>
      <c r="B710" s="145"/>
      <c r="C710" s="145"/>
      <c r="D710" s="145"/>
      <c r="E710" s="145"/>
      <c r="F710" s="145"/>
      <c r="G710" s="145"/>
      <c r="H710" s="145"/>
      <c r="I710" s="145"/>
      <c r="J710" s="145"/>
      <c r="K710" s="145"/>
      <c r="L710" s="145"/>
      <c r="M710" s="146"/>
      <c r="N710" s="145"/>
      <c r="O710" s="145"/>
      <c r="P710" s="145"/>
      <c r="Q710" s="145"/>
      <c r="R710" s="145"/>
      <c r="S710" s="145"/>
      <c r="T710" s="145"/>
      <c r="U710" s="145"/>
      <c r="V710" s="145"/>
      <c r="W710" s="145"/>
      <c r="X710" s="145"/>
      <c r="Y710" s="145"/>
      <c r="Z710" s="145"/>
    </row>
    <row r="711" spans="1:26" ht="13.2">
      <c r="A711" s="144">
        <v>0</v>
      </c>
      <c r="B711" s="145"/>
      <c r="C711" s="145"/>
      <c r="D711" s="145"/>
      <c r="E711" s="145"/>
      <c r="F711" s="145"/>
      <c r="G711" s="145"/>
      <c r="H711" s="145"/>
      <c r="I711" s="145"/>
      <c r="J711" s="145"/>
      <c r="K711" s="145"/>
      <c r="L711" s="145"/>
      <c r="M711" s="146"/>
      <c r="N711" s="145"/>
      <c r="O711" s="145"/>
      <c r="P711" s="145"/>
      <c r="Q711" s="145"/>
      <c r="R711" s="145"/>
      <c r="S711" s="145"/>
      <c r="T711" s="145"/>
      <c r="U711" s="145"/>
      <c r="V711" s="145"/>
      <c r="W711" s="145"/>
      <c r="X711" s="145"/>
      <c r="Y711" s="145"/>
      <c r="Z711" s="145"/>
    </row>
    <row r="712" spans="1:26" ht="13.2">
      <c r="A712" s="144">
        <v>0</v>
      </c>
      <c r="B712" s="145"/>
      <c r="C712" s="145"/>
      <c r="D712" s="145"/>
      <c r="E712" s="145"/>
      <c r="F712" s="145"/>
      <c r="G712" s="145"/>
      <c r="H712" s="145"/>
      <c r="I712" s="145"/>
      <c r="J712" s="145"/>
      <c r="K712" s="145"/>
      <c r="L712" s="145"/>
      <c r="M712" s="146"/>
      <c r="N712" s="145"/>
      <c r="O712" s="145"/>
      <c r="P712" s="145"/>
      <c r="Q712" s="145"/>
      <c r="R712" s="145"/>
      <c r="S712" s="145"/>
      <c r="T712" s="145"/>
      <c r="U712" s="145"/>
      <c r="V712" s="145"/>
      <c r="W712" s="145"/>
      <c r="X712" s="145"/>
      <c r="Y712" s="145"/>
      <c r="Z712" s="145"/>
    </row>
    <row r="713" spans="1:26" ht="13.2">
      <c r="A713" s="144">
        <v>0</v>
      </c>
      <c r="B713" s="145"/>
      <c r="C713" s="145"/>
      <c r="D713" s="145"/>
      <c r="E713" s="145"/>
      <c r="F713" s="145"/>
      <c r="G713" s="145"/>
      <c r="H713" s="145"/>
      <c r="I713" s="145"/>
      <c r="J713" s="145"/>
      <c r="K713" s="145"/>
      <c r="L713" s="145"/>
      <c r="M713" s="146"/>
      <c r="N713" s="145"/>
      <c r="O713" s="145"/>
      <c r="P713" s="145"/>
      <c r="Q713" s="145"/>
      <c r="R713" s="145"/>
      <c r="S713" s="145"/>
      <c r="T713" s="145"/>
      <c r="U713" s="145"/>
      <c r="V713" s="145"/>
      <c r="W713" s="145"/>
      <c r="X713" s="145"/>
      <c r="Y713" s="145"/>
      <c r="Z713" s="145"/>
    </row>
    <row r="714" spans="1:26" ht="13.2">
      <c r="A714" s="144">
        <v>0</v>
      </c>
      <c r="B714" s="145"/>
      <c r="C714" s="145"/>
      <c r="D714" s="145"/>
      <c r="E714" s="145"/>
      <c r="F714" s="145"/>
      <c r="G714" s="145"/>
      <c r="H714" s="145"/>
      <c r="I714" s="145"/>
      <c r="J714" s="145"/>
      <c r="K714" s="145"/>
      <c r="L714" s="145"/>
      <c r="M714" s="146"/>
      <c r="N714" s="145"/>
      <c r="O714" s="145"/>
      <c r="P714" s="145"/>
      <c r="Q714" s="145"/>
      <c r="R714" s="145"/>
      <c r="S714" s="145"/>
      <c r="T714" s="145"/>
      <c r="U714" s="145"/>
      <c r="V714" s="145"/>
      <c r="W714" s="145"/>
      <c r="X714" s="145"/>
      <c r="Y714" s="145"/>
      <c r="Z714" s="145"/>
    </row>
    <row r="715" spans="1:26" ht="13.2">
      <c r="A715" s="144">
        <v>0</v>
      </c>
      <c r="B715" s="145"/>
      <c r="C715" s="145"/>
      <c r="D715" s="145"/>
      <c r="E715" s="145"/>
      <c r="F715" s="145"/>
      <c r="G715" s="145"/>
      <c r="H715" s="145"/>
      <c r="I715" s="145"/>
      <c r="J715" s="145"/>
      <c r="K715" s="145"/>
      <c r="L715" s="145"/>
      <c r="M715" s="146"/>
      <c r="N715" s="145"/>
      <c r="O715" s="145"/>
      <c r="P715" s="145"/>
      <c r="Q715" s="145"/>
      <c r="R715" s="145"/>
      <c r="S715" s="145"/>
      <c r="T715" s="145"/>
      <c r="U715" s="145"/>
      <c r="V715" s="145"/>
      <c r="W715" s="145"/>
      <c r="X715" s="145"/>
      <c r="Y715" s="145"/>
      <c r="Z715" s="145"/>
    </row>
    <row r="716" spans="1:26" ht="13.2">
      <c r="A716" s="144">
        <v>0</v>
      </c>
      <c r="B716" s="145"/>
      <c r="C716" s="145"/>
      <c r="D716" s="145"/>
      <c r="E716" s="145"/>
      <c r="F716" s="145"/>
      <c r="G716" s="145"/>
      <c r="H716" s="145"/>
      <c r="I716" s="145"/>
      <c r="J716" s="145"/>
      <c r="K716" s="145"/>
      <c r="L716" s="145"/>
      <c r="M716" s="146"/>
      <c r="N716" s="145"/>
      <c r="O716" s="145"/>
      <c r="P716" s="145"/>
      <c r="Q716" s="145"/>
      <c r="R716" s="145"/>
      <c r="S716" s="145"/>
      <c r="T716" s="145"/>
      <c r="U716" s="145"/>
      <c r="V716" s="145"/>
      <c r="W716" s="145"/>
      <c r="X716" s="145"/>
      <c r="Y716" s="145"/>
      <c r="Z716" s="145"/>
    </row>
    <row r="717" spans="1:26" ht="13.2">
      <c r="A717" s="144">
        <v>0</v>
      </c>
      <c r="B717" s="145"/>
      <c r="C717" s="145"/>
      <c r="D717" s="145"/>
      <c r="E717" s="145"/>
      <c r="F717" s="145"/>
      <c r="G717" s="145"/>
      <c r="H717" s="145"/>
      <c r="I717" s="145"/>
      <c r="J717" s="145"/>
      <c r="K717" s="145"/>
      <c r="L717" s="145"/>
      <c r="M717" s="146"/>
      <c r="N717" s="145"/>
      <c r="O717" s="145"/>
      <c r="P717" s="145"/>
      <c r="Q717" s="145"/>
      <c r="R717" s="145"/>
      <c r="S717" s="145"/>
      <c r="T717" s="145"/>
      <c r="U717" s="145"/>
      <c r="V717" s="145"/>
      <c r="W717" s="145"/>
      <c r="X717" s="145"/>
      <c r="Y717" s="145"/>
      <c r="Z717" s="145"/>
    </row>
    <row r="718" spans="1:26" ht="13.2">
      <c r="A718" s="144">
        <v>0</v>
      </c>
      <c r="B718" s="145"/>
      <c r="C718" s="145"/>
      <c r="D718" s="145"/>
      <c r="E718" s="145"/>
      <c r="F718" s="145"/>
      <c r="G718" s="145"/>
      <c r="H718" s="145"/>
      <c r="I718" s="145"/>
      <c r="J718" s="145"/>
      <c r="K718" s="145"/>
      <c r="L718" s="145"/>
      <c r="M718" s="146"/>
      <c r="N718" s="145"/>
      <c r="O718" s="145"/>
      <c r="P718" s="145"/>
      <c r="Q718" s="145"/>
      <c r="R718" s="145"/>
      <c r="S718" s="145"/>
      <c r="T718" s="145"/>
      <c r="U718" s="145"/>
      <c r="V718" s="145"/>
      <c r="W718" s="145"/>
      <c r="X718" s="145"/>
      <c r="Y718" s="145"/>
      <c r="Z718" s="145"/>
    </row>
    <row r="719" spans="1:26" ht="13.2">
      <c r="A719" s="144">
        <v>0</v>
      </c>
      <c r="B719" s="145"/>
      <c r="C719" s="145"/>
      <c r="D719" s="145"/>
      <c r="E719" s="145"/>
      <c r="F719" s="145"/>
      <c r="G719" s="145"/>
      <c r="H719" s="145"/>
      <c r="I719" s="145"/>
      <c r="J719" s="145"/>
      <c r="K719" s="145"/>
      <c r="L719" s="145"/>
      <c r="M719" s="146"/>
      <c r="N719" s="145"/>
      <c r="O719" s="145"/>
      <c r="P719" s="145"/>
      <c r="Q719" s="145"/>
      <c r="R719" s="145"/>
      <c r="S719" s="145"/>
      <c r="T719" s="145"/>
      <c r="U719" s="145"/>
      <c r="V719" s="145"/>
      <c r="W719" s="145"/>
      <c r="X719" s="145"/>
      <c r="Y719" s="145"/>
      <c r="Z719" s="145"/>
    </row>
    <row r="720" spans="1:26" ht="13.2">
      <c r="A720" s="144">
        <v>0</v>
      </c>
      <c r="B720" s="145"/>
      <c r="C720" s="145"/>
      <c r="D720" s="145"/>
      <c r="E720" s="145"/>
      <c r="F720" s="145"/>
      <c r="G720" s="145"/>
      <c r="H720" s="145"/>
      <c r="I720" s="145"/>
      <c r="J720" s="145"/>
      <c r="K720" s="145"/>
      <c r="L720" s="145"/>
      <c r="M720" s="146"/>
      <c r="N720" s="145"/>
      <c r="O720" s="145"/>
      <c r="P720" s="145"/>
      <c r="Q720" s="145"/>
      <c r="R720" s="145"/>
      <c r="S720" s="145"/>
      <c r="T720" s="145"/>
      <c r="U720" s="145"/>
      <c r="V720" s="145"/>
      <c r="W720" s="145"/>
      <c r="X720" s="145"/>
      <c r="Y720" s="145"/>
      <c r="Z720" s="145"/>
    </row>
    <row r="721" spans="1:26" ht="13.2">
      <c r="A721" s="144">
        <v>0</v>
      </c>
      <c r="B721" s="145"/>
      <c r="C721" s="145"/>
      <c r="D721" s="145"/>
      <c r="E721" s="145"/>
      <c r="F721" s="145"/>
      <c r="G721" s="145"/>
      <c r="H721" s="145"/>
      <c r="I721" s="145"/>
      <c r="J721" s="145"/>
      <c r="K721" s="145"/>
      <c r="L721" s="145"/>
      <c r="M721" s="146"/>
      <c r="N721" s="145"/>
      <c r="O721" s="145"/>
      <c r="P721" s="145"/>
      <c r="Q721" s="145"/>
      <c r="R721" s="145"/>
      <c r="S721" s="145"/>
      <c r="T721" s="145"/>
      <c r="U721" s="145"/>
      <c r="V721" s="145"/>
      <c r="W721" s="145"/>
      <c r="X721" s="145"/>
      <c r="Y721" s="145"/>
      <c r="Z721" s="145"/>
    </row>
    <row r="722" spans="1:26" ht="13.2">
      <c r="A722" s="144">
        <v>0</v>
      </c>
      <c r="B722" s="145"/>
      <c r="C722" s="145"/>
      <c r="D722" s="145"/>
      <c r="E722" s="145"/>
      <c r="F722" s="145"/>
      <c r="G722" s="145"/>
      <c r="H722" s="145"/>
      <c r="I722" s="145"/>
      <c r="J722" s="145"/>
      <c r="K722" s="145"/>
      <c r="L722" s="145"/>
      <c r="M722" s="146"/>
      <c r="N722" s="145"/>
      <c r="O722" s="145"/>
      <c r="P722" s="145"/>
      <c r="Q722" s="145"/>
      <c r="R722" s="145"/>
      <c r="S722" s="145"/>
      <c r="T722" s="145"/>
      <c r="U722" s="145"/>
      <c r="V722" s="145"/>
      <c r="W722" s="145"/>
      <c r="X722" s="145"/>
      <c r="Y722" s="145"/>
      <c r="Z722" s="145"/>
    </row>
    <row r="723" spans="1:26" ht="13.2">
      <c r="A723" s="144">
        <v>0</v>
      </c>
      <c r="B723" s="145"/>
      <c r="C723" s="145"/>
      <c r="D723" s="145"/>
      <c r="E723" s="145"/>
      <c r="F723" s="145"/>
      <c r="G723" s="145"/>
      <c r="H723" s="145"/>
      <c r="I723" s="145"/>
      <c r="J723" s="145"/>
      <c r="K723" s="145"/>
      <c r="L723" s="145"/>
      <c r="M723" s="146"/>
      <c r="N723" s="145"/>
      <c r="O723" s="145"/>
      <c r="P723" s="145"/>
      <c r="Q723" s="145"/>
      <c r="R723" s="145"/>
      <c r="S723" s="145"/>
      <c r="T723" s="145"/>
      <c r="U723" s="145"/>
      <c r="V723" s="145"/>
      <c r="W723" s="145"/>
      <c r="X723" s="145"/>
      <c r="Y723" s="145"/>
      <c r="Z723" s="145"/>
    </row>
    <row r="724" spans="1:26" ht="13.2">
      <c r="A724" s="144">
        <v>0</v>
      </c>
      <c r="B724" s="145"/>
      <c r="C724" s="145"/>
      <c r="D724" s="145"/>
      <c r="E724" s="145"/>
      <c r="F724" s="145"/>
      <c r="G724" s="145"/>
      <c r="H724" s="145"/>
      <c r="I724" s="145"/>
      <c r="J724" s="145"/>
      <c r="K724" s="145"/>
      <c r="L724" s="145"/>
      <c r="M724" s="146"/>
      <c r="N724" s="145"/>
      <c r="O724" s="145"/>
      <c r="P724" s="145"/>
      <c r="Q724" s="145"/>
      <c r="R724" s="145"/>
      <c r="S724" s="145"/>
      <c r="T724" s="145"/>
      <c r="U724" s="145"/>
      <c r="V724" s="145"/>
      <c r="W724" s="145"/>
      <c r="X724" s="145"/>
      <c r="Y724" s="145"/>
      <c r="Z724" s="145"/>
    </row>
    <row r="725" spans="1:26" ht="13.2">
      <c r="A725" s="144">
        <v>0</v>
      </c>
      <c r="B725" s="145"/>
      <c r="C725" s="145"/>
      <c r="D725" s="145"/>
      <c r="E725" s="145"/>
      <c r="F725" s="145"/>
      <c r="G725" s="145"/>
      <c r="H725" s="145"/>
      <c r="I725" s="145"/>
      <c r="J725" s="145"/>
      <c r="K725" s="145"/>
      <c r="L725" s="145"/>
      <c r="M725" s="146"/>
      <c r="N725" s="145"/>
      <c r="O725" s="145"/>
      <c r="P725" s="145"/>
      <c r="Q725" s="145"/>
      <c r="R725" s="145"/>
      <c r="S725" s="145"/>
      <c r="T725" s="145"/>
      <c r="U725" s="145"/>
      <c r="V725" s="145"/>
      <c r="W725" s="145"/>
      <c r="X725" s="145"/>
      <c r="Y725" s="145"/>
      <c r="Z725" s="145"/>
    </row>
    <row r="726" spans="1:26" ht="13.2">
      <c r="A726" s="144">
        <v>0</v>
      </c>
      <c r="B726" s="145"/>
      <c r="C726" s="145"/>
      <c r="D726" s="145"/>
      <c r="E726" s="145"/>
      <c r="F726" s="145"/>
      <c r="G726" s="145"/>
      <c r="H726" s="145"/>
      <c r="I726" s="145"/>
      <c r="J726" s="145"/>
      <c r="K726" s="145"/>
      <c r="L726" s="145"/>
      <c r="M726" s="146"/>
      <c r="N726" s="145"/>
      <c r="O726" s="145"/>
      <c r="P726" s="145"/>
      <c r="Q726" s="145"/>
      <c r="R726" s="145"/>
      <c r="S726" s="145"/>
      <c r="T726" s="145"/>
      <c r="U726" s="145"/>
      <c r="V726" s="145"/>
      <c r="W726" s="145"/>
      <c r="X726" s="145"/>
      <c r="Y726" s="145"/>
      <c r="Z726" s="145"/>
    </row>
    <row r="727" spans="1:26" ht="13.2">
      <c r="A727" s="144">
        <v>0</v>
      </c>
      <c r="B727" s="145"/>
      <c r="C727" s="145"/>
      <c r="D727" s="145"/>
      <c r="E727" s="145"/>
      <c r="F727" s="145"/>
      <c r="G727" s="145"/>
      <c r="H727" s="145"/>
      <c r="I727" s="145"/>
      <c r="J727" s="145"/>
      <c r="K727" s="145"/>
      <c r="L727" s="145"/>
      <c r="M727" s="146"/>
      <c r="N727" s="145"/>
      <c r="O727" s="145"/>
      <c r="P727" s="145"/>
      <c r="Q727" s="145"/>
      <c r="R727" s="145"/>
      <c r="S727" s="145"/>
      <c r="T727" s="145"/>
      <c r="U727" s="145"/>
      <c r="V727" s="145"/>
      <c r="W727" s="145"/>
      <c r="X727" s="145"/>
      <c r="Y727" s="145"/>
      <c r="Z727" s="145"/>
    </row>
    <row r="728" spans="1:26" ht="13.2">
      <c r="A728" s="144">
        <v>0</v>
      </c>
      <c r="B728" s="145"/>
      <c r="C728" s="145"/>
      <c r="D728" s="145"/>
      <c r="E728" s="145"/>
      <c r="F728" s="145"/>
      <c r="G728" s="145"/>
      <c r="H728" s="145"/>
      <c r="I728" s="145"/>
      <c r="J728" s="145"/>
      <c r="K728" s="145"/>
      <c r="L728" s="145"/>
      <c r="M728" s="146"/>
      <c r="N728" s="145"/>
      <c r="O728" s="145"/>
      <c r="P728" s="145"/>
      <c r="Q728" s="145"/>
      <c r="R728" s="145"/>
      <c r="S728" s="145"/>
      <c r="T728" s="145"/>
      <c r="U728" s="145"/>
      <c r="V728" s="145"/>
      <c r="W728" s="145"/>
      <c r="X728" s="145"/>
      <c r="Y728" s="145"/>
      <c r="Z728" s="145"/>
    </row>
    <row r="729" spans="1:26" ht="13.2">
      <c r="A729" s="144">
        <v>0</v>
      </c>
      <c r="B729" s="145"/>
      <c r="C729" s="145"/>
      <c r="D729" s="145"/>
      <c r="E729" s="145"/>
      <c r="F729" s="145"/>
      <c r="G729" s="145"/>
      <c r="H729" s="145"/>
      <c r="I729" s="145"/>
      <c r="J729" s="145"/>
      <c r="K729" s="145"/>
      <c r="L729" s="145"/>
      <c r="M729" s="146"/>
      <c r="N729" s="145"/>
      <c r="O729" s="145"/>
      <c r="P729" s="145"/>
      <c r="Q729" s="145"/>
      <c r="R729" s="145"/>
      <c r="S729" s="145"/>
      <c r="T729" s="145"/>
      <c r="U729" s="145"/>
      <c r="V729" s="145"/>
      <c r="W729" s="145"/>
      <c r="X729" s="145"/>
      <c r="Y729" s="145"/>
      <c r="Z729" s="145"/>
    </row>
    <row r="730" spans="1:26" ht="13.2">
      <c r="A730" s="144">
        <v>0</v>
      </c>
      <c r="B730" s="145"/>
      <c r="C730" s="145"/>
      <c r="D730" s="145"/>
      <c r="E730" s="145"/>
      <c r="F730" s="145"/>
      <c r="G730" s="145"/>
      <c r="H730" s="145"/>
      <c r="I730" s="145"/>
      <c r="J730" s="145"/>
      <c r="K730" s="145"/>
      <c r="L730" s="145"/>
      <c r="M730" s="146"/>
      <c r="N730" s="145"/>
      <c r="O730" s="145"/>
      <c r="P730" s="145"/>
      <c r="Q730" s="145"/>
      <c r="R730" s="145"/>
      <c r="S730" s="145"/>
      <c r="T730" s="145"/>
      <c r="U730" s="145"/>
      <c r="V730" s="145"/>
      <c r="W730" s="145"/>
      <c r="X730" s="145"/>
      <c r="Y730" s="145"/>
      <c r="Z730" s="145"/>
    </row>
    <row r="731" spans="1:26" ht="13.2">
      <c r="A731" s="144">
        <v>0</v>
      </c>
      <c r="B731" s="145"/>
      <c r="C731" s="145"/>
      <c r="D731" s="145"/>
      <c r="E731" s="145"/>
      <c r="F731" s="145"/>
      <c r="G731" s="145"/>
      <c r="H731" s="145"/>
      <c r="I731" s="145"/>
      <c r="J731" s="145"/>
      <c r="K731" s="145"/>
      <c r="L731" s="145"/>
      <c r="M731" s="146"/>
      <c r="N731" s="145"/>
      <c r="O731" s="145"/>
      <c r="P731" s="145"/>
      <c r="Q731" s="145"/>
      <c r="R731" s="145"/>
      <c r="S731" s="145"/>
      <c r="T731" s="145"/>
      <c r="U731" s="145"/>
      <c r="V731" s="145"/>
      <c r="W731" s="145"/>
      <c r="X731" s="145"/>
      <c r="Y731" s="145"/>
      <c r="Z731" s="145"/>
    </row>
    <row r="732" spans="1:26" ht="13.2">
      <c r="A732" s="144">
        <v>0</v>
      </c>
      <c r="B732" s="145"/>
      <c r="C732" s="145"/>
      <c r="D732" s="145"/>
      <c r="E732" s="145"/>
      <c r="F732" s="145"/>
      <c r="G732" s="145"/>
      <c r="H732" s="145"/>
      <c r="I732" s="145"/>
      <c r="J732" s="145"/>
      <c r="K732" s="145"/>
      <c r="L732" s="145"/>
      <c r="M732" s="146"/>
      <c r="N732" s="145"/>
      <c r="O732" s="145"/>
      <c r="P732" s="145"/>
      <c r="Q732" s="145"/>
      <c r="R732" s="145"/>
      <c r="S732" s="145"/>
      <c r="T732" s="145"/>
      <c r="U732" s="145"/>
      <c r="V732" s="145"/>
      <c r="W732" s="145"/>
      <c r="X732" s="145"/>
      <c r="Y732" s="145"/>
      <c r="Z732" s="145"/>
    </row>
    <row r="733" spans="1:26" ht="13.2">
      <c r="A733" s="144">
        <v>0</v>
      </c>
      <c r="B733" s="145"/>
      <c r="C733" s="145"/>
      <c r="D733" s="145"/>
      <c r="E733" s="145"/>
      <c r="F733" s="145"/>
      <c r="G733" s="145"/>
      <c r="H733" s="145"/>
      <c r="I733" s="145"/>
      <c r="J733" s="145"/>
      <c r="K733" s="145"/>
      <c r="L733" s="145"/>
      <c r="M733" s="146"/>
      <c r="N733" s="145"/>
      <c r="O733" s="145"/>
      <c r="P733" s="145"/>
      <c r="Q733" s="145"/>
      <c r="R733" s="145"/>
      <c r="S733" s="145"/>
      <c r="T733" s="145"/>
      <c r="U733" s="145"/>
      <c r="V733" s="145"/>
      <c r="W733" s="145"/>
      <c r="X733" s="145"/>
      <c r="Y733" s="145"/>
      <c r="Z733" s="145"/>
    </row>
    <row r="734" spans="1:26" ht="13.2">
      <c r="A734" s="144">
        <v>0</v>
      </c>
      <c r="B734" s="145"/>
      <c r="C734" s="145"/>
      <c r="D734" s="145"/>
      <c r="E734" s="145"/>
      <c r="F734" s="145"/>
      <c r="G734" s="145"/>
      <c r="H734" s="145"/>
      <c r="I734" s="145"/>
      <c r="J734" s="145"/>
      <c r="K734" s="145"/>
      <c r="L734" s="145"/>
      <c r="M734" s="146"/>
      <c r="N734" s="145"/>
      <c r="O734" s="145"/>
      <c r="P734" s="145"/>
      <c r="Q734" s="145"/>
      <c r="R734" s="145"/>
      <c r="S734" s="145"/>
      <c r="T734" s="145"/>
      <c r="U734" s="145"/>
      <c r="V734" s="145"/>
      <c r="W734" s="145"/>
      <c r="X734" s="145"/>
      <c r="Y734" s="145"/>
      <c r="Z734" s="145"/>
    </row>
    <row r="735" spans="1:26" ht="13.2">
      <c r="A735" s="144">
        <v>0</v>
      </c>
      <c r="B735" s="145"/>
      <c r="C735" s="145"/>
      <c r="D735" s="145"/>
      <c r="E735" s="145"/>
      <c r="F735" s="145"/>
      <c r="G735" s="145"/>
      <c r="H735" s="145"/>
      <c r="I735" s="145"/>
      <c r="J735" s="145"/>
      <c r="K735" s="145"/>
      <c r="L735" s="145"/>
      <c r="M735" s="146"/>
      <c r="N735" s="145"/>
      <c r="O735" s="145"/>
      <c r="P735" s="145"/>
      <c r="Q735" s="145"/>
      <c r="R735" s="145"/>
      <c r="S735" s="145"/>
      <c r="T735" s="145"/>
      <c r="U735" s="145"/>
      <c r="V735" s="145"/>
      <c r="W735" s="145"/>
      <c r="X735" s="145"/>
      <c r="Y735" s="145"/>
      <c r="Z735" s="145"/>
    </row>
    <row r="736" spans="1:26" ht="13.2">
      <c r="A736" s="144">
        <v>0</v>
      </c>
      <c r="B736" s="145"/>
      <c r="C736" s="145"/>
      <c r="D736" s="145"/>
      <c r="E736" s="145"/>
      <c r="F736" s="145"/>
      <c r="G736" s="145"/>
      <c r="H736" s="145"/>
      <c r="I736" s="145"/>
      <c r="J736" s="145"/>
      <c r="K736" s="145"/>
      <c r="L736" s="145"/>
      <c r="M736" s="146"/>
      <c r="N736" s="145"/>
      <c r="O736" s="145"/>
      <c r="P736" s="145"/>
      <c r="Q736" s="145"/>
      <c r="R736" s="145"/>
      <c r="S736" s="145"/>
      <c r="T736" s="145"/>
      <c r="U736" s="145"/>
      <c r="V736" s="145"/>
      <c r="W736" s="145"/>
      <c r="X736" s="145"/>
      <c r="Y736" s="145"/>
      <c r="Z736" s="145"/>
    </row>
    <row r="737" spans="1:26" ht="13.2">
      <c r="A737" s="144">
        <v>0</v>
      </c>
      <c r="B737" s="145"/>
      <c r="C737" s="145"/>
      <c r="D737" s="145"/>
      <c r="E737" s="145"/>
      <c r="F737" s="145"/>
      <c r="G737" s="145"/>
      <c r="H737" s="145"/>
      <c r="I737" s="145"/>
      <c r="J737" s="145"/>
      <c r="K737" s="145"/>
      <c r="L737" s="145"/>
      <c r="M737" s="146"/>
      <c r="N737" s="145"/>
      <c r="O737" s="145"/>
      <c r="P737" s="145"/>
      <c r="Q737" s="145"/>
      <c r="R737" s="145"/>
      <c r="S737" s="145"/>
      <c r="T737" s="145"/>
      <c r="U737" s="145"/>
      <c r="V737" s="145"/>
      <c r="W737" s="145"/>
      <c r="X737" s="145"/>
      <c r="Y737" s="145"/>
      <c r="Z737" s="145"/>
    </row>
    <row r="738" spans="1:26" ht="13.2">
      <c r="A738" s="144">
        <v>0</v>
      </c>
      <c r="B738" s="145"/>
      <c r="C738" s="145"/>
      <c r="D738" s="145"/>
      <c r="E738" s="145"/>
      <c r="F738" s="145"/>
      <c r="G738" s="145"/>
      <c r="H738" s="145"/>
      <c r="I738" s="145"/>
      <c r="J738" s="145"/>
      <c r="K738" s="145"/>
      <c r="L738" s="145"/>
      <c r="M738" s="146"/>
      <c r="N738" s="145"/>
      <c r="O738" s="145"/>
      <c r="P738" s="145"/>
      <c r="Q738" s="145"/>
      <c r="R738" s="145"/>
      <c r="S738" s="145"/>
      <c r="T738" s="145"/>
      <c r="U738" s="145"/>
      <c r="V738" s="145"/>
      <c r="W738" s="145"/>
      <c r="X738" s="145"/>
      <c r="Y738" s="145"/>
      <c r="Z738" s="145"/>
    </row>
    <row r="739" spans="1:26" ht="13.2">
      <c r="A739" s="144">
        <v>0</v>
      </c>
      <c r="B739" s="145"/>
      <c r="C739" s="145"/>
      <c r="D739" s="145"/>
      <c r="E739" s="145"/>
      <c r="F739" s="145"/>
      <c r="G739" s="145"/>
      <c r="H739" s="145"/>
      <c r="I739" s="145"/>
      <c r="J739" s="145"/>
      <c r="K739" s="145"/>
      <c r="L739" s="145"/>
      <c r="M739" s="146"/>
      <c r="N739" s="145"/>
      <c r="O739" s="145"/>
      <c r="P739" s="145"/>
      <c r="Q739" s="145"/>
      <c r="R739" s="145"/>
      <c r="S739" s="145"/>
      <c r="T739" s="145"/>
      <c r="U739" s="145"/>
      <c r="V739" s="145"/>
      <c r="W739" s="145"/>
      <c r="X739" s="145"/>
      <c r="Y739" s="145"/>
      <c r="Z739" s="145"/>
    </row>
    <row r="740" spans="1:26" ht="13.2">
      <c r="A740" s="144">
        <v>0</v>
      </c>
      <c r="B740" s="145"/>
      <c r="C740" s="145"/>
      <c r="D740" s="145"/>
      <c r="E740" s="145"/>
      <c r="F740" s="145"/>
      <c r="G740" s="145"/>
      <c r="H740" s="145"/>
      <c r="I740" s="145"/>
      <c r="J740" s="145"/>
      <c r="K740" s="145"/>
      <c r="L740" s="145"/>
      <c r="M740" s="146"/>
      <c r="N740" s="145"/>
      <c r="O740" s="145"/>
      <c r="P740" s="145"/>
      <c r="Q740" s="145"/>
      <c r="R740" s="145"/>
      <c r="S740" s="145"/>
      <c r="T740" s="145"/>
      <c r="U740" s="145"/>
      <c r="V740" s="145"/>
      <c r="W740" s="145"/>
      <c r="X740" s="145"/>
      <c r="Y740" s="145"/>
      <c r="Z740" s="145"/>
    </row>
    <row r="741" spans="1:26" ht="13.2">
      <c r="A741" s="144">
        <v>0</v>
      </c>
      <c r="B741" s="145"/>
      <c r="C741" s="145"/>
      <c r="D741" s="145"/>
      <c r="E741" s="145"/>
      <c r="F741" s="145"/>
      <c r="G741" s="145"/>
      <c r="H741" s="145"/>
      <c r="I741" s="145"/>
      <c r="J741" s="145"/>
      <c r="K741" s="145"/>
      <c r="L741" s="145"/>
      <c r="M741" s="146"/>
      <c r="N741" s="145"/>
      <c r="O741" s="145"/>
      <c r="P741" s="145"/>
      <c r="Q741" s="145"/>
      <c r="R741" s="145"/>
      <c r="S741" s="145"/>
      <c r="T741" s="145"/>
      <c r="U741" s="145"/>
      <c r="V741" s="145"/>
      <c r="W741" s="145"/>
      <c r="X741" s="145"/>
      <c r="Y741" s="145"/>
      <c r="Z741" s="145"/>
    </row>
    <row r="742" spans="1:26" ht="13.2">
      <c r="A742" s="144">
        <v>0</v>
      </c>
      <c r="B742" s="145"/>
      <c r="C742" s="145"/>
      <c r="D742" s="145"/>
      <c r="E742" s="145"/>
      <c r="F742" s="145"/>
      <c r="G742" s="145"/>
      <c r="H742" s="145"/>
      <c r="I742" s="145"/>
      <c r="J742" s="145"/>
      <c r="K742" s="145"/>
      <c r="L742" s="145"/>
      <c r="M742" s="146"/>
      <c r="N742" s="145"/>
      <c r="O742" s="145"/>
      <c r="P742" s="145"/>
      <c r="Q742" s="145"/>
      <c r="R742" s="145"/>
      <c r="S742" s="145"/>
      <c r="T742" s="145"/>
      <c r="U742" s="145"/>
      <c r="V742" s="145"/>
      <c r="W742" s="145"/>
      <c r="X742" s="145"/>
      <c r="Y742" s="145"/>
      <c r="Z742" s="145"/>
    </row>
    <row r="743" spans="1:26" ht="13.2">
      <c r="A743" s="144">
        <v>0</v>
      </c>
      <c r="B743" s="145"/>
      <c r="C743" s="145"/>
      <c r="D743" s="145"/>
      <c r="E743" s="145"/>
      <c r="F743" s="145"/>
      <c r="G743" s="145"/>
      <c r="H743" s="145"/>
      <c r="I743" s="145"/>
      <c r="J743" s="145"/>
      <c r="K743" s="145"/>
      <c r="L743" s="145"/>
      <c r="M743" s="146"/>
      <c r="N743" s="145"/>
      <c r="O743" s="145"/>
      <c r="P743" s="145"/>
      <c r="Q743" s="145"/>
      <c r="R743" s="145"/>
      <c r="S743" s="145"/>
      <c r="T743" s="145"/>
      <c r="U743" s="145"/>
      <c r="V743" s="145"/>
      <c r="W743" s="145"/>
      <c r="X743" s="145"/>
      <c r="Y743" s="145"/>
      <c r="Z743" s="145"/>
    </row>
    <row r="744" spans="1:26" ht="13.2">
      <c r="A744" s="144">
        <v>0</v>
      </c>
      <c r="B744" s="145"/>
      <c r="C744" s="145"/>
      <c r="D744" s="145"/>
      <c r="E744" s="145"/>
      <c r="F744" s="145"/>
      <c r="G744" s="145"/>
      <c r="H744" s="145"/>
      <c r="I744" s="145"/>
      <c r="J744" s="145"/>
      <c r="K744" s="145"/>
      <c r="L744" s="145"/>
      <c r="M744" s="146"/>
      <c r="N744" s="145"/>
      <c r="O744" s="145"/>
      <c r="P744" s="145"/>
      <c r="Q744" s="145"/>
      <c r="R744" s="145"/>
      <c r="S744" s="145"/>
      <c r="T744" s="145"/>
      <c r="U744" s="145"/>
      <c r="V744" s="145"/>
      <c r="W744" s="145"/>
      <c r="X744" s="145"/>
      <c r="Y744" s="145"/>
      <c r="Z744" s="145"/>
    </row>
    <row r="745" spans="1:26" ht="13.2">
      <c r="A745" s="144">
        <v>0</v>
      </c>
      <c r="B745" s="145"/>
      <c r="C745" s="145"/>
      <c r="D745" s="145"/>
      <c r="E745" s="145"/>
      <c r="F745" s="145"/>
      <c r="G745" s="145"/>
      <c r="H745" s="145"/>
      <c r="I745" s="145"/>
      <c r="J745" s="145"/>
      <c r="K745" s="145"/>
      <c r="L745" s="145"/>
      <c r="M745" s="146"/>
      <c r="N745" s="145"/>
      <c r="O745" s="145"/>
      <c r="P745" s="145"/>
      <c r="Q745" s="145"/>
      <c r="R745" s="145"/>
      <c r="S745" s="145"/>
      <c r="T745" s="145"/>
      <c r="U745" s="145"/>
      <c r="V745" s="145"/>
      <c r="W745" s="145"/>
      <c r="X745" s="145"/>
      <c r="Y745" s="145"/>
      <c r="Z745" s="145"/>
    </row>
    <row r="746" spans="1:26" ht="13.2">
      <c r="A746" s="144">
        <v>0</v>
      </c>
      <c r="B746" s="145"/>
      <c r="C746" s="145"/>
      <c r="D746" s="145"/>
      <c r="E746" s="145"/>
      <c r="F746" s="145"/>
      <c r="G746" s="145"/>
      <c r="H746" s="145"/>
      <c r="I746" s="145"/>
      <c r="J746" s="145"/>
      <c r="K746" s="145"/>
      <c r="L746" s="145"/>
      <c r="M746" s="146"/>
      <c r="N746" s="145"/>
      <c r="O746" s="145"/>
      <c r="P746" s="145"/>
      <c r="Q746" s="145"/>
      <c r="R746" s="145"/>
      <c r="S746" s="145"/>
      <c r="T746" s="145"/>
      <c r="U746" s="145"/>
      <c r="V746" s="145"/>
      <c r="W746" s="145"/>
      <c r="X746" s="145"/>
      <c r="Y746" s="145"/>
      <c r="Z746" s="145"/>
    </row>
    <row r="747" spans="1:26" ht="13.2">
      <c r="A747" s="144">
        <v>0</v>
      </c>
      <c r="B747" s="145"/>
      <c r="C747" s="145"/>
      <c r="D747" s="145"/>
      <c r="E747" s="145"/>
      <c r="F747" s="145"/>
      <c r="G747" s="145"/>
      <c r="H747" s="145"/>
      <c r="I747" s="145"/>
      <c r="J747" s="145"/>
      <c r="K747" s="145"/>
      <c r="L747" s="145"/>
      <c r="M747" s="146"/>
      <c r="N747" s="145"/>
      <c r="O747" s="145"/>
      <c r="P747" s="145"/>
      <c r="Q747" s="145"/>
      <c r="R747" s="145"/>
      <c r="S747" s="145"/>
      <c r="T747" s="145"/>
      <c r="U747" s="145"/>
      <c r="V747" s="145"/>
      <c r="W747" s="145"/>
      <c r="X747" s="145"/>
      <c r="Y747" s="145"/>
      <c r="Z747" s="145"/>
    </row>
    <row r="748" spans="1:26" ht="13.2">
      <c r="A748" s="144">
        <v>0</v>
      </c>
      <c r="B748" s="145"/>
      <c r="C748" s="145"/>
      <c r="D748" s="145"/>
      <c r="E748" s="145"/>
      <c r="F748" s="145"/>
      <c r="G748" s="145"/>
      <c r="H748" s="145"/>
      <c r="I748" s="145"/>
      <c r="J748" s="145"/>
      <c r="K748" s="145"/>
      <c r="L748" s="145"/>
      <c r="M748" s="146"/>
      <c r="N748" s="145"/>
      <c r="O748" s="145"/>
      <c r="P748" s="145"/>
      <c r="Q748" s="145"/>
      <c r="R748" s="145"/>
      <c r="S748" s="145"/>
      <c r="T748" s="145"/>
      <c r="U748" s="145"/>
      <c r="V748" s="145"/>
      <c r="W748" s="145"/>
      <c r="X748" s="145"/>
      <c r="Y748" s="145"/>
      <c r="Z748" s="145"/>
    </row>
    <row r="749" spans="1:26" ht="13.2">
      <c r="A749" s="144">
        <v>0</v>
      </c>
      <c r="B749" s="145"/>
      <c r="C749" s="145"/>
      <c r="D749" s="145"/>
      <c r="E749" s="145"/>
      <c r="F749" s="145"/>
      <c r="G749" s="145"/>
      <c r="H749" s="145"/>
      <c r="I749" s="145"/>
      <c r="J749" s="145"/>
      <c r="K749" s="145"/>
      <c r="L749" s="145"/>
      <c r="M749" s="146"/>
      <c r="N749" s="145"/>
      <c r="O749" s="145"/>
      <c r="P749" s="145"/>
      <c r="Q749" s="145"/>
      <c r="R749" s="145"/>
      <c r="S749" s="145"/>
      <c r="T749" s="145"/>
      <c r="U749" s="145"/>
      <c r="V749" s="145"/>
      <c r="W749" s="145"/>
      <c r="X749" s="145"/>
      <c r="Y749" s="145"/>
      <c r="Z749" s="145"/>
    </row>
    <row r="750" spans="1:26" ht="13.2">
      <c r="A750" s="144">
        <v>0</v>
      </c>
      <c r="B750" s="145"/>
      <c r="C750" s="145"/>
      <c r="D750" s="145"/>
      <c r="E750" s="145"/>
      <c r="F750" s="145"/>
      <c r="G750" s="145"/>
      <c r="H750" s="145"/>
      <c r="I750" s="145"/>
      <c r="J750" s="145"/>
      <c r="K750" s="145"/>
      <c r="L750" s="145"/>
      <c r="M750" s="146"/>
      <c r="N750" s="145"/>
      <c r="O750" s="145"/>
      <c r="P750" s="145"/>
      <c r="Q750" s="145"/>
      <c r="R750" s="145"/>
      <c r="S750" s="145"/>
      <c r="T750" s="145"/>
      <c r="U750" s="145"/>
      <c r="V750" s="145"/>
      <c r="W750" s="145"/>
      <c r="X750" s="145"/>
      <c r="Y750" s="145"/>
      <c r="Z750" s="145"/>
    </row>
    <row r="751" spans="1:26" ht="13.2">
      <c r="A751" s="144">
        <v>0</v>
      </c>
      <c r="B751" s="145"/>
      <c r="C751" s="145"/>
      <c r="D751" s="145"/>
      <c r="E751" s="145"/>
      <c r="F751" s="145"/>
      <c r="G751" s="145"/>
      <c r="H751" s="145"/>
      <c r="I751" s="145"/>
      <c r="J751" s="145"/>
      <c r="K751" s="145"/>
      <c r="L751" s="145"/>
      <c r="M751" s="146"/>
      <c r="N751" s="145"/>
      <c r="O751" s="145"/>
      <c r="P751" s="145"/>
      <c r="Q751" s="145"/>
      <c r="R751" s="145"/>
      <c r="S751" s="145"/>
      <c r="T751" s="145"/>
      <c r="U751" s="145"/>
      <c r="V751" s="145"/>
      <c r="W751" s="145"/>
      <c r="X751" s="145"/>
      <c r="Y751" s="145"/>
      <c r="Z751" s="145"/>
    </row>
    <row r="752" spans="1:26" ht="13.2">
      <c r="A752" s="144">
        <v>0</v>
      </c>
      <c r="B752" s="145"/>
      <c r="C752" s="145"/>
      <c r="D752" s="145"/>
      <c r="E752" s="145"/>
      <c r="F752" s="145"/>
      <c r="G752" s="145"/>
      <c r="H752" s="145"/>
      <c r="I752" s="145"/>
      <c r="J752" s="145"/>
      <c r="K752" s="145"/>
      <c r="L752" s="145"/>
      <c r="M752" s="146"/>
      <c r="N752" s="145"/>
      <c r="O752" s="145"/>
      <c r="P752" s="145"/>
      <c r="Q752" s="145"/>
      <c r="R752" s="145"/>
      <c r="S752" s="145"/>
      <c r="T752" s="145"/>
      <c r="U752" s="145"/>
      <c r="V752" s="145"/>
      <c r="W752" s="145"/>
      <c r="X752" s="145"/>
      <c r="Y752" s="145"/>
      <c r="Z752" s="145"/>
    </row>
    <row r="753" spans="1:26" ht="13.2">
      <c r="A753" s="144">
        <v>0</v>
      </c>
      <c r="B753" s="145"/>
      <c r="C753" s="145"/>
      <c r="D753" s="145"/>
      <c r="E753" s="145"/>
      <c r="F753" s="145"/>
      <c r="G753" s="145"/>
      <c r="H753" s="145"/>
      <c r="I753" s="145"/>
      <c r="J753" s="145"/>
      <c r="K753" s="145"/>
      <c r="L753" s="145"/>
      <c r="M753" s="146"/>
      <c r="N753" s="145"/>
      <c r="O753" s="145"/>
      <c r="P753" s="145"/>
      <c r="Q753" s="145"/>
      <c r="R753" s="145"/>
      <c r="S753" s="145"/>
      <c r="T753" s="145"/>
      <c r="U753" s="145"/>
      <c r="V753" s="145"/>
      <c r="W753" s="145"/>
      <c r="X753" s="145"/>
      <c r="Y753" s="145"/>
      <c r="Z753" s="145"/>
    </row>
    <row r="754" spans="1:26" ht="13.2">
      <c r="A754" s="144">
        <v>0</v>
      </c>
      <c r="B754" s="145"/>
      <c r="C754" s="145"/>
      <c r="D754" s="145"/>
      <c r="E754" s="145"/>
      <c r="F754" s="145"/>
      <c r="G754" s="145"/>
      <c r="H754" s="145"/>
      <c r="I754" s="145"/>
      <c r="J754" s="145"/>
      <c r="K754" s="145"/>
      <c r="L754" s="145"/>
      <c r="M754" s="146"/>
      <c r="N754" s="145"/>
      <c r="O754" s="145"/>
      <c r="P754" s="145"/>
      <c r="Q754" s="145"/>
      <c r="R754" s="145"/>
      <c r="S754" s="145"/>
      <c r="T754" s="145"/>
      <c r="U754" s="145"/>
      <c r="V754" s="145"/>
      <c r="W754" s="145"/>
      <c r="X754" s="145"/>
      <c r="Y754" s="145"/>
      <c r="Z754" s="145"/>
    </row>
    <row r="755" spans="1:26" ht="13.2">
      <c r="A755" s="144">
        <v>0</v>
      </c>
      <c r="B755" s="145"/>
      <c r="C755" s="145"/>
      <c r="D755" s="145"/>
      <c r="E755" s="145"/>
      <c r="F755" s="145"/>
      <c r="G755" s="145"/>
      <c r="H755" s="145"/>
      <c r="I755" s="145"/>
      <c r="J755" s="145"/>
      <c r="K755" s="145"/>
      <c r="L755" s="145"/>
      <c r="M755" s="146"/>
      <c r="N755" s="145"/>
      <c r="O755" s="145"/>
      <c r="P755" s="145"/>
      <c r="Q755" s="145"/>
      <c r="R755" s="145"/>
      <c r="S755" s="145"/>
      <c r="T755" s="145"/>
      <c r="U755" s="145"/>
      <c r="V755" s="145"/>
      <c r="W755" s="145"/>
      <c r="X755" s="145"/>
      <c r="Y755" s="145"/>
      <c r="Z755" s="145"/>
    </row>
    <row r="756" spans="1:26" ht="13.2">
      <c r="A756" s="144">
        <v>0</v>
      </c>
      <c r="B756" s="145"/>
      <c r="C756" s="145"/>
      <c r="D756" s="145"/>
      <c r="E756" s="145"/>
      <c r="F756" s="145"/>
      <c r="G756" s="145"/>
      <c r="H756" s="145"/>
      <c r="I756" s="145"/>
      <c r="J756" s="145"/>
      <c r="K756" s="145"/>
      <c r="L756" s="145"/>
      <c r="M756" s="146"/>
      <c r="N756" s="145"/>
      <c r="O756" s="145"/>
      <c r="P756" s="145"/>
      <c r="Q756" s="145"/>
      <c r="R756" s="145"/>
      <c r="S756" s="145"/>
      <c r="T756" s="145"/>
      <c r="U756" s="145"/>
      <c r="V756" s="145"/>
      <c r="W756" s="145"/>
      <c r="X756" s="145"/>
      <c r="Y756" s="145"/>
      <c r="Z756" s="145"/>
    </row>
    <row r="757" spans="1:26" ht="13.2">
      <c r="A757" s="144">
        <v>0</v>
      </c>
      <c r="B757" s="145"/>
      <c r="C757" s="145"/>
      <c r="D757" s="145"/>
      <c r="E757" s="145"/>
      <c r="F757" s="145"/>
      <c r="G757" s="145"/>
      <c r="H757" s="145"/>
      <c r="I757" s="145"/>
      <c r="J757" s="145"/>
      <c r="K757" s="145"/>
      <c r="L757" s="145"/>
      <c r="M757" s="146"/>
      <c r="N757" s="145"/>
      <c r="O757" s="145"/>
      <c r="P757" s="145"/>
      <c r="Q757" s="145"/>
      <c r="R757" s="145"/>
      <c r="S757" s="145"/>
      <c r="T757" s="145"/>
      <c r="U757" s="145"/>
      <c r="V757" s="145"/>
      <c r="W757" s="145"/>
      <c r="X757" s="145"/>
      <c r="Y757" s="145"/>
      <c r="Z757" s="145"/>
    </row>
    <row r="758" spans="1:26" ht="13.2">
      <c r="A758" s="144">
        <v>0</v>
      </c>
      <c r="B758" s="145"/>
      <c r="C758" s="145"/>
      <c r="D758" s="145"/>
      <c r="E758" s="145"/>
      <c r="F758" s="145"/>
      <c r="G758" s="145"/>
      <c r="H758" s="145"/>
      <c r="I758" s="145"/>
      <c r="J758" s="145"/>
      <c r="K758" s="145"/>
      <c r="L758" s="145"/>
      <c r="M758" s="146"/>
      <c r="N758" s="145"/>
      <c r="O758" s="145"/>
      <c r="P758" s="145"/>
      <c r="Q758" s="145"/>
      <c r="R758" s="145"/>
      <c r="S758" s="145"/>
      <c r="T758" s="145"/>
      <c r="U758" s="145"/>
      <c r="V758" s="145"/>
      <c r="W758" s="145"/>
      <c r="X758" s="145"/>
      <c r="Y758" s="145"/>
      <c r="Z758" s="145"/>
    </row>
    <row r="759" spans="1:26" ht="13.2">
      <c r="A759" s="144">
        <v>0</v>
      </c>
      <c r="B759" s="145"/>
      <c r="C759" s="145"/>
      <c r="D759" s="145"/>
      <c r="E759" s="145"/>
      <c r="F759" s="145"/>
      <c r="G759" s="145"/>
      <c r="H759" s="145"/>
      <c r="I759" s="145"/>
      <c r="J759" s="145"/>
      <c r="K759" s="145"/>
      <c r="L759" s="145"/>
      <c r="M759" s="146"/>
      <c r="N759" s="145"/>
      <c r="O759" s="145"/>
      <c r="P759" s="145"/>
      <c r="Q759" s="145"/>
      <c r="R759" s="145"/>
      <c r="S759" s="145"/>
      <c r="T759" s="145"/>
      <c r="U759" s="145"/>
      <c r="V759" s="145"/>
      <c r="W759" s="145"/>
      <c r="X759" s="145"/>
      <c r="Y759" s="145"/>
      <c r="Z759" s="145"/>
    </row>
    <row r="760" spans="1:26" ht="13.2">
      <c r="A760" s="144">
        <v>0</v>
      </c>
      <c r="B760" s="145"/>
      <c r="C760" s="145"/>
      <c r="D760" s="145"/>
      <c r="E760" s="145"/>
      <c r="F760" s="145"/>
      <c r="G760" s="145"/>
      <c r="H760" s="145"/>
      <c r="I760" s="145"/>
      <c r="J760" s="145"/>
      <c r="K760" s="145"/>
      <c r="L760" s="145"/>
      <c r="M760" s="146"/>
      <c r="N760" s="145"/>
      <c r="O760" s="145"/>
      <c r="P760" s="145"/>
      <c r="Q760" s="145"/>
      <c r="R760" s="145"/>
      <c r="S760" s="145"/>
      <c r="T760" s="145"/>
      <c r="U760" s="145"/>
      <c r="V760" s="145"/>
      <c r="W760" s="145"/>
      <c r="X760" s="145"/>
      <c r="Y760" s="145"/>
      <c r="Z760" s="145"/>
    </row>
    <row r="761" spans="1:26" ht="13.2">
      <c r="A761" s="144">
        <v>0</v>
      </c>
      <c r="B761" s="145"/>
      <c r="C761" s="145"/>
      <c r="D761" s="145"/>
      <c r="E761" s="145"/>
      <c r="F761" s="145"/>
      <c r="G761" s="145"/>
      <c r="H761" s="145"/>
      <c r="I761" s="145"/>
      <c r="J761" s="145"/>
      <c r="K761" s="145"/>
      <c r="L761" s="145"/>
      <c r="M761" s="146"/>
      <c r="N761" s="145"/>
      <c r="O761" s="145"/>
      <c r="P761" s="145"/>
      <c r="Q761" s="145"/>
      <c r="R761" s="145"/>
      <c r="S761" s="145"/>
      <c r="T761" s="145"/>
      <c r="U761" s="145"/>
      <c r="V761" s="145"/>
      <c r="W761" s="145"/>
      <c r="X761" s="145"/>
      <c r="Y761" s="145"/>
      <c r="Z761" s="145"/>
    </row>
    <row r="762" spans="1:26" ht="13.2">
      <c r="A762" s="144">
        <v>0</v>
      </c>
      <c r="B762" s="145"/>
      <c r="C762" s="145"/>
      <c r="D762" s="145"/>
      <c r="E762" s="145"/>
      <c r="F762" s="145"/>
      <c r="G762" s="145"/>
      <c r="H762" s="145"/>
      <c r="I762" s="145"/>
      <c r="J762" s="145"/>
      <c r="K762" s="145"/>
      <c r="L762" s="145"/>
      <c r="M762" s="146"/>
      <c r="N762" s="145"/>
      <c r="O762" s="145"/>
      <c r="P762" s="145"/>
      <c r="Q762" s="145"/>
      <c r="R762" s="145"/>
      <c r="S762" s="145"/>
      <c r="T762" s="145"/>
      <c r="U762" s="145"/>
      <c r="V762" s="145"/>
      <c r="W762" s="145"/>
      <c r="X762" s="145"/>
      <c r="Y762" s="145"/>
      <c r="Z762" s="145"/>
    </row>
    <row r="763" spans="1:26" ht="13.2">
      <c r="A763" s="144">
        <v>0</v>
      </c>
      <c r="B763" s="145"/>
      <c r="C763" s="145"/>
      <c r="D763" s="145"/>
      <c r="E763" s="145"/>
      <c r="F763" s="145"/>
      <c r="G763" s="145"/>
      <c r="H763" s="145"/>
      <c r="I763" s="145"/>
      <c r="J763" s="145"/>
      <c r="K763" s="145"/>
      <c r="L763" s="145"/>
      <c r="M763" s="146"/>
      <c r="N763" s="145"/>
      <c r="O763" s="145"/>
      <c r="P763" s="145"/>
      <c r="Q763" s="145"/>
      <c r="R763" s="145"/>
      <c r="S763" s="145"/>
      <c r="T763" s="145"/>
      <c r="U763" s="145"/>
      <c r="V763" s="145"/>
      <c r="W763" s="145"/>
      <c r="X763" s="145"/>
      <c r="Y763" s="145"/>
      <c r="Z763" s="145"/>
    </row>
    <row r="764" spans="1:26" ht="13.2">
      <c r="A764" s="144">
        <v>0</v>
      </c>
      <c r="B764" s="145"/>
      <c r="C764" s="145"/>
      <c r="D764" s="145"/>
      <c r="E764" s="145"/>
      <c r="F764" s="145"/>
      <c r="G764" s="145"/>
      <c r="H764" s="145"/>
      <c r="I764" s="145"/>
      <c r="J764" s="145"/>
      <c r="K764" s="145"/>
      <c r="L764" s="145"/>
      <c r="M764" s="146"/>
      <c r="N764" s="145"/>
      <c r="O764" s="145"/>
      <c r="P764" s="145"/>
      <c r="Q764" s="145"/>
      <c r="R764" s="145"/>
      <c r="S764" s="145"/>
      <c r="T764" s="145"/>
      <c r="U764" s="145"/>
      <c r="V764" s="145"/>
      <c r="W764" s="145"/>
      <c r="X764" s="145"/>
      <c r="Y764" s="145"/>
      <c r="Z764" s="145"/>
    </row>
    <row r="765" spans="1:26" ht="13.2">
      <c r="A765" s="144">
        <v>0</v>
      </c>
      <c r="B765" s="145"/>
      <c r="C765" s="145"/>
      <c r="D765" s="145"/>
      <c r="E765" s="145"/>
      <c r="F765" s="145"/>
      <c r="G765" s="145"/>
      <c r="H765" s="145"/>
      <c r="I765" s="145"/>
      <c r="J765" s="145"/>
      <c r="K765" s="145"/>
      <c r="L765" s="145"/>
      <c r="M765" s="146"/>
      <c r="N765" s="145"/>
      <c r="O765" s="145"/>
      <c r="P765" s="145"/>
      <c r="Q765" s="145"/>
      <c r="R765" s="145"/>
      <c r="S765" s="145"/>
      <c r="T765" s="145"/>
      <c r="U765" s="145"/>
      <c r="V765" s="145"/>
      <c r="W765" s="145"/>
      <c r="X765" s="145"/>
      <c r="Y765" s="145"/>
      <c r="Z765" s="145"/>
    </row>
    <row r="766" spans="1:26" ht="13.2">
      <c r="A766" s="144">
        <v>0</v>
      </c>
      <c r="B766" s="145"/>
      <c r="C766" s="145"/>
      <c r="D766" s="145"/>
      <c r="E766" s="145"/>
      <c r="F766" s="145"/>
      <c r="G766" s="145"/>
      <c r="H766" s="145"/>
      <c r="I766" s="145"/>
      <c r="J766" s="145"/>
      <c r="K766" s="145"/>
      <c r="L766" s="145"/>
      <c r="M766" s="146"/>
      <c r="N766" s="145"/>
      <c r="O766" s="145"/>
      <c r="P766" s="145"/>
      <c r="Q766" s="145"/>
      <c r="R766" s="145"/>
      <c r="S766" s="145"/>
      <c r="T766" s="145"/>
      <c r="U766" s="145"/>
      <c r="V766" s="145"/>
      <c r="W766" s="145"/>
      <c r="X766" s="145"/>
      <c r="Y766" s="145"/>
      <c r="Z766" s="145"/>
    </row>
    <row r="767" spans="1:26" ht="13.2">
      <c r="A767" s="144">
        <v>0</v>
      </c>
      <c r="B767" s="145"/>
      <c r="C767" s="145"/>
      <c r="D767" s="145"/>
      <c r="E767" s="145"/>
      <c r="F767" s="145"/>
      <c r="G767" s="145"/>
      <c r="H767" s="145"/>
      <c r="I767" s="145"/>
      <c r="J767" s="145"/>
      <c r="K767" s="145"/>
      <c r="L767" s="145"/>
      <c r="M767" s="146"/>
      <c r="N767" s="145"/>
      <c r="O767" s="145"/>
      <c r="P767" s="145"/>
      <c r="Q767" s="145"/>
      <c r="R767" s="145"/>
      <c r="S767" s="145"/>
      <c r="T767" s="145"/>
      <c r="U767" s="145"/>
      <c r="V767" s="145"/>
      <c r="W767" s="145"/>
      <c r="X767" s="145"/>
      <c r="Y767" s="145"/>
      <c r="Z767" s="145"/>
    </row>
    <row r="768" spans="1:26" ht="13.2">
      <c r="A768" s="144">
        <v>0</v>
      </c>
      <c r="B768" s="145"/>
      <c r="C768" s="145"/>
      <c r="D768" s="145"/>
      <c r="E768" s="145"/>
      <c r="F768" s="145"/>
      <c r="G768" s="145"/>
      <c r="H768" s="145"/>
      <c r="I768" s="145"/>
      <c r="J768" s="145"/>
      <c r="K768" s="145"/>
      <c r="L768" s="145"/>
      <c r="M768" s="146"/>
      <c r="N768" s="145"/>
      <c r="O768" s="145"/>
      <c r="P768" s="145"/>
      <c r="Q768" s="145"/>
      <c r="R768" s="145"/>
      <c r="S768" s="145"/>
      <c r="T768" s="145"/>
      <c r="U768" s="145"/>
      <c r="V768" s="145"/>
      <c r="W768" s="145"/>
      <c r="X768" s="145"/>
      <c r="Y768" s="145"/>
      <c r="Z768" s="145"/>
    </row>
    <row r="769" spans="1:26" ht="13.2">
      <c r="A769" s="144">
        <v>0</v>
      </c>
      <c r="B769" s="145"/>
      <c r="C769" s="145"/>
      <c r="D769" s="145"/>
      <c r="E769" s="145"/>
      <c r="F769" s="145"/>
      <c r="G769" s="145"/>
      <c r="H769" s="145"/>
      <c r="I769" s="145"/>
      <c r="J769" s="145"/>
      <c r="K769" s="145"/>
      <c r="L769" s="145"/>
      <c r="M769" s="146"/>
      <c r="N769" s="145"/>
      <c r="O769" s="145"/>
      <c r="P769" s="145"/>
      <c r="Q769" s="145"/>
      <c r="R769" s="145"/>
      <c r="S769" s="145"/>
      <c r="T769" s="145"/>
      <c r="U769" s="145"/>
      <c r="V769" s="145"/>
      <c r="W769" s="145"/>
      <c r="X769" s="145"/>
      <c r="Y769" s="145"/>
      <c r="Z769" s="145"/>
    </row>
    <row r="770" spans="1:26" ht="13.2">
      <c r="A770" s="144">
        <v>0</v>
      </c>
      <c r="B770" s="145"/>
      <c r="C770" s="145"/>
      <c r="D770" s="145"/>
      <c r="E770" s="145"/>
      <c r="F770" s="145"/>
      <c r="G770" s="145"/>
      <c r="H770" s="145"/>
      <c r="I770" s="145"/>
      <c r="J770" s="145"/>
      <c r="K770" s="145"/>
      <c r="L770" s="145"/>
      <c r="M770" s="146"/>
      <c r="N770" s="145"/>
      <c r="O770" s="145"/>
      <c r="P770" s="145"/>
      <c r="Q770" s="145"/>
      <c r="R770" s="145"/>
      <c r="S770" s="145"/>
      <c r="T770" s="145"/>
      <c r="U770" s="145"/>
      <c r="V770" s="145"/>
      <c r="W770" s="145"/>
      <c r="X770" s="145"/>
      <c r="Y770" s="145"/>
      <c r="Z770" s="145"/>
    </row>
    <row r="771" spans="1:26" ht="13.2">
      <c r="A771" s="144">
        <v>0</v>
      </c>
      <c r="B771" s="145"/>
      <c r="C771" s="145"/>
      <c r="D771" s="145"/>
      <c r="E771" s="145"/>
      <c r="F771" s="145"/>
      <c r="G771" s="145"/>
      <c r="H771" s="145"/>
      <c r="I771" s="145"/>
      <c r="J771" s="145"/>
      <c r="K771" s="145"/>
      <c r="L771" s="145"/>
      <c r="M771" s="146"/>
      <c r="N771" s="145"/>
      <c r="O771" s="145"/>
      <c r="P771" s="145"/>
      <c r="Q771" s="145"/>
      <c r="R771" s="145"/>
      <c r="S771" s="145"/>
      <c r="T771" s="145"/>
      <c r="U771" s="145"/>
      <c r="V771" s="145"/>
      <c r="W771" s="145"/>
      <c r="X771" s="145"/>
      <c r="Y771" s="145"/>
      <c r="Z771" s="145"/>
    </row>
    <row r="772" spans="1:26" ht="13.2">
      <c r="A772" s="144">
        <v>0</v>
      </c>
      <c r="B772" s="145"/>
      <c r="C772" s="145"/>
      <c r="D772" s="145"/>
      <c r="E772" s="145"/>
      <c r="F772" s="145"/>
      <c r="G772" s="145"/>
      <c r="H772" s="145"/>
      <c r="I772" s="145"/>
      <c r="J772" s="145"/>
      <c r="K772" s="145"/>
      <c r="L772" s="145"/>
      <c r="M772" s="146"/>
      <c r="N772" s="145"/>
      <c r="O772" s="145"/>
      <c r="P772" s="145"/>
      <c r="Q772" s="145"/>
      <c r="R772" s="145"/>
      <c r="S772" s="145"/>
      <c r="T772" s="145"/>
      <c r="U772" s="145"/>
      <c r="V772" s="145"/>
      <c r="W772" s="145"/>
      <c r="X772" s="145"/>
      <c r="Y772" s="145"/>
      <c r="Z772" s="145"/>
    </row>
    <row r="773" spans="1:26" ht="13.2">
      <c r="A773" s="144">
        <v>0</v>
      </c>
      <c r="B773" s="145"/>
      <c r="C773" s="145"/>
      <c r="D773" s="145"/>
      <c r="E773" s="145"/>
      <c r="F773" s="145"/>
      <c r="G773" s="145"/>
      <c r="H773" s="145"/>
      <c r="I773" s="145"/>
      <c r="J773" s="145"/>
      <c r="K773" s="145"/>
      <c r="L773" s="145"/>
      <c r="M773" s="146"/>
      <c r="N773" s="145"/>
      <c r="O773" s="145"/>
      <c r="P773" s="145"/>
      <c r="Q773" s="145"/>
      <c r="R773" s="145"/>
      <c r="S773" s="145"/>
      <c r="T773" s="145"/>
      <c r="U773" s="145"/>
      <c r="V773" s="145"/>
      <c r="W773" s="145"/>
      <c r="X773" s="145"/>
      <c r="Y773" s="145"/>
      <c r="Z773" s="145"/>
    </row>
    <row r="774" spans="1:26" ht="13.2">
      <c r="A774" s="144">
        <v>0</v>
      </c>
      <c r="B774" s="145"/>
      <c r="C774" s="145"/>
      <c r="D774" s="145"/>
      <c r="E774" s="145"/>
      <c r="F774" s="145"/>
      <c r="G774" s="145"/>
      <c r="H774" s="145"/>
      <c r="I774" s="145"/>
      <c r="J774" s="145"/>
      <c r="K774" s="145"/>
      <c r="L774" s="145"/>
      <c r="M774" s="146"/>
      <c r="N774" s="145"/>
      <c r="O774" s="145"/>
      <c r="P774" s="145"/>
      <c r="Q774" s="145"/>
      <c r="R774" s="145"/>
      <c r="S774" s="145"/>
      <c r="T774" s="145"/>
      <c r="U774" s="145"/>
      <c r="V774" s="145"/>
      <c r="W774" s="145"/>
      <c r="X774" s="145"/>
      <c r="Y774" s="145"/>
      <c r="Z774" s="145"/>
    </row>
    <row r="775" spans="1:26" ht="13.2">
      <c r="A775" s="144">
        <v>0</v>
      </c>
      <c r="B775" s="145"/>
      <c r="C775" s="145"/>
      <c r="D775" s="145"/>
      <c r="E775" s="145"/>
      <c r="F775" s="145"/>
      <c r="G775" s="145"/>
      <c r="H775" s="145"/>
      <c r="I775" s="145"/>
      <c r="J775" s="145"/>
      <c r="K775" s="145"/>
      <c r="L775" s="145"/>
      <c r="M775" s="146"/>
      <c r="N775" s="145"/>
      <c r="O775" s="145"/>
      <c r="P775" s="145"/>
      <c r="Q775" s="145"/>
      <c r="R775" s="145"/>
      <c r="S775" s="145"/>
      <c r="T775" s="145"/>
      <c r="U775" s="145"/>
      <c r="V775" s="145"/>
      <c r="W775" s="145"/>
      <c r="X775" s="145"/>
      <c r="Y775" s="145"/>
      <c r="Z775" s="145"/>
    </row>
    <row r="776" spans="1:26" ht="13.2">
      <c r="A776" s="144">
        <v>0</v>
      </c>
      <c r="B776" s="145"/>
      <c r="C776" s="145"/>
      <c r="D776" s="145"/>
      <c r="E776" s="145"/>
      <c r="F776" s="145"/>
      <c r="G776" s="145"/>
      <c r="H776" s="145"/>
      <c r="I776" s="145"/>
      <c r="J776" s="145"/>
      <c r="K776" s="145"/>
      <c r="L776" s="145"/>
      <c r="M776" s="146"/>
      <c r="N776" s="145"/>
      <c r="O776" s="145"/>
      <c r="P776" s="145"/>
      <c r="Q776" s="145"/>
      <c r="R776" s="145"/>
      <c r="S776" s="145"/>
      <c r="T776" s="145"/>
      <c r="U776" s="145"/>
      <c r="V776" s="145"/>
      <c r="W776" s="145"/>
      <c r="X776" s="145"/>
      <c r="Y776" s="145"/>
      <c r="Z776" s="145"/>
    </row>
    <row r="777" spans="1:26" ht="13.2">
      <c r="A777" s="144">
        <v>0</v>
      </c>
      <c r="B777" s="145"/>
      <c r="C777" s="145"/>
      <c r="D777" s="145"/>
      <c r="E777" s="145"/>
      <c r="F777" s="145"/>
      <c r="G777" s="145"/>
      <c r="H777" s="145"/>
      <c r="I777" s="145"/>
      <c r="J777" s="145"/>
      <c r="K777" s="145"/>
      <c r="L777" s="145"/>
      <c r="M777" s="146"/>
      <c r="N777" s="145"/>
      <c r="O777" s="145"/>
      <c r="P777" s="145"/>
      <c r="Q777" s="145"/>
      <c r="R777" s="145"/>
      <c r="S777" s="145"/>
      <c r="T777" s="145"/>
      <c r="U777" s="145"/>
      <c r="V777" s="145"/>
      <c r="W777" s="145"/>
      <c r="X777" s="145"/>
      <c r="Y777" s="145"/>
      <c r="Z777" s="145"/>
    </row>
    <row r="778" spans="1:26" ht="13.2">
      <c r="A778" s="144">
        <v>0</v>
      </c>
      <c r="B778" s="145"/>
      <c r="C778" s="145"/>
      <c r="D778" s="145"/>
      <c r="E778" s="145"/>
      <c r="F778" s="145"/>
      <c r="G778" s="145"/>
      <c r="H778" s="145"/>
      <c r="I778" s="145"/>
      <c r="J778" s="145"/>
      <c r="K778" s="145"/>
      <c r="L778" s="145"/>
      <c r="M778" s="146"/>
      <c r="N778" s="145"/>
      <c r="O778" s="145"/>
      <c r="P778" s="145"/>
      <c r="Q778" s="145"/>
      <c r="R778" s="145"/>
      <c r="S778" s="145"/>
      <c r="T778" s="145"/>
      <c r="U778" s="145"/>
      <c r="V778" s="145"/>
      <c r="W778" s="145"/>
      <c r="X778" s="145"/>
      <c r="Y778" s="145"/>
      <c r="Z778" s="145"/>
    </row>
    <row r="779" spans="1:26" ht="13.2">
      <c r="A779" s="144">
        <v>0</v>
      </c>
      <c r="B779" s="145"/>
      <c r="C779" s="145"/>
      <c r="D779" s="145"/>
      <c r="E779" s="145"/>
      <c r="F779" s="145"/>
      <c r="G779" s="145"/>
      <c r="H779" s="145"/>
      <c r="I779" s="145"/>
      <c r="J779" s="145"/>
      <c r="K779" s="145"/>
      <c r="L779" s="145"/>
      <c r="M779" s="146"/>
      <c r="N779" s="145"/>
      <c r="O779" s="145"/>
      <c r="P779" s="145"/>
      <c r="Q779" s="145"/>
      <c r="R779" s="145"/>
      <c r="S779" s="145"/>
      <c r="T779" s="145"/>
      <c r="U779" s="145"/>
      <c r="V779" s="145"/>
      <c r="W779" s="145"/>
      <c r="X779" s="145"/>
      <c r="Y779" s="145"/>
      <c r="Z779" s="145"/>
    </row>
    <row r="780" spans="1:26" ht="13.2">
      <c r="A780" s="144">
        <v>0</v>
      </c>
      <c r="B780" s="145"/>
      <c r="C780" s="145"/>
      <c r="D780" s="145"/>
      <c r="E780" s="145"/>
      <c r="F780" s="145"/>
      <c r="G780" s="145"/>
      <c r="H780" s="145"/>
      <c r="I780" s="145"/>
      <c r="J780" s="145"/>
      <c r="K780" s="145"/>
      <c r="L780" s="145"/>
      <c r="M780" s="146"/>
      <c r="N780" s="145"/>
      <c r="O780" s="145"/>
      <c r="P780" s="145"/>
      <c r="Q780" s="145"/>
      <c r="R780" s="145"/>
      <c r="S780" s="145"/>
      <c r="T780" s="145"/>
      <c r="U780" s="145"/>
      <c r="V780" s="145"/>
      <c r="W780" s="145"/>
      <c r="X780" s="145"/>
      <c r="Y780" s="145"/>
      <c r="Z780" s="145"/>
    </row>
    <row r="781" spans="1:26" ht="13.2">
      <c r="A781" s="144">
        <v>0</v>
      </c>
      <c r="B781" s="145"/>
      <c r="C781" s="145"/>
      <c r="D781" s="145"/>
      <c r="E781" s="145"/>
      <c r="F781" s="145"/>
      <c r="G781" s="145"/>
      <c r="H781" s="145"/>
      <c r="I781" s="145"/>
      <c r="J781" s="145"/>
      <c r="K781" s="145"/>
      <c r="L781" s="145"/>
      <c r="M781" s="146"/>
      <c r="N781" s="145"/>
      <c r="O781" s="145"/>
      <c r="P781" s="145"/>
      <c r="Q781" s="145"/>
      <c r="R781" s="145"/>
      <c r="S781" s="145"/>
      <c r="T781" s="145"/>
      <c r="U781" s="145"/>
      <c r="V781" s="145"/>
      <c r="W781" s="145"/>
      <c r="X781" s="145"/>
      <c r="Y781" s="145"/>
      <c r="Z781" s="145"/>
    </row>
    <row r="782" spans="1:26" ht="13.2">
      <c r="A782" s="144">
        <v>0</v>
      </c>
      <c r="B782" s="145"/>
      <c r="C782" s="145"/>
      <c r="D782" s="145"/>
      <c r="E782" s="145"/>
      <c r="F782" s="145"/>
      <c r="G782" s="145"/>
      <c r="H782" s="145"/>
      <c r="I782" s="145"/>
      <c r="J782" s="145"/>
      <c r="K782" s="145"/>
      <c r="L782" s="145"/>
      <c r="M782" s="146"/>
      <c r="N782" s="145"/>
      <c r="O782" s="145"/>
      <c r="P782" s="145"/>
      <c r="Q782" s="145"/>
      <c r="R782" s="145"/>
      <c r="S782" s="145"/>
      <c r="T782" s="145"/>
      <c r="U782" s="145"/>
      <c r="V782" s="145"/>
      <c r="W782" s="145"/>
      <c r="X782" s="145"/>
      <c r="Y782" s="145"/>
      <c r="Z782" s="145"/>
    </row>
    <row r="783" spans="1:26" ht="13.2">
      <c r="A783" s="144">
        <v>0</v>
      </c>
      <c r="B783" s="145"/>
      <c r="C783" s="145"/>
      <c r="D783" s="145"/>
      <c r="E783" s="145"/>
      <c r="F783" s="145"/>
      <c r="G783" s="145"/>
      <c r="H783" s="145"/>
      <c r="I783" s="145"/>
      <c r="J783" s="145"/>
      <c r="K783" s="145"/>
      <c r="L783" s="145"/>
      <c r="M783" s="146"/>
      <c r="N783" s="145"/>
      <c r="O783" s="145"/>
      <c r="P783" s="145"/>
      <c r="Q783" s="145"/>
      <c r="R783" s="145"/>
      <c r="S783" s="145"/>
      <c r="T783" s="145"/>
      <c r="U783" s="145"/>
      <c r="V783" s="145"/>
      <c r="W783" s="145"/>
      <c r="X783" s="145"/>
      <c r="Y783" s="145"/>
      <c r="Z783" s="145"/>
    </row>
    <row r="784" spans="1:26" ht="13.2">
      <c r="A784" s="144">
        <v>0</v>
      </c>
      <c r="B784" s="145"/>
      <c r="C784" s="145"/>
      <c r="D784" s="145"/>
      <c r="E784" s="145"/>
      <c r="F784" s="145"/>
      <c r="G784" s="145"/>
      <c r="H784" s="145"/>
      <c r="I784" s="145"/>
      <c r="J784" s="145"/>
      <c r="K784" s="145"/>
      <c r="L784" s="145"/>
      <c r="M784" s="146"/>
      <c r="N784" s="145"/>
      <c r="O784" s="145"/>
      <c r="P784" s="145"/>
      <c r="Q784" s="145"/>
      <c r="R784" s="145"/>
      <c r="S784" s="145"/>
      <c r="T784" s="145"/>
      <c r="U784" s="145"/>
      <c r="V784" s="145"/>
      <c r="W784" s="145"/>
      <c r="X784" s="145"/>
      <c r="Y784" s="145"/>
      <c r="Z784" s="145"/>
    </row>
    <row r="785" spans="1:26" ht="13.2">
      <c r="A785" s="144">
        <v>0</v>
      </c>
      <c r="B785" s="145"/>
      <c r="C785" s="145"/>
      <c r="D785" s="145"/>
      <c r="E785" s="145"/>
      <c r="F785" s="145"/>
      <c r="G785" s="145"/>
      <c r="H785" s="145"/>
      <c r="I785" s="145"/>
      <c r="J785" s="145"/>
      <c r="K785" s="145"/>
      <c r="L785" s="145"/>
      <c r="M785" s="146"/>
      <c r="N785" s="145"/>
      <c r="O785" s="145"/>
      <c r="P785" s="145"/>
      <c r="Q785" s="145"/>
      <c r="R785" s="145"/>
      <c r="S785" s="145"/>
      <c r="T785" s="145"/>
      <c r="U785" s="145"/>
      <c r="V785" s="145"/>
      <c r="W785" s="145"/>
      <c r="X785" s="145"/>
      <c r="Y785" s="145"/>
      <c r="Z785" s="145"/>
    </row>
    <row r="786" spans="1:26" ht="13.2">
      <c r="A786" s="144">
        <v>0</v>
      </c>
      <c r="B786" s="145"/>
      <c r="C786" s="145"/>
      <c r="D786" s="145"/>
      <c r="E786" s="145"/>
      <c r="F786" s="145"/>
      <c r="G786" s="145"/>
      <c r="H786" s="145"/>
      <c r="I786" s="145"/>
      <c r="J786" s="145"/>
      <c r="K786" s="145"/>
      <c r="L786" s="145"/>
      <c r="M786" s="146"/>
      <c r="N786" s="145"/>
      <c r="O786" s="145"/>
      <c r="P786" s="145"/>
      <c r="Q786" s="145"/>
      <c r="R786" s="145"/>
      <c r="S786" s="145"/>
      <c r="T786" s="145"/>
      <c r="U786" s="145"/>
      <c r="V786" s="145"/>
      <c r="W786" s="145"/>
      <c r="X786" s="145"/>
      <c r="Y786" s="145"/>
      <c r="Z786" s="145"/>
    </row>
    <row r="787" spans="1:26" ht="13.2">
      <c r="A787" s="144">
        <v>0</v>
      </c>
      <c r="B787" s="145"/>
      <c r="C787" s="145"/>
      <c r="D787" s="145"/>
      <c r="E787" s="145"/>
      <c r="F787" s="145"/>
      <c r="G787" s="145"/>
      <c r="H787" s="145"/>
      <c r="I787" s="145"/>
      <c r="J787" s="145"/>
      <c r="K787" s="145"/>
      <c r="L787" s="145"/>
      <c r="M787" s="146"/>
      <c r="N787" s="145"/>
      <c r="O787" s="145"/>
      <c r="P787" s="145"/>
      <c r="Q787" s="145"/>
      <c r="R787" s="145"/>
      <c r="S787" s="145"/>
      <c r="T787" s="145"/>
      <c r="U787" s="145"/>
      <c r="V787" s="145"/>
      <c r="W787" s="145"/>
      <c r="X787" s="145"/>
      <c r="Y787" s="145"/>
      <c r="Z787" s="145"/>
    </row>
    <row r="788" spans="1:26" ht="13.2">
      <c r="A788" s="144">
        <v>0</v>
      </c>
      <c r="B788" s="145"/>
      <c r="C788" s="145"/>
      <c r="D788" s="145"/>
      <c r="E788" s="145"/>
      <c r="F788" s="145"/>
      <c r="G788" s="145"/>
      <c r="H788" s="145"/>
      <c r="I788" s="145"/>
      <c r="J788" s="145"/>
      <c r="K788" s="145"/>
      <c r="L788" s="145"/>
      <c r="M788" s="146"/>
      <c r="N788" s="145"/>
      <c r="O788" s="145"/>
      <c r="P788" s="145"/>
      <c r="Q788" s="145"/>
      <c r="R788" s="145"/>
      <c r="S788" s="145"/>
      <c r="T788" s="145"/>
      <c r="U788" s="145"/>
      <c r="V788" s="145"/>
      <c r="W788" s="145"/>
      <c r="X788" s="145"/>
      <c r="Y788" s="145"/>
      <c r="Z788" s="145"/>
    </row>
    <row r="789" spans="1:26" ht="13.2">
      <c r="A789" s="144">
        <v>0</v>
      </c>
      <c r="B789" s="145"/>
      <c r="C789" s="145"/>
      <c r="D789" s="145"/>
      <c r="E789" s="145"/>
      <c r="F789" s="145"/>
      <c r="G789" s="145"/>
      <c r="H789" s="145"/>
      <c r="I789" s="145"/>
      <c r="J789" s="145"/>
      <c r="K789" s="145"/>
      <c r="L789" s="145"/>
      <c r="M789" s="146"/>
      <c r="N789" s="145"/>
      <c r="O789" s="145"/>
      <c r="P789" s="145"/>
      <c r="Q789" s="145"/>
      <c r="R789" s="145"/>
      <c r="S789" s="145"/>
      <c r="T789" s="145"/>
      <c r="U789" s="145"/>
      <c r="V789" s="145"/>
      <c r="W789" s="145"/>
      <c r="X789" s="145"/>
      <c r="Y789" s="145"/>
      <c r="Z789" s="145"/>
    </row>
    <row r="790" spans="1:26" ht="13.2">
      <c r="A790" s="144">
        <v>0</v>
      </c>
      <c r="B790" s="145"/>
      <c r="C790" s="145"/>
      <c r="D790" s="145"/>
      <c r="E790" s="145"/>
      <c r="F790" s="145"/>
      <c r="G790" s="145"/>
      <c r="H790" s="145"/>
      <c r="I790" s="145"/>
      <c r="J790" s="145"/>
      <c r="K790" s="145"/>
      <c r="L790" s="145"/>
      <c r="M790" s="146"/>
      <c r="N790" s="145"/>
      <c r="O790" s="145"/>
      <c r="P790" s="145"/>
      <c r="Q790" s="145"/>
      <c r="R790" s="145"/>
      <c r="S790" s="145"/>
      <c r="T790" s="145"/>
      <c r="U790" s="145"/>
      <c r="V790" s="145"/>
      <c r="W790" s="145"/>
      <c r="X790" s="145"/>
      <c r="Y790" s="145"/>
      <c r="Z790" s="145"/>
    </row>
    <row r="791" spans="1:26" ht="13.2">
      <c r="A791" s="144">
        <v>0</v>
      </c>
      <c r="B791" s="145"/>
      <c r="C791" s="145"/>
      <c r="D791" s="145"/>
      <c r="E791" s="145"/>
      <c r="F791" s="145"/>
      <c r="G791" s="145"/>
      <c r="H791" s="145"/>
      <c r="I791" s="145"/>
      <c r="J791" s="145"/>
      <c r="K791" s="145"/>
      <c r="L791" s="145"/>
      <c r="M791" s="146"/>
      <c r="N791" s="145"/>
      <c r="O791" s="145"/>
      <c r="P791" s="145"/>
      <c r="Q791" s="145"/>
      <c r="R791" s="145"/>
      <c r="S791" s="145"/>
      <c r="T791" s="145"/>
      <c r="U791" s="145"/>
      <c r="V791" s="145"/>
      <c r="W791" s="145"/>
      <c r="X791" s="145"/>
      <c r="Y791" s="145"/>
      <c r="Z791" s="145"/>
    </row>
    <row r="792" spans="1:26" ht="13.2">
      <c r="A792" s="144">
        <v>0</v>
      </c>
      <c r="B792" s="145"/>
      <c r="C792" s="145"/>
      <c r="D792" s="145"/>
      <c r="E792" s="145"/>
      <c r="F792" s="145"/>
      <c r="G792" s="145"/>
      <c r="H792" s="145"/>
      <c r="I792" s="145"/>
      <c r="J792" s="145"/>
      <c r="K792" s="145"/>
      <c r="L792" s="145"/>
      <c r="M792" s="146"/>
      <c r="N792" s="145"/>
      <c r="O792" s="145"/>
      <c r="P792" s="145"/>
      <c r="Q792" s="145"/>
      <c r="R792" s="145"/>
      <c r="S792" s="145"/>
      <c r="T792" s="145"/>
      <c r="U792" s="145"/>
      <c r="V792" s="145"/>
      <c r="W792" s="145"/>
      <c r="X792" s="145"/>
      <c r="Y792" s="145"/>
      <c r="Z792" s="145"/>
    </row>
    <row r="793" spans="1:26" ht="13.2">
      <c r="A793" s="144">
        <v>0</v>
      </c>
      <c r="B793" s="145"/>
      <c r="C793" s="145"/>
      <c r="D793" s="145"/>
      <c r="E793" s="145"/>
      <c r="F793" s="145"/>
      <c r="G793" s="145"/>
      <c r="H793" s="145"/>
      <c r="I793" s="145"/>
      <c r="J793" s="145"/>
      <c r="K793" s="145"/>
      <c r="L793" s="145"/>
      <c r="M793" s="146"/>
      <c r="N793" s="145"/>
      <c r="O793" s="145"/>
      <c r="P793" s="145"/>
      <c r="Q793" s="145"/>
      <c r="R793" s="145"/>
      <c r="S793" s="145"/>
      <c r="T793" s="145"/>
      <c r="U793" s="145"/>
      <c r="V793" s="145"/>
      <c r="W793" s="145"/>
      <c r="X793" s="145"/>
      <c r="Y793" s="145"/>
      <c r="Z793" s="145"/>
    </row>
    <row r="794" spans="1:26" ht="13.2">
      <c r="A794" s="144">
        <v>0</v>
      </c>
      <c r="B794" s="145"/>
      <c r="C794" s="145"/>
      <c r="D794" s="145"/>
      <c r="E794" s="145"/>
      <c r="F794" s="145"/>
      <c r="G794" s="145"/>
      <c r="H794" s="145"/>
      <c r="I794" s="145"/>
      <c r="J794" s="145"/>
      <c r="K794" s="145"/>
      <c r="L794" s="145"/>
      <c r="M794" s="146"/>
      <c r="N794" s="145"/>
      <c r="O794" s="145"/>
      <c r="P794" s="145"/>
      <c r="Q794" s="145"/>
      <c r="R794" s="145"/>
      <c r="S794" s="145"/>
      <c r="T794" s="145"/>
      <c r="U794" s="145"/>
      <c r="V794" s="145"/>
      <c r="W794" s="145"/>
      <c r="X794" s="145"/>
      <c r="Y794" s="145"/>
      <c r="Z794" s="145"/>
    </row>
    <row r="795" spans="1:26" ht="13.2">
      <c r="A795" s="144">
        <v>0</v>
      </c>
      <c r="B795" s="145"/>
      <c r="C795" s="145"/>
      <c r="D795" s="145"/>
      <c r="E795" s="145"/>
      <c r="F795" s="145"/>
      <c r="G795" s="145"/>
      <c r="H795" s="145"/>
      <c r="I795" s="145"/>
      <c r="J795" s="145"/>
      <c r="K795" s="145"/>
      <c r="L795" s="145"/>
      <c r="M795" s="146"/>
      <c r="N795" s="145"/>
      <c r="O795" s="145"/>
      <c r="P795" s="145"/>
      <c r="Q795" s="145"/>
      <c r="R795" s="145"/>
      <c r="S795" s="145"/>
      <c r="T795" s="145"/>
      <c r="U795" s="145"/>
      <c r="V795" s="145"/>
      <c r="W795" s="145"/>
      <c r="X795" s="145"/>
      <c r="Y795" s="145"/>
      <c r="Z795" s="145"/>
    </row>
    <row r="796" spans="1:26" ht="13.2">
      <c r="A796" s="144">
        <v>0</v>
      </c>
      <c r="B796" s="145"/>
      <c r="C796" s="145"/>
      <c r="D796" s="145"/>
      <c r="E796" s="145"/>
      <c r="F796" s="145"/>
      <c r="G796" s="145"/>
      <c r="H796" s="145"/>
      <c r="I796" s="145"/>
      <c r="J796" s="145"/>
      <c r="K796" s="145"/>
      <c r="L796" s="145"/>
      <c r="M796" s="146"/>
      <c r="N796" s="145"/>
      <c r="O796" s="145"/>
      <c r="P796" s="145"/>
      <c r="Q796" s="145"/>
      <c r="R796" s="145"/>
      <c r="S796" s="145"/>
      <c r="T796" s="145"/>
      <c r="U796" s="145"/>
      <c r="V796" s="145"/>
      <c r="W796" s="145"/>
      <c r="X796" s="145"/>
      <c r="Y796" s="145"/>
      <c r="Z796" s="145"/>
    </row>
    <row r="797" spans="1:26" ht="13.2">
      <c r="A797" s="144">
        <v>0</v>
      </c>
      <c r="B797" s="145"/>
      <c r="C797" s="145"/>
      <c r="D797" s="145"/>
      <c r="E797" s="145"/>
      <c r="F797" s="145"/>
      <c r="G797" s="145"/>
      <c r="H797" s="145"/>
      <c r="I797" s="145"/>
      <c r="J797" s="145"/>
      <c r="K797" s="145"/>
      <c r="L797" s="145"/>
      <c r="M797" s="146"/>
      <c r="N797" s="145"/>
      <c r="O797" s="145"/>
      <c r="P797" s="145"/>
      <c r="Q797" s="145"/>
      <c r="R797" s="145"/>
      <c r="S797" s="145"/>
      <c r="T797" s="145"/>
      <c r="U797" s="145"/>
      <c r="V797" s="145"/>
      <c r="W797" s="145"/>
      <c r="X797" s="145"/>
      <c r="Y797" s="145"/>
      <c r="Z797" s="145"/>
    </row>
    <row r="798" spans="1:26" ht="13.2">
      <c r="A798" s="144">
        <v>0</v>
      </c>
      <c r="B798" s="145"/>
      <c r="C798" s="145"/>
      <c r="D798" s="145"/>
      <c r="E798" s="145"/>
      <c r="F798" s="145"/>
      <c r="G798" s="145"/>
      <c r="H798" s="145"/>
      <c r="I798" s="145"/>
      <c r="J798" s="145"/>
      <c r="K798" s="145"/>
      <c r="L798" s="145"/>
      <c r="M798" s="146"/>
      <c r="N798" s="145"/>
      <c r="O798" s="145"/>
      <c r="P798" s="145"/>
      <c r="Q798" s="145"/>
      <c r="R798" s="145"/>
      <c r="S798" s="145"/>
      <c r="T798" s="145"/>
      <c r="U798" s="145"/>
      <c r="V798" s="145"/>
      <c r="W798" s="145"/>
      <c r="X798" s="145"/>
      <c r="Y798" s="145"/>
      <c r="Z798" s="145"/>
    </row>
    <row r="799" spans="1:26" ht="13.2">
      <c r="A799" s="144">
        <v>0</v>
      </c>
      <c r="B799" s="145"/>
      <c r="C799" s="145"/>
      <c r="D799" s="145"/>
      <c r="E799" s="145"/>
      <c r="F799" s="145"/>
      <c r="G799" s="145"/>
      <c r="H799" s="145"/>
      <c r="I799" s="145"/>
      <c r="J799" s="145"/>
      <c r="K799" s="145"/>
      <c r="L799" s="145"/>
      <c r="M799" s="146"/>
      <c r="N799" s="145"/>
      <c r="O799" s="145"/>
      <c r="P799" s="145"/>
      <c r="Q799" s="145"/>
      <c r="R799" s="145"/>
      <c r="S799" s="145"/>
      <c r="T799" s="145"/>
      <c r="U799" s="145"/>
      <c r="V799" s="145"/>
      <c r="W799" s="145"/>
      <c r="X799" s="145"/>
      <c r="Y799" s="145"/>
      <c r="Z799" s="145"/>
    </row>
    <row r="800" spans="1:26" ht="13.2">
      <c r="A800" s="144">
        <v>0</v>
      </c>
      <c r="B800" s="145"/>
      <c r="C800" s="145"/>
      <c r="D800" s="145"/>
      <c r="E800" s="145"/>
      <c r="F800" s="145"/>
      <c r="G800" s="145"/>
      <c r="H800" s="145"/>
      <c r="I800" s="145"/>
      <c r="J800" s="145"/>
      <c r="K800" s="145"/>
      <c r="L800" s="145"/>
      <c r="M800" s="146"/>
      <c r="N800" s="145"/>
      <c r="O800" s="145"/>
      <c r="P800" s="145"/>
      <c r="Q800" s="145"/>
      <c r="R800" s="145"/>
      <c r="S800" s="145"/>
      <c r="T800" s="145"/>
      <c r="U800" s="145"/>
      <c r="V800" s="145"/>
      <c r="W800" s="145"/>
      <c r="X800" s="145"/>
      <c r="Y800" s="145"/>
      <c r="Z800" s="145"/>
    </row>
    <row r="801" spans="1:26" ht="13.2">
      <c r="A801" s="144">
        <v>0</v>
      </c>
      <c r="B801" s="145"/>
      <c r="C801" s="145"/>
      <c r="D801" s="145"/>
      <c r="E801" s="145"/>
      <c r="F801" s="145"/>
      <c r="G801" s="145"/>
      <c r="H801" s="145"/>
      <c r="I801" s="145"/>
      <c r="J801" s="145"/>
      <c r="K801" s="145"/>
      <c r="L801" s="145"/>
      <c r="M801" s="146"/>
      <c r="N801" s="145"/>
      <c r="O801" s="145"/>
      <c r="P801" s="145"/>
      <c r="Q801" s="145"/>
      <c r="R801" s="145"/>
      <c r="S801" s="145"/>
      <c r="T801" s="145"/>
      <c r="U801" s="145"/>
      <c r="V801" s="145"/>
      <c r="W801" s="145"/>
      <c r="X801" s="145"/>
      <c r="Y801" s="145"/>
      <c r="Z801" s="145"/>
    </row>
    <row r="802" spans="1:26" ht="13.2">
      <c r="A802" s="144">
        <v>0</v>
      </c>
      <c r="B802" s="145"/>
      <c r="C802" s="145"/>
      <c r="D802" s="145"/>
      <c r="E802" s="145"/>
      <c r="F802" s="145"/>
      <c r="G802" s="145"/>
      <c r="H802" s="145"/>
      <c r="I802" s="145"/>
      <c r="J802" s="145"/>
      <c r="K802" s="145"/>
      <c r="L802" s="145"/>
      <c r="M802" s="146"/>
      <c r="N802" s="145"/>
      <c r="O802" s="145"/>
      <c r="P802" s="145"/>
      <c r="Q802" s="145"/>
      <c r="R802" s="145"/>
      <c r="S802" s="145"/>
      <c r="T802" s="145"/>
      <c r="U802" s="145"/>
      <c r="V802" s="145"/>
      <c r="W802" s="145"/>
      <c r="X802" s="145"/>
      <c r="Y802" s="145"/>
      <c r="Z802" s="145"/>
    </row>
    <row r="803" spans="1:26" ht="13.2">
      <c r="A803" s="144">
        <v>0</v>
      </c>
      <c r="B803" s="145"/>
      <c r="C803" s="145"/>
      <c r="D803" s="145"/>
      <c r="E803" s="145"/>
      <c r="F803" s="145"/>
      <c r="G803" s="145"/>
      <c r="H803" s="145"/>
      <c r="I803" s="145"/>
      <c r="J803" s="145"/>
      <c r="K803" s="145"/>
      <c r="L803" s="145"/>
      <c r="M803" s="146"/>
      <c r="N803" s="145"/>
      <c r="O803" s="145"/>
      <c r="P803" s="145"/>
      <c r="Q803" s="145"/>
      <c r="R803" s="145"/>
      <c r="S803" s="145"/>
      <c r="T803" s="145"/>
      <c r="U803" s="145"/>
      <c r="V803" s="145"/>
      <c r="W803" s="145"/>
      <c r="X803" s="145"/>
      <c r="Y803" s="145"/>
      <c r="Z803" s="145"/>
    </row>
    <row r="804" spans="1:26" ht="13.2">
      <c r="A804" s="144">
        <v>0</v>
      </c>
      <c r="B804" s="145"/>
      <c r="C804" s="145"/>
      <c r="D804" s="145"/>
      <c r="E804" s="145"/>
      <c r="F804" s="145"/>
      <c r="G804" s="145"/>
      <c r="H804" s="145"/>
      <c r="I804" s="145"/>
      <c r="J804" s="145"/>
      <c r="K804" s="145"/>
      <c r="L804" s="145"/>
      <c r="M804" s="146"/>
      <c r="N804" s="145"/>
      <c r="O804" s="145"/>
      <c r="P804" s="145"/>
      <c r="Q804" s="145"/>
      <c r="R804" s="145"/>
      <c r="S804" s="145"/>
      <c r="T804" s="145"/>
      <c r="U804" s="145"/>
      <c r="V804" s="145"/>
      <c r="W804" s="145"/>
      <c r="X804" s="145"/>
      <c r="Y804" s="145"/>
      <c r="Z804" s="145"/>
    </row>
    <row r="805" spans="1:26" ht="13.2">
      <c r="A805" s="144">
        <v>0</v>
      </c>
      <c r="B805" s="145"/>
      <c r="C805" s="145"/>
      <c r="D805" s="145"/>
      <c r="E805" s="145"/>
      <c r="F805" s="145"/>
      <c r="G805" s="145"/>
      <c r="H805" s="145"/>
      <c r="I805" s="145"/>
      <c r="J805" s="145"/>
      <c r="K805" s="145"/>
      <c r="L805" s="145"/>
      <c r="M805" s="146"/>
      <c r="N805" s="145"/>
      <c r="O805" s="145"/>
      <c r="P805" s="145"/>
      <c r="Q805" s="145"/>
      <c r="R805" s="145"/>
      <c r="S805" s="145"/>
      <c r="T805" s="145"/>
      <c r="U805" s="145"/>
      <c r="V805" s="145"/>
      <c r="W805" s="145"/>
      <c r="X805" s="145"/>
      <c r="Y805" s="145"/>
      <c r="Z805" s="145"/>
    </row>
    <row r="806" spans="1:26" ht="13.2">
      <c r="A806" s="144">
        <v>0</v>
      </c>
      <c r="B806" s="145"/>
      <c r="C806" s="145"/>
      <c r="D806" s="145"/>
      <c r="E806" s="145"/>
      <c r="F806" s="145"/>
      <c r="G806" s="145"/>
      <c r="H806" s="145"/>
      <c r="I806" s="145"/>
      <c r="J806" s="145"/>
      <c r="K806" s="145"/>
      <c r="L806" s="145"/>
      <c r="M806" s="146"/>
      <c r="N806" s="145"/>
      <c r="O806" s="145"/>
      <c r="P806" s="145"/>
      <c r="Q806" s="145"/>
      <c r="R806" s="145"/>
      <c r="S806" s="145"/>
      <c r="T806" s="145"/>
      <c r="U806" s="145"/>
      <c r="V806" s="145"/>
      <c r="W806" s="145"/>
      <c r="X806" s="145"/>
      <c r="Y806" s="145"/>
      <c r="Z806" s="145"/>
    </row>
    <row r="807" spans="1:26" ht="13.2">
      <c r="A807" s="144">
        <v>0</v>
      </c>
      <c r="B807" s="145"/>
      <c r="C807" s="145"/>
      <c r="D807" s="145"/>
      <c r="E807" s="145"/>
      <c r="F807" s="145"/>
      <c r="G807" s="145"/>
      <c r="H807" s="145"/>
      <c r="I807" s="145"/>
      <c r="J807" s="145"/>
      <c r="K807" s="145"/>
      <c r="L807" s="145"/>
      <c r="M807" s="146"/>
      <c r="N807" s="145"/>
      <c r="O807" s="145"/>
      <c r="P807" s="145"/>
      <c r="Q807" s="145"/>
      <c r="R807" s="145"/>
      <c r="S807" s="145"/>
      <c r="T807" s="145"/>
      <c r="U807" s="145"/>
      <c r="V807" s="145"/>
      <c r="W807" s="145"/>
      <c r="X807" s="145"/>
      <c r="Y807" s="145"/>
      <c r="Z807" s="145"/>
    </row>
    <row r="808" spans="1:26" ht="13.2">
      <c r="A808" s="144">
        <v>0</v>
      </c>
      <c r="B808" s="145"/>
      <c r="C808" s="145"/>
      <c r="D808" s="145"/>
      <c r="E808" s="145"/>
      <c r="F808" s="145"/>
      <c r="G808" s="145"/>
      <c r="H808" s="145"/>
      <c r="I808" s="145"/>
      <c r="J808" s="145"/>
      <c r="K808" s="145"/>
      <c r="L808" s="145"/>
      <c r="M808" s="146"/>
      <c r="N808" s="145"/>
      <c r="O808" s="145"/>
      <c r="P808" s="145"/>
      <c r="Q808" s="145"/>
      <c r="R808" s="145"/>
      <c r="S808" s="145"/>
      <c r="T808" s="145"/>
      <c r="U808" s="145"/>
      <c r="V808" s="145"/>
      <c r="W808" s="145"/>
      <c r="X808" s="145"/>
      <c r="Y808" s="145"/>
      <c r="Z808" s="145"/>
    </row>
    <row r="809" spans="1:26" ht="13.2">
      <c r="A809" s="144">
        <v>0</v>
      </c>
      <c r="B809" s="145"/>
      <c r="C809" s="145"/>
      <c r="D809" s="145"/>
      <c r="E809" s="145"/>
      <c r="F809" s="145"/>
      <c r="G809" s="145"/>
      <c r="H809" s="145"/>
      <c r="I809" s="145"/>
      <c r="J809" s="145"/>
      <c r="K809" s="145"/>
      <c r="L809" s="145"/>
      <c r="M809" s="146"/>
      <c r="N809" s="145"/>
      <c r="O809" s="145"/>
      <c r="P809" s="145"/>
      <c r="Q809" s="145"/>
      <c r="R809" s="145"/>
      <c r="S809" s="145"/>
      <c r="T809" s="145"/>
      <c r="U809" s="145"/>
      <c r="V809" s="145"/>
      <c r="W809" s="145"/>
      <c r="X809" s="145"/>
      <c r="Y809" s="145"/>
      <c r="Z809" s="145"/>
    </row>
    <row r="810" spans="1:26" ht="13.2">
      <c r="A810" s="144">
        <v>0</v>
      </c>
      <c r="B810" s="145"/>
      <c r="C810" s="145"/>
      <c r="D810" s="145"/>
      <c r="E810" s="145"/>
      <c r="F810" s="145"/>
      <c r="G810" s="145"/>
      <c r="H810" s="145"/>
      <c r="I810" s="145"/>
      <c r="J810" s="145"/>
      <c r="K810" s="145"/>
      <c r="L810" s="145"/>
      <c r="M810" s="146"/>
      <c r="N810" s="145"/>
      <c r="O810" s="145"/>
      <c r="P810" s="145"/>
      <c r="Q810" s="145"/>
      <c r="R810" s="145"/>
      <c r="S810" s="145"/>
      <c r="T810" s="145"/>
      <c r="U810" s="145"/>
      <c r="V810" s="145"/>
      <c r="W810" s="145"/>
      <c r="X810" s="145"/>
      <c r="Y810" s="145"/>
      <c r="Z810" s="145"/>
    </row>
    <row r="811" spans="1:26" ht="13.2">
      <c r="A811" s="144">
        <v>0</v>
      </c>
      <c r="B811" s="145"/>
      <c r="C811" s="145"/>
      <c r="D811" s="145"/>
      <c r="E811" s="145"/>
      <c r="F811" s="145"/>
      <c r="G811" s="145"/>
      <c r="H811" s="145"/>
      <c r="I811" s="145"/>
      <c r="J811" s="145"/>
      <c r="K811" s="145"/>
      <c r="L811" s="145"/>
      <c r="M811" s="146"/>
      <c r="N811" s="145"/>
      <c r="O811" s="145"/>
      <c r="P811" s="145"/>
      <c r="Q811" s="145"/>
      <c r="R811" s="145"/>
      <c r="S811" s="145"/>
      <c r="T811" s="145"/>
      <c r="U811" s="145"/>
      <c r="V811" s="145"/>
      <c r="W811" s="145"/>
      <c r="X811" s="145"/>
      <c r="Y811" s="145"/>
      <c r="Z811" s="145"/>
    </row>
    <row r="812" spans="1:26" ht="13.2">
      <c r="A812" s="144">
        <v>0</v>
      </c>
      <c r="B812" s="145"/>
      <c r="C812" s="145"/>
      <c r="D812" s="145"/>
      <c r="E812" s="145"/>
      <c r="F812" s="145"/>
      <c r="G812" s="145"/>
      <c r="H812" s="145"/>
      <c r="I812" s="145"/>
      <c r="J812" s="145"/>
      <c r="K812" s="145"/>
      <c r="L812" s="145"/>
      <c r="M812" s="146"/>
      <c r="N812" s="145"/>
      <c r="O812" s="145"/>
      <c r="P812" s="145"/>
      <c r="Q812" s="145"/>
      <c r="R812" s="145"/>
      <c r="S812" s="145"/>
      <c r="T812" s="145"/>
      <c r="U812" s="145"/>
      <c r="V812" s="145"/>
      <c r="W812" s="145"/>
      <c r="X812" s="145"/>
      <c r="Y812" s="145"/>
      <c r="Z812" s="145"/>
    </row>
    <row r="813" spans="1:26" ht="13.2">
      <c r="A813" s="144">
        <v>0</v>
      </c>
      <c r="B813" s="145"/>
      <c r="C813" s="145"/>
      <c r="D813" s="145"/>
      <c r="E813" s="145"/>
      <c r="F813" s="145"/>
      <c r="G813" s="145"/>
      <c r="H813" s="145"/>
      <c r="I813" s="145"/>
      <c r="J813" s="145"/>
      <c r="K813" s="145"/>
      <c r="L813" s="145"/>
      <c r="M813" s="146"/>
      <c r="N813" s="145"/>
      <c r="O813" s="145"/>
      <c r="P813" s="145"/>
      <c r="Q813" s="145"/>
      <c r="R813" s="145"/>
      <c r="S813" s="145"/>
      <c r="T813" s="145"/>
      <c r="U813" s="145"/>
      <c r="V813" s="145"/>
      <c r="W813" s="145"/>
      <c r="X813" s="145"/>
      <c r="Y813" s="145"/>
      <c r="Z813" s="145"/>
    </row>
    <row r="814" spans="1:26" ht="13.2">
      <c r="A814" s="144">
        <v>0</v>
      </c>
      <c r="B814" s="145"/>
      <c r="C814" s="145"/>
      <c r="D814" s="145"/>
      <c r="E814" s="145"/>
      <c r="F814" s="145"/>
      <c r="G814" s="145"/>
      <c r="H814" s="145"/>
      <c r="I814" s="145"/>
      <c r="J814" s="145"/>
      <c r="K814" s="145"/>
      <c r="L814" s="145"/>
      <c r="M814" s="146"/>
      <c r="N814" s="145"/>
      <c r="O814" s="145"/>
      <c r="P814" s="145"/>
      <c r="Q814" s="145"/>
      <c r="R814" s="145"/>
      <c r="S814" s="145"/>
      <c r="T814" s="145"/>
      <c r="U814" s="145"/>
      <c r="V814" s="145"/>
      <c r="W814" s="145"/>
      <c r="X814" s="145"/>
      <c r="Y814" s="145"/>
      <c r="Z814" s="145"/>
    </row>
    <row r="815" spans="1:26" ht="13.2">
      <c r="A815" s="144">
        <v>0</v>
      </c>
      <c r="B815" s="145"/>
      <c r="C815" s="145"/>
      <c r="D815" s="145"/>
      <c r="E815" s="145"/>
      <c r="F815" s="145"/>
      <c r="G815" s="145"/>
      <c r="H815" s="145"/>
      <c r="I815" s="145"/>
      <c r="J815" s="145"/>
      <c r="K815" s="145"/>
      <c r="L815" s="145"/>
      <c r="M815" s="146"/>
      <c r="N815" s="145"/>
      <c r="O815" s="145"/>
      <c r="P815" s="145"/>
      <c r="Q815" s="145"/>
      <c r="R815" s="145"/>
      <c r="S815" s="145"/>
      <c r="T815" s="145"/>
      <c r="U815" s="145"/>
      <c r="V815" s="145"/>
      <c r="W815" s="145"/>
      <c r="X815" s="145"/>
      <c r="Y815" s="145"/>
      <c r="Z815" s="145"/>
    </row>
    <row r="816" spans="1:26" ht="13.2">
      <c r="A816" s="144">
        <v>0</v>
      </c>
      <c r="B816" s="145"/>
      <c r="C816" s="145"/>
      <c r="D816" s="145"/>
      <c r="E816" s="145"/>
      <c r="F816" s="145"/>
      <c r="G816" s="145"/>
      <c r="H816" s="145"/>
      <c r="I816" s="145"/>
      <c r="J816" s="145"/>
      <c r="K816" s="145"/>
      <c r="L816" s="145"/>
      <c r="M816" s="146"/>
      <c r="N816" s="145"/>
      <c r="O816" s="145"/>
      <c r="P816" s="145"/>
      <c r="Q816" s="145"/>
      <c r="R816" s="145"/>
      <c r="S816" s="145"/>
      <c r="T816" s="145"/>
      <c r="U816" s="145"/>
      <c r="V816" s="145"/>
      <c r="W816" s="145"/>
      <c r="X816" s="145"/>
      <c r="Y816" s="145"/>
      <c r="Z816" s="145"/>
    </row>
    <row r="817" spans="1:26" ht="13.2">
      <c r="A817" s="144">
        <v>0</v>
      </c>
      <c r="B817" s="145"/>
      <c r="C817" s="145"/>
      <c r="D817" s="145"/>
      <c r="E817" s="145"/>
      <c r="F817" s="145"/>
      <c r="G817" s="145"/>
      <c r="H817" s="145"/>
      <c r="I817" s="145"/>
      <c r="J817" s="145"/>
      <c r="K817" s="145"/>
      <c r="L817" s="145"/>
      <c r="M817" s="146"/>
      <c r="N817" s="145"/>
      <c r="O817" s="145"/>
      <c r="P817" s="145"/>
      <c r="Q817" s="145"/>
      <c r="R817" s="145"/>
      <c r="S817" s="145"/>
      <c r="T817" s="145"/>
      <c r="U817" s="145"/>
      <c r="V817" s="145"/>
      <c r="W817" s="145"/>
      <c r="X817" s="145"/>
      <c r="Y817" s="145"/>
      <c r="Z817" s="145"/>
    </row>
    <row r="818" spans="1:26" ht="13.2">
      <c r="A818" s="144">
        <v>0</v>
      </c>
      <c r="B818" s="145"/>
      <c r="C818" s="145"/>
      <c r="D818" s="145"/>
      <c r="E818" s="145"/>
      <c r="F818" s="145"/>
      <c r="G818" s="145"/>
      <c r="H818" s="145"/>
      <c r="I818" s="145"/>
      <c r="J818" s="145"/>
      <c r="K818" s="145"/>
      <c r="L818" s="145"/>
      <c r="M818" s="146"/>
      <c r="N818" s="145"/>
      <c r="O818" s="145"/>
      <c r="P818" s="145"/>
      <c r="Q818" s="145"/>
      <c r="R818" s="145"/>
      <c r="S818" s="145"/>
      <c r="T818" s="145"/>
      <c r="U818" s="145"/>
      <c r="V818" s="145"/>
      <c r="W818" s="145"/>
      <c r="X818" s="145"/>
      <c r="Y818" s="145"/>
      <c r="Z818" s="145"/>
    </row>
    <row r="819" spans="1:26" ht="13.2">
      <c r="A819" s="144">
        <v>0</v>
      </c>
      <c r="B819" s="145"/>
      <c r="C819" s="145"/>
      <c r="D819" s="145"/>
      <c r="E819" s="145"/>
      <c r="F819" s="145"/>
      <c r="G819" s="145"/>
      <c r="H819" s="145"/>
      <c r="I819" s="145"/>
      <c r="J819" s="145"/>
      <c r="K819" s="145"/>
      <c r="L819" s="145"/>
      <c r="M819" s="146"/>
      <c r="N819" s="145"/>
      <c r="O819" s="145"/>
      <c r="P819" s="145"/>
      <c r="Q819" s="145"/>
      <c r="R819" s="145"/>
      <c r="S819" s="145"/>
      <c r="T819" s="145"/>
      <c r="U819" s="145"/>
      <c r="V819" s="145"/>
      <c r="W819" s="145"/>
      <c r="X819" s="145"/>
      <c r="Y819" s="145"/>
      <c r="Z819" s="145"/>
    </row>
    <row r="820" spans="1:26" ht="13.2">
      <c r="A820" s="144">
        <v>0</v>
      </c>
      <c r="B820" s="145"/>
      <c r="C820" s="145"/>
      <c r="D820" s="145"/>
      <c r="E820" s="145"/>
      <c r="F820" s="145"/>
      <c r="G820" s="145"/>
      <c r="H820" s="145"/>
      <c r="I820" s="145"/>
      <c r="J820" s="145"/>
      <c r="K820" s="145"/>
      <c r="L820" s="145"/>
      <c r="M820" s="146"/>
      <c r="N820" s="145"/>
      <c r="O820" s="145"/>
      <c r="P820" s="145"/>
      <c r="Q820" s="145"/>
      <c r="R820" s="145"/>
      <c r="S820" s="145"/>
      <c r="T820" s="145"/>
      <c r="U820" s="145"/>
      <c r="V820" s="145"/>
      <c r="W820" s="145"/>
      <c r="X820" s="145"/>
      <c r="Y820" s="145"/>
      <c r="Z820" s="145"/>
    </row>
    <row r="821" spans="1:26" ht="13.2">
      <c r="A821" s="144">
        <v>0</v>
      </c>
      <c r="B821" s="145"/>
      <c r="C821" s="145"/>
      <c r="D821" s="145"/>
      <c r="E821" s="145"/>
      <c r="F821" s="145"/>
      <c r="G821" s="145"/>
      <c r="H821" s="145"/>
      <c r="I821" s="145"/>
      <c r="J821" s="145"/>
      <c r="K821" s="145"/>
      <c r="L821" s="145"/>
      <c r="M821" s="146"/>
      <c r="N821" s="145"/>
      <c r="O821" s="145"/>
      <c r="P821" s="145"/>
      <c r="Q821" s="145"/>
      <c r="R821" s="145"/>
      <c r="S821" s="145"/>
      <c r="T821" s="145"/>
      <c r="U821" s="145"/>
      <c r="V821" s="145"/>
      <c r="W821" s="145"/>
      <c r="X821" s="145"/>
      <c r="Y821" s="145"/>
      <c r="Z821" s="145"/>
    </row>
    <row r="822" spans="1:26" ht="13.2">
      <c r="A822" s="144">
        <v>0</v>
      </c>
      <c r="B822" s="145"/>
      <c r="C822" s="145"/>
      <c r="D822" s="145"/>
      <c r="E822" s="145"/>
      <c r="F822" s="145"/>
      <c r="G822" s="145"/>
      <c r="H822" s="145"/>
      <c r="I822" s="145"/>
      <c r="J822" s="145"/>
      <c r="K822" s="145"/>
      <c r="L822" s="145"/>
      <c r="M822" s="146"/>
      <c r="N822" s="145"/>
      <c r="O822" s="145"/>
      <c r="P822" s="145"/>
      <c r="Q822" s="145"/>
      <c r="R822" s="145"/>
      <c r="S822" s="145"/>
      <c r="T822" s="145"/>
      <c r="U822" s="145"/>
      <c r="V822" s="145"/>
      <c r="W822" s="145"/>
      <c r="X822" s="145"/>
      <c r="Y822" s="145"/>
      <c r="Z822" s="145"/>
    </row>
    <row r="823" spans="1:26" ht="13.2">
      <c r="A823" s="144">
        <v>0</v>
      </c>
      <c r="B823" s="145"/>
      <c r="C823" s="145"/>
      <c r="D823" s="145"/>
      <c r="E823" s="145"/>
      <c r="F823" s="145"/>
      <c r="G823" s="145"/>
      <c r="H823" s="145"/>
      <c r="I823" s="145"/>
      <c r="J823" s="145"/>
      <c r="K823" s="145"/>
      <c r="L823" s="145"/>
      <c r="M823" s="146"/>
      <c r="N823" s="145"/>
      <c r="O823" s="145"/>
      <c r="P823" s="145"/>
      <c r="Q823" s="145"/>
      <c r="R823" s="145"/>
      <c r="S823" s="145"/>
      <c r="T823" s="145"/>
      <c r="U823" s="145"/>
      <c r="V823" s="145"/>
      <c r="W823" s="145"/>
      <c r="X823" s="145"/>
      <c r="Y823" s="145"/>
      <c r="Z823" s="145"/>
    </row>
    <row r="824" spans="1:26" ht="13.2">
      <c r="A824" s="144">
        <v>0</v>
      </c>
      <c r="B824" s="145"/>
      <c r="C824" s="145"/>
      <c r="D824" s="145"/>
      <c r="E824" s="145"/>
      <c r="F824" s="145"/>
      <c r="G824" s="145"/>
      <c r="H824" s="145"/>
      <c r="I824" s="145"/>
      <c r="J824" s="145"/>
      <c r="K824" s="145"/>
      <c r="L824" s="145"/>
      <c r="M824" s="146"/>
      <c r="N824" s="145"/>
      <c r="O824" s="145"/>
      <c r="P824" s="145"/>
      <c r="Q824" s="145"/>
      <c r="R824" s="145"/>
      <c r="S824" s="145"/>
      <c r="T824" s="145"/>
      <c r="U824" s="145"/>
      <c r="V824" s="145"/>
      <c r="W824" s="145"/>
      <c r="X824" s="145"/>
      <c r="Y824" s="145"/>
      <c r="Z824" s="145"/>
    </row>
    <row r="825" spans="1:26" ht="13.2">
      <c r="A825" s="144">
        <v>0</v>
      </c>
      <c r="B825" s="145"/>
      <c r="C825" s="145"/>
      <c r="D825" s="145"/>
      <c r="E825" s="145"/>
      <c r="F825" s="145"/>
      <c r="G825" s="145"/>
      <c r="H825" s="145"/>
      <c r="I825" s="145"/>
      <c r="J825" s="145"/>
      <c r="K825" s="145"/>
      <c r="L825" s="145"/>
      <c r="M825" s="146"/>
      <c r="N825" s="145"/>
      <c r="O825" s="145"/>
      <c r="P825" s="145"/>
      <c r="Q825" s="145"/>
      <c r="R825" s="145"/>
      <c r="S825" s="145"/>
      <c r="T825" s="145"/>
      <c r="U825" s="145"/>
      <c r="V825" s="145"/>
      <c r="W825" s="145"/>
      <c r="X825" s="145"/>
      <c r="Y825" s="145"/>
      <c r="Z825" s="145"/>
    </row>
    <row r="826" spans="1:26" ht="13.2">
      <c r="A826" s="144">
        <v>0</v>
      </c>
      <c r="B826" s="145"/>
      <c r="C826" s="145"/>
      <c r="D826" s="145"/>
      <c r="E826" s="145"/>
      <c r="F826" s="145"/>
      <c r="G826" s="145"/>
      <c r="H826" s="145"/>
      <c r="I826" s="145"/>
      <c r="J826" s="145"/>
      <c r="K826" s="145"/>
      <c r="L826" s="145"/>
      <c r="M826" s="146"/>
      <c r="N826" s="145"/>
      <c r="O826" s="145"/>
      <c r="P826" s="145"/>
      <c r="Q826" s="145"/>
      <c r="R826" s="145"/>
      <c r="S826" s="145"/>
      <c r="T826" s="145"/>
      <c r="U826" s="145"/>
      <c r="V826" s="145"/>
      <c r="W826" s="145"/>
      <c r="X826" s="145"/>
      <c r="Y826" s="145"/>
      <c r="Z826" s="145"/>
    </row>
    <row r="827" spans="1:26" ht="13.2">
      <c r="A827" s="144">
        <v>0</v>
      </c>
      <c r="B827" s="145"/>
      <c r="C827" s="145"/>
      <c r="D827" s="145"/>
      <c r="E827" s="145"/>
      <c r="F827" s="145"/>
      <c r="G827" s="145"/>
      <c r="H827" s="145"/>
      <c r="I827" s="145"/>
      <c r="J827" s="145"/>
      <c r="K827" s="145"/>
      <c r="L827" s="145"/>
      <c r="M827" s="146"/>
      <c r="N827" s="145"/>
      <c r="O827" s="145"/>
      <c r="P827" s="145"/>
      <c r="Q827" s="145"/>
      <c r="R827" s="145"/>
      <c r="S827" s="145"/>
      <c r="T827" s="145"/>
      <c r="U827" s="145"/>
      <c r="V827" s="145"/>
      <c r="W827" s="145"/>
      <c r="X827" s="145"/>
      <c r="Y827" s="145"/>
      <c r="Z827" s="145"/>
    </row>
    <row r="828" spans="1:26" ht="13.2">
      <c r="A828" s="144">
        <v>0</v>
      </c>
      <c r="B828" s="145"/>
      <c r="C828" s="145"/>
      <c r="D828" s="145"/>
      <c r="E828" s="145"/>
      <c r="F828" s="145"/>
      <c r="G828" s="145"/>
      <c r="H828" s="145"/>
      <c r="I828" s="145"/>
      <c r="J828" s="145"/>
      <c r="K828" s="145"/>
      <c r="L828" s="145"/>
      <c r="M828" s="146"/>
      <c r="N828" s="145"/>
      <c r="O828" s="145"/>
      <c r="P828" s="145"/>
      <c r="Q828" s="145"/>
      <c r="R828" s="145"/>
      <c r="S828" s="145"/>
      <c r="T828" s="145"/>
      <c r="U828" s="145"/>
      <c r="V828" s="145"/>
      <c r="W828" s="145"/>
      <c r="X828" s="145"/>
      <c r="Y828" s="145"/>
      <c r="Z828" s="145"/>
    </row>
    <row r="829" spans="1:26" ht="13.2">
      <c r="A829" s="144">
        <v>0</v>
      </c>
      <c r="B829" s="145"/>
      <c r="C829" s="145"/>
      <c r="D829" s="145"/>
      <c r="E829" s="145"/>
      <c r="F829" s="145"/>
      <c r="G829" s="145"/>
      <c r="H829" s="145"/>
      <c r="I829" s="145"/>
      <c r="J829" s="145"/>
      <c r="K829" s="145"/>
      <c r="L829" s="145"/>
      <c r="M829" s="146"/>
      <c r="N829" s="145"/>
      <c r="O829" s="145"/>
      <c r="P829" s="145"/>
      <c r="Q829" s="145"/>
      <c r="R829" s="145"/>
      <c r="S829" s="145"/>
      <c r="T829" s="145"/>
      <c r="U829" s="145"/>
      <c r="V829" s="145"/>
      <c r="W829" s="145"/>
      <c r="X829" s="145"/>
      <c r="Y829" s="145"/>
      <c r="Z829" s="145"/>
    </row>
    <row r="830" spans="1:26" ht="13.2">
      <c r="A830" s="144">
        <v>0</v>
      </c>
      <c r="B830" s="145"/>
      <c r="C830" s="145"/>
      <c r="D830" s="145"/>
      <c r="E830" s="145"/>
      <c r="F830" s="145"/>
      <c r="G830" s="145"/>
      <c r="H830" s="145"/>
      <c r="I830" s="145"/>
      <c r="J830" s="145"/>
      <c r="K830" s="145"/>
      <c r="L830" s="145"/>
      <c r="M830" s="146"/>
      <c r="N830" s="145"/>
      <c r="O830" s="145"/>
      <c r="P830" s="145"/>
      <c r="Q830" s="145"/>
      <c r="R830" s="145"/>
      <c r="S830" s="145"/>
      <c r="T830" s="145"/>
      <c r="U830" s="145"/>
      <c r="V830" s="145"/>
      <c r="W830" s="145"/>
      <c r="X830" s="145"/>
      <c r="Y830" s="145"/>
      <c r="Z830" s="145"/>
    </row>
    <row r="831" spans="1:26" ht="13.2">
      <c r="A831" s="144">
        <v>0</v>
      </c>
      <c r="B831" s="145"/>
      <c r="C831" s="145"/>
      <c r="D831" s="145"/>
      <c r="E831" s="145"/>
      <c r="F831" s="145"/>
      <c r="G831" s="145"/>
      <c r="H831" s="145"/>
      <c r="I831" s="145"/>
      <c r="J831" s="145"/>
      <c r="K831" s="145"/>
      <c r="L831" s="145"/>
      <c r="M831" s="146"/>
      <c r="N831" s="145"/>
      <c r="O831" s="145"/>
      <c r="P831" s="145"/>
      <c r="Q831" s="145"/>
      <c r="R831" s="145"/>
      <c r="S831" s="145"/>
      <c r="T831" s="145"/>
      <c r="U831" s="145"/>
      <c r="V831" s="145"/>
      <c r="W831" s="145"/>
      <c r="X831" s="145"/>
      <c r="Y831" s="145"/>
      <c r="Z831" s="145"/>
    </row>
    <row r="832" spans="1:26" ht="13.2">
      <c r="A832" s="144">
        <v>0</v>
      </c>
      <c r="B832" s="145"/>
      <c r="C832" s="145"/>
      <c r="D832" s="145"/>
      <c r="E832" s="145"/>
      <c r="F832" s="145"/>
      <c r="G832" s="145"/>
      <c r="H832" s="145"/>
      <c r="I832" s="145"/>
      <c r="J832" s="145"/>
      <c r="K832" s="145"/>
      <c r="L832" s="145"/>
      <c r="M832" s="146"/>
      <c r="N832" s="145"/>
      <c r="O832" s="145"/>
      <c r="P832" s="145"/>
      <c r="Q832" s="145"/>
      <c r="R832" s="145"/>
      <c r="S832" s="145"/>
      <c r="T832" s="145"/>
      <c r="U832" s="145"/>
      <c r="V832" s="145"/>
      <c r="W832" s="145"/>
      <c r="X832" s="145"/>
      <c r="Y832" s="145"/>
      <c r="Z832" s="145"/>
    </row>
    <row r="833" spans="1:26" ht="13.2">
      <c r="A833" s="144">
        <v>0</v>
      </c>
      <c r="B833" s="145"/>
      <c r="C833" s="145"/>
      <c r="D833" s="145"/>
      <c r="E833" s="145"/>
      <c r="F833" s="145"/>
      <c r="G833" s="145"/>
      <c r="H833" s="145"/>
      <c r="I833" s="145"/>
      <c r="J833" s="145"/>
      <c r="K833" s="145"/>
      <c r="L833" s="145"/>
      <c r="M833" s="146"/>
      <c r="N833" s="145"/>
      <c r="O833" s="145"/>
      <c r="P833" s="145"/>
      <c r="Q833" s="145"/>
      <c r="R833" s="145"/>
      <c r="S833" s="145"/>
      <c r="T833" s="145"/>
      <c r="U833" s="145"/>
      <c r="V833" s="145"/>
      <c r="W833" s="145"/>
      <c r="X833" s="145"/>
      <c r="Y833" s="145"/>
      <c r="Z833" s="145"/>
    </row>
    <row r="834" spans="1:26" ht="13.2">
      <c r="A834" s="144">
        <v>0</v>
      </c>
      <c r="B834" s="145"/>
      <c r="C834" s="145"/>
      <c r="D834" s="145"/>
      <c r="E834" s="145"/>
      <c r="F834" s="145"/>
      <c r="G834" s="145"/>
      <c r="H834" s="145"/>
      <c r="I834" s="145"/>
      <c r="J834" s="145"/>
      <c r="K834" s="145"/>
      <c r="L834" s="145"/>
      <c r="M834" s="146"/>
      <c r="N834" s="145"/>
      <c r="O834" s="145"/>
      <c r="P834" s="145"/>
      <c r="Q834" s="145"/>
      <c r="R834" s="145"/>
      <c r="S834" s="145"/>
      <c r="T834" s="145"/>
      <c r="U834" s="145"/>
      <c r="V834" s="145"/>
      <c r="W834" s="145"/>
      <c r="X834" s="145"/>
      <c r="Y834" s="145"/>
      <c r="Z834" s="145"/>
    </row>
    <row r="835" spans="1:26" ht="13.2">
      <c r="A835" s="144">
        <v>0</v>
      </c>
      <c r="B835" s="145"/>
      <c r="C835" s="145"/>
      <c r="D835" s="145"/>
      <c r="E835" s="145"/>
      <c r="F835" s="145"/>
      <c r="G835" s="145"/>
      <c r="H835" s="145"/>
      <c r="I835" s="145"/>
      <c r="J835" s="145"/>
      <c r="K835" s="145"/>
      <c r="L835" s="145"/>
      <c r="M835" s="146"/>
      <c r="N835" s="145"/>
      <c r="O835" s="145"/>
      <c r="P835" s="145"/>
      <c r="Q835" s="145"/>
      <c r="R835" s="145"/>
      <c r="S835" s="145"/>
      <c r="T835" s="145"/>
      <c r="U835" s="145"/>
      <c r="V835" s="145"/>
      <c r="W835" s="145"/>
      <c r="X835" s="145"/>
      <c r="Y835" s="145"/>
      <c r="Z835" s="145"/>
    </row>
    <row r="836" spans="1:26" ht="13.2">
      <c r="A836" s="144">
        <v>0</v>
      </c>
      <c r="B836" s="145"/>
      <c r="C836" s="145"/>
      <c r="D836" s="145"/>
      <c r="E836" s="145"/>
      <c r="F836" s="145"/>
      <c r="G836" s="145"/>
      <c r="H836" s="145"/>
      <c r="I836" s="145"/>
      <c r="J836" s="145"/>
      <c r="K836" s="145"/>
      <c r="L836" s="145"/>
      <c r="M836" s="146"/>
      <c r="N836" s="145"/>
      <c r="O836" s="145"/>
      <c r="P836" s="145"/>
      <c r="Q836" s="145"/>
      <c r="R836" s="145"/>
      <c r="S836" s="145"/>
      <c r="T836" s="145"/>
      <c r="U836" s="145"/>
      <c r="V836" s="145"/>
      <c r="W836" s="145"/>
      <c r="X836" s="145"/>
      <c r="Y836" s="145"/>
      <c r="Z836" s="145"/>
    </row>
    <row r="837" spans="1:26" ht="13.2">
      <c r="A837" s="144">
        <v>0</v>
      </c>
      <c r="B837" s="145"/>
      <c r="C837" s="145"/>
      <c r="D837" s="145"/>
      <c r="E837" s="145"/>
      <c r="F837" s="145"/>
      <c r="G837" s="145"/>
      <c r="H837" s="145"/>
      <c r="I837" s="145"/>
      <c r="J837" s="145"/>
      <c r="K837" s="145"/>
      <c r="L837" s="145"/>
      <c r="M837" s="146"/>
      <c r="N837" s="145"/>
      <c r="O837" s="145"/>
      <c r="P837" s="145"/>
      <c r="Q837" s="145"/>
      <c r="R837" s="145"/>
      <c r="S837" s="145"/>
      <c r="T837" s="145"/>
      <c r="U837" s="145"/>
      <c r="V837" s="145"/>
      <c r="W837" s="145"/>
      <c r="X837" s="145"/>
      <c r="Y837" s="145"/>
      <c r="Z837" s="145"/>
    </row>
    <row r="838" spans="1:26" ht="13.2">
      <c r="A838" s="144">
        <v>0</v>
      </c>
      <c r="B838" s="145"/>
      <c r="C838" s="145"/>
      <c r="D838" s="145"/>
      <c r="E838" s="145"/>
      <c r="F838" s="145"/>
      <c r="G838" s="145"/>
      <c r="H838" s="145"/>
      <c r="I838" s="145"/>
      <c r="J838" s="145"/>
      <c r="K838" s="145"/>
      <c r="L838" s="145"/>
      <c r="M838" s="146"/>
      <c r="N838" s="145"/>
      <c r="O838" s="145"/>
      <c r="P838" s="145"/>
      <c r="Q838" s="145"/>
      <c r="R838" s="145"/>
      <c r="S838" s="145"/>
      <c r="T838" s="145"/>
      <c r="U838" s="145"/>
      <c r="V838" s="145"/>
      <c r="W838" s="145"/>
      <c r="X838" s="145"/>
      <c r="Y838" s="145"/>
      <c r="Z838" s="145"/>
    </row>
    <row r="839" spans="1:26" ht="13.2">
      <c r="A839" s="144">
        <v>0</v>
      </c>
      <c r="B839" s="145"/>
      <c r="C839" s="145"/>
      <c r="D839" s="145"/>
      <c r="E839" s="145"/>
      <c r="F839" s="145"/>
      <c r="G839" s="145"/>
      <c r="H839" s="145"/>
      <c r="I839" s="145"/>
      <c r="J839" s="145"/>
      <c r="K839" s="145"/>
      <c r="L839" s="145"/>
      <c r="M839" s="146"/>
      <c r="N839" s="145"/>
      <c r="O839" s="145"/>
      <c r="P839" s="145"/>
      <c r="Q839" s="145"/>
      <c r="R839" s="145"/>
      <c r="S839" s="145"/>
      <c r="T839" s="145"/>
      <c r="U839" s="145"/>
      <c r="V839" s="145"/>
      <c r="W839" s="145"/>
      <c r="X839" s="145"/>
      <c r="Y839" s="145"/>
      <c r="Z839" s="145"/>
    </row>
    <row r="840" spans="1:26" ht="13.2">
      <c r="A840" s="144">
        <v>0</v>
      </c>
      <c r="B840" s="145"/>
      <c r="C840" s="145"/>
      <c r="D840" s="145"/>
      <c r="E840" s="145"/>
      <c r="F840" s="145"/>
      <c r="G840" s="145"/>
      <c r="H840" s="145"/>
      <c r="I840" s="145"/>
      <c r="J840" s="145"/>
      <c r="K840" s="145"/>
      <c r="L840" s="145"/>
      <c r="M840" s="146"/>
      <c r="N840" s="145"/>
      <c r="O840" s="145"/>
      <c r="P840" s="145"/>
      <c r="Q840" s="145"/>
      <c r="R840" s="145"/>
      <c r="S840" s="145"/>
      <c r="T840" s="145"/>
      <c r="U840" s="145"/>
      <c r="V840" s="145"/>
      <c r="W840" s="145"/>
      <c r="X840" s="145"/>
      <c r="Y840" s="145"/>
      <c r="Z840" s="145"/>
    </row>
    <row r="841" spans="1:26" ht="13.2">
      <c r="A841" s="144">
        <v>0</v>
      </c>
      <c r="B841" s="145"/>
      <c r="C841" s="145"/>
      <c r="D841" s="145"/>
      <c r="E841" s="145"/>
      <c r="F841" s="145"/>
      <c r="G841" s="145"/>
      <c r="H841" s="145"/>
      <c r="I841" s="145"/>
      <c r="J841" s="145"/>
      <c r="K841" s="145"/>
      <c r="L841" s="145"/>
      <c r="M841" s="146"/>
      <c r="N841" s="145"/>
      <c r="O841" s="145"/>
      <c r="P841" s="145"/>
      <c r="Q841" s="145"/>
      <c r="R841" s="145"/>
      <c r="S841" s="145"/>
      <c r="T841" s="145"/>
      <c r="U841" s="145"/>
      <c r="V841" s="145"/>
      <c r="W841" s="145"/>
      <c r="X841" s="145"/>
      <c r="Y841" s="145"/>
      <c r="Z841" s="145"/>
    </row>
    <row r="842" spans="1:26" ht="13.2">
      <c r="A842" s="144">
        <v>0</v>
      </c>
      <c r="B842" s="145"/>
      <c r="C842" s="145"/>
      <c r="D842" s="145"/>
      <c r="E842" s="145"/>
      <c r="F842" s="145"/>
      <c r="G842" s="145"/>
      <c r="H842" s="145"/>
      <c r="I842" s="145"/>
      <c r="J842" s="145"/>
      <c r="K842" s="145"/>
      <c r="L842" s="145"/>
      <c r="M842" s="146"/>
      <c r="N842" s="145"/>
      <c r="O842" s="145"/>
      <c r="P842" s="145"/>
      <c r="Q842" s="145"/>
      <c r="R842" s="145"/>
      <c r="S842" s="145"/>
      <c r="T842" s="145"/>
      <c r="U842" s="145"/>
      <c r="V842" s="145"/>
      <c r="W842" s="145"/>
      <c r="X842" s="145"/>
      <c r="Y842" s="145"/>
      <c r="Z842" s="145"/>
    </row>
    <row r="843" spans="1:26" ht="13.2">
      <c r="A843" s="144">
        <v>0</v>
      </c>
      <c r="B843" s="145"/>
      <c r="C843" s="145"/>
      <c r="D843" s="145"/>
      <c r="E843" s="145"/>
      <c r="F843" s="145"/>
      <c r="G843" s="145"/>
      <c r="H843" s="145"/>
      <c r="I843" s="145"/>
      <c r="J843" s="145"/>
      <c r="K843" s="145"/>
      <c r="L843" s="145"/>
      <c r="M843" s="146"/>
      <c r="N843" s="145"/>
      <c r="O843" s="145"/>
      <c r="P843" s="145"/>
      <c r="Q843" s="145"/>
      <c r="R843" s="145"/>
      <c r="S843" s="145"/>
      <c r="T843" s="145"/>
      <c r="U843" s="145"/>
      <c r="V843" s="145"/>
      <c r="W843" s="145"/>
      <c r="X843" s="145"/>
      <c r="Y843" s="145"/>
      <c r="Z843" s="145"/>
    </row>
    <row r="844" spans="1:26" ht="13.2">
      <c r="A844" s="144">
        <v>0</v>
      </c>
      <c r="B844" s="145"/>
      <c r="C844" s="145"/>
      <c r="D844" s="145"/>
      <c r="E844" s="145"/>
      <c r="F844" s="145"/>
      <c r="G844" s="145"/>
      <c r="H844" s="145"/>
      <c r="I844" s="145"/>
      <c r="J844" s="145"/>
      <c r="K844" s="145"/>
      <c r="L844" s="145"/>
      <c r="M844" s="146"/>
      <c r="N844" s="145"/>
      <c r="O844" s="145"/>
      <c r="P844" s="145"/>
      <c r="Q844" s="145"/>
      <c r="R844" s="145"/>
      <c r="S844" s="145"/>
      <c r="T844" s="145"/>
      <c r="U844" s="145"/>
      <c r="V844" s="145"/>
      <c r="W844" s="145"/>
      <c r="X844" s="145"/>
      <c r="Y844" s="145"/>
      <c r="Z844" s="145"/>
    </row>
    <row r="845" spans="1:26" ht="13.2">
      <c r="A845" s="144">
        <v>0</v>
      </c>
      <c r="B845" s="145"/>
      <c r="C845" s="145"/>
      <c r="D845" s="145"/>
      <c r="E845" s="145"/>
      <c r="F845" s="145"/>
      <c r="G845" s="145"/>
      <c r="H845" s="145"/>
      <c r="I845" s="145"/>
      <c r="J845" s="145"/>
      <c r="K845" s="145"/>
      <c r="L845" s="145"/>
      <c r="M845" s="146"/>
      <c r="N845" s="145"/>
      <c r="O845" s="145"/>
      <c r="P845" s="145"/>
      <c r="Q845" s="145"/>
      <c r="R845" s="145"/>
      <c r="S845" s="145"/>
      <c r="T845" s="145"/>
      <c r="U845" s="145"/>
      <c r="V845" s="145"/>
      <c r="W845" s="145"/>
      <c r="X845" s="145"/>
      <c r="Y845" s="145"/>
      <c r="Z845" s="145"/>
    </row>
    <row r="846" spans="1:26" ht="13.2">
      <c r="A846" s="144">
        <v>0</v>
      </c>
      <c r="B846" s="145"/>
      <c r="C846" s="145"/>
      <c r="D846" s="145"/>
      <c r="E846" s="145"/>
      <c r="F846" s="145"/>
      <c r="G846" s="145"/>
      <c r="H846" s="145"/>
      <c r="I846" s="145"/>
      <c r="J846" s="145"/>
      <c r="K846" s="145"/>
      <c r="L846" s="145"/>
      <c r="M846" s="146"/>
      <c r="N846" s="145"/>
      <c r="O846" s="145"/>
      <c r="P846" s="145"/>
      <c r="Q846" s="145"/>
      <c r="R846" s="145"/>
      <c r="S846" s="145"/>
      <c r="T846" s="145"/>
      <c r="U846" s="145"/>
      <c r="V846" s="145"/>
      <c r="W846" s="145"/>
      <c r="X846" s="145"/>
      <c r="Y846" s="145"/>
      <c r="Z846" s="145"/>
    </row>
    <row r="847" spans="1:26" ht="13.2">
      <c r="A847" s="144">
        <v>0</v>
      </c>
      <c r="B847" s="145"/>
      <c r="C847" s="145"/>
      <c r="D847" s="145"/>
      <c r="E847" s="145"/>
      <c r="F847" s="145"/>
      <c r="G847" s="145"/>
      <c r="H847" s="145"/>
      <c r="I847" s="145"/>
      <c r="J847" s="145"/>
      <c r="K847" s="145"/>
      <c r="L847" s="145"/>
      <c r="M847" s="146"/>
      <c r="N847" s="145"/>
      <c r="O847" s="145"/>
      <c r="P847" s="145"/>
      <c r="Q847" s="145"/>
      <c r="R847" s="145"/>
      <c r="S847" s="145"/>
      <c r="T847" s="145"/>
      <c r="U847" s="145"/>
      <c r="V847" s="145"/>
      <c r="W847" s="145"/>
      <c r="X847" s="145"/>
      <c r="Y847" s="145"/>
      <c r="Z847" s="145"/>
    </row>
    <row r="848" spans="1:26" ht="13.2">
      <c r="A848" s="144">
        <v>0</v>
      </c>
      <c r="B848" s="145"/>
      <c r="C848" s="145"/>
      <c r="D848" s="145"/>
      <c r="E848" s="145"/>
      <c r="F848" s="145"/>
      <c r="G848" s="145"/>
      <c r="H848" s="145"/>
      <c r="I848" s="145"/>
      <c r="J848" s="145"/>
      <c r="K848" s="145"/>
      <c r="L848" s="145"/>
      <c r="M848" s="146"/>
      <c r="N848" s="145"/>
      <c r="O848" s="145"/>
      <c r="P848" s="145"/>
      <c r="Q848" s="145"/>
      <c r="R848" s="145"/>
      <c r="S848" s="145"/>
      <c r="T848" s="145"/>
      <c r="U848" s="145"/>
      <c r="V848" s="145"/>
      <c r="W848" s="145"/>
      <c r="X848" s="145"/>
      <c r="Y848" s="145"/>
      <c r="Z848" s="145"/>
    </row>
    <row r="849" spans="1:26" ht="13.2">
      <c r="A849" s="144">
        <v>0</v>
      </c>
      <c r="B849" s="145"/>
      <c r="C849" s="145"/>
      <c r="D849" s="145"/>
      <c r="E849" s="145"/>
      <c r="F849" s="145"/>
      <c r="G849" s="145"/>
      <c r="H849" s="145"/>
      <c r="I849" s="145"/>
      <c r="J849" s="145"/>
      <c r="K849" s="145"/>
      <c r="L849" s="145"/>
      <c r="M849" s="146"/>
      <c r="N849" s="145"/>
      <c r="O849" s="145"/>
      <c r="P849" s="145"/>
      <c r="Q849" s="145"/>
      <c r="R849" s="145"/>
      <c r="S849" s="145"/>
      <c r="T849" s="145"/>
      <c r="U849" s="145"/>
      <c r="V849" s="145"/>
      <c r="W849" s="145"/>
      <c r="X849" s="145"/>
      <c r="Y849" s="145"/>
      <c r="Z849" s="145"/>
    </row>
    <row r="850" spans="1:26" ht="13.2">
      <c r="A850" s="144">
        <v>0</v>
      </c>
      <c r="B850" s="145"/>
      <c r="C850" s="145"/>
      <c r="D850" s="145"/>
      <c r="E850" s="145"/>
      <c r="F850" s="145"/>
      <c r="G850" s="145"/>
      <c r="H850" s="145"/>
      <c r="I850" s="145"/>
      <c r="J850" s="145"/>
      <c r="K850" s="145"/>
      <c r="L850" s="145"/>
      <c r="M850" s="146"/>
      <c r="N850" s="145"/>
      <c r="O850" s="145"/>
      <c r="P850" s="145"/>
      <c r="Q850" s="145"/>
      <c r="R850" s="145"/>
      <c r="S850" s="145"/>
      <c r="T850" s="145"/>
      <c r="U850" s="145"/>
      <c r="V850" s="145"/>
      <c r="W850" s="145"/>
      <c r="X850" s="145"/>
      <c r="Y850" s="145"/>
      <c r="Z850" s="145"/>
    </row>
    <row r="851" spans="1:26" ht="13.2">
      <c r="A851" s="144">
        <v>0</v>
      </c>
      <c r="B851" s="145"/>
      <c r="C851" s="145"/>
      <c r="D851" s="145"/>
      <c r="E851" s="145"/>
      <c r="F851" s="145"/>
      <c r="G851" s="145"/>
      <c r="H851" s="145"/>
      <c r="I851" s="145"/>
      <c r="J851" s="145"/>
      <c r="K851" s="145"/>
      <c r="L851" s="145"/>
      <c r="M851" s="146"/>
      <c r="N851" s="145"/>
      <c r="O851" s="145"/>
      <c r="P851" s="145"/>
      <c r="Q851" s="145"/>
      <c r="R851" s="145"/>
      <c r="S851" s="145"/>
      <c r="T851" s="145"/>
      <c r="U851" s="145"/>
      <c r="V851" s="145"/>
      <c r="W851" s="145"/>
      <c r="X851" s="145"/>
      <c r="Y851" s="145"/>
      <c r="Z851" s="145"/>
    </row>
    <row r="852" spans="1:26" ht="13.2">
      <c r="A852" s="144">
        <v>0</v>
      </c>
      <c r="B852" s="145"/>
      <c r="C852" s="145"/>
      <c r="D852" s="145"/>
      <c r="E852" s="145"/>
      <c r="F852" s="145"/>
      <c r="G852" s="145"/>
      <c r="H852" s="145"/>
      <c r="I852" s="145"/>
      <c r="J852" s="145"/>
      <c r="K852" s="145"/>
      <c r="L852" s="145"/>
      <c r="M852" s="146"/>
      <c r="N852" s="145"/>
      <c r="O852" s="145"/>
      <c r="P852" s="145"/>
      <c r="Q852" s="145"/>
      <c r="R852" s="145"/>
      <c r="S852" s="145"/>
      <c r="T852" s="145"/>
      <c r="U852" s="145"/>
      <c r="V852" s="145"/>
      <c r="W852" s="145"/>
      <c r="X852" s="145"/>
      <c r="Y852" s="145"/>
      <c r="Z852" s="145"/>
    </row>
    <row r="853" spans="1:26" ht="13.2">
      <c r="A853" s="144">
        <v>0</v>
      </c>
      <c r="B853" s="145"/>
      <c r="C853" s="145"/>
      <c r="D853" s="145"/>
      <c r="E853" s="145"/>
      <c r="F853" s="145"/>
      <c r="G853" s="145"/>
      <c r="H853" s="145"/>
      <c r="I853" s="145"/>
      <c r="J853" s="145"/>
      <c r="K853" s="145"/>
      <c r="L853" s="145"/>
      <c r="M853" s="146"/>
      <c r="N853" s="145"/>
      <c r="O853" s="145"/>
      <c r="P853" s="145"/>
      <c r="Q853" s="145"/>
      <c r="R853" s="145"/>
      <c r="S853" s="145"/>
      <c r="T853" s="145"/>
      <c r="U853" s="145"/>
      <c r="V853" s="145"/>
      <c r="W853" s="145"/>
      <c r="X853" s="145"/>
      <c r="Y853" s="145"/>
      <c r="Z853" s="145"/>
    </row>
    <row r="854" spans="1:26" ht="13.2">
      <c r="A854" s="144">
        <v>0</v>
      </c>
      <c r="B854" s="145"/>
      <c r="C854" s="145"/>
      <c r="D854" s="145"/>
      <c r="E854" s="145"/>
      <c r="F854" s="145"/>
      <c r="G854" s="145"/>
      <c r="H854" s="145"/>
      <c r="I854" s="145"/>
      <c r="J854" s="145"/>
      <c r="K854" s="145"/>
      <c r="L854" s="145"/>
      <c r="M854" s="146"/>
      <c r="N854" s="145"/>
      <c r="O854" s="145"/>
      <c r="P854" s="145"/>
      <c r="Q854" s="145"/>
      <c r="R854" s="145"/>
      <c r="S854" s="145"/>
      <c r="T854" s="145"/>
      <c r="U854" s="145"/>
      <c r="V854" s="145"/>
      <c r="W854" s="145"/>
      <c r="X854" s="145"/>
      <c r="Y854" s="145"/>
      <c r="Z854" s="145"/>
    </row>
    <row r="855" spans="1:26" ht="13.2">
      <c r="A855" s="144">
        <v>0</v>
      </c>
      <c r="B855" s="145"/>
      <c r="C855" s="145"/>
      <c r="D855" s="145"/>
      <c r="E855" s="145"/>
      <c r="F855" s="145"/>
      <c r="G855" s="145"/>
      <c r="H855" s="145"/>
      <c r="I855" s="145"/>
      <c r="J855" s="145"/>
      <c r="K855" s="145"/>
      <c r="L855" s="145"/>
      <c r="M855" s="146"/>
      <c r="N855" s="145"/>
      <c r="O855" s="145"/>
      <c r="P855" s="145"/>
      <c r="Q855" s="145"/>
      <c r="R855" s="145"/>
      <c r="S855" s="145"/>
      <c r="T855" s="145"/>
      <c r="U855" s="145"/>
      <c r="V855" s="145"/>
      <c r="W855" s="145"/>
      <c r="X855" s="145"/>
      <c r="Y855" s="145"/>
      <c r="Z855" s="145"/>
    </row>
    <row r="856" spans="1:26" ht="13.2">
      <c r="A856" s="144">
        <v>0</v>
      </c>
      <c r="B856" s="145"/>
      <c r="C856" s="145"/>
      <c r="D856" s="145"/>
      <c r="E856" s="145"/>
      <c r="F856" s="145"/>
      <c r="G856" s="145"/>
      <c r="H856" s="145"/>
      <c r="I856" s="145"/>
      <c r="J856" s="145"/>
      <c r="K856" s="145"/>
      <c r="L856" s="145"/>
      <c r="M856" s="146"/>
      <c r="N856" s="145"/>
      <c r="O856" s="145"/>
      <c r="P856" s="145"/>
      <c r="Q856" s="145"/>
      <c r="R856" s="145"/>
      <c r="S856" s="145"/>
      <c r="T856" s="145"/>
      <c r="U856" s="145"/>
      <c r="V856" s="145"/>
      <c r="W856" s="145"/>
      <c r="X856" s="145"/>
      <c r="Y856" s="145"/>
      <c r="Z856" s="145"/>
    </row>
    <row r="857" spans="1:26" ht="13.2">
      <c r="A857" s="144">
        <v>0</v>
      </c>
      <c r="B857" s="145"/>
      <c r="C857" s="145"/>
      <c r="D857" s="145"/>
      <c r="E857" s="145"/>
      <c r="F857" s="145"/>
      <c r="G857" s="145"/>
      <c r="H857" s="145"/>
      <c r="I857" s="145"/>
      <c r="J857" s="145"/>
      <c r="K857" s="145"/>
      <c r="L857" s="145"/>
      <c r="M857" s="146"/>
      <c r="N857" s="145"/>
      <c r="O857" s="145"/>
      <c r="P857" s="145"/>
      <c r="Q857" s="145"/>
      <c r="R857" s="145"/>
      <c r="S857" s="145"/>
      <c r="T857" s="145"/>
      <c r="U857" s="145"/>
      <c r="V857" s="145"/>
      <c r="W857" s="145"/>
      <c r="X857" s="145"/>
      <c r="Y857" s="145"/>
      <c r="Z857" s="145"/>
    </row>
    <row r="858" spans="1:26" ht="13.2">
      <c r="A858" s="144">
        <v>0</v>
      </c>
      <c r="B858" s="145"/>
      <c r="C858" s="145"/>
      <c r="D858" s="145"/>
      <c r="E858" s="145"/>
      <c r="F858" s="145"/>
      <c r="G858" s="145"/>
      <c r="H858" s="145"/>
      <c r="I858" s="145"/>
      <c r="J858" s="145"/>
      <c r="K858" s="145"/>
      <c r="L858" s="145"/>
      <c r="M858" s="146"/>
      <c r="N858" s="145"/>
      <c r="O858" s="145"/>
      <c r="P858" s="145"/>
      <c r="Q858" s="145"/>
      <c r="R858" s="145"/>
      <c r="S858" s="145"/>
      <c r="T858" s="145"/>
      <c r="U858" s="145"/>
      <c r="V858" s="145"/>
      <c r="W858" s="145"/>
      <c r="X858" s="145"/>
      <c r="Y858" s="145"/>
      <c r="Z858" s="145"/>
    </row>
    <row r="859" spans="1:26" ht="13.2">
      <c r="A859" s="144">
        <v>0</v>
      </c>
      <c r="B859" s="145"/>
      <c r="C859" s="145"/>
      <c r="D859" s="145"/>
      <c r="E859" s="145"/>
      <c r="F859" s="145"/>
      <c r="G859" s="145"/>
      <c r="H859" s="145"/>
      <c r="I859" s="145"/>
      <c r="J859" s="145"/>
      <c r="K859" s="145"/>
      <c r="L859" s="145"/>
      <c r="M859" s="146"/>
      <c r="N859" s="145"/>
      <c r="O859" s="145"/>
      <c r="P859" s="145"/>
      <c r="Q859" s="145"/>
      <c r="R859" s="145"/>
      <c r="S859" s="145"/>
      <c r="T859" s="145"/>
      <c r="U859" s="145"/>
      <c r="V859" s="145"/>
      <c r="W859" s="145"/>
      <c r="X859" s="145"/>
      <c r="Y859" s="145"/>
      <c r="Z859" s="145"/>
    </row>
    <row r="860" spans="1:26" ht="13.2">
      <c r="A860" s="144">
        <v>0</v>
      </c>
      <c r="B860" s="145"/>
      <c r="C860" s="145"/>
      <c r="D860" s="145"/>
      <c r="E860" s="145"/>
      <c r="F860" s="145"/>
      <c r="G860" s="145"/>
      <c r="H860" s="145"/>
      <c r="I860" s="145"/>
      <c r="J860" s="145"/>
      <c r="K860" s="145"/>
      <c r="L860" s="145"/>
      <c r="M860" s="146"/>
      <c r="N860" s="145"/>
      <c r="O860" s="145"/>
      <c r="P860" s="145"/>
      <c r="Q860" s="145"/>
      <c r="R860" s="145"/>
      <c r="S860" s="145"/>
      <c r="T860" s="145"/>
      <c r="U860" s="145"/>
      <c r="V860" s="145"/>
      <c r="W860" s="145"/>
      <c r="X860" s="145"/>
      <c r="Y860" s="145"/>
      <c r="Z860" s="145"/>
    </row>
    <row r="861" spans="1:26" ht="13.2">
      <c r="A861" s="144">
        <v>0</v>
      </c>
      <c r="B861" s="145"/>
      <c r="C861" s="145"/>
      <c r="D861" s="145"/>
      <c r="E861" s="145"/>
      <c r="F861" s="145"/>
      <c r="G861" s="145"/>
      <c r="H861" s="145"/>
      <c r="I861" s="145"/>
      <c r="J861" s="145"/>
      <c r="K861" s="145"/>
      <c r="L861" s="145"/>
      <c r="M861" s="146"/>
      <c r="N861" s="145"/>
      <c r="O861" s="145"/>
      <c r="P861" s="145"/>
      <c r="Q861" s="145"/>
      <c r="R861" s="145"/>
      <c r="S861" s="145"/>
      <c r="T861" s="145"/>
      <c r="U861" s="145"/>
      <c r="V861" s="145"/>
      <c r="W861" s="145"/>
      <c r="X861" s="145"/>
      <c r="Y861" s="145"/>
      <c r="Z861" s="145"/>
    </row>
    <row r="862" spans="1:26" ht="13.2">
      <c r="A862" s="144">
        <v>0</v>
      </c>
      <c r="B862" s="145"/>
      <c r="C862" s="145"/>
      <c r="D862" s="145"/>
      <c r="E862" s="145"/>
      <c r="F862" s="145"/>
      <c r="G862" s="145"/>
      <c r="H862" s="145"/>
      <c r="I862" s="145"/>
      <c r="J862" s="145"/>
      <c r="K862" s="145"/>
      <c r="L862" s="145"/>
      <c r="M862" s="146"/>
      <c r="N862" s="145"/>
      <c r="O862" s="145"/>
      <c r="P862" s="145"/>
      <c r="Q862" s="145"/>
      <c r="R862" s="145"/>
      <c r="S862" s="145"/>
      <c r="T862" s="145"/>
      <c r="U862" s="145"/>
      <c r="V862" s="145"/>
      <c r="W862" s="145"/>
      <c r="X862" s="145"/>
      <c r="Y862" s="145"/>
      <c r="Z862" s="145"/>
    </row>
    <row r="863" spans="1:26" ht="13.2">
      <c r="A863" s="144">
        <v>0</v>
      </c>
      <c r="B863" s="145"/>
      <c r="C863" s="145"/>
      <c r="D863" s="145"/>
      <c r="E863" s="145"/>
      <c r="F863" s="145"/>
      <c r="G863" s="145"/>
      <c r="H863" s="145"/>
      <c r="I863" s="145"/>
      <c r="J863" s="145"/>
      <c r="K863" s="145"/>
      <c r="L863" s="145"/>
      <c r="M863" s="146"/>
      <c r="N863" s="145"/>
      <c r="O863" s="145"/>
      <c r="P863" s="145"/>
      <c r="Q863" s="145"/>
      <c r="R863" s="145"/>
      <c r="S863" s="145"/>
      <c r="T863" s="145"/>
      <c r="U863" s="145"/>
      <c r="V863" s="145"/>
      <c r="W863" s="145"/>
      <c r="X863" s="145"/>
      <c r="Y863" s="145"/>
      <c r="Z863" s="145"/>
    </row>
    <row r="864" spans="1:26" ht="13.2">
      <c r="A864" s="144">
        <v>0</v>
      </c>
      <c r="B864" s="145"/>
      <c r="C864" s="145"/>
      <c r="D864" s="145"/>
      <c r="E864" s="145"/>
      <c r="F864" s="145"/>
      <c r="G864" s="145"/>
      <c r="H864" s="145"/>
      <c r="I864" s="145"/>
      <c r="J864" s="145"/>
      <c r="K864" s="145"/>
      <c r="L864" s="145"/>
      <c r="M864" s="146"/>
      <c r="N864" s="145"/>
      <c r="O864" s="145"/>
      <c r="P864" s="145"/>
      <c r="Q864" s="145"/>
      <c r="R864" s="145"/>
      <c r="S864" s="145"/>
      <c r="T864" s="145"/>
      <c r="U864" s="145"/>
      <c r="V864" s="145"/>
      <c r="W864" s="145"/>
      <c r="X864" s="145"/>
      <c r="Y864" s="145"/>
      <c r="Z864" s="145"/>
    </row>
    <row r="865" spans="1:26" ht="13.2">
      <c r="A865" s="144">
        <v>0</v>
      </c>
      <c r="B865" s="145"/>
      <c r="C865" s="145"/>
      <c r="D865" s="145"/>
      <c r="E865" s="145"/>
      <c r="F865" s="145"/>
      <c r="G865" s="145"/>
      <c r="H865" s="145"/>
      <c r="I865" s="145"/>
      <c r="J865" s="145"/>
      <c r="K865" s="145"/>
      <c r="L865" s="145"/>
      <c r="M865" s="146"/>
      <c r="N865" s="145"/>
      <c r="O865" s="145"/>
      <c r="P865" s="145"/>
      <c r="Q865" s="145"/>
      <c r="R865" s="145"/>
      <c r="S865" s="145"/>
      <c r="T865" s="145"/>
      <c r="U865" s="145"/>
      <c r="V865" s="145"/>
      <c r="W865" s="145"/>
      <c r="X865" s="145"/>
      <c r="Y865" s="145"/>
      <c r="Z865" s="145"/>
    </row>
    <row r="866" spans="1:26" ht="13.2">
      <c r="A866" s="144">
        <v>0</v>
      </c>
      <c r="B866" s="145"/>
      <c r="C866" s="145"/>
      <c r="D866" s="145"/>
      <c r="E866" s="145"/>
      <c r="F866" s="145"/>
      <c r="G866" s="145"/>
      <c r="H866" s="145"/>
      <c r="I866" s="145"/>
      <c r="J866" s="145"/>
      <c r="K866" s="145"/>
      <c r="L866" s="145"/>
      <c r="M866" s="146"/>
      <c r="N866" s="145"/>
      <c r="O866" s="145"/>
      <c r="P866" s="145"/>
      <c r="Q866" s="145"/>
      <c r="R866" s="145"/>
      <c r="S866" s="145"/>
      <c r="T866" s="145"/>
      <c r="U866" s="145"/>
      <c r="V866" s="145"/>
      <c r="W866" s="145"/>
      <c r="X866" s="145"/>
      <c r="Y866" s="145"/>
      <c r="Z866" s="145"/>
    </row>
    <row r="867" spans="1:26" ht="13.2">
      <c r="A867" s="144">
        <v>0</v>
      </c>
      <c r="B867" s="145"/>
      <c r="C867" s="145"/>
      <c r="D867" s="145"/>
      <c r="E867" s="145"/>
      <c r="F867" s="145"/>
      <c r="G867" s="145"/>
      <c r="H867" s="145"/>
      <c r="I867" s="145"/>
      <c r="J867" s="145"/>
      <c r="K867" s="145"/>
      <c r="L867" s="145"/>
      <c r="M867" s="146"/>
      <c r="N867" s="145"/>
      <c r="O867" s="145"/>
      <c r="P867" s="145"/>
      <c r="Q867" s="145"/>
      <c r="R867" s="145"/>
      <c r="S867" s="145"/>
      <c r="T867" s="145"/>
      <c r="U867" s="145"/>
      <c r="V867" s="145"/>
      <c r="W867" s="145"/>
      <c r="X867" s="145"/>
      <c r="Y867" s="145"/>
      <c r="Z867" s="145"/>
    </row>
    <row r="868" spans="1:26" ht="13.2">
      <c r="A868" s="144">
        <v>0</v>
      </c>
      <c r="B868" s="145"/>
      <c r="C868" s="145"/>
      <c r="D868" s="145"/>
      <c r="E868" s="145"/>
      <c r="F868" s="145"/>
      <c r="G868" s="145"/>
      <c r="H868" s="145"/>
      <c r="I868" s="145"/>
      <c r="J868" s="145"/>
      <c r="K868" s="145"/>
      <c r="L868" s="145"/>
      <c r="M868" s="146"/>
      <c r="N868" s="145"/>
      <c r="O868" s="145"/>
      <c r="P868" s="145"/>
      <c r="Q868" s="145"/>
      <c r="R868" s="145"/>
      <c r="S868" s="145"/>
      <c r="T868" s="145"/>
      <c r="U868" s="145"/>
      <c r="V868" s="145"/>
      <c r="W868" s="145"/>
      <c r="X868" s="145"/>
      <c r="Y868" s="145"/>
      <c r="Z868" s="145"/>
    </row>
    <row r="869" spans="1:26" ht="13.2">
      <c r="A869" s="144">
        <v>0</v>
      </c>
      <c r="B869" s="145"/>
      <c r="C869" s="145"/>
      <c r="D869" s="145"/>
      <c r="E869" s="145"/>
      <c r="F869" s="145"/>
      <c r="G869" s="145"/>
      <c r="H869" s="145"/>
      <c r="I869" s="145"/>
      <c r="J869" s="145"/>
      <c r="K869" s="145"/>
      <c r="L869" s="145"/>
      <c r="M869" s="146"/>
      <c r="N869" s="145"/>
      <c r="O869" s="145"/>
      <c r="P869" s="145"/>
      <c r="Q869" s="145"/>
      <c r="R869" s="145"/>
      <c r="S869" s="145"/>
      <c r="T869" s="145"/>
      <c r="U869" s="145"/>
      <c r="V869" s="145"/>
      <c r="W869" s="145"/>
      <c r="X869" s="145"/>
      <c r="Y869" s="145"/>
      <c r="Z869" s="145"/>
    </row>
    <row r="870" spans="1:26" ht="13.2">
      <c r="A870" s="144">
        <v>0</v>
      </c>
      <c r="B870" s="145"/>
      <c r="C870" s="145"/>
      <c r="D870" s="145"/>
      <c r="E870" s="145"/>
      <c r="F870" s="145"/>
      <c r="G870" s="145"/>
      <c r="H870" s="145"/>
      <c r="I870" s="145"/>
      <c r="J870" s="145"/>
      <c r="K870" s="145"/>
      <c r="L870" s="145"/>
      <c r="M870" s="146"/>
      <c r="N870" s="145"/>
      <c r="O870" s="145"/>
      <c r="P870" s="145"/>
      <c r="Q870" s="145"/>
      <c r="R870" s="145"/>
      <c r="S870" s="145"/>
      <c r="T870" s="145"/>
      <c r="U870" s="145"/>
      <c r="V870" s="145"/>
      <c r="W870" s="145"/>
      <c r="X870" s="145"/>
      <c r="Y870" s="145"/>
      <c r="Z870" s="145"/>
    </row>
    <row r="871" spans="1:26" ht="13.2">
      <c r="A871" s="144">
        <v>0</v>
      </c>
      <c r="B871" s="145"/>
      <c r="C871" s="145"/>
      <c r="D871" s="145"/>
      <c r="E871" s="145"/>
      <c r="F871" s="145"/>
      <c r="G871" s="145"/>
      <c r="H871" s="145"/>
      <c r="I871" s="145"/>
      <c r="J871" s="145"/>
      <c r="K871" s="145"/>
      <c r="L871" s="145"/>
      <c r="M871" s="146"/>
      <c r="N871" s="145"/>
      <c r="O871" s="145"/>
      <c r="P871" s="145"/>
      <c r="Q871" s="145"/>
      <c r="R871" s="145"/>
      <c r="S871" s="145"/>
      <c r="T871" s="145"/>
      <c r="U871" s="145"/>
      <c r="V871" s="145"/>
      <c r="W871" s="145"/>
      <c r="X871" s="145"/>
      <c r="Y871" s="145"/>
      <c r="Z871" s="145"/>
    </row>
    <row r="872" spans="1:26" ht="13.2">
      <c r="A872" s="144">
        <v>0</v>
      </c>
      <c r="B872" s="145"/>
      <c r="C872" s="145"/>
      <c r="D872" s="145"/>
      <c r="E872" s="145"/>
      <c r="F872" s="145"/>
      <c r="G872" s="145"/>
      <c r="H872" s="145"/>
      <c r="I872" s="145"/>
      <c r="J872" s="145"/>
      <c r="K872" s="145"/>
      <c r="L872" s="145"/>
      <c r="M872" s="146"/>
      <c r="N872" s="145"/>
      <c r="O872" s="145"/>
      <c r="P872" s="145"/>
      <c r="Q872" s="145"/>
      <c r="R872" s="145"/>
      <c r="S872" s="145"/>
      <c r="T872" s="145"/>
      <c r="U872" s="145"/>
      <c r="V872" s="145"/>
      <c r="W872" s="145"/>
      <c r="X872" s="145"/>
      <c r="Y872" s="145"/>
      <c r="Z872" s="145"/>
    </row>
    <row r="873" spans="1:26" ht="13.2">
      <c r="A873" s="144">
        <v>0</v>
      </c>
      <c r="B873" s="145"/>
      <c r="C873" s="145"/>
      <c r="D873" s="145"/>
      <c r="E873" s="145"/>
      <c r="F873" s="145"/>
      <c r="G873" s="145"/>
      <c r="H873" s="145"/>
      <c r="I873" s="145"/>
      <c r="J873" s="145"/>
      <c r="K873" s="145"/>
      <c r="L873" s="145"/>
      <c r="M873" s="146"/>
      <c r="N873" s="145"/>
      <c r="O873" s="145"/>
      <c r="P873" s="145"/>
      <c r="Q873" s="145"/>
      <c r="R873" s="145"/>
      <c r="S873" s="145"/>
      <c r="T873" s="145"/>
      <c r="U873" s="145"/>
      <c r="V873" s="145"/>
      <c r="W873" s="145"/>
      <c r="X873" s="145"/>
      <c r="Y873" s="145"/>
      <c r="Z873" s="145"/>
    </row>
    <row r="874" spans="1:26" ht="13.2">
      <c r="A874" s="144">
        <v>0</v>
      </c>
      <c r="B874" s="145"/>
      <c r="C874" s="145"/>
      <c r="D874" s="145"/>
      <c r="E874" s="145"/>
      <c r="F874" s="145"/>
      <c r="G874" s="145"/>
      <c r="H874" s="145"/>
      <c r="I874" s="145"/>
      <c r="J874" s="145"/>
      <c r="K874" s="145"/>
      <c r="L874" s="145"/>
      <c r="M874" s="146"/>
      <c r="N874" s="145"/>
      <c r="O874" s="145"/>
      <c r="P874" s="145"/>
      <c r="Q874" s="145"/>
      <c r="R874" s="145"/>
      <c r="S874" s="145"/>
      <c r="T874" s="145"/>
      <c r="U874" s="145"/>
      <c r="V874" s="145"/>
      <c r="W874" s="145"/>
      <c r="X874" s="145"/>
      <c r="Y874" s="145"/>
      <c r="Z874" s="145"/>
    </row>
    <row r="875" spans="1:26" ht="13.2">
      <c r="A875" s="144">
        <v>0</v>
      </c>
      <c r="B875" s="145"/>
      <c r="C875" s="145"/>
      <c r="D875" s="145"/>
      <c r="E875" s="145"/>
      <c r="F875" s="145"/>
      <c r="G875" s="145"/>
      <c r="H875" s="145"/>
      <c r="I875" s="145"/>
      <c r="J875" s="145"/>
      <c r="K875" s="145"/>
      <c r="L875" s="145"/>
      <c r="M875" s="146"/>
      <c r="N875" s="145"/>
      <c r="O875" s="145"/>
      <c r="P875" s="145"/>
      <c r="Q875" s="145"/>
      <c r="R875" s="145"/>
      <c r="S875" s="145"/>
      <c r="T875" s="145"/>
      <c r="U875" s="145"/>
      <c r="V875" s="145"/>
      <c r="W875" s="145"/>
      <c r="X875" s="145"/>
      <c r="Y875" s="145"/>
      <c r="Z875" s="145"/>
    </row>
    <row r="876" spans="1:26" ht="13.2">
      <c r="A876" s="144">
        <v>0</v>
      </c>
      <c r="B876" s="145"/>
      <c r="C876" s="145"/>
      <c r="D876" s="145"/>
      <c r="E876" s="145"/>
      <c r="F876" s="145"/>
      <c r="G876" s="145"/>
      <c r="H876" s="145"/>
      <c r="I876" s="145"/>
      <c r="J876" s="145"/>
      <c r="K876" s="145"/>
      <c r="L876" s="145"/>
      <c r="M876" s="146"/>
      <c r="N876" s="145"/>
      <c r="O876" s="145"/>
      <c r="P876" s="145"/>
      <c r="Q876" s="145"/>
      <c r="R876" s="145"/>
      <c r="S876" s="145"/>
      <c r="T876" s="145"/>
      <c r="U876" s="145"/>
      <c r="V876" s="145"/>
      <c r="W876" s="145"/>
      <c r="X876" s="145"/>
      <c r="Y876" s="145"/>
      <c r="Z876" s="145"/>
    </row>
    <row r="877" spans="1:26" ht="13.2">
      <c r="A877" s="144">
        <v>0</v>
      </c>
      <c r="B877" s="145"/>
      <c r="C877" s="145"/>
      <c r="D877" s="145"/>
      <c r="E877" s="145"/>
      <c r="F877" s="145"/>
      <c r="G877" s="145"/>
      <c r="H877" s="145"/>
      <c r="I877" s="145"/>
      <c r="J877" s="145"/>
      <c r="K877" s="145"/>
      <c r="L877" s="145"/>
      <c r="M877" s="146"/>
      <c r="N877" s="145"/>
      <c r="O877" s="145"/>
      <c r="P877" s="145"/>
      <c r="Q877" s="145"/>
      <c r="R877" s="145"/>
      <c r="S877" s="145"/>
      <c r="T877" s="145"/>
      <c r="U877" s="145"/>
      <c r="V877" s="145"/>
      <c r="W877" s="145"/>
      <c r="X877" s="145"/>
      <c r="Y877" s="145"/>
      <c r="Z877" s="145"/>
    </row>
    <row r="878" spans="1:26" ht="13.2">
      <c r="A878" s="144">
        <v>0</v>
      </c>
      <c r="B878" s="145"/>
      <c r="C878" s="145"/>
      <c r="D878" s="145"/>
      <c r="E878" s="145"/>
      <c r="F878" s="145"/>
      <c r="G878" s="145"/>
      <c r="H878" s="145"/>
      <c r="I878" s="145"/>
      <c r="J878" s="145"/>
      <c r="K878" s="145"/>
      <c r="L878" s="145"/>
      <c r="M878" s="146"/>
      <c r="N878" s="145"/>
      <c r="O878" s="145"/>
      <c r="P878" s="145"/>
      <c r="Q878" s="145"/>
      <c r="R878" s="145"/>
      <c r="S878" s="145"/>
      <c r="T878" s="145"/>
      <c r="U878" s="145"/>
      <c r="V878" s="145"/>
      <c r="W878" s="145"/>
      <c r="X878" s="145"/>
      <c r="Y878" s="145"/>
      <c r="Z878" s="145"/>
    </row>
    <row r="879" spans="1:26" ht="13.2">
      <c r="A879" s="144">
        <v>0</v>
      </c>
      <c r="B879" s="145"/>
      <c r="C879" s="145"/>
      <c r="D879" s="145"/>
      <c r="E879" s="145"/>
      <c r="F879" s="145"/>
      <c r="G879" s="145"/>
      <c r="H879" s="145"/>
      <c r="I879" s="145"/>
      <c r="J879" s="145"/>
      <c r="K879" s="145"/>
      <c r="L879" s="145"/>
      <c r="M879" s="146"/>
      <c r="N879" s="145"/>
      <c r="O879" s="145"/>
      <c r="P879" s="145"/>
      <c r="Q879" s="145"/>
      <c r="R879" s="145"/>
      <c r="S879" s="145"/>
      <c r="T879" s="145"/>
      <c r="U879" s="145"/>
      <c r="V879" s="145"/>
      <c r="W879" s="145"/>
      <c r="X879" s="145"/>
      <c r="Y879" s="145"/>
      <c r="Z879" s="145"/>
    </row>
    <row r="880" spans="1:26" ht="13.2">
      <c r="A880" s="144">
        <v>0</v>
      </c>
      <c r="B880" s="145"/>
      <c r="C880" s="145"/>
      <c r="D880" s="145"/>
      <c r="E880" s="145"/>
      <c r="F880" s="145"/>
      <c r="G880" s="145"/>
      <c r="H880" s="145"/>
      <c r="I880" s="145"/>
      <c r="J880" s="145"/>
      <c r="K880" s="145"/>
      <c r="L880" s="145"/>
      <c r="M880" s="146"/>
      <c r="N880" s="145"/>
      <c r="O880" s="145"/>
      <c r="P880" s="145"/>
      <c r="Q880" s="145"/>
      <c r="R880" s="145"/>
      <c r="S880" s="145"/>
      <c r="T880" s="145"/>
      <c r="U880" s="145"/>
      <c r="V880" s="145"/>
      <c r="W880" s="145"/>
      <c r="X880" s="145"/>
      <c r="Y880" s="145"/>
      <c r="Z880" s="145"/>
    </row>
    <row r="881" spans="1:26" ht="13.2">
      <c r="A881" s="144">
        <v>0</v>
      </c>
      <c r="B881" s="145"/>
      <c r="C881" s="145"/>
      <c r="D881" s="145"/>
      <c r="E881" s="145"/>
      <c r="F881" s="145"/>
      <c r="G881" s="145"/>
      <c r="H881" s="145"/>
      <c r="I881" s="145"/>
      <c r="J881" s="145"/>
      <c r="K881" s="145"/>
      <c r="L881" s="145"/>
      <c r="M881" s="146"/>
      <c r="N881" s="145"/>
      <c r="O881" s="145"/>
      <c r="P881" s="145"/>
      <c r="Q881" s="145"/>
      <c r="R881" s="145"/>
      <c r="S881" s="145"/>
      <c r="T881" s="145"/>
      <c r="U881" s="145"/>
      <c r="V881" s="145"/>
      <c r="W881" s="145"/>
      <c r="X881" s="145"/>
      <c r="Y881" s="145"/>
      <c r="Z881" s="145"/>
    </row>
    <row r="882" spans="1:26" ht="13.2">
      <c r="A882" s="144">
        <v>0</v>
      </c>
      <c r="B882" s="145"/>
      <c r="C882" s="145"/>
      <c r="D882" s="145"/>
      <c r="E882" s="145"/>
      <c r="F882" s="145"/>
      <c r="G882" s="145"/>
      <c r="H882" s="145"/>
      <c r="I882" s="145"/>
      <c r="J882" s="145"/>
      <c r="K882" s="145"/>
      <c r="L882" s="145"/>
      <c r="M882" s="146"/>
      <c r="N882" s="145"/>
      <c r="O882" s="145"/>
      <c r="P882" s="145"/>
      <c r="Q882" s="145"/>
      <c r="R882" s="145"/>
      <c r="S882" s="145"/>
      <c r="T882" s="145"/>
      <c r="U882" s="145"/>
      <c r="V882" s="145"/>
      <c r="W882" s="145"/>
      <c r="X882" s="145"/>
      <c r="Y882" s="145"/>
      <c r="Z882" s="145"/>
    </row>
    <row r="883" spans="1:26" ht="13.2">
      <c r="A883" s="144">
        <v>0</v>
      </c>
      <c r="B883" s="145"/>
      <c r="C883" s="145"/>
      <c r="D883" s="145"/>
      <c r="E883" s="145"/>
      <c r="F883" s="145"/>
      <c r="G883" s="145"/>
      <c r="H883" s="145"/>
      <c r="I883" s="145"/>
      <c r="J883" s="145"/>
      <c r="K883" s="145"/>
      <c r="L883" s="145"/>
      <c r="M883" s="146"/>
      <c r="N883" s="145"/>
      <c r="O883" s="145"/>
      <c r="P883" s="145"/>
      <c r="Q883" s="145"/>
      <c r="R883" s="145"/>
      <c r="S883" s="145"/>
      <c r="T883" s="145"/>
      <c r="U883" s="145"/>
      <c r="V883" s="145"/>
      <c r="W883" s="145"/>
      <c r="X883" s="145"/>
      <c r="Y883" s="145"/>
      <c r="Z883" s="145"/>
    </row>
    <row r="884" spans="1:26" ht="13.2">
      <c r="A884" s="144">
        <v>0</v>
      </c>
      <c r="B884" s="145"/>
      <c r="C884" s="145"/>
      <c r="D884" s="145"/>
      <c r="E884" s="145"/>
      <c r="F884" s="145"/>
      <c r="G884" s="145"/>
      <c r="H884" s="145"/>
      <c r="I884" s="145"/>
      <c r="J884" s="145"/>
      <c r="K884" s="145"/>
      <c r="L884" s="145"/>
      <c r="M884" s="146"/>
      <c r="N884" s="145"/>
      <c r="O884" s="145"/>
      <c r="P884" s="145"/>
      <c r="Q884" s="145"/>
      <c r="R884" s="145"/>
      <c r="S884" s="145"/>
      <c r="T884" s="145"/>
      <c r="U884" s="145"/>
      <c r="V884" s="145"/>
      <c r="W884" s="145"/>
      <c r="X884" s="145"/>
      <c r="Y884" s="145"/>
      <c r="Z884" s="145"/>
    </row>
    <row r="885" spans="1:26" ht="13.2">
      <c r="A885" s="144">
        <v>0</v>
      </c>
      <c r="B885" s="145"/>
      <c r="C885" s="145"/>
      <c r="D885" s="145"/>
      <c r="E885" s="145"/>
      <c r="F885" s="145"/>
      <c r="G885" s="145"/>
      <c r="H885" s="145"/>
      <c r="I885" s="145"/>
      <c r="J885" s="145"/>
      <c r="K885" s="145"/>
      <c r="L885" s="145"/>
      <c r="M885" s="146"/>
      <c r="N885" s="145"/>
      <c r="O885" s="145"/>
      <c r="P885" s="145"/>
      <c r="Q885" s="145"/>
      <c r="R885" s="145"/>
      <c r="S885" s="145"/>
      <c r="T885" s="145"/>
      <c r="U885" s="145"/>
      <c r="V885" s="145"/>
      <c r="W885" s="145"/>
      <c r="X885" s="145"/>
      <c r="Y885" s="145"/>
      <c r="Z885" s="145"/>
    </row>
    <row r="886" spans="1:26" ht="13.2">
      <c r="A886" s="144">
        <v>0</v>
      </c>
      <c r="B886" s="145"/>
      <c r="C886" s="145"/>
      <c r="D886" s="145"/>
      <c r="E886" s="145"/>
      <c r="F886" s="145"/>
      <c r="G886" s="145"/>
      <c r="H886" s="145"/>
      <c r="I886" s="145"/>
      <c r="J886" s="145"/>
      <c r="K886" s="145"/>
      <c r="L886" s="145"/>
      <c r="M886" s="146"/>
      <c r="N886" s="145"/>
      <c r="O886" s="145"/>
      <c r="P886" s="145"/>
      <c r="Q886" s="145"/>
      <c r="R886" s="145"/>
      <c r="S886" s="145"/>
      <c r="T886" s="145"/>
      <c r="U886" s="145"/>
      <c r="V886" s="145"/>
      <c r="W886" s="145"/>
      <c r="X886" s="145"/>
      <c r="Y886" s="145"/>
      <c r="Z886" s="145"/>
    </row>
    <row r="887" spans="1:26" ht="13.2">
      <c r="A887" s="144">
        <v>0</v>
      </c>
      <c r="B887" s="145"/>
      <c r="C887" s="145"/>
      <c r="D887" s="145"/>
      <c r="E887" s="145"/>
      <c r="F887" s="145"/>
      <c r="G887" s="145"/>
      <c r="H887" s="145"/>
      <c r="I887" s="145"/>
      <c r="J887" s="145"/>
      <c r="K887" s="145"/>
      <c r="L887" s="145"/>
      <c r="M887" s="146"/>
      <c r="N887" s="145"/>
      <c r="O887" s="145"/>
      <c r="P887" s="145"/>
      <c r="Q887" s="145"/>
      <c r="R887" s="145"/>
      <c r="S887" s="145"/>
      <c r="T887" s="145"/>
      <c r="U887" s="145"/>
      <c r="V887" s="145"/>
      <c r="W887" s="145"/>
      <c r="X887" s="145"/>
      <c r="Y887" s="145"/>
      <c r="Z887" s="145"/>
    </row>
    <row r="888" spans="1:26" ht="13.2">
      <c r="A888" s="144">
        <v>0</v>
      </c>
      <c r="B888" s="145"/>
      <c r="C888" s="145"/>
      <c r="D888" s="145"/>
      <c r="E888" s="145"/>
      <c r="F888" s="145"/>
      <c r="G888" s="145"/>
      <c r="H888" s="145"/>
      <c r="I888" s="145"/>
      <c r="J888" s="145"/>
      <c r="K888" s="145"/>
      <c r="L888" s="145"/>
      <c r="M888" s="146"/>
      <c r="N888" s="145"/>
      <c r="O888" s="145"/>
      <c r="P888" s="145"/>
      <c r="Q888" s="145"/>
      <c r="R888" s="145"/>
      <c r="S888" s="145"/>
      <c r="T888" s="145"/>
      <c r="U888" s="145"/>
      <c r="V888" s="145"/>
      <c r="W888" s="145"/>
      <c r="X888" s="145"/>
      <c r="Y888" s="145"/>
      <c r="Z888" s="145"/>
    </row>
    <row r="889" spans="1:26" ht="13.2">
      <c r="A889" s="144">
        <v>0</v>
      </c>
      <c r="B889" s="145"/>
      <c r="C889" s="145"/>
      <c r="D889" s="145"/>
      <c r="E889" s="145"/>
      <c r="F889" s="145"/>
      <c r="G889" s="145"/>
      <c r="H889" s="145"/>
      <c r="I889" s="145"/>
      <c r="J889" s="145"/>
      <c r="K889" s="145"/>
      <c r="L889" s="145"/>
      <c r="M889" s="146"/>
      <c r="N889" s="145"/>
      <c r="O889" s="145"/>
      <c r="P889" s="145"/>
      <c r="Q889" s="145"/>
      <c r="R889" s="145"/>
      <c r="S889" s="145"/>
      <c r="T889" s="145"/>
      <c r="U889" s="145"/>
      <c r="V889" s="145"/>
      <c r="W889" s="145"/>
      <c r="X889" s="145"/>
      <c r="Y889" s="145"/>
      <c r="Z889" s="145"/>
    </row>
    <row r="890" spans="1:26" ht="13.2">
      <c r="A890" s="144">
        <v>0</v>
      </c>
      <c r="B890" s="145"/>
      <c r="C890" s="145"/>
      <c r="D890" s="145"/>
      <c r="E890" s="145"/>
      <c r="F890" s="145"/>
      <c r="G890" s="145"/>
      <c r="H890" s="145"/>
      <c r="I890" s="145"/>
      <c r="J890" s="145"/>
      <c r="K890" s="145"/>
      <c r="L890" s="145"/>
      <c r="M890" s="146"/>
      <c r="N890" s="145"/>
      <c r="O890" s="145"/>
      <c r="P890" s="145"/>
      <c r="Q890" s="145"/>
      <c r="R890" s="145"/>
      <c r="S890" s="145"/>
      <c r="T890" s="145"/>
      <c r="U890" s="145"/>
      <c r="V890" s="145"/>
      <c r="W890" s="145"/>
      <c r="X890" s="145"/>
      <c r="Y890" s="145"/>
      <c r="Z890" s="145"/>
    </row>
    <row r="891" spans="1:26" ht="13.2">
      <c r="A891" s="144">
        <v>0</v>
      </c>
      <c r="B891" s="145"/>
      <c r="C891" s="145"/>
      <c r="D891" s="145"/>
      <c r="E891" s="145"/>
      <c r="F891" s="145"/>
      <c r="G891" s="145"/>
      <c r="H891" s="145"/>
      <c r="I891" s="145"/>
      <c r="J891" s="145"/>
      <c r="K891" s="145"/>
      <c r="L891" s="145"/>
      <c r="M891" s="146"/>
      <c r="N891" s="145"/>
      <c r="O891" s="145"/>
      <c r="P891" s="145"/>
      <c r="Q891" s="145"/>
      <c r="R891" s="145"/>
      <c r="S891" s="145"/>
      <c r="T891" s="145"/>
      <c r="U891" s="145"/>
      <c r="V891" s="145"/>
      <c r="W891" s="145"/>
      <c r="X891" s="145"/>
      <c r="Y891" s="145"/>
      <c r="Z891" s="145"/>
    </row>
    <row r="892" spans="1:26" ht="13.2">
      <c r="A892" s="144">
        <v>0</v>
      </c>
      <c r="B892" s="145"/>
      <c r="C892" s="145"/>
      <c r="D892" s="145"/>
      <c r="E892" s="145"/>
      <c r="F892" s="145"/>
      <c r="G892" s="145"/>
      <c r="H892" s="145"/>
      <c r="I892" s="145"/>
      <c r="J892" s="145"/>
      <c r="K892" s="145"/>
      <c r="L892" s="145"/>
      <c r="M892" s="146"/>
      <c r="N892" s="145"/>
      <c r="O892" s="145"/>
      <c r="P892" s="145"/>
      <c r="Q892" s="145"/>
      <c r="R892" s="145"/>
      <c r="S892" s="145"/>
      <c r="T892" s="145"/>
      <c r="U892" s="145"/>
      <c r="V892" s="145"/>
      <c r="W892" s="145"/>
      <c r="X892" s="145"/>
      <c r="Y892" s="145"/>
      <c r="Z892" s="145"/>
    </row>
    <row r="893" spans="1:26" ht="13.2">
      <c r="A893" s="144">
        <v>0</v>
      </c>
      <c r="B893" s="145"/>
      <c r="C893" s="145"/>
      <c r="D893" s="145"/>
      <c r="E893" s="145"/>
      <c r="F893" s="145"/>
      <c r="G893" s="145"/>
      <c r="H893" s="145"/>
      <c r="I893" s="145"/>
      <c r="J893" s="145"/>
      <c r="K893" s="145"/>
      <c r="L893" s="145"/>
      <c r="M893" s="146"/>
      <c r="N893" s="145"/>
      <c r="O893" s="145"/>
      <c r="P893" s="145"/>
      <c r="Q893" s="145"/>
      <c r="R893" s="145"/>
      <c r="S893" s="145"/>
      <c r="T893" s="145"/>
      <c r="U893" s="145"/>
      <c r="V893" s="145"/>
      <c r="W893" s="145"/>
      <c r="X893" s="145"/>
      <c r="Y893" s="145"/>
      <c r="Z893" s="145"/>
    </row>
    <row r="894" spans="1:26" ht="13.2">
      <c r="A894" s="144">
        <v>0</v>
      </c>
      <c r="B894" s="145"/>
      <c r="C894" s="145"/>
      <c r="D894" s="145"/>
      <c r="E894" s="145"/>
      <c r="F894" s="145"/>
      <c r="G894" s="145"/>
      <c r="H894" s="145"/>
      <c r="I894" s="145"/>
      <c r="J894" s="145"/>
      <c r="K894" s="145"/>
      <c r="L894" s="145"/>
      <c r="M894" s="146"/>
      <c r="N894" s="145"/>
      <c r="O894" s="145"/>
      <c r="P894" s="145"/>
      <c r="Q894" s="145"/>
      <c r="R894" s="145"/>
      <c r="S894" s="145"/>
      <c r="T894" s="145"/>
      <c r="U894" s="145"/>
      <c r="V894" s="145"/>
      <c r="W894" s="145"/>
      <c r="X894" s="145"/>
      <c r="Y894" s="145"/>
      <c r="Z894" s="145"/>
    </row>
    <row r="895" spans="1:26" ht="13.2">
      <c r="A895" s="144">
        <v>0</v>
      </c>
      <c r="B895" s="145"/>
      <c r="C895" s="145"/>
      <c r="D895" s="145"/>
      <c r="E895" s="145"/>
      <c r="F895" s="145"/>
      <c r="G895" s="145"/>
      <c r="H895" s="145"/>
      <c r="I895" s="145"/>
      <c r="J895" s="145"/>
      <c r="K895" s="145"/>
      <c r="L895" s="145"/>
      <c r="M895" s="146"/>
      <c r="N895" s="145"/>
      <c r="O895" s="145"/>
      <c r="P895" s="145"/>
      <c r="Q895" s="145"/>
      <c r="R895" s="145"/>
      <c r="S895" s="145"/>
      <c r="T895" s="145"/>
      <c r="U895" s="145"/>
      <c r="V895" s="145"/>
      <c r="W895" s="145"/>
      <c r="X895" s="145"/>
      <c r="Y895" s="145"/>
      <c r="Z895" s="145"/>
    </row>
    <row r="896" spans="1:26" ht="13.2">
      <c r="A896" s="144">
        <v>0</v>
      </c>
      <c r="B896" s="145"/>
      <c r="C896" s="145"/>
      <c r="D896" s="145"/>
      <c r="E896" s="145"/>
      <c r="F896" s="145"/>
      <c r="G896" s="145"/>
      <c r="H896" s="145"/>
      <c r="I896" s="145"/>
      <c r="J896" s="145"/>
      <c r="K896" s="145"/>
      <c r="L896" s="145"/>
      <c r="M896" s="146"/>
      <c r="N896" s="145"/>
      <c r="O896" s="145"/>
      <c r="P896" s="145"/>
      <c r="Q896" s="145"/>
      <c r="R896" s="145"/>
      <c r="S896" s="145"/>
      <c r="T896" s="145"/>
      <c r="U896" s="145"/>
      <c r="V896" s="145"/>
      <c r="W896" s="145"/>
      <c r="X896" s="145"/>
      <c r="Y896" s="145"/>
      <c r="Z896" s="145"/>
    </row>
    <row r="897" spans="1:26" ht="13.2">
      <c r="A897" s="144">
        <v>0</v>
      </c>
      <c r="B897" s="145"/>
      <c r="C897" s="145"/>
      <c r="D897" s="145"/>
      <c r="E897" s="145"/>
      <c r="F897" s="145"/>
      <c r="G897" s="145"/>
      <c r="H897" s="145"/>
      <c r="I897" s="145"/>
      <c r="J897" s="145"/>
      <c r="K897" s="145"/>
      <c r="L897" s="145"/>
      <c r="M897" s="146"/>
      <c r="N897" s="145"/>
      <c r="O897" s="145"/>
      <c r="P897" s="145"/>
      <c r="Q897" s="145"/>
      <c r="R897" s="145"/>
      <c r="S897" s="145"/>
      <c r="T897" s="145"/>
      <c r="U897" s="145"/>
      <c r="V897" s="145"/>
      <c r="W897" s="145"/>
      <c r="X897" s="145"/>
      <c r="Y897" s="145"/>
      <c r="Z897" s="145"/>
    </row>
    <row r="898" spans="1:26" ht="13.2">
      <c r="A898" s="144">
        <v>0</v>
      </c>
      <c r="B898" s="145"/>
      <c r="C898" s="145"/>
      <c r="D898" s="145"/>
      <c r="E898" s="145"/>
      <c r="F898" s="145"/>
      <c r="G898" s="145"/>
      <c r="H898" s="145"/>
      <c r="I898" s="145"/>
      <c r="J898" s="145"/>
      <c r="K898" s="145"/>
      <c r="L898" s="145"/>
      <c r="M898" s="146"/>
      <c r="N898" s="145"/>
      <c r="O898" s="145"/>
      <c r="P898" s="145"/>
      <c r="Q898" s="145"/>
      <c r="R898" s="145"/>
      <c r="S898" s="145"/>
      <c r="T898" s="145"/>
      <c r="U898" s="145"/>
      <c r="V898" s="145"/>
      <c r="W898" s="145"/>
      <c r="X898" s="145"/>
      <c r="Y898" s="145"/>
      <c r="Z898" s="145"/>
    </row>
    <row r="899" spans="1:26" ht="13.2">
      <c r="A899" s="144">
        <v>0</v>
      </c>
      <c r="B899" s="145"/>
      <c r="C899" s="145"/>
      <c r="D899" s="145"/>
      <c r="E899" s="145"/>
      <c r="F899" s="145"/>
      <c r="G899" s="145"/>
      <c r="H899" s="145"/>
      <c r="I899" s="145"/>
      <c r="J899" s="145"/>
      <c r="K899" s="145"/>
      <c r="L899" s="145"/>
      <c r="M899" s="146"/>
      <c r="N899" s="145"/>
      <c r="O899" s="145"/>
      <c r="P899" s="145"/>
      <c r="Q899" s="145"/>
      <c r="R899" s="145"/>
      <c r="S899" s="145"/>
      <c r="T899" s="145"/>
      <c r="U899" s="145"/>
      <c r="V899" s="145"/>
      <c r="W899" s="145"/>
      <c r="X899" s="145"/>
      <c r="Y899" s="145"/>
      <c r="Z899" s="145"/>
    </row>
    <row r="900" spans="1:26" ht="13.2">
      <c r="A900" s="144">
        <v>0</v>
      </c>
      <c r="B900" s="145"/>
      <c r="C900" s="145"/>
      <c r="D900" s="145"/>
      <c r="E900" s="145"/>
      <c r="F900" s="145"/>
      <c r="G900" s="145"/>
      <c r="H900" s="145"/>
      <c r="I900" s="145"/>
      <c r="J900" s="145"/>
      <c r="K900" s="145"/>
      <c r="L900" s="145"/>
      <c r="M900" s="146"/>
      <c r="N900" s="145"/>
      <c r="O900" s="145"/>
      <c r="P900" s="145"/>
      <c r="Q900" s="145"/>
      <c r="R900" s="145"/>
      <c r="S900" s="145"/>
      <c r="T900" s="145"/>
      <c r="U900" s="145"/>
      <c r="V900" s="145"/>
      <c r="W900" s="145"/>
      <c r="X900" s="145"/>
      <c r="Y900" s="145"/>
      <c r="Z900" s="145"/>
    </row>
    <row r="901" spans="1:26" ht="13.2">
      <c r="A901" s="144">
        <v>0</v>
      </c>
      <c r="B901" s="145"/>
      <c r="C901" s="145"/>
      <c r="D901" s="145"/>
      <c r="E901" s="145"/>
      <c r="F901" s="145"/>
      <c r="G901" s="145"/>
      <c r="H901" s="145"/>
      <c r="I901" s="145"/>
      <c r="J901" s="145"/>
      <c r="K901" s="145"/>
      <c r="L901" s="145"/>
      <c r="M901" s="146"/>
      <c r="N901" s="145"/>
      <c r="O901" s="145"/>
      <c r="P901" s="145"/>
      <c r="Q901" s="145"/>
      <c r="R901" s="145"/>
      <c r="S901" s="145"/>
      <c r="T901" s="145"/>
      <c r="U901" s="145"/>
      <c r="V901" s="145"/>
      <c r="W901" s="145"/>
      <c r="X901" s="145"/>
      <c r="Y901" s="145"/>
      <c r="Z901" s="145"/>
    </row>
    <row r="902" spans="1:26" ht="13.2">
      <c r="A902" s="144">
        <v>0</v>
      </c>
      <c r="B902" s="145"/>
      <c r="C902" s="145"/>
      <c r="D902" s="145"/>
      <c r="E902" s="145"/>
      <c r="F902" s="145"/>
      <c r="G902" s="145"/>
      <c r="H902" s="145"/>
      <c r="I902" s="145"/>
      <c r="J902" s="145"/>
      <c r="K902" s="145"/>
      <c r="L902" s="145"/>
      <c r="M902" s="146"/>
      <c r="N902" s="145"/>
      <c r="O902" s="145"/>
      <c r="P902" s="145"/>
      <c r="Q902" s="145"/>
      <c r="R902" s="145"/>
      <c r="S902" s="145"/>
      <c r="T902" s="145"/>
      <c r="U902" s="145"/>
      <c r="V902" s="145"/>
      <c r="W902" s="145"/>
      <c r="X902" s="145"/>
      <c r="Y902" s="145"/>
      <c r="Z902" s="145"/>
    </row>
    <row r="903" spans="1:26" ht="13.2">
      <c r="A903" s="144">
        <v>0</v>
      </c>
      <c r="B903" s="145"/>
      <c r="C903" s="145"/>
      <c r="D903" s="145"/>
      <c r="E903" s="145"/>
      <c r="F903" s="145"/>
      <c r="G903" s="145"/>
      <c r="H903" s="145"/>
      <c r="I903" s="145"/>
      <c r="J903" s="145"/>
      <c r="K903" s="145"/>
      <c r="L903" s="145"/>
      <c r="M903" s="146"/>
      <c r="N903" s="145"/>
      <c r="O903" s="145"/>
      <c r="P903" s="145"/>
      <c r="Q903" s="145"/>
      <c r="R903" s="145"/>
      <c r="S903" s="145"/>
      <c r="T903" s="145"/>
      <c r="U903" s="145"/>
      <c r="V903" s="145"/>
      <c r="W903" s="145"/>
      <c r="X903" s="145"/>
      <c r="Y903" s="145"/>
      <c r="Z903" s="145"/>
    </row>
    <row r="904" spans="1:26" ht="13.2">
      <c r="A904" s="144">
        <v>0</v>
      </c>
      <c r="B904" s="145"/>
      <c r="C904" s="145"/>
      <c r="D904" s="145"/>
      <c r="E904" s="145"/>
      <c r="F904" s="145"/>
      <c r="G904" s="145"/>
      <c r="H904" s="145"/>
      <c r="I904" s="145"/>
      <c r="J904" s="145"/>
      <c r="K904" s="145"/>
      <c r="L904" s="145"/>
      <c r="M904" s="146"/>
      <c r="N904" s="145"/>
      <c r="O904" s="145"/>
      <c r="P904" s="145"/>
      <c r="Q904" s="145"/>
      <c r="R904" s="145"/>
      <c r="S904" s="145"/>
      <c r="T904" s="145"/>
      <c r="U904" s="145"/>
      <c r="V904" s="145"/>
      <c r="W904" s="145"/>
      <c r="X904" s="145"/>
      <c r="Y904" s="145"/>
      <c r="Z904" s="145"/>
    </row>
    <row r="905" spans="1:26" ht="13.2">
      <c r="A905" s="144">
        <v>0</v>
      </c>
      <c r="B905" s="145"/>
      <c r="C905" s="145"/>
      <c r="D905" s="145"/>
      <c r="E905" s="145"/>
      <c r="F905" s="145"/>
      <c r="G905" s="145"/>
      <c r="H905" s="145"/>
      <c r="I905" s="145"/>
      <c r="J905" s="145"/>
      <c r="K905" s="145"/>
      <c r="L905" s="145"/>
      <c r="M905" s="146"/>
      <c r="N905" s="145"/>
      <c r="O905" s="145"/>
      <c r="P905" s="145"/>
      <c r="Q905" s="145"/>
      <c r="R905" s="145"/>
      <c r="S905" s="145"/>
      <c r="T905" s="145"/>
      <c r="U905" s="145"/>
      <c r="V905" s="145"/>
      <c r="W905" s="145"/>
      <c r="X905" s="145"/>
      <c r="Y905" s="145"/>
      <c r="Z905" s="145"/>
    </row>
    <row r="906" spans="1:26" ht="13.2">
      <c r="A906" s="144">
        <v>0</v>
      </c>
      <c r="B906" s="145"/>
      <c r="C906" s="145"/>
      <c r="D906" s="145"/>
      <c r="E906" s="145"/>
      <c r="F906" s="145"/>
      <c r="G906" s="145"/>
      <c r="H906" s="145"/>
      <c r="I906" s="145"/>
      <c r="J906" s="145"/>
      <c r="K906" s="145"/>
      <c r="L906" s="145"/>
      <c r="M906" s="146"/>
      <c r="N906" s="145"/>
      <c r="O906" s="145"/>
      <c r="P906" s="145"/>
      <c r="Q906" s="145"/>
      <c r="R906" s="145"/>
      <c r="S906" s="145"/>
      <c r="T906" s="145"/>
      <c r="U906" s="145"/>
      <c r="V906" s="145"/>
      <c r="W906" s="145"/>
      <c r="X906" s="145"/>
      <c r="Y906" s="145"/>
      <c r="Z906" s="145"/>
    </row>
    <row r="907" spans="1:26" ht="13.2">
      <c r="A907" s="144">
        <v>0</v>
      </c>
      <c r="B907" s="145"/>
      <c r="C907" s="145"/>
      <c r="D907" s="145"/>
      <c r="E907" s="145"/>
      <c r="F907" s="145"/>
      <c r="G907" s="145"/>
      <c r="H907" s="145"/>
      <c r="I907" s="145"/>
      <c r="J907" s="145"/>
      <c r="K907" s="145"/>
      <c r="L907" s="145"/>
      <c r="M907" s="146"/>
      <c r="N907" s="145"/>
      <c r="O907" s="145"/>
      <c r="P907" s="145"/>
      <c r="Q907" s="145"/>
      <c r="R907" s="145"/>
      <c r="S907" s="145"/>
      <c r="T907" s="145"/>
      <c r="U907" s="145"/>
      <c r="V907" s="145"/>
      <c r="W907" s="145"/>
      <c r="X907" s="145"/>
      <c r="Y907" s="145"/>
      <c r="Z907" s="145"/>
    </row>
    <row r="908" spans="1:26" ht="13.2">
      <c r="A908" s="144">
        <v>0</v>
      </c>
      <c r="B908" s="145"/>
      <c r="C908" s="145"/>
      <c r="D908" s="145"/>
      <c r="E908" s="145"/>
      <c r="F908" s="145"/>
      <c r="G908" s="145"/>
      <c r="H908" s="145"/>
      <c r="I908" s="145"/>
      <c r="J908" s="145"/>
      <c r="K908" s="145"/>
      <c r="L908" s="145"/>
      <c r="M908" s="146"/>
      <c r="N908" s="145"/>
      <c r="O908" s="145"/>
      <c r="P908" s="145"/>
      <c r="Q908" s="145"/>
      <c r="R908" s="145"/>
      <c r="S908" s="145"/>
      <c r="T908" s="145"/>
      <c r="U908" s="145"/>
      <c r="V908" s="145"/>
      <c r="W908" s="145"/>
      <c r="X908" s="145"/>
      <c r="Y908" s="145"/>
      <c r="Z908" s="145"/>
    </row>
    <row r="909" spans="1:26" ht="13.2">
      <c r="A909" s="144">
        <v>0</v>
      </c>
      <c r="B909" s="145"/>
      <c r="C909" s="145"/>
      <c r="D909" s="145"/>
      <c r="E909" s="145"/>
      <c r="F909" s="145"/>
      <c r="G909" s="145"/>
      <c r="H909" s="145"/>
      <c r="I909" s="145"/>
      <c r="J909" s="145"/>
      <c r="K909" s="145"/>
      <c r="L909" s="145"/>
      <c r="M909" s="146"/>
      <c r="N909" s="145"/>
      <c r="O909" s="145"/>
      <c r="P909" s="145"/>
      <c r="Q909" s="145"/>
      <c r="R909" s="145"/>
      <c r="S909" s="145"/>
      <c r="T909" s="145"/>
      <c r="U909" s="145"/>
      <c r="V909" s="145"/>
      <c r="W909" s="145"/>
      <c r="X909" s="145"/>
      <c r="Y909" s="145"/>
      <c r="Z909" s="145"/>
    </row>
    <row r="910" spans="1:26" ht="13.2">
      <c r="A910" s="144">
        <v>0</v>
      </c>
      <c r="B910" s="145"/>
      <c r="C910" s="145"/>
      <c r="D910" s="145"/>
      <c r="E910" s="145"/>
      <c r="F910" s="145"/>
      <c r="G910" s="145"/>
      <c r="H910" s="145"/>
      <c r="I910" s="145"/>
      <c r="J910" s="145"/>
      <c r="K910" s="145"/>
      <c r="L910" s="145"/>
      <c r="M910" s="146"/>
      <c r="N910" s="145"/>
      <c r="O910" s="145"/>
      <c r="P910" s="145"/>
      <c r="Q910" s="145"/>
      <c r="R910" s="145"/>
      <c r="S910" s="145"/>
      <c r="T910" s="145"/>
      <c r="U910" s="145"/>
      <c r="V910" s="145"/>
      <c r="W910" s="145"/>
      <c r="X910" s="145"/>
      <c r="Y910" s="145"/>
      <c r="Z910" s="145"/>
    </row>
    <row r="911" spans="1:26" ht="13.2">
      <c r="A911" s="144">
        <v>0</v>
      </c>
      <c r="B911" s="145"/>
      <c r="C911" s="145"/>
      <c r="D911" s="145"/>
      <c r="E911" s="145"/>
      <c r="F911" s="145"/>
      <c r="G911" s="145"/>
      <c r="H911" s="145"/>
      <c r="I911" s="145"/>
      <c r="J911" s="145"/>
      <c r="K911" s="145"/>
      <c r="L911" s="145"/>
      <c r="M911" s="146"/>
      <c r="N911" s="145"/>
      <c r="O911" s="145"/>
      <c r="P911" s="145"/>
      <c r="Q911" s="145"/>
      <c r="R911" s="145"/>
      <c r="S911" s="145"/>
      <c r="T911" s="145"/>
      <c r="U911" s="145"/>
      <c r="V911" s="145"/>
      <c r="W911" s="145"/>
      <c r="X911" s="145"/>
      <c r="Y911" s="145"/>
      <c r="Z911" s="145"/>
    </row>
    <row r="912" spans="1:26" ht="13.2">
      <c r="A912" s="144">
        <v>0</v>
      </c>
      <c r="B912" s="145"/>
      <c r="C912" s="145"/>
      <c r="D912" s="145"/>
      <c r="E912" s="145"/>
      <c r="F912" s="145"/>
      <c r="G912" s="145"/>
      <c r="H912" s="145"/>
      <c r="I912" s="145"/>
      <c r="J912" s="145"/>
      <c r="K912" s="145"/>
      <c r="L912" s="145"/>
      <c r="M912" s="146"/>
      <c r="N912" s="145"/>
      <c r="O912" s="145"/>
      <c r="P912" s="145"/>
      <c r="Q912" s="145"/>
      <c r="R912" s="145"/>
      <c r="S912" s="145"/>
      <c r="T912" s="145"/>
      <c r="U912" s="145"/>
      <c r="V912" s="145"/>
      <c r="W912" s="145"/>
      <c r="X912" s="145"/>
      <c r="Y912" s="145"/>
      <c r="Z912" s="145"/>
    </row>
    <row r="913" spans="1:26" ht="13.2">
      <c r="A913" s="144">
        <v>0</v>
      </c>
      <c r="B913" s="145"/>
      <c r="C913" s="145"/>
      <c r="D913" s="145"/>
      <c r="E913" s="145"/>
      <c r="F913" s="145"/>
      <c r="G913" s="145"/>
      <c r="H913" s="145"/>
      <c r="I913" s="145"/>
      <c r="J913" s="145"/>
      <c r="K913" s="145"/>
      <c r="L913" s="145"/>
      <c r="M913" s="146"/>
      <c r="N913" s="145"/>
      <c r="O913" s="145"/>
      <c r="P913" s="145"/>
      <c r="Q913" s="145"/>
      <c r="R913" s="145"/>
      <c r="S913" s="145"/>
      <c r="T913" s="145"/>
      <c r="U913" s="145"/>
      <c r="V913" s="145"/>
      <c r="W913" s="145"/>
      <c r="X913" s="145"/>
      <c r="Y913" s="145"/>
      <c r="Z913" s="145"/>
    </row>
    <row r="914" spans="1:26" ht="13.2">
      <c r="A914" s="144">
        <v>0</v>
      </c>
      <c r="B914" s="145"/>
      <c r="C914" s="145"/>
      <c r="D914" s="145"/>
      <c r="E914" s="145"/>
      <c r="F914" s="145"/>
      <c r="G914" s="145"/>
      <c r="H914" s="145"/>
      <c r="I914" s="145"/>
      <c r="J914" s="145"/>
      <c r="K914" s="145"/>
      <c r="L914" s="145"/>
      <c r="M914" s="146"/>
      <c r="N914" s="145"/>
      <c r="O914" s="145"/>
      <c r="P914" s="145"/>
      <c r="Q914" s="145"/>
      <c r="R914" s="145"/>
      <c r="S914" s="145"/>
      <c r="T914" s="145"/>
      <c r="U914" s="145"/>
      <c r="V914" s="145"/>
      <c r="W914" s="145"/>
      <c r="X914" s="145"/>
      <c r="Y914" s="145"/>
      <c r="Z914" s="145"/>
    </row>
    <row r="915" spans="1:26" ht="13.2">
      <c r="A915" s="144">
        <v>0</v>
      </c>
      <c r="B915" s="145"/>
      <c r="C915" s="145"/>
      <c r="D915" s="145"/>
      <c r="E915" s="145"/>
      <c r="F915" s="145"/>
      <c r="G915" s="145"/>
      <c r="H915" s="145"/>
      <c r="I915" s="145"/>
      <c r="J915" s="145"/>
      <c r="K915" s="145"/>
      <c r="L915" s="145"/>
      <c r="M915" s="146"/>
      <c r="N915" s="145"/>
      <c r="O915" s="145"/>
      <c r="P915" s="145"/>
      <c r="Q915" s="145"/>
      <c r="R915" s="145"/>
      <c r="S915" s="145"/>
      <c r="T915" s="145"/>
      <c r="U915" s="145"/>
      <c r="V915" s="145"/>
      <c r="W915" s="145"/>
      <c r="X915" s="145"/>
      <c r="Y915" s="145"/>
      <c r="Z915" s="145"/>
    </row>
    <row r="916" spans="1:26" ht="13.2">
      <c r="A916" s="144">
        <v>0</v>
      </c>
      <c r="B916" s="145"/>
      <c r="C916" s="145"/>
      <c r="D916" s="145"/>
      <c r="E916" s="145"/>
      <c r="F916" s="145"/>
      <c r="G916" s="145"/>
      <c r="H916" s="145"/>
      <c r="I916" s="145"/>
      <c r="J916" s="145"/>
      <c r="K916" s="145"/>
      <c r="L916" s="145"/>
      <c r="M916" s="146"/>
      <c r="N916" s="145"/>
      <c r="O916" s="145"/>
      <c r="P916" s="145"/>
      <c r="Q916" s="145"/>
      <c r="R916" s="145"/>
      <c r="S916" s="145"/>
      <c r="T916" s="145"/>
      <c r="U916" s="145"/>
      <c r="V916" s="145"/>
      <c r="W916" s="145"/>
      <c r="X916" s="145"/>
      <c r="Y916" s="145"/>
      <c r="Z916" s="145"/>
    </row>
    <row r="917" spans="1:26" ht="13.2">
      <c r="A917" s="144">
        <v>0</v>
      </c>
      <c r="B917" s="145"/>
      <c r="C917" s="145"/>
      <c r="D917" s="145"/>
      <c r="E917" s="145"/>
      <c r="F917" s="145"/>
      <c r="G917" s="145"/>
      <c r="H917" s="145"/>
      <c r="I917" s="145"/>
      <c r="J917" s="145"/>
      <c r="K917" s="145"/>
      <c r="L917" s="145"/>
      <c r="M917" s="146"/>
      <c r="N917" s="145"/>
      <c r="O917" s="145"/>
      <c r="P917" s="145"/>
      <c r="Q917" s="145"/>
      <c r="R917" s="145"/>
      <c r="S917" s="145"/>
      <c r="T917" s="145"/>
      <c r="U917" s="145"/>
      <c r="V917" s="145"/>
      <c r="W917" s="145"/>
      <c r="X917" s="145"/>
      <c r="Y917" s="145"/>
      <c r="Z917" s="145"/>
    </row>
    <row r="918" spans="1:26" ht="13.2">
      <c r="A918" s="144">
        <v>0</v>
      </c>
      <c r="B918" s="145"/>
      <c r="C918" s="145"/>
      <c r="D918" s="145"/>
      <c r="E918" s="145"/>
      <c r="F918" s="145"/>
      <c r="G918" s="145"/>
      <c r="H918" s="145"/>
      <c r="I918" s="145"/>
      <c r="J918" s="145"/>
      <c r="K918" s="145"/>
      <c r="L918" s="145"/>
      <c r="M918" s="146"/>
      <c r="N918" s="145"/>
      <c r="O918" s="145"/>
      <c r="P918" s="145"/>
      <c r="Q918" s="145"/>
      <c r="R918" s="145"/>
      <c r="S918" s="145"/>
      <c r="T918" s="145"/>
      <c r="U918" s="145"/>
      <c r="V918" s="145"/>
      <c r="W918" s="145"/>
      <c r="X918" s="145"/>
      <c r="Y918" s="145"/>
      <c r="Z918" s="145"/>
    </row>
    <row r="919" spans="1:26" ht="13.2">
      <c r="A919" s="144">
        <v>0</v>
      </c>
      <c r="B919" s="145"/>
      <c r="C919" s="145"/>
      <c r="D919" s="145"/>
      <c r="E919" s="145"/>
      <c r="F919" s="145"/>
      <c r="G919" s="145"/>
      <c r="H919" s="145"/>
      <c r="I919" s="145"/>
      <c r="J919" s="145"/>
      <c r="K919" s="145"/>
      <c r="L919" s="145"/>
      <c r="M919" s="146"/>
      <c r="N919" s="145"/>
      <c r="O919" s="145"/>
      <c r="P919" s="145"/>
      <c r="Q919" s="145"/>
      <c r="R919" s="145"/>
      <c r="S919" s="145"/>
      <c r="T919" s="145"/>
      <c r="U919" s="145"/>
      <c r="V919" s="145"/>
      <c r="W919" s="145"/>
      <c r="X919" s="145"/>
      <c r="Y919" s="145"/>
      <c r="Z919" s="145"/>
    </row>
    <row r="920" spans="1:26" ht="13.2">
      <c r="A920" s="144">
        <v>0</v>
      </c>
      <c r="B920" s="145"/>
      <c r="C920" s="145"/>
      <c r="D920" s="145"/>
      <c r="E920" s="145"/>
      <c r="F920" s="145"/>
      <c r="G920" s="145"/>
      <c r="H920" s="145"/>
      <c r="I920" s="145"/>
      <c r="J920" s="145"/>
      <c r="K920" s="145"/>
      <c r="L920" s="145"/>
      <c r="M920" s="146"/>
      <c r="N920" s="145"/>
      <c r="O920" s="145"/>
      <c r="P920" s="145"/>
      <c r="Q920" s="145"/>
      <c r="R920" s="145"/>
      <c r="S920" s="145"/>
      <c r="T920" s="145"/>
      <c r="U920" s="145"/>
      <c r="V920" s="145"/>
      <c r="W920" s="145"/>
      <c r="X920" s="145"/>
      <c r="Y920" s="145"/>
      <c r="Z920" s="145"/>
    </row>
    <row r="921" spans="1:26" ht="13.2">
      <c r="A921" s="144">
        <v>0</v>
      </c>
      <c r="B921" s="145"/>
      <c r="C921" s="145"/>
      <c r="D921" s="145"/>
      <c r="E921" s="145"/>
      <c r="F921" s="145"/>
      <c r="G921" s="145"/>
      <c r="H921" s="145"/>
      <c r="I921" s="145"/>
      <c r="J921" s="145"/>
      <c r="K921" s="145"/>
      <c r="L921" s="145"/>
      <c r="M921" s="146"/>
      <c r="N921" s="145"/>
      <c r="O921" s="145"/>
      <c r="P921" s="145"/>
      <c r="Q921" s="145"/>
      <c r="R921" s="145"/>
      <c r="S921" s="145"/>
      <c r="T921" s="145"/>
      <c r="U921" s="145"/>
      <c r="V921" s="145"/>
      <c r="W921" s="145"/>
      <c r="X921" s="145"/>
      <c r="Y921" s="145"/>
      <c r="Z921" s="145"/>
    </row>
    <row r="922" spans="1:26" ht="13.2">
      <c r="A922" s="144">
        <v>0</v>
      </c>
      <c r="B922" s="145"/>
      <c r="C922" s="145"/>
      <c r="D922" s="145"/>
      <c r="E922" s="145"/>
      <c r="F922" s="145"/>
      <c r="G922" s="145"/>
      <c r="H922" s="145"/>
      <c r="I922" s="145"/>
      <c r="J922" s="145"/>
      <c r="K922" s="145"/>
      <c r="L922" s="145"/>
      <c r="M922" s="146"/>
      <c r="N922" s="145"/>
      <c r="O922" s="145"/>
      <c r="P922" s="145"/>
      <c r="Q922" s="145"/>
      <c r="R922" s="145"/>
      <c r="S922" s="145"/>
      <c r="T922" s="145"/>
      <c r="U922" s="145"/>
      <c r="V922" s="145"/>
      <c r="W922" s="145"/>
      <c r="X922" s="145"/>
      <c r="Y922" s="145"/>
      <c r="Z922" s="145"/>
    </row>
    <row r="923" spans="1:26" ht="13.2">
      <c r="A923" s="144">
        <v>0</v>
      </c>
      <c r="B923" s="145"/>
      <c r="C923" s="145"/>
      <c r="D923" s="145"/>
      <c r="E923" s="145"/>
      <c r="F923" s="145"/>
      <c r="G923" s="145"/>
      <c r="H923" s="145"/>
      <c r="I923" s="145"/>
      <c r="J923" s="145"/>
      <c r="K923" s="145"/>
      <c r="L923" s="145"/>
      <c r="M923" s="146"/>
      <c r="N923" s="145"/>
      <c r="O923" s="145"/>
      <c r="P923" s="145"/>
      <c r="Q923" s="145"/>
      <c r="R923" s="145"/>
      <c r="S923" s="145"/>
      <c r="T923" s="145"/>
      <c r="U923" s="145"/>
      <c r="V923" s="145"/>
      <c r="W923" s="145"/>
      <c r="X923" s="145"/>
      <c r="Y923" s="145"/>
      <c r="Z923" s="145"/>
    </row>
    <row r="924" spans="1:26" ht="13.2">
      <c r="A924" s="144">
        <v>0</v>
      </c>
      <c r="B924" s="145"/>
      <c r="C924" s="145"/>
      <c r="D924" s="145"/>
      <c r="E924" s="145"/>
      <c r="F924" s="145"/>
      <c r="G924" s="145"/>
      <c r="H924" s="145"/>
      <c r="I924" s="145"/>
      <c r="J924" s="145"/>
      <c r="K924" s="145"/>
      <c r="L924" s="145"/>
      <c r="M924" s="146"/>
      <c r="N924" s="145"/>
      <c r="O924" s="145"/>
      <c r="P924" s="145"/>
      <c r="Q924" s="145"/>
      <c r="R924" s="145"/>
      <c r="S924" s="145"/>
      <c r="T924" s="145"/>
      <c r="U924" s="145"/>
      <c r="V924" s="145"/>
      <c r="W924" s="145"/>
      <c r="X924" s="145"/>
      <c r="Y924" s="145"/>
      <c r="Z924" s="145"/>
    </row>
    <row r="925" spans="1:26" ht="13.2">
      <c r="A925" s="144">
        <v>0</v>
      </c>
      <c r="B925" s="145"/>
      <c r="C925" s="145"/>
      <c r="D925" s="145"/>
      <c r="E925" s="145"/>
      <c r="F925" s="145"/>
      <c r="G925" s="145"/>
      <c r="H925" s="145"/>
      <c r="I925" s="145"/>
      <c r="J925" s="145"/>
      <c r="K925" s="145"/>
      <c r="L925" s="145"/>
      <c r="M925" s="146"/>
      <c r="N925" s="145"/>
      <c r="O925" s="145"/>
      <c r="P925" s="145"/>
      <c r="Q925" s="145"/>
      <c r="R925" s="145"/>
      <c r="S925" s="145"/>
      <c r="T925" s="145"/>
      <c r="U925" s="145"/>
      <c r="V925" s="145"/>
      <c r="W925" s="145"/>
      <c r="X925" s="145"/>
      <c r="Y925" s="145"/>
      <c r="Z925" s="145"/>
    </row>
    <row r="926" spans="1:26" ht="13.2">
      <c r="A926" s="144">
        <v>0</v>
      </c>
      <c r="B926" s="145"/>
      <c r="C926" s="145"/>
      <c r="D926" s="145"/>
      <c r="E926" s="145"/>
      <c r="F926" s="145"/>
      <c r="G926" s="145"/>
      <c r="H926" s="145"/>
      <c r="I926" s="145"/>
      <c r="J926" s="145"/>
      <c r="K926" s="145"/>
      <c r="L926" s="145"/>
      <c r="M926" s="146"/>
      <c r="N926" s="145"/>
      <c r="O926" s="145"/>
      <c r="P926" s="145"/>
      <c r="Q926" s="145"/>
      <c r="R926" s="145"/>
      <c r="S926" s="145"/>
      <c r="T926" s="145"/>
      <c r="U926" s="145"/>
      <c r="V926" s="145"/>
      <c r="W926" s="145"/>
      <c r="X926" s="145"/>
      <c r="Y926" s="145"/>
      <c r="Z926" s="145"/>
    </row>
    <row r="927" spans="1:26" ht="13.2">
      <c r="A927" s="144">
        <v>0</v>
      </c>
      <c r="B927" s="145"/>
      <c r="C927" s="145"/>
      <c r="D927" s="145"/>
      <c r="E927" s="145"/>
      <c r="F927" s="145"/>
      <c r="G927" s="145"/>
      <c r="H927" s="145"/>
      <c r="I927" s="145"/>
      <c r="J927" s="145"/>
      <c r="K927" s="145"/>
      <c r="L927" s="145"/>
      <c r="M927" s="146"/>
      <c r="N927" s="145"/>
      <c r="O927" s="145"/>
      <c r="P927" s="145"/>
      <c r="Q927" s="145"/>
      <c r="R927" s="145"/>
      <c r="S927" s="145"/>
      <c r="T927" s="145"/>
      <c r="U927" s="145"/>
      <c r="V927" s="145"/>
      <c r="W927" s="145"/>
      <c r="X927" s="145"/>
      <c r="Y927" s="145"/>
      <c r="Z927" s="145"/>
    </row>
    <row r="928" spans="1:26" ht="13.2">
      <c r="A928" s="144">
        <v>0</v>
      </c>
      <c r="B928" s="145"/>
      <c r="C928" s="145"/>
      <c r="D928" s="145"/>
      <c r="E928" s="145"/>
      <c r="F928" s="145"/>
      <c r="G928" s="145"/>
      <c r="H928" s="145"/>
      <c r="I928" s="145"/>
      <c r="J928" s="145"/>
      <c r="K928" s="145"/>
      <c r="L928" s="145"/>
      <c r="M928" s="146"/>
      <c r="N928" s="145"/>
      <c r="O928" s="145"/>
      <c r="P928" s="145"/>
      <c r="Q928" s="145"/>
      <c r="R928" s="145"/>
      <c r="S928" s="145"/>
      <c r="T928" s="145"/>
      <c r="U928" s="145"/>
      <c r="V928" s="145"/>
      <c r="W928" s="145"/>
      <c r="X928" s="145"/>
      <c r="Y928" s="145"/>
      <c r="Z928" s="145"/>
    </row>
    <row r="929" spans="1:26" ht="13.2">
      <c r="A929" s="144">
        <v>0</v>
      </c>
      <c r="B929" s="145"/>
      <c r="C929" s="145"/>
      <c r="D929" s="145"/>
      <c r="E929" s="145"/>
      <c r="F929" s="145"/>
      <c r="G929" s="145"/>
      <c r="H929" s="145"/>
      <c r="I929" s="145"/>
      <c r="J929" s="145"/>
      <c r="K929" s="145"/>
      <c r="L929" s="145"/>
      <c r="M929" s="146"/>
      <c r="N929" s="145"/>
      <c r="O929" s="145"/>
      <c r="P929" s="145"/>
      <c r="Q929" s="145"/>
      <c r="R929" s="145"/>
      <c r="S929" s="145"/>
      <c r="T929" s="145"/>
      <c r="U929" s="145"/>
      <c r="V929" s="145"/>
      <c r="W929" s="145"/>
      <c r="X929" s="145"/>
      <c r="Y929" s="145"/>
      <c r="Z929" s="145"/>
    </row>
    <row r="930" spans="1:26" ht="13.2">
      <c r="A930" s="144">
        <v>0</v>
      </c>
      <c r="B930" s="145"/>
      <c r="C930" s="145"/>
      <c r="D930" s="145"/>
      <c r="E930" s="145"/>
      <c r="F930" s="145"/>
      <c r="G930" s="145"/>
      <c r="H930" s="145"/>
      <c r="I930" s="145"/>
      <c r="J930" s="145"/>
      <c r="K930" s="145"/>
      <c r="L930" s="145"/>
      <c r="M930" s="146"/>
      <c r="N930" s="145"/>
      <c r="O930" s="145"/>
      <c r="P930" s="145"/>
      <c r="Q930" s="145"/>
      <c r="R930" s="145"/>
      <c r="S930" s="145"/>
      <c r="T930" s="145"/>
      <c r="U930" s="145"/>
      <c r="V930" s="145"/>
      <c r="W930" s="145"/>
      <c r="X930" s="145"/>
      <c r="Y930" s="145"/>
      <c r="Z930" s="145"/>
    </row>
    <row r="931" spans="1:26" ht="13.2">
      <c r="A931" s="144">
        <v>0</v>
      </c>
      <c r="B931" s="145"/>
      <c r="C931" s="145"/>
      <c r="D931" s="145"/>
      <c r="E931" s="145"/>
      <c r="F931" s="145"/>
      <c r="G931" s="145"/>
      <c r="H931" s="145"/>
      <c r="I931" s="145"/>
      <c r="J931" s="145"/>
      <c r="K931" s="145"/>
      <c r="L931" s="145"/>
      <c r="M931" s="146"/>
      <c r="N931" s="145"/>
      <c r="O931" s="145"/>
      <c r="P931" s="145"/>
      <c r="Q931" s="145"/>
      <c r="R931" s="145"/>
      <c r="S931" s="145"/>
      <c r="T931" s="145"/>
      <c r="U931" s="145"/>
      <c r="V931" s="145"/>
      <c r="W931" s="145"/>
      <c r="X931" s="145"/>
      <c r="Y931" s="145"/>
      <c r="Z931" s="145"/>
    </row>
    <row r="932" spans="1:26" ht="13.2">
      <c r="A932" s="144">
        <v>0</v>
      </c>
      <c r="B932" s="145"/>
      <c r="C932" s="145"/>
      <c r="D932" s="145"/>
      <c r="E932" s="145"/>
      <c r="F932" s="145"/>
      <c r="G932" s="145"/>
      <c r="H932" s="145"/>
      <c r="I932" s="145"/>
      <c r="J932" s="145"/>
      <c r="K932" s="145"/>
      <c r="L932" s="145"/>
      <c r="M932" s="146"/>
      <c r="N932" s="145"/>
      <c r="O932" s="145"/>
      <c r="P932" s="145"/>
      <c r="Q932" s="145"/>
      <c r="R932" s="145"/>
      <c r="S932" s="145"/>
      <c r="T932" s="145"/>
      <c r="U932" s="145"/>
      <c r="V932" s="145"/>
      <c r="W932" s="145"/>
      <c r="X932" s="145"/>
      <c r="Y932" s="145"/>
      <c r="Z932" s="145"/>
    </row>
    <row r="933" spans="1:26" ht="13.2">
      <c r="A933" s="144">
        <v>0</v>
      </c>
      <c r="B933" s="145"/>
      <c r="C933" s="145"/>
      <c r="D933" s="145"/>
      <c r="E933" s="145"/>
      <c r="F933" s="145"/>
      <c r="G933" s="145"/>
      <c r="H933" s="145"/>
      <c r="I933" s="145"/>
      <c r="J933" s="145"/>
      <c r="K933" s="145"/>
      <c r="L933" s="145"/>
      <c r="M933" s="146"/>
      <c r="N933" s="145"/>
      <c r="O933" s="145"/>
      <c r="P933" s="145"/>
      <c r="Q933" s="145"/>
      <c r="R933" s="145"/>
      <c r="S933" s="145"/>
      <c r="T933" s="145"/>
      <c r="U933" s="145"/>
      <c r="V933" s="145"/>
      <c r="W933" s="145"/>
      <c r="X933" s="145"/>
      <c r="Y933" s="145"/>
      <c r="Z933" s="145"/>
    </row>
    <row r="934" spans="1:26" ht="13.2">
      <c r="A934" s="144">
        <v>0</v>
      </c>
      <c r="B934" s="145"/>
      <c r="C934" s="145"/>
      <c r="D934" s="145"/>
      <c r="E934" s="145"/>
      <c r="F934" s="145"/>
      <c r="G934" s="145"/>
      <c r="H934" s="145"/>
      <c r="I934" s="145"/>
      <c r="J934" s="145"/>
      <c r="K934" s="145"/>
      <c r="L934" s="145"/>
      <c r="M934" s="146"/>
      <c r="N934" s="145"/>
      <c r="O934" s="145"/>
      <c r="P934" s="145"/>
      <c r="Q934" s="145"/>
      <c r="R934" s="145"/>
      <c r="S934" s="145"/>
      <c r="T934" s="145"/>
      <c r="U934" s="145"/>
      <c r="V934" s="145"/>
      <c r="W934" s="145"/>
      <c r="X934" s="145"/>
      <c r="Y934" s="145"/>
      <c r="Z934" s="145"/>
    </row>
    <row r="935" spans="1:26" ht="13.2">
      <c r="A935" s="144">
        <v>0</v>
      </c>
      <c r="B935" s="145"/>
      <c r="C935" s="145"/>
      <c r="D935" s="145"/>
      <c r="E935" s="145"/>
      <c r="F935" s="145"/>
      <c r="G935" s="145"/>
      <c r="H935" s="145"/>
      <c r="I935" s="145"/>
      <c r="J935" s="145"/>
      <c r="K935" s="145"/>
      <c r="L935" s="145"/>
      <c r="M935" s="146"/>
      <c r="N935" s="145"/>
      <c r="O935" s="145"/>
      <c r="P935" s="145"/>
      <c r="Q935" s="145"/>
      <c r="R935" s="145"/>
      <c r="S935" s="145"/>
      <c r="T935" s="145"/>
      <c r="U935" s="145"/>
      <c r="V935" s="145"/>
      <c r="W935" s="145"/>
      <c r="X935" s="145"/>
      <c r="Y935" s="145"/>
      <c r="Z935" s="145"/>
    </row>
    <row r="936" spans="1:26" ht="13.2">
      <c r="A936" s="144">
        <v>0</v>
      </c>
      <c r="B936" s="145"/>
      <c r="C936" s="145"/>
      <c r="D936" s="145"/>
      <c r="E936" s="145"/>
      <c r="F936" s="145"/>
      <c r="G936" s="145"/>
      <c r="H936" s="145"/>
      <c r="I936" s="145"/>
      <c r="J936" s="145"/>
      <c r="K936" s="145"/>
      <c r="L936" s="145"/>
      <c r="M936" s="146"/>
      <c r="N936" s="145"/>
      <c r="O936" s="145"/>
      <c r="P936" s="145"/>
      <c r="Q936" s="145"/>
      <c r="R936" s="145"/>
      <c r="S936" s="145"/>
      <c r="T936" s="145"/>
      <c r="U936" s="145"/>
      <c r="V936" s="145"/>
      <c r="W936" s="145"/>
      <c r="X936" s="145"/>
      <c r="Y936" s="145"/>
      <c r="Z936" s="145"/>
    </row>
    <row r="937" spans="1:26" ht="13.2">
      <c r="A937" s="144">
        <v>0</v>
      </c>
      <c r="B937" s="145"/>
      <c r="C937" s="145"/>
      <c r="D937" s="145"/>
      <c r="E937" s="145"/>
      <c r="F937" s="145"/>
      <c r="G937" s="145"/>
      <c r="H937" s="145"/>
      <c r="I937" s="145"/>
      <c r="J937" s="145"/>
      <c r="K937" s="145"/>
      <c r="L937" s="145"/>
      <c r="M937" s="146"/>
      <c r="N937" s="145"/>
      <c r="O937" s="145"/>
      <c r="P937" s="145"/>
      <c r="Q937" s="145"/>
      <c r="R937" s="145"/>
      <c r="S937" s="145"/>
      <c r="T937" s="145"/>
      <c r="U937" s="145"/>
      <c r="V937" s="145"/>
      <c r="W937" s="145"/>
      <c r="X937" s="145"/>
      <c r="Y937" s="145"/>
      <c r="Z937" s="145"/>
    </row>
    <row r="938" spans="1:26" ht="13.2">
      <c r="A938" s="144">
        <v>0</v>
      </c>
      <c r="B938" s="145"/>
      <c r="C938" s="145"/>
      <c r="D938" s="145"/>
      <c r="E938" s="145"/>
      <c r="F938" s="145"/>
      <c r="G938" s="145"/>
      <c r="H938" s="145"/>
      <c r="I938" s="145"/>
      <c r="J938" s="145"/>
      <c r="K938" s="145"/>
      <c r="L938" s="145"/>
      <c r="M938" s="146"/>
      <c r="N938" s="145"/>
      <c r="O938" s="145"/>
      <c r="P938" s="145"/>
      <c r="Q938" s="145"/>
      <c r="R938" s="145"/>
      <c r="S938" s="145"/>
      <c r="T938" s="145"/>
      <c r="U938" s="145"/>
      <c r="V938" s="145"/>
      <c r="W938" s="145"/>
      <c r="X938" s="145"/>
      <c r="Y938" s="145"/>
      <c r="Z938" s="145"/>
    </row>
    <row r="939" spans="1:26" ht="13.2">
      <c r="A939" s="144">
        <v>0</v>
      </c>
      <c r="B939" s="145"/>
      <c r="C939" s="145"/>
      <c r="D939" s="145"/>
      <c r="E939" s="145"/>
      <c r="F939" s="145"/>
      <c r="G939" s="145"/>
      <c r="H939" s="145"/>
      <c r="I939" s="145"/>
      <c r="J939" s="145"/>
      <c r="K939" s="145"/>
      <c r="L939" s="145"/>
      <c r="M939" s="146"/>
      <c r="N939" s="145"/>
      <c r="O939" s="145"/>
      <c r="P939" s="145"/>
      <c r="Q939" s="145"/>
      <c r="R939" s="145"/>
      <c r="S939" s="145"/>
      <c r="T939" s="145"/>
      <c r="U939" s="145"/>
      <c r="V939" s="145"/>
      <c r="W939" s="145"/>
      <c r="X939" s="145"/>
      <c r="Y939" s="145"/>
      <c r="Z939" s="145"/>
    </row>
    <row r="940" spans="1:26" ht="13.2">
      <c r="A940" s="144">
        <v>0</v>
      </c>
      <c r="B940" s="145"/>
      <c r="C940" s="145"/>
      <c r="D940" s="145"/>
      <c r="E940" s="145"/>
      <c r="F940" s="145"/>
      <c r="G940" s="145"/>
      <c r="H940" s="145"/>
      <c r="I940" s="145"/>
      <c r="J940" s="145"/>
      <c r="K940" s="145"/>
      <c r="L940" s="145"/>
      <c r="M940" s="146"/>
      <c r="N940" s="145"/>
      <c r="O940" s="145"/>
      <c r="P940" s="145"/>
      <c r="Q940" s="145"/>
      <c r="R940" s="145"/>
      <c r="S940" s="145"/>
      <c r="T940" s="145"/>
      <c r="U940" s="145"/>
      <c r="V940" s="145"/>
      <c r="W940" s="145"/>
      <c r="X940" s="145"/>
      <c r="Y940" s="145"/>
      <c r="Z940" s="145"/>
    </row>
    <row r="941" spans="1:26" ht="13.2">
      <c r="A941" s="144">
        <v>0</v>
      </c>
      <c r="B941" s="145"/>
      <c r="C941" s="145"/>
      <c r="D941" s="145"/>
      <c r="E941" s="145"/>
      <c r="F941" s="145"/>
      <c r="G941" s="145"/>
      <c r="H941" s="145"/>
      <c r="I941" s="145"/>
      <c r="J941" s="145"/>
      <c r="K941" s="145"/>
      <c r="L941" s="145"/>
      <c r="M941" s="146"/>
      <c r="N941" s="145"/>
      <c r="O941" s="145"/>
      <c r="P941" s="145"/>
      <c r="Q941" s="145"/>
      <c r="R941" s="145"/>
      <c r="S941" s="145"/>
      <c r="T941" s="145"/>
      <c r="U941" s="145"/>
      <c r="V941" s="145"/>
      <c r="W941" s="145"/>
      <c r="X941" s="145"/>
      <c r="Y941" s="145"/>
      <c r="Z941" s="145"/>
    </row>
    <row r="942" spans="1:26" ht="13.2">
      <c r="A942" s="144">
        <v>0</v>
      </c>
      <c r="B942" s="145"/>
      <c r="C942" s="145"/>
      <c r="D942" s="145"/>
      <c r="E942" s="145"/>
      <c r="F942" s="145"/>
      <c r="G942" s="145"/>
      <c r="H942" s="145"/>
      <c r="I942" s="145"/>
      <c r="J942" s="145"/>
      <c r="K942" s="145"/>
      <c r="L942" s="145"/>
      <c r="M942" s="146"/>
      <c r="N942" s="145"/>
      <c r="O942" s="145"/>
      <c r="P942" s="145"/>
      <c r="Q942" s="145"/>
      <c r="R942" s="145"/>
      <c r="S942" s="145"/>
      <c r="T942" s="145"/>
      <c r="U942" s="145"/>
      <c r="V942" s="145"/>
      <c r="W942" s="145"/>
      <c r="X942" s="145"/>
      <c r="Y942" s="145"/>
      <c r="Z942" s="145"/>
    </row>
    <row r="943" spans="1:26" ht="13.2">
      <c r="A943" s="144">
        <v>0</v>
      </c>
      <c r="B943" s="145"/>
      <c r="C943" s="145"/>
      <c r="D943" s="145"/>
      <c r="E943" s="145"/>
      <c r="F943" s="145"/>
      <c r="G943" s="145"/>
      <c r="H943" s="145"/>
      <c r="I943" s="145"/>
      <c r="J943" s="145"/>
      <c r="K943" s="145"/>
      <c r="L943" s="145"/>
      <c r="M943" s="146"/>
      <c r="N943" s="145"/>
      <c r="O943" s="145"/>
      <c r="P943" s="145"/>
      <c r="Q943" s="145"/>
      <c r="R943" s="145"/>
      <c r="S943" s="145"/>
      <c r="T943" s="145"/>
      <c r="U943" s="145"/>
      <c r="V943" s="145"/>
      <c r="W943" s="145"/>
      <c r="X943" s="145"/>
      <c r="Y943" s="145"/>
      <c r="Z943" s="145"/>
    </row>
    <row r="944" spans="1:26" ht="13.2">
      <c r="A944" s="144">
        <v>0</v>
      </c>
      <c r="B944" s="145"/>
      <c r="C944" s="145"/>
      <c r="D944" s="145"/>
      <c r="E944" s="145"/>
      <c r="F944" s="145"/>
      <c r="G944" s="145"/>
      <c r="H944" s="145"/>
      <c r="I944" s="145"/>
      <c r="J944" s="145"/>
      <c r="K944" s="145"/>
      <c r="L944" s="145"/>
      <c r="M944" s="146"/>
      <c r="N944" s="145"/>
      <c r="O944" s="145"/>
      <c r="P944" s="145"/>
      <c r="Q944" s="145"/>
      <c r="R944" s="145"/>
      <c r="S944" s="145"/>
      <c r="T944" s="145"/>
      <c r="U944" s="145"/>
      <c r="V944" s="145"/>
      <c r="W944" s="145"/>
      <c r="X944" s="145"/>
      <c r="Y944" s="145"/>
      <c r="Z944" s="145"/>
    </row>
    <row r="945" spans="1:26" ht="13.2">
      <c r="A945" s="144">
        <v>0</v>
      </c>
      <c r="B945" s="145"/>
      <c r="C945" s="145"/>
      <c r="D945" s="145"/>
      <c r="E945" s="145"/>
      <c r="F945" s="145"/>
      <c r="G945" s="145"/>
      <c r="H945" s="145"/>
      <c r="I945" s="145"/>
      <c r="J945" s="145"/>
      <c r="K945" s="145"/>
      <c r="L945" s="145"/>
      <c r="M945" s="146"/>
      <c r="N945" s="145"/>
      <c r="O945" s="145"/>
      <c r="P945" s="145"/>
      <c r="Q945" s="145"/>
      <c r="R945" s="145"/>
      <c r="S945" s="145"/>
      <c r="T945" s="145"/>
      <c r="U945" s="145"/>
      <c r="V945" s="145"/>
      <c r="W945" s="145"/>
      <c r="X945" s="145"/>
      <c r="Y945" s="145"/>
      <c r="Z945" s="145"/>
    </row>
    <row r="946" spans="1:26" ht="13.2">
      <c r="A946" s="144">
        <v>0</v>
      </c>
      <c r="B946" s="145"/>
      <c r="C946" s="145"/>
      <c r="D946" s="145"/>
      <c r="E946" s="145"/>
      <c r="F946" s="145"/>
      <c r="G946" s="145"/>
      <c r="H946" s="145"/>
      <c r="I946" s="145"/>
      <c r="J946" s="145"/>
      <c r="K946" s="145"/>
      <c r="L946" s="145"/>
      <c r="M946" s="146"/>
      <c r="N946" s="145"/>
      <c r="O946" s="145"/>
      <c r="P946" s="145"/>
      <c r="Q946" s="145"/>
      <c r="R946" s="145"/>
      <c r="S946" s="145"/>
      <c r="T946" s="145"/>
      <c r="U946" s="145"/>
      <c r="V946" s="145"/>
      <c r="W946" s="145"/>
      <c r="X946" s="145"/>
      <c r="Y946" s="145"/>
      <c r="Z946" s="145"/>
    </row>
    <row r="947" spans="1:26" ht="13.2">
      <c r="A947" s="144">
        <v>0</v>
      </c>
      <c r="B947" s="145"/>
      <c r="C947" s="145"/>
      <c r="D947" s="145"/>
      <c r="E947" s="145"/>
      <c r="F947" s="145"/>
      <c r="G947" s="145"/>
      <c r="H947" s="145"/>
      <c r="I947" s="145"/>
      <c r="J947" s="145"/>
      <c r="K947" s="145"/>
      <c r="L947" s="145"/>
      <c r="M947" s="146"/>
      <c r="N947" s="145"/>
      <c r="O947" s="145"/>
      <c r="P947" s="145"/>
      <c r="Q947" s="145"/>
      <c r="R947" s="145"/>
      <c r="S947" s="145"/>
      <c r="T947" s="145"/>
      <c r="U947" s="145"/>
      <c r="V947" s="145"/>
      <c r="W947" s="145"/>
      <c r="X947" s="145"/>
      <c r="Y947" s="145"/>
      <c r="Z947" s="145"/>
    </row>
    <row r="948" spans="1:26" ht="13.2">
      <c r="A948" s="144">
        <v>0</v>
      </c>
      <c r="B948" s="145"/>
      <c r="C948" s="145"/>
      <c r="D948" s="145"/>
      <c r="E948" s="145"/>
      <c r="F948" s="145"/>
      <c r="G948" s="145"/>
      <c r="H948" s="145"/>
      <c r="I948" s="145"/>
      <c r="J948" s="145"/>
      <c r="K948" s="145"/>
      <c r="L948" s="145"/>
      <c r="M948" s="146"/>
      <c r="N948" s="145"/>
      <c r="O948" s="145"/>
      <c r="P948" s="145"/>
      <c r="Q948" s="145"/>
      <c r="R948" s="145"/>
      <c r="S948" s="145"/>
      <c r="T948" s="145"/>
      <c r="U948" s="145"/>
      <c r="V948" s="145"/>
      <c r="W948" s="145"/>
      <c r="X948" s="145"/>
      <c r="Y948" s="145"/>
      <c r="Z948" s="145"/>
    </row>
    <row r="949" spans="1:26" ht="13.2">
      <c r="A949" s="144">
        <v>0</v>
      </c>
      <c r="B949" s="145"/>
      <c r="C949" s="145"/>
      <c r="D949" s="145"/>
      <c r="E949" s="145"/>
      <c r="F949" s="145"/>
      <c r="G949" s="145"/>
      <c r="H949" s="145"/>
      <c r="I949" s="145"/>
      <c r="J949" s="145"/>
      <c r="K949" s="145"/>
      <c r="L949" s="145"/>
      <c r="M949" s="146"/>
      <c r="N949" s="145"/>
      <c r="O949" s="145"/>
      <c r="P949" s="145"/>
      <c r="Q949" s="145"/>
      <c r="R949" s="145"/>
      <c r="S949" s="145"/>
      <c r="T949" s="145"/>
      <c r="U949" s="145"/>
      <c r="V949" s="145"/>
      <c r="W949" s="145"/>
      <c r="X949" s="145"/>
      <c r="Y949" s="145"/>
      <c r="Z949" s="145"/>
    </row>
    <row r="950" spans="1:26" ht="13.2">
      <c r="A950" s="144">
        <v>0</v>
      </c>
      <c r="B950" s="145"/>
      <c r="C950" s="145"/>
      <c r="D950" s="145"/>
      <c r="E950" s="145"/>
      <c r="F950" s="145"/>
      <c r="G950" s="145"/>
      <c r="H950" s="145"/>
      <c r="I950" s="145"/>
      <c r="J950" s="145"/>
      <c r="K950" s="145"/>
      <c r="L950" s="145"/>
      <c r="M950" s="146"/>
      <c r="N950" s="145"/>
      <c r="O950" s="145"/>
      <c r="P950" s="145"/>
      <c r="Q950" s="145"/>
      <c r="R950" s="145"/>
      <c r="S950" s="145"/>
      <c r="T950" s="145"/>
      <c r="U950" s="145"/>
      <c r="V950" s="145"/>
      <c r="W950" s="145"/>
      <c r="X950" s="145"/>
      <c r="Y950" s="145"/>
      <c r="Z950" s="145"/>
    </row>
    <row r="951" spans="1:26" ht="13.2">
      <c r="A951" s="144">
        <v>0</v>
      </c>
      <c r="B951" s="145"/>
      <c r="C951" s="145"/>
      <c r="D951" s="145"/>
      <c r="E951" s="145"/>
      <c r="F951" s="145"/>
      <c r="G951" s="145"/>
      <c r="H951" s="145"/>
      <c r="I951" s="145"/>
      <c r="J951" s="145"/>
      <c r="K951" s="145"/>
      <c r="L951" s="145"/>
      <c r="M951" s="146"/>
      <c r="N951" s="145"/>
      <c r="O951" s="145"/>
      <c r="P951" s="145"/>
      <c r="Q951" s="145"/>
      <c r="R951" s="145"/>
      <c r="S951" s="145"/>
      <c r="T951" s="145"/>
      <c r="U951" s="145"/>
      <c r="V951" s="145"/>
      <c r="W951" s="145"/>
      <c r="X951" s="145"/>
      <c r="Y951" s="145"/>
      <c r="Z951" s="145"/>
    </row>
    <row r="952" spans="1:26" ht="13.2">
      <c r="A952" s="144">
        <v>0</v>
      </c>
      <c r="B952" s="145"/>
      <c r="C952" s="145"/>
      <c r="D952" s="145"/>
      <c r="E952" s="145"/>
      <c r="F952" s="145"/>
      <c r="G952" s="145"/>
      <c r="H952" s="145"/>
      <c r="I952" s="145"/>
      <c r="J952" s="145"/>
      <c r="K952" s="145"/>
      <c r="L952" s="145"/>
      <c r="M952" s="146"/>
      <c r="N952" s="145"/>
      <c r="O952" s="145"/>
      <c r="P952" s="145"/>
      <c r="Q952" s="145"/>
      <c r="R952" s="145"/>
      <c r="S952" s="145"/>
      <c r="T952" s="145"/>
      <c r="U952" s="145"/>
      <c r="V952" s="145"/>
      <c r="W952" s="145"/>
      <c r="X952" s="145"/>
      <c r="Y952" s="145"/>
      <c r="Z952" s="145"/>
    </row>
    <row r="953" spans="1:26" ht="13.2">
      <c r="A953" s="144">
        <v>0</v>
      </c>
      <c r="B953" s="145"/>
      <c r="C953" s="145"/>
      <c r="D953" s="145"/>
      <c r="E953" s="145"/>
      <c r="F953" s="145"/>
      <c r="G953" s="145"/>
      <c r="H953" s="145"/>
      <c r="I953" s="145"/>
      <c r="J953" s="145"/>
      <c r="K953" s="145"/>
      <c r="L953" s="145"/>
      <c r="M953" s="146"/>
      <c r="N953" s="145"/>
      <c r="O953" s="145"/>
      <c r="P953" s="145"/>
      <c r="Q953" s="145"/>
      <c r="R953" s="145"/>
      <c r="S953" s="145"/>
      <c r="T953" s="145"/>
      <c r="U953" s="145"/>
      <c r="V953" s="145"/>
      <c r="W953" s="145"/>
      <c r="X953" s="145"/>
      <c r="Y953" s="145"/>
      <c r="Z953" s="145"/>
    </row>
    <row r="954" spans="1:26" ht="13.2">
      <c r="A954" s="144">
        <v>0</v>
      </c>
      <c r="B954" s="145"/>
      <c r="C954" s="145"/>
      <c r="D954" s="145"/>
      <c r="E954" s="145"/>
      <c r="F954" s="145"/>
      <c r="G954" s="145"/>
      <c r="H954" s="145"/>
      <c r="I954" s="145"/>
      <c r="J954" s="145"/>
      <c r="K954" s="145"/>
      <c r="L954" s="145"/>
      <c r="M954" s="146"/>
      <c r="N954" s="145"/>
      <c r="O954" s="145"/>
      <c r="P954" s="145"/>
      <c r="Q954" s="145"/>
      <c r="R954" s="145"/>
      <c r="S954" s="145"/>
      <c r="T954" s="145"/>
      <c r="U954" s="145"/>
      <c r="V954" s="145"/>
      <c r="W954" s="145"/>
      <c r="X954" s="145"/>
      <c r="Y954" s="145"/>
      <c r="Z954" s="145"/>
    </row>
    <row r="955" spans="1:26" ht="13.2">
      <c r="A955" s="144">
        <v>0</v>
      </c>
      <c r="B955" s="145"/>
      <c r="C955" s="145"/>
      <c r="D955" s="145"/>
      <c r="E955" s="145"/>
      <c r="F955" s="145"/>
      <c r="G955" s="145"/>
      <c r="H955" s="145"/>
      <c r="I955" s="145"/>
      <c r="J955" s="145"/>
      <c r="K955" s="145"/>
      <c r="L955" s="145"/>
      <c r="M955" s="146"/>
      <c r="N955" s="145"/>
      <c r="O955" s="145"/>
      <c r="P955" s="145"/>
      <c r="Q955" s="145"/>
      <c r="R955" s="145"/>
      <c r="S955" s="145"/>
      <c r="T955" s="145"/>
      <c r="U955" s="145"/>
      <c r="V955" s="145"/>
      <c r="W955" s="145"/>
      <c r="X955" s="145"/>
      <c r="Y955" s="145"/>
      <c r="Z955" s="145"/>
    </row>
    <row r="956" spans="1:26" ht="13.2">
      <c r="A956" s="144">
        <v>0</v>
      </c>
      <c r="B956" s="145"/>
      <c r="C956" s="145"/>
      <c r="D956" s="145"/>
      <c r="E956" s="145"/>
      <c r="F956" s="145"/>
      <c r="G956" s="145"/>
      <c r="H956" s="145"/>
      <c r="I956" s="145"/>
      <c r="J956" s="145"/>
      <c r="K956" s="145"/>
      <c r="L956" s="145"/>
      <c r="M956" s="146"/>
      <c r="N956" s="145"/>
      <c r="O956" s="145"/>
      <c r="P956" s="145"/>
      <c r="Q956" s="145"/>
      <c r="R956" s="145"/>
      <c r="S956" s="145"/>
      <c r="T956" s="145"/>
      <c r="U956" s="145"/>
      <c r="V956" s="145"/>
      <c r="W956" s="145"/>
      <c r="X956" s="145"/>
      <c r="Y956" s="145"/>
      <c r="Z956" s="145"/>
    </row>
    <row r="957" spans="1:26" ht="13.2">
      <c r="A957" s="144">
        <v>0</v>
      </c>
      <c r="B957" s="145"/>
      <c r="C957" s="145"/>
      <c r="D957" s="145"/>
      <c r="E957" s="145"/>
      <c r="F957" s="145"/>
      <c r="G957" s="145"/>
      <c r="H957" s="145"/>
      <c r="I957" s="145"/>
      <c r="J957" s="145"/>
      <c r="K957" s="145"/>
      <c r="L957" s="145"/>
      <c r="M957" s="146"/>
      <c r="N957" s="145"/>
      <c r="O957" s="145"/>
      <c r="P957" s="145"/>
      <c r="Q957" s="145"/>
      <c r="R957" s="145"/>
      <c r="S957" s="145"/>
      <c r="T957" s="145"/>
      <c r="U957" s="145"/>
      <c r="V957" s="145"/>
      <c r="W957" s="145"/>
      <c r="X957" s="145"/>
      <c r="Y957" s="145"/>
      <c r="Z957" s="145"/>
    </row>
    <row r="958" spans="1:26" ht="13.2">
      <c r="A958" s="144">
        <v>0</v>
      </c>
      <c r="B958" s="145"/>
      <c r="C958" s="145"/>
      <c r="D958" s="145"/>
      <c r="E958" s="145"/>
      <c r="F958" s="145"/>
      <c r="G958" s="145"/>
      <c r="H958" s="145"/>
      <c r="I958" s="145"/>
      <c r="J958" s="145"/>
      <c r="K958" s="145"/>
      <c r="L958" s="145"/>
      <c r="M958" s="146"/>
      <c r="N958" s="145"/>
      <c r="O958" s="145"/>
      <c r="P958" s="145"/>
      <c r="Q958" s="145"/>
      <c r="R958" s="145"/>
      <c r="S958" s="145"/>
      <c r="T958" s="145"/>
      <c r="U958" s="145"/>
      <c r="V958" s="145"/>
      <c r="W958" s="145"/>
      <c r="X958" s="145"/>
      <c r="Y958" s="145"/>
      <c r="Z958" s="145"/>
    </row>
    <row r="959" spans="1:26" ht="13.2">
      <c r="A959" s="144">
        <v>0</v>
      </c>
      <c r="B959" s="145"/>
      <c r="C959" s="145"/>
      <c r="D959" s="145"/>
      <c r="E959" s="145"/>
      <c r="F959" s="145"/>
      <c r="G959" s="145"/>
      <c r="H959" s="145"/>
      <c r="I959" s="145"/>
      <c r="J959" s="145"/>
      <c r="K959" s="145"/>
      <c r="L959" s="145"/>
      <c r="M959" s="146"/>
      <c r="N959" s="145"/>
      <c r="O959" s="145"/>
      <c r="P959" s="145"/>
      <c r="Q959" s="145"/>
      <c r="R959" s="145"/>
      <c r="S959" s="145"/>
      <c r="T959" s="145"/>
      <c r="U959" s="145"/>
      <c r="V959" s="145"/>
      <c r="W959" s="145"/>
      <c r="X959" s="145"/>
      <c r="Y959" s="145"/>
      <c r="Z959" s="145"/>
    </row>
    <row r="960" spans="1:26" ht="13.2">
      <c r="A960" s="144">
        <v>0</v>
      </c>
      <c r="B960" s="145"/>
      <c r="C960" s="145"/>
      <c r="D960" s="145"/>
      <c r="E960" s="145"/>
      <c r="F960" s="145"/>
      <c r="G960" s="145"/>
      <c r="H960" s="145"/>
      <c r="I960" s="145"/>
      <c r="J960" s="145"/>
      <c r="K960" s="145"/>
      <c r="L960" s="145"/>
      <c r="M960" s="146"/>
      <c r="N960" s="145"/>
      <c r="O960" s="145"/>
      <c r="P960" s="145"/>
      <c r="Q960" s="145"/>
      <c r="R960" s="145"/>
      <c r="S960" s="145"/>
      <c r="T960" s="145"/>
      <c r="U960" s="145"/>
      <c r="V960" s="145"/>
      <c r="W960" s="145"/>
      <c r="X960" s="145"/>
      <c r="Y960" s="145"/>
      <c r="Z960" s="145"/>
    </row>
    <row r="961" spans="1:26" ht="13.2">
      <c r="A961" s="144">
        <v>0</v>
      </c>
      <c r="B961" s="145"/>
      <c r="C961" s="145"/>
      <c r="D961" s="145"/>
      <c r="E961" s="145"/>
      <c r="F961" s="145"/>
      <c r="G961" s="145"/>
      <c r="H961" s="145"/>
      <c r="I961" s="145"/>
      <c r="J961" s="145"/>
      <c r="K961" s="145"/>
      <c r="L961" s="145"/>
      <c r="M961" s="146"/>
      <c r="N961" s="145"/>
      <c r="O961" s="145"/>
      <c r="P961" s="145"/>
      <c r="Q961" s="145"/>
      <c r="R961" s="145"/>
      <c r="S961" s="145"/>
      <c r="T961" s="145"/>
      <c r="U961" s="145"/>
      <c r="V961" s="145"/>
      <c r="W961" s="145"/>
      <c r="X961" s="145"/>
      <c r="Y961" s="145"/>
      <c r="Z961" s="145"/>
    </row>
    <row r="962" spans="1:26" ht="13.2">
      <c r="A962" s="144">
        <v>0</v>
      </c>
      <c r="B962" s="145"/>
      <c r="C962" s="145"/>
      <c r="D962" s="145"/>
      <c r="E962" s="145"/>
      <c r="F962" s="145"/>
      <c r="G962" s="145"/>
      <c r="H962" s="145"/>
      <c r="I962" s="145"/>
      <c r="J962" s="145"/>
      <c r="K962" s="145"/>
      <c r="L962" s="145"/>
      <c r="M962" s="146"/>
      <c r="N962" s="145"/>
      <c r="O962" s="145"/>
      <c r="P962" s="145"/>
      <c r="Q962" s="145"/>
      <c r="R962" s="145"/>
      <c r="S962" s="145"/>
      <c r="T962" s="145"/>
      <c r="U962" s="145"/>
      <c r="V962" s="145"/>
      <c r="W962" s="145"/>
      <c r="X962" s="145"/>
      <c r="Y962" s="145"/>
      <c r="Z962" s="145"/>
    </row>
    <row r="963" spans="1:26" ht="13.2">
      <c r="A963" s="144">
        <v>0</v>
      </c>
      <c r="B963" s="145"/>
      <c r="C963" s="145"/>
      <c r="D963" s="145"/>
      <c r="E963" s="145"/>
      <c r="F963" s="145"/>
      <c r="G963" s="145"/>
      <c r="H963" s="145"/>
      <c r="I963" s="145"/>
      <c r="J963" s="145"/>
      <c r="K963" s="145"/>
      <c r="L963" s="145"/>
      <c r="M963" s="146"/>
      <c r="N963" s="145"/>
      <c r="O963" s="145"/>
      <c r="P963" s="145"/>
      <c r="Q963" s="145"/>
      <c r="R963" s="145"/>
      <c r="S963" s="145"/>
      <c r="T963" s="145"/>
      <c r="U963" s="145"/>
      <c r="V963" s="145"/>
      <c r="W963" s="145"/>
      <c r="X963" s="145"/>
      <c r="Y963" s="145"/>
      <c r="Z963" s="145"/>
    </row>
    <row r="964" spans="1:26" ht="13.2">
      <c r="A964" s="144">
        <v>0</v>
      </c>
      <c r="B964" s="145"/>
      <c r="C964" s="145"/>
      <c r="D964" s="145"/>
      <c r="E964" s="145"/>
      <c r="F964" s="145"/>
      <c r="G964" s="145"/>
      <c r="H964" s="145"/>
      <c r="I964" s="145"/>
      <c r="J964" s="145"/>
      <c r="K964" s="145"/>
      <c r="L964" s="145"/>
      <c r="M964" s="146"/>
      <c r="N964" s="145"/>
      <c r="O964" s="145"/>
      <c r="P964" s="145"/>
      <c r="Q964" s="145"/>
      <c r="R964" s="145"/>
      <c r="S964" s="145"/>
      <c r="T964" s="145"/>
      <c r="U964" s="145"/>
      <c r="V964" s="145"/>
      <c r="W964" s="145"/>
      <c r="X964" s="145"/>
      <c r="Y964" s="145"/>
      <c r="Z964" s="145"/>
    </row>
    <row r="965" spans="1:26" ht="13.2">
      <c r="A965" s="144">
        <v>0</v>
      </c>
      <c r="B965" s="145"/>
      <c r="C965" s="145"/>
      <c r="D965" s="145"/>
      <c r="E965" s="145"/>
      <c r="F965" s="145"/>
      <c r="G965" s="145"/>
      <c r="H965" s="145"/>
      <c r="I965" s="145"/>
      <c r="J965" s="145"/>
      <c r="K965" s="145"/>
      <c r="L965" s="145"/>
      <c r="M965" s="146"/>
      <c r="N965" s="145"/>
      <c r="O965" s="145"/>
      <c r="P965" s="145"/>
      <c r="Q965" s="145"/>
      <c r="R965" s="145"/>
      <c r="S965" s="145"/>
      <c r="T965" s="145"/>
      <c r="U965" s="145"/>
      <c r="V965" s="145"/>
      <c r="W965" s="145"/>
      <c r="X965" s="145"/>
      <c r="Y965" s="145"/>
      <c r="Z965" s="145"/>
    </row>
    <row r="966" spans="1:26" ht="13.2">
      <c r="A966" s="144">
        <v>0</v>
      </c>
      <c r="B966" s="145"/>
      <c r="C966" s="145"/>
      <c r="D966" s="145"/>
      <c r="E966" s="145"/>
      <c r="F966" s="145"/>
      <c r="G966" s="145"/>
      <c r="H966" s="145"/>
      <c r="I966" s="145"/>
      <c r="J966" s="145"/>
      <c r="K966" s="145"/>
      <c r="L966" s="145"/>
      <c r="M966" s="146"/>
      <c r="N966" s="145"/>
      <c r="O966" s="145"/>
      <c r="P966" s="145"/>
      <c r="Q966" s="145"/>
      <c r="R966" s="145"/>
      <c r="S966" s="145"/>
      <c r="T966" s="145"/>
      <c r="U966" s="145"/>
      <c r="V966" s="145"/>
      <c r="W966" s="145"/>
      <c r="X966" s="145"/>
      <c r="Y966" s="145"/>
      <c r="Z966" s="145"/>
    </row>
    <row r="967" spans="1:26" ht="13.2">
      <c r="A967" s="144">
        <v>0</v>
      </c>
      <c r="B967" s="145"/>
      <c r="C967" s="145"/>
      <c r="D967" s="145"/>
      <c r="E967" s="145"/>
      <c r="F967" s="145"/>
      <c r="G967" s="145"/>
      <c r="H967" s="145"/>
      <c r="I967" s="145"/>
      <c r="J967" s="145"/>
      <c r="K967" s="145"/>
      <c r="L967" s="145"/>
      <c r="M967" s="146"/>
      <c r="N967" s="145"/>
      <c r="O967" s="145"/>
      <c r="P967" s="145"/>
      <c r="Q967" s="145"/>
      <c r="R967" s="145"/>
      <c r="S967" s="145"/>
      <c r="T967" s="145"/>
      <c r="U967" s="145"/>
      <c r="V967" s="145"/>
      <c r="W967" s="145"/>
      <c r="X967" s="145"/>
      <c r="Y967" s="145"/>
      <c r="Z967" s="145"/>
    </row>
    <row r="968" spans="1:26" ht="13.2">
      <c r="A968" s="144">
        <v>0</v>
      </c>
      <c r="B968" s="145"/>
      <c r="C968" s="145"/>
      <c r="D968" s="145"/>
      <c r="E968" s="145"/>
      <c r="F968" s="145"/>
      <c r="G968" s="145"/>
      <c r="H968" s="145"/>
      <c r="I968" s="145"/>
      <c r="J968" s="145"/>
      <c r="K968" s="145"/>
      <c r="L968" s="145"/>
      <c r="M968" s="146"/>
      <c r="N968" s="145"/>
      <c r="O968" s="145"/>
      <c r="P968" s="145"/>
      <c r="Q968" s="145"/>
      <c r="R968" s="145"/>
      <c r="S968" s="145"/>
      <c r="T968" s="145"/>
      <c r="U968" s="145"/>
      <c r="V968" s="145"/>
      <c r="W968" s="145"/>
      <c r="X968" s="145"/>
      <c r="Y968" s="145"/>
      <c r="Z968" s="145"/>
    </row>
    <row r="969" spans="1:26" ht="13.2">
      <c r="A969" s="144">
        <v>0</v>
      </c>
      <c r="B969" s="145"/>
      <c r="C969" s="145"/>
      <c r="D969" s="145"/>
      <c r="E969" s="145"/>
      <c r="F969" s="145"/>
      <c r="G969" s="145"/>
      <c r="H969" s="145"/>
      <c r="I969" s="145"/>
      <c r="J969" s="145"/>
      <c r="K969" s="145"/>
      <c r="L969" s="145"/>
      <c r="M969" s="146"/>
      <c r="N969" s="145"/>
      <c r="O969" s="145"/>
      <c r="P969" s="145"/>
      <c r="Q969" s="145"/>
      <c r="R969" s="145"/>
      <c r="S969" s="145"/>
      <c r="T969" s="145"/>
      <c r="U969" s="145"/>
      <c r="V969" s="145"/>
      <c r="W969" s="145"/>
      <c r="X969" s="145"/>
      <c r="Y969" s="145"/>
      <c r="Z969" s="145"/>
    </row>
    <row r="970" spans="1:26" ht="13.2">
      <c r="A970" s="144">
        <v>0</v>
      </c>
      <c r="B970" s="145"/>
      <c r="C970" s="145"/>
      <c r="D970" s="145"/>
      <c r="E970" s="145"/>
      <c r="F970" s="145"/>
      <c r="G970" s="145"/>
      <c r="H970" s="145"/>
      <c r="I970" s="145"/>
      <c r="J970" s="145"/>
      <c r="K970" s="145"/>
      <c r="L970" s="145"/>
      <c r="M970" s="146"/>
      <c r="N970" s="145"/>
      <c r="O970" s="145"/>
      <c r="P970" s="145"/>
      <c r="Q970" s="145"/>
      <c r="R970" s="145"/>
      <c r="S970" s="145"/>
      <c r="T970" s="145"/>
      <c r="U970" s="145"/>
      <c r="V970" s="145"/>
      <c r="W970" s="145"/>
      <c r="X970" s="145"/>
      <c r="Y970" s="145"/>
      <c r="Z970" s="145"/>
    </row>
    <row r="971" spans="1:26" ht="13.2">
      <c r="A971" s="144">
        <v>0</v>
      </c>
      <c r="B971" s="145"/>
      <c r="C971" s="145"/>
      <c r="D971" s="145"/>
      <c r="E971" s="145"/>
      <c r="F971" s="145"/>
      <c r="G971" s="145"/>
      <c r="H971" s="145"/>
      <c r="I971" s="145"/>
      <c r="J971" s="145"/>
      <c r="K971" s="145"/>
      <c r="L971" s="145"/>
      <c r="M971" s="146"/>
      <c r="N971" s="145"/>
      <c r="O971" s="145"/>
      <c r="P971" s="145"/>
      <c r="Q971" s="145"/>
      <c r="R971" s="145"/>
      <c r="S971" s="145"/>
      <c r="T971" s="145"/>
      <c r="U971" s="145"/>
      <c r="V971" s="145"/>
      <c r="W971" s="145"/>
      <c r="X971" s="145"/>
      <c r="Y971" s="145"/>
      <c r="Z971" s="145"/>
    </row>
    <row r="972" spans="1:26" ht="13.2">
      <c r="A972" s="144">
        <v>0</v>
      </c>
      <c r="B972" s="145"/>
      <c r="C972" s="145"/>
      <c r="D972" s="145"/>
      <c r="E972" s="145"/>
      <c r="F972" s="145"/>
      <c r="G972" s="145"/>
      <c r="H972" s="145"/>
      <c r="I972" s="145"/>
      <c r="J972" s="145"/>
      <c r="K972" s="145"/>
      <c r="L972" s="145"/>
      <c r="M972" s="146"/>
      <c r="N972" s="145"/>
      <c r="O972" s="145"/>
      <c r="P972" s="145"/>
      <c r="Q972" s="145"/>
      <c r="R972" s="145"/>
      <c r="S972" s="145"/>
      <c r="T972" s="145"/>
      <c r="U972" s="145"/>
      <c r="V972" s="145"/>
      <c r="W972" s="145"/>
      <c r="X972" s="145"/>
      <c r="Y972" s="145"/>
      <c r="Z972" s="145"/>
    </row>
    <row r="973" spans="1:26" ht="13.2">
      <c r="A973" s="144">
        <v>0</v>
      </c>
      <c r="B973" s="145"/>
      <c r="C973" s="145"/>
      <c r="D973" s="145"/>
      <c r="E973" s="145"/>
      <c r="F973" s="145"/>
      <c r="G973" s="145"/>
      <c r="H973" s="145"/>
      <c r="I973" s="145"/>
      <c r="J973" s="145"/>
      <c r="K973" s="145"/>
      <c r="L973" s="145"/>
      <c r="M973" s="146"/>
      <c r="N973" s="145"/>
      <c r="O973" s="145"/>
      <c r="P973" s="145"/>
      <c r="Q973" s="145"/>
      <c r="R973" s="145"/>
      <c r="S973" s="145"/>
      <c r="T973" s="145"/>
      <c r="U973" s="145"/>
      <c r="V973" s="145"/>
      <c r="W973" s="145"/>
      <c r="X973" s="145"/>
      <c r="Y973" s="145"/>
      <c r="Z973" s="145"/>
    </row>
    <row r="974" spans="1:26" ht="13.2">
      <c r="A974" s="144">
        <v>0</v>
      </c>
      <c r="B974" s="145"/>
      <c r="C974" s="145"/>
      <c r="D974" s="145"/>
      <c r="E974" s="145"/>
      <c r="F974" s="145"/>
      <c r="G974" s="145"/>
      <c r="H974" s="145"/>
      <c r="I974" s="145"/>
      <c r="J974" s="145"/>
      <c r="K974" s="145"/>
      <c r="L974" s="145"/>
      <c r="M974" s="146"/>
      <c r="N974" s="145"/>
      <c r="O974" s="145"/>
      <c r="P974" s="145"/>
      <c r="Q974" s="145"/>
      <c r="R974" s="145"/>
      <c r="S974" s="145"/>
      <c r="T974" s="145"/>
      <c r="U974" s="145"/>
      <c r="V974" s="145"/>
      <c r="W974" s="145"/>
      <c r="X974" s="145"/>
      <c r="Y974" s="145"/>
      <c r="Z974" s="145"/>
    </row>
    <row r="975" spans="1:26" ht="13.2">
      <c r="A975" s="144">
        <v>0</v>
      </c>
      <c r="B975" s="145"/>
      <c r="C975" s="145"/>
      <c r="D975" s="145"/>
      <c r="E975" s="145"/>
      <c r="F975" s="145"/>
      <c r="G975" s="145"/>
      <c r="H975" s="145"/>
      <c r="I975" s="145"/>
      <c r="J975" s="145"/>
      <c r="K975" s="145"/>
      <c r="L975" s="145"/>
      <c r="M975" s="146"/>
      <c r="N975" s="145"/>
      <c r="O975" s="145"/>
      <c r="P975" s="145"/>
      <c r="Q975" s="145"/>
      <c r="R975" s="145"/>
      <c r="S975" s="145"/>
      <c r="T975" s="145"/>
      <c r="U975" s="145"/>
      <c r="V975" s="145"/>
      <c r="W975" s="145"/>
      <c r="X975" s="145"/>
      <c r="Y975" s="145"/>
      <c r="Z975" s="145"/>
    </row>
    <row r="976" spans="1:26" ht="13.2">
      <c r="A976" s="144">
        <v>0</v>
      </c>
      <c r="B976" s="145"/>
      <c r="C976" s="145"/>
      <c r="D976" s="145"/>
      <c r="E976" s="145"/>
      <c r="F976" s="145"/>
      <c r="G976" s="145"/>
      <c r="H976" s="145"/>
      <c r="I976" s="145"/>
      <c r="J976" s="145"/>
      <c r="K976" s="145"/>
      <c r="L976" s="145"/>
      <c r="M976" s="146"/>
      <c r="N976" s="145"/>
      <c r="O976" s="145"/>
      <c r="P976" s="145"/>
      <c r="Q976" s="145"/>
      <c r="R976" s="145"/>
      <c r="S976" s="145"/>
      <c r="T976" s="145"/>
      <c r="U976" s="145"/>
      <c r="V976" s="145"/>
      <c r="W976" s="145"/>
      <c r="X976" s="145"/>
      <c r="Y976" s="145"/>
      <c r="Z976" s="145"/>
    </row>
    <row r="977" spans="1:26" ht="13.2">
      <c r="A977" s="144">
        <v>0</v>
      </c>
      <c r="B977" s="145"/>
      <c r="C977" s="145"/>
      <c r="D977" s="145"/>
      <c r="E977" s="145"/>
      <c r="F977" s="145"/>
      <c r="G977" s="145"/>
      <c r="H977" s="145"/>
      <c r="I977" s="145"/>
      <c r="J977" s="145"/>
      <c r="K977" s="145"/>
      <c r="L977" s="145"/>
      <c r="M977" s="146"/>
      <c r="N977" s="145"/>
      <c r="O977" s="145"/>
      <c r="P977" s="145"/>
      <c r="Q977" s="145"/>
      <c r="R977" s="145"/>
      <c r="S977" s="145"/>
      <c r="T977" s="145"/>
      <c r="U977" s="145"/>
      <c r="V977" s="145"/>
      <c r="W977" s="145"/>
      <c r="X977" s="145"/>
      <c r="Y977" s="145"/>
      <c r="Z977" s="145"/>
    </row>
    <row r="978" spans="1:26" ht="13.2">
      <c r="A978" s="144">
        <v>0</v>
      </c>
      <c r="B978" s="145"/>
      <c r="C978" s="145"/>
      <c r="D978" s="145"/>
      <c r="E978" s="145"/>
      <c r="F978" s="145"/>
      <c r="G978" s="145"/>
      <c r="H978" s="145"/>
      <c r="I978" s="145"/>
      <c r="J978" s="145"/>
      <c r="K978" s="145"/>
      <c r="L978" s="145"/>
      <c r="M978" s="146"/>
      <c r="N978" s="145"/>
      <c r="O978" s="145"/>
      <c r="P978" s="145"/>
      <c r="Q978" s="145"/>
      <c r="R978" s="145"/>
      <c r="S978" s="145"/>
      <c r="T978" s="145"/>
      <c r="U978" s="145"/>
      <c r="V978" s="145"/>
      <c r="W978" s="145"/>
      <c r="X978" s="145"/>
      <c r="Y978" s="145"/>
      <c r="Z978" s="145"/>
    </row>
    <row r="979" spans="1:26" ht="13.2">
      <c r="A979" s="144">
        <v>0</v>
      </c>
      <c r="B979" s="145"/>
      <c r="C979" s="145"/>
      <c r="D979" s="145"/>
      <c r="E979" s="145"/>
      <c r="F979" s="145"/>
      <c r="G979" s="145"/>
      <c r="H979" s="145"/>
      <c r="I979" s="145"/>
      <c r="J979" s="145"/>
      <c r="K979" s="145"/>
      <c r="L979" s="145"/>
      <c r="M979" s="146"/>
      <c r="N979" s="145"/>
      <c r="O979" s="145"/>
      <c r="P979" s="145"/>
      <c r="Q979" s="145"/>
      <c r="R979" s="145"/>
      <c r="S979" s="145"/>
      <c r="T979" s="145"/>
      <c r="U979" s="145"/>
      <c r="V979" s="145"/>
      <c r="W979" s="145"/>
      <c r="X979" s="145"/>
      <c r="Y979" s="145"/>
      <c r="Z979" s="145"/>
    </row>
    <row r="980" spans="1:26" ht="13.2">
      <c r="A980" s="144">
        <v>0</v>
      </c>
      <c r="B980" s="145"/>
      <c r="C980" s="145"/>
      <c r="D980" s="145"/>
      <c r="E980" s="145"/>
      <c r="F980" s="145"/>
      <c r="G980" s="145"/>
      <c r="H980" s="145"/>
      <c r="I980" s="145"/>
      <c r="J980" s="145"/>
      <c r="K980" s="145"/>
      <c r="L980" s="145"/>
      <c r="M980" s="146"/>
      <c r="N980" s="145"/>
      <c r="O980" s="145"/>
      <c r="P980" s="145"/>
      <c r="Q980" s="145"/>
      <c r="R980" s="145"/>
      <c r="S980" s="145"/>
      <c r="T980" s="145"/>
      <c r="U980" s="145"/>
      <c r="V980" s="145"/>
      <c r="W980" s="145"/>
      <c r="X980" s="145"/>
      <c r="Y980" s="145"/>
      <c r="Z980" s="145"/>
    </row>
    <row r="981" spans="1:26" ht="13.2">
      <c r="A981" s="144">
        <v>0</v>
      </c>
      <c r="B981" s="145"/>
      <c r="C981" s="145"/>
      <c r="D981" s="145"/>
      <c r="E981" s="145"/>
      <c r="F981" s="145"/>
      <c r="G981" s="145"/>
      <c r="H981" s="145"/>
      <c r="I981" s="145"/>
      <c r="J981" s="145"/>
      <c r="K981" s="145"/>
      <c r="L981" s="145"/>
      <c r="M981" s="146"/>
      <c r="N981" s="145"/>
      <c r="O981" s="145"/>
      <c r="P981" s="145"/>
      <c r="Q981" s="145"/>
      <c r="R981" s="145"/>
      <c r="S981" s="145"/>
      <c r="T981" s="145"/>
      <c r="U981" s="145"/>
      <c r="V981" s="145"/>
      <c r="W981" s="145"/>
      <c r="X981" s="145"/>
      <c r="Y981" s="145"/>
      <c r="Z981" s="145"/>
    </row>
    <row r="982" spans="1:26" ht="13.2">
      <c r="A982" s="144">
        <v>0</v>
      </c>
      <c r="B982" s="145"/>
      <c r="C982" s="145"/>
      <c r="D982" s="145"/>
      <c r="E982" s="145"/>
      <c r="F982" s="145"/>
      <c r="G982" s="145"/>
      <c r="H982" s="145"/>
      <c r="I982" s="145"/>
      <c r="J982" s="145"/>
      <c r="K982" s="145"/>
      <c r="L982" s="145"/>
      <c r="M982" s="146"/>
      <c r="N982" s="145"/>
      <c r="O982" s="145"/>
      <c r="P982" s="145"/>
      <c r="Q982" s="145"/>
      <c r="R982" s="145"/>
      <c r="S982" s="145"/>
      <c r="T982" s="145"/>
      <c r="U982" s="145"/>
      <c r="V982" s="145"/>
      <c r="W982" s="145"/>
      <c r="X982" s="145"/>
      <c r="Y982" s="145"/>
      <c r="Z982" s="145"/>
    </row>
    <row r="983" spans="1:26" ht="13.2">
      <c r="A983" s="144">
        <v>0</v>
      </c>
      <c r="B983" s="145"/>
      <c r="C983" s="145"/>
      <c r="D983" s="145"/>
      <c r="E983" s="145"/>
      <c r="F983" s="145"/>
      <c r="G983" s="145"/>
      <c r="H983" s="145"/>
      <c r="I983" s="145"/>
      <c r="J983" s="145"/>
      <c r="K983" s="145"/>
      <c r="L983" s="145"/>
      <c r="M983" s="146"/>
      <c r="N983" s="145"/>
      <c r="O983" s="145"/>
      <c r="P983" s="145"/>
      <c r="Q983" s="145"/>
      <c r="R983" s="145"/>
      <c r="S983" s="145"/>
      <c r="T983" s="145"/>
      <c r="U983" s="145"/>
      <c r="V983" s="145"/>
      <c r="W983" s="145"/>
      <c r="X983" s="145"/>
      <c r="Y983" s="145"/>
      <c r="Z983" s="145"/>
    </row>
    <row r="984" spans="1:26" ht="13.2">
      <c r="A984" s="144">
        <v>0</v>
      </c>
      <c r="B984" s="145"/>
      <c r="C984" s="145"/>
      <c r="D984" s="145"/>
      <c r="E984" s="145"/>
      <c r="F984" s="145"/>
      <c r="G984" s="145"/>
      <c r="H984" s="145"/>
      <c r="I984" s="145"/>
      <c r="J984" s="145"/>
      <c r="K984" s="145"/>
      <c r="L984" s="145"/>
      <c r="M984" s="146"/>
      <c r="N984" s="145"/>
      <c r="O984" s="145"/>
      <c r="P984" s="145"/>
      <c r="Q984" s="145"/>
      <c r="R984" s="145"/>
      <c r="S984" s="145"/>
      <c r="T984" s="145"/>
      <c r="U984" s="145"/>
      <c r="V984" s="145"/>
      <c r="W984" s="145"/>
      <c r="X984" s="145"/>
      <c r="Y984" s="145"/>
      <c r="Z984" s="145"/>
    </row>
    <row r="985" spans="1:26" ht="13.2">
      <c r="A985" s="144">
        <v>0</v>
      </c>
      <c r="B985" s="145"/>
      <c r="C985" s="145"/>
      <c r="D985" s="145"/>
      <c r="E985" s="145"/>
      <c r="F985" s="145"/>
      <c r="G985" s="145"/>
      <c r="H985" s="145"/>
      <c r="I985" s="145"/>
      <c r="J985" s="145"/>
      <c r="K985" s="145"/>
      <c r="L985" s="145"/>
      <c r="M985" s="146"/>
      <c r="N985" s="145"/>
      <c r="O985" s="145"/>
      <c r="P985" s="145"/>
      <c r="Q985" s="145"/>
      <c r="R985" s="145"/>
      <c r="S985" s="145"/>
      <c r="T985" s="145"/>
      <c r="U985" s="145"/>
      <c r="V985" s="145"/>
      <c r="W985" s="145"/>
      <c r="X985" s="145"/>
      <c r="Y985" s="145"/>
      <c r="Z985" s="145"/>
    </row>
    <row r="986" spans="1:26" ht="13.2">
      <c r="A986" s="144">
        <v>0</v>
      </c>
      <c r="B986" s="145"/>
      <c r="C986" s="145"/>
      <c r="D986" s="145"/>
      <c r="E986" s="145"/>
      <c r="F986" s="145"/>
      <c r="G986" s="145"/>
      <c r="H986" s="145"/>
      <c r="I986" s="145"/>
      <c r="J986" s="145"/>
      <c r="K986" s="145"/>
      <c r="L986" s="145"/>
      <c r="M986" s="146"/>
      <c r="N986" s="145"/>
      <c r="O986" s="145"/>
      <c r="P986" s="145"/>
      <c r="Q986" s="145"/>
      <c r="R986" s="145"/>
      <c r="S986" s="145"/>
      <c r="T986" s="145"/>
      <c r="U986" s="145"/>
      <c r="V986" s="145"/>
      <c r="W986" s="145"/>
      <c r="X986" s="145"/>
      <c r="Y986" s="145"/>
      <c r="Z986" s="145"/>
    </row>
    <row r="987" spans="1:26" ht="13.2">
      <c r="A987" s="144">
        <v>0</v>
      </c>
      <c r="B987" s="145"/>
      <c r="C987" s="145"/>
      <c r="D987" s="145"/>
      <c r="E987" s="145"/>
      <c r="F987" s="145"/>
      <c r="G987" s="145"/>
      <c r="H987" s="145"/>
      <c r="I987" s="145"/>
      <c r="J987" s="145"/>
      <c r="K987" s="145"/>
      <c r="L987" s="145"/>
      <c r="M987" s="146"/>
      <c r="N987" s="145"/>
      <c r="O987" s="145"/>
      <c r="P987" s="145"/>
      <c r="Q987" s="145"/>
      <c r="R987" s="145"/>
      <c r="S987" s="145"/>
      <c r="T987" s="145"/>
      <c r="U987" s="145"/>
      <c r="V987" s="145"/>
      <c r="W987" s="145"/>
      <c r="X987" s="145"/>
      <c r="Y987" s="145"/>
      <c r="Z987" s="145"/>
    </row>
    <row r="988" spans="1:26" ht="13.2">
      <c r="A988" s="144">
        <v>0</v>
      </c>
      <c r="B988" s="145"/>
      <c r="C988" s="145"/>
      <c r="D988" s="145"/>
      <c r="E988" s="145"/>
      <c r="F988" s="145"/>
      <c r="G988" s="145"/>
      <c r="H988" s="145"/>
      <c r="I988" s="145"/>
      <c r="J988" s="145"/>
      <c r="K988" s="145"/>
      <c r="L988" s="145"/>
      <c r="M988" s="146"/>
      <c r="N988" s="145"/>
      <c r="O988" s="145"/>
      <c r="P988" s="145"/>
      <c r="Q988" s="145"/>
      <c r="R988" s="145"/>
      <c r="S988" s="145"/>
      <c r="T988" s="145"/>
      <c r="U988" s="145"/>
      <c r="V988" s="145"/>
      <c r="W988" s="145"/>
      <c r="X988" s="145"/>
      <c r="Y988" s="145"/>
      <c r="Z988" s="145"/>
    </row>
    <row r="989" spans="1:26" ht="13.2">
      <c r="A989" s="144">
        <v>0</v>
      </c>
      <c r="B989" s="145"/>
      <c r="C989" s="145"/>
      <c r="D989" s="145"/>
      <c r="E989" s="145"/>
      <c r="F989" s="145"/>
      <c r="G989" s="145"/>
      <c r="H989" s="145"/>
      <c r="I989" s="145"/>
      <c r="J989" s="145"/>
      <c r="K989" s="145"/>
      <c r="L989" s="145"/>
      <c r="M989" s="146"/>
      <c r="N989" s="145"/>
      <c r="O989" s="145"/>
      <c r="P989" s="145"/>
      <c r="Q989" s="145"/>
      <c r="R989" s="145"/>
      <c r="S989" s="145"/>
      <c r="T989" s="145"/>
      <c r="U989" s="145"/>
      <c r="V989" s="145"/>
      <c r="W989" s="145"/>
      <c r="X989" s="145"/>
      <c r="Y989" s="145"/>
      <c r="Z989" s="145"/>
    </row>
    <row r="990" spans="1:26" ht="13.2">
      <c r="A990" s="144">
        <v>0</v>
      </c>
      <c r="B990" s="145"/>
      <c r="C990" s="145"/>
      <c r="D990" s="145"/>
      <c r="E990" s="145"/>
      <c r="F990" s="145"/>
      <c r="G990" s="145"/>
      <c r="H990" s="145"/>
      <c r="I990" s="145"/>
      <c r="J990" s="145"/>
      <c r="K990" s="145"/>
      <c r="L990" s="145"/>
      <c r="M990" s="146"/>
      <c r="N990" s="145"/>
      <c r="O990" s="145"/>
      <c r="P990" s="145"/>
      <c r="Q990" s="145"/>
      <c r="R990" s="145"/>
      <c r="S990" s="145"/>
      <c r="T990" s="145"/>
      <c r="U990" s="145"/>
      <c r="V990" s="145"/>
      <c r="W990" s="145"/>
      <c r="X990" s="145"/>
      <c r="Y990" s="145"/>
      <c r="Z990" s="145"/>
    </row>
    <row r="991" spans="1:26" ht="13.2">
      <c r="A991" s="144">
        <v>0</v>
      </c>
      <c r="B991" s="145"/>
      <c r="C991" s="145"/>
      <c r="D991" s="145"/>
      <c r="E991" s="145"/>
      <c r="F991" s="145"/>
      <c r="G991" s="145"/>
      <c r="H991" s="145"/>
      <c r="I991" s="145"/>
      <c r="J991" s="145"/>
      <c r="K991" s="145"/>
      <c r="L991" s="145"/>
      <c r="M991" s="146"/>
      <c r="N991" s="145"/>
      <c r="O991" s="145"/>
      <c r="P991" s="145"/>
      <c r="Q991" s="145"/>
      <c r="R991" s="145"/>
      <c r="S991" s="145"/>
      <c r="T991" s="145"/>
      <c r="U991" s="145"/>
      <c r="V991" s="145"/>
      <c r="W991" s="145"/>
      <c r="X991" s="145"/>
      <c r="Y991" s="145"/>
      <c r="Z991" s="145"/>
    </row>
    <row r="992" spans="1:26" ht="13.2">
      <c r="A992" s="144">
        <v>0</v>
      </c>
      <c r="B992" s="145"/>
      <c r="C992" s="145"/>
      <c r="D992" s="145"/>
      <c r="E992" s="145"/>
      <c r="F992" s="145"/>
      <c r="G992" s="145"/>
      <c r="H992" s="145"/>
      <c r="I992" s="145"/>
      <c r="J992" s="145"/>
      <c r="K992" s="145"/>
      <c r="L992" s="145"/>
      <c r="M992" s="146"/>
      <c r="N992" s="145"/>
      <c r="O992" s="145"/>
      <c r="P992" s="145"/>
      <c r="Q992" s="145"/>
      <c r="R992" s="145"/>
      <c r="S992" s="145"/>
      <c r="T992" s="145"/>
      <c r="U992" s="145"/>
      <c r="V992" s="145"/>
      <c r="W992" s="145"/>
      <c r="X992" s="145"/>
      <c r="Y992" s="145"/>
      <c r="Z992" s="145"/>
    </row>
    <row r="993" spans="1:26" ht="13.2">
      <c r="A993" s="144">
        <v>0</v>
      </c>
      <c r="B993" s="145"/>
      <c r="C993" s="145"/>
      <c r="D993" s="145"/>
      <c r="E993" s="145"/>
      <c r="F993" s="145"/>
      <c r="G993" s="145"/>
      <c r="H993" s="145"/>
      <c r="I993" s="145"/>
      <c r="J993" s="145"/>
      <c r="K993" s="145"/>
      <c r="L993" s="145"/>
      <c r="M993" s="146"/>
      <c r="N993" s="145"/>
      <c r="O993" s="145"/>
      <c r="P993" s="145"/>
      <c r="Q993" s="145"/>
      <c r="R993" s="145"/>
      <c r="S993" s="145"/>
      <c r="T993" s="145"/>
      <c r="U993" s="145"/>
      <c r="V993" s="145"/>
      <c r="W993" s="145"/>
      <c r="X993" s="145"/>
      <c r="Y993" s="145"/>
      <c r="Z993" s="145"/>
    </row>
    <row r="994" spans="1:26" ht="13.2">
      <c r="A994" s="144">
        <v>0</v>
      </c>
      <c r="B994" s="145"/>
      <c r="C994" s="145"/>
      <c r="D994" s="145"/>
      <c r="E994" s="145"/>
      <c r="F994" s="145"/>
      <c r="G994" s="145"/>
      <c r="H994" s="145"/>
      <c r="I994" s="145"/>
      <c r="J994" s="145"/>
      <c r="K994" s="145"/>
      <c r="L994" s="145"/>
      <c r="M994" s="146"/>
      <c r="N994" s="145"/>
      <c r="O994" s="145"/>
      <c r="P994" s="145"/>
      <c r="Q994" s="145"/>
      <c r="R994" s="145"/>
      <c r="S994" s="145"/>
      <c r="T994" s="145"/>
      <c r="U994" s="145"/>
      <c r="V994" s="145"/>
      <c r="W994" s="145"/>
      <c r="X994" s="145"/>
      <c r="Y994" s="145"/>
      <c r="Z994" s="145"/>
    </row>
    <row r="995" spans="1:26" ht="13.2">
      <c r="A995" s="144">
        <v>0</v>
      </c>
      <c r="B995" s="145"/>
      <c r="C995" s="145"/>
      <c r="D995" s="145"/>
      <c r="E995" s="145"/>
      <c r="F995" s="145"/>
      <c r="G995" s="145"/>
      <c r="H995" s="145"/>
      <c r="I995" s="145"/>
      <c r="J995" s="145"/>
      <c r="K995" s="145"/>
      <c r="L995" s="145"/>
      <c r="M995" s="146"/>
      <c r="N995" s="145"/>
      <c r="O995" s="145"/>
      <c r="P995" s="145"/>
      <c r="Q995" s="145"/>
      <c r="R995" s="145"/>
      <c r="S995" s="145"/>
      <c r="T995" s="145"/>
      <c r="U995" s="145"/>
      <c r="V995" s="145"/>
      <c r="W995" s="145"/>
      <c r="X995" s="145"/>
      <c r="Y995" s="145"/>
      <c r="Z995" s="145"/>
    </row>
    <row r="996" spans="1:26" ht="13.2">
      <c r="A996" s="144">
        <v>0</v>
      </c>
      <c r="B996" s="145"/>
      <c r="C996" s="145"/>
      <c r="D996" s="145"/>
      <c r="E996" s="145"/>
      <c r="F996" s="145"/>
      <c r="G996" s="145"/>
      <c r="H996" s="145"/>
      <c r="I996" s="145"/>
      <c r="J996" s="145"/>
      <c r="K996" s="145"/>
      <c r="L996" s="145"/>
      <c r="M996" s="146"/>
      <c r="N996" s="145"/>
      <c r="O996" s="145"/>
      <c r="P996" s="145"/>
      <c r="Q996" s="145"/>
      <c r="R996" s="145"/>
      <c r="S996" s="145"/>
      <c r="T996" s="145"/>
      <c r="U996" s="145"/>
      <c r="V996" s="145"/>
      <c r="W996" s="145"/>
      <c r="X996" s="145"/>
      <c r="Y996" s="145"/>
      <c r="Z996" s="145"/>
    </row>
    <row r="997" spans="1:26" ht="13.2">
      <c r="A997" s="144">
        <v>0</v>
      </c>
      <c r="B997" s="145"/>
      <c r="C997" s="145"/>
      <c r="D997" s="145"/>
      <c r="E997" s="145"/>
      <c r="F997" s="145"/>
      <c r="G997" s="145"/>
      <c r="H997" s="145"/>
      <c r="I997" s="145"/>
      <c r="J997" s="145"/>
      <c r="K997" s="145"/>
      <c r="L997" s="145"/>
      <c r="M997" s="146"/>
      <c r="N997" s="145"/>
      <c r="O997" s="145"/>
      <c r="P997" s="145"/>
      <c r="Q997" s="145"/>
      <c r="R997" s="145"/>
      <c r="S997" s="145"/>
      <c r="T997" s="145"/>
      <c r="U997" s="145"/>
      <c r="V997" s="145"/>
      <c r="W997" s="145"/>
      <c r="X997" s="145"/>
      <c r="Y997" s="145"/>
      <c r="Z997" s="145"/>
    </row>
    <row r="998" spans="1:26" ht="13.2">
      <c r="A998" s="144">
        <v>0</v>
      </c>
      <c r="B998" s="145"/>
      <c r="C998" s="145"/>
      <c r="D998" s="145"/>
      <c r="E998" s="145"/>
      <c r="F998" s="145"/>
      <c r="G998" s="145"/>
      <c r="H998" s="145"/>
      <c r="I998" s="145"/>
      <c r="J998" s="145"/>
      <c r="K998" s="145"/>
      <c r="L998" s="145"/>
      <c r="M998" s="146"/>
      <c r="N998" s="145"/>
      <c r="O998" s="145"/>
      <c r="P998" s="145"/>
      <c r="Q998" s="145"/>
      <c r="R998" s="145"/>
      <c r="S998" s="145"/>
      <c r="T998" s="145"/>
      <c r="U998" s="145"/>
      <c r="V998" s="145"/>
      <c r="W998" s="145"/>
      <c r="X998" s="145"/>
      <c r="Y998" s="145"/>
      <c r="Z998" s="145"/>
    </row>
    <row r="999" spans="1:26" ht="13.2">
      <c r="A999" s="144">
        <v>0</v>
      </c>
      <c r="B999" s="145"/>
      <c r="C999" s="145"/>
      <c r="D999" s="145"/>
      <c r="E999" s="145"/>
      <c r="F999" s="145"/>
      <c r="G999" s="145"/>
      <c r="H999" s="145"/>
      <c r="I999" s="145"/>
      <c r="J999" s="145"/>
      <c r="K999" s="145"/>
      <c r="L999" s="145"/>
      <c r="M999" s="146"/>
      <c r="N999" s="145"/>
      <c r="O999" s="145"/>
      <c r="P999" s="145"/>
      <c r="Q999" s="145"/>
      <c r="R999" s="145"/>
      <c r="S999" s="145"/>
      <c r="T999" s="145"/>
      <c r="U999" s="145"/>
      <c r="V999" s="145"/>
      <c r="W999" s="145"/>
      <c r="X999" s="145"/>
      <c r="Y999" s="145"/>
      <c r="Z999" s="145"/>
    </row>
    <row r="1000" spans="1:26" ht="13.2">
      <c r="A1000" s="147">
        <v>0</v>
      </c>
      <c r="B1000" s="148"/>
      <c r="C1000" s="148"/>
      <c r="D1000" s="148"/>
      <c r="E1000" s="148"/>
      <c r="F1000" s="148"/>
      <c r="G1000" s="148"/>
      <c r="H1000" s="148"/>
      <c r="I1000" s="148"/>
      <c r="J1000" s="148"/>
      <c r="K1000" s="148"/>
      <c r="L1000" s="148"/>
      <c r="M1000" s="149"/>
      <c r="N1000" s="148"/>
      <c r="O1000" s="148"/>
      <c r="P1000" s="148"/>
      <c r="Q1000" s="148"/>
      <c r="R1000" s="148"/>
      <c r="S1000" s="148"/>
      <c r="T1000" s="148"/>
      <c r="U1000" s="148"/>
      <c r="V1000" s="148"/>
      <c r="W1000" s="148"/>
      <c r="X1000" s="148"/>
      <c r="Y1000" s="148"/>
      <c r="Z1000" s="148"/>
    </row>
  </sheetData>
  <conditionalFormatting sqref="A1:Z1000">
    <cfRule type="expression" dxfId="4" priority="1">
      <formula>IF(INDIRECT(ADDRESS(ROW(), COLUMN()+1))=INDIRECT(ADDRESS(ROW(), COLUMN())),TRUE,FALSE)</formula>
    </cfRule>
  </conditionalFormatting>
  <dataValidations count="1">
    <dataValidation type="list" allowBlank="1" sqref="C14:D14" xr:uid="{00000000-0002-0000-0A00-000000000000}">
      <formula1>$A$2:$A$10</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O1000"/>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ColWidth="12.6640625" defaultRowHeight="15.75" customHeight="1"/>
  <cols>
    <col min="1" max="1" width="5.44140625" customWidth="1"/>
    <col min="2" max="2" width="8.109375" customWidth="1"/>
    <col min="5" max="6" width="15.6640625" customWidth="1"/>
    <col min="8" max="8" width="12.6640625" hidden="1"/>
    <col min="10" max="10" width="12.6640625" hidden="1"/>
    <col min="12" max="12" width="12.6640625" hidden="1"/>
    <col min="14" max="14" width="12.6640625" hidden="1"/>
    <col min="16" max="16" width="12.6640625" hidden="1"/>
    <col min="18" max="18" width="12.6640625" hidden="1"/>
    <col min="26" max="26" width="12.6640625" hidden="1"/>
    <col min="30" max="30" width="16.21875" customWidth="1"/>
    <col min="33" max="33" width="13.6640625" customWidth="1"/>
    <col min="35" max="35" width="12.6640625" hidden="1"/>
  </cols>
  <sheetData>
    <row r="1" spans="1:41" ht="15.75" customHeight="1">
      <c r="A1" s="55" t="s">
        <v>72</v>
      </c>
      <c r="B1" s="89" t="s">
        <v>797</v>
      </c>
      <c r="C1" s="90" t="s">
        <v>798</v>
      </c>
      <c r="D1" s="91" t="s">
        <v>799</v>
      </c>
      <c r="E1" s="92" t="s">
        <v>1</v>
      </c>
      <c r="F1" s="150" t="s">
        <v>3</v>
      </c>
      <c r="G1" s="94" t="s">
        <v>800</v>
      </c>
      <c r="H1" s="95" t="s">
        <v>801</v>
      </c>
      <c r="I1" s="95" t="s">
        <v>802</v>
      </c>
      <c r="J1" s="95" t="s">
        <v>801</v>
      </c>
      <c r="K1" s="95" t="s">
        <v>803</v>
      </c>
      <c r="L1" s="95" t="s">
        <v>801</v>
      </c>
      <c r="M1" s="95" t="s">
        <v>804</v>
      </c>
      <c r="N1" s="95" t="s">
        <v>801</v>
      </c>
      <c r="O1" s="95" t="s">
        <v>805</v>
      </c>
      <c r="P1" s="95" t="s">
        <v>801</v>
      </c>
      <c r="Q1" s="96" t="s">
        <v>806</v>
      </c>
      <c r="R1" s="96" t="s">
        <v>801</v>
      </c>
      <c r="S1" s="151" t="s">
        <v>807</v>
      </c>
      <c r="T1" s="151" t="s">
        <v>852</v>
      </c>
      <c r="U1" s="96" t="s">
        <v>809</v>
      </c>
      <c r="V1" s="98" t="s">
        <v>810</v>
      </c>
      <c r="W1" s="99" t="s">
        <v>811</v>
      </c>
      <c r="X1" s="100" t="s">
        <v>812</v>
      </c>
      <c r="Y1" s="93" t="s">
        <v>2</v>
      </c>
      <c r="Z1" s="93" t="s">
        <v>853</v>
      </c>
      <c r="AA1" s="96" t="s">
        <v>41</v>
      </c>
      <c r="AB1" s="96" t="s">
        <v>8</v>
      </c>
      <c r="AC1" s="96" t="s">
        <v>813</v>
      </c>
      <c r="AD1" s="98" t="s">
        <v>17</v>
      </c>
      <c r="AE1" s="95" t="s">
        <v>814</v>
      </c>
      <c r="AF1" s="152" t="s">
        <v>815</v>
      </c>
      <c r="AG1" s="93" t="s">
        <v>816</v>
      </c>
      <c r="AH1" s="93" t="s">
        <v>817</v>
      </c>
      <c r="AI1" s="101" t="s">
        <v>818</v>
      </c>
      <c r="AJ1" s="226" t="s">
        <v>33</v>
      </c>
      <c r="AK1" s="173"/>
      <c r="AL1" s="173"/>
      <c r="AM1" s="173"/>
      <c r="AN1" s="173"/>
      <c r="AO1" s="173"/>
    </row>
    <row r="2" spans="1:41" ht="15.75" customHeight="1">
      <c r="A2" s="53">
        <v>1</v>
      </c>
      <c r="B2" s="118">
        <f t="shared" ref="B2:B65" si="0">(TRUNC(1+(250000-1)*(TRUNC(MOD(((Seed*ROW())*1103515245 +12345)/ 65536, 32768),0)/32768),0))/100000</f>
        <v>0.48820999999999998</v>
      </c>
      <c r="C2" s="72" t="str">
        <f t="array" ref="C2">INDEX(NPCFName,TRUNC(1+(COUNTA(NPCFName))*(TRUNC(MOD(($B2*1103515245 +12345)/ 65536, 32768),0)/32768),0))</f>
        <v>Rydan</v>
      </c>
      <c r="D2" s="16" t="str">
        <f t="array" ref="D2">INDEX(NPCLName,TRUNC(1+(COUNTA(NPCLName))*(TRUNC(MOD(($B2*1103515245 +12345)/ 65536, 32768),0)/32768),0))</f>
        <v>Tuskleaf</v>
      </c>
      <c r="E2" s="16" t="str">
        <f t="array" ref="E2">INDEX(NPCClass,TRUNC(1+(COUNTA(NPCClass))*(TRUNC(MOD(($B2*1103515245 +12345)/ 65536, 32768),0)/32768),0))</f>
        <v>Monk</v>
      </c>
      <c r="F2" s="76">
        <v>4</v>
      </c>
      <c r="G2" s="153">
        <f ca="1">VLOOKUP($AB$2,'RF Mod'!$A$2:$G$12,2,FALSE)+VLOOKUP($AD$2,'RF Mod'!$I$2:$O$11,2,FALSE)+(TRUNC(6+(24-6)*(TRUNC(MOD(($B2*1103515245 +12345)/ 65536, 32768),0)/32768),0))</f>
        <v>8</v>
      </c>
      <c r="H2" s="16">
        <f t="shared" ref="H2:H256" ca="1" si="1">IF(G2&lt;10, FLOOR(G2/2,1) - 5, _xludf.concat("+", FLOOR(G2/2,1) - 5))</f>
        <v>-1</v>
      </c>
      <c r="I2" s="153">
        <f ca="1">VLOOKUP($AB$2,'RF Mod'!$A$2:$G$12,3,FALSE)+VLOOKUP($AD$2,'RF Mod'!$I$2:$O$11,3,FALSE)+(TRUNC(6+(24-6)*(TRUNC(MOD(($B2*1103515245 +12345)/ 65536, 32768),0)/32768),0))</f>
        <v>12</v>
      </c>
      <c r="J2" s="16" t="e">
        <f t="shared" ref="J2:J256" ca="1" si="2">IF(I2&lt;10, FLOOR(I2/2,1) - 5, _xludf.concat("+", FLOOR(I2/2,1) - 5))</f>
        <v>#NAME?</v>
      </c>
      <c r="K2" s="153">
        <f ca="1">VLOOKUP($AB$2,'RF Mod'!$A$2:$G$12,3,FALSE)+VLOOKUP($AD$2,'RF Mod'!$I$2:$O$11,3,FALSE)+(TRUNC(6+(24-6)*(TRUNC(MOD(($B2*1103515245 +12345)/ 65536, 32768),0)/32768),0))</f>
        <v>12</v>
      </c>
      <c r="L2" s="16" t="e">
        <f t="shared" ref="L2:L256" ca="1" si="3">IF(K2&lt;10, FLOOR(K2/2,1) - 5, _xludf.concat("+", FLOOR(K2/2,1) - 5))</f>
        <v>#NAME?</v>
      </c>
      <c r="M2" s="153">
        <f ca="1">VLOOKUP($AB$2,'RF Mod'!$A$2:$G$12,4,FALSE)+VLOOKUP($AD$2,'RF Mod'!$I$2:$O$11,4,FALSE)+(TRUNC(6+(24-6)*(TRUNC(MOD(($B2*1103515245 +12345)/ 65536, 32768),0)/32768),0))</f>
        <v>11</v>
      </c>
      <c r="N2" s="16" t="e">
        <f t="shared" ref="N2:N256" ca="1" si="4">IF(M2&lt;10, FLOOR(M2/2,1) - 5, _xludf.concat("+", FLOOR(M2/2,1) - 5))</f>
        <v>#NAME?</v>
      </c>
      <c r="O2" s="153">
        <f ca="1">VLOOKUP($AB$2,'RF Mod'!$A$2:$G$12,5,FALSE)+VLOOKUP($AD$2,'RF Mod'!$I$2:$O$11,5,FALSE)+(TRUNC(6+(24-6)*(TRUNC(MOD(($B2*1103515245 +12345)/ 65536, 32768),0)/32768),0))</f>
        <v>14</v>
      </c>
      <c r="P2" s="16" t="e">
        <f t="shared" ref="P2:P256" ca="1" si="5">IF(O2&lt;10, FLOOR(O2/2,1) - 5, _xludf.concat("+", FLOOR(O2/2,1) - 5))</f>
        <v>#NAME?</v>
      </c>
      <c r="Q2" s="153">
        <f ca="1">VLOOKUP($AB$2,'RF Mod'!$A$2:$G$12,6,FALSE)+VLOOKUP($AD$2,'RF Mod'!$I$2:$O$11,6,FALSE)+(TRUNC(6+(24-6)*(TRUNC(MOD(($B2*1103515245 +12345)/ 65536, 32768),0)/32768),0))</f>
        <v>12</v>
      </c>
      <c r="R2" s="16" t="e">
        <f t="shared" ref="R2:R256" ca="1" si="6">IF(Q2&lt;10, FLOOR(Q2/2,1) - 5, _xludf.concat("+", FLOOR(Q2/2,1) - 5))</f>
        <v>#NAME?</v>
      </c>
      <c r="S2" s="154">
        <f ca="1">(CEILING(20*(TRUNC(1+(10-1)*(TRUNC(MOD(($B2*1103515245 +12345)/ 65536, 32768),0)/32768),0)/10),1)+(K2))*F2</f>
        <v>72</v>
      </c>
      <c r="T2" s="154">
        <f t="shared" ref="T2:T256" ca="1" si="7">RANDBETWEEN(1,(S2*1.2))</f>
        <v>57</v>
      </c>
      <c r="U2" s="16" t="str">
        <f t="shared" ref="U2:U256" ca="1" si="8">IF(T2=S2,"Unconscious",IF(T2&gt;S2,"Dead",IF(T2&gt;(S2/2),"Bloody","Fine")))</f>
        <v>Bloody</v>
      </c>
      <c r="V2" s="155">
        <f ca="1">IFERROR(__xludf.DUMMYFUNCTION("if(W2=""Middle Age"",QUERY(NPCVar!$K$2:$N1000, ""Select L where K = '""&amp;AB2&amp;""'""),if(W2=""Old"",QUERY(NPCVar!$K$2:$N1000, ""Select M where K = '""&amp;AB2&amp;""'""),if(W2=""Venerable"",QUERY(NPCVar!$K$2:$N1000, ""Select N where K = '""&amp;AB2&amp;""'""),false)))*X2"),93.75)</f>
        <v>93.75</v>
      </c>
      <c r="W2" s="156" t="str">
        <f t="array" ref="W2">INDEX(NPCAgeType,TRUNC(1+(4-1)*(TRUNC(MOD(($B2*1103515245 +12345)/ 65536, 32768),0)/32768),0))</f>
        <v>Middle Age</v>
      </c>
      <c r="X2" s="117">
        <f t="shared" ref="X2:X4" si="9">(TRUNC(1+(20-1)*(TRUNC(MOD(($B2*1103515245 +12345)/ 65536, 32768),0)/32768),0))/10</f>
        <v>0.5</v>
      </c>
      <c r="Y2" s="157" t="e">
        <f t="array" aca="1" ref="Y2" ca="1">LOOKUP(ABS(MAX(Z2 + MIN(ABS(INDIRECT("Class Jobs!B"&amp;MATCH(E2,'Class Jobs'!$A$1:$A1000,0)&amp;":"&amp;"AF"&amp;MATCH(E2,'Class Jobs'!$A$1:$A1000,0)&amp;"")-$Z2)) * SUM(IF(MIN(ABS(INDIRECT("Class Jobs!B"&amp;MATCH(E2,'Class Jobs'!$A$1:$A1000,0)&amp;":"&amp;"AF"&amp;MATCH(E2,'Class Jobs'!$A$1:$A1000,0)&amp;"")-$Z2))=ABS(INDIRECT("Class Jobs!B"&amp;MATCH(E2,'Class Jobs'!$A$1:$A1000,0)&amp;":"&amp;"AF"&amp;MATCH(E2,'Class Jobs'!$A$1:$A1000,0)&amp;"")-$Z2),SIGN(INDIRECT("Class Jobs!B"&amp;MATCH(E2,'Class Jobs'!$A$1:A1000,0)&amp;":"&amp;"AF"&amp;MATCH(E2,'Class Jobs'!$A$1:$A1000,0)&amp;"")-$Z2),0)),0)),INDIRECT("Class Jobs!B"&amp;MATCH(E2,'Class Jobs'!$A$1:$A1000,0)&amp;":"&amp;"AF"&amp;MATCH(E2,'Class Jobs'!$A$1:$A1000,1)&amp;""),'Class Jobs'!$B$1:$AF$1)</f>
        <v>#REF!</v>
      </c>
      <c r="Z2" s="158">
        <f t="shared" ref="Z2:Z256" si="10">(TRUNC(1+(100-1)*(TRUNC(MOD(($B2*1103515245 +12345)/ 65536, 32768),0)/32768),0))/100</f>
        <v>0.25</v>
      </c>
      <c r="AA2" s="16" t="str">
        <f t="array" ref="AA2">INDEX(NPCGender,TRUNC(1+(COUNTA(NPCGender))*(TRUNC(MOD(($B2*1103515245 +12345)/ 65536, 32768),0)/32768),0))</f>
        <v>Male</v>
      </c>
      <c r="AB2" s="16" t="str">
        <f t="array" ref="AB2">INDEX(NPCRace,TRUNC(1+(COUNTA(NPCRace))*(TRUNC(MOD(($B2*1103515245 +12345)/ 65536, 32768),0)/32768),0))</f>
        <v>Elf</v>
      </c>
      <c r="AC2" s="16" t="str">
        <f t="array" ref="AC2">INDEX(NPCAL,TRUNC(1+(COUNTA(NPCAL))*(TRUNC(MOD(($B2*1103515245 +12345)/ 65536, 32768),0)/32768),0))</f>
        <v>CG</v>
      </c>
      <c r="AD2" s="72" t="str">
        <f ca="1">IFERROR(__xludf.DUMMYFUNCTION("if(V2&lt;15,QUERY(NPCVar!C:D,""Select D WHERE C = '""&amp;D2&amp;""'""),if((TRUNC(1+10)*(TRUNC(MOD((ROW(H2)*1103515245 +12345)/ 65536, 32768),0)/32768)/10) &gt; 0.85,INDEX(NPCFaction,TRUNC(1+(counta(NPCFaction)-1)*(TRUNC(MOD(($B2*1103515245 +12345)/ 65536, 32768),0)/32"&amp;"768),0)),QUERY(NPCVar!C:D,""Select D WHERE C = '""&amp;D2&amp;""'"")))"),"Magic Guild")</f>
        <v>Magic Guild</v>
      </c>
      <c r="AE2" s="108" t="e">
        <f t="shared" ref="AE2:AE256" ca="1" si="11">(TRUNC(1+(10-1)*(TRUNC(MOD((ROW(B1)*1103515245 +12345)/ 65536, 32768),0)/32768),0)/10)+(MAX(MIN((H2+J2+L2+N2+P2+R2),1),-3)/10)</f>
        <v>#NAME?</v>
      </c>
      <c r="AF2" s="159">
        <f ca="1">IFERROR(__xludf.DUMMYFUNCTION("AE2*(V2 / QUERY(NPCVar!$K$2:$N$12, ""Select N WHERE K='""&amp;AB2&amp;""'""))*TRUNC(1+10)*(TRUNC(MOD(($B2*1103515245 +12345)/ 65536, 32768),0)/32768)"),0.206954956054687)</f>
        <v>0.206954956054687</v>
      </c>
      <c r="AG2" s="16"/>
      <c r="AH2" s="77"/>
      <c r="AI2" s="114"/>
    </row>
    <row r="3" spans="1:41" ht="15.75" customHeight="1">
      <c r="A3" s="53">
        <v>2</v>
      </c>
      <c r="B3" s="118">
        <f t="shared" si="0"/>
        <v>1.98234</v>
      </c>
      <c r="C3" s="72" t="str">
        <f t="array" ref="C3">INDEX(NPCFName,TRUNC(1+(COUNTA(NPCFName))*(TRUNC(MOD(($B3*1103515245 +12345)/ 65536, 32768),0)/32768),0))</f>
        <v>Atgur</v>
      </c>
      <c r="D3" s="16" t="str">
        <f t="array" ref="D3">INDEX(NPCLName,TRUNC(1+(COUNTA(NPCLName))*(TRUNC(MOD(($B3*1103515245 +12345)/ 65536, 32768),0)/32768),0))</f>
        <v>Stagfang</v>
      </c>
      <c r="E3" s="16" t="s">
        <v>146</v>
      </c>
      <c r="F3" s="76">
        <v>1</v>
      </c>
      <c r="G3" s="153">
        <f ca="1">VLOOKUP($AB$2,'RF Mod'!$A$2:$G$12,2,FALSE)+VLOOKUP($AD$2,'RF Mod'!$I$2:$O$11,2,FALSE)+(TRUNC(6+(24-6)*(TRUNC(MOD(($Z3*1103515245 +12345)/ 65536, 32768),0)/32768),0))</f>
        <v>4</v>
      </c>
      <c r="H3" s="16">
        <f t="shared" ca="1" si="1"/>
        <v>-3</v>
      </c>
      <c r="I3" s="153">
        <f ca="1">VLOOKUP($AB$2,'RF Mod'!$A$2:$G$12,3,FALSE)+VLOOKUP($AD$2,'RF Mod'!$I$2:$O$11,3,FALSE)+(TRUNC(6+(24-6)*(TRUNC(MOD(($Z3*1103515245 +12345)/ 65536, 32768),0)/32768),0))</f>
        <v>8</v>
      </c>
      <c r="J3" s="16">
        <f t="shared" ca="1" si="2"/>
        <v>-1</v>
      </c>
      <c r="K3" s="153">
        <f ca="1">VLOOKUP($AB$2,'RF Mod'!$A$2:$G$12,3,FALSE)+VLOOKUP($AD$2,'RF Mod'!$I$2:$O$11,3,FALSE)+(TRUNC(6+(24-6)*(TRUNC(MOD(($Z3*1103515245 +12345)/ 65536, 32768),0)/32768),0))</f>
        <v>8</v>
      </c>
      <c r="L3" s="16">
        <f t="shared" ca="1" si="3"/>
        <v>-1</v>
      </c>
      <c r="M3" s="153">
        <f ca="1">VLOOKUP($AB$2,'RF Mod'!$A$2:$G$12,4,FALSE)+VLOOKUP($AD$2,'RF Mod'!$I$2:$O$11,4,FALSE)+(TRUNC(6+(24-6)*(TRUNC(MOD(($Z3*1103515245 +12345)/ 65536, 32768),0)/32768),0))</f>
        <v>7</v>
      </c>
      <c r="N3" s="16">
        <f t="shared" ca="1" si="4"/>
        <v>-2</v>
      </c>
      <c r="O3" s="153">
        <f ca="1">VLOOKUP($AB$2,'RF Mod'!$A$2:$G$12,5,FALSE)+VLOOKUP($AD$2,'RF Mod'!$I$2:$O$11,5,FALSE)+(TRUNC(6+(24-6)*(TRUNC(MOD(($Z3*1103515245 +12345)/ 65536, 32768),0)/32768),0))</f>
        <v>10</v>
      </c>
      <c r="P3" s="16" t="e">
        <f t="shared" ca="1" si="5"/>
        <v>#NAME?</v>
      </c>
      <c r="Q3" s="153">
        <f ca="1">VLOOKUP($AB$2,'RF Mod'!$A$2:$G$12,6,FALSE)+VLOOKUP($AD$2,'RF Mod'!$I$2:$O$11,6,FALSE)+(TRUNC(6+(24-6)*(TRUNC(MOD(($Z3*1103515245 +12345)/ 65536, 32768),0)/32768),0))</f>
        <v>8</v>
      </c>
      <c r="R3" s="16">
        <f t="shared" ca="1" si="6"/>
        <v>-1</v>
      </c>
      <c r="S3" s="154">
        <f t="shared" ref="S3:S257" ca="1" si="12">(CEILING(20*(TRUNC(1+(10-1)*(TRUNC(MOD((AF3*1103515245 +12345)/ 65536, 32768),0)/32768),0)/10),1)+(K3))*F3</f>
        <v>26</v>
      </c>
      <c r="T3" s="154">
        <f t="shared" ca="1" si="7"/>
        <v>4</v>
      </c>
      <c r="U3" s="16" t="str">
        <f t="shared" ca="1" si="8"/>
        <v>Fine</v>
      </c>
      <c r="V3" s="155">
        <f ca="1">IFERROR(__xludf.DUMMYFUNCTION("if(W3=""Middle Age"",QUERY(NPCVar!$K$2:$N1000, ""Select L where K = '""&amp;AB3&amp;""'""),if(W3=""Old"",QUERY(NPCVar!$K$2:$N1000, ""Select M where K = '""&amp;AB3&amp;""'""),if(W3=""Venerable"",QUERY(NPCVar!$K$2:$N1000, ""Select N where K = '""&amp;AB3&amp;""'""),false)))*X3"),2)</f>
        <v>2</v>
      </c>
      <c r="W3" s="156" t="str">
        <f t="array" ref="W3">INDEX(NPCAgeType,TRUNC(1+(4-1)*(TRUNC(MOD((X3*1103515245 +12345)/ 65536, 32768),0)/32768),0))</f>
        <v>Middle Age</v>
      </c>
      <c r="X3" s="117">
        <f t="shared" si="9"/>
        <v>0.1</v>
      </c>
      <c r="Y3" s="157" t="e">
        <f t="array" aca="1" ref="Y3" ca="1">LOOKUP(ABS(MAX(Z3 + MIN(ABS(INDIRECT("Class Jobs!B"&amp;MATCH(E3,'Class Jobs'!$A$1:$A1000,0)&amp;":"&amp;"AF"&amp;MATCH(E3,'Class Jobs'!$A$1:$A1000,0)&amp;"")-$Z3)) * SUM(IF(MIN(ABS(INDIRECT("Class Jobs!B"&amp;MATCH(E3,'Class Jobs'!$A$1:$A1000,0)&amp;":"&amp;"AF"&amp;MATCH(E3,'Class Jobs'!$A$1:$A1000,0)&amp;"")-$Z3))=ABS(INDIRECT("Class Jobs!B"&amp;MATCH(E3,'Class Jobs'!$A$1:$A1000,0)&amp;":"&amp;"AF"&amp;MATCH(E3,'Class Jobs'!$A$1:$A1000,0)&amp;"")-$Z3),SIGN(INDIRECT("Class Jobs!B"&amp;MATCH(E3,'Class Jobs'!$A$1:A1000,0)&amp;":"&amp;"AF"&amp;MATCH(E3,'Class Jobs'!$A$1:$A1000,0)&amp;"")-$Z3),0)),0)),INDIRECT("Class Jobs!B"&amp;MATCH(E3,'Class Jobs'!$A$1:$A1000,0)&amp;":"&amp;"AF"&amp;MATCH(E3,'Class Jobs'!$A$1:$A1000,1)&amp;""),'Class Jobs'!$B$1:$AF$1)</f>
        <v>#REF!</v>
      </c>
      <c r="Z3" s="158">
        <f t="shared" si="10"/>
        <v>0.02</v>
      </c>
      <c r="AA3" s="16" t="str">
        <f t="array" ref="AA3">INDEX(NPCGender,TRUNC(1+(COUNTA(NPCGender))*(TRUNC(MOD(($B3*1103515245 +12345)/ 65536, 32768),0)/32768),0))</f>
        <v>Male</v>
      </c>
      <c r="AB3" s="16" t="str">
        <f t="array" ref="AB3">INDEX(NPCRace,TRUNC(1+(COUNTA(NPCRace))*(TRUNC(MOD(($B3*1103515245 +12345)/ 65536, 32768),0)/32768),0))</f>
        <v>Dragonborn</v>
      </c>
      <c r="AC3" s="16" t="str">
        <f t="array" ref="AC3">INDEX(NPCAL,TRUNC(1+(COUNTA(NPCAL))*(TRUNC(MOD(($B3*1103515245 +12345)/ 65536, 32768),0)/32768),0))</f>
        <v>CN</v>
      </c>
      <c r="AD3" s="160" t="str">
        <f ca="1">IFERROR(__xludf.DUMMYFUNCTION("if(V3&lt;15,QUERY(NPCVar!C:D,""Select D WHERE C = '""&amp;D3&amp;""'""),if((TRUNC(1+10)*(TRUNC(MOD((ROW(H3)*1103515245 +12345)/ 65536, 32768),0)/32768)/10) &gt; 0.85,INDEX(NPCFaction,TRUNC(1+(counta(NPCFaction)-1)*(TRUNC(MOD(($B3*1103515245 +12345)/ 65536, 32768),0)/32"&amp;"768),0)),QUERY(NPCVar!C:D,""Select D WHERE C = '""&amp;D3&amp;""'"")))"),"Royalty")</f>
        <v>Royalty</v>
      </c>
      <c r="AE3" s="161" t="e">
        <f t="shared" ca="1" si="11"/>
        <v>#NAME?</v>
      </c>
      <c r="AF3" s="162">
        <f ca="1">IFERROR(__xludf.DUMMYFUNCTION("AE3*(V3 / QUERY(NPCVar!$K$2:$N$12, ""Select N WHERE K='""&amp;AB3&amp;""'""))*TRUNC(1+10)*(TRUNC(MOD(($B3*1103515245 +12345)/ 65536, 32768),0)/32768)"),-0.00102554321289062)</f>
        <v>-1.0255432128906199E-3</v>
      </c>
      <c r="AG3" s="16"/>
      <c r="AH3" s="77"/>
      <c r="AI3" s="114"/>
    </row>
    <row r="4" spans="1:41" ht="15.75" customHeight="1">
      <c r="A4" s="53">
        <v>3</v>
      </c>
      <c r="B4" s="118">
        <f t="shared" si="0"/>
        <v>0.97648999999999997</v>
      </c>
      <c r="C4" s="72" t="str">
        <f t="array" ref="C4">INDEX(NPCFName,TRUNC(1+(COUNTA(NPCFName))*(TRUNC(MOD(($B4*1103515245 +12345)/ 65536, 32768),0)/32768),0))</f>
        <v>Lacspor</v>
      </c>
      <c r="D4" s="16" t="str">
        <f t="array" ref="D4">INDEX(NPCLName,TRUNC(1+(COUNTA(NPCLName))*(TRUNC(MOD(($B4*1103515245 +12345)/ 65536, 32768),0)/32768),0))</f>
        <v>Staghammer</v>
      </c>
      <c r="E4" s="16" t="s">
        <v>183</v>
      </c>
      <c r="F4" s="76">
        <v>5</v>
      </c>
      <c r="G4" s="153">
        <f ca="1">VLOOKUP($AB$2,'RF Mod'!$A$2:$G$12,2,FALSE)+VLOOKUP($AD$2,'RF Mod'!$I$2:$O$11,2,FALSE)+(TRUNC(6+(24-6)*(TRUNC(MOD(($Z4*1103515245 +12345)/ 65536, 32768),0)/32768),0))</f>
        <v>8</v>
      </c>
      <c r="H4" s="16">
        <f t="shared" ca="1" si="1"/>
        <v>-1</v>
      </c>
      <c r="I4" s="153">
        <f ca="1">VLOOKUP($AB$2,'RF Mod'!$A$2:$G$12,3,FALSE)+VLOOKUP($AD$2,'RF Mod'!$I$2:$O$11,3,FALSE)+(TRUNC(6+(24-6)*(TRUNC(MOD(($Z4*1103515245 +12345)/ 65536, 32768),0)/32768),0))</f>
        <v>12</v>
      </c>
      <c r="J4" s="16" t="e">
        <f t="shared" ca="1" si="2"/>
        <v>#NAME?</v>
      </c>
      <c r="K4" s="153">
        <f ca="1">VLOOKUP($AB$2,'RF Mod'!$A$2:$G$12,3,FALSE)+VLOOKUP($AD$2,'RF Mod'!$I$2:$O$11,3,FALSE)+(TRUNC(6+(24-6)*(TRUNC(MOD(($Z4*1103515245 +12345)/ 65536, 32768),0)/32768),0))</f>
        <v>12</v>
      </c>
      <c r="L4" s="16" t="e">
        <f t="shared" ca="1" si="3"/>
        <v>#NAME?</v>
      </c>
      <c r="M4" s="153">
        <f ca="1">VLOOKUP($AB$2,'RF Mod'!$A$2:$G$12,4,FALSE)+VLOOKUP($AD$2,'RF Mod'!$I$2:$O$11,4,FALSE)+(TRUNC(6+(24-6)*(TRUNC(MOD(($Z4*1103515245 +12345)/ 65536, 32768),0)/32768),0))</f>
        <v>11</v>
      </c>
      <c r="N4" s="16" t="e">
        <f t="shared" ca="1" si="4"/>
        <v>#NAME?</v>
      </c>
      <c r="O4" s="153">
        <f ca="1">VLOOKUP($AB$2,'RF Mod'!$A$2:$G$12,5,FALSE)+VLOOKUP($AD$2,'RF Mod'!$I$2:$O$11,5,FALSE)+(TRUNC(6+(24-6)*(TRUNC(MOD(($Z4*1103515245 +12345)/ 65536, 32768),0)/32768),0))</f>
        <v>14</v>
      </c>
      <c r="P4" s="16" t="e">
        <f t="shared" ca="1" si="5"/>
        <v>#NAME?</v>
      </c>
      <c r="Q4" s="153">
        <f ca="1">VLOOKUP($AB$2,'RF Mod'!$A$2:$G$12,6,FALSE)+VLOOKUP($AD$2,'RF Mod'!$I$2:$O$11,6,FALSE)+(TRUNC(6+(24-6)*(TRUNC(MOD(($Z4*1103515245 +12345)/ 65536, 32768),0)/32768),0))</f>
        <v>12</v>
      </c>
      <c r="R4" s="16" t="e">
        <f t="shared" ca="1" si="6"/>
        <v>#NAME?</v>
      </c>
      <c r="S4" s="154">
        <f t="shared" ca="1" si="12"/>
        <v>120</v>
      </c>
      <c r="T4" s="154">
        <f t="shared" ca="1" si="7"/>
        <v>45</v>
      </c>
      <c r="U4" s="16" t="str">
        <f t="shared" ca="1" si="8"/>
        <v>Fine</v>
      </c>
      <c r="V4" s="155">
        <f ca="1">IFERROR(__xludf.DUMMYFUNCTION("if(W4=""Middle Age"",QUERY(NPCVar!$K$2:$N1000, ""Select L where K = '""&amp;AB4&amp;""'""),if(W4=""Old"",QUERY(NPCVar!$K$2:$N1000, ""Select M where K = '""&amp;AB4&amp;""'""),if(W4=""Venerable"",QUERY(NPCVar!$K$2:$N1000, ""Select N where K = '""&amp;AB4&amp;""'""),false)))*X4"),26.25)</f>
        <v>26.25</v>
      </c>
      <c r="W4" s="156" t="str">
        <f t="array" ref="W4">INDEX(NPCAgeType,TRUNC(1+(4-1)*(TRUNC(MOD((X4*1103515245 +12345)/ 65536, 32768),0)/32768),0))</f>
        <v>Old</v>
      </c>
      <c r="X4" s="117">
        <f t="shared" si="9"/>
        <v>1</v>
      </c>
      <c r="Y4" s="157" t="e">
        <f t="array" aca="1" ref="Y4" ca="1">LOOKUP(ABS(MAX(Z4 + MIN(ABS(INDIRECT("Class Jobs!B"&amp;MATCH(E4,'Class Jobs'!$A$1:$A1000,0)&amp;":"&amp;"AF"&amp;MATCH(E4,'Class Jobs'!$A$1:$A1000,0)&amp;"")-$Z4)) * SUM(IF(MIN(ABS(INDIRECT("Class Jobs!B"&amp;MATCH(E4,'Class Jobs'!$A$1:$A1000,0)&amp;":"&amp;"AF"&amp;MATCH(E4,'Class Jobs'!$A$1:$A1000,0)&amp;"")-$Z4))=ABS(INDIRECT("Class Jobs!B"&amp;MATCH(E4,'Class Jobs'!$A$1:$A1000,0)&amp;":"&amp;"AF"&amp;MATCH(E4,'Class Jobs'!$A$1:$A1000,0)&amp;"")-$Z4),SIGN(INDIRECT("Class Jobs!B"&amp;MATCH(E4,'Class Jobs'!$A$1:A1000,0)&amp;":"&amp;"AF"&amp;MATCH(E4,'Class Jobs'!$A$1:$A1000,0)&amp;"")-$Z4),0)),0)),INDIRECT("Class Jobs!B"&amp;MATCH(E4,'Class Jobs'!$A$1:$A1000,0)&amp;":"&amp;"AF"&amp;MATCH(E4,'Class Jobs'!$A$1:$A1000,1)&amp;""),'Class Jobs'!$B$1:$AF$1)</f>
        <v>#REF!</v>
      </c>
      <c r="Z4" s="158">
        <f t="shared" si="10"/>
        <v>0.5</v>
      </c>
      <c r="AA4" s="16" t="str">
        <f t="array" ref="AA4">INDEX(NPCGender,TRUNC(1+(COUNTA(NPCGender))*(TRUNC(MOD(($B4*1103515245 +12345)/ 65536, 32768),0)/32768),0))</f>
        <v>Female</v>
      </c>
      <c r="AB4" s="16" t="str">
        <f t="array" ref="AB4">INDEX(NPCRace,TRUNC(1+(COUNTA(NPCRace))*(TRUNC(MOD(($B4*1103515245 +12345)/ 65536, 32768),0)/32768),0))</f>
        <v>Half-Orc</v>
      </c>
      <c r="AC4" s="16" t="str">
        <f t="array" ref="AC4">INDEX(NPCAL,TRUNC(1+(COUNTA(NPCAL))*(TRUNC(MOD(($B4*1103515245 +12345)/ 65536, 32768),0)/32768),0))</f>
        <v>NN</v>
      </c>
      <c r="AD4" s="72" t="str">
        <f ca="1">IFERROR(__xludf.DUMMYFUNCTION("if(V4&lt;15,QUERY(NPCVar!C:D,""Select D WHERE C = '""&amp;D4&amp;""'""),if((TRUNC(1+10)*(TRUNC(MOD((ROW(H4)*1103515245 +12345)/ 65536, 32768),0)/32768)/10) &gt; 0.85,INDEX(NPCFaction,TRUNC(1+(counta(NPCFaction)-1)*(TRUNC(MOD(($B4*1103515245 +12345)/ 65536, 32768),0)/32"&amp;"768),0)),QUERY(NPCVar!C:D,""Select D WHERE C = '""&amp;D4&amp;""'"")))"),"Farmers Guild")</f>
        <v>Farmers Guild</v>
      </c>
      <c r="AE4" s="108" t="e">
        <f t="shared" ca="1" si="11"/>
        <v>#NAME?</v>
      </c>
      <c r="AF4" s="159">
        <f ca="1">IFERROR(__xludf.DUMMYFUNCTION("AE4*(V4 / QUERY(NPCVar!$K$2:$N$12, ""Select N WHERE K='""&amp;AB4&amp;""'""))*TRUNC(1+10)*(TRUNC(MOD(($B4*1103515245 +12345)/ 65536, 32768),0)/32768)"),1.24188079833984)</f>
        <v>1.2418807983398401</v>
      </c>
      <c r="AG4" s="16"/>
      <c r="AH4" s="77"/>
      <c r="AI4" s="163"/>
      <c r="AJ4" s="164"/>
      <c r="AK4" s="164"/>
    </row>
    <row r="5" spans="1:41" ht="15.75" customHeight="1">
      <c r="A5" s="53">
        <v>4</v>
      </c>
      <c r="B5" s="118">
        <f t="shared" si="0"/>
        <v>2.4706199999999998</v>
      </c>
      <c r="C5" s="72" t="str">
        <f t="array" ref="C5">INDEX(NPCFName,TRUNC(1+(COUNTA(NPCFName))*(TRUNC(MOD(($B5*1103515245 +12345)/ 65536, 32768),0)/32768),0))</f>
        <v>Sil'forrin</v>
      </c>
      <c r="D5" s="16" t="str">
        <f t="array" ref="D5">INDEX(NPCLName,TRUNC(1+(COUNTA(NPCLName))*(TRUNC(MOD(($B5*1103515245 +12345)/ 65536, 32768),0)/32768),0))</f>
        <v>Commonscream</v>
      </c>
      <c r="E5" s="16" t="s">
        <v>146</v>
      </c>
      <c r="F5" s="76">
        <v>4</v>
      </c>
      <c r="G5" s="153">
        <f ca="1">VLOOKUP($AB$2,'RF Mod'!$A$2:$G$12,2,FALSE)+VLOOKUP($AD$2,'RF Mod'!$I$2:$O$11,2,FALSE)+(TRUNC(6+(24-6)*(TRUNC(MOD(($Z5*1103515245 +12345)/ 65536, 32768),0)/32768),0))</f>
        <v>6</v>
      </c>
      <c r="H5" s="16">
        <f t="shared" ca="1" si="1"/>
        <v>-2</v>
      </c>
      <c r="I5" s="153">
        <f ca="1">VLOOKUP($AB$2,'RF Mod'!$A$2:$G$12,3,FALSE)+VLOOKUP($AD$2,'RF Mod'!$I$2:$O$11,3,FALSE)+(TRUNC(6+(24-6)*(TRUNC(MOD(($Z5*1103515245 +12345)/ 65536, 32768),0)/32768),0))</f>
        <v>10</v>
      </c>
      <c r="J5" s="16" t="e">
        <f t="shared" ca="1" si="2"/>
        <v>#NAME?</v>
      </c>
      <c r="K5" s="153">
        <f ca="1">VLOOKUP($AB$2,'RF Mod'!$A$2:$G$12,3,FALSE)+VLOOKUP($AD$2,'RF Mod'!$I$2:$O$11,3,FALSE)+(TRUNC(6+(24-6)*(TRUNC(MOD(($Z5*1103515245 +12345)/ 65536, 32768),0)/32768),0))</f>
        <v>10</v>
      </c>
      <c r="L5" s="16" t="e">
        <f t="shared" ca="1" si="3"/>
        <v>#NAME?</v>
      </c>
      <c r="M5" s="153">
        <f ca="1">VLOOKUP($AB$2,'RF Mod'!$A$2:$G$12,4,FALSE)+VLOOKUP($AD$2,'RF Mod'!$I$2:$O$11,4,FALSE)+(TRUNC(6+(24-6)*(TRUNC(MOD(($Z5*1103515245 +12345)/ 65536, 32768),0)/32768),0))</f>
        <v>9</v>
      </c>
      <c r="N5" s="16">
        <f t="shared" ca="1" si="4"/>
        <v>-1</v>
      </c>
      <c r="O5" s="153">
        <f ca="1">VLOOKUP($AB$2,'RF Mod'!$A$2:$G$12,5,FALSE)+VLOOKUP($AD$2,'RF Mod'!$I$2:$O$11,5,FALSE)+(TRUNC(6+(24-6)*(TRUNC(MOD(($Z5*1103515245 +12345)/ 65536, 32768),0)/32768),0))</f>
        <v>12</v>
      </c>
      <c r="P5" s="16" t="e">
        <f t="shared" ca="1" si="5"/>
        <v>#NAME?</v>
      </c>
      <c r="Q5" s="153">
        <f ca="1">VLOOKUP($AB$2,'RF Mod'!$A$2:$G$12,6,FALSE)+VLOOKUP($AD$2,'RF Mod'!$I$2:$O$11,6,FALSE)+(TRUNC(6+(24-6)*(TRUNC(MOD(($Z5*1103515245 +12345)/ 65536, 32768),0)/32768),0))</f>
        <v>10</v>
      </c>
      <c r="R5" s="16" t="e">
        <f t="shared" ca="1" si="6"/>
        <v>#NAME?</v>
      </c>
      <c r="S5" s="154">
        <f t="shared" ca="1" si="12"/>
        <v>112</v>
      </c>
      <c r="T5" s="154">
        <f t="shared" ca="1" si="7"/>
        <v>44</v>
      </c>
      <c r="U5" s="16" t="str">
        <f t="shared" ca="1" si="8"/>
        <v>Fine</v>
      </c>
      <c r="V5" s="155">
        <f ca="1">IFERROR(__xludf.DUMMYFUNCTION("if(W5=""Middle Age"",QUERY(NPCVar!$K$2:$N1000, ""Select L where K = '""&amp;AB5&amp;""'""),if(W5=""Old"",QUERY(NPCVar!$K$2:$N1000, ""Select M where K = '""&amp;AB5&amp;""'""),if(W5=""Venerable"",QUERY(NPCVar!$K$2:$N1000, ""Select N where K = '""&amp;AB5&amp;""'""),false)))*X5"),196.875)</f>
        <v>196.875</v>
      </c>
      <c r="W5" s="156" t="str">
        <f t="array" ref="W5">INDEX(NPCAgeType,TRUNC(1+(4-1)*(TRUNC(MOD((X5*1103515245 +12345)/ 65536, 32768),0)/32768),0))</f>
        <v>Old</v>
      </c>
      <c r="X5" s="117">
        <f t="shared" ref="X5:X259" si="13">(TRUNC(1+(25-1)*(TRUNC(MOD(($B5*1103515245 +12345)/ 65536, 32768),0)/32768),0))/10</f>
        <v>0.7</v>
      </c>
      <c r="Y5" s="157" t="e">
        <f t="array" aca="1" ref="Y5" ca="1">LOOKUP(ABS(MAX(Z5 + MIN(ABS(INDIRECT("Class Jobs!B"&amp;MATCH(E5,'Class Jobs'!$A$1:$A1000,0)&amp;":"&amp;"AF"&amp;MATCH(E5,'Class Jobs'!$A$1:$A1000,0)&amp;"")-$Z5)) * SUM(IF(MIN(ABS(INDIRECT("Class Jobs!B"&amp;MATCH(E5,'Class Jobs'!$A$1:$A1000,0)&amp;":"&amp;"AF"&amp;MATCH(E5,'Class Jobs'!$A$1:$A1000,0)&amp;"")-$Z5))=ABS(INDIRECT("Class Jobs!B"&amp;MATCH(E5,'Class Jobs'!$A$1:$A1000,0)&amp;":"&amp;"AF"&amp;MATCH(E5,'Class Jobs'!$A$1:$A1000,0)&amp;"")-$Z5),SIGN(INDIRECT("Class Jobs!B"&amp;MATCH(E5,'Class Jobs'!$A$1:A1000,0)&amp;":"&amp;"AF"&amp;MATCH(E5,'Class Jobs'!$A$1:$A1000,0)&amp;"")-$Z5),0)),0)),INDIRECT("Class Jobs!B"&amp;MATCH(E5,'Class Jobs'!$A$1:$A1000,0)&amp;":"&amp;"AF"&amp;MATCH(E5,'Class Jobs'!$A$1:$A1000,1)&amp;""),'Class Jobs'!$B$1:$AF$1)</f>
        <v>#REF!</v>
      </c>
      <c r="Z5" s="158">
        <f t="shared" si="10"/>
        <v>0.27</v>
      </c>
      <c r="AA5" s="16" t="str">
        <f t="array" ref="AA5">INDEX(NPCGender,TRUNC(1+(COUNTA(NPCGender))*(TRUNC(MOD(($B5*1103515245 +12345)/ 65536, 32768),0)/32768),0))</f>
        <v>Male</v>
      </c>
      <c r="AB5" s="16" t="str">
        <f t="array" ref="AB5">INDEX(NPCRace,TRUNC(1+(COUNTA(NPCRace))*(TRUNC(MOD(($B5*1103515245 +12345)/ 65536, 32768),0)/32768),0))</f>
        <v>Elf</v>
      </c>
      <c r="AC5" s="16" t="str">
        <f t="array" ref="AC5">INDEX(NPCAL,TRUNC(1+(COUNTA(NPCAL))*(TRUNC(MOD(($B5*1103515245 +12345)/ 65536, 32768),0)/32768),0))</f>
        <v>CG</v>
      </c>
      <c r="AD5" s="72" t="str">
        <f ca="1">IFERROR(__xludf.DUMMYFUNCTION("if(V5&lt;15,QUERY(NPCVar!C:D,""Select D WHERE C = '""&amp;D5&amp;""'""),if((TRUNC(1+10)*(TRUNC(MOD((ROW(H5)*1103515245 +12345)/ 65536, 32768),0)/32768)/10) &gt; 0.85,INDEX(NPCFaction,TRUNC(1+(counta(NPCFaction)-1)*(TRUNC(MOD(($B5*1103515245 +12345)/ 65536, 32768),0)/32"&amp;"768),0)),QUERY(NPCVar!C:D,""Select D WHERE C = '""&amp;D5&amp;""'"")))"),"Necromancer")</f>
        <v>Necromancer</v>
      </c>
      <c r="AE5" s="108" t="e">
        <f t="shared" ca="1" si="11"/>
        <v>#NAME?</v>
      </c>
      <c r="AF5" s="159">
        <f ca="1">IFERROR(__xludf.DUMMYFUNCTION("AE5*(V5 / QUERY(NPCVar!$K$2:$N$12, ""Select N WHERE K='""&amp;AB5&amp;""'""))*TRUNC(1+10)*(TRUNC(MOD(($B5*1103515245 +12345)/ 65536, 32768),0)/32768)"),-0.0778359603881835)</f>
        <v>-7.7835960388183495E-2</v>
      </c>
      <c r="AG5" s="16"/>
      <c r="AH5" s="77"/>
      <c r="AI5" s="114"/>
    </row>
    <row r="6" spans="1:41" ht="15.75" customHeight="1">
      <c r="A6" s="53">
        <v>5</v>
      </c>
      <c r="B6" s="118">
        <f t="shared" si="0"/>
        <v>1.4647699999999999</v>
      </c>
      <c r="C6" s="72" t="str">
        <f t="array" ref="C6">INDEX(NPCFName,TRUNC(1+(COUNTA(NPCFName))*(TRUNC(MOD(($B6*1103515245 +12345)/ 65536, 32768),0)/32768),0))</f>
        <v>Dyten</v>
      </c>
      <c r="D6" s="16" t="str">
        <f t="array" ref="D6">INDEX(NPCLName,TRUNC(1+(COUNTA(NPCLName))*(TRUNC(MOD(($B6*1103515245 +12345)/ 65536, 32768),0)/32768),0))</f>
        <v>Sacredgloom</v>
      </c>
      <c r="E6" s="16" t="s">
        <v>100</v>
      </c>
      <c r="F6" s="76">
        <v>8</v>
      </c>
      <c r="G6" s="153">
        <f ca="1">VLOOKUP($AB$2,'RF Mod'!$A$2:$G$12,2,FALSE)+VLOOKUP($AD$2,'RF Mod'!$I$2:$O$11,2,FALSE)+(TRUNC(6+(24-6)*(TRUNC(MOD(($Z6*1103515245 +12345)/ 65536, 32768),0)/32768),0))</f>
        <v>10</v>
      </c>
      <c r="H6" s="16" t="e">
        <f t="shared" ca="1" si="1"/>
        <v>#NAME?</v>
      </c>
      <c r="I6" s="153">
        <f ca="1">VLOOKUP($AB$2,'RF Mod'!$A$2:$G$12,3,FALSE)+VLOOKUP($AD$2,'RF Mod'!$I$2:$O$11,3,FALSE)+(TRUNC(6+(24-6)*(TRUNC(MOD(($Z6*1103515245 +12345)/ 65536, 32768),0)/32768),0))</f>
        <v>14</v>
      </c>
      <c r="J6" s="16" t="e">
        <f t="shared" ca="1" si="2"/>
        <v>#NAME?</v>
      </c>
      <c r="K6" s="153">
        <f ca="1">VLOOKUP($AB$2,'RF Mod'!$A$2:$G$12,3,FALSE)+VLOOKUP($AD$2,'RF Mod'!$I$2:$O$11,3,FALSE)+(TRUNC(6+(24-6)*(TRUNC(MOD(($Z6*1103515245 +12345)/ 65536, 32768),0)/32768),0))</f>
        <v>14</v>
      </c>
      <c r="L6" s="16" t="e">
        <f t="shared" ca="1" si="3"/>
        <v>#NAME?</v>
      </c>
      <c r="M6" s="153">
        <f ca="1">VLOOKUP($AB$2,'RF Mod'!$A$2:$G$12,4,FALSE)+VLOOKUP($AD$2,'RF Mod'!$I$2:$O$11,4,FALSE)+(TRUNC(6+(24-6)*(TRUNC(MOD(($Z6*1103515245 +12345)/ 65536, 32768),0)/32768),0))</f>
        <v>13</v>
      </c>
      <c r="N6" s="16" t="e">
        <f t="shared" ca="1" si="4"/>
        <v>#NAME?</v>
      </c>
      <c r="O6" s="153">
        <f ca="1">VLOOKUP($AB$2,'RF Mod'!$A$2:$G$12,5,FALSE)+VLOOKUP($AD$2,'RF Mod'!$I$2:$O$11,5,FALSE)+(TRUNC(6+(24-6)*(TRUNC(MOD(($Z6*1103515245 +12345)/ 65536, 32768),0)/32768),0))</f>
        <v>16</v>
      </c>
      <c r="P6" s="16" t="e">
        <f t="shared" ca="1" si="5"/>
        <v>#NAME?</v>
      </c>
      <c r="Q6" s="153">
        <f ca="1">VLOOKUP($AB$2,'RF Mod'!$A$2:$G$12,6,FALSE)+VLOOKUP($AD$2,'RF Mod'!$I$2:$O$11,6,FALSE)+(TRUNC(6+(24-6)*(TRUNC(MOD(($Z6*1103515245 +12345)/ 65536, 32768),0)/32768),0))</f>
        <v>14</v>
      </c>
      <c r="R6" s="16" t="e">
        <f t="shared" ca="1" si="6"/>
        <v>#NAME?</v>
      </c>
      <c r="S6" s="154">
        <f t="shared" ca="1" si="12"/>
        <v>208</v>
      </c>
      <c r="T6" s="154">
        <f t="shared" ca="1" si="7"/>
        <v>202</v>
      </c>
      <c r="U6" s="16" t="str">
        <f t="shared" ca="1" si="8"/>
        <v>Bloody</v>
      </c>
      <c r="V6" s="155">
        <f ca="1">IFERROR(__xludf.DUMMYFUNCTION("if(W6=""Middle Age"",QUERY(NPCVar!$K$2:$N1000, ""Select L where K = '""&amp;AB6&amp;""'""),if(W6=""Old"",QUERY(NPCVar!$K$2:$N1000, ""Select M where K = '""&amp;AB6&amp;""'""),if(W6=""Venerable"",QUERY(NPCVar!$K$2:$N1000, ""Select N where K = '""&amp;AB6&amp;""'""),false)))*X6"),190)</f>
        <v>190</v>
      </c>
      <c r="W6" s="156" t="str">
        <f t="array" ref="W6">INDEX(NPCAgeType,TRUNC(1+(4-1)*(TRUNC(MOD((X6*1103515245 +12345)/ 65536, 32768),0)/32768),0))</f>
        <v>Venerable</v>
      </c>
      <c r="X6" s="117">
        <f t="shared" si="13"/>
        <v>1.9</v>
      </c>
      <c r="Y6" s="157" t="e">
        <f t="array" aca="1" ref="Y6" ca="1">LOOKUP(ABS(MAX(Z6 + MIN(ABS(INDIRECT("Class Jobs!B"&amp;MATCH(E6,'Class Jobs'!$A$1:$A1000,0)&amp;":"&amp;"AF"&amp;MATCH(E6,'Class Jobs'!$A$1:$A1000,0)&amp;"")-$Z6)) * SUM(IF(MIN(ABS(INDIRECT("Class Jobs!B"&amp;MATCH(E6,'Class Jobs'!$A$1:$A1000,0)&amp;":"&amp;"AF"&amp;MATCH(E6,'Class Jobs'!$A$1:$A1000,0)&amp;"")-$Z6))=ABS(INDIRECT("Class Jobs!B"&amp;MATCH(E6,'Class Jobs'!$A$1:$A1000,0)&amp;":"&amp;"AF"&amp;MATCH(E6,'Class Jobs'!$A$1:$A1000,0)&amp;"")-$Z6),SIGN(INDIRECT("Class Jobs!B"&amp;MATCH(E6,'Class Jobs'!$A$1:A1000,0)&amp;":"&amp;"AF"&amp;MATCH(E6,'Class Jobs'!$A$1:$A1000,0)&amp;"")-$Z6),0)),0)),INDIRECT("Class Jobs!B"&amp;MATCH(E6,'Class Jobs'!$A$1:$A1000,0)&amp;":"&amp;"AF"&amp;MATCH(E6,'Class Jobs'!$A$1:$A1000,1)&amp;""),'Class Jobs'!$B$1:$AF$1)</f>
        <v>#REF!</v>
      </c>
      <c r="Z6" s="158">
        <f t="shared" si="10"/>
        <v>0.75</v>
      </c>
      <c r="AA6" s="16" t="str">
        <f t="array" ref="AA6">INDEX(NPCGender,TRUNC(1+(COUNTA(NPCGender))*(TRUNC(MOD(($B6*1103515245 +12345)/ 65536, 32768),0)/32768),0))</f>
        <v>Neutral</v>
      </c>
      <c r="AB6" s="16" t="str">
        <f t="array" ref="AB6">INDEX(NPCRace,TRUNC(1+(COUNTA(NPCRace))*(TRUNC(MOD(($B6*1103515245 +12345)/ 65536, 32768),0)/32768),0))</f>
        <v>Tiefling</v>
      </c>
      <c r="AC6" s="16" t="str">
        <f t="array" ref="AC6">INDEX(NPCAL,TRUNC(1+(COUNTA(NPCAL))*(TRUNC(MOD(($B6*1103515245 +12345)/ 65536, 32768),0)/32768),0))</f>
        <v>LG</v>
      </c>
      <c r="AD6" s="72" t="str">
        <f ca="1">IFERROR(__xludf.DUMMYFUNCTION("if(V6&lt;15,QUERY(NPCVar!C:D,""Select D WHERE C = '""&amp;D6&amp;""'""),if((TRUNC(1+10)*(TRUNC(MOD((ROW(H6)*1103515245 +12345)/ 65536, 32768),0)/32768)/10) &gt; 0.85,INDEX(NPCFaction,TRUNC(1+(counta(NPCFaction)-1)*(TRUNC(MOD(($B6*1103515245 +12345)/ 65536, 32768),0)/32"&amp;"768),0)),QUERY(NPCVar!C:D,""Select D WHERE C = '""&amp;D6&amp;""'"")))"),"Adventures Guild")</f>
        <v>Adventures Guild</v>
      </c>
      <c r="AE6" s="108" t="e">
        <f t="shared" ca="1" si="11"/>
        <v>#NAME?</v>
      </c>
      <c r="AF6" s="159">
        <f ca="1">IFERROR(__xludf.DUMMYFUNCTION("AE6*(V6 / QUERY(NPCVar!$K$2:$N$12, ""Select N WHERE K='""&amp;AB6&amp;""'""))*TRUNC(1+10)*(TRUNC(MOD(($B6*1103515245 +12345)/ 65536, 32768),0)/32768)"),11.0117895507812)</f>
        <v>11.0117895507812</v>
      </c>
      <c r="AG6" s="16"/>
      <c r="AH6" s="77"/>
      <c r="AI6" s="114"/>
    </row>
    <row r="7" spans="1:41" ht="15.75" customHeight="1">
      <c r="A7" s="53">
        <v>6</v>
      </c>
      <c r="B7" s="118">
        <f t="shared" si="0"/>
        <v>0.45890999999999998</v>
      </c>
      <c r="C7" s="72" t="str">
        <f t="array" ref="C7">INDEX(NPCFName,TRUNC(1+(COUNTA(NPCFName))*(TRUNC(MOD(($B7*1103515245 +12345)/ 65536, 32768),0)/32768),0))</f>
        <v>Quid</v>
      </c>
      <c r="D7" s="16" t="str">
        <f t="array" ref="D7">INDEX(NPCLName,TRUNC(1+(COUNTA(NPCLName))*(TRUNC(MOD(($B7*1103515245 +12345)/ 65536, 32768),0)/32768),0))</f>
        <v>Tuskleaf</v>
      </c>
      <c r="E7" s="16" t="s">
        <v>146</v>
      </c>
      <c r="F7" s="76">
        <v>2</v>
      </c>
      <c r="G7" s="153">
        <f ca="1">VLOOKUP($AB$2,'RF Mod'!$A$2:$G$12,2,FALSE)+VLOOKUP($AD$2,'RF Mod'!$I$2:$O$11,2,FALSE)+(TRUNC(6+(24-6)*(TRUNC(MOD(($Z7*1103515245 +12345)/ 65536, 32768),0)/32768),0))</f>
        <v>6</v>
      </c>
      <c r="H7" s="16">
        <f t="shared" ca="1" si="1"/>
        <v>-2</v>
      </c>
      <c r="I7" s="153">
        <f ca="1">VLOOKUP($AB$2,'RF Mod'!$A$2:$G$12,3,FALSE)+VLOOKUP($AD$2,'RF Mod'!$I$2:$O$11,3,FALSE)+(TRUNC(6+(24-6)*(TRUNC(MOD(($Z7*1103515245 +12345)/ 65536, 32768),0)/32768),0))</f>
        <v>10</v>
      </c>
      <c r="J7" s="16" t="e">
        <f t="shared" ca="1" si="2"/>
        <v>#NAME?</v>
      </c>
      <c r="K7" s="153">
        <f ca="1">VLOOKUP($AB$2,'RF Mod'!$A$2:$G$12,3,FALSE)+VLOOKUP($AD$2,'RF Mod'!$I$2:$O$11,3,FALSE)+(TRUNC(6+(24-6)*(TRUNC(MOD(($Z7*1103515245 +12345)/ 65536, 32768),0)/32768),0))</f>
        <v>10</v>
      </c>
      <c r="L7" s="16" t="e">
        <f t="shared" ca="1" si="3"/>
        <v>#NAME?</v>
      </c>
      <c r="M7" s="153">
        <f ca="1">VLOOKUP($AB$2,'RF Mod'!$A$2:$G$12,4,FALSE)+VLOOKUP($AD$2,'RF Mod'!$I$2:$O$11,4,FALSE)+(TRUNC(6+(24-6)*(TRUNC(MOD(($Z7*1103515245 +12345)/ 65536, 32768),0)/32768),0))</f>
        <v>9</v>
      </c>
      <c r="N7" s="16">
        <f t="shared" ca="1" si="4"/>
        <v>-1</v>
      </c>
      <c r="O7" s="153">
        <f ca="1">VLOOKUP($AB$2,'RF Mod'!$A$2:$G$12,5,FALSE)+VLOOKUP($AD$2,'RF Mod'!$I$2:$O$11,5,FALSE)+(TRUNC(6+(24-6)*(TRUNC(MOD(($Z7*1103515245 +12345)/ 65536, 32768),0)/32768),0))</f>
        <v>12</v>
      </c>
      <c r="P7" s="16" t="e">
        <f t="shared" ca="1" si="5"/>
        <v>#NAME?</v>
      </c>
      <c r="Q7" s="153">
        <f ca="1">VLOOKUP($AB$2,'RF Mod'!$A$2:$G$12,6,FALSE)+VLOOKUP($AD$2,'RF Mod'!$I$2:$O$11,6,FALSE)+(TRUNC(6+(24-6)*(TRUNC(MOD(($Z7*1103515245 +12345)/ 65536, 32768),0)/32768),0))</f>
        <v>10</v>
      </c>
      <c r="R7" s="16" t="e">
        <f t="shared" ca="1" si="6"/>
        <v>#NAME?</v>
      </c>
      <c r="S7" s="154">
        <f t="shared" ca="1" si="12"/>
        <v>56</v>
      </c>
      <c r="T7" s="154">
        <f t="shared" ca="1" si="7"/>
        <v>45</v>
      </c>
      <c r="U7" s="16" t="str">
        <f t="shared" ca="1" si="8"/>
        <v>Bloody</v>
      </c>
      <c r="V7" s="155">
        <f ca="1">IFERROR(__xludf.DUMMYFUNCTION("if(W7=""Middle Age"",QUERY(NPCVar!$K$2:$N1000, ""Select L where K = '""&amp;AB7&amp;""'""),if(W7=""Old"",QUERY(NPCVar!$K$2:$N1000, ""Select M where K = '""&amp;AB7&amp;""'""),if(W7=""Venerable"",QUERY(NPCVar!$K$2:$N1000, ""Select N where K = '""&amp;AB7&amp;""'""),false)))*X7"),112.5)</f>
        <v>112.5</v>
      </c>
      <c r="W7" s="156" t="str">
        <f t="array" ref="W7">INDEX(NPCAgeType,TRUNC(1+(4-1)*(TRUNC(MOD((X7*1103515245 +12345)/ 65536, 32768),0)/32768),0))</f>
        <v>Middle Age</v>
      </c>
      <c r="X7" s="117">
        <f t="shared" si="13"/>
        <v>0.6</v>
      </c>
      <c r="Y7" s="157" t="e">
        <f t="array" aca="1" ref="Y7" ca="1">LOOKUP(ABS(MAX(Z7 + MIN(ABS(INDIRECT("Class Jobs!B"&amp;MATCH(E7,'Class Jobs'!$A$1:$A1000,0)&amp;":"&amp;"AF"&amp;MATCH(E7,'Class Jobs'!$A$1:$A1000,0)&amp;"")-$Z7)) * SUM(IF(MIN(ABS(INDIRECT("Class Jobs!B"&amp;MATCH(E7,'Class Jobs'!$A$1:$A1000,0)&amp;":"&amp;"AF"&amp;MATCH(E7,'Class Jobs'!$A$1:$A1000,0)&amp;"")-$Z7))=ABS(INDIRECT("Class Jobs!B"&amp;MATCH(E7,'Class Jobs'!$A$1:$A1000,0)&amp;":"&amp;"AF"&amp;MATCH(E7,'Class Jobs'!$A$1:$A1000,0)&amp;"")-$Z7),SIGN(INDIRECT("Class Jobs!B"&amp;MATCH(E7,'Class Jobs'!$A$1:A1000,0)&amp;":"&amp;"AF"&amp;MATCH(E7,'Class Jobs'!$A$1:$A1000,0)&amp;"")-$Z7),0)),0)),INDIRECT("Class Jobs!B"&amp;MATCH(E7,'Class Jobs'!$A$1:$A1000,0)&amp;":"&amp;"AF"&amp;MATCH(E7,'Class Jobs'!$A$1:$A1000,1)&amp;""),'Class Jobs'!$B$1:$AF$1)</f>
        <v>#REF!</v>
      </c>
      <c r="Z7" s="158">
        <f t="shared" si="10"/>
        <v>0.24</v>
      </c>
      <c r="AA7" s="16" t="str">
        <f t="array" ref="AA7">INDEX(NPCGender,TRUNC(1+(COUNTA(NPCGender))*(TRUNC(MOD(($B7*1103515245 +12345)/ 65536, 32768),0)/32768),0))</f>
        <v>Male</v>
      </c>
      <c r="AB7" s="16" t="str">
        <f t="array" ref="AB7">INDEX(NPCRace,TRUNC(1+(COUNTA(NPCRace))*(TRUNC(MOD(($B7*1103515245 +12345)/ 65536, 32768),0)/32768),0))</f>
        <v>Elf</v>
      </c>
      <c r="AC7" s="16" t="str">
        <f t="array" ref="AC7">INDEX(NPCAL,TRUNC(1+(COUNTA(NPCAL))*(TRUNC(MOD(($B7*1103515245 +12345)/ 65536, 32768),0)/32768),0))</f>
        <v>CG</v>
      </c>
      <c r="AD7" s="72" t="str">
        <f ca="1">IFERROR(__xludf.DUMMYFUNCTION("if(V7&lt;15,QUERY(NPCVar!C:D,""Select D WHERE C = '""&amp;D7&amp;""'""),if((TRUNC(1+10)*(TRUNC(MOD((ROW(H7)*1103515245 +12345)/ 65536, 32768),0)/32768)/10) &gt; 0.85,INDEX(NPCFaction,TRUNC(1+(counta(NPCFaction)-1)*(TRUNC(MOD(($B7*1103515245 +12345)/ 65536, 32768),0)/32"&amp;"768),0)),QUERY(NPCVar!C:D,""Select D WHERE C = '""&amp;D7&amp;""'"")))"),"Magic Guild")</f>
        <v>Magic Guild</v>
      </c>
      <c r="AE7" s="108" t="e">
        <f t="shared" ca="1" si="11"/>
        <v>#NAME?</v>
      </c>
      <c r="AF7" s="159">
        <f ca="1">IFERROR(__xludf.DUMMYFUNCTION("AE7*(V7 / QUERY(NPCVar!$K$2:$N$12, ""Select N WHERE K='""&amp;AB7&amp;""'""))*TRUNC(1+10)*(TRUNC(MOD(($B7*1103515245 +12345)/ 65536, 32768),0)/32768)"),-0.0389085388183593)</f>
        <v>-3.8908538818359303E-2</v>
      </c>
      <c r="AG7" s="16"/>
      <c r="AH7" s="77"/>
      <c r="AI7" s="114"/>
    </row>
    <row r="8" spans="1:41" ht="15.75" customHeight="1">
      <c r="A8" s="53">
        <v>7</v>
      </c>
      <c r="B8" s="118">
        <f t="shared" si="0"/>
        <v>1.95305</v>
      </c>
      <c r="C8" s="72" t="str">
        <f t="array" ref="C8">INDEX(NPCFName,TRUNC(1+(COUNTA(NPCFName))*(TRUNC(MOD(($B8*1103515245 +12345)/ 65536, 32768),0)/32768),0))</f>
        <v>Adeen</v>
      </c>
      <c r="D8" s="16" t="str">
        <f t="array" ref="D8">INDEX(NPCLName,TRUNC(1+(COUNTA(NPCLName))*(TRUNC(MOD(($B8*1103515245 +12345)/ 65536, 32768),0)/32768),0))</f>
        <v>Stagfang</v>
      </c>
      <c r="E8" s="16" t="s">
        <v>100</v>
      </c>
      <c r="F8" s="76">
        <v>1</v>
      </c>
      <c r="G8" s="153">
        <f ca="1">VLOOKUP($AB$2,'RF Mod'!$A$2:$G$12,2,FALSE)+VLOOKUP($AD$2,'RF Mod'!$I$2:$O$11,2,FALSE)+(TRUNC(6+(24-6)*(TRUNC(MOD(($Z8*1103515245 +12345)/ 65536, 32768),0)/32768),0))</f>
        <v>4</v>
      </c>
      <c r="H8" s="16">
        <f t="shared" ca="1" si="1"/>
        <v>-3</v>
      </c>
      <c r="I8" s="153">
        <f ca="1">VLOOKUP($AB$2,'RF Mod'!$A$2:$G$12,3,FALSE)+VLOOKUP($AD$2,'RF Mod'!$I$2:$O$11,3,FALSE)+(TRUNC(6+(24-6)*(TRUNC(MOD(($Z8*1103515245 +12345)/ 65536, 32768),0)/32768),0))</f>
        <v>8</v>
      </c>
      <c r="J8" s="16">
        <f t="shared" ca="1" si="2"/>
        <v>-1</v>
      </c>
      <c r="K8" s="153">
        <f ca="1">VLOOKUP($AB$2,'RF Mod'!$A$2:$G$12,3,FALSE)+VLOOKUP($AD$2,'RF Mod'!$I$2:$O$11,3,FALSE)+(TRUNC(6+(24-6)*(TRUNC(MOD(($Z8*1103515245 +12345)/ 65536, 32768),0)/32768),0))</f>
        <v>8</v>
      </c>
      <c r="L8" s="16">
        <f t="shared" ca="1" si="3"/>
        <v>-1</v>
      </c>
      <c r="M8" s="153">
        <f ca="1">VLOOKUP($AB$2,'RF Mod'!$A$2:$G$12,4,FALSE)+VLOOKUP($AD$2,'RF Mod'!$I$2:$O$11,4,FALSE)+(TRUNC(6+(24-6)*(TRUNC(MOD(($Z8*1103515245 +12345)/ 65536, 32768),0)/32768),0))</f>
        <v>7</v>
      </c>
      <c r="N8" s="16">
        <f t="shared" ca="1" si="4"/>
        <v>-2</v>
      </c>
      <c r="O8" s="153">
        <f ca="1">VLOOKUP($AB$2,'RF Mod'!$A$2:$G$12,5,FALSE)+VLOOKUP($AD$2,'RF Mod'!$I$2:$O$11,5,FALSE)+(TRUNC(6+(24-6)*(TRUNC(MOD(($Z8*1103515245 +12345)/ 65536, 32768),0)/32768),0))</f>
        <v>10</v>
      </c>
      <c r="P8" s="16" t="e">
        <f t="shared" ca="1" si="5"/>
        <v>#NAME?</v>
      </c>
      <c r="Q8" s="153">
        <f ca="1">VLOOKUP($AB$2,'RF Mod'!$A$2:$G$12,6,FALSE)+VLOOKUP($AD$2,'RF Mod'!$I$2:$O$11,6,FALSE)+(TRUNC(6+(24-6)*(TRUNC(MOD(($Z8*1103515245 +12345)/ 65536, 32768),0)/32768),0))</f>
        <v>8</v>
      </c>
      <c r="R8" s="16">
        <f t="shared" ca="1" si="6"/>
        <v>-1</v>
      </c>
      <c r="S8" s="154">
        <f t="shared" ca="1" si="12"/>
        <v>10</v>
      </c>
      <c r="T8" s="154">
        <f t="shared" ca="1" si="7"/>
        <v>8</v>
      </c>
      <c r="U8" s="16" t="str">
        <f t="shared" ca="1" si="8"/>
        <v>Bloody</v>
      </c>
      <c r="V8" s="155">
        <f ca="1">IFERROR(__xludf.DUMMYFUNCTION("if(W8=""Middle Age"",QUERY(NPCVar!$K$2:$N1000, ""Select L where K = '""&amp;AB8&amp;""'""),if(W8=""Old"",QUERY(NPCVar!$K$2:$N1000, ""Select M where K = '""&amp;AB8&amp;""'""),if(W8=""Venerable"",QUERY(NPCVar!$K$2:$N1000, ""Select N where K = '""&amp;AB8&amp;""'""),false)))*X8"),2)</f>
        <v>2</v>
      </c>
      <c r="W8" s="156" t="str">
        <f t="array" ref="W8">INDEX(NPCAgeType,TRUNC(1+(4-1)*(TRUNC(MOD((X8*1103515245 +12345)/ 65536, 32768),0)/32768),0))</f>
        <v>Middle Age</v>
      </c>
      <c r="X8" s="117">
        <f t="shared" si="13"/>
        <v>0.1</v>
      </c>
      <c r="Y8" s="157" t="e">
        <f t="array" aca="1" ref="Y8" ca="1">LOOKUP(ABS(MAX(Z8 + MIN(ABS(INDIRECT("Class Jobs!B"&amp;MATCH(E8,'Class Jobs'!$A$1:$A1000,0)&amp;":"&amp;"AF"&amp;MATCH(E8,'Class Jobs'!$A$1:$A1000,0)&amp;"")-$Z8)) * SUM(IF(MIN(ABS(INDIRECT("Class Jobs!B"&amp;MATCH(E8,'Class Jobs'!$A$1:$A1000,0)&amp;":"&amp;"AF"&amp;MATCH(E8,'Class Jobs'!$A$1:$A1000,0)&amp;"")-$Z8))=ABS(INDIRECT("Class Jobs!B"&amp;MATCH(E8,'Class Jobs'!$A$1:$A1000,0)&amp;":"&amp;"AF"&amp;MATCH(E8,'Class Jobs'!$A$1:$A1000,0)&amp;"")-$Z8),SIGN(INDIRECT("Class Jobs!B"&amp;MATCH(E8,'Class Jobs'!$A$1:A1000,0)&amp;":"&amp;"AF"&amp;MATCH(E8,'Class Jobs'!$A$1:$A1000,0)&amp;"")-$Z8),0)),0)),INDIRECT("Class Jobs!B"&amp;MATCH(E8,'Class Jobs'!$A$1:$A1000,0)&amp;":"&amp;"AF"&amp;MATCH(E8,'Class Jobs'!$A$1:$A1000,1)&amp;""),'Class Jobs'!$B$1:$AF$1)</f>
        <v>#REF!</v>
      </c>
      <c r="Z8" s="158">
        <f t="shared" si="10"/>
        <v>0.01</v>
      </c>
      <c r="AA8" s="16" t="str">
        <f t="array" ref="AA8">INDEX(NPCGender,TRUNC(1+(COUNTA(NPCGender))*(TRUNC(MOD(($B8*1103515245 +12345)/ 65536, 32768),0)/32768),0))</f>
        <v>Male</v>
      </c>
      <c r="AB8" s="16" t="str">
        <f t="array" ref="AB8">INDEX(NPCRace,TRUNC(1+(COUNTA(NPCRace))*(TRUNC(MOD(($B8*1103515245 +12345)/ 65536, 32768),0)/32768),0))</f>
        <v>Dragonborn</v>
      </c>
      <c r="AC8" s="16" t="str">
        <f t="array" ref="AC8">INDEX(NPCAL,TRUNC(1+(COUNTA(NPCAL))*(TRUNC(MOD(($B8*1103515245 +12345)/ 65536, 32768),0)/32768),0))</f>
        <v>CN</v>
      </c>
      <c r="AD8" s="72" t="str">
        <f ca="1">IFERROR(__xludf.DUMMYFUNCTION("if(V8&lt;15,QUERY(NPCVar!C:D,""Select D WHERE C = '""&amp;D8&amp;""'""),if((TRUNC(1+10)*(TRUNC(MOD((ROW(H8)*1103515245 +12345)/ 65536, 32768),0)/32768)/10) &gt; 0.85,INDEX(NPCFaction,TRUNC(1+(counta(NPCFaction)-1)*(TRUNC(MOD(($B8*1103515245 +12345)/ 65536, 32768),0)/32"&amp;"768),0)),QUERY(NPCVar!C:D,""Select D WHERE C = '""&amp;D8&amp;""'"")))"),"Royalty")</f>
        <v>Royalty</v>
      </c>
      <c r="AE8" s="108" t="e">
        <f t="shared" ca="1" si="11"/>
        <v>#NAME?</v>
      </c>
      <c r="AF8" s="159">
        <f ca="1">IFERROR(__xludf.DUMMYFUNCTION("AE8*(V8 / QUERY(NPCVar!$K$2:$N$12, ""Select N WHERE K='""&amp;AB8&amp;""'""))*TRUNC(1+10)*(TRUNC(MOD(($B8*1103515245 +12345)/ 65536, 32768),0)/32768)"),0.000297088623046875)</f>
        <v>2.9708862304687498E-4</v>
      </c>
      <c r="AG8" s="16"/>
      <c r="AH8" s="77"/>
      <c r="AI8" s="114"/>
    </row>
    <row r="9" spans="1:41" ht="15.75" customHeight="1">
      <c r="A9" s="53">
        <v>8</v>
      </c>
      <c r="B9" s="118">
        <f t="shared" si="0"/>
        <v>0.94718999999999998</v>
      </c>
      <c r="C9" s="72" t="str">
        <f t="array" ref="C9">INDEX(NPCFName,TRUNC(1+(COUNTA(NPCFName))*(TRUNC(MOD(($B9*1103515245 +12345)/ 65536, 32768),0)/32768),0))</f>
        <v>Juktar</v>
      </c>
      <c r="D9" s="16" t="str">
        <f t="array" ref="D9">INDEX(NPCLName,TRUNC(1+(COUNTA(NPCLName))*(TRUNC(MOD(($B9*1103515245 +12345)/ 65536, 32768),0)/32768),0))</f>
        <v>Autumnglow</v>
      </c>
      <c r="E9" s="16" t="s">
        <v>146</v>
      </c>
      <c r="F9" s="76">
        <v>8</v>
      </c>
      <c r="G9" s="153">
        <f ca="1">VLOOKUP($AB$2,'RF Mod'!$A$2:$G$12,2,FALSE)+VLOOKUP($AD$2,'RF Mod'!$I$2:$O$11,2,FALSE)+(TRUNC(6+(24-6)*(TRUNC(MOD(($Z9*1103515245 +12345)/ 65536, 32768),0)/32768),0))</f>
        <v>8</v>
      </c>
      <c r="H9" s="16">
        <f t="shared" ca="1" si="1"/>
        <v>-1</v>
      </c>
      <c r="I9" s="153">
        <f ca="1">VLOOKUP($AB$2,'RF Mod'!$A$2:$G$12,3,FALSE)+VLOOKUP($AD$2,'RF Mod'!$I$2:$O$11,3,FALSE)+(TRUNC(6+(24-6)*(TRUNC(MOD(($Z9*1103515245 +12345)/ 65536, 32768),0)/32768),0))</f>
        <v>12</v>
      </c>
      <c r="J9" s="16" t="e">
        <f t="shared" ca="1" si="2"/>
        <v>#NAME?</v>
      </c>
      <c r="K9" s="153">
        <f ca="1">VLOOKUP($AB$2,'RF Mod'!$A$2:$G$12,3,FALSE)+VLOOKUP($AD$2,'RF Mod'!$I$2:$O$11,3,FALSE)+(TRUNC(6+(24-6)*(TRUNC(MOD(($Z9*1103515245 +12345)/ 65536, 32768),0)/32768),0))</f>
        <v>12</v>
      </c>
      <c r="L9" s="16" t="e">
        <f t="shared" ca="1" si="3"/>
        <v>#NAME?</v>
      </c>
      <c r="M9" s="153">
        <f ca="1">VLOOKUP($AB$2,'RF Mod'!$A$2:$G$12,4,FALSE)+VLOOKUP($AD$2,'RF Mod'!$I$2:$O$11,4,FALSE)+(TRUNC(6+(24-6)*(TRUNC(MOD(($Z9*1103515245 +12345)/ 65536, 32768),0)/32768),0))</f>
        <v>11</v>
      </c>
      <c r="N9" s="16" t="e">
        <f t="shared" ca="1" si="4"/>
        <v>#NAME?</v>
      </c>
      <c r="O9" s="153">
        <f ca="1">VLOOKUP($AB$2,'RF Mod'!$A$2:$G$12,5,FALSE)+VLOOKUP($AD$2,'RF Mod'!$I$2:$O$11,5,FALSE)+(TRUNC(6+(24-6)*(TRUNC(MOD(($Z9*1103515245 +12345)/ 65536, 32768),0)/32768),0))</f>
        <v>14</v>
      </c>
      <c r="P9" s="16" t="e">
        <f t="shared" ca="1" si="5"/>
        <v>#NAME?</v>
      </c>
      <c r="Q9" s="153">
        <f ca="1">VLOOKUP($AB$2,'RF Mod'!$A$2:$G$12,6,FALSE)+VLOOKUP($AD$2,'RF Mod'!$I$2:$O$11,6,FALSE)+(TRUNC(6+(24-6)*(TRUNC(MOD(($Z9*1103515245 +12345)/ 65536, 32768),0)/32768),0))</f>
        <v>12</v>
      </c>
      <c r="R9" s="16" t="e">
        <f t="shared" ca="1" si="6"/>
        <v>#NAME?</v>
      </c>
      <c r="S9" s="154">
        <f t="shared" ca="1" si="12"/>
        <v>144</v>
      </c>
      <c r="T9" s="154">
        <f t="shared" ca="1" si="7"/>
        <v>2</v>
      </c>
      <c r="U9" s="16" t="str">
        <f t="shared" ca="1" si="8"/>
        <v>Fine</v>
      </c>
      <c r="V9" s="155">
        <f ca="1">IFERROR(__xludf.DUMMYFUNCTION("if(W9=""Middle Age"",QUERY(NPCVar!$K$2:$N1000, ""Select L where K = '""&amp;AB9&amp;""'""),if(W9=""Old"",QUERY(NPCVar!$K$2:$N1000, ""Select M where K = '""&amp;AB9&amp;""'""),if(W9=""Venerable"",QUERY(NPCVar!$K$2:$N1000, ""Select N where K = '""&amp;AB9&amp;""'""),false)))*X9"),31.5)</f>
        <v>31.5</v>
      </c>
      <c r="W9" s="156" t="str">
        <f t="array" ref="W9">INDEX(NPCAgeType,TRUNC(1+(4-1)*(TRUNC(MOD((X9*1103515245 +12345)/ 65536, 32768),0)/32768),0))</f>
        <v>Old</v>
      </c>
      <c r="X9" s="117">
        <f t="shared" si="13"/>
        <v>1.2</v>
      </c>
      <c r="Y9" s="157" t="e">
        <f t="array" aca="1" ref="Y9" ca="1">LOOKUP(ABS(MAX(Z9 + MIN(ABS(INDIRECT("Class Jobs!B"&amp;MATCH(E9,'Class Jobs'!$A$1:$A1000,0)&amp;":"&amp;"AF"&amp;MATCH(E9,'Class Jobs'!$A$1:$A1000,0)&amp;"")-$Z9)) * SUM(IF(MIN(ABS(INDIRECT("Class Jobs!B"&amp;MATCH(E9,'Class Jobs'!$A$1:$A1000,0)&amp;":"&amp;"AF"&amp;MATCH(E9,'Class Jobs'!$A$1:$A1000,0)&amp;"")-$Z9))=ABS(INDIRECT("Class Jobs!B"&amp;MATCH(E9,'Class Jobs'!$A$1:$A1000,0)&amp;":"&amp;"AF"&amp;MATCH(E9,'Class Jobs'!$A$1:$A1000,0)&amp;"")-$Z9),SIGN(INDIRECT("Class Jobs!B"&amp;MATCH(E9,'Class Jobs'!$A$1:A1000,0)&amp;":"&amp;"AF"&amp;MATCH(E9,'Class Jobs'!$A$1:$A1000,0)&amp;"")-$Z9),0)),0)),INDIRECT("Class Jobs!B"&amp;MATCH(E9,'Class Jobs'!$A$1:$A1000,0)&amp;":"&amp;"AF"&amp;MATCH(E9,'Class Jobs'!$A$1:$A1000,1)&amp;""),'Class Jobs'!$B$1:$AF$1)</f>
        <v>#REF!</v>
      </c>
      <c r="Z9" s="158">
        <f t="shared" si="10"/>
        <v>0.49</v>
      </c>
      <c r="AA9" s="16" t="str">
        <f t="array" ref="AA9">INDEX(NPCGender,TRUNC(1+(COUNTA(NPCGender))*(TRUNC(MOD(($B9*1103515245 +12345)/ 65536, 32768),0)/32768),0))</f>
        <v>Female</v>
      </c>
      <c r="AB9" s="16" t="str">
        <f t="array" ref="AB9">INDEX(NPCRace,TRUNC(1+(COUNTA(NPCRace))*(TRUNC(MOD(($B9*1103515245 +12345)/ 65536, 32768),0)/32768),0))</f>
        <v>Half-Orc</v>
      </c>
      <c r="AC9" s="16" t="str">
        <f t="array" ref="AC9">INDEX(NPCAL,TRUNC(1+(COUNTA(NPCAL))*(TRUNC(MOD(($B9*1103515245 +12345)/ 65536, 32768),0)/32768),0))</f>
        <v>NN</v>
      </c>
      <c r="AD9" s="72" t="str">
        <f ca="1">IFERROR(__xludf.DUMMYFUNCTION("if(V9&lt;15,QUERY(NPCVar!C:D,""Select D WHERE C = '""&amp;D9&amp;""'""),if((TRUNC(1+10)*(TRUNC(MOD((ROW(H9)*1103515245 +12345)/ 65536, 32768),0)/32768)/10) &gt; 0.85,INDEX(NPCFaction,TRUNC(1+(counta(NPCFaction)-1)*(TRUNC(MOD(($B9*1103515245 +12345)/ 65536, 32768),0)/32"&amp;"768),0)),QUERY(NPCVar!C:D,""Select D WHERE C = '""&amp;D9&amp;""'"")))"),"Traders Guild")</f>
        <v>Traders Guild</v>
      </c>
      <c r="AE9" s="108" t="e">
        <f t="shared" ca="1" si="11"/>
        <v>#NAME?</v>
      </c>
      <c r="AF9" s="159">
        <f ca="1">IFERROR(__xludf.DUMMYFUNCTION("AE9*(V9 / QUERY(NPCVar!$K$2:$N$12, ""Select N WHERE K='""&amp;AB9&amp;""'""))*TRUNC(1+10)*(TRUNC(MOD(($B9*1103515245 +12345)/ 65536, 32768),0)/32768)"),0.481857604980468)</f>
        <v>0.48185760498046798</v>
      </c>
      <c r="AG9" s="16"/>
      <c r="AH9" s="77"/>
      <c r="AI9" s="114"/>
    </row>
    <row r="10" spans="1:41" ht="15.75" customHeight="1">
      <c r="A10" s="53">
        <v>9</v>
      </c>
      <c r="B10" s="118">
        <f t="shared" si="0"/>
        <v>2.4412500000000001</v>
      </c>
      <c r="C10" s="72" t="str">
        <f t="array" ref="C10">INDEX(NPCFName,TRUNC(1+(COUNTA(NPCFName))*(TRUNC(MOD(($B10*1103515245 +12345)/ 65536, 32768),0)/32768),0))</f>
        <v>Rythern</v>
      </c>
      <c r="D10" s="16" t="str">
        <f t="array" ref="D10">INDEX(NPCLName,TRUNC(1+(COUNTA(NPCLName))*(TRUNC(MOD(($B10*1103515245 +12345)/ 65536, 32768),0)/32768),0))</f>
        <v>Tuskleaf</v>
      </c>
      <c r="E10" s="16" t="s">
        <v>100</v>
      </c>
      <c r="F10" s="76">
        <v>1</v>
      </c>
      <c r="G10" s="153">
        <f ca="1">VLOOKUP($AB$2,'RF Mod'!$A$2:$G$12,2,FALSE)+VLOOKUP($AD$2,'RF Mod'!$I$2:$O$11,2,FALSE)+(TRUNC(6+(24-6)*(TRUNC(MOD(($Z10*1103515245 +12345)/ 65536, 32768),0)/32768),0))</f>
        <v>6</v>
      </c>
      <c r="H10" s="16">
        <f t="shared" ca="1" si="1"/>
        <v>-2</v>
      </c>
      <c r="I10" s="153">
        <f ca="1">VLOOKUP($AB$2,'RF Mod'!$A$2:$G$12,3,FALSE)+VLOOKUP($AD$2,'RF Mod'!$I$2:$O$11,3,FALSE)+(TRUNC(6+(24-6)*(TRUNC(MOD(($Z10*1103515245 +12345)/ 65536, 32768),0)/32768),0))</f>
        <v>10</v>
      </c>
      <c r="J10" s="16" t="e">
        <f t="shared" ca="1" si="2"/>
        <v>#NAME?</v>
      </c>
      <c r="K10" s="153">
        <f ca="1">VLOOKUP($AB$2,'RF Mod'!$A$2:$G$12,3,FALSE)+VLOOKUP($AD$2,'RF Mod'!$I$2:$O$11,3,FALSE)+(TRUNC(6+(24-6)*(TRUNC(MOD(($Z10*1103515245 +12345)/ 65536, 32768),0)/32768),0))</f>
        <v>10</v>
      </c>
      <c r="L10" s="16" t="e">
        <f t="shared" ca="1" si="3"/>
        <v>#NAME?</v>
      </c>
      <c r="M10" s="153">
        <f ca="1">VLOOKUP($AB$2,'RF Mod'!$A$2:$G$12,4,FALSE)+VLOOKUP($AD$2,'RF Mod'!$I$2:$O$11,4,FALSE)+(TRUNC(6+(24-6)*(TRUNC(MOD(($Z10*1103515245 +12345)/ 65536, 32768),0)/32768),0))</f>
        <v>9</v>
      </c>
      <c r="N10" s="16">
        <f t="shared" ca="1" si="4"/>
        <v>-1</v>
      </c>
      <c r="O10" s="153">
        <f ca="1">VLOOKUP($AB$2,'RF Mod'!$A$2:$G$12,5,FALSE)+VLOOKUP($AD$2,'RF Mod'!$I$2:$O$11,5,FALSE)+(TRUNC(6+(24-6)*(TRUNC(MOD(($Z10*1103515245 +12345)/ 65536, 32768),0)/32768),0))</f>
        <v>12</v>
      </c>
      <c r="P10" s="16" t="e">
        <f t="shared" ca="1" si="5"/>
        <v>#NAME?</v>
      </c>
      <c r="Q10" s="153">
        <f ca="1">VLOOKUP($AB$2,'RF Mod'!$A$2:$G$12,6,FALSE)+VLOOKUP($AD$2,'RF Mod'!$I$2:$O$11,6,FALSE)+(TRUNC(6+(24-6)*(TRUNC(MOD(($Z10*1103515245 +12345)/ 65536, 32768),0)/32768),0))</f>
        <v>10</v>
      </c>
      <c r="R10" s="16" t="e">
        <f t="shared" ca="1" si="6"/>
        <v>#NAME?</v>
      </c>
      <c r="S10" s="154">
        <f t="shared" ca="1" si="12"/>
        <v>14</v>
      </c>
      <c r="T10" s="154">
        <f t="shared" ca="1" si="7"/>
        <v>10</v>
      </c>
      <c r="U10" s="16" t="str">
        <f t="shared" ca="1" si="8"/>
        <v>Bloody</v>
      </c>
      <c r="V10" s="155">
        <f ca="1">IFERROR(__xludf.DUMMYFUNCTION("if(W10=""Middle Age"",QUERY(NPCVar!$K$2:$N1000, ""Select L where K = '""&amp;AB10&amp;""'""),if(W10=""Old"",QUERY(NPCVar!$K$2:$N1000, ""Select M where K = '""&amp;AB10&amp;""'""),if(W10=""Venerable"",QUERY(NPCVar!$K$2:$N1000, ""Select N where K = '""&amp;AB10&amp;""'""),false)))"&amp;"*X10"),196.875)</f>
        <v>196.875</v>
      </c>
      <c r="W10" s="156" t="str">
        <f t="array" ref="W10">INDEX(NPCAgeType,TRUNC(1+(4-1)*(TRUNC(MOD((X10*1103515245 +12345)/ 65536, 32768),0)/32768),0))</f>
        <v>Old</v>
      </c>
      <c r="X10" s="117">
        <f t="shared" si="13"/>
        <v>0.7</v>
      </c>
      <c r="Y10" s="157" t="e">
        <f t="array" aca="1" ref="Y10" ca="1">LOOKUP(ABS(MAX(Z10 + MIN(ABS(INDIRECT("Class Jobs!B"&amp;MATCH(E10,'Class Jobs'!$A$1:$A1000,0)&amp;":"&amp;"AF"&amp;MATCH(E10,'Class Jobs'!$A$1:$A1000,0)&amp;"")-$Z10)) * SUM(IF(MIN(ABS(INDIRECT("Class Jobs!B"&amp;MATCH(E10,'Class Jobs'!$A$1:$A1000,0)&amp;":"&amp;"AF"&amp;MATCH(E10,'Class Jobs'!$A$1:$A1000,0)&amp;"")-$Z10))=ABS(INDIRECT("Class Jobs!B"&amp;MATCH(E10,'Class Jobs'!$A$1:$A1000,0)&amp;":"&amp;"AF"&amp;MATCH(E10,'Class Jobs'!$A$1:$A1000,0)&amp;"")-$Z10),SIGN(INDIRECT("Class Jobs!B"&amp;MATCH(E10,'Class Jobs'!$A$1:A1000,0)&amp;":"&amp;"AF"&amp;MATCH(E10,'Class Jobs'!$A$1:$A1000,0)&amp;"")-$Z10),0)),0)),INDIRECT("Class Jobs!B"&amp;MATCH(E10,'Class Jobs'!$A$1:$A1000,0)&amp;":"&amp;"AF"&amp;MATCH(E10,'Class Jobs'!$A$1:$A1000,1)&amp;""),'Class Jobs'!$B$1:$AF$1)</f>
        <v>#REF!</v>
      </c>
      <c r="Z10" s="158">
        <f t="shared" si="10"/>
        <v>0.26</v>
      </c>
      <c r="AA10" s="16" t="str">
        <f t="array" ref="AA10">INDEX(NPCGender,TRUNC(1+(COUNTA(NPCGender))*(TRUNC(MOD(($B10*1103515245 +12345)/ 65536, 32768),0)/32768),0))</f>
        <v>Male</v>
      </c>
      <c r="AB10" s="16" t="str">
        <f t="array" ref="AB10">INDEX(NPCRace,TRUNC(1+(COUNTA(NPCRace))*(TRUNC(MOD(($B10*1103515245 +12345)/ 65536, 32768),0)/32768),0))</f>
        <v>Elf</v>
      </c>
      <c r="AC10" s="16" t="str">
        <f t="array" ref="AC10">INDEX(NPCAL,TRUNC(1+(COUNTA(NPCAL))*(TRUNC(MOD(($B10*1103515245 +12345)/ 65536, 32768),0)/32768),0))</f>
        <v>CG</v>
      </c>
      <c r="AD10" s="72" t="str">
        <f ca="1">IFERROR(__xludf.DUMMYFUNCTION("if(V10&lt;15,QUERY(NPCVar!C:D,""Select D WHERE C = '""&amp;D10&amp;""'""),if((TRUNC(1+10)*(TRUNC(MOD((ROW(H10)*1103515245 +12345)/ 65536, 32768),0)/32768)/10) &gt; 0.85,INDEX(NPCFaction,TRUNC(1+(counta(NPCFaction)-1)*(TRUNC(MOD(($B10*1103515245 +12345)/ 65536, 32768),0"&amp;")/32768),0)),QUERY(NPCVar!C:D,""Select D WHERE C = '""&amp;D10&amp;""'"")))"),"Magic Guild")</f>
        <v>Magic Guild</v>
      </c>
      <c r="AE10" s="108" t="e">
        <f t="shared" ca="1" si="11"/>
        <v>#NAME?</v>
      </c>
      <c r="AF10" s="159">
        <f ca="1">IFERROR(__xludf.DUMMYFUNCTION("AE10*(V10 / QUERY(NPCVar!$K$2:$N$12, ""Select N WHERE K='""&amp;AB10&amp;""'""))*TRUNC(1+10)*(TRUNC(MOD(($B10*1103515245 +12345)/ 65536, 32768),0)/32768)"),0.293896179199218)</f>
        <v>0.29389617919921801</v>
      </c>
      <c r="AG10" s="16"/>
      <c r="AH10" s="77"/>
      <c r="AI10" s="114"/>
    </row>
    <row r="11" spans="1:41" ht="15.75" customHeight="1">
      <c r="A11" s="53">
        <v>10</v>
      </c>
      <c r="B11" s="118">
        <f t="shared" si="0"/>
        <v>1.4353899999999999</v>
      </c>
      <c r="C11" s="72" t="str">
        <f t="array" ref="C11">INDEX(NPCFName,TRUNC(1+(COUNTA(NPCFName))*(TRUNC(MOD(($B11*1103515245 +12345)/ 65536, 32768),0)/32768),0))</f>
        <v>Defearon</v>
      </c>
      <c r="D11" s="16" t="str">
        <f t="array" ref="D11">INDEX(NPCLName,TRUNC(1+(COUNTA(NPCLName))*(TRUNC(MOD(($B11*1103515245 +12345)/ 65536, 32768),0)/32768),0))</f>
        <v>Sacredgloom</v>
      </c>
      <c r="E11" s="16" t="s">
        <v>156</v>
      </c>
      <c r="F11" s="76">
        <v>8</v>
      </c>
      <c r="G11" s="153">
        <f ca="1">VLOOKUP($AB$2,'RF Mod'!$A$2:$G$12,2,FALSE)+VLOOKUP($AD$2,'RF Mod'!$I$2:$O$11,2,FALSE)+(TRUNC(6+(24-6)*(TRUNC(MOD(($Z11*1103515245 +12345)/ 65536, 32768),0)/32768),0))</f>
        <v>10</v>
      </c>
      <c r="H11" s="16" t="e">
        <f t="shared" ca="1" si="1"/>
        <v>#NAME?</v>
      </c>
      <c r="I11" s="153">
        <f ca="1">VLOOKUP($AB$2,'RF Mod'!$A$2:$G$12,3,FALSE)+VLOOKUP($AD$2,'RF Mod'!$I$2:$O$11,3,FALSE)+(TRUNC(6+(24-6)*(TRUNC(MOD(($Z11*1103515245 +12345)/ 65536, 32768),0)/32768),0))</f>
        <v>14</v>
      </c>
      <c r="J11" s="16" t="e">
        <f t="shared" ca="1" si="2"/>
        <v>#NAME?</v>
      </c>
      <c r="K11" s="153">
        <f ca="1">VLOOKUP($AB$2,'RF Mod'!$A$2:$G$12,3,FALSE)+VLOOKUP($AD$2,'RF Mod'!$I$2:$O$11,3,FALSE)+(TRUNC(6+(24-6)*(TRUNC(MOD(($Z11*1103515245 +12345)/ 65536, 32768),0)/32768),0))</f>
        <v>14</v>
      </c>
      <c r="L11" s="16" t="e">
        <f t="shared" ca="1" si="3"/>
        <v>#NAME?</v>
      </c>
      <c r="M11" s="153">
        <f ca="1">VLOOKUP($AB$2,'RF Mod'!$A$2:$G$12,4,FALSE)+VLOOKUP($AD$2,'RF Mod'!$I$2:$O$11,4,FALSE)+(TRUNC(6+(24-6)*(TRUNC(MOD(($Z11*1103515245 +12345)/ 65536, 32768),0)/32768),0))</f>
        <v>13</v>
      </c>
      <c r="N11" s="16" t="e">
        <f t="shared" ca="1" si="4"/>
        <v>#NAME?</v>
      </c>
      <c r="O11" s="153">
        <f ca="1">VLOOKUP($AB$2,'RF Mod'!$A$2:$G$12,5,FALSE)+VLOOKUP($AD$2,'RF Mod'!$I$2:$O$11,5,FALSE)+(TRUNC(6+(24-6)*(TRUNC(MOD(($Z11*1103515245 +12345)/ 65536, 32768),0)/32768),0))</f>
        <v>16</v>
      </c>
      <c r="P11" s="16" t="e">
        <f t="shared" ca="1" si="5"/>
        <v>#NAME?</v>
      </c>
      <c r="Q11" s="153">
        <f ca="1">VLOOKUP($AB$2,'RF Mod'!$A$2:$G$12,6,FALSE)+VLOOKUP($AD$2,'RF Mod'!$I$2:$O$11,6,FALSE)+(TRUNC(6+(24-6)*(TRUNC(MOD(($Z11*1103515245 +12345)/ 65536, 32768),0)/32768),0))</f>
        <v>14</v>
      </c>
      <c r="R11" s="16" t="e">
        <f t="shared" ca="1" si="6"/>
        <v>#NAME?</v>
      </c>
      <c r="S11" s="154">
        <f t="shared" ca="1" si="12"/>
        <v>160</v>
      </c>
      <c r="T11" s="154">
        <f t="shared" ca="1" si="7"/>
        <v>97</v>
      </c>
      <c r="U11" s="16" t="str">
        <f t="shared" ca="1" si="8"/>
        <v>Bloody</v>
      </c>
      <c r="V11" s="155">
        <f ca="1">IFERROR(__xludf.DUMMYFUNCTION("if(W11=""Middle Age"",QUERY(NPCVar!$K$2:$N1000, ""Select L where K = '""&amp;AB11&amp;""'""),if(W11=""Old"",QUERY(NPCVar!$K$2:$N1000, ""Select M where K = '""&amp;AB11&amp;""'""),if(W11=""Venerable"",QUERY(NPCVar!$K$2:$N1000, ""Select N where K = '""&amp;AB11&amp;""'""),false)))"&amp;"*X11"),180)</f>
        <v>180</v>
      </c>
      <c r="W11" s="156" t="str">
        <f t="array" ref="W11">INDEX(NPCAgeType,TRUNC(1+(4-1)*(TRUNC(MOD((X11*1103515245 +12345)/ 65536, 32768),0)/32768),0))</f>
        <v>Venerable</v>
      </c>
      <c r="X11" s="117">
        <f t="shared" si="13"/>
        <v>1.8</v>
      </c>
      <c r="Y11" s="157" t="e">
        <f t="array" aca="1" ref="Y11" ca="1">LOOKUP(ABS(MAX(Z11 + MIN(ABS(INDIRECT("Class Jobs!B"&amp;MATCH(E11,'Class Jobs'!$A$1:$A1000,0)&amp;":"&amp;"AF"&amp;MATCH(E11,'Class Jobs'!$A$1:$A1000,0)&amp;"")-$Z11)) * SUM(IF(MIN(ABS(INDIRECT("Class Jobs!B"&amp;MATCH(E11,'Class Jobs'!$A$1:$A1000,0)&amp;":"&amp;"AF"&amp;MATCH(E11,'Class Jobs'!$A$1:$A1000,0)&amp;"")-$Z11))=ABS(INDIRECT("Class Jobs!B"&amp;MATCH(E11,'Class Jobs'!$A$1:$A1000,0)&amp;":"&amp;"AF"&amp;MATCH(E11,'Class Jobs'!$A$1:$A1000,0)&amp;"")-$Z11),SIGN(INDIRECT("Class Jobs!B"&amp;MATCH(E11,'Class Jobs'!$A$1:A1000,0)&amp;":"&amp;"AF"&amp;MATCH(E11,'Class Jobs'!$A$1:$A1000,0)&amp;"")-$Z11),0)),0)),INDIRECT("Class Jobs!B"&amp;MATCH(E11,'Class Jobs'!$A$1:$A1000,0)&amp;":"&amp;"AF"&amp;MATCH(E11,'Class Jobs'!$A$1:$A1000,1)&amp;""),'Class Jobs'!$B$1:$AF$1)</f>
        <v>#REF!</v>
      </c>
      <c r="Z11" s="158">
        <f t="shared" si="10"/>
        <v>0.74</v>
      </c>
      <c r="AA11" s="16" t="str">
        <f t="array" ref="AA11">INDEX(NPCGender,TRUNC(1+(COUNTA(NPCGender))*(TRUNC(MOD(($B11*1103515245 +12345)/ 65536, 32768),0)/32768),0))</f>
        <v>Neutral</v>
      </c>
      <c r="AB11" s="16" t="str">
        <f t="array" ref="AB11">INDEX(NPCRace,TRUNC(1+(COUNTA(NPCRace))*(TRUNC(MOD(($B11*1103515245 +12345)/ 65536, 32768),0)/32768),0))</f>
        <v>Tiefling</v>
      </c>
      <c r="AC11" s="16" t="str">
        <f t="array" ref="AC11">INDEX(NPCAL,TRUNC(1+(COUNTA(NPCAL))*(TRUNC(MOD(($B11*1103515245 +12345)/ 65536, 32768),0)/32768),0))</f>
        <v>LG</v>
      </c>
      <c r="AD11" s="72" t="str">
        <f ca="1">IFERROR(__xludf.DUMMYFUNCTION("if(V11&lt;15,QUERY(NPCVar!C:D,""Select D WHERE C = '""&amp;D11&amp;""'""),if((TRUNC(1+10)*(TRUNC(MOD((ROW(H11)*1103515245 +12345)/ 65536, 32768),0)/32768)/10) &gt; 0.85,INDEX(NPCFaction,TRUNC(1+(counta(NPCFaction)-1)*(TRUNC(MOD(($B11*1103515245 +12345)/ 65536, 32768),0"&amp;")/32768),0)),QUERY(NPCVar!C:D,""Select D WHERE C = '""&amp;D11&amp;""'"")))"),"Adventures Guild")</f>
        <v>Adventures Guild</v>
      </c>
      <c r="AE11" s="108" t="e">
        <f t="shared" ca="1" si="11"/>
        <v>#NAME?</v>
      </c>
      <c r="AF11" s="159">
        <f ca="1">IFERROR(__xludf.DUMMYFUNCTION("AE11*(V11 / QUERY(NPCVar!$K$2:$N$12, ""Select N WHERE K='""&amp;AB11&amp;""'""))*TRUNC(1+10)*(TRUNC(MOD(($B11*1103515245 +12345)/ 65536, 32768),0)/32768)"),4.38122131347656)</f>
        <v>4.3812213134765603</v>
      </c>
      <c r="AG11" s="16"/>
      <c r="AH11" s="77"/>
      <c r="AI11" s="114"/>
    </row>
    <row r="12" spans="1:41" ht="15.75" customHeight="1">
      <c r="A12" s="53">
        <v>11</v>
      </c>
      <c r="B12" s="118">
        <f t="shared" si="0"/>
        <v>0.42953999999999998</v>
      </c>
      <c r="C12" s="72" t="str">
        <f t="array" ref="C12">INDEX(NPCFName,TRUNC(1+(COUNTA(NPCFName))*(TRUNC(MOD(($B12*1103515245 +12345)/ 65536, 32768),0)/32768),0))</f>
        <v>Padan</v>
      </c>
      <c r="D12" s="16" t="str">
        <f t="array" ref="D12">INDEX(NPCLName,TRUNC(1+(COUNTA(NPCLName))*(TRUNC(MOD(($B12*1103515245 +12345)/ 65536, 32768),0)/32768),0))</f>
        <v>Stillsun</v>
      </c>
      <c r="E12" s="16" t="s">
        <v>100</v>
      </c>
      <c r="F12" s="76">
        <v>1</v>
      </c>
      <c r="G12" s="153">
        <f ca="1">VLOOKUP($AB$2,'RF Mod'!$A$2:$G$12,2,FALSE)+VLOOKUP($AD$2,'RF Mod'!$I$2:$O$11,2,FALSE)+(TRUNC(6+(24-6)*(TRUNC(MOD(($Z12*1103515245 +12345)/ 65536, 32768),0)/32768),0))</f>
        <v>6</v>
      </c>
      <c r="H12" s="16">
        <f t="shared" ca="1" si="1"/>
        <v>-2</v>
      </c>
      <c r="I12" s="153">
        <f ca="1">VLOOKUP($AB$2,'RF Mod'!$A$2:$G$12,3,FALSE)+VLOOKUP($AD$2,'RF Mod'!$I$2:$O$11,3,FALSE)+(TRUNC(6+(24-6)*(TRUNC(MOD(($Z12*1103515245 +12345)/ 65536, 32768),0)/32768),0))</f>
        <v>10</v>
      </c>
      <c r="J12" s="16" t="e">
        <f t="shared" ca="1" si="2"/>
        <v>#NAME?</v>
      </c>
      <c r="K12" s="153">
        <f ca="1">VLOOKUP($AB$2,'RF Mod'!$A$2:$G$12,3,FALSE)+VLOOKUP($AD$2,'RF Mod'!$I$2:$O$11,3,FALSE)+(TRUNC(6+(24-6)*(TRUNC(MOD(($Z12*1103515245 +12345)/ 65536, 32768),0)/32768),0))</f>
        <v>10</v>
      </c>
      <c r="L12" s="16" t="e">
        <f t="shared" ca="1" si="3"/>
        <v>#NAME?</v>
      </c>
      <c r="M12" s="153">
        <f ca="1">VLOOKUP($AB$2,'RF Mod'!$A$2:$G$12,4,FALSE)+VLOOKUP($AD$2,'RF Mod'!$I$2:$O$11,4,FALSE)+(TRUNC(6+(24-6)*(TRUNC(MOD(($Z12*1103515245 +12345)/ 65536, 32768),0)/32768),0))</f>
        <v>9</v>
      </c>
      <c r="N12" s="16">
        <f t="shared" ca="1" si="4"/>
        <v>-1</v>
      </c>
      <c r="O12" s="153">
        <f ca="1">VLOOKUP($AB$2,'RF Mod'!$A$2:$G$12,5,FALSE)+VLOOKUP($AD$2,'RF Mod'!$I$2:$O$11,5,FALSE)+(TRUNC(6+(24-6)*(TRUNC(MOD(($Z12*1103515245 +12345)/ 65536, 32768),0)/32768),0))</f>
        <v>12</v>
      </c>
      <c r="P12" s="16" t="e">
        <f t="shared" ca="1" si="5"/>
        <v>#NAME?</v>
      </c>
      <c r="Q12" s="153">
        <f ca="1">VLOOKUP($AB$2,'RF Mod'!$A$2:$G$12,6,FALSE)+VLOOKUP($AD$2,'RF Mod'!$I$2:$O$11,6,FALSE)+(TRUNC(6+(24-6)*(TRUNC(MOD(($Z12*1103515245 +12345)/ 65536, 32768),0)/32768),0))</f>
        <v>10</v>
      </c>
      <c r="R12" s="16" t="e">
        <f t="shared" ca="1" si="6"/>
        <v>#NAME?</v>
      </c>
      <c r="S12" s="154">
        <f t="shared" ca="1" si="12"/>
        <v>12</v>
      </c>
      <c r="T12" s="154">
        <f t="shared" ca="1" si="7"/>
        <v>10</v>
      </c>
      <c r="U12" s="16" t="str">
        <f t="shared" ca="1" si="8"/>
        <v>Bloody</v>
      </c>
      <c r="V12" s="155">
        <f ca="1">IFERROR(__xludf.DUMMYFUNCTION("if(W12=""Middle Age"",QUERY(NPCVar!$K$2:$N1000, ""Select L where K = '""&amp;AB12&amp;""'""),if(W12=""Old"",QUERY(NPCVar!$K$2:$N1000, ""Select M where K = '""&amp;AB12&amp;""'""),if(W12=""Venerable"",QUERY(NPCVar!$K$2:$N1000, ""Select N where K = '""&amp;AB12&amp;""'""),false)))"&amp;"*X12"),112.5)</f>
        <v>112.5</v>
      </c>
      <c r="W12" s="156" t="str">
        <f t="array" ref="W12">INDEX(NPCAgeType,TRUNC(1+(4-1)*(TRUNC(MOD((X12*1103515245 +12345)/ 65536, 32768),0)/32768),0))</f>
        <v>Middle Age</v>
      </c>
      <c r="X12" s="117">
        <f t="shared" si="13"/>
        <v>0.6</v>
      </c>
      <c r="Y12" s="157" t="e">
        <f t="array" aca="1" ref="Y12" ca="1">LOOKUP(ABS(MAX(Z12 + MIN(ABS(INDIRECT("Class Jobs!B"&amp;MATCH(E12,'Class Jobs'!$A$1:$A1000,0)&amp;":"&amp;"AF"&amp;MATCH(E12,'Class Jobs'!$A$1:$A1000,0)&amp;"")-$Z12)) * SUM(IF(MIN(ABS(INDIRECT("Class Jobs!B"&amp;MATCH(E12,'Class Jobs'!$A$1:$A1000,0)&amp;":"&amp;"AF"&amp;MATCH(E12,'Class Jobs'!$A$1:$A1000,0)&amp;"")-$Z12))=ABS(INDIRECT("Class Jobs!B"&amp;MATCH(E12,'Class Jobs'!$A$1:$A1000,0)&amp;":"&amp;"AF"&amp;MATCH(E12,'Class Jobs'!$A$1:$A1000,0)&amp;"")-$Z12),SIGN(INDIRECT("Class Jobs!B"&amp;MATCH(E12,'Class Jobs'!$A$1:A1000,0)&amp;":"&amp;"AF"&amp;MATCH(E12,'Class Jobs'!$A$1:$A1000,0)&amp;"")-$Z12),0)),0)),INDIRECT("Class Jobs!B"&amp;MATCH(E12,'Class Jobs'!$A$1:$A1000,0)&amp;":"&amp;"AF"&amp;MATCH(E12,'Class Jobs'!$A$1:$A1000,1)&amp;""),'Class Jobs'!$B$1:$AF$1)</f>
        <v>#REF!</v>
      </c>
      <c r="Z12" s="158">
        <f t="shared" si="10"/>
        <v>0.22</v>
      </c>
      <c r="AA12" s="16" t="str">
        <f t="array" ref="AA12">INDEX(NPCGender,TRUNC(1+(COUNTA(NPCGender))*(TRUNC(MOD(($B12*1103515245 +12345)/ 65536, 32768),0)/32768),0))</f>
        <v>Male</v>
      </c>
      <c r="AB12" s="16" t="str">
        <f t="array" ref="AB12">INDEX(NPCRace,TRUNC(1+(COUNTA(NPCRace))*(TRUNC(MOD(($B12*1103515245 +12345)/ 65536, 32768),0)/32768),0))</f>
        <v>Elf</v>
      </c>
      <c r="AC12" s="16" t="str">
        <f t="array" ref="AC12">INDEX(NPCAL,TRUNC(1+(COUNTA(NPCAL))*(TRUNC(MOD(($B12*1103515245 +12345)/ 65536, 32768),0)/32768),0))</f>
        <v>CE</v>
      </c>
      <c r="AD12" s="72" t="str">
        <f ca="1">IFERROR(__xludf.DUMMYFUNCTION("if(V12&lt;15,QUERY(NPCVar!C:D,""Select D WHERE C = '""&amp;D12&amp;""'""),if((TRUNC(1+10)*(TRUNC(MOD((ROW(H12)*1103515245 +12345)/ 65536, 32768),0)/32768)/10) &gt; 0.85,INDEX(NPCFaction,TRUNC(1+(counta(NPCFaction)-1)*(TRUNC(MOD(($B12*1103515245 +12345)/ 65536, 32768),0"&amp;")/32768),0)),QUERY(NPCVar!C:D,""Select D WHERE C = '""&amp;D12&amp;""'"")))"),"Necromancer")</f>
        <v>Necromancer</v>
      </c>
      <c r="AE12" s="108" t="e">
        <f t="shared" ca="1" si="11"/>
        <v>#NAME?</v>
      </c>
      <c r="AF12" s="159">
        <f ca="1">IFERROR(__xludf.DUMMYFUNCTION("AE12*(V12 / QUERY(NPCVar!$K$2:$N$12, ""Select N WHERE K='""&amp;AB12&amp;""'""))*TRUNC(1+10)*(TRUNC(MOD(($B12*1103515245 +12345)/ 65536, 32768),0)/32768)"),0.145664062499999)</f>
        <v>0.145664062499999</v>
      </c>
      <c r="AG12" s="16"/>
      <c r="AH12" s="77"/>
      <c r="AI12" s="114"/>
    </row>
    <row r="13" spans="1:41" ht="15.75" customHeight="1">
      <c r="A13" s="53">
        <v>12</v>
      </c>
      <c r="B13" s="118">
        <f t="shared" si="0"/>
        <v>1.92367</v>
      </c>
      <c r="C13" s="72" t="str">
        <f t="array" ref="C13">INDEX(NPCFName,TRUNC(1+(COUNTA(NPCFName))*(TRUNC(MOD(($B13*1103515245 +12345)/ 65536, 32768),0)/32768),0))</f>
        <v>Xuio</v>
      </c>
      <c r="D13" s="16" t="str">
        <f t="array" ref="D13">INDEX(NPCLName,TRUNC(1+(COUNTA(NPCLName))*(TRUNC(MOD(($B13*1103515245 +12345)/ 65536, 32768),0)/32768),0))</f>
        <v>Stillspell</v>
      </c>
      <c r="E13" s="16" t="s">
        <v>156</v>
      </c>
      <c r="F13" s="76">
        <v>8</v>
      </c>
      <c r="G13" s="153">
        <f ca="1">VLOOKUP($AB$2,'RF Mod'!$A$2:$G$12,2,FALSE)+VLOOKUP($AD$2,'RF Mod'!$I$2:$O$11,2,FALSE)+(TRUNC(6+(24-6)*(TRUNC(MOD(($Z13*1103515245 +12345)/ 65536, 32768),0)/32768),0))</f>
        <v>13</v>
      </c>
      <c r="H13" s="16" t="e">
        <f t="shared" ca="1" si="1"/>
        <v>#NAME?</v>
      </c>
      <c r="I13" s="153">
        <f ca="1">VLOOKUP($AB$2,'RF Mod'!$A$2:$G$12,3,FALSE)+VLOOKUP($AD$2,'RF Mod'!$I$2:$O$11,3,FALSE)+(TRUNC(6+(24-6)*(TRUNC(MOD(($Z13*1103515245 +12345)/ 65536, 32768),0)/32768),0))</f>
        <v>17</v>
      </c>
      <c r="J13" s="16" t="e">
        <f t="shared" ca="1" si="2"/>
        <v>#NAME?</v>
      </c>
      <c r="K13" s="153">
        <f ca="1">VLOOKUP($AB$2,'RF Mod'!$A$2:$G$12,3,FALSE)+VLOOKUP($AD$2,'RF Mod'!$I$2:$O$11,3,FALSE)+(TRUNC(6+(24-6)*(TRUNC(MOD(($Z13*1103515245 +12345)/ 65536, 32768),0)/32768),0))</f>
        <v>17</v>
      </c>
      <c r="L13" s="16" t="e">
        <f t="shared" ca="1" si="3"/>
        <v>#NAME?</v>
      </c>
      <c r="M13" s="153">
        <f ca="1">VLOOKUP($AB$2,'RF Mod'!$A$2:$G$12,4,FALSE)+VLOOKUP($AD$2,'RF Mod'!$I$2:$O$11,4,FALSE)+(TRUNC(6+(24-6)*(TRUNC(MOD(($Z13*1103515245 +12345)/ 65536, 32768),0)/32768),0))</f>
        <v>16</v>
      </c>
      <c r="N13" s="16" t="e">
        <f t="shared" ca="1" si="4"/>
        <v>#NAME?</v>
      </c>
      <c r="O13" s="153">
        <f ca="1">VLOOKUP($AB$2,'RF Mod'!$A$2:$G$12,5,FALSE)+VLOOKUP($AD$2,'RF Mod'!$I$2:$O$11,5,FALSE)+(TRUNC(6+(24-6)*(TRUNC(MOD(($Z13*1103515245 +12345)/ 65536, 32768),0)/32768),0))</f>
        <v>19</v>
      </c>
      <c r="P13" s="16" t="e">
        <f t="shared" ca="1" si="5"/>
        <v>#NAME?</v>
      </c>
      <c r="Q13" s="153">
        <f ca="1">VLOOKUP($AB$2,'RF Mod'!$A$2:$G$12,6,FALSE)+VLOOKUP($AD$2,'RF Mod'!$I$2:$O$11,6,FALSE)+(TRUNC(6+(24-6)*(TRUNC(MOD(($Z13*1103515245 +12345)/ 65536, 32768),0)/32768),0))</f>
        <v>17</v>
      </c>
      <c r="R13" s="16" t="e">
        <f t="shared" ca="1" si="6"/>
        <v>#NAME?</v>
      </c>
      <c r="S13" s="154">
        <f t="shared" ca="1" si="12"/>
        <v>152</v>
      </c>
      <c r="T13" s="154">
        <f t="shared" ca="1" si="7"/>
        <v>63</v>
      </c>
      <c r="U13" s="16" t="str">
        <f t="shared" ca="1" si="8"/>
        <v>Fine</v>
      </c>
      <c r="V13" s="155">
        <f ca="1">IFERROR(__xludf.DUMMYFUNCTION("if(W13=""Middle Age"",QUERY(NPCVar!$K$2:$N1000, ""Select L where K = '""&amp;AB13&amp;""'""),if(W13=""Old"",QUERY(NPCVar!$K$2:$N1000, ""Select M where K = '""&amp;AB13&amp;""'""),if(W13=""Venerable"",QUERY(NPCVar!$K$2:$N1000, ""Select N where K = '""&amp;AB13&amp;""'""),false)))"&amp;"*X13"),72)</f>
        <v>72</v>
      </c>
      <c r="W13" s="156" t="str">
        <f t="array" ref="W13">INDEX(NPCAgeType,TRUNC(1+(4-1)*(TRUNC(MOD((X13*1103515245 +12345)/ 65536, 32768),0)/32768),0))</f>
        <v>Middle Age</v>
      </c>
      <c r="X13" s="117">
        <f t="shared" si="13"/>
        <v>2.4</v>
      </c>
      <c r="Y13" s="157" t="e">
        <f t="array" aca="1" ref="Y13" ca="1">LOOKUP(ABS(MAX(Z13 + MIN(ABS(INDIRECT("Class Jobs!B"&amp;MATCH(E13,'Class Jobs'!$A$1:$A1000,0)&amp;":"&amp;"AF"&amp;MATCH(E13,'Class Jobs'!$A$1:$A1000,0)&amp;"")-$Z13)) * SUM(IF(MIN(ABS(INDIRECT("Class Jobs!B"&amp;MATCH(E13,'Class Jobs'!$A$1:$A1000,0)&amp;":"&amp;"AF"&amp;MATCH(E13,'Class Jobs'!$A$1:$A1000,0)&amp;"")-$Z13))=ABS(INDIRECT("Class Jobs!B"&amp;MATCH(E13,'Class Jobs'!$A$1:$A1000,0)&amp;":"&amp;"AF"&amp;MATCH(E13,'Class Jobs'!$A$1:$A1000,0)&amp;"")-$Z13),SIGN(INDIRECT("Class Jobs!B"&amp;MATCH(E13,'Class Jobs'!$A$1:A1000,0)&amp;":"&amp;"AF"&amp;MATCH(E13,'Class Jobs'!$A$1:$A1000,0)&amp;"")-$Z13),0)),0)),INDIRECT("Class Jobs!B"&amp;MATCH(E13,'Class Jobs'!$A$1:$A1000,0)&amp;":"&amp;"AF"&amp;MATCH(E13,'Class Jobs'!$A$1:$A1000,1)&amp;""),'Class Jobs'!$B$1:$AF$1)</f>
        <v>#REF!</v>
      </c>
      <c r="Z13" s="158">
        <f t="shared" si="10"/>
        <v>0.98</v>
      </c>
      <c r="AA13" s="16" t="str">
        <f t="array" ref="AA13">INDEX(NPCGender,TRUNC(1+(COUNTA(NPCGender))*(TRUNC(MOD(($B13*1103515245 +12345)/ 65536, 32768),0)/32768),0))</f>
        <v>Neutral</v>
      </c>
      <c r="AB13" s="16" t="str">
        <f t="array" ref="AB13">INDEX(NPCRace,TRUNC(1+(COUNTA(NPCRace))*(TRUNC(MOD(($B13*1103515245 +12345)/ 65536, 32768),0)/32768),0))</f>
        <v>Goliath</v>
      </c>
      <c r="AC13" s="16" t="str">
        <f t="array" ref="AC13">INDEX(NPCAL,TRUNC(1+(COUNTA(NPCAL))*(TRUNC(MOD(($B13*1103515245 +12345)/ 65536, 32768),0)/32768),0))</f>
        <v>LE</v>
      </c>
      <c r="AD13" s="72" t="str">
        <f ca="1">IFERROR(__xludf.DUMMYFUNCTION("if(V13&lt;15,QUERY(NPCVar!C:D,""Select D WHERE C = '""&amp;D13&amp;""'""),if((TRUNC(1+10)*(TRUNC(MOD((ROW(H13)*1103515245 +12345)/ 65536, 32768),0)/32768)/10) &gt; 0.85,INDEX(NPCFaction,TRUNC(1+(counta(NPCFaction)-1)*(TRUNC(MOD(($B13*1103515245 +12345)/ 65536, 32768),0"&amp;")/32768),0)),QUERY(NPCVar!C:D,""Select D WHERE C = '""&amp;D13&amp;""'"")))"),"Followers of Isis")</f>
        <v>Followers of Isis</v>
      </c>
      <c r="AE13" s="108" t="e">
        <f t="shared" ca="1" si="11"/>
        <v>#NAME?</v>
      </c>
      <c r="AF13" s="159">
        <f ca="1">IFERROR(__xludf.DUMMYFUNCTION("AE13*(V13 / QUERY(NPCVar!$K$2:$N$12, ""Select N WHERE K='""&amp;AB13&amp;""'""))*TRUNC(1+10)*(TRUNC(MOD(($B13*1103515245 +12345)/ 65536, 32768),0)/32768)"),1.95721984863281)</f>
        <v>1.9572198486328101</v>
      </c>
      <c r="AG13" s="16"/>
      <c r="AH13" s="77"/>
      <c r="AI13" s="114"/>
    </row>
    <row r="14" spans="1:41" ht="15.75" customHeight="1">
      <c r="A14" s="53">
        <v>13</v>
      </c>
      <c r="B14" s="118">
        <f t="shared" si="0"/>
        <v>0.91781999999999997</v>
      </c>
      <c r="C14" s="72" t="str">
        <f t="array" ref="C14">INDEX(NPCFName,TRUNC(1+(COUNTA(NPCFName))*(TRUNC(MOD(($B14*1103515245 +12345)/ 65536, 32768),0)/32768),0))</f>
        <v>Idon</v>
      </c>
      <c r="D14" s="16" t="str">
        <f t="array" ref="D14">INDEX(NPCLName,TRUNC(1+(COUNTA(NPCLName))*(TRUNC(MOD(($B14*1103515245 +12345)/ 65536, 32768),0)/32768),0))</f>
        <v>Autumnglow</v>
      </c>
      <c r="E14" s="16" t="s">
        <v>112</v>
      </c>
      <c r="F14" s="76">
        <v>5</v>
      </c>
      <c r="G14" s="153">
        <f ca="1">VLOOKUP($AB$2,'RF Mod'!$A$2:$G$12,2,FALSE)+VLOOKUP($AD$2,'RF Mod'!$I$2:$O$11,2,FALSE)+(TRUNC(6+(24-6)*(TRUNC(MOD(($Z14*1103515245 +12345)/ 65536, 32768),0)/32768),0))</f>
        <v>8</v>
      </c>
      <c r="H14" s="16">
        <f t="shared" ca="1" si="1"/>
        <v>-1</v>
      </c>
      <c r="I14" s="153">
        <f ca="1">VLOOKUP($AB$2,'RF Mod'!$A$2:$G$12,3,FALSE)+VLOOKUP($AD$2,'RF Mod'!$I$2:$O$11,3,FALSE)+(TRUNC(6+(24-6)*(TRUNC(MOD(($Z14*1103515245 +12345)/ 65536, 32768),0)/32768),0))</f>
        <v>12</v>
      </c>
      <c r="J14" s="16" t="e">
        <f t="shared" ca="1" si="2"/>
        <v>#NAME?</v>
      </c>
      <c r="K14" s="153">
        <f ca="1">VLOOKUP($AB$2,'RF Mod'!$A$2:$G$12,3,FALSE)+VLOOKUP($AD$2,'RF Mod'!$I$2:$O$11,3,FALSE)+(TRUNC(6+(24-6)*(TRUNC(MOD(($Z14*1103515245 +12345)/ 65536, 32768),0)/32768),0))</f>
        <v>12</v>
      </c>
      <c r="L14" s="16" t="e">
        <f t="shared" ca="1" si="3"/>
        <v>#NAME?</v>
      </c>
      <c r="M14" s="153">
        <f ca="1">VLOOKUP($AB$2,'RF Mod'!$A$2:$G$12,4,FALSE)+VLOOKUP($AD$2,'RF Mod'!$I$2:$O$11,4,FALSE)+(TRUNC(6+(24-6)*(TRUNC(MOD(($Z14*1103515245 +12345)/ 65536, 32768),0)/32768),0))</f>
        <v>11</v>
      </c>
      <c r="N14" s="16" t="e">
        <f t="shared" ca="1" si="4"/>
        <v>#NAME?</v>
      </c>
      <c r="O14" s="153">
        <f ca="1">VLOOKUP($AB$2,'RF Mod'!$A$2:$G$12,5,FALSE)+VLOOKUP($AD$2,'RF Mod'!$I$2:$O$11,5,FALSE)+(TRUNC(6+(24-6)*(TRUNC(MOD(($Z14*1103515245 +12345)/ 65536, 32768),0)/32768),0))</f>
        <v>14</v>
      </c>
      <c r="P14" s="16" t="e">
        <f t="shared" ca="1" si="5"/>
        <v>#NAME?</v>
      </c>
      <c r="Q14" s="153">
        <f ca="1">VLOOKUP($AB$2,'RF Mod'!$A$2:$G$12,6,FALSE)+VLOOKUP($AD$2,'RF Mod'!$I$2:$O$11,6,FALSE)+(TRUNC(6+(24-6)*(TRUNC(MOD(($Z14*1103515245 +12345)/ 65536, 32768),0)/32768),0))</f>
        <v>12</v>
      </c>
      <c r="R14" s="16" t="e">
        <f t="shared" ca="1" si="6"/>
        <v>#NAME?</v>
      </c>
      <c r="S14" s="154">
        <f t="shared" ca="1" si="12"/>
        <v>150</v>
      </c>
      <c r="T14" s="154">
        <f t="shared" ca="1" si="7"/>
        <v>26</v>
      </c>
      <c r="U14" s="16" t="str">
        <f t="shared" ca="1" si="8"/>
        <v>Fine</v>
      </c>
      <c r="V14" s="155">
        <f ca="1">IFERROR(__xludf.DUMMYFUNCTION("if(W14=""Middle Age"",QUERY(NPCVar!$K$2:$N1000, ""Select L where K = '""&amp;AB14&amp;""'""),if(W14=""Old"",QUERY(NPCVar!$K$2:$N1000, ""Select M where K = '""&amp;AB14&amp;""'""),if(W14=""Venerable"",QUERY(NPCVar!$K$2:$N1000, ""Select N where K = '""&amp;AB14&amp;""'""),false)))"&amp;"*X14"),31.5)</f>
        <v>31.5</v>
      </c>
      <c r="W14" s="156" t="str">
        <f t="array" ref="W14">INDEX(NPCAgeType,TRUNC(1+(4-1)*(TRUNC(MOD((X14*1103515245 +12345)/ 65536, 32768),0)/32768),0))</f>
        <v>Old</v>
      </c>
      <c r="X14" s="117">
        <f t="shared" si="13"/>
        <v>1.2</v>
      </c>
      <c r="Y14" s="157" t="e">
        <f t="array" aca="1" ref="Y14" ca="1">LOOKUP(ABS(MAX(Z14 + MIN(ABS(INDIRECT("Class Jobs!B"&amp;MATCH(E14,'Class Jobs'!$A$1:$A1000,0)&amp;":"&amp;"AF"&amp;MATCH(E14,'Class Jobs'!$A$1:$A1000,0)&amp;"")-$Z14)) * SUM(IF(MIN(ABS(INDIRECT("Class Jobs!B"&amp;MATCH(E14,'Class Jobs'!$A$1:$A1000,0)&amp;":"&amp;"AF"&amp;MATCH(E14,'Class Jobs'!$A$1:$A1000,0)&amp;"")-$Z14))=ABS(INDIRECT("Class Jobs!B"&amp;MATCH(E14,'Class Jobs'!$A$1:$A1000,0)&amp;":"&amp;"AF"&amp;MATCH(E14,'Class Jobs'!$A$1:$A1000,0)&amp;"")-$Z14),SIGN(INDIRECT("Class Jobs!B"&amp;MATCH(E14,'Class Jobs'!$A$1:A1000,0)&amp;":"&amp;"AF"&amp;MATCH(E14,'Class Jobs'!$A$1:$A1000,0)&amp;"")-$Z14),0)),0)),INDIRECT("Class Jobs!B"&amp;MATCH(E14,'Class Jobs'!$A$1:$A1000,0)&amp;":"&amp;"AF"&amp;MATCH(E14,'Class Jobs'!$A$1:$A1000,1)&amp;""),'Class Jobs'!$B$1:$AF$1)</f>
        <v>#REF!</v>
      </c>
      <c r="Z14" s="158">
        <f t="shared" si="10"/>
        <v>0.47</v>
      </c>
      <c r="AA14" s="16" t="str">
        <f t="array" ref="AA14">INDEX(NPCGender,TRUNC(1+(COUNTA(NPCGender))*(TRUNC(MOD(($B14*1103515245 +12345)/ 65536, 32768),0)/32768),0))</f>
        <v>Female</v>
      </c>
      <c r="AB14" s="16" t="str">
        <f t="array" ref="AB14">INDEX(NPCRace,TRUNC(1+(COUNTA(NPCRace))*(TRUNC(MOD(($B14*1103515245 +12345)/ 65536, 32768),0)/32768),0))</f>
        <v>Half-Orc</v>
      </c>
      <c r="AC14" s="16" t="str">
        <f t="array" ref="AC14">INDEX(NPCAL,TRUNC(1+(COUNTA(NPCAL))*(TRUNC(MOD(($B14*1103515245 +12345)/ 65536, 32768),0)/32768),0))</f>
        <v>NN</v>
      </c>
      <c r="AD14" s="72" t="str">
        <f ca="1">IFERROR(__xludf.DUMMYFUNCTION("if(V14&lt;15,QUERY(NPCVar!C:D,""Select D WHERE C = '""&amp;D14&amp;""'""),if((TRUNC(1+10)*(TRUNC(MOD((ROW(H14)*1103515245 +12345)/ 65536, 32768),0)/32768)/10) &gt; 0.85,INDEX(NPCFaction,TRUNC(1+(counta(NPCFaction)-1)*(TRUNC(MOD(($B14*1103515245 +12345)/ 65536, 32768),0"&amp;")/32768),0)),QUERY(NPCVar!C:D,""Select D WHERE C = '""&amp;D14&amp;""'"")))"),"Traders Guild")</f>
        <v>Traders Guild</v>
      </c>
      <c r="AE14" s="108" t="e">
        <f t="shared" ca="1" si="11"/>
        <v>#NAME?</v>
      </c>
      <c r="AF14" s="159">
        <f ca="1">IFERROR(__xludf.DUMMYFUNCTION("AE14*(V14 / QUERY(NPCVar!$K$2:$N$12, ""Select N WHERE K='""&amp;AB14&amp;""'""))*TRUNC(1+10)*(TRUNC(MOD(($B14*1103515245 +12345)/ 65536, 32768),0)/32768)"),1.86760986328125)</f>
        <v>1.8676098632812499</v>
      </c>
      <c r="AG14" s="16"/>
      <c r="AH14" s="77"/>
      <c r="AI14" s="114"/>
    </row>
    <row r="15" spans="1:41" ht="15.75" customHeight="1">
      <c r="A15" s="53">
        <v>14</v>
      </c>
      <c r="B15" s="118">
        <f t="shared" si="0"/>
        <v>2.41195</v>
      </c>
      <c r="C15" s="72" t="str">
        <f t="array" ref="C15">INDEX(NPCFName,TRUNC(1+(COUNTA(NPCFName))*(TRUNC(MOD(($B15*1103515245 +12345)/ 65536, 32768),0)/32768),0))</f>
        <v>Radag'mal</v>
      </c>
      <c r="D15" s="16" t="str">
        <f t="array" ref="D15">INDEX(NPCLName,TRUNC(1+(COUNTA(NPCLName))*(TRUNC(MOD(($B15*1103515245 +12345)/ 65536, 32768),0)/32768),0))</f>
        <v>Tuskleaf</v>
      </c>
      <c r="E15" s="16" t="s">
        <v>156</v>
      </c>
      <c r="F15" s="76">
        <v>1</v>
      </c>
      <c r="G15" s="153">
        <f ca="1">VLOOKUP($AB$2,'RF Mod'!$A$2:$G$12,2,FALSE)+VLOOKUP($AD$2,'RF Mod'!$I$2:$O$11,2,FALSE)+(TRUNC(6+(24-6)*(TRUNC(MOD(($Z15*1103515245 +12345)/ 65536, 32768),0)/32768),0))</f>
        <v>6</v>
      </c>
      <c r="H15" s="16">
        <f t="shared" ca="1" si="1"/>
        <v>-2</v>
      </c>
      <c r="I15" s="153">
        <f ca="1">VLOOKUP($AB$2,'RF Mod'!$A$2:$G$12,3,FALSE)+VLOOKUP($AD$2,'RF Mod'!$I$2:$O$11,3,FALSE)+(TRUNC(6+(24-6)*(TRUNC(MOD(($Z15*1103515245 +12345)/ 65536, 32768),0)/32768),0))</f>
        <v>10</v>
      </c>
      <c r="J15" s="16" t="e">
        <f t="shared" ca="1" si="2"/>
        <v>#NAME?</v>
      </c>
      <c r="K15" s="153">
        <f ca="1">VLOOKUP($AB$2,'RF Mod'!$A$2:$G$12,3,FALSE)+VLOOKUP($AD$2,'RF Mod'!$I$2:$O$11,3,FALSE)+(TRUNC(6+(24-6)*(TRUNC(MOD(($Z15*1103515245 +12345)/ 65536, 32768),0)/32768),0))</f>
        <v>10</v>
      </c>
      <c r="L15" s="16" t="e">
        <f t="shared" ca="1" si="3"/>
        <v>#NAME?</v>
      </c>
      <c r="M15" s="153">
        <f ca="1">VLOOKUP($AB$2,'RF Mod'!$A$2:$G$12,4,FALSE)+VLOOKUP($AD$2,'RF Mod'!$I$2:$O$11,4,FALSE)+(TRUNC(6+(24-6)*(TRUNC(MOD(($Z15*1103515245 +12345)/ 65536, 32768),0)/32768),0))</f>
        <v>9</v>
      </c>
      <c r="N15" s="16">
        <f t="shared" ca="1" si="4"/>
        <v>-1</v>
      </c>
      <c r="O15" s="153">
        <f ca="1">VLOOKUP($AB$2,'RF Mod'!$A$2:$G$12,5,FALSE)+VLOOKUP($AD$2,'RF Mod'!$I$2:$O$11,5,FALSE)+(TRUNC(6+(24-6)*(TRUNC(MOD(($Z15*1103515245 +12345)/ 65536, 32768),0)/32768),0))</f>
        <v>12</v>
      </c>
      <c r="P15" s="16" t="e">
        <f t="shared" ca="1" si="5"/>
        <v>#NAME?</v>
      </c>
      <c r="Q15" s="153">
        <f ca="1">VLOOKUP($AB$2,'RF Mod'!$A$2:$G$12,6,FALSE)+VLOOKUP($AD$2,'RF Mod'!$I$2:$O$11,6,FALSE)+(TRUNC(6+(24-6)*(TRUNC(MOD(($Z15*1103515245 +12345)/ 65536, 32768),0)/32768),0))</f>
        <v>10</v>
      </c>
      <c r="R15" s="16" t="e">
        <f t="shared" ca="1" si="6"/>
        <v>#NAME?</v>
      </c>
      <c r="S15" s="154">
        <f t="shared" ca="1" si="12"/>
        <v>12</v>
      </c>
      <c r="T15" s="154">
        <f t="shared" ca="1" si="7"/>
        <v>14</v>
      </c>
      <c r="U15" s="16" t="str">
        <f t="shared" ca="1" si="8"/>
        <v>Dead</v>
      </c>
      <c r="V15" s="155">
        <f ca="1">IFERROR(__xludf.DUMMYFUNCTION("if(W15=""Middle Age"",QUERY(NPCVar!$K$2:$N1000, ""Select L where K = '""&amp;AB15&amp;""'""),if(W15=""Old"",QUERY(NPCVar!$K$2:$N1000, ""Select M where K = '""&amp;AB15&amp;""'""),if(W15=""Venerable"",QUERY(NPCVar!$K$2:$N1000, ""Select N where K = '""&amp;AB15&amp;""'""),false)))"&amp;"*X15"),112.5)</f>
        <v>112.5</v>
      </c>
      <c r="W15" s="156" t="str">
        <f t="array" ref="W15">INDEX(NPCAgeType,TRUNC(1+(4-1)*(TRUNC(MOD((X15*1103515245 +12345)/ 65536, 32768),0)/32768),0))</f>
        <v>Middle Age</v>
      </c>
      <c r="X15" s="117">
        <f t="shared" si="13"/>
        <v>0.6</v>
      </c>
      <c r="Y15" s="157" t="e">
        <f t="array" aca="1" ref="Y15" ca="1">LOOKUP(ABS(MAX(Z15 + MIN(ABS(INDIRECT("Class Jobs!B"&amp;MATCH(E15,'Class Jobs'!$A$1:$A1000,0)&amp;":"&amp;"AF"&amp;MATCH(E15,'Class Jobs'!$A$1:$A1000,0)&amp;"")-$Z15)) * SUM(IF(MIN(ABS(INDIRECT("Class Jobs!B"&amp;MATCH(E15,'Class Jobs'!$A$1:$A1000,0)&amp;":"&amp;"AF"&amp;MATCH(E15,'Class Jobs'!$A$1:$A1000,0)&amp;"")-$Z15))=ABS(INDIRECT("Class Jobs!B"&amp;MATCH(E15,'Class Jobs'!$A$1:$A1000,0)&amp;":"&amp;"AF"&amp;MATCH(E15,'Class Jobs'!$A$1:$A1000,0)&amp;"")-$Z15),SIGN(INDIRECT("Class Jobs!B"&amp;MATCH(E15,'Class Jobs'!$A$1:A1000,0)&amp;":"&amp;"AF"&amp;MATCH(E15,'Class Jobs'!$A$1:$A1000,0)&amp;"")-$Z15),0)),0)),INDIRECT("Class Jobs!B"&amp;MATCH(E15,'Class Jobs'!$A$1:$A1000,0)&amp;":"&amp;"AF"&amp;MATCH(E15,'Class Jobs'!$A$1:$A1000,1)&amp;""),'Class Jobs'!$B$1:$AF$1)</f>
        <v>#REF!</v>
      </c>
      <c r="Z15" s="158">
        <f t="shared" si="10"/>
        <v>0.24</v>
      </c>
      <c r="AA15" s="16" t="str">
        <f t="array" ref="AA15">INDEX(NPCGender,TRUNC(1+(COUNTA(NPCGender))*(TRUNC(MOD(($B15*1103515245 +12345)/ 65536, 32768),0)/32768),0))</f>
        <v>Male</v>
      </c>
      <c r="AB15" s="16" t="str">
        <f t="array" ref="AB15">INDEX(NPCRace,TRUNC(1+(COUNTA(NPCRace))*(TRUNC(MOD(($B15*1103515245 +12345)/ 65536, 32768),0)/32768),0))</f>
        <v>Elf</v>
      </c>
      <c r="AC15" s="16" t="str">
        <f t="array" ref="AC15">INDEX(NPCAL,TRUNC(1+(COUNTA(NPCAL))*(TRUNC(MOD(($B15*1103515245 +12345)/ 65536, 32768),0)/32768),0))</f>
        <v>CG</v>
      </c>
      <c r="AD15" s="72" t="str">
        <f ca="1">IFERROR(__xludf.DUMMYFUNCTION("if(V15&lt;15,QUERY(NPCVar!C:D,""Select D WHERE C = '""&amp;D15&amp;""'""),if((TRUNC(1+10)*(TRUNC(MOD((ROW(H15)*1103515245 +12345)/ 65536, 32768),0)/32768)/10) &gt; 0.85,INDEX(NPCFaction,TRUNC(1+(counta(NPCFaction)-1)*(TRUNC(MOD(($B15*1103515245 +12345)/ 65536, 32768),0"&amp;")/32768),0)),QUERY(NPCVar!C:D,""Select D WHERE C = '""&amp;D15&amp;""'"")))"),"Magic Guild")</f>
        <v>Magic Guild</v>
      </c>
      <c r="AE15" s="108" t="e">
        <f t="shared" ca="1" si="11"/>
        <v>#NAME?</v>
      </c>
      <c r="AF15" s="159">
        <f ca="1">IFERROR(__xludf.DUMMYFUNCTION("AE15*(V15 / QUERY(NPCVar!$K$2:$N$12, ""Select N WHERE K='""&amp;AB15&amp;""'""))*TRUNC(1+10)*(TRUNC(MOD(($B15*1103515245 +12345)/ 65536, 32768),0)/32768)"),0)</f>
        <v>0</v>
      </c>
      <c r="AG15" s="16"/>
      <c r="AH15" s="77"/>
      <c r="AI15" s="114"/>
    </row>
    <row r="16" spans="1:41" ht="15.75" customHeight="1">
      <c r="A16" s="53">
        <v>15</v>
      </c>
      <c r="B16" s="118">
        <f t="shared" si="0"/>
        <v>1.4060999999999999</v>
      </c>
      <c r="C16" s="72" t="str">
        <f t="array" ref="C16">INDEX(NPCFName,TRUNC(1+(COUNTA(NPCFName))*(TRUNC(MOD(($B16*1103515245 +12345)/ 65536, 32768),0)/32768),0))</f>
        <v>Cos</v>
      </c>
      <c r="D16" s="16" t="str">
        <f t="array" ref="D16">INDEX(NPCLName,TRUNC(1+(COUNTA(NPCLName))*(TRUNC(MOD(($B16*1103515245 +12345)/ 65536, 32768),0)/32768),0))</f>
        <v>Rockspell</v>
      </c>
      <c r="E16" s="16" t="s">
        <v>112</v>
      </c>
      <c r="F16" s="76">
        <v>8</v>
      </c>
      <c r="G16" s="153">
        <f ca="1">VLOOKUP($AB$2,'RF Mod'!$A$2:$G$12,2,FALSE)+VLOOKUP($AD$2,'RF Mod'!$I$2:$O$11,2,FALSE)+(TRUNC(6+(24-6)*(TRUNC(MOD(($Z16*1103515245 +12345)/ 65536, 32768),0)/32768),0))</f>
        <v>10</v>
      </c>
      <c r="H16" s="16" t="e">
        <f t="shared" ca="1" si="1"/>
        <v>#NAME?</v>
      </c>
      <c r="I16" s="153">
        <f ca="1">VLOOKUP($AB$2,'RF Mod'!$A$2:$G$12,3,FALSE)+VLOOKUP($AD$2,'RF Mod'!$I$2:$O$11,3,FALSE)+(TRUNC(6+(24-6)*(TRUNC(MOD(($Z16*1103515245 +12345)/ 65536, 32768),0)/32768),0))</f>
        <v>14</v>
      </c>
      <c r="J16" s="16" t="e">
        <f t="shared" ca="1" si="2"/>
        <v>#NAME?</v>
      </c>
      <c r="K16" s="153">
        <f ca="1">VLOOKUP($AB$2,'RF Mod'!$A$2:$G$12,3,FALSE)+VLOOKUP($AD$2,'RF Mod'!$I$2:$O$11,3,FALSE)+(TRUNC(6+(24-6)*(TRUNC(MOD(($Z16*1103515245 +12345)/ 65536, 32768),0)/32768),0))</f>
        <v>14</v>
      </c>
      <c r="L16" s="16" t="e">
        <f t="shared" ca="1" si="3"/>
        <v>#NAME?</v>
      </c>
      <c r="M16" s="153">
        <f ca="1">VLOOKUP($AB$2,'RF Mod'!$A$2:$G$12,4,FALSE)+VLOOKUP($AD$2,'RF Mod'!$I$2:$O$11,4,FALSE)+(TRUNC(6+(24-6)*(TRUNC(MOD(($Z16*1103515245 +12345)/ 65536, 32768),0)/32768),0))</f>
        <v>13</v>
      </c>
      <c r="N16" s="16" t="e">
        <f t="shared" ca="1" si="4"/>
        <v>#NAME?</v>
      </c>
      <c r="O16" s="153">
        <f ca="1">VLOOKUP($AB$2,'RF Mod'!$A$2:$G$12,5,FALSE)+VLOOKUP($AD$2,'RF Mod'!$I$2:$O$11,5,FALSE)+(TRUNC(6+(24-6)*(TRUNC(MOD(($Z16*1103515245 +12345)/ 65536, 32768),0)/32768),0))</f>
        <v>16</v>
      </c>
      <c r="P16" s="16" t="e">
        <f t="shared" ca="1" si="5"/>
        <v>#NAME?</v>
      </c>
      <c r="Q16" s="153">
        <f ca="1">VLOOKUP($AB$2,'RF Mod'!$A$2:$G$12,6,FALSE)+VLOOKUP($AD$2,'RF Mod'!$I$2:$O$11,6,FALSE)+(TRUNC(6+(24-6)*(TRUNC(MOD(($Z16*1103515245 +12345)/ 65536, 32768),0)/32768),0))</f>
        <v>14</v>
      </c>
      <c r="R16" s="16" t="e">
        <f t="shared" ca="1" si="6"/>
        <v>#NAME?</v>
      </c>
      <c r="S16" s="154">
        <f t="shared" ca="1" si="12"/>
        <v>240</v>
      </c>
      <c r="T16" s="154">
        <f t="shared" ca="1" si="7"/>
        <v>269</v>
      </c>
      <c r="U16" s="16" t="str">
        <f t="shared" ca="1" si="8"/>
        <v>Dead</v>
      </c>
      <c r="V16" s="155">
        <f ca="1">IFERROR(__xludf.DUMMYFUNCTION("if(W16=""Middle Age"",QUERY(NPCVar!$K$2:$N1000, ""Select L where K = '""&amp;AB16&amp;""'""),if(W16=""Old"",QUERY(NPCVar!$K$2:$N1000, ""Select M where K = '""&amp;AB16&amp;""'""),if(W16=""Venerable"",QUERY(NPCVar!$K$2:$N1000, ""Select N where K = '""&amp;AB16&amp;""'""),false)))"&amp;"*X16"),162)</f>
        <v>162</v>
      </c>
      <c r="W16" s="156" t="str">
        <f t="array" ref="W16">INDEX(NPCAgeType,TRUNC(1+(4-1)*(TRUNC(MOD((X16*1103515245 +12345)/ 65536, 32768),0)/32768),0))</f>
        <v>Venerable</v>
      </c>
      <c r="X16" s="117">
        <f t="shared" si="13"/>
        <v>1.8</v>
      </c>
      <c r="Y16" s="157" t="e">
        <f t="array" aca="1" ref="Y16" ca="1">LOOKUP(ABS(MAX(Z16 + MIN(ABS(INDIRECT("Class Jobs!B"&amp;MATCH(E16,'Class Jobs'!$A$1:$A1000,0)&amp;":"&amp;"AF"&amp;MATCH(E16,'Class Jobs'!$A$1:$A1000,0)&amp;"")-$Z16)) * SUM(IF(MIN(ABS(INDIRECT("Class Jobs!B"&amp;MATCH(E16,'Class Jobs'!$A$1:$A1000,0)&amp;":"&amp;"AF"&amp;MATCH(E16,'Class Jobs'!$A$1:$A1000,0)&amp;"")-$Z16))=ABS(INDIRECT("Class Jobs!B"&amp;MATCH(E16,'Class Jobs'!$A$1:$A1000,0)&amp;":"&amp;"AF"&amp;MATCH(E16,'Class Jobs'!$A$1:$A1000,0)&amp;"")-$Z16),SIGN(INDIRECT("Class Jobs!B"&amp;MATCH(E16,'Class Jobs'!$A$1:A1000,0)&amp;":"&amp;"AF"&amp;MATCH(E16,'Class Jobs'!$A$1:$A1000,0)&amp;"")-$Z16),0)),0)),INDIRECT("Class Jobs!B"&amp;MATCH(E16,'Class Jobs'!$A$1:$A1000,0)&amp;":"&amp;"AF"&amp;MATCH(E16,'Class Jobs'!$A$1:$A1000,1)&amp;""),'Class Jobs'!$B$1:$AF$1)</f>
        <v>#REF!</v>
      </c>
      <c r="Z16" s="158">
        <f t="shared" si="10"/>
        <v>0.72</v>
      </c>
      <c r="AA16" s="16" t="str">
        <f t="array" ref="AA16">INDEX(NPCGender,TRUNC(1+(COUNTA(NPCGender))*(TRUNC(MOD(($B16*1103515245 +12345)/ 65536, 32768),0)/32768),0))</f>
        <v>Neutral</v>
      </c>
      <c r="AB16" s="16" t="str">
        <f t="array" ref="AB16">INDEX(NPCRace,TRUNC(1+(COUNTA(NPCRace))*(TRUNC(MOD(($B16*1103515245 +12345)/ 65536, 32768),0)/32768),0))</f>
        <v>Human</v>
      </c>
      <c r="AC16" s="16" t="str">
        <f t="array" ref="AC16">INDEX(NPCAL,TRUNC(1+(COUNTA(NPCAL))*(TRUNC(MOD(($B16*1103515245 +12345)/ 65536, 32768),0)/32768),0))</f>
        <v>LG</v>
      </c>
      <c r="AD16" s="72" t="str">
        <f ca="1">IFERROR(__xludf.DUMMYFUNCTION("if(V16&lt;15,QUERY(NPCVar!C:D,""Select D WHERE C = '""&amp;D16&amp;""'""),if((TRUNC(1+10)*(TRUNC(MOD((ROW(H16)*1103515245 +12345)/ 65536, 32768),0)/32768)/10) &gt; 0.85,INDEX(NPCFaction,TRUNC(1+(counta(NPCFaction)-1)*(TRUNC(MOD(($B16*1103515245 +12345)/ 65536, 32768),0"&amp;")/32768),0)),QUERY(NPCVar!C:D,""Select D WHERE C = '""&amp;D16&amp;""'"")))"),"Traverlers Guild")</f>
        <v>Traverlers Guild</v>
      </c>
      <c r="AE16" s="108" t="e">
        <f t="shared" ca="1" si="11"/>
        <v>#NAME?</v>
      </c>
      <c r="AF16" s="159">
        <f ca="1">IFERROR(__xludf.DUMMYFUNCTION("AE16*(V16 / QUERY(NPCVar!$K$2:$N$12, ""Select N WHERE K='""&amp;AB16&amp;""'""))*TRUNC(1+10)*(TRUNC(MOD(($B16*1103515245 +12345)/ 65536, 32768),0)/32768)"),11.44494140625)</f>
        <v>11.444941406250001</v>
      </c>
      <c r="AG16" s="16"/>
      <c r="AH16" s="77"/>
      <c r="AI16" s="114"/>
    </row>
    <row r="17" spans="1:35" ht="15.75" customHeight="1">
      <c r="A17" s="53">
        <v>16</v>
      </c>
      <c r="B17" s="118">
        <f t="shared" si="0"/>
        <v>0.40023999999999998</v>
      </c>
      <c r="C17" s="72" t="str">
        <f t="array" ref="C17">INDEX(NPCFName,TRUNC(1+(COUNTA(NPCFName))*(TRUNC(MOD(($B17*1103515245 +12345)/ 65536, 32768),0)/32768),0))</f>
        <v>Nikpal</v>
      </c>
      <c r="D17" s="16" t="str">
        <f t="array" ref="D17">INDEX(NPCLName,TRUNC(1+(COUNTA(NPCLName))*(TRUNC(MOD(($B17*1103515245 +12345)/ 65536, 32768),0)/32768),0))</f>
        <v>Stillsun</v>
      </c>
      <c r="E17" s="16" t="s">
        <v>156</v>
      </c>
      <c r="F17" s="76">
        <v>1</v>
      </c>
      <c r="G17" s="153">
        <f ca="1">VLOOKUP($AB$2,'RF Mod'!$A$2:$G$12,2,FALSE)+VLOOKUP($AD$2,'RF Mod'!$I$2:$O$11,2,FALSE)+(TRUNC(6+(24-6)*(TRUNC(MOD(($Z17*1103515245 +12345)/ 65536, 32768),0)/32768),0))</f>
        <v>5</v>
      </c>
      <c r="H17" s="16">
        <f t="shared" ca="1" si="1"/>
        <v>-3</v>
      </c>
      <c r="I17" s="153">
        <f ca="1">VLOOKUP($AB$2,'RF Mod'!$A$2:$G$12,3,FALSE)+VLOOKUP($AD$2,'RF Mod'!$I$2:$O$11,3,FALSE)+(TRUNC(6+(24-6)*(TRUNC(MOD(($Z17*1103515245 +12345)/ 65536, 32768),0)/32768),0))</f>
        <v>9</v>
      </c>
      <c r="J17" s="16">
        <f t="shared" ca="1" si="2"/>
        <v>-1</v>
      </c>
      <c r="K17" s="153">
        <f ca="1">VLOOKUP($AB$2,'RF Mod'!$A$2:$G$12,3,FALSE)+VLOOKUP($AD$2,'RF Mod'!$I$2:$O$11,3,FALSE)+(TRUNC(6+(24-6)*(TRUNC(MOD(($Z17*1103515245 +12345)/ 65536, 32768),0)/32768),0))</f>
        <v>9</v>
      </c>
      <c r="L17" s="16">
        <f t="shared" ca="1" si="3"/>
        <v>-1</v>
      </c>
      <c r="M17" s="153">
        <f ca="1">VLOOKUP($AB$2,'RF Mod'!$A$2:$G$12,4,FALSE)+VLOOKUP($AD$2,'RF Mod'!$I$2:$O$11,4,FALSE)+(TRUNC(6+(24-6)*(TRUNC(MOD(($Z17*1103515245 +12345)/ 65536, 32768),0)/32768),0))</f>
        <v>8</v>
      </c>
      <c r="N17" s="16">
        <f t="shared" ca="1" si="4"/>
        <v>-1</v>
      </c>
      <c r="O17" s="153">
        <f ca="1">VLOOKUP($AB$2,'RF Mod'!$A$2:$G$12,5,FALSE)+VLOOKUP($AD$2,'RF Mod'!$I$2:$O$11,5,FALSE)+(TRUNC(6+(24-6)*(TRUNC(MOD(($Z17*1103515245 +12345)/ 65536, 32768),0)/32768),0))</f>
        <v>11</v>
      </c>
      <c r="P17" s="16" t="e">
        <f t="shared" ca="1" si="5"/>
        <v>#NAME?</v>
      </c>
      <c r="Q17" s="153">
        <f ca="1">VLOOKUP($AB$2,'RF Mod'!$A$2:$G$12,6,FALSE)+VLOOKUP($AD$2,'RF Mod'!$I$2:$O$11,6,FALSE)+(TRUNC(6+(24-6)*(TRUNC(MOD(($Z17*1103515245 +12345)/ 65536, 32768),0)/32768),0))</f>
        <v>9</v>
      </c>
      <c r="R17" s="16">
        <f t="shared" ca="1" si="6"/>
        <v>-1</v>
      </c>
      <c r="S17" s="154">
        <f t="shared" ca="1" si="12"/>
        <v>27</v>
      </c>
      <c r="T17" s="154">
        <f t="shared" ca="1" si="7"/>
        <v>7</v>
      </c>
      <c r="U17" s="16" t="str">
        <f t="shared" ca="1" si="8"/>
        <v>Fine</v>
      </c>
      <c r="V17" s="155">
        <f ca="1">IFERROR(__xludf.DUMMYFUNCTION("if(W17=""Middle Age"",QUERY(NPCVar!$K$2:$N1000, ""Select L where K = '""&amp;AB17&amp;""'""),if(W17=""Old"",QUERY(NPCVar!$K$2:$N1000, ""Select M where K = '""&amp;AB17&amp;""'""),if(W17=""Venerable"",QUERY(NPCVar!$K$2:$N1000, ""Select N where K = '""&amp;AB17&amp;""'""),false)))"&amp;"*X17"),93.75)</f>
        <v>93.75</v>
      </c>
      <c r="W17" s="156" t="str">
        <f t="array" ref="W17">INDEX(NPCAgeType,TRUNC(1+(4-1)*(TRUNC(MOD((X17*1103515245 +12345)/ 65536, 32768),0)/32768),0))</f>
        <v>Middle Age</v>
      </c>
      <c r="X17" s="117">
        <f t="shared" si="13"/>
        <v>0.5</v>
      </c>
      <c r="Y17" s="157" t="e">
        <f t="array" aca="1" ref="Y17" ca="1">LOOKUP(ABS(MAX(Z17 + MIN(ABS(INDIRECT("Class Jobs!B"&amp;MATCH(E17,'Class Jobs'!$A$1:$A1000,0)&amp;":"&amp;"AF"&amp;MATCH(E17,'Class Jobs'!$A$1:$A1000,0)&amp;"")-$Z17)) * SUM(IF(MIN(ABS(INDIRECT("Class Jobs!B"&amp;MATCH(E17,'Class Jobs'!$A$1:$A1000,0)&amp;":"&amp;"AF"&amp;MATCH(E17,'Class Jobs'!$A$1:$A1000,0)&amp;"")-$Z17))=ABS(INDIRECT("Class Jobs!B"&amp;MATCH(E17,'Class Jobs'!$A$1:$A1000,0)&amp;":"&amp;"AF"&amp;MATCH(E17,'Class Jobs'!$A$1:$A1000,0)&amp;"")-$Z17),SIGN(INDIRECT("Class Jobs!B"&amp;MATCH(E17,'Class Jobs'!$A$1:A1000,0)&amp;":"&amp;"AF"&amp;MATCH(E17,'Class Jobs'!$A$1:$A1000,0)&amp;"")-$Z17),0)),0)),INDIRECT("Class Jobs!B"&amp;MATCH(E17,'Class Jobs'!$A$1:$A1000,0)&amp;":"&amp;"AF"&amp;MATCH(E17,'Class Jobs'!$A$1:$A1000,1)&amp;""),'Class Jobs'!$B$1:$AF$1)</f>
        <v>#REF!</v>
      </c>
      <c r="Z17" s="158">
        <f t="shared" si="10"/>
        <v>0.21</v>
      </c>
      <c r="AA17" s="16" t="str">
        <f t="array" ref="AA17">INDEX(NPCGender,TRUNC(1+(COUNTA(NPCGender))*(TRUNC(MOD(($B17*1103515245 +12345)/ 65536, 32768),0)/32768),0))</f>
        <v>Male</v>
      </c>
      <c r="AB17" s="16" t="str">
        <f t="array" ref="AB17">INDEX(NPCRace,TRUNC(1+(COUNTA(NPCRace))*(TRUNC(MOD(($B17*1103515245 +12345)/ 65536, 32768),0)/32768),0))</f>
        <v>Elf</v>
      </c>
      <c r="AC17" s="16" t="str">
        <f t="array" ref="AC17">INDEX(NPCAL,TRUNC(1+(COUNTA(NPCAL))*(TRUNC(MOD(($B17*1103515245 +12345)/ 65536, 32768),0)/32768),0))</f>
        <v>CE</v>
      </c>
      <c r="AD17" s="72" t="str">
        <f ca="1">IFERROR(__xludf.DUMMYFUNCTION("if(V17&lt;15,QUERY(NPCVar!C:D,""Select D WHERE C = '""&amp;D17&amp;""'""),if((TRUNC(1+10)*(TRUNC(MOD((ROW(H17)*1103515245 +12345)/ 65536, 32768),0)/32768)/10) &gt; 0.85,INDEX(NPCFaction,TRUNC(1+(counta(NPCFaction)-1)*(TRUNC(MOD(($B17*1103515245 +12345)/ 65536, 32768),0"&amp;")/32768),0)),QUERY(NPCVar!C:D,""Select D WHERE C = '""&amp;D17&amp;""'"")))"),"Necromancer")</f>
        <v>Necromancer</v>
      </c>
      <c r="AE17" s="108" t="e">
        <f t="shared" ca="1" si="11"/>
        <v>#NAME?</v>
      </c>
      <c r="AF17" s="159">
        <f ca="1">IFERROR(__xludf.DUMMYFUNCTION("AE17*(V17 / QUERY(NPCVar!$K$2:$N$12, ""Select N WHERE K='""&amp;AB17&amp;""'""))*TRUNC(1+10)*(TRUNC(MOD(($B17*1103515245 +12345)/ 65536, 32768),0)/32768)"),-0.0282779693603515)</f>
        <v>-2.8277969360351499E-2</v>
      </c>
      <c r="AG17" s="16"/>
      <c r="AH17" s="77"/>
      <c r="AI17" s="114"/>
    </row>
    <row r="18" spans="1:35" ht="15.75" customHeight="1">
      <c r="A18" s="53">
        <v>17</v>
      </c>
      <c r="B18" s="118">
        <f t="shared" si="0"/>
        <v>1.89438</v>
      </c>
      <c r="C18" s="72" t="str">
        <f t="array" ref="C18">INDEX(NPCFName,TRUNC(1+(COUNTA(NPCFName))*(TRUNC(MOD(($B18*1103515245 +12345)/ 65536, 32768),0)/32768),0))</f>
        <v>Volux</v>
      </c>
      <c r="D18" s="16" t="str">
        <f t="array" ref="D18">INDEX(NPCLName,TRUNC(1+(COUNTA(NPCLName))*(TRUNC(MOD(($B18*1103515245 +12345)/ 65536, 32768),0)/32768),0))</f>
        <v>Stillspell</v>
      </c>
      <c r="E18" s="16" t="s">
        <v>112</v>
      </c>
      <c r="F18" s="76">
        <v>8</v>
      </c>
      <c r="G18" s="153">
        <f ca="1">VLOOKUP($AB$2,'RF Mod'!$A$2:$G$12,2,FALSE)+VLOOKUP($AD$2,'RF Mod'!$I$2:$O$11,2,FALSE)+(TRUNC(6+(24-6)*(TRUNC(MOD(($Z18*1103515245 +12345)/ 65536, 32768),0)/32768),0))</f>
        <v>12</v>
      </c>
      <c r="H18" s="16" t="e">
        <f t="shared" ca="1" si="1"/>
        <v>#NAME?</v>
      </c>
      <c r="I18" s="153">
        <f ca="1">VLOOKUP($AB$2,'RF Mod'!$A$2:$G$12,3,FALSE)+VLOOKUP($AD$2,'RF Mod'!$I$2:$O$11,3,FALSE)+(TRUNC(6+(24-6)*(TRUNC(MOD(($Z18*1103515245 +12345)/ 65536, 32768),0)/32768),0))</f>
        <v>16</v>
      </c>
      <c r="J18" s="16" t="e">
        <f t="shared" ca="1" si="2"/>
        <v>#NAME?</v>
      </c>
      <c r="K18" s="153">
        <f ca="1">VLOOKUP($AB$2,'RF Mod'!$A$2:$G$12,3,FALSE)+VLOOKUP($AD$2,'RF Mod'!$I$2:$O$11,3,FALSE)+(TRUNC(6+(24-6)*(TRUNC(MOD(($Z18*1103515245 +12345)/ 65536, 32768),0)/32768),0))</f>
        <v>16</v>
      </c>
      <c r="L18" s="16" t="e">
        <f t="shared" ca="1" si="3"/>
        <v>#NAME?</v>
      </c>
      <c r="M18" s="153">
        <f ca="1">VLOOKUP($AB$2,'RF Mod'!$A$2:$G$12,4,FALSE)+VLOOKUP($AD$2,'RF Mod'!$I$2:$O$11,4,FALSE)+(TRUNC(6+(24-6)*(TRUNC(MOD(($Z18*1103515245 +12345)/ 65536, 32768),0)/32768),0))</f>
        <v>15</v>
      </c>
      <c r="N18" s="16" t="e">
        <f t="shared" ca="1" si="4"/>
        <v>#NAME?</v>
      </c>
      <c r="O18" s="153">
        <f ca="1">VLOOKUP($AB$2,'RF Mod'!$A$2:$G$12,5,FALSE)+VLOOKUP($AD$2,'RF Mod'!$I$2:$O$11,5,FALSE)+(TRUNC(6+(24-6)*(TRUNC(MOD(($Z18*1103515245 +12345)/ 65536, 32768),0)/32768),0))</f>
        <v>18</v>
      </c>
      <c r="P18" s="16" t="e">
        <f t="shared" ca="1" si="5"/>
        <v>#NAME?</v>
      </c>
      <c r="Q18" s="153">
        <f ca="1">VLOOKUP($AB$2,'RF Mod'!$A$2:$G$12,6,FALSE)+VLOOKUP($AD$2,'RF Mod'!$I$2:$O$11,6,FALSE)+(TRUNC(6+(24-6)*(TRUNC(MOD(($Z18*1103515245 +12345)/ 65536, 32768),0)/32768),0))</f>
        <v>16</v>
      </c>
      <c r="R18" s="16" t="e">
        <f t="shared" ca="1" si="6"/>
        <v>#NAME?</v>
      </c>
      <c r="S18" s="154">
        <f t="shared" ca="1" si="12"/>
        <v>224</v>
      </c>
      <c r="T18" s="154">
        <f t="shared" ca="1" si="7"/>
        <v>132</v>
      </c>
      <c r="U18" s="16" t="str">
        <f t="shared" ca="1" si="8"/>
        <v>Bloody</v>
      </c>
      <c r="V18" s="155">
        <f ca="1">IFERROR(__xludf.DUMMYFUNCTION("if(W18=""Middle Age"",QUERY(NPCVar!$K$2:$N1000, ""Select L where K = '""&amp;AB18&amp;""'""),if(W18=""Old"",QUERY(NPCVar!$K$2:$N1000, ""Select M where K = '""&amp;AB18&amp;""'""),if(W18=""Venerable"",QUERY(NPCVar!$K$2:$N1000, ""Select N where K = '""&amp;AB18&amp;""'""),false)))"&amp;"*X18"),72)</f>
        <v>72</v>
      </c>
      <c r="W18" s="156" t="str">
        <f t="array" ref="W18">INDEX(NPCAgeType,TRUNC(1+(4-1)*(TRUNC(MOD((X18*1103515245 +12345)/ 65536, 32768),0)/32768),0))</f>
        <v>Middle Age</v>
      </c>
      <c r="X18" s="117">
        <f t="shared" si="13"/>
        <v>2.4</v>
      </c>
      <c r="Y18" s="157" t="e">
        <f t="array" aca="1" ref="Y18" ca="1">LOOKUP(ABS(MAX(Z18 + MIN(ABS(INDIRECT("Class Jobs!B"&amp;MATCH(E18,'Class Jobs'!$A$1:$A1000,0)&amp;":"&amp;"AF"&amp;MATCH(E18,'Class Jobs'!$A$1:$A1000,0)&amp;"")-$Z18)) * SUM(IF(MIN(ABS(INDIRECT("Class Jobs!B"&amp;MATCH(E18,'Class Jobs'!$A$1:$A1000,0)&amp;":"&amp;"AF"&amp;MATCH(E18,'Class Jobs'!$A$1:$A1000,0)&amp;"")-$Z18))=ABS(INDIRECT("Class Jobs!B"&amp;MATCH(E18,'Class Jobs'!$A$1:$A1000,0)&amp;":"&amp;"AF"&amp;MATCH(E18,'Class Jobs'!$A$1:$A1000,0)&amp;"")-$Z18),SIGN(INDIRECT("Class Jobs!B"&amp;MATCH(E18,'Class Jobs'!$A$1:A1000,0)&amp;":"&amp;"AF"&amp;MATCH(E18,'Class Jobs'!$A$1:$A1000,0)&amp;"")-$Z18),0)),0)),INDIRECT("Class Jobs!B"&amp;MATCH(E18,'Class Jobs'!$A$1:$A1000,0)&amp;":"&amp;"AF"&amp;MATCH(E18,'Class Jobs'!$A$1:$A1000,1)&amp;""),'Class Jobs'!$B$1:$AF$1)</f>
        <v>#REF!</v>
      </c>
      <c r="Z18" s="158">
        <f t="shared" si="10"/>
        <v>0.97</v>
      </c>
      <c r="AA18" s="16" t="str">
        <f t="array" ref="AA18">INDEX(NPCGender,TRUNC(1+(COUNTA(NPCGender))*(TRUNC(MOD(($B18*1103515245 +12345)/ 65536, 32768),0)/32768),0))</f>
        <v>Neutral</v>
      </c>
      <c r="AB18" s="16" t="str">
        <f t="array" ref="AB18">INDEX(NPCRace,TRUNC(1+(COUNTA(NPCRace))*(TRUNC(MOD(($B18*1103515245 +12345)/ 65536, 32768),0)/32768),0))</f>
        <v>Goliath</v>
      </c>
      <c r="AC18" s="16" t="str">
        <f t="array" ref="AC18">INDEX(NPCAL,TRUNC(1+(COUNTA(NPCAL))*(TRUNC(MOD(($B18*1103515245 +12345)/ 65536, 32768),0)/32768),0))</f>
        <v>LE</v>
      </c>
      <c r="AD18" s="72" t="str">
        <f ca="1">IFERROR(__xludf.DUMMYFUNCTION("if(V18&lt;15,QUERY(NPCVar!C:D,""Select D WHERE C = '""&amp;D18&amp;""'""),if((TRUNC(1+10)*(TRUNC(MOD((ROW(H18)*1103515245 +12345)/ 65536, 32768),0)/32768)/10) &gt; 0.85,INDEX(NPCFaction,TRUNC(1+(counta(NPCFaction)-1)*(TRUNC(MOD(($B18*1103515245 +12345)/ 65536, 32768),0"&amp;")/32768),0)),QUERY(NPCVar!C:D,""Select D WHERE C = '""&amp;D18&amp;""'"")))"),"Followers of Isis")</f>
        <v>Followers of Isis</v>
      </c>
      <c r="AE18" s="108" t="e">
        <f t="shared" ca="1" si="11"/>
        <v>#NAME?</v>
      </c>
      <c r="AF18" s="159">
        <f ca="1">IFERROR(__xludf.DUMMYFUNCTION("AE18*(V18 / QUERY(NPCVar!$K$2:$N$12, ""Select N WHERE K='""&amp;AB18&amp;""'""))*TRUNC(1+10)*(TRUNC(MOD(($B18*1103515245 +12345)/ 65536, 32768),0)/32768)"),5.13981445312499)</f>
        <v>5.1398144531249903</v>
      </c>
      <c r="AG18" s="16"/>
      <c r="AH18" s="77"/>
      <c r="AI18" s="114"/>
    </row>
    <row r="19" spans="1:35" ht="15.75" customHeight="1">
      <c r="A19" s="53">
        <v>18</v>
      </c>
      <c r="B19" s="118">
        <f t="shared" si="0"/>
        <v>0.88844000000000001</v>
      </c>
      <c r="C19" s="72" t="str">
        <f t="array" ref="C19">INDEX(NPCFName,TRUNC(1+(COUNTA(NPCFName))*(TRUNC(MOD(($B19*1103515245 +12345)/ 65536, 32768),0)/32768),0))</f>
        <v>Gresforn</v>
      </c>
      <c r="D19" s="16" t="str">
        <f t="array" ref="D19">INDEX(NPCLName,TRUNC(1+(COUNTA(NPCLName))*(TRUNC(MOD(($B19*1103515245 +12345)/ 65536, 32768),0)/32768),0))</f>
        <v>Saurflame</v>
      </c>
      <c r="E19" s="16" t="s">
        <v>165</v>
      </c>
      <c r="F19" s="76">
        <v>8</v>
      </c>
      <c r="G19" s="153">
        <f ca="1">VLOOKUP($AB$2,'RF Mod'!$A$2:$G$12,2,FALSE)+VLOOKUP($AD$2,'RF Mod'!$I$2:$O$11,2,FALSE)+(TRUNC(6+(24-6)*(TRUNC(MOD(($Z19*1103515245 +12345)/ 65536, 32768),0)/32768),0))</f>
        <v>8</v>
      </c>
      <c r="H19" s="16">
        <f t="shared" ca="1" si="1"/>
        <v>-1</v>
      </c>
      <c r="I19" s="153">
        <f ca="1">VLOOKUP($AB$2,'RF Mod'!$A$2:$G$12,3,FALSE)+VLOOKUP($AD$2,'RF Mod'!$I$2:$O$11,3,FALSE)+(TRUNC(6+(24-6)*(TRUNC(MOD(($Z19*1103515245 +12345)/ 65536, 32768),0)/32768),0))</f>
        <v>12</v>
      </c>
      <c r="J19" s="16" t="e">
        <f t="shared" ca="1" si="2"/>
        <v>#NAME?</v>
      </c>
      <c r="K19" s="153">
        <f ca="1">VLOOKUP($AB$2,'RF Mod'!$A$2:$G$12,3,FALSE)+VLOOKUP($AD$2,'RF Mod'!$I$2:$O$11,3,FALSE)+(TRUNC(6+(24-6)*(TRUNC(MOD(($Z19*1103515245 +12345)/ 65536, 32768),0)/32768),0))</f>
        <v>12</v>
      </c>
      <c r="L19" s="16" t="e">
        <f t="shared" ca="1" si="3"/>
        <v>#NAME?</v>
      </c>
      <c r="M19" s="153">
        <f ca="1">VLOOKUP($AB$2,'RF Mod'!$A$2:$G$12,4,FALSE)+VLOOKUP($AD$2,'RF Mod'!$I$2:$O$11,4,FALSE)+(TRUNC(6+(24-6)*(TRUNC(MOD(($Z19*1103515245 +12345)/ 65536, 32768),0)/32768),0))</f>
        <v>11</v>
      </c>
      <c r="N19" s="16" t="e">
        <f t="shared" ca="1" si="4"/>
        <v>#NAME?</v>
      </c>
      <c r="O19" s="153">
        <f ca="1">VLOOKUP($AB$2,'RF Mod'!$A$2:$G$12,5,FALSE)+VLOOKUP($AD$2,'RF Mod'!$I$2:$O$11,5,FALSE)+(TRUNC(6+(24-6)*(TRUNC(MOD(($Z19*1103515245 +12345)/ 65536, 32768),0)/32768),0))</f>
        <v>14</v>
      </c>
      <c r="P19" s="16" t="e">
        <f t="shared" ca="1" si="5"/>
        <v>#NAME?</v>
      </c>
      <c r="Q19" s="153">
        <f ca="1">VLOOKUP($AB$2,'RF Mod'!$A$2:$G$12,6,FALSE)+VLOOKUP($AD$2,'RF Mod'!$I$2:$O$11,6,FALSE)+(TRUNC(6+(24-6)*(TRUNC(MOD(($Z19*1103515245 +12345)/ 65536, 32768),0)/32768),0))</f>
        <v>12</v>
      </c>
      <c r="R19" s="16" t="e">
        <f t="shared" ca="1" si="6"/>
        <v>#NAME?</v>
      </c>
      <c r="S19" s="154">
        <f t="shared" ca="1" si="12"/>
        <v>160</v>
      </c>
      <c r="T19" s="154">
        <f t="shared" ca="1" si="7"/>
        <v>190</v>
      </c>
      <c r="U19" s="16" t="str">
        <f t="shared" ca="1" si="8"/>
        <v>Dead</v>
      </c>
      <c r="V19" s="155">
        <f ca="1">IFERROR(__xludf.DUMMYFUNCTION("if(W19=""Middle Age"",QUERY(NPCVar!$K$2:$N1000, ""Select L where K = '""&amp;AB19&amp;""'""),if(W19=""Old"",QUERY(NPCVar!$K$2:$N1000, ""Select M where K = '""&amp;AB19&amp;""'""),if(W19=""Venerable"",QUERY(NPCVar!$K$2:$N1000, ""Select N where K = '""&amp;AB19&amp;""'""),false)))"&amp;"*X19"),28.875)</f>
        <v>28.875</v>
      </c>
      <c r="W19" s="156" t="str">
        <f t="array" ref="W19">INDEX(NPCAgeType,TRUNC(1+(4-1)*(TRUNC(MOD((X19*1103515245 +12345)/ 65536, 32768),0)/32768),0))</f>
        <v>Old</v>
      </c>
      <c r="X19" s="117">
        <f t="shared" si="13"/>
        <v>1.1000000000000001</v>
      </c>
      <c r="Y19" s="157" t="e">
        <f t="array" aca="1" ref="Y19" ca="1">LOOKUP(ABS(MAX(Z19 + MIN(ABS(INDIRECT("Class Jobs!B"&amp;MATCH(E19,'Class Jobs'!$A$1:$A1000,0)&amp;":"&amp;"AF"&amp;MATCH(E19,'Class Jobs'!$A$1:$A1000,0)&amp;"")-$Z19)) * SUM(IF(MIN(ABS(INDIRECT("Class Jobs!B"&amp;MATCH(E19,'Class Jobs'!$A$1:$A1000,0)&amp;":"&amp;"AF"&amp;MATCH(E19,'Class Jobs'!$A$1:$A1000,0)&amp;"")-$Z19))=ABS(INDIRECT("Class Jobs!B"&amp;MATCH(E19,'Class Jobs'!$A$1:$A1000,0)&amp;":"&amp;"AF"&amp;MATCH(E19,'Class Jobs'!$A$1:$A1000,0)&amp;"")-$Z19),SIGN(INDIRECT("Class Jobs!B"&amp;MATCH(E19,'Class Jobs'!$A$1:A1000,0)&amp;":"&amp;"AF"&amp;MATCH(E19,'Class Jobs'!$A$1:$A1000,0)&amp;"")-$Z19),0)),0)),INDIRECT("Class Jobs!B"&amp;MATCH(E19,'Class Jobs'!$A$1:$A1000,0)&amp;":"&amp;"AF"&amp;MATCH(E19,'Class Jobs'!$A$1:$A1000,1)&amp;""),'Class Jobs'!$B$1:$AF$1)</f>
        <v>#REF!</v>
      </c>
      <c r="Z19" s="158">
        <f t="shared" si="10"/>
        <v>0.46</v>
      </c>
      <c r="AA19" s="16" t="str">
        <f t="array" ref="AA19">INDEX(NPCGender,TRUNC(1+(COUNTA(NPCGender))*(TRUNC(MOD(($B19*1103515245 +12345)/ 65536, 32768),0)/32768),0))</f>
        <v>Female</v>
      </c>
      <c r="AB19" s="16" t="str">
        <f t="array" ref="AB19">INDEX(NPCRace,TRUNC(1+(COUNTA(NPCRace))*(TRUNC(MOD(($B19*1103515245 +12345)/ 65536, 32768),0)/32768),0))</f>
        <v>Half-Orc</v>
      </c>
      <c r="AC19" s="16" t="str">
        <f t="array" ref="AC19">INDEX(NPCAL,TRUNC(1+(COUNTA(NPCAL))*(TRUNC(MOD(($B19*1103515245 +12345)/ 65536, 32768),0)/32768),0))</f>
        <v>NN</v>
      </c>
      <c r="AD19" s="72" t="str">
        <f ca="1">IFERROR(__xludf.DUMMYFUNCTION("if(V19&lt;15,QUERY(NPCVar!C:D,""Select D WHERE C = '""&amp;D19&amp;""'""),if((TRUNC(1+10)*(TRUNC(MOD((ROW(H19)*1103515245 +12345)/ 65536, 32768),0)/32768)/10) &gt; 0.85,INDEX(NPCFaction,TRUNC(1+(counta(NPCFaction)-1)*(TRUNC(MOD(($B19*1103515245 +12345)/ 65536, 32768),0"&amp;")/32768),0)),QUERY(NPCVar!C:D,""Select D WHERE C = '""&amp;D19&amp;""'"")))"),"Farmers Guild")</f>
        <v>Farmers Guild</v>
      </c>
      <c r="AE19" s="108" t="e">
        <f t="shared" ca="1" si="11"/>
        <v>#NAME?</v>
      </c>
      <c r="AF19" s="159">
        <f ca="1">IFERROR(__xludf.DUMMYFUNCTION("AE19*(V19 / QUERY(NPCVar!$K$2:$N$12, ""Select N WHERE K='""&amp;AB19&amp;""'""))*TRUNC(1+10)*(TRUNC(MOD(($B19*1103515245 +12345)/ 65536, 32768),0)/32768)"),0.82862548828125)</f>
        <v>0.82862548828125004</v>
      </c>
      <c r="AG19" s="16"/>
      <c r="AH19" s="77"/>
      <c r="AI19" s="114"/>
    </row>
    <row r="20" spans="1:35" ht="15.75" customHeight="1">
      <c r="A20" s="53">
        <v>19</v>
      </c>
      <c r="B20" s="118">
        <f t="shared" si="0"/>
        <v>2.3825799999999999</v>
      </c>
      <c r="C20" s="72" t="str">
        <f t="array" ref="C20">INDEX(NPCFName,TRUNC(1+(COUNTA(NPCFName))*(TRUNC(MOD(($B20*1103515245 +12345)/ 65536, 32768),0)/32768),0))</f>
        <v>Pendus</v>
      </c>
      <c r="D20" s="16" t="str">
        <f t="array" ref="D20">INDEX(NPCLName,TRUNC(1+(COUNTA(NPCLName))*(TRUNC(MOD(($B20*1103515245 +12345)/ 65536, 32768),0)/32768),0))</f>
        <v>Stillsun</v>
      </c>
      <c r="E20" s="16" t="s">
        <v>112</v>
      </c>
      <c r="F20" s="76">
        <v>1</v>
      </c>
      <c r="G20" s="153">
        <f ca="1">VLOOKUP($AB$2,'RF Mod'!$A$2:$G$12,2,FALSE)+VLOOKUP($AD$2,'RF Mod'!$I$2:$O$11,2,FALSE)+(TRUNC(6+(24-6)*(TRUNC(MOD(($Z20*1103515245 +12345)/ 65536, 32768),0)/32768),0))</f>
        <v>6</v>
      </c>
      <c r="H20" s="16">
        <f t="shared" ca="1" si="1"/>
        <v>-2</v>
      </c>
      <c r="I20" s="153">
        <f ca="1">VLOOKUP($AB$2,'RF Mod'!$A$2:$G$12,3,FALSE)+VLOOKUP($AD$2,'RF Mod'!$I$2:$O$11,3,FALSE)+(TRUNC(6+(24-6)*(TRUNC(MOD(($Z20*1103515245 +12345)/ 65536, 32768),0)/32768),0))</f>
        <v>10</v>
      </c>
      <c r="J20" s="16" t="e">
        <f t="shared" ca="1" si="2"/>
        <v>#NAME?</v>
      </c>
      <c r="K20" s="153">
        <f ca="1">VLOOKUP($AB$2,'RF Mod'!$A$2:$G$12,3,FALSE)+VLOOKUP($AD$2,'RF Mod'!$I$2:$O$11,3,FALSE)+(TRUNC(6+(24-6)*(TRUNC(MOD(($Z20*1103515245 +12345)/ 65536, 32768),0)/32768),0))</f>
        <v>10</v>
      </c>
      <c r="L20" s="16" t="e">
        <f t="shared" ca="1" si="3"/>
        <v>#NAME?</v>
      </c>
      <c r="M20" s="153">
        <f ca="1">VLOOKUP($AB$2,'RF Mod'!$A$2:$G$12,4,FALSE)+VLOOKUP($AD$2,'RF Mod'!$I$2:$O$11,4,FALSE)+(TRUNC(6+(24-6)*(TRUNC(MOD(($Z20*1103515245 +12345)/ 65536, 32768),0)/32768),0))</f>
        <v>9</v>
      </c>
      <c r="N20" s="16">
        <f t="shared" ca="1" si="4"/>
        <v>-1</v>
      </c>
      <c r="O20" s="153">
        <f ca="1">VLOOKUP($AB$2,'RF Mod'!$A$2:$G$12,5,FALSE)+VLOOKUP($AD$2,'RF Mod'!$I$2:$O$11,5,FALSE)+(TRUNC(6+(24-6)*(TRUNC(MOD(($Z20*1103515245 +12345)/ 65536, 32768),0)/32768),0))</f>
        <v>12</v>
      </c>
      <c r="P20" s="16" t="e">
        <f t="shared" ca="1" si="5"/>
        <v>#NAME?</v>
      </c>
      <c r="Q20" s="153">
        <f ca="1">VLOOKUP($AB$2,'RF Mod'!$A$2:$G$12,6,FALSE)+VLOOKUP($AD$2,'RF Mod'!$I$2:$O$11,6,FALSE)+(TRUNC(6+(24-6)*(TRUNC(MOD(($Z20*1103515245 +12345)/ 65536, 32768),0)/32768),0))</f>
        <v>10</v>
      </c>
      <c r="R20" s="16" t="e">
        <f t="shared" ca="1" si="6"/>
        <v>#NAME?</v>
      </c>
      <c r="S20" s="154">
        <f t="shared" ca="1" si="12"/>
        <v>12</v>
      </c>
      <c r="T20" s="154">
        <f t="shared" ca="1" si="7"/>
        <v>4</v>
      </c>
      <c r="U20" s="16" t="str">
        <f t="shared" ca="1" si="8"/>
        <v>Fine</v>
      </c>
      <c r="V20" s="155">
        <f ca="1">IFERROR(__xludf.DUMMYFUNCTION("if(W20=""Middle Age"",QUERY(NPCVar!$K$2:$N1000, ""Select L where K = '""&amp;AB20&amp;""'""),if(W20=""Old"",QUERY(NPCVar!$K$2:$N1000, ""Select M where K = '""&amp;AB20&amp;""'""),if(W20=""Venerable"",QUERY(NPCVar!$K$2:$N1000, ""Select N where K = '""&amp;AB20&amp;""'""),false)))"&amp;"*X20"),112.5)</f>
        <v>112.5</v>
      </c>
      <c r="W20" s="156" t="str">
        <f t="array" ref="W20">INDEX(NPCAgeType,TRUNC(1+(4-1)*(TRUNC(MOD((X20*1103515245 +12345)/ 65536, 32768),0)/32768),0))</f>
        <v>Middle Age</v>
      </c>
      <c r="X20" s="117">
        <f t="shared" si="13"/>
        <v>0.6</v>
      </c>
      <c r="Y20" s="157" t="e">
        <f t="array" aca="1" ref="Y20" ca="1">LOOKUP(ABS(MAX(Z20 + MIN(ABS(INDIRECT("Class Jobs!B"&amp;MATCH(E20,'Class Jobs'!$A$1:$A1000,0)&amp;":"&amp;"AF"&amp;MATCH(E20,'Class Jobs'!$A$1:$A1000,0)&amp;"")-$Z20)) * SUM(IF(MIN(ABS(INDIRECT("Class Jobs!B"&amp;MATCH(E20,'Class Jobs'!$A$1:$A1000,0)&amp;":"&amp;"AF"&amp;MATCH(E20,'Class Jobs'!$A$1:$A1000,0)&amp;"")-$Z20))=ABS(INDIRECT("Class Jobs!B"&amp;MATCH(E20,'Class Jobs'!$A$1:$A1000,0)&amp;":"&amp;"AF"&amp;MATCH(E20,'Class Jobs'!$A$1:$A1000,0)&amp;"")-$Z20),SIGN(INDIRECT("Class Jobs!B"&amp;MATCH(E20,'Class Jobs'!$A$1:A1000,0)&amp;":"&amp;"AF"&amp;MATCH(E20,'Class Jobs'!$A$1:$A1000,0)&amp;"")-$Z20),0)),0)),INDIRECT("Class Jobs!B"&amp;MATCH(E20,'Class Jobs'!$A$1:$A1000,0)&amp;":"&amp;"AF"&amp;MATCH(E20,'Class Jobs'!$A$1:$A1000,1)&amp;""),'Class Jobs'!$B$1:$AF$1)</f>
        <v>#REF!</v>
      </c>
      <c r="Z20" s="158">
        <f t="shared" si="10"/>
        <v>0.23</v>
      </c>
      <c r="AA20" s="16" t="str">
        <f t="array" ref="AA20">INDEX(NPCGender,TRUNC(1+(COUNTA(NPCGender))*(TRUNC(MOD(($B20*1103515245 +12345)/ 65536, 32768),0)/32768),0))</f>
        <v>Male</v>
      </c>
      <c r="AB20" s="16" t="str">
        <f t="array" ref="AB20">INDEX(NPCRace,TRUNC(1+(COUNTA(NPCRace))*(TRUNC(MOD(($B20*1103515245 +12345)/ 65536, 32768),0)/32768),0))</f>
        <v>Elf</v>
      </c>
      <c r="AC20" s="16" t="str">
        <f t="array" ref="AC20">INDEX(NPCAL,TRUNC(1+(COUNTA(NPCAL))*(TRUNC(MOD(($B20*1103515245 +12345)/ 65536, 32768),0)/32768),0))</f>
        <v>CG</v>
      </c>
      <c r="AD20" s="72" t="str">
        <f ca="1">IFERROR(__xludf.DUMMYFUNCTION("if(V20&lt;15,QUERY(NPCVar!C:D,""Select D WHERE C = '""&amp;D20&amp;""'""),if((TRUNC(1+10)*(TRUNC(MOD((ROW(H20)*1103515245 +12345)/ 65536, 32768),0)/32768)/10) &gt; 0.85,INDEX(NPCFaction,TRUNC(1+(counta(NPCFaction)-1)*(TRUNC(MOD(($B20*1103515245 +12345)/ 65536, 32768),0"&amp;")/32768),0)),QUERY(NPCVar!C:D,""Select D WHERE C = '""&amp;D20&amp;""'"")))"),"Necromancer")</f>
        <v>Necromancer</v>
      </c>
      <c r="AE20" s="108" t="e">
        <f t="shared" ca="1" si="11"/>
        <v>#NAME?</v>
      </c>
      <c r="AF20" s="159">
        <f ca="1">IFERROR(__xludf.DUMMYFUNCTION("AE20*(V20 / QUERY(NPCVar!$K$2:$N$12, ""Select N WHERE K='""&amp;AB20&amp;""'""))*TRUNC(1+10)*(TRUNC(MOD(($B20*1103515245 +12345)/ 65536, 32768),0)/32768)"),0.185050964355468)</f>
        <v>0.185050964355468</v>
      </c>
      <c r="AG20" s="16"/>
      <c r="AH20" s="77"/>
      <c r="AI20" s="114"/>
    </row>
    <row r="21" spans="1:35" ht="15.75" customHeight="1">
      <c r="A21" s="53">
        <v>20</v>
      </c>
      <c r="B21" s="118">
        <f t="shared" si="0"/>
        <v>1.3767199999999999</v>
      </c>
      <c r="C21" s="72" t="str">
        <f t="array" ref="C21">INDEX(NPCFName,TRUNC(1+(COUNTA(NPCFName))*(TRUNC(MOD(($B21*1103515245 +12345)/ 65536, 32768),0)/32768),0))</f>
        <v>Bue</v>
      </c>
      <c r="D21" s="16" t="str">
        <f t="array" ref="D21">INDEX(NPCLName,TRUNC(1+(COUNTA(NPCLName))*(TRUNC(MOD(($B21*1103515245 +12345)/ 65536, 32768),0)/32768),0))</f>
        <v>Rockspell</v>
      </c>
      <c r="E21" s="16" t="s">
        <v>165</v>
      </c>
      <c r="F21" s="76">
        <v>8</v>
      </c>
      <c r="G21" s="153">
        <f ca="1">VLOOKUP($AB$2,'RF Mod'!$A$2:$G$12,2,FALSE)+VLOOKUP($AD$2,'RF Mod'!$I$2:$O$11,2,FALSE)+(TRUNC(6+(24-6)*(TRUNC(MOD(($Z21*1103515245 +12345)/ 65536, 32768),0)/32768),0))</f>
        <v>10</v>
      </c>
      <c r="H21" s="16" t="e">
        <f t="shared" ca="1" si="1"/>
        <v>#NAME?</v>
      </c>
      <c r="I21" s="153">
        <f ca="1">VLOOKUP($AB$2,'RF Mod'!$A$2:$G$12,3,FALSE)+VLOOKUP($AD$2,'RF Mod'!$I$2:$O$11,3,FALSE)+(TRUNC(6+(24-6)*(TRUNC(MOD(($Z21*1103515245 +12345)/ 65536, 32768),0)/32768),0))</f>
        <v>14</v>
      </c>
      <c r="J21" s="16" t="e">
        <f t="shared" ca="1" si="2"/>
        <v>#NAME?</v>
      </c>
      <c r="K21" s="153">
        <f ca="1">VLOOKUP($AB$2,'RF Mod'!$A$2:$G$12,3,FALSE)+VLOOKUP($AD$2,'RF Mod'!$I$2:$O$11,3,FALSE)+(TRUNC(6+(24-6)*(TRUNC(MOD(($Z21*1103515245 +12345)/ 65536, 32768),0)/32768),0))</f>
        <v>14</v>
      </c>
      <c r="L21" s="16" t="e">
        <f t="shared" ca="1" si="3"/>
        <v>#NAME?</v>
      </c>
      <c r="M21" s="153">
        <f ca="1">VLOOKUP($AB$2,'RF Mod'!$A$2:$G$12,4,FALSE)+VLOOKUP($AD$2,'RF Mod'!$I$2:$O$11,4,FALSE)+(TRUNC(6+(24-6)*(TRUNC(MOD(($Z21*1103515245 +12345)/ 65536, 32768),0)/32768),0))</f>
        <v>13</v>
      </c>
      <c r="N21" s="16" t="e">
        <f t="shared" ca="1" si="4"/>
        <v>#NAME?</v>
      </c>
      <c r="O21" s="153">
        <f ca="1">VLOOKUP($AB$2,'RF Mod'!$A$2:$G$12,5,FALSE)+VLOOKUP($AD$2,'RF Mod'!$I$2:$O$11,5,FALSE)+(TRUNC(6+(24-6)*(TRUNC(MOD(($Z21*1103515245 +12345)/ 65536, 32768),0)/32768),0))</f>
        <v>16</v>
      </c>
      <c r="P21" s="16" t="e">
        <f t="shared" ca="1" si="5"/>
        <v>#NAME?</v>
      </c>
      <c r="Q21" s="153">
        <f ca="1">VLOOKUP($AB$2,'RF Mod'!$A$2:$G$12,6,FALSE)+VLOOKUP($AD$2,'RF Mod'!$I$2:$O$11,6,FALSE)+(TRUNC(6+(24-6)*(TRUNC(MOD(($Z21*1103515245 +12345)/ 65536, 32768),0)/32768),0))</f>
        <v>14</v>
      </c>
      <c r="R21" s="16" t="e">
        <f t="shared" ca="1" si="6"/>
        <v>#NAME?</v>
      </c>
      <c r="S21" s="154">
        <f t="shared" ca="1" si="12"/>
        <v>224</v>
      </c>
      <c r="T21" s="154">
        <f t="shared" ca="1" si="7"/>
        <v>230</v>
      </c>
      <c r="U21" s="16" t="str">
        <f t="shared" ca="1" si="8"/>
        <v>Dead</v>
      </c>
      <c r="V21" s="155">
        <f ca="1">IFERROR(__xludf.DUMMYFUNCTION("if(W21=""Middle Age"",QUERY(NPCVar!$K$2:$N1000, ""Select L where K = '""&amp;AB21&amp;""'""),if(W21=""Old"",QUERY(NPCVar!$K$2:$N1000, ""Select M where K = '""&amp;AB21&amp;""'""),if(W21=""Venerable"",QUERY(NPCVar!$K$2:$N1000, ""Select N where K = '""&amp;AB21&amp;""'""),false)))"&amp;"*X21"),153)</f>
        <v>153</v>
      </c>
      <c r="W21" s="156" t="str">
        <f t="array" ref="W21">INDEX(NPCAgeType,TRUNC(1+(4-1)*(TRUNC(MOD((X21*1103515245 +12345)/ 65536, 32768),0)/32768),0))</f>
        <v>Venerable</v>
      </c>
      <c r="X21" s="117">
        <f t="shared" si="13"/>
        <v>1.7</v>
      </c>
      <c r="Y21" s="157" t="e">
        <f t="array" aca="1" ref="Y21" ca="1">LOOKUP(ABS(MAX(Z21 + MIN(ABS(INDIRECT("Class Jobs!B"&amp;MATCH(E21,'Class Jobs'!$A$1:$A1000,0)&amp;":"&amp;"AF"&amp;MATCH(E21,'Class Jobs'!$A$1:$A1000,0)&amp;"")-$Z21)) * SUM(IF(MIN(ABS(INDIRECT("Class Jobs!B"&amp;MATCH(E21,'Class Jobs'!$A$1:$A1000,0)&amp;":"&amp;"AF"&amp;MATCH(E21,'Class Jobs'!$A$1:$A1000,0)&amp;"")-$Z21))=ABS(INDIRECT("Class Jobs!B"&amp;MATCH(E21,'Class Jobs'!$A$1:$A1000,0)&amp;":"&amp;"AF"&amp;MATCH(E21,'Class Jobs'!$A$1:$A1000,0)&amp;"")-$Z21),SIGN(INDIRECT("Class Jobs!B"&amp;MATCH(E21,'Class Jobs'!$A$1:A1000,0)&amp;":"&amp;"AF"&amp;MATCH(E21,'Class Jobs'!$A$1:$A1000,0)&amp;"")-$Z21),0)),0)),INDIRECT("Class Jobs!B"&amp;MATCH(E21,'Class Jobs'!$A$1:$A1000,0)&amp;":"&amp;"AF"&amp;MATCH(E21,'Class Jobs'!$A$1:$A1000,1)&amp;""),'Class Jobs'!$B$1:$AF$1)</f>
        <v>#REF!</v>
      </c>
      <c r="Z21" s="158">
        <f t="shared" si="10"/>
        <v>0.71</v>
      </c>
      <c r="AA21" s="16" t="str">
        <f t="array" ref="AA21">INDEX(NPCGender,TRUNC(1+(COUNTA(NPCGender))*(TRUNC(MOD(($B21*1103515245 +12345)/ 65536, 32768),0)/32768),0))</f>
        <v>Neutral</v>
      </c>
      <c r="AB21" s="16" t="str">
        <f t="array" ref="AB21">INDEX(NPCRace,TRUNC(1+(COUNTA(NPCRace))*(TRUNC(MOD(($B21*1103515245 +12345)/ 65536, 32768),0)/32768),0))</f>
        <v>Human</v>
      </c>
      <c r="AC21" s="16" t="str">
        <f t="array" ref="AC21">INDEX(NPCAL,TRUNC(1+(COUNTA(NPCAL))*(TRUNC(MOD(($B21*1103515245 +12345)/ 65536, 32768),0)/32768),0))</f>
        <v>LG</v>
      </c>
      <c r="AD21" s="72" t="str">
        <f ca="1">IFERROR(__xludf.DUMMYFUNCTION("if(V21&lt;15,QUERY(NPCVar!C:D,""Select D WHERE C = '""&amp;D21&amp;""'""),if((TRUNC(1+10)*(TRUNC(MOD((ROW(H21)*1103515245 +12345)/ 65536, 32768),0)/32768)/10) &gt; 0.85,INDEX(NPCFaction,TRUNC(1+(counta(NPCFaction)-1)*(TRUNC(MOD(($B21*1103515245 +12345)/ 65536, 32768),0"&amp;")/32768),0)),QUERY(NPCVar!C:D,""Select D WHERE C = '""&amp;D21&amp;""'"")))"),"Magic Guild")</f>
        <v>Magic Guild</v>
      </c>
      <c r="AE21" s="108" t="e">
        <f t="shared" ca="1" si="11"/>
        <v>#NAME?</v>
      </c>
      <c r="AF21" s="159">
        <f ca="1">IFERROR(__xludf.DUMMYFUNCTION("AE21*(V21 / QUERY(NPCVar!$K$2:$N$12, ""Select N WHERE K='""&amp;AB21&amp;""'""))*TRUNC(1+10)*(TRUNC(MOD(($B21*1103515245 +12345)/ 65536, 32768),0)/32768)"),5.29156127929687)</f>
        <v>5.2915612792968698</v>
      </c>
      <c r="AG21" s="16"/>
      <c r="AH21" s="77"/>
      <c r="AI21" s="114"/>
    </row>
    <row r="22" spans="1:35" ht="15.75" customHeight="1">
      <c r="A22" s="53">
        <v>21</v>
      </c>
      <c r="B22" s="118">
        <f t="shared" si="0"/>
        <v>0.37086999999999998</v>
      </c>
      <c r="C22" s="72" t="str">
        <f t="array" ref="C22">INDEX(NPCFName,TRUNC(1+(COUNTA(NPCFName))*(TRUNC(MOD(($B22*1103515245 +12345)/ 65536, 32768),0)/32768),0))</f>
        <v>Mes'ard</v>
      </c>
      <c r="D22" s="16" t="str">
        <f t="array" ref="D22">INDEX(NPCLName,TRUNC(1+(COUNTA(NPCLName))*(TRUNC(MOD(($B22*1103515245 +12345)/ 65536, 32768),0)/32768),0))</f>
        <v>Ashcloud</v>
      </c>
      <c r="E22" s="16" t="s">
        <v>124</v>
      </c>
      <c r="F22" s="76">
        <v>1</v>
      </c>
      <c r="G22" s="153">
        <f ca="1">VLOOKUP($AB$2,'RF Mod'!$A$2:$G$12,2,FALSE)+VLOOKUP($AD$2,'RF Mod'!$I$2:$O$11,2,FALSE)+(TRUNC(6+(24-6)*(TRUNC(MOD(($Z22*1103515245 +12345)/ 65536, 32768),0)/32768),0))</f>
        <v>5</v>
      </c>
      <c r="H22" s="16">
        <f t="shared" ca="1" si="1"/>
        <v>-3</v>
      </c>
      <c r="I22" s="153">
        <f ca="1">VLOOKUP($AB$2,'RF Mod'!$A$2:$G$12,3,FALSE)+VLOOKUP($AD$2,'RF Mod'!$I$2:$O$11,3,FALSE)+(TRUNC(6+(24-6)*(TRUNC(MOD(($Z22*1103515245 +12345)/ 65536, 32768),0)/32768),0))</f>
        <v>9</v>
      </c>
      <c r="J22" s="16">
        <f t="shared" ca="1" si="2"/>
        <v>-1</v>
      </c>
      <c r="K22" s="153">
        <f ca="1">VLOOKUP($AB$2,'RF Mod'!$A$2:$G$12,3,FALSE)+VLOOKUP($AD$2,'RF Mod'!$I$2:$O$11,3,FALSE)+(TRUNC(6+(24-6)*(TRUNC(MOD(($Z22*1103515245 +12345)/ 65536, 32768),0)/32768),0))</f>
        <v>9</v>
      </c>
      <c r="L22" s="16">
        <f t="shared" ca="1" si="3"/>
        <v>-1</v>
      </c>
      <c r="M22" s="153">
        <f ca="1">VLOOKUP($AB$2,'RF Mod'!$A$2:$G$12,4,FALSE)+VLOOKUP($AD$2,'RF Mod'!$I$2:$O$11,4,FALSE)+(TRUNC(6+(24-6)*(TRUNC(MOD(($Z22*1103515245 +12345)/ 65536, 32768),0)/32768),0))</f>
        <v>8</v>
      </c>
      <c r="N22" s="16">
        <f t="shared" ca="1" si="4"/>
        <v>-1</v>
      </c>
      <c r="O22" s="153">
        <f ca="1">VLOOKUP($AB$2,'RF Mod'!$A$2:$G$12,5,FALSE)+VLOOKUP($AD$2,'RF Mod'!$I$2:$O$11,5,FALSE)+(TRUNC(6+(24-6)*(TRUNC(MOD(($Z22*1103515245 +12345)/ 65536, 32768),0)/32768),0))</f>
        <v>11</v>
      </c>
      <c r="P22" s="16" t="e">
        <f t="shared" ca="1" si="5"/>
        <v>#NAME?</v>
      </c>
      <c r="Q22" s="153">
        <f ca="1">VLOOKUP($AB$2,'RF Mod'!$A$2:$G$12,6,FALSE)+VLOOKUP($AD$2,'RF Mod'!$I$2:$O$11,6,FALSE)+(TRUNC(6+(24-6)*(TRUNC(MOD(($Z22*1103515245 +12345)/ 65536, 32768),0)/32768),0))</f>
        <v>9</v>
      </c>
      <c r="R22" s="16">
        <f t="shared" ca="1" si="6"/>
        <v>-1</v>
      </c>
      <c r="S22" s="154">
        <f t="shared" ca="1" si="12"/>
        <v>11</v>
      </c>
      <c r="T22" s="154">
        <f t="shared" ca="1" si="7"/>
        <v>6</v>
      </c>
      <c r="U22" s="16" t="str">
        <f t="shared" ca="1" si="8"/>
        <v>Bloody</v>
      </c>
      <c r="V22" s="155">
        <f ca="1">IFERROR(__xludf.DUMMYFUNCTION("if(W22=""Middle Age"",QUERY(NPCVar!$K$2:$N1000, ""Select L where K = '""&amp;AB22&amp;""'""),if(W22=""Old"",QUERY(NPCVar!$K$2:$N1000, ""Select M where K = '""&amp;AB22&amp;""'""),if(W22=""Venerable"",QUERY(NPCVar!$K$2:$N1000, ""Select N where K = '""&amp;AB22&amp;""'""),false)))"&amp;"*X22"),93.75)</f>
        <v>93.75</v>
      </c>
      <c r="W22" s="156" t="str">
        <f t="array" ref="W22">INDEX(NPCAgeType,TRUNC(1+(4-1)*(TRUNC(MOD((X22*1103515245 +12345)/ 65536, 32768),0)/32768),0))</f>
        <v>Middle Age</v>
      </c>
      <c r="X22" s="117">
        <f t="shared" si="13"/>
        <v>0.5</v>
      </c>
      <c r="Y22" s="157" t="e">
        <f t="array" aca="1" ref="Y22" ca="1">LOOKUP(ABS(MAX(Z22 + MIN(ABS(INDIRECT("Class Jobs!B"&amp;MATCH(E22,'Class Jobs'!$A$1:$A1000,0)&amp;":"&amp;"AF"&amp;MATCH(E22,'Class Jobs'!$A$1:$A1000,0)&amp;"")-$Z22)) * SUM(IF(MIN(ABS(INDIRECT("Class Jobs!B"&amp;MATCH(E22,'Class Jobs'!$A$1:$A1000,0)&amp;":"&amp;"AF"&amp;MATCH(E22,'Class Jobs'!$A$1:$A1000,0)&amp;"")-$Z22))=ABS(INDIRECT("Class Jobs!B"&amp;MATCH(E22,'Class Jobs'!$A$1:$A1000,0)&amp;":"&amp;"AF"&amp;MATCH(E22,'Class Jobs'!$A$1:$A1000,0)&amp;"")-$Z22),SIGN(INDIRECT("Class Jobs!B"&amp;MATCH(E22,'Class Jobs'!$A$1:A1000,0)&amp;":"&amp;"AF"&amp;MATCH(E22,'Class Jobs'!$A$1:$A1000,0)&amp;"")-$Z22),0)),0)),INDIRECT("Class Jobs!B"&amp;MATCH(E22,'Class Jobs'!$A$1:$A1000,0)&amp;":"&amp;"AF"&amp;MATCH(E22,'Class Jobs'!$A$1:$A1000,1)&amp;""),'Class Jobs'!$B$1:$AF$1)</f>
        <v>#REF!</v>
      </c>
      <c r="Z22" s="158">
        <f t="shared" si="10"/>
        <v>0.19</v>
      </c>
      <c r="AA22" s="16" t="str">
        <f t="array" ref="AA22">INDEX(NPCGender,TRUNC(1+(COUNTA(NPCGender))*(TRUNC(MOD(($B22*1103515245 +12345)/ 65536, 32768),0)/32768),0))</f>
        <v>Male</v>
      </c>
      <c r="AB22" s="16" t="str">
        <f t="array" ref="AB22">INDEX(NPCRace,TRUNC(1+(COUNTA(NPCRace))*(TRUNC(MOD(($B22*1103515245 +12345)/ 65536, 32768),0)/32768),0))</f>
        <v>Elf</v>
      </c>
      <c r="AC22" s="16" t="str">
        <f t="array" ref="AC22">INDEX(NPCAL,TRUNC(1+(COUNTA(NPCAL))*(TRUNC(MOD(($B22*1103515245 +12345)/ 65536, 32768),0)/32768),0))</f>
        <v>CE</v>
      </c>
      <c r="AD22" s="72" t="str">
        <f ca="1">IFERROR(__xludf.DUMMYFUNCTION("if(V22&lt;15,QUERY(NPCVar!C:D,""Select D WHERE C = '""&amp;D22&amp;""'""),if((TRUNC(1+10)*(TRUNC(MOD((ROW(H22)*1103515245 +12345)/ 65536, 32768),0)/32768)/10) &gt; 0.85,INDEX(NPCFaction,TRUNC(1+(counta(NPCFaction)-1)*(TRUNC(MOD(($B22*1103515245 +12345)/ 65536, 32768),0"&amp;")/32768),0)),QUERY(NPCVar!C:D,""Select D WHERE C = '""&amp;D22&amp;""'"")))"),"Magic Guild")</f>
        <v>Magic Guild</v>
      </c>
      <c r="AE22" s="108" t="e">
        <f t="shared" ca="1" si="11"/>
        <v>#NAME?</v>
      </c>
      <c r="AF22" s="159">
        <f ca="1">IFERROR(__xludf.DUMMYFUNCTION("AE22*(V22 / QUERY(NPCVar!$K$2:$N$12, ""Select N WHERE K='""&amp;AB22&amp;""'""))*TRUNC(1+10)*(TRUNC(MOD(($B22*1103515245 +12345)/ 65536, 32768),0)/32768)"),0.131025314331054)</f>
        <v>0.13102531433105399</v>
      </c>
      <c r="AG22" s="16"/>
      <c r="AH22" s="77"/>
      <c r="AI22" s="114"/>
    </row>
    <row r="23" spans="1:35" ht="15.75" customHeight="1">
      <c r="A23" s="53">
        <v>22</v>
      </c>
      <c r="B23" s="118">
        <f t="shared" si="0"/>
        <v>1.865</v>
      </c>
      <c r="C23" s="72" t="str">
        <f t="array" ref="C23">INDEX(NPCFName,TRUNC(1+(COUNTA(NPCFName))*(TRUNC(MOD(($B23*1103515245 +12345)/ 65536, 32768),0)/32768),0))</f>
        <v>Tusdar</v>
      </c>
      <c r="D23" s="16" t="str">
        <f t="array" ref="D23">INDEX(NPCLName,TRUNC(1+(COUNTA(NPCLName))*(TRUNC(MOD(($B23*1103515245 +12345)/ 65536, 32768),0)/32768),0))</f>
        <v>Marblearm</v>
      </c>
      <c r="E23" s="16" t="s">
        <v>165</v>
      </c>
      <c r="F23" s="76">
        <v>8</v>
      </c>
      <c r="G23" s="153">
        <f ca="1">VLOOKUP($AB$2,'RF Mod'!$A$2:$G$12,2,FALSE)+VLOOKUP($AD$2,'RF Mod'!$I$2:$O$11,2,FALSE)+(TRUNC(6+(24-6)*(TRUNC(MOD(($Z23*1103515245 +12345)/ 65536, 32768),0)/32768),0))</f>
        <v>12</v>
      </c>
      <c r="H23" s="16" t="e">
        <f t="shared" ca="1" si="1"/>
        <v>#NAME?</v>
      </c>
      <c r="I23" s="153">
        <f ca="1">VLOOKUP($AB$2,'RF Mod'!$A$2:$G$12,3,FALSE)+VLOOKUP($AD$2,'RF Mod'!$I$2:$O$11,3,FALSE)+(TRUNC(6+(24-6)*(TRUNC(MOD(($Z23*1103515245 +12345)/ 65536, 32768),0)/32768),0))</f>
        <v>16</v>
      </c>
      <c r="J23" s="16" t="e">
        <f t="shared" ca="1" si="2"/>
        <v>#NAME?</v>
      </c>
      <c r="K23" s="153">
        <f ca="1">VLOOKUP($AB$2,'RF Mod'!$A$2:$G$12,3,FALSE)+VLOOKUP($AD$2,'RF Mod'!$I$2:$O$11,3,FALSE)+(TRUNC(6+(24-6)*(TRUNC(MOD(($Z23*1103515245 +12345)/ 65536, 32768),0)/32768),0))</f>
        <v>16</v>
      </c>
      <c r="L23" s="16" t="e">
        <f t="shared" ca="1" si="3"/>
        <v>#NAME?</v>
      </c>
      <c r="M23" s="153">
        <f ca="1">VLOOKUP($AB$2,'RF Mod'!$A$2:$G$12,4,FALSE)+VLOOKUP($AD$2,'RF Mod'!$I$2:$O$11,4,FALSE)+(TRUNC(6+(24-6)*(TRUNC(MOD(($Z23*1103515245 +12345)/ 65536, 32768),0)/32768),0))</f>
        <v>15</v>
      </c>
      <c r="N23" s="16" t="e">
        <f t="shared" ca="1" si="4"/>
        <v>#NAME?</v>
      </c>
      <c r="O23" s="153">
        <f ca="1">VLOOKUP($AB$2,'RF Mod'!$A$2:$G$12,5,FALSE)+VLOOKUP($AD$2,'RF Mod'!$I$2:$O$11,5,FALSE)+(TRUNC(6+(24-6)*(TRUNC(MOD(($Z23*1103515245 +12345)/ 65536, 32768),0)/32768),0))</f>
        <v>18</v>
      </c>
      <c r="P23" s="16" t="e">
        <f t="shared" ca="1" si="5"/>
        <v>#NAME?</v>
      </c>
      <c r="Q23" s="153">
        <f ca="1">VLOOKUP($AB$2,'RF Mod'!$A$2:$G$12,6,FALSE)+VLOOKUP($AD$2,'RF Mod'!$I$2:$O$11,6,FALSE)+(TRUNC(6+(24-6)*(TRUNC(MOD(($Z23*1103515245 +12345)/ 65536, 32768),0)/32768),0))</f>
        <v>16</v>
      </c>
      <c r="R23" s="16" t="e">
        <f t="shared" ca="1" si="6"/>
        <v>#NAME?</v>
      </c>
      <c r="S23" s="154">
        <f t="shared" ca="1" si="12"/>
        <v>176</v>
      </c>
      <c r="T23" s="154">
        <f t="shared" ca="1" si="7"/>
        <v>159</v>
      </c>
      <c r="U23" s="16" t="str">
        <f t="shared" ca="1" si="8"/>
        <v>Bloody</v>
      </c>
      <c r="V23" s="155">
        <f ca="1">IFERROR(__xludf.DUMMYFUNCTION("if(W23=""Middle Age"",QUERY(NPCVar!$K$2:$N1000, ""Select L where K = '""&amp;AB23&amp;""'""),if(W23=""Old"",QUERY(NPCVar!$K$2:$N1000, ""Select M where K = '""&amp;AB23&amp;""'""),if(W23=""Venerable"",QUERY(NPCVar!$K$2:$N1000, ""Select N where K = '""&amp;AB23&amp;""'""),false)))"&amp;"*X23"),72)</f>
        <v>72</v>
      </c>
      <c r="W23" s="156" t="str">
        <f t="array" ref="W23">INDEX(NPCAgeType,TRUNC(1+(4-1)*(TRUNC(MOD((X23*1103515245 +12345)/ 65536, 32768),0)/32768),0))</f>
        <v>Middle Age</v>
      </c>
      <c r="X23" s="117">
        <f t="shared" si="13"/>
        <v>2.4</v>
      </c>
      <c r="Y23" s="157" t="e">
        <f t="array" aca="1" ref="Y23" ca="1">LOOKUP(ABS(MAX(Z23 + MIN(ABS(INDIRECT("Class Jobs!B"&amp;MATCH(E23,'Class Jobs'!$A$1:$A1000,0)&amp;":"&amp;"AF"&amp;MATCH(E23,'Class Jobs'!$A$1:$A1000,0)&amp;"")-$Z23)) * SUM(IF(MIN(ABS(INDIRECT("Class Jobs!B"&amp;MATCH(E23,'Class Jobs'!$A$1:$A1000,0)&amp;":"&amp;"AF"&amp;MATCH(E23,'Class Jobs'!$A$1:$A1000,0)&amp;"")-$Z23))=ABS(INDIRECT("Class Jobs!B"&amp;MATCH(E23,'Class Jobs'!$A$1:$A1000,0)&amp;":"&amp;"AF"&amp;MATCH(E23,'Class Jobs'!$A$1:$A1000,0)&amp;"")-$Z23),SIGN(INDIRECT("Class Jobs!B"&amp;MATCH(E23,'Class Jobs'!$A$1:A1000,0)&amp;":"&amp;"AF"&amp;MATCH(E23,'Class Jobs'!$A$1:$A1000,0)&amp;"")-$Z23),0)),0)),INDIRECT("Class Jobs!B"&amp;MATCH(E23,'Class Jobs'!$A$1:$A1000,0)&amp;":"&amp;"AF"&amp;MATCH(E23,'Class Jobs'!$A$1:$A1000,1)&amp;""),'Class Jobs'!$B$1:$AF$1)</f>
        <v>#REF!</v>
      </c>
      <c r="Z23" s="158">
        <f t="shared" si="10"/>
        <v>0.95</v>
      </c>
      <c r="AA23" s="16" t="str">
        <f t="array" ref="AA23">INDEX(NPCGender,TRUNC(1+(COUNTA(NPCGender))*(TRUNC(MOD(($B23*1103515245 +12345)/ 65536, 32768),0)/32768),0))</f>
        <v>Neutral</v>
      </c>
      <c r="AB23" s="16" t="str">
        <f t="array" ref="AB23">INDEX(NPCRace,TRUNC(1+(COUNTA(NPCRace))*(TRUNC(MOD(($B23*1103515245 +12345)/ 65536, 32768),0)/32768),0))</f>
        <v>Goliath</v>
      </c>
      <c r="AC23" s="16" t="str">
        <f t="array" ref="AC23">INDEX(NPCAL,TRUNC(1+(COUNTA(NPCAL))*(TRUNC(MOD(($B23*1103515245 +12345)/ 65536, 32768),0)/32768),0))</f>
        <v>LE</v>
      </c>
      <c r="AD23" s="72" t="str">
        <f ca="1">IFERROR(__xludf.DUMMYFUNCTION("if(V23&lt;15,QUERY(NPCVar!C:D,""Select D WHERE C = '""&amp;D23&amp;""'""),if((TRUNC(1+10)*(TRUNC(MOD((ROW(H23)*1103515245 +12345)/ 65536, 32768),0)/32768)/10) &gt; 0.85,INDEX(NPCFaction,TRUNC(1+(counta(NPCFaction)-1)*(TRUNC(MOD(($B23*1103515245 +12345)/ 65536, 32768),0"&amp;")/32768),0)),QUERY(NPCVar!C:D,""Select D WHERE C = '""&amp;D23&amp;""'"")))"),"Traverlers Guild")</f>
        <v>Traverlers Guild</v>
      </c>
      <c r="AE23" s="108" t="e">
        <f t="shared" ca="1" si="11"/>
        <v>#NAME?</v>
      </c>
      <c r="AF23" s="159">
        <f ca="1">IFERROR(__xludf.DUMMYFUNCTION("AE23*(V23 / QUERY(NPCVar!$K$2:$N$12, ""Select N WHERE K='""&amp;AB23&amp;""'""))*TRUNC(1+10)*(TRUNC(MOD(($B23*1103515245 +12345)/ 65536, 32768),0)/32768)"),2.53002685546874)</f>
        <v>2.5300268554687402</v>
      </c>
      <c r="AG23" s="16"/>
      <c r="AH23" s="77"/>
      <c r="AI23" s="114"/>
    </row>
    <row r="24" spans="1:35" ht="15.75" customHeight="1">
      <c r="A24" s="53">
        <v>23</v>
      </c>
      <c r="B24" s="118">
        <f t="shared" si="0"/>
        <v>0.85914999999999997</v>
      </c>
      <c r="C24" s="72" t="str">
        <f t="array" ref="C24">INDEX(NPCFName,TRUNC(1+(COUNTA(NPCFName))*(TRUNC(MOD(($B24*1103515245 +12345)/ 65536, 32768),0)/32768),0))</f>
        <v>Fickfylo</v>
      </c>
      <c r="D24" s="16" t="str">
        <f t="array" ref="D24">INDEX(NPCLName,TRUNC(1+(COUNTA(NPCLName))*(TRUNC(MOD(($B24*1103515245 +12345)/ 65536, 32768),0)/32768),0))</f>
        <v>Saurflame</v>
      </c>
      <c r="E24" s="16" t="s">
        <v>124</v>
      </c>
      <c r="F24" s="76">
        <v>3</v>
      </c>
      <c r="G24" s="153">
        <f ca="1">VLOOKUP($AB$2,'RF Mod'!$A$2:$G$12,2,FALSE)+VLOOKUP($AD$2,'RF Mod'!$I$2:$O$11,2,FALSE)+(TRUNC(6+(24-6)*(TRUNC(MOD(($Z24*1103515245 +12345)/ 65536, 32768),0)/32768),0))</f>
        <v>8</v>
      </c>
      <c r="H24" s="16">
        <f t="shared" ca="1" si="1"/>
        <v>-1</v>
      </c>
      <c r="I24" s="153">
        <f ca="1">VLOOKUP($AB$2,'RF Mod'!$A$2:$G$12,3,FALSE)+VLOOKUP($AD$2,'RF Mod'!$I$2:$O$11,3,FALSE)+(TRUNC(6+(24-6)*(TRUNC(MOD(($Z24*1103515245 +12345)/ 65536, 32768),0)/32768),0))</f>
        <v>12</v>
      </c>
      <c r="J24" s="16" t="e">
        <f t="shared" ca="1" si="2"/>
        <v>#NAME?</v>
      </c>
      <c r="K24" s="153">
        <f ca="1">VLOOKUP($AB$2,'RF Mod'!$A$2:$G$12,3,FALSE)+VLOOKUP($AD$2,'RF Mod'!$I$2:$O$11,3,FALSE)+(TRUNC(6+(24-6)*(TRUNC(MOD(($Z24*1103515245 +12345)/ 65536, 32768),0)/32768),0))</f>
        <v>12</v>
      </c>
      <c r="L24" s="16" t="e">
        <f t="shared" ca="1" si="3"/>
        <v>#NAME?</v>
      </c>
      <c r="M24" s="153">
        <f ca="1">VLOOKUP($AB$2,'RF Mod'!$A$2:$G$12,4,FALSE)+VLOOKUP($AD$2,'RF Mod'!$I$2:$O$11,4,FALSE)+(TRUNC(6+(24-6)*(TRUNC(MOD(($Z24*1103515245 +12345)/ 65536, 32768),0)/32768),0))</f>
        <v>11</v>
      </c>
      <c r="N24" s="16" t="e">
        <f t="shared" ca="1" si="4"/>
        <v>#NAME?</v>
      </c>
      <c r="O24" s="153">
        <f ca="1">VLOOKUP($AB$2,'RF Mod'!$A$2:$G$12,5,FALSE)+VLOOKUP($AD$2,'RF Mod'!$I$2:$O$11,5,FALSE)+(TRUNC(6+(24-6)*(TRUNC(MOD(($Z24*1103515245 +12345)/ 65536, 32768),0)/32768),0))</f>
        <v>14</v>
      </c>
      <c r="P24" s="16" t="e">
        <f t="shared" ca="1" si="5"/>
        <v>#NAME?</v>
      </c>
      <c r="Q24" s="153">
        <f ca="1">VLOOKUP($AB$2,'RF Mod'!$A$2:$G$12,6,FALSE)+VLOOKUP($AD$2,'RF Mod'!$I$2:$O$11,6,FALSE)+(TRUNC(6+(24-6)*(TRUNC(MOD(($Z24*1103515245 +12345)/ 65536, 32768),0)/32768),0))</f>
        <v>12</v>
      </c>
      <c r="R24" s="16" t="e">
        <f t="shared" ca="1" si="6"/>
        <v>#NAME?</v>
      </c>
      <c r="S24" s="154">
        <f t="shared" ca="1" si="12"/>
        <v>90</v>
      </c>
      <c r="T24" s="154">
        <f t="shared" ca="1" si="7"/>
        <v>5</v>
      </c>
      <c r="U24" s="16" t="str">
        <f t="shared" ca="1" si="8"/>
        <v>Fine</v>
      </c>
      <c r="V24" s="155">
        <f ca="1">IFERROR(__xludf.DUMMYFUNCTION("if(W24=""Middle Age"",QUERY(NPCVar!$K$2:$N1000, ""Select L where K = '""&amp;AB24&amp;""'""),if(W24=""Old"",QUERY(NPCVar!$K$2:$N1000, ""Select M where K = '""&amp;AB24&amp;""'""),if(W24=""Venerable"",QUERY(NPCVar!$K$2:$N1000, ""Select N where K = '""&amp;AB24&amp;""'""),false)))"&amp;"*X24"),74.25)</f>
        <v>74.25</v>
      </c>
      <c r="W24" s="156" t="str">
        <f t="array" ref="W24">INDEX(NPCAgeType,TRUNC(1+(4-1)*(TRUNC(MOD((X24*1103515245 +12345)/ 65536, 32768),0)/32768),0))</f>
        <v>Old</v>
      </c>
      <c r="X24" s="117">
        <f t="shared" si="13"/>
        <v>1.1000000000000001</v>
      </c>
      <c r="Y24" s="157" t="e">
        <f t="array" aca="1" ref="Y24" ca="1">LOOKUP(ABS(MAX(Z24 + MIN(ABS(INDIRECT("Class Jobs!B"&amp;MATCH(E24,'Class Jobs'!$A$1:$A1000,0)&amp;":"&amp;"AF"&amp;MATCH(E24,'Class Jobs'!$A$1:$A1000,0)&amp;"")-$Z24)) * SUM(IF(MIN(ABS(INDIRECT("Class Jobs!B"&amp;MATCH(E24,'Class Jobs'!$A$1:$A1000,0)&amp;":"&amp;"AF"&amp;MATCH(E24,'Class Jobs'!$A$1:$A1000,0)&amp;"")-$Z24))=ABS(INDIRECT("Class Jobs!B"&amp;MATCH(E24,'Class Jobs'!$A$1:$A1000,0)&amp;":"&amp;"AF"&amp;MATCH(E24,'Class Jobs'!$A$1:$A1000,0)&amp;"")-$Z24),SIGN(INDIRECT("Class Jobs!B"&amp;MATCH(E24,'Class Jobs'!$A$1:A1000,0)&amp;":"&amp;"AF"&amp;MATCH(E24,'Class Jobs'!$A$1:$A1000,0)&amp;"")-$Z24),0)),0)),INDIRECT("Class Jobs!B"&amp;MATCH(E24,'Class Jobs'!$A$1:$A1000,0)&amp;":"&amp;"AF"&amp;MATCH(E24,'Class Jobs'!$A$1:$A1000,1)&amp;""),'Class Jobs'!$B$1:$AF$1)</f>
        <v>#REF!</v>
      </c>
      <c r="Z24" s="158">
        <f t="shared" si="10"/>
        <v>0.44</v>
      </c>
      <c r="AA24" s="16" t="str">
        <f t="array" ref="AA24">INDEX(NPCGender,TRUNC(1+(COUNTA(NPCGender))*(TRUNC(MOD(($B24*1103515245 +12345)/ 65536, 32768),0)/32768),0))</f>
        <v>Female</v>
      </c>
      <c r="AB24" s="16" t="str">
        <f t="array" ref="AB24">INDEX(NPCRace,TRUNC(1+(COUNTA(NPCRace))*(TRUNC(MOD(($B24*1103515245 +12345)/ 65536, 32768),0)/32768),0))</f>
        <v>Half-Elf</v>
      </c>
      <c r="AC24" s="16" t="str">
        <f t="array" ref="AC24">INDEX(NPCAL,TRUNC(1+(COUNTA(NPCAL))*(TRUNC(MOD(($B24*1103515245 +12345)/ 65536, 32768),0)/32768),0))</f>
        <v>NG</v>
      </c>
      <c r="AD24" s="72" t="str">
        <f ca="1">IFERROR(__xludf.DUMMYFUNCTION("if(V24&lt;15,QUERY(NPCVar!C:D,""Select D WHERE C = '""&amp;D24&amp;""'""),if((TRUNC(1+10)*(TRUNC(MOD((ROW(H24)*1103515245 +12345)/ 65536, 32768),0)/32768)/10) &gt; 0.85,INDEX(NPCFaction,TRUNC(1+(counta(NPCFaction)-1)*(TRUNC(MOD(($B24*1103515245 +12345)/ 65536, 32768),0"&amp;")/32768),0)),QUERY(NPCVar!C:D,""Select D WHERE C = '""&amp;D24&amp;""'"")))"),"Farmers Guild")</f>
        <v>Farmers Guild</v>
      </c>
      <c r="AE24" s="108" t="e">
        <f t="shared" ca="1" si="11"/>
        <v>#NAME?</v>
      </c>
      <c r="AF24" s="159">
        <f ca="1">IFERROR(__xludf.DUMMYFUNCTION("AE24*(V24 / QUERY(NPCVar!$K$2:$N$12, ""Select N WHERE K='""&amp;AB24&amp;""'""))*TRUNC(1+10)*(TRUNC(MOD(($B24*1103515245 +12345)/ 65536, 32768),0)/32768)"),1.80284202575683)</f>
        <v>1.8028420257568301</v>
      </c>
      <c r="AG24" s="16"/>
      <c r="AH24" s="77"/>
      <c r="AI24" s="114"/>
    </row>
    <row r="25" spans="1:35" ht="15.75" customHeight="1">
      <c r="A25" s="53">
        <v>24</v>
      </c>
      <c r="B25" s="118">
        <f t="shared" si="0"/>
        <v>2.3532799999999998</v>
      </c>
      <c r="C25" s="72" t="str">
        <f t="array" ref="C25">INDEX(NPCFName,TRUNC(1+(COUNTA(NPCFName))*(TRUNC(MOD(($B25*1103515245 +12345)/ 65536, 32768),0)/32768),0))</f>
        <v>Nuthor</v>
      </c>
      <c r="D25" s="16" t="str">
        <f t="array" ref="D25">INDEX(NPCLName,TRUNC(1+(COUNTA(NPCLName))*(TRUNC(MOD(($B25*1103515245 +12345)/ 65536, 32768),0)/32768),0))</f>
        <v>Stillsun</v>
      </c>
      <c r="E25" s="16" t="s">
        <v>165</v>
      </c>
      <c r="F25" s="76">
        <v>1</v>
      </c>
      <c r="G25" s="153">
        <f ca="1">VLOOKUP($AB$2,'RF Mod'!$A$2:$G$12,2,FALSE)+VLOOKUP($AD$2,'RF Mod'!$I$2:$O$11,2,FALSE)+(TRUNC(6+(24-6)*(TRUNC(MOD(($Z25*1103515245 +12345)/ 65536, 32768),0)/32768),0))</f>
        <v>5</v>
      </c>
      <c r="H25" s="16">
        <f t="shared" ca="1" si="1"/>
        <v>-3</v>
      </c>
      <c r="I25" s="153">
        <f ca="1">VLOOKUP($AB$2,'RF Mod'!$A$2:$G$12,3,FALSE)+VLOOKUP($AD$2,'RF Mod'!$I$2:$O$11,3,FALSE)+(TRUNC(6+(24-6)*(TRUNC(MOD(($Z25*1103515245 +12345)/ 65536, 32768),0)/32768),0))</f>
        <v>9</v>
      </c>
      <c r="J25" s="16">
        <f t="shared" ca="1" si="2"/>
        <v>-1</v>
      </c>
      <c r="K25" s="153">
        <f ca="1">VLOOKUP($AB$2,'RF Mod'!$A$2:$G$12,3,FALSE)+VLOOKUP($AD$2,'RF Mod'!$I$2:$O$11,3,FALSE)+(TRUNC(6+(24-6)*(TRUNC(MOD(($Z25*1103515245 +12345)/ 65536, 32768),0)/32768),0))</f>
        <v>9</v>
      </c>
      <c r="L25" s="16">
        <f t="shared" ca="1" si="3"/>
        <v>-1</v>
      </c>
      <c r="M25" s="153">
        <f ca="1">VLOOKUP($AB$2,'RF Mod'!$A$2:$G$12,4,FALSE)+VLOOKUP($AD$2,'RF Mod'!$I$2:$O$11,4,FALSE)+(TRUNC(6+(24-6)*(TRUNC(MOD(($Z25*1103515245 +12345)/ 65536, 32768),0)/32768),0))</f>
        <v>8</v>
      </c>
      <c r="N25" s="16">
        <f t="shared" ca="1" si="4"/>
        <v>-1</v>
      </c>
      <c r="O25" s="153">
        <f ca="1">VLOOKUP($AB$2,'RF Mod'!$A$2:$G$12,5,FALSE)+VLOOKUP($AD$2,'RF Mod'!$I$2:$O$11,5,FALSE)+(TRUNC(6+(24-6)*(TRUNC(MOD(($Z25*1103515245 +12345)/ 65536, 32768),0)/32768),0))</f>
        <v>11</v>
      </c>
      <c r="P25" s="16" t="e">
        <f t="shared" ca="1" si="5"/>
        <v>#NAME?</v>
      </c>
      <c r="Q25" s="153">
        <f ca="1">VLOOKUP($AB$2,'RF Mod'!$A$2:$G$12,6,FALSE)+VLOOKUP($AD$2,'RF Mod'!$I$2:$O$11,6,FALSE)+(TRUNC(6+(24-6)*(TRUNC(MOD(($Z25*1103515245 +12345)/ 65536, 32768),0)/32768),0))</f>
        <v>9</v>
      </c>
      <c r="R25" s="16">
        <f t="shared" ca="1" si="6"/>
        <v>-1</v>
      </c>
      <c r="S25" s="154">
        <f t="shared" ca="1" si="12"/>
        <v>11</v>
      </c>
      <c r="T25" s="154">
        <f t="shared" ca="1" si="7"/>
        <v>13</v>
      </c>
      <c r="U25" s="16" t="str">
        <f t="shared" ca="1" si="8"/>
        <v>Dead</v>
      </c>
      <c r="V25" s="155">
        <f ca="1">IFERROR(__xludf.DUMMYFUNCTION("if(W25=""Middle Age"",QUERY(NPCVar!$K$2:$N1000, ""Select L where K = '""&amp;AB25&amp;""'""),if(W25=""Old"",QUERY(NPCVar!$K$2:$N1000, ""Select M where K = '""&amp;AB25&amp;""'""),if(W25=""Venerable"",QUERY(NPCVar!$K$2:$N1000, ""Select N where K = '""&amp;AB25&amp;""'""),false)))"&amp;"*X25"),112.5)</f>
        <v>112.5</v>
      </c>
      <c r="W25" s="156" t="str">
        <f t="array" ref="W25">INDEX(NPCAgeType,TRUNC(1+(4-1)*(TRUNC(MOD((X25*1103515245 +12345)/ 65536, 32768),0)/32768),0))</f>
        <v>Middle Age</v>
      </c>
      <c r="X25" s="117">
        <f t="shared" si="13"/>
        <v>0.6</v>
      </c>
      <c r="Y25" s="157" t="e">
        <f t="array" aca="1" ref="Y25" ca="1">LOOKUP(ABS(MAX(Z25 + MIN(ABS(INDIRECT("Class Jobs!B"&amp;MATCH(E25,'Class Jobs'!$A$1:$A1000,0)&amp;":"&amp;"AF"&amp;MATCH(E25,'Class Jobs'!$A$1:$A1000,0)&amp;"")-$Z25)) * SUM(IF(MIN(ABS(INDIRECT("Class Jobs!B"&amp;MATCH(E25,'Class Jobs'!$A$1:$A1000,0)&amp;":"&amp;"AF"&amp;MATCH(E25,'Class Jobs'!$A$1:$A1000,0)&amp;"")-$Z25))=ABS(INDIRECT("Class Jobs!B"&amp;MATCH(E25,'Class Jobs'!$A$1:$A1000,0)&amp;":"&amp;"AF"&amp;MATCH(E25,'Class Jobs'!$A$1:$A1000,0)&amp;"")-$Z25),SIGN(INDIRECT("Class Jobs!B"&amp;MATCH(E25,'Class Jobs'!$A$1:A1000,0)&amp;":"&amp;"AF"&amp;MATCH(E25,'Class Jobs'!$A$1:$A1000,0)&amp;"")-$Z25),0)),0)),INDIRECT("Class Jobs!B"&amp;MATCH(E25,'Class Jobs'!$A$1:$A1000,0)&amp;":"&amp;"AF"&amp;MATCH(E25,'Class Jobs'!$A$1:$A1000,1)&amp;""),'Class Jobs'!$B$1:$AF$1)</f>
        <v>#REF!</v>
      </c>
      <c r="Z25" s="158">
        <f t="shared" si="10"/>
        <v>0.21</v>
      </c>
      <c r="AA25" s="16" t="str">
        <f t="array" ref="AA25">INDEX(NPCGender,TRUNC(1+(COUNTA(NPCGender))*(TRUNC(MOD(($B25*1103515245 +12345)/ 65536, 32768),0)/32768),0))</f>
        <v>Male</v>
      </c>
      <c r="AB25" s="16" t="str">
        <f t="array" ref="AB25">INDEX(NPCRace,TRUNC(1+(COUNTA(NPCRace))*(TRUNC(MOD(($B25*1103515245 +12345)/ 65536, 32768),0)/32768),0))</f>
        <v>Elf</v>
      </c>
      <c r="AC25" s="16" t="str">
        <f t="array" ref="AC25">INDEX(NPCAL,TRUNC(1+(COUNTA(NPCAL))*(TRUNC(MOD(($B25*1103515245 +12345)/ 65536, 32768),0)/32768),0))</f>
        <v>CE</v>
      </c>
      <c r="AD25" s="72" t="str">
        <f ca="1">IFERROR(__xludf.DUMMYFUNCTION("if(V25&lt;15,QUERY(NPCVar!C:D,""Select D WHERE C = '""&amp;D25&amp;""'""),if((TRUNC(1+10)*(TRUNC(MOD((ROW(H25)*1103515245 +12345)/ 65536, 32768),0)/32768)/10) &gt; 0.85,INDEX(NPCFaction,TRUNC(1+(counta(NPCFaction)-1)*(TRUNC(MOD(($B25*1103515245 +12345)/ 65536, 32768),0"&amp;")/32768),0)),QUERY(NPCVar!C:D,""Select D WHERE C = '""&amp;D25&amp;""'"")))"),"Necromancer")</f>
        <v>Necromancer</v>
      </c>
      <c r="AE25" s="108" t="e">
        <f t="shared" ca="1" si="11"/>
        <v>#NAME?</v>
      </c>
      <c r="AF25" s="159">
        <f ca="1">IFERROR(__xludf.DUMMYFUNCTION("AE25*(V25 / QUERY(NPCVar!$K$2:$N$12, ""Select N WHERE K='""&amp;AB25&amp;""'""))*TRUNC(1+10)*(TRUNC(MOD(($B25*1103515245 +12345)/ 65536, 32768),0)/32768)"),0)</f>
        <v>0</v>
      </c>
      <c r="AG25" s="16" t="e">
        <f ca="1">IF(MATCH(A25,'World Information'!C6:AO6)&gt;0,INDIRECT(ADDRESS((MATCH(A25,'World Information'!C6:AO6)+7),1,,,"World Information")),"None")</f>
        <v>#N/A</v>
      </c>
      <c r="AH25" s="77" t="e">
        <f ca="1">IF(MATCH(A25,'World Information'!C6:AO6)&gt;0,"FALSE","TRUE")</f>
        <v>#N/A</v>
      </c>
      <c r="AI25" s="114"/>
    </row>
    <row r="26" spans="1:35" ht="15.75" customHeight="1">
      <c r="A26" s="53">
        <v>25</v>
      </c>
      <c r="B26" s="118">
        <f t="shared" si="0"/>
        <v>1.3474299999999999</v>
      </c>
      <c r="C26" s="72" t="str">
        <f t="array" ref="C26">INDEX(NPCFName,TRUNC(1+(COUNTA(NPCFName))*(TRUNC(MOD(($B26*1103515245 +12345)/ 65536, 32768),0)/32768),0))</f>
        <v>Barkydle</v>
      </c>
      <c r="D26" s="16" t="str">
        <f t="array" ref="D26">INDEX(NPCLName,TRUNC(1+(COUNTA(NPCLName))*(TRUNC(MOD(($B26*1103515245 +12345)/ 65536, 32768),0)/32768),0))</f>
        <v>Emberhell</v>
      </c>
      <c r="E26" s="16" t="s">
        <v>124</v>
      </c>
      <c r="F26" s="76">
        <v>8</v>
      </c>
      <c r="G26" s="153">
        <f ca="1">VLOOKUP($AB$2,'RF Mod'!$A$2:$G$12,2,FALSE)+VLOOKUP($AD$2,'RF Mod'!$I$2:$O$11,2,FALSE)+(TRUNC(6+(24-6)*(TRUNC(MOD(($Z26*1103515245 +12345)/ 65536, 32768),0)/32768),0))</f>
        <v>10</v>
      </c>
      <c r="H26" s="16" t="e">
        <f t="shared" ca="1" si="1"/>
        <v>#NAME?</v>
      </c>
      <c r="I26" s="153">
        <f ca="1">VLOOKUP($AB$2,'RF Mod'!$A$2:$G$12,3,FALSE)+VLOOKUP($AD$2,'RF Mod'!$I$2:$O$11,3,FALSE)+(TRUNC(6+(24-6)*(TRUNC(MOD(($Z26*1103515245 +12345)/ 65536, 32768),0)/32768),0))</f>
        <v>14</v>
      </c>
      <c r="J26" s="16" t="e">
        <f t="shared" ca="1" si="2"/>
        <v>#NAME?</v>
      </c>
      <c r="K26" s="153">
        <f ca="1">VLOOKUP($AB$2,'RF Mod'!$A$2:$G$12,3,FALSE)+VLOOKUP($AD$2,'RF Mod'!$I$2:$O$11,3,FALSE)+(TRUNC(6+(24-6)*(TRUNC(MOD(($Z26*1103515245 +12345)/ 65536, 32768),0)/32768),0))</f>
        <v>14</v>
      </c>
      <c r="L26" s="16" t="e">
        <f t="shared" ca="1" si="3"/>
        <v>#NAME?</v>
      </c>
      <c r="M26" s="153">
        <f ca="1">VLOOKUP($AB$2,'RF Mod'!$A$2:$G$12,4,FALSE)+VLOOKUP($AD$2,'RF Mod'!$I$2:$O$11,4,FALSE)+(TRUNC(6+(24-6)*(TRUNC(MOD(($Z26*1103515245 +12345)/ 65536, 32768),0)/32768),0))</f>
        <v>13</v>
      </c>
      <c r="N26" s="16" t="e">
        <f t="shared" ca="1" si="4"/>
        <v>#NAME?</v>
      </c>
      <c r="O26" s="153">
        <f ca="1">VLOOKUP($AB$2,'RF Mod'!$A$2:$G$12,5,FALSE)+VLOOKUP($AD$2,'RF Mod'!$I$2:$O$11,5,FALSE)+(TRUNC(6+(24-6)*(TRUNC(MOD(($Z26*1103515245 +12345)/ 65536, 32768),0)/32768),0))</f>
        <v>16</v>
      </c>
      <c r="P26" s="16" t="e">
        <f t="shared" ca="1" si="5"/>
        <v>#NAME?</v>
      </c>
      <c r="Q26" s="153">
        <f ca="1">VLOOKUP($AB$2,'RF Mod'!$A$2:$G$12,6,FALSE)+VLOOKUP($AD$2,'RF Mod'!$I$2:$O$11,6,FALSE)+(TRUNC(6+(24-6)*(TRUNC(MOD(($Z26*1103515245 +12345)/ 65536, 32768),0)/32768),0))</f>
        <v>14</v>
      </c>
      <c r="R26" s="16" t="e">
        <f t="shared" ca="1" si="6"/>
        <v>#NAME?</v>
      </c>
      <c r="S26" s="154">
        <f t="shared" ca="1" si="12"/>
        <v>256</v>
      </c>
      <c r="T26" s="154">
        <f t="shared" ca="1" si="7"/>
        <v>169</v>
      </c>
      <c r="U26" s="16" t="str">
        <f t="shared" ca="1" si="8"/>
        <v>Bloody</v>
      </c>
      <c r="V26" s="155">
        <f ca="1">IFERROR(__xludf.DUMMYFUNCTION("if(W26=""Middle Age"",QUERY(NPCVar!$K$2:$N1000, ""Select L where K = '""&amp;AB26&amp;""'""),if(W26=""Old"",QUERY(NPCVar!$K$2:$N1000, ""Select M where K = '""&amp;AB26&amp;""'""),if(W26=""Venerable"",QUERY(NPCVar!$K$2:$N1000, ""Select N where K = '""&amp;AB26&amp;""'""),false)))"&amp;"*X26"),153)</f>
        <v>153</v>
      </c>
      <c r="W26" s="156" t="str">
        <f t="array" ref="W26">INDEX(NPCAgeType,TRUNC(1+(4-1)*(TRUNC(MOD((X26*1103515245 +12345)/ 65536, 32768),0)/32768),0))</f>
        <v>Venerable</v>
      </c>
      <c r="X26" s="117">
        <f t="shared" si="13"/>
        <v>1.7</v>
      </c>
      <c r="Y26" s="157" t="e">
        <f t="array" aca="1" ref="Y26" ca="1">LOOKUP(ABS(MAX(Z26 + MIN(ABS(INDIRECT("Class Jobs!B"&amp;MATCH(E26,'Class Jobs'!$A$1:$A1000,0)&amp;":"&amp;"AF"&amp;MATCH(E26,'Class Jobs'!$A$1:$A1000,0)&amp;"")-$Z26)) * SUM(IF(MIN(ABS(INDIRECT("Class Jobs!B"&amp;MATCH(E26,'Class Jobs'!$A$1:$A1000,0)&amp;":"&amp;"AF"&amp;MATCH(E26,'Class Jobs'!$A$1:$A1000,0)&amp;"")-$Z26))=ABS(INDIRECT("Class Jobs!B"&amp;MATCH(E26,'Class Jobs'!$A$1:$A1000,0)&amp;":"&amp;"AF"&amp;MATCH(E26,'Class Jobs'!$A$1:$A1000,0)&amp;"")-$Z26),SIGN(INDIRECT("Class Jobs!B"&amp;MATCH(E26,'Class Jobs'!$A$1:A1000,0)&amp;":"&amp;"AF"&amp;MATCH(E26,'Class Jobs'!$A$1:$A1000,0)&amp;"")-$Z26),0)),0)),INDIRECT("Class Jobs!B"&amp;MATCH(E26,'Class Jobs'!$A$1:$A1000,0)&amp;":"&amp;"AF"&amp;MATCH(E26,'Class Jobs'!$A$1:$A1000,1)&amp;""),'Class Jobs'!$B$1:$AF$1)</f>
        <v>#REF!</v>
      </c>
      <c r="Z26" s="158">
        <f t="shared" si="10"/>
        <v>0.69</v>
      </c>
      <c r="AA26" s="16" t="str">
        <f t="array" ref="AA26">INDEX(NPCGender,TRUNC(1+(COUNTA(NPCGender))*(TRUNC(MOD(($B26*1103515245 +12345)/ 65536, 32768),0)/32768),0))</f>
        <v>Neutral</v>
      </c>
      <c r="AB26" s="16" t="str">
        <f t="array" ref="AB26">INDEX(NPCRace,TRUNC(1+(COUNTA(NPCRace))*(TRUNC(MOD(($B26*1103515245 +12345)/ 65536, 32768),0)/32768),0))</f>
        <v>Human</v>
      </c>
      <c r="AC26" s="16" t="str">
        <f t="array" ref="AC26">INDEX(NPCAL,TRUNC(1+(COUNTA(NPCAL))*(TRUNC(MOD(($B26*1103515245 +12345)/ 65536, 32768),0)/32768),0))</f>
        <v>LG</v>
      </c>
      <c r="AD26" s="72" t="str">
        <f ca="1">IFERROR(__xludf.DUMMYFUNCTION("if(V26&lt;15,QUERY(NPCVar!C:D,""Select D WHERE C = '""&amp;D26&amp;""'""),if((TRUNC(1+10)*(TRUNC(MOD((ROW(H26)*1103515245 +12345)/ 65536, 32768),0)/32768)/10) &gt; 0.85,INDEX(NPCFaction,TRUNC(1+(counta(NPCFaction)-1)*(TRUNC(MOD(($B26*1103515245 +12345)/ 65536, 32768),0"&amp;")/32768),0)),QUERY(NPCVar!C:D,""Select D WHERE C = '""&amp;D26&amp;""'"")))"),"Adventures Guild")</f>
        <v>Adventures Guild</v>
      </c>
      <c r="AE26" s="108" t="e">
        <f t="shared" ca="1" si="11"/>
        <v>#NAME?</v>
      </c>
      <c r="AF26" s="159">
        <f ca="1">IFERROR(__xludf.DUMMYFUNCTION("AE26*(V26 / QUERY(NPCVar!$K$2:$N$12, ""Select N WHERE K='""&amp;AB26&amp;""'""))*TRUNC(1+10)*(TRUNC(MOD(($B26*1103515245 +12345)/ 65536, 32768),0)/32768)"),11.652802734375)</f>
        <v>11.652802734374999</v>
      </c>
      <c r="AG26" s="16"/>
      <c r="AH26" s="77"/>
      <c r="AI26" s="114"/>
    </row>
    <row r="27" spans="1:35" ht="15.75" customHeight="1">
      <c r="A27" s="53">
        <v>26</v>
      </c>
      <c r="B27" s="118">
        <f t="shared" si="0"/>
        <v>0.34150000000000003</v>
      </c>
      <c r="C27" s="72" t="str">
        <f t="array" ref="C27">INDEX(NPCFName,TRUNC(1+(COUNTA(NPCFName))*(TRUNC(MOD(($B27*1103515245 +12345)/ 65536, 32768),0)/32768),0))</f>
        <v>Letor</v>
      </c>
      <c r="D27" s="16" t="str">
        <f t="array" ref="D27">INDEX(NPCLName,TRUNC(1+(COUNTA(NPCLName))*(TRUNC(MOD(($B27*1103515245 +12345)/ 65536, 32768),0)/32768),0))</f>
        <v>Ashcloud</v>
      </c>
      <c r="E27" s="16" t="s">
        <v>174</v>
      </c>
      <c r="F27" s="76">
        <v>1</v>
      </c>
      <c r="G27" s="153">
        <f ca="1">VLOOKUP($AB$2,'RF Mod'!$A$2:$G$12,2,FALSE)+VLOOKUP($AD$2,'RF Mod'!$I$2:$O$11,2,FALSE)+(TRUNC(6+(24-6)*(TRUNC(MOD(($Z27*1103515245 +12345)/ 65536, 32768),0)/32768),0))</f>
        <v>5</v>
      </c>
      <c r="H27" s="16">
        <f t="shared" ca="1" si="1"/>
        <v>-3</v>
      </c>
      <c r="I27" s="153">
        <f ca="1">VLOOKUP($AB$2,'RF Mod'!$A$2:$G$12,3,FALSE)+VLOOKUP($AD$2,'RF Mod'!$I$2:$O$11,3,FALSE)+(TRUNC(6+(24-6)*(TRUNC(MOD(($Z27*1103515245 +12345)/ 65536, 32768),0)/32768),0))</f>
        <v>9</v>
      </c>
      <c r="J27" s="16">
        <f t="shared" ca="1" si="2"/>
        <v>-1</v>
      </c>
      <c r="K27" s="153">
        <f ca="1">VLOOKUP($AB$2,'RF Mod'!$A$2:$G$12,3,FALSE)+VLOOKUP($AD$2,'RF Mod'!$I$2:$O$11,3,FALSE)+(TRUNC(6+(24-6)*(TRUNC(MOD(($Z27*1103515245 +12345)/ 65536, 32768),0)/32768),0))</f>
        <v>9</v>
      </c>
      <c r="L27" s="16">
        <f t="shared" ca="1" si="3"/>
        <v>-1</v>
      </c>
      <c r="M27" s="153">
        <f ca="1">VLOOKUP($AB$2,'RF Mod'!$A$2:$G$12,4,FALSE)+VLOOKUP($AD$2,'RF Mod'!$I$2:$O$11,4,FALSE)+(TRUNC(6+(24-6)*(TRUNC(MOD(($Z27*1103515245 +12345)/ 65536, 32768),0)/32768),0))</f>
        <v>8</v>
      </c>
      <c r="N27" s="16">
        <f t="shared" ca="1" si="4"/>
        <v>-1</v>
      </c>
      <c r="O27" s="153">
        <f ca="1">VLOOKUP($AB$2,'RF Mod'!$A$2:$G$12,5,FALSE)+VLOOKUP($AD$2,'RF Mod'!$I$2:$O$11,5,FALSE)+(TRUNC(6+(24-6)*(TRUNC(MOD(($Z27*1103515245 +12345)/ 65536, 32768),0)/32768),0))</f>
        <v>11</v>
      </c>
      <c r="P27" s="16" t="e">
        <f t="shared" ca="1" si="5"/>
        <v>#NAME?</v>
      </c>
      <c r="Q27" s="153">
        <f ca="1">VLOOKUP($AB$2,'RF Mod'!$A$2:$G$12,6,FALSE)+VLOOKUP($AD$2,'RF Mod'!$I$2:$O$11,6,FALSE)+(TRUNC(6+(24-6)*(TRUNC(MOD(($Z27*1103515245 +12345)/ 65536, 32768),0)/32768),0))</f>
        <v>9</v>
      </c>
      <c r="R27" s="16">
        <f t="shared" ca="1" si="6"/>
        <v>-1</v>
      </c>
      <c r="S27" s="154">
        <f t="shared" ca="1" si="12"/>
        <v>11</v>
      </c>
      <c r="T27" s="154">
        <f t="shared" ca="1" si="7"/>
        <v>12</v>
      </c>
      <c r="U27" s="16" t="str">
        <f t="shared" ca="1" si="8"/>
        <v>Dead</v>
      </c>
      <c r="V27" s="155">
        <f ca="1">IFERROR(__xludf.DUMMYFUNCTION("if(W27=""Middle Age"",QUERY(NPCVar!$K$2:$N1000, ""Select L where K = '""&amp;AB27&amp;""'""),if(W27=""Old"",QUERY(NPCVar!$K$2:$N1000, ""Select M where K = '""&amp;AB27&amp;""'""),if(W27=""Venerable"",QUERY(NPCVar!$K$2:$N1000, ""Select N where K = '""&amp;AB27&amp;""'""),false)))"&amp;"*X27"),40)</f>
        <v>40</v>
      </c>
      <c r="W27" s="156" t="str">
        <f t="array" ref="W27">INDEX(NPCAgeType,TRUNC(1+(4-1)*(TRUNC(MOD((X27*1103515245 +12345)/ 65536, 32768),0)/32768),0))</f>
        <v>Middle Age</v>
      </c>
      <c r="X27" s="117">
        <f t="shared" si="13"/>
        <v>0.5</v>
      </c>
      <c r="Y27" s="157" t="e">
        <f t="array" aca="1" ref="Y27" ca="1">LOOKUP(ABS(MAX(Z27 + MIN(ABS(INDIRECT("Class Jobs!B"&amp;MATCH(E27,'Class Jobs'!$A$1:$A1000,0)&amp;":"&amp;"AF"&amp;MATCH(E27,'Class Jobs'!$A$1:$A1000,0)&amp;"")-$Z27)) * SUM(IF(MIN(ABS(INDIRECT("Class Jobs!B"&amp;MATCH(E27,'Class Jobs'!$A$1:$A1000,0)&amp;":"&amp;"AF"&amp;MATCH(E27,'Class Jobs'!$A$1:$A1000,0)&amp;"")-$Z27))=ABS(INDIRECT("Class Jobs!B"&amp;MATCH(E27,'Class Jobs'!$A$1:$A1000,0)&amp;":"&amp;"AF"&amp;MATCH(E27,'Class Jobs'!$A$1:$A1000,0)&amp;"")-$Z27),SIGN(INDIRECT("Class Jobs!B"&amp;MATCH(E27,'Class Jobs'!$A$1:A1000,0)&amp;":"&amp;"AF"&amp;MATCH(E27,'Class Jobs'!$A$1:$A1000,0)&amp;"")-$Z27),0)),0)),INDIRECT("Class Jobs!B"&amp;MATCH(E27,'Class Jobs'!$A$1:$A1000,0)&amp;":"&amp;"AF"&amp;MATCH(E27,'Class Jobs'!$A$1:$A1000,1)&amp;""),'Class Jobs'!$B$1:$AF$1)</f>
        <v>#REF!</v>
      </c>
      <c r="Z27" s="158">
        <f t="shared" si="10"/>
        <v>0.18</v>
      </c>
      <c r="AA27" s="16" t="str">
        <f t="array" ref="AA27">INDEX(NPCGender,TRUNC(1+(COUNTA(NPCGender))*(TRUNC(MOD(($B27*1103515245 +12345)/ 65536, 32768),0)/32768),0))</f>
        <v>Male</v>
      </c>
      <c r="AB27" s="16" t="str">
        <f t="array" ref="AB27">INDEX(NPCRace,TRUNC(1+(COUNTA(NPCRace))*(TRUNC(MOD(($B27*1103515245 +12345)/ 65536, 32768),0)/32768),0))</f>
        <v>Dwarf</v>
      </c>
      <c r="AC27" s="16" t="str">
        <f t="array" ref="AC27">INDEX(NPCAL,TRUNC(1+(COUNTA(NPCAL))*(TRUNC(MOD(($B27*1103515245 +12345)/ 65536, 32768),0)/32768),0))</f>
        <v>CE</v>
      </c>
      <c r="AD27" s="72" t="str">
        <f ca="1">IFERROR(__xludf.DUMMYFUNCTION("if(V27&lt;15,QUERY(NPCVar!C:D,""Select D WHERE C = '""&amp;D27&amp;""'""),if((TRUNC(1+10)*(TRUNC(MOD((ROW(H27)*1103515245 +12345)/ 65536, 32768),0)/32768)/10) &gt; 0.85,INDEX(NPCFaction,TRUNC(1+(counta(NPCFaction)-1)*(TRUNC(MOD(($B27*1103515245 +12345)/ 65536, 32768),0"&amp;")/32768),0)),QUERY(NPCVar!C:D,""Select D WHERE C = '""&amp;D27&amp;""'"")))"),"Necromancer")</f>
        <v>Necromancer</v>
      </c>
      <c r="AE27" s="108" t="e">
        <f t="shared" ca="1" si="11"/>
        <v>#NAME?</v>
      </c>
      <c r="AF27" s="159">
        <f ca="1">IFERROR(__xludf.DUMMYFUNCTION("AE27*(V27 / QUERY(NPCVar!$K$2:$N$12, ""Select N WHERE K='""&amp;AB27&amp;""'""))*TRUNC(1+10)*(TRUNC(MOD(($B27*1103515245 +12345)/ 65536, 32768),0)/32768)"),0.0241279602050781)</f>
        <v>2.4127960205078101E-2</v>
      </c>
      <c r="AG27" s="16"/>
      <c r="AH27" s="77"/>
      <c r="AI27" s="114"/>
    </row>
    <row r="28" spans="1:35" ht="15.75" customHeight="1">
      <c r="A28" s="53">
        <v>27</v>
      </c>
      <c r="B28" s="118">
        <f t="shared" si="0"/>
        <v>1.8356300000000001</v>
      </c>
      <c r="C28" s="72" t="str">
        <f t="array" ref="C28">INDEX(NPCFName,TRUNC(1+(COUNTA(NPCFName))*(TRUNC(MOD(($B28*1103515245 +12345)/ 65536, 32768),0)/32768),0))</f>
        <v>Sythril</v>
      </c>
      <c r="D28" s="16" t="str">
        <f t="array" ref="D28">INDEX(NPCLName,TRUNC(1+(COUNTA(NPCLName))*(TRUNC(MOD(($B28*1103515245 +12345)/ 65536, 32768),0)/32768),0))</f>
        <v>Marblearm</v>
      </c>
      <c r="E28" s="16" t="s">
        <v>124</v>
      </c>
      <c r="F28" s="76">
        <v>8</v>
      </c>
      <c r="G28" s="153">
        <f ca="1">VLOOKUP($AB$2,'RF Mod'!$A$2:$G$12,2,FALSE)+VLOOKUP($AD$2,'RF Mod'!$I$2:$O$11,2,FALSE)+(TRUNC(6+(24-6)*(TRUNC(MOD(($Z28*1103515245 +12345)/ 65536, 32768),0)/32768),0))</f>
        <v>12</v>
      </c>
      <c r="H28" s="16" t="e">
        <f t="shared" ca="1" si="1"/>
        <v>#NAME?</v>
      </c>
      <c r="I28" s="153">
        <f ca="1">VLOOKUP($AB$2,'RF Mod'!$A$2:$G$12,3,FALSE)+VLOOKUP($AD$2,'RF Mod'!$I$2:$O$11,3,FALSE)+(TRUNC(6+(24-6)*(TRUNC(MOD(($Z28*1103515245 +12345)/ 65536, 32768),0)/32768),0))</f>
        <v>16</v>
      </c>
      <c r="J28" s="16" t="e">
        <f t="shared" ca="1" si="2"/>
        <v>#NAME?</v>
      </c>
      <c r="K28" s="153">
        <f ca="1">VLOOKUP($AB$2,'RF Mod'!$A$2:$G$12,3,FALSE)+VLOOKUP($AD$2,'RF Mod'!$I$2:$O$11,3,FALSE)+(TRUNC(6+(24-6)*(TRUNC(MOD(($Z28*1103515245 +12345)/ 65536, 32768),0)/32768),0))</f>
        <v>16</v>
      </c>
      <c r="L28" s="16" t="e">
        <f t="shared" ca="1" si="3"/>
        <v>#NAME?</v>
      </c>
      <c r="M28" s="153">
        <f ca="1">VLOOKUP($AB$2,'RF Mod'!$A$2:$G$12,4,FALSE)+VLOOKUP($AD$2,'RF Mod'!$I$2:$O$11,4,FALSE)+(TRUNC(6+(24-6)*(TRUNC(MOD(($Z28*1103515245 +12345)/ 65536, 32768),0)/32768),0))</f>
        <v>15</v>
      </c>
      <c r="N28" s="16" t="e">
        <f t="shared" ca="1" si="4"/>
        <v>#NAME?</v>
      </c>
      <c r="O28" s="153">
        <f ca="1">VLOOKUP($AB$2,'RF Mod'!$A$2:$G$12,5,FALSE)+VLOOKUP($AD$2,'RF Mod'!$I$2:$O$11,5,FALSE)+(TRUNC(6+(24-6)*(TRUNC(MOD(($Z28*1103515245 +12345)/ 65536, 32768),0)/32768),0))</f>
        <v>18</v>
      </c>
      <c r="P28" s="16" t="e">
        <f t="shared" ca="1" si="5"/>
        <v>#NAME?</v>
      </c>
      <c r="Q28" s="153">
        <f ca="1">VLOOKUP($AB$2,'RF Mod'!$A$2:$G$12,6,FALSE)+VLOOKUP($AD$2,'RF Mod'!$I$2:$O$11,6,FALSE)+(TRUNC(6+(24-6)*(TRUNC(MOD(($Z28*1103515245 +12345)/ 65536, 32768),0)/32768),0))</f>
        <v>16</v>
      </c>
      <c r="R28" s="16" t="e">
        <f t="shared" ca="1" si="6"/>
        <v>#NAME?</v>
      </c>
      <c r="S28" s="154">
        <f t="shared" ca="1" si="12"/>
        <v>240</v>
      </c>
      <c r="T28" s="154">
        <f t="shared" ca="1" si="7"/>
        <v>276</v>
      </c>
      <c r="U28" s="16" t="str">
        <f t="shared" ca="1" si="8"/>
        <v>Dead</v>
      </c>
      <c r="V28" s="155">
        <f ca="1">IFERROR(__xludf.DUMMYFUNCTION("if(W28=""Middle Age"",QUERY(NPCVar!$K$2:$N1000, ""Select L where K = '""&amp;AB28&amp;""'""),if(W28=""Old"",QUERY(NPCVar!$K$2:$N1000, ""Select M where K = '""&amp;AB28&amp;""'""),if(W28=""Venerable"",QUERY(NPCVar!$K$2:$N1000, ""Select N where K = '""&amp;AB28&amp;""'""),false)))"&amp;"*X28"),69)</f>
        <v>69</v>
      </c>
      <c r="W28" s="156" t="str">
        <f t="array" ref="W28">INDEX(NPCAgeType,TRUNC(1+(4-1)*(TRUNC(MOD((X28*1103515245 +12345)/ 65536, 32768),0)/32768),0))</f>
        <v>Middle Age</v>
      </c>
      <c r="X28" s="117">
        <f t="shared" si="13"/>
        <v>2.2999999999999998</v>
      </c>
      <c r="Y28" s="157" t="e">
        <f t="array" aca="1" ref="Y28" ca="1">LOOKUP(ABS(MAX(Z28 + MIN(ABS(INDIRECT("Class Jobs!B"&amp;MATCH(E28,'Class Jobs'!$A$1:$A1000,0)&amp;":"&amp;"AF"&amp;MATCH(E28,'Class Jobs'!$A$1:$A1000,0)&amp;"")-$Z28)) * SUM(IF(MIN(ABS(INDIRECT("Class Jobs!B"&amp;MATCH(E28,'Class Jobs'!$A$1:$A1000,0)&amp;":"&amp;"AF"&amp;MATCH(E28,'Class Jobs'!$A$1:$A1000,0)&amp;"")-$Z28))=ABS(INDIRECT("Class Jobs!B"&amp;MATCH(E28,'Class Jobs'!$A$1:$A1000,0)&amp;":"&amp;"AF"&amp;MATCH(E28,'Class Jobs'!$A$1:$A1000,0)&amp;"")-$Z28),SIGN(INDIRECT("Class Jobs!B"&amp;MATCH(E28,'Class Jobs'!$A$1:A1000,0)&amp;":"&amp;"AF"&amp;MATCH(E28,'Class Jobs'!$A$1:$A1000,0)&amp;"")-$Z28),0)),0)),INDIRECT("Class Jobs!B"&amp;MATCH(E28,'Class Jobs'!$A$1:$A1000,0)&amp;":"&amp;"AF"&amp;MATCH(E28,'Class Jobs'!$A$1:$A1000,1)&amp;""),'Class Jobs'!$B$1:$AF$1)</f>
        <v>#REF!</v>
      </c>
      <c r="Z28" s="158">
        <f t="shared" si="10"/>
        <v>0.94</v>
      </c>
      <c r="AA28" s="16" t="str">
        <f t="array" ref="AA28">INDEX(NPCGender,TRUNC(1+(COUNTA(NPCGender))*(TRUNC(MOD(($B28*1103515245 +12345)/ 65536, 32768),0)/32768),0))</f>
        <v>Neutral</v>
      </c>
      <c r="AB28" s="16" t="str">
        <f t="array" ref="AB28">INDEX(NPCRace,TRUNC(1+(COUNTA(NPCRace))*(TRUNC(MOD(($B28*1103515245 +12345)/ 65536, 32768),0)/32768),0))</f>
        <v>Goliath</v>
      </c>
      <c r="AC28" s="16" t="str">
        <f t="array" ref="AC28">INDEX(NPCAL,TRUNC(1+(COUNTA(NPCAL))*(TRUNC(MOD(($B28*1103515245 +12345)/ 65536, 32768),0)/32768),0))</f>
        <v>LE</v>
      </c>
      <c r="AD28" s="72" t="str">
        <f ca="1">IFERROR(__xludf.DUMMYFUNCTION("if(V28&lt;15,QUERY(NPCVar!C:D,""Select D WHERE C = '""&amp;D28&amp;""'""),if((TRUNC(1+10)*(TRUNC(MOD((ROW(H28)*1103515245 +12345)/ 65536, 32768),0)/32768)/10) &gt; 0.85,INDEX(NPCFaction,TRUNC(1+(counta(NPCFaction)-1)*(TRUNC(MOD(($B28*1103515245 +12345)/ 65536, 32768),0"&amp;")/32768),0)),QUERY(NPCVar!C:D,""Select D WHERE C = '""&amp;D28&amp;""'"")))"),"Thieves Guild")</f>
        <v>Thieves Guild</v>
      </c>
      <c r="AE28" s="108" t="e">
        <f t="shared" ca="1" si="11"/>
        <v>#NAME?</v>
      </c>
      <c r="AF28" s="159">
        <f ca="1">IFERROR(__xludf.DUMMYFUNCTION("AE28*(V28 / QUERY(NPCVar!$K$2:$N$12, ""Select N WHERE K='""&amp;AB28&amp;""'""))*TRUNC(1+10)*(TRUNC(MOD(($B28*1103515245 +12345)/ 65536, 32768),0)/32768)"),5.36955207824707)</f>
        <v>5.3695520782470698</v>
      </c>
      <c r="AG28" s="16"/>
      <c r="AH28" s="77"/>
      <c r="AI28" s="114"/>
    </row>
    <row r="29" spans="1:35" ht="15.75" customHeight="1">
      <c r="A29" s="53">
        <v>28</v>
      </c>
      <c r="B29" s="118">
        <f t="shared" si="0"/>
        <v>0.82977000000000001</v>
      </c>
      <c r="C29" s="72" t="str">
        <f t="array" ref="C29">INDEX(NPCFName,TRUNC(1+(COUNTA(NPCFName))*(TRUNC(MOD(($B29*1103515245 +12345)/ 65536, 32768),0)/32768),0))</f>
        <v>Elthin</v>
      </c>
      <c r="D29" s="16" t="str">
        <f t="array" ref="D29">INDEX(NPCLName,TRUNC(1+(COUNTA(NPCLName))*(TRUNC(MOD(($B29*1103515245 +12345)/ 65536, 32768),0)/32768),0))</f>
        <v>Windshade</v>
      </c>
      <c r="E29" s="16" t="s">
        <v>174</v>
      </c>
      <c r="F29" s="76">
        <v>5</v>
      </c>
      <c r="G29" s="153">
        <f ca="1">VLOOKUP($AB$2,'RF Mod'!$A$2:$G$12,2,FALSE)+VLOOKUP($AD$2,'RF Mod'!$I$2:$O$11,2,FALSE)+(TRUNC(6+(24-6)*(TRUNC(MOD(($Z29*1103515245 +12345)/ 65536, 32768),0)/32768),0))</f>
        <v>7</v>
      </c>
      <c r="H29" s="16">
        <f t="shared" ca="1" si="1"/>
        <v>-2</v>
      </c>
      <c r="I29" s="153">
        <f ca="1">VLOOKUP($AB$2,'RF Mod'!$A$2:$G$12,3,FALSE)+VLOOKUP($AD$2,'RF Mod'!$I$2:$O$11,3,FALSE)+(TRUNC(6+(24-6)*(TRUNC(MOD(($Z29*1103515245 +12345)/ 65536, 32768),0)/32768),0))</f>
        <v>11</v>
      </c>
      <c r="J29" s="16" t="e">
        <f t="shared" ca="1" si="2"/>
        <v>#NAME?</v>
      </c>
      <c r="K29" s="153">
        <f ca="1">VLOOKUP($AB$2,'RF Mod'!$A$2:$G$12,3,FALSE)+VLOOKUP($AD$2,'RF Mod'!$I$2:$O$11,3,FALSE)+(TRUNC(6+(24-6)*(TRUNC(MOD(($Z29*1103515245 +12345)/ 65536, 32768),0)/32768),0))</f>
        <v>11</v>
      </c>
      <c r="L29" s="16" t="e">
        <f t="shared" ca="1" si="3"/>
        <v>#NAME?</v>
      </c>
      <c r="M29" s="153">
        <f ca="1">VLOOKUP($AB$2,'RF Mod'!$A$2:$G$12,4,FALSE)+VLOOKUP($AD$2,'RF Mod'!$I$2:$O$11,4,FALSE)+(TRUNC(6+(24-6)*(TRUNC(MOD(($Z29*1103515245 +12345)/ 65536, 32768),0)/32768),0))</f>
        <v>10</v>
      </c>
      <c r="N29" s="16" t="e">
        <f t="shared" ca="1" si="4"/>
        <v>#NAME?</v>
      </c>
      <c r="O29" s="153">
        <f ca="1">VLOOKUP($AB$2,'RF Mod'!$A$2:$G$12,5,FALSE)+VLOOKUP($AD$2,'RF Mod'!$I$2:$O$11,5,FALSE)+(TRUNC(6+(24-6)*(TRUNC(MOD(($Z29*1103515245 +12345)/ 65536, 32768),0)/32768),0))</f>
        <v>13</v>
      </c>
      <c r="P29" s="16" t="e">
        <f t="shared" ca="1" si="5"/>
        <v>#NAME?</v>
      </c>
      <c r="Q29" s="153">
        <f ca="1">VLOOKUP($AB$2,'RF Mod'!$A$2:$G$12,6,FALSE)+VLOOKUP($AD$2,'RF Mod'!$I$2:$O$11,6,FALSE)+(TRUNC(6+(24-6)*(TRUNC(MOD(($Z29*1103515245 +12345)/ 65536, 32768),0)/32768),0))</f>
        <v>11</v>
      </c>
      <c r="R29" s="16" t="e">
        <f t="shared" ca="1" si="6"/>
        <v>#NAME?</v>
      </c>
      <c r="S29" s="154">
        <f t="shared" ca="1" si="12"/>
        <v>85</v>
      </c>
      <c r="T29" s="154">
        <f t="shared" ca="1" si="7"/>
        <v>4</v>
      </c>
      <c r="U29" s="16" t="str">
        <f t="shared" ca="1" si="8"/>
        <v>Fine</v>
      </c>
      <c r="V29" s="155">
        <f ca="1">IFERROR(__xludf.DUMMYFUNCTION("if(W29=""Middle Age"",QUERY(NPCVar!$K$2:$N1000, ""Select L where K = '""&amp;AB29&amp;""'""),if(W29=""Old"",QUERY(NPCVar!$K$2:$N1000, ""Select M where K = '""&amp;AB29&amp;""'""),if(W29=""Venerable"",QUERY(NPCVar!$K$2:$N1000, ""Select N where K = '""&amp;AB29&amp;""'""),false)))"&amp;"*X29"),74.25)</f>
        <v>74.25</v>
      </c>
      <c r="W29" s="156" t="str">
        <f t="array" ref="W29">INDEX(NPCAgeType,TRUNC(1+(4-1)*(TRUNC(MOD((X29*1103515245 +12345)/ 65536, 32768),0)/32768),0))</f>
        <v>Old</v>
      </c>
      <c r="X29" s="117">
        <f t="shared" si="13"/>
        <v>1.1000000000000001</v>
      </c>
      <c r="Y29" s="157" t="e">
        <f t="array" aca="1" ref="Y29" ca="1">LOOKUP(ABS(MAX(Z29 + MIN(ABS(INDIRECT("Class Jobs!B"&amp;MATCH(E29,'Class Jobs'!$A$1:$A1000,0)&amp;":"&amp;"AF"&amp;MATCH(E29,'Class Jobs'!$A$1:$A1000,0)&amp;"")-$Z29)) * SUM(IF(MIN(ABS(INDIRECT("Class Jobs!B"&amp;MATCH(E29,'Class Jobs'!$A$1:$A1000,0)&amp;":"&amp;"AF"&amp;MATCH(E29,'Class Jobs'!$A$1:$A1000,0)&amp;"")-$Z29))=ABS(INDIRECT("Class Jobs!B"&amp;MATCH(E29,'Class Jobs'!$A$1:$A1000,0)&amp;":"&amp;"AF"&amp;MATCH(E29,'Class Jobs'!$A$1:$A1000,0)&amp;"")-$Z29),SIGN(INDIRECT("Class Jobs!B"&amp;MATCH(E29,'Class Jobs'!$A$1:A1000,0)&amp;":"&amp;"AF"&amp;MATCH(E29,'Class Jobs'!$A$1:$A1000,0)&amp;"")-$Z29),0)),0)),INDIRECT("Class Jobs!B"&amp;MATCH(E29,'Class Jobs'!$A$1:$A1000,0)&amp;":"&amp;"AF"&amp;MATCH(E29,'Class Jobs'!$A$1:$A1000,1)&amp;""),'Class Jobs'!$B$1:$AF$1)</f>
        <v>#REF!</v>
      </c>
      <c r="Z29" s="158">
        <f t="shared" si="10"/>
        <v>0.43</v>
      </c>
      <c r="AA29" s="16" t="str">
        <f t="array" ref="AA29">INDEX(NPCGender,TRUNC(1+(COUNTA(NPCGender))*(TRUNC(MOD(($B29*1103515245 +12345)/ 65536, 32768),0)/32768),0))</f>
        <v>Female</v>
      </c>
      <c r="AB29" s="16" t="str">
        <f t="array" ref="AB29">INDEX(NPCRace,TRUNC(1+(COUNTA(NPCRace))*(TRUNC(MOD(($B29*1103515245 +12345)/ 65536, 32768),0)/32768),0))</f>
        <v>Half-Elf</v>
      </c>
      <c r="AC29" s="16" t="str">
        <f t="array" ref="AC29">INDEX(NPCAL,TRUNC(1+(COUNTA(NPCAL))*(TRUNC(MOD(($B29*1103515245 +12345)/ 65536, 32768),0)/32768),0))</f>
        <v>NG</v>
      </c>
      <c r="AD29" s="72" t="str">
        <f ca="1">IFERROR(__xludf.DUMMYFUNCTION("if(V29&lt;15,QUERY(NPCVar!C:D,""Select D WHERE C = '""&amp;D29&amp;""'""),if((TRUNC(1+10)*(TRUNC(MOD((ROW(H29)*1103515245 +12345)/ 65536, 32768),0)/32768)/10) &gt; 0.85,INDEX(NPCFaction,TRUNC(1+(counta(NPCFaction)-1)*(TRUNC(MOD(($B29*1103515245 +12345)/ 65536, 32768),0"&amp;")/32768),0)),QUERY(NPCVar!C:D,""Select D WHERE C = '""&amp;D29&amp;""'"")))"),"Adventures Guild")</f>
        <v>Adventures Guild</v>
      </c>
      <c r="AE29" s="108" t="e">
        <f t="shared" ca="1" si="11"/>
        <v>#NAME?</v>
      </c>
      <c r="AF29" s="159">
        <f ca="1">IFERROR(__xludf.DUMMYFUNCTION("AE29*(V29 / QUERY(NPCVar!$K$2:$N$12, ""Select N WHERE K='""&amp;AB29&amp;""'""))*TRUNC(1+10)*(TRUNC(MOD(($B29*1103515245 +12345)/ 65536, 32768),0)/32768)"),0.580425567626953)</f>
        <v>0.58042556762695297</v>
      </c>
      <c r="AG29" s="16"/>
      <c r="AH29" s="77"/>
      <c r="AI29" s="114"/>
    </row>
    <row r="30" spans="1:35" ht="16.2">
      <c r="A30" s="53">
        <v>29</v>
      </c>
      <c r="B30" s="118">
        <f t="shared" si="0"/>
        <v>2.3239100000000001</v>
      </c>
      <c r="C30" s="72" t="str">
        <f t="array" ref="C30">INDEX(NPCFName,TRUNC(1+(COUNTA(NPCFName))*(TRUNC(MOD(($B30*1103515245 +12345)/ 65536, 32768),0)/32768),0))</f>
        <v>Mickal</v>
      </c>
      <c r="D30" s="16" t="str">
        <f t="array" ref="D30">INDEX(NPCLName,TRUNC(1+(COUNTA(NPCLName))*(TRUNC(MOD(($B30*1103515245 +12345)/ 65536, 32768),0)/32768),0))</f>
        <v>Ashcloud</v>
      </c>
      <c r="E30" s="16" t="s">
        <v>135</v>
      </c>
      <c r="F30" s="76">
        <v>2</v>
      </c>
      <c r="G30" s="153">
        <f ca="1">VLOOKUP($AB$2,'RF Mod'!$A$2:$G$12,2,FALSE)+VLOOKUP($AD$2,'RF Mod'!$I$2:$O$11,2,FALSE)+(TRUNC(6+(24-6)*(TRUNC(MOD(($Z30*1103515245 +12345)/ 65536, 32768),0)/32768),0))</f>
        <v>5</v>
      </c>
      <c r="H30" s="16">
        <f t="shared" ca="1" si="1"/>
        <v>-3</v>
      </c>
      <c r="I30" s="153">
        <f ca="1">VLOOKUP($AB$2,'RF Mod'!$A$2:$G$12,3,FALSE)+VLOOKUP($AD$2,'RF Mod'!$I$2:$O$11,3,FALSE)+(TRUNC(6+(24-6)*(TRUNC(MOD(($Z30*1103515245 +12345)/ 65536, 32768),0)/32768),0))</f>
        <v>9</v>
      </c>
      <c r="J30" s="16">
        <f t="shared" ca="1" si="2"/>
        <v>-1</v>
      </c>
      <c r="K30" s="153">
        <f ca="1">VLOOKUP($AB$2,'RF Mod'!$A$2:$G$12,3,FALSE)+VLOOKUP($AD$2,'RF Mod'!$I$2:$O$11,3,FALSE)+(TRUNC(6+(24-6)*(TRUNC(MOD(($Z30*1103515245 +12345)/ 65536, 32768),0)/32768),0))</f>
        <v>9</v>
      </c>
      <c r="L30" s="16">
        <f t="shared" ca="1" si="3"/>
        <v>-1</v>
      </c>
      <c r="M30" s="153">
        <f ca="1">VLOOKUP($AB$2,'RF Mod'!$A$2:$G$12,4,FALSE)+VLOOKUP($AD$2,'RF Mod'!$I$2:$O$11,4,FALSE)+(TRUNC(6+(24-6)*(TRUNC(MOD(($Z30*1103515245 +12345)/ 65536, 32768),0)/32768),0))</f>
        <v>8</v>
      </c>
      <c r="N30" s="16">
        <f t="shared" ca="1" si="4"/>
        <v>-1</v>
      </c>
      <c r="O30" s="153">
        <f ca="1">VLOOKUP($AB$2,'RF Mod'!$A$2:$G$12,5,FALSE)+VLOOKUP($AD$2,'RF Mod'!$I$2:$O$11,5,FALSE)+(TRUNC(6+(24-6)*(TRUNC(MOD(($Z30*1103515245 +12345)/ 65536, 32768),0)/32768),0))</f>
        <v>11</v>
      </c>
      <c r="P30" s="16" t="e">
        <f t="shared" ca="1" si="5"/>
        <v>#NAME?</v>
      </c>
      <c r="Q30" s="153">
        <f ca="1">VLOOKUP($AB$2,'RF Mod'!$A$2:$G$12,6,FALSE)+VLOOKUP($AD$2,'RF Mod'!$I$2:$O$11,6,FALSE)+(TRUNC(6+(24-6)*(TRUNC(MOD(($Z30*1103515245 +12345)/ 65536, 32768),0)/32768),0))</f>
        <v>9</v>
      </c>
      <c r="R30" s="16">
        <f t="shared" ca="1" si="6"/>
        <v>-1</v>
      </c>
      <c r="S30" s="154">
        <f t="shared" ca="1" si="12"/>
        <v>22</v>
      </c>
      <c r="T30" s="154">
        <f t="shared" ca="1" si="7"/>
        <v>23</v>
      </c>
      <c r="U30" s="16" t="str">
        <f t="shared" ca="1" si="8"/>
        <v>Dead</v>
      </c>
      <c r="V30" s="155">
        <f ca="1">IFERROR(__xludf.DUMMYFUNCTION("if(W30=""Middle Age"",QUERY(NPCVar!$K$2:$N1000, ""Select L where K = '""&amp;AB30&amp;""'""),if(W30=""Old"",QUERY(NPCVar!$K$2:$N1000, ""Select M where K = '""&amp;AB30&amp;""'""),if(W30=""Venerable"",QUERY(NPCVar!$K$2:$N1000, ""Select N where K = '""&amp;AB30&amp;""'""),false)))"&amp;"*X30"),93.75)</f>
        <v>93.75</v>
      </c>
      <c r="W30" s="156" t="str">
        <f t="array" ref="W30">INDEX(NPCAgeType,TRUNC(1+(4-1)*(TRUNC(MOD((X30*1103515245 +12345)/ 65536, 32768),0)/32768),0))</f>
        <v>Middle Age</v>
      </c>
      <c r="X30" s="117">
        <f t="shared" si="13"/>
        <v>0.5</v>
      </c>
      <c r="Y30" s="157" t="e">
        <f t="array" aca="1" ref="Y30" ca="1">LOOKUP(ABS(MAX(Z30 + MIN(ABS(INDIRECT("Class Jobs!B"&amp;MATCH(E30,'Class Jobs'!$A$1:$A1000,0)&amp;":"&amp;"AF"&amp;MATCH(E30,'Class Jobs'!$A$1:$A1000,0)&amp;"")-$Z30)) * SUM(IF(MIN(ABS(INDIRECT("Class Jobs!B"&amp;MATCH(E30,'Class Jobs'!$A$1:$A1000,0)&amp;":"&amp;"AF"&amp;MATCH(E30,'Class Jobs'!$A$1:$A1000,0)&amp;"")-$Z30))=ABS(INDIRECT("Class Jobs!B"&amp;MATCH(E30,'Class Jobs'!$A$1:$A1000,0)&amp;":"&amp;"AF"&amp;MATCH(E30,'Class Jobs'!$A$1:$A1000,0)&amp;"")-$Z30),SIGN(INDIRECT("Class Jobs!B"&amp;MATCH(E30,'Class Jobs'!$A$1:A1000,0)&amp;":"&amp;"AF"&amp;MATCH(E30,'Class Jobs'!$A$1:$A1000,0)&amp;"")-$Z30),0)),0)),INDIRECT("Class Jobs!B"&amp;MATCH(E30,'Class Jobs'!$A$1:$A1000,0)&amp;":"&amp;"AF"&amp;MATCH(E30,'Class Jobs'!$A$1:$A1000,1)&amp;""),'Class Jobs'!$B$1:$AF$1)</f>
        <v>#REF!</v>
      </c>
      <c r="Z30" s="158">
        <f t="shared" si="10"/>
        <v>0.2</v>
      </c>
      <c r="AA30" s="16" t="str">
        <f t="array" ref="AA30">INDEX(NPCGender,TRUNC(1+(COUNTA(NPCGender))*(TRUNC(MOD(($B30*1103515245 +12345)/ 65536, 32768),0)/32768),0))</f>
        <v>Male</v>
      </c>
      <c r="AB30" s="16" t="str">
        <f t="array" ref="AB30">INDEX(NPCRace,TRUNC(1+(COUNTA(NPCRace))*(TRUNC(MOD(($B30*1103515245 +12345)/ 65536, 32768),0)/32768),0))</f>
        <v>Elf</v>
      </c>
      <c r="AC30" s="16" t="str">
        <f t="array" ref="AC30">INDEX(NPCAL,TRUNC(1+(COUNTA(NPCAL))*(TRUNC(MOD(($B30*1103515245 +12345)/ 65536, 32768),0)/32768),0))</f>
        <v>CE</v>
      </c>
      <c r="AD30" s="72" t="str">
        <f ca="1">IFERROR(__xludf.DUMMYFUNCTION("if(V30&lt;15,QUERY(NPCVar!C:D,""Select D WHERE C = '""&amp;D30&amp;""'""),if((TRUNC(1+10)*(TRUNC(MOD((ROW(H30)*1103515245 +12345)/ 65536, 32768),0)/32768)/10) &gt; 0.85,INDEX(NPCFaction,TRUNC(1+(counta(NPCFaction)-1)*(TRUNC(MOD(($B30*1103515245 +12345)/ 65536, 32768),0"&amp;")/32768),0)),QUERY(NPCVar!C:D,""Select D WHERE C = '""&amp;D30&amp;""'"")))"),"Magic Guild")</f>
        <v>Magic Guild</v>
      </c>
      <c r="AE30" s="108" t="e">
        <f t="shared" ca="1" si="11"/>
        <v>#NAME?</v>
      </c>
      <c r="AF30" s="159">
        <f ca="1">IFERROR(__xludf.DUMMYFUNCTION("AE30*(V30 / QUERY(NPCVar!$K$2:$N$12, ""Select N WHERE K='""&amp;AB30&amp;""'""))*TRUNC(1+10)*(TRUNC(MOD(($B30*1103515245 +12345)/ 65536, 32768),0)/32768)"),0.160176086425781)</f>
        <v>0.16017608642578099</v>
      </c>
      <c r="AG30" s="16"/>
      <c r="AH30" s="77"/>
      <c r="AI30" s="114"/>
    </row>
    <row r="31" spans="1:35" ht="16.2">
      <c r="A31" s="53">
        <v>30</v>
      </c>
      <c r="B31" s="118">
        <f t="shared" si="0"/>
        <v>1.3180499999999999</v>
      </c>
      <c r="C31" s="72" t="str">
        <f t="array" ref="C31">INDEX(NPCFName,TRUNC(1+(COUNTA(NPCFName))*(TRUNC(MOD(($B31*1103515245 +12345)/ 65536, 32768),0)/32768),0))</f>
        <v>Aldren</v>
      </c>
      <c r="D31" s="16" t="str">
        <f t="array" ref="D31">INDEX(NPCLName,TRUNC(1+(COUNTA(NPCLName))*(TRUNC(MOD(($B31*1103515245 +12345)/ 65536, 32768),0)/32768),0))</f>
        <v>Emberhell</v>
      </c>
      <c r="E31" s="16" t="s">
        <v>174</v>
      </c>
      <c r="F31" s="76">
        <v>8</v>
      </c>
      <c r="G31" s="153">
        <f ca="1">VLOOKUP($AB$2,'RF Mod'!$A$2:$G$12,2,FALSE)+VLOOKUP($AD$2,'RF Mod'!$I$2:$O$11,2,FALSE)+(TRUNC(6+(24-6)*(TRUNC(MOD(($Z31*1103515245 +12345)/ 65536, 32768),0)/32768),0))</f>
        <v>10</v>
      </c>
      <c r="H31" s="16" t="e">
        <f t="shared" ca="1" si="1"/>
        <v>#NAME?</v>
      </c>
      <c r="I31" s="153">
        <f ca="1">VLOOKUP($AB$2,'RF Mod'!$A$2:$G$12,3,FALSE)+VLOOKUP($AD$2,'RF Mod'!$I$2:$O$11,3,FALSE)+(TRUNC(6+(24-6)*(TRUNC(MOD(($Z31*1103515245 +12345)/ 65536, 32768),0)/32768),0))</f>
        <v>14</v>
      </c>
      <c r="J31" s="16" t="e">
        <f t="shared" ca="1" si="2"/>
        <v>#NAME?</v>
      </c>
      <c r="K31" s="153">
        <f ca="1">VLOOKUP($AB$2,'RF Mod'!$A$2:$G$12,3,FALSE)+VLOOKUP($AD$2,'RF Mod'!$I$2:$O$11,3,FALSE)+(TRUNC(6+(24-6)*(TRUNC(MOD(($Z31*1103515245 +12345)/ 65536, 32768),0)/32768),0))</f>
        <v>14</v>
      </c>
      <c r="L31" s="16" t="e">
        <f t="shared" ca="1" si="3"/>
        <v>#NAME?</v>
      </c>
      <c r="M31" s="153">
        <f ca="1">VLOOKUP($AB$2,'RF Mod'!$A$2:$G$12,4,FALSE)+VLOOKUP($AD$2,'RF Mod'!$I$2:$O$11,4,FALSE)+(TRUNC(6+(24-6)*(TRUNC(MOD(($Z31*1103515245 +12345)/ 65536, 32768),0)/32768),0))</f>
        <v>13</v>
      </c>
      <c r="N31" s="16" t="e">
        <f t="shared" ca="1" si="4"/>
        <v>#NAME?</v>
      </c>
      <c r="O31" s="153">
        <f ca="1">VLOOKUP($AB$2,'RF Mod'!$A$2:$G$12,5,FALSE)+VLOOKUP($AD$2,'RF Mod'!$I$2:$O$11,5,FALSE)+(TRUNC(6+(24-6)*(TRUNC(MOD(($Z31*1103515245 +12345)/ 65536, 32768),0)/32768),0))</f>
        <v>16</v>
      </c>
      <c r="P31" s="16" t="e">
        <f t="shared" ca="1" si="5"/>
        <v>#NAME?</v>
      </c>
      <c r="Q31" s="153">
        <f ca="1">VLOOKUP($AB$2,'RF Mod'!$A$2:$G$12,6,FALSE)+VLOOKUP($AD$2,'RF Mod'!$I$2:$O$11,6,FALSE)+(TRUNC(6+(24-6)*(TRUNC(MOD(($Z31*1103515245 +12345)/ 65536, 32768),0)/32768),0))</f>
        <v>14</v>
      </c>
      <c r="R31" s="16" t="e">
        <f t="shared" ca="1" si="6"/>
        <v>#NAME?</v>
      </c>
      <c r="S31" s="154">
        <f t="shared" ca="1" si="12"/>
        <v>160</v>
      </c>
      <c r="T31" s="154">
        <f t="shared" ca="1" si="7"/>
        <v>51</v>
      </c>
      <c r="U31" s="16" t="str">
        <f t="shared" ca="1" si="8"/>
        <v>Fine</v>
      </c>
      <c r="V31" s="155">
        <f ca="1">IFERROR(__xludf.DUMMYFUNCTION("if(W31=""Middle Age"",QUERY(NPCVar!$K$2:$N1000, ""Select L where K = '""&amp;AB31&amp;""'""),if(W31=""Old"",QUERY(NPCVar!$K$2:$N1000, ""Select M where K = '""&amp;AB31&amp;""'""),if(W31=""Venerable"",QUERY(NPCVar!$K$2:$N1000, ""Select N where K = '""&amp;AB31&amp;""'""),false)))"&amp;"*X31"),153)</f>
        <v>153</v>
      </c>
      <c r="W31" s="156" t="str">
        <f t="array" ref="W31">INDEX(NPCAgeType,TRUNC(1+(4-1)*(TRUNC(MOD((X31*1103515245 +12345)/ 65536, 32768),0)/32768),0))</f>
        <v>Venerable</v>
      </c>
      <c r="X31" s="117">
        <f t="shared" si="13"/>
        <v>1.7</v>
      </c>
      <c r="Y31" s="157" t="e">
        <f t="array" aca="1" ref="Y31" ca="1">LOOKUP(ABS(MAX(Z31 + MIN(ABS(INDIRECT("Class Jobs!B"&amp;MATCH(E31,'Class Jobs'!$A$1:$A1000,0)&amp;":"&amp;"AF"&amp;MATCH(E31,'Class Jobs'!$A$1:$A1000,0)&amp;"")-$Z31)) * SUM(IF(MIN(ABS(INDIRECT("Class Jobs!B"&amp;MATCH(E31,'Class Jobs'!$A$1:$A1000,0)&amp;":"&amp;"AF"&amp;MATCH(E31,'Class Jobs'!$A$1:$A1000,0)&amp;"")-$Z31))=ABS(INDIRECT("Class Jobs!B"&amp;MATCH(E31,'Class Jobs'!$A$1:$A1000,0)&amp;":"&amp;"AF"&amp;MATCH(E31,'Class Jobs'!$A$1:$A1000,0)&amp;"")-$Z31),SIGN(INDIRECT("Class Jobs!B"&amp;MATCH(E31,'Class Jobs'!$A$1:A1000,0)&amp;":"&amp;"AF"&amp;MATCH(E31,'Class Jobs'!$A$1:$A1000,0)&amp;"")-$Z31),0)),0)),INDIRECT("Class Jobs!B"&amp;MATCH(E31,'Class Jobs'!$A$1:$A1000,0)&amp;":"&amp;"AF"&amp;MATCH(E31,'Class Jobs'!$A$1:$A1000,1)&amp;""),'Class Jobs'!$B$1:$AF$1)</f>
        <v>#REF!</v>
      </c>
      <c r="Z31" s="158">
        <f t="shared" si="10"/>
        <v>0.68</v>
      </c>
      <c r="AA31" s="16" t="str">
        <f t="array" ref="AA31">INDEX(NPCGender,TRUNC(1+(COUNTA(NPCGender))*(TRUNC(MOD(($B31*1103515245 +12345)/ 65536, 32768),0)/32768),0))</f>
        <v>Neutral</v>
      </c>
      <c r="AB31" s="16" t="str">
        <f t="array" ref="AB31">INDEX(NPCRace,TRUNC(1+(COUNTA(NPCRace))*(TRUNC(MOD(($B31*1103515245 +12345)/ 65536, 32768),0)/32768),0))</f>
        <v>Human</v>
      </c>
      <c r="AC31" s="16" t="str">
        <f t="array" ref="AC31">INDEX(NPCAL,TRUNC(1+(COUNTA(NPCAL))*(TRUNC(MOD(($B31*1103515245 +12345)/ 65536, 32768),0)/32768),0))</f>
        <v>LG</v>
      </c>
      <c r="AD31" s="72" t="str">
        <f ca="1">IFERROR(__xludf.DUMMYFUNCTION("if(V31&lt;15,QUERY(NPCVar!C:D,""Select D WHERE C = '""&amp;D31&amp;""'""),if((TRUNC(1+10)*(TRUNC(MOD((ROW(H31)*1103515245 +12345)/ 65536, 32768),0)/32768)/10) &gt; 0.85,INDEX(NPCFaction,TRUNC(1+(counta(NPCFaction)-1)*(TRUNC(MOD(($B31*1103515245 +12345)/ 65536, 32768),0"&amp;")/32768),0)),QUERY(NPCVar!C:D,""Select D WHERE C = '""&amp;D31&amp;""'"")))"),"Magic Guild")</f>
        <v>Magic Guild</v>
      </c>
      <c r="AE31" s="108" t="e">
        <f t="shared" ca="1" si="11"/>
        <v>#NAME?</v>
      </c>
      <c r="AF31" s="159">
        <f ca="1">IFERROR(__xludf.DUMMYFUNCTION("AE31*(V31 / QUERY(NPCVar!$K$2:$N$12, ""Select N WHERE K='""&amp;AB31&amp;""'""))*TRUNC(1+10)*(TRUNC(MOD(($B31*1103515245 +12345)/ 65536, 32768),0)/32768)"),6.33253631591796)</f>
        <v>6.3325363159179604</v>
      </c>
      <c r="AG31" s="16"/>
      <c r="AH31" s="77"/>
      <c r="AI31" s="114"/>
    </row>
    <row r="32" spans="1:35" ht="16.2">
      <c r="A32" s="53">
        <v>31</v>
      </c>
      <c r="B32" s="118">
        <f t="shared" si="0"/>
        <v>0.31219999999999998</v>
      </c>
      <c r="C32" s="72" t="str">
        <f t="array" ref="C32">INDEX(NPCFName,TRUNC(1+(COUNTA(NPCFName))*(TRUNC(MOD(($B32*1103515245 +12345)/ 65536, 32768),0)/32768),0))</f>
        <v>Kethren</v>
      </c>
      <c r="D32" s="16" t="str">
        <f t="array" ref="D32">INDEX(NPCLName,TRUNC(1+(COUNTA(NPCLName))*(TRUNC(MOD(($B32*1103515245 +12345)/ 65536, 32768),0)/32768),0))</f>
        <v>Fistwing</v>
      </c>
      <c r="E32" s="16" t="s">
        <v>135</v>
      </c>
      <c r="F32" s="76">
        <v>1</v>
      </c>
      <c r="G32" s="153">
        <f ca="1">VLOOKUP($AB$2,'RF Mod'!$A$2:$G$12,2,FALSE)+VLOOKUP($AD$2,'RF Mod'!$I$2:$O$11,2,FALSE)+(TRUNC(6+(24-6)*(TRUNC(MOD(($Z32*1103515245 +12345)/ 65536, 32768),0)/32768),0))</f>
        <v>5</v>
      </c>
      <c r="H32" s="16">
        <f t="shared" ca="1" si="1"/>
        <v>-3</v>
      </c>
      <c r="I32" s="153">
        <f ca="1">VLOOKUP($AB$2,'RF Mod'!$A$2:$G$12,3,FALSE)+VLOOKUP($AD$2,'RF Mod'!$I$2:$O$11,3,FALSE)+(TRUNC(6+(24-6)*(TRUNC(MOD(($Z32*1103515245 +12345)/ 65536, 32768),0)/32768),0))</f>
        <v>9</v>
      </c>
      <c r="J32" s="16">
        <f t="shared" ca="1" si="2"/>
        <v>-1</v>
      </c>
      <c r="K32" s="153">
        <f ca="1">VLOOKUP($AB$2,'RF Mod'!$A$2:$G$12,3,FALSE)+VLOOKUP($AD$2,'RF Mod'!$I$2:$O$11,3,FALSE)+(TRUNC(6+(24-6)*(TRUNC(MOD(($Z32*1103515245 +12345)/ 65536, 32768),0)/32768),0))</f>
        <v>9</v>
      </c>
      <c r="L32" s="16">
        <f t="shared" ca="1" si="3"/>
        <v>-1</v>
      </c>
      <c r="M32" s="153">
        <f ca="1">VLOOKUP($AB$2,'RF Mod'!$A$2:$G$12,4,FALSE)+VLOOKUP($AD$2,'RF Mod'!$I$2:$O$11,4,FALSE)+(TRUNC(6+(24-6)*(TRUNC(MOD(($Z32*1103515245 +12345)/ 65536, 32768),0)/32768),0))</f>
        <v>8</v>
      </c>
      <c r="N32" s="16">
        <f t="shared" ca="1" si="4"/>
        <v>-1</v>
      </c>
      <c r="O32" s="153">
        <f ca="1">VLOOKUP($AB$2,'RF Mod'!$A$2:$G$12,5,FALSE)+VLOOKUP($AD$2,'RF Mod'!$I$2:$O$11,5,FALSE)+(TRUNC(6+(24-6)*(TRUNC(MOD(($Z32*1103515245 +12345)/ 65536, 32768),0)/32768),0))</f>
        <v>11</v>
      </c>
      <c r="P32" s="16" t="e">
        <f t="shared" ca="1" si="5"/>
        <v>#NAME?</v>
      </c>
      <c r="Q32" s="153">
        <f ca="1">VLOOKUP($AB$2,'RF Mod'!$A$2:$G$12,6,FALSE)+VLOOKUP($AD$2,'RF Mod'!$I$2:$O$11,6,FALSE)+(TRUNC(6+(24-6)*(TRUNC(MOD(($Z32*1103515245 +12345)/ 65536, 32768),0)/32768),0))</f>
        <v>9</v>
      </c>
      <c r="R32" s="16">
        <f t="shared" ca="1" si="6"/>
        <v>-1</v>
      </c>
      <c r="S32" s="154">
        <f t="shared" ca="1" si="12"/>
        <v>11</v>
      </c>
      <c r="T32" s="154">
        <f t="shared" ca="1" si="7"/>
        <v>10</v>
      </c>
      <c r="U32" s="16" t="str">
        <f t="shared" ca="1" si="8"/>
        <v>Bloody</v>
      </c>
      <c r="V32" s="155">
        <f ca="1">IFERROR(__xludf.DUMMYFUNCTION("if(W32=""Middle Age"",QUERY(NPCVar!$K$2:$N1000, ""Select L where K = '""&amp;AB32&amp;""'""),if(W32=""Old"",QUERY(NPCVar!$K$2:$N1000, ""Select M where K = '""&amp;AB32&amp;""'""),if(W32=""Venerable"",QUERY(NPCVar!$K$2:$N1000, ""Select N where K = '""&amp;AB32&amp;""'""),false)))"&amp;"*X32"),32)</f>
        <v>32</v>
      </c>
      <c r="W32" s="156" t="str">
        <f t="array" ref="W32">INDEX(NPCAgeType,TRUNC(1+(4-1)*(TRUNC(MOD((X32*1103515245 +12345)/ 65536, 32768),0)/32768),0))</f>
        <v>Middle Age</v>
      </c>
      <c r="X32" s="117">
        <f t="shared" si="13"/>
        <v>0.4</v>
      </c>
      <c r="Y32" s="157" t="e">
        <f t="array" aca="1" ref="Y32" ca="1">LOOKUP(ABS(MAX(Z32 + MIN(ABS(INDIRECT("Class Jobs!B"&amp;MATCH(E32,'Class Jobs'!$A$1:$A1000,0)&amp;":"&amp;"AF"&amp;MATCH(E32,'Class Jobs'!$A$1:$A1000,0)&amp;"")-$Z32)) * SUM(IF(MIN(ABS(INDIRECT("Class Jobs!B"&amp;MATCH(E32,'Class Jobs'!$A$1:$A1000,0)&amp;":"&amp;"AF"&amp;MATCH(E32,'Class Jobs'!$A$1:$A1000,0)&amp;"")-$Z32))=ABS(INDIRECT("Class Jobs!B"&amp;MATCH(E32,'Class Jobs'!$A$1:$A1000,0)&amp;":"&amp;"AF"&amp;MATCH(E32,'Class Jobs'!$A$1:$A1000,0)&amp;"")-$Z32),SIGN(INDIRECT("Class Jobs!B"&amp;MATCH(E32,'Class Jobs'!$A$1:A1000,0)&amp;":"&amp;"AF"&amp;MATCH(E32,'Class Jobs'!$A$1:$A1000,0)&amp;"")-$Z32),0)),0)),INDIRECT("Class Jobs!B"&amp;MATCH(E32,'Class Jobs'!$A$1:$A1000,0)&amp;":"&amp;"AF"&amp;MATCH(E32,'Class Jobs'!$A$1:$A1000,1)&amp;""),'Class Jobs'!$B$1:$AF$1)</f>
        <v>#REF!</v>
      </c>
      <c r="Z32" s="158">
        <f t="shared" si="10"/>
        <v>0.16</v>
      </c>
      <c r="AA32" s="16" t="str">
        <f t="array" ref="AA32">INDEX(NPCGender,TRUNC(1+(COUNTA(NPCGender))*(TRUNC(MOD(($B32*1103515245 +12345)/ 65536, 32768),0)/32768),0))</f>
        <v>Male</v>
      </c>
      <c r="AB32" s="16" t="str">
        <f t="array" ref="AB32">INDEX(NPCRace,TRUNC(1+(COUNTA(NPCRace))*(TRUNC(MOD(($B32*1103515245 +12345)/ 65536, 32768),0)/32768),0))</f>
        <v>Dwarf</v>
      </c>
      <c r="AC32" s="16" t="str">
        <f t="array" ref="AC32">INDEX(NPCAL,TRUNC(1+(COUNTA(NPCAL))*(TRUNC(MOD(($B32*1103515245 +12345)/ 65536, 32768),0)/32768),0))</f>
        <v>CE</v>
      </c>
      <c r="AD32" s="72" t="str">
        <f ca="1">IFERROR(__xludf.DUMMYFUNCTION("if(V32&lt;15,QUERY(NPCVar!C:D,""Select D WHERE C = '""&amp;D32&amp;""'""),if((TRUNC(1+10)*(TRUNC(MOD((ROW(H32)*1103515245 +12345)/ 65536, 32768),0)/32768)/10) &gt; 0.85,INDEX(NPCFaction,TRUNC(1+(counta(NPCFaction)-1)*(TRUNC(MOD(($B32*1103515245 +12345)/ 65536, 32768),0"&amp;")/32768),0)),QUERY(NPCVar!C:D,""Select D WHERE C = '""&amp;D32&amp;""'"")))"),"Royalty")</f>
        <v>Royalty</v>
      </c>
      <c r="AE32" s="108" t="e">
        <f t="shared" ca="1" si="11"/>
        <v>#NAME?</v>
      </c>
      <c r="AF32" s="159">
        <f ca="1">IFERROR(__xludf.DUMMYFUNCTION("AE32*(V32 / QUERY(NPCVar!$K$2:$N$12, ""Select N WHERE K='""&amp;AB32&amp;""'""))*TRUNC(1+10)*(TRUNC(MOD(($B32*1103515245 +12345)/ 65536, 32768),0)/32768)"),0.105884399414062)</f>
        <v>0.105884399414062</v>
      </c>
      <c r="AG32" s="16"/>
      <c r="AH32" s="77"/>
      <c r="AI32" s="114"/>
    </row>
    <row r="33" spans="1:35" ht="16.2">
      <c r="A33" s="53">
        <v>32</v>
      </c>
      <c r="B33" s="118">
        <f t="shared" si="0"/>
        <v>1.80633</v>
      </c>
      <c r="C33" s="72" t="str">
        <f t="array" ref="C33">INDEX(NPCFName,TRUNC(1+(COUNTA(NPCFName))*(TRUNC(MOD(($B33*1103515245 +12345)/ 65536, 32768),0)/32768),0))</f>
        <v>Sermak</v>
      </c>
      <c r="D33" s="16" t="str">
        <f t="array" ref="D33">INDEX(NPCLName,TRUNC(1+(COUNTA(NPCLName))*(TRUNC(MOD(($B33*1103515245 +12345)/ 65536, 32768),0)/32768),0))</f>
        <v>Stormwolf</v>
      </c>
      <c r="E33" s="16" t="s">
        <v>174</v>
      </c>
      <c r="F33" s="76">
        <v>8</v>
      </c>
      <c r="G33" s="153">
        <f ca="1">VLOOKUP($AB$2,'RF Mod'!$A$2:$G$12,2,FALSE)+VLOOKUP($AD$2,'RF Mod'!$I$2:$O$11,2,FALSE)+(TRUNC(6+(24-6)*(TRUNC(MOD(($Z33*1103515245 +12345)/ 65536, 32768),0)/32768),0))</f>
        <v>12</v>
      </c>
      <c r="H33" s="16" t="e">
        <f t="shared" ca="1" si="1"/>
        <v>#NAME?</v>
      </c>
      <c r="I33" s="153">
        <f ca="1">VLOOKUP($AB$2,'RF Mod'!$A$2:$G$12,3,FALSE)+VLOOKUP($AD$2,'RF Mod'!$I$2:$O$11,3,FALSE)+(TRUNC(6+(24-6)*(TRUNC(MOD(($Z33*1103515245 +12345)/ 65536, 32768),0)/32768),0))</f>
        <v>16</v>
      </c>
      <c r="J33" s="16" t="e">
        <f t="shared" ca="1" si="2"/>
        <v>#NAME?</v>
      </c>
      <c r="K33" s="153">
        <f ca="1">VLOOKUP($AB$2,'RF Mod'!$A$2:$G$12,3,FALSE)+VLOOKUP($AD$2,'RF Mod'!$I$2:$O$11,3,FALSE)+(TRUNC(6+(24-6)*(TRUNC(MOD(($Z33*1103515245 +12345)/ 65536, 32768),0)/32768),0))</f>
        <v>16</v>
      </c>
      <c r="L33" s="16" t="e">
        <f t="shared" ca="1" si="3"/>
        <v>#NAME?</v>
      </c>
      <c r="M33" s="153">
        <f ca="1">VLOOKUP($AB$2,'RF Mod'!$A$2:$G$12,4,FALSE)+VLOOKUP($AD$2,'RF Mod'!$I$2:$O$11,4,FALSE)+(TRUNC(6+(24-6)*(TRUNC(MOD(($Z33*1103515245 +12345)/ 65536, 32768),0)/32768),0))</f>
        <v>15</v>
      </c>
      <c r="N33" s="16" t="e">
        <f t="shared" ca="1" si="4"/>
        <v>#NAME?</v>
      </c>
      <c r="O33" s="153">
        <f ca="1">VLOOKUP($AB$2,'RF Mod'!$A$2:$G$12,5,FALSE)+VLOOKUP($AD$2,'RF Mod'!$I$2:$O$11,5,FALSE)+(TRUNC(6+(24-6)*(TRUNC(MOD(($Z33*1103515245 +12345)/ 65536, 32768),0)/32768),0))</f>
        <v>18</v>
      </c>
      <c r="P33" s="16" t="e">
        <f t="shared" ca="1" si="5"/>
        <v>#NAME?</v>
      </c>
      <c r="Q33" s="153">
        <f ca="1">VLOOKUP($AB$2,'RF Mod'!$A$2:$G$12,6,FALSE)+VLOOKUP($AD$2,'RF Mod'!$I$2:$O$11,6,FALSE)+(TRUNC(6+(24-6)*(TRUNC(MOD(($Z33*1103515245 +12345)/ 65536, 32768),0)/32768),0))</f>
        <v>16</v>
      </c>
      <c r="R33" s="16" t="e">
        <f t="shared" ca="1" si="6"/>
        <v>#NAME?</v>
      </c>
      <c r="S33" s="154">
        <f t="shared" ca="1" si="12"/>
        <v>208</v>
      </c>
      <c r="T33" s="154">
        <f t="shared" ca="1" si="7"/>
        <v>130</v>
      </c>
      <c r="U33" s="16" t="str">
        <f t="shared" ca="1" si="8"/>
        <v>Bloody</v>
      </c>
      <c r="V33" s="155">
        <f ca="1">IFERROR(__xludf.DUMMYFUNCTION("if(W33=""Middle Age"",QUERY(NPCVar!$K$2:$N1000, ""Select L where K = '""&amp;AB33&amp;""'""),if(W33=""Old"",QUERY(NPCVar!$K$2:$N1000, ""Select M where K = '""&amp;AB33&amp;""'""),if(W33=""Venerable"",QUERY(NPCVar!$K$2:$N1000, ""Select N where K = '""&amp;AB33&amp;""'""),false)))"&amp;"*X33"),69)</f>
        <v>69</v>
      </c>
      <c r="W33" s="156" t="str">
        <f t="array" ref="W33">INDEX(NPCAgeType,TRUNC(1+(4-1)*(TRUNC(MOD((X33*1103515245 +12345)/ 65536, 32768),0)/32768),0))</f>
        <v>Middle Age</v>
      </c>
      <c r="X33" s="117">
        <f t="shared" si="13"/>
        <v>2.2999999999999998</v>
      </c>
      <c r="Y33" s="157" t="e">
        <f t="array" aca="1" ref="Y33" ca="1">LOOKUP(ABS(MAX(Z33 + MIN(ABS(INDIRECT("Class Jobs!B"&amp;MATCH(E33,'Class Jobs'!$A$1:$A1000,0)&amp;":"&amp;"AF"&amp;MATCH(E33,'Class Jobs'!$A$1:$A1000,0)&amp;"")-$Z33)) * SUM(IF(MIN(ABS(INDIRECT("Class Jobs!B"&amp;MATCH(E33,'Class Jobs'!$A$1:$A1000,0)&amp;":"&amp;"AF"&amp;MATCH(E33,'Class Jobs'!$A$1:$A1000,0)&amp;"")-$Z33))=ABS(INDIRECT("Class Jobs!B"&amp;MATCH(E33,'Class Jobs'!$A$1:$A1000,0)&amp;":"&amp;"AF"&amp;MATCH(E33,'Class Jobs'!$A$1:$A1000,0)&amp;"")-$Z33),SIGN(INDIRECT("Class Jobs!B"&amp;MATCH(E33,'Class Jobs'!$A$1:A1000,0)&amp;":"&amp;"AF"&amp;MATCH(E33,'Class Jobs'!$A$1:$A1000,0)&amp;"")-$Z33),0)),0)),INDIRECT("Class Jobs!B"&amp;MATCH(E33,'Class Jobs'!$A$1:$A1000,0)&amp;":"&amp;"AF"&amp;MATCH(E33,'Class Jobs'!$A$1:$A1000,1)&amp;""),'Class Jobs'!$B$1:$AF$1)</f>
        <v>#REF!</v>
      </c>
      <c r="Z33" s="158">
        <f t="shared" si="10"/>
        <v>0.92</v>
      </c>
      <c r="AA33" s="16" t="str">
        <f t="array" ref="AA33">INDEX(NPCGender,TRUNC(1+(COUNTA(NPCGender))*(TRUNC(MOD(($B33*1103515245 +12345)/ 65536, 32768),0)/32768),0))</f>
        <v>Neutral</v>
      </c>
      <c r="AB33" s="16" t="str">
        <f t="array" ref="AB33">INDEX(NPCRace,TRUNC(1+(COUNTA(NPCRace))*(TRUNC(MOD(($B33*1103515245 +12345)/ 65536, 32768),0)/32768),0))</f>
        <v>Goliath</v>
      </c>
      <c r="AC33" s="16" t="str">
        <f t="array" ref="AC33">INDEX(NPCAL,TRUNC(1+(COUNTA(NPCAL))*(TRUNC(MOD(($B33*1103515245 +12345)/ 65536, 32768),0)/32768),0))</f>
        <v>LE</v>
      </c>
      <c r="AD33" s="72" t="str">
        <f ca="1">IFERROR(__xludf.DUMMYFUNCTION("if(V33&lt;15,QUERY(NPCVar!C:D,""Select D WHERE C = '""&amp;D33&amp;""'""),if((TRUNC(1+10)*(TRUNC(MOD((ROW(H33)*1103515245 +12345)/ 65536, 32768),0)/32768)/10) &gt; 0.85,INDEX(NPCFaction,TRUNC(1+(counta(NPCFaction)-1)*(TRUNC(MOD(($B33*1103515245 +12345)/ 65536, 32768),0"&amp;")/32768),0)),QUERY(NPCVar!C:D,""Select D WHERE C = '""&amp;D33&amp;""'"")))"),"Traverlers Guild")</f>
        <v>Traverlers Guild</v>
      </c>
      <c r="AE33" s="108" t="e">
        <f t="shared" ca="1" si="11"/>
        <v>#NAME?</v>
      </c>
      <c r="AF33" s="159">
        <f ca="1">IFERROR(__xludf.DUMMYFUNCTION("AE33*(V33 / QUERY(NPCVar!$K$2:$N$12, ""Select N WHERE K='""&amp;AB33&amp;""'""))*TRUNC(1+10)*(TRUNC(MOD(($B33*1103515245 +12345)/ 65536, 32768),0)/32768)"),2.9354076385498)</f>
        <v>2.9354076385497998</v>
      </c>
      <c r="AG33" s="16"/>
      <c r="AH33" s="77"/>
      <c r="AI33" s="114"/>
    </row>
    <row r="34" spans="1:35" ht="16.2">
      <c r="A34" s="53">
        <v>33</v>
      </c>
      <c r="B34" s="118">
        <f t="shared" si="0"/>
        <v>0.80047999999999997</v>
      </c>
      <c r="C34" s="72" t="str">
        <f t="array" ref="C34">INDEX(NPCFName,TRUNC(1+(COUNTA(NPCFName))*(TRUNC(MOD(($B34*1103515245 +12345)/ 65536, 32768),0)/32768),0))</f>
        <v>Dosoman</v>
      </c>
      <c r="D34" s="16" t="str">
        <f t="array" ref="D34">INDEX(NPCLName,TRUNC(1+(COUNTA(NPCLName))*(TRUNC(MOD(($B34*1103515245 +12345)/ 65536, 32768),0)/32768),0))</f>
        <v>Windshade</v>
      </c>
      <c r="E34" s="16" t="s">
        <v>135</v>
      </c>
      <c r="F34" s="76">
        <v>6</v>
      </c>
      <c r="G34" s="153">
        <f ca="1">VLOOKUP($AB$2,'RF Mod'!$A$2:$G$12,2,FALSE)+VLOOKUP($AD$2,'RF Mod'!$I$2:$O$11,2,FALSE)+(TRUNC(6+(24-6)*(TRUNC(MOD(($Z34*1103515245 +12345)/ 65536, 32768),0)/32768),0))</f>
        <v>7</v>
      </c>
      <c r="H34" s="16">
        <f t="shared" ca="1" si="1"/>
        <v>-2</v>
      </c>
      <c r="I34" s="153">
        <f ca="1">VLOOKUP($AB$2,'RF Mod'!$A$2:$G$12,3,FALSE)+VLOOKUP($AD$2,'RF Mod'!$I$2:$O$11,3,FALSE)+(TRUNC(6+(24-6)*(TRUNC(MOD(($Z34*1103515245 +12345)/ 65536, 32768),0)/32768),0))</f>
        <v>11</v>
      </c>
      <c r="J34" s="16" t="e">
        <f t="shared" ca="1" si="2"/>
        <v>#NAME?</v>
      </c>
      <c r="K34" s="153">
        <f ca="1">VLOOKUP($AB$2,'RF Mod'!$A$2:$G$12,3,FALSE)+VLOOKUP($AD$2,'RF Mod'!$I$2:$O$11,3,FALSE)+(TRUNC(6+(24-6)*(TRUNC(MOD(($Z34*1103515245 +12345)/ 65536, 32768),0)/32768),0))</f>
        <v>11</v>
      </c>
      <c r="L34" s="16" t="e">
        <f t="shared" ca="1" si="3"/>
        <v>#NAME?</v>
      </c>
      <c r="M34" s="153">
        <f ca="1">VLOOKUP($AB$2,'RF Mod'!$A$2:$G$12,4,FALSE)+VLOOKUP($AD$2,'RF Mod'!$I$2:$O$11,4,FALSE)+(TRUNC(6+(24-6)*(TRUNC(MOD(($Z34*1103515245 +12345)/ 65536, 32768),0)/32768),0))</f>
        <v>10</v>
      </c>
      <c r="N34" s="16" t="e">
        <f t="shared" ca="1" si="4"/>
        <v>#NAME?</v>
      </c>
      <c r="O34" s="153">
        <f ca="1">VLOOKUP($AB$2,'RF Mod'!$A$2:$G$12,5,FALSE)+VLOOKUP($AD$2,'RF Mod'!$I$2:$O$11,5,FALSE)+(TRUNC(6+(24-6)*(TRUNC(MOD(($Z34*1103515245 +12345)/ 65536, 32768),0)/32768),0))</f>
        <v>13</v>
      </c>
      <c r="P34" s="16" t="e">
        <f t="shared" ca="1" si="5"/>
        <v>#NAME?</v>
      </c>
      <c r="Q34" s="153">
        <f ca="1">VLOOKUP($AB$2,'RF Mod'!$A$2:$G$12,6,FALSE)+VLOOKUP($AD$2,'RF Mod'!$I$2:$O$11,6,FALSE)+(TRUNC(6+(24-6)*(TRUNC(MOD(($Z34*1103515245 +12345)/ 65536, 32768),0)/32768),0))</f>
        <v>11</v>
      </c>
      <c r="R34" s="16" t="e">
        <f t="shared" ca="1" si="6"/>
        <v>#NAME?</v>
      </c>
      <c r="S34" s="154">
        <f t="shared" ca="1" si="12"/>
        <v>150</v>
      </c>
      <c r="T34" s="154">
        <f t="shared" ca="1" si="7"/>
        <v>50</v>
      </c>
      <c r="U34" s="16" t="str">
        <f t="shared" ca="1" si="8"/>
        <v>Fine</v>
      </c>
      <c r="V34" s="155">
        <f ca="1">IFERROR(__xludf.DUMMYFUNCTION("if(W34=""Middle Age"",QUERY(NPCVar!$K$2:$N1000, ""Select L where K = '""&amp;AB34&amp;""'""),if(W34=""Old"",QUERY(NPCVar!$K$2:$N1000, ""Select M where K = '""&amp;AB34&amp;""'""),if(W34=""Venerable"",QUERY(NPCVar!$K$2:$N1000, ""Select N where K = '""&amp;AB34&amp;""'""),false)))"&amp;"*X34"),67.5)</f>
        <v>67.5</v>
      </c>
      <c r="W34" s="156" t="str">
        <f t="array" ref="W34">INDEX(NPCAgeType,TRUNC(1+(4-1)*(TRUNC(MOD((X34*1103515245 +12345)/ 65536, 32768),0)/32768),0))</f>
        <v>Old</v>
      </c>
      <c r="X34" s="117">
        <f t="shared" si="13"/>
        <v>1</v>
      </c>
      <c r="Y34" s="157" t="e">
        <f t="array" aca="1" ref="Y34" ca="1">LOOKUP(ABS(MAX(Z34 + MIN(ABS(INDIRECT("Class Jobs!B"&amp;MATCH(E34,'Class Jobs'!$A$1:$A1000,0)&amp;":"&amp;"AF"&amp;MATCH(E34,'Class Jobs'!$A$1:$A1000,0)&amp;"")-$Z34)) * SUM(IF(MIN(ABS(INDIRECT("Class Jobs!B"&amp;MATCH(E34,'Class Jobs'!$A$1:$A1000,0)&amp;":"&amp;"AF"&amp;MATCH(E34,'Class Jobs'!$A$1:$A1000,0)&amp;"")-$Z34))=ABS(INDIRECT("Class Jobs!B"&amp;MATCH(E34,'Class Jobs'!$A$1:$A1000,0)&amp;":"&amp;"AF"&amp;MATCH(E34,'Class Jobs'!$A$1:$A1000,0)&amp;"")-$Z34),SIGN(INDIRECT("Class Jobs!B"&amp;MATCH(E34,'Class Jobs'!$A$1:A1000,0)&amp;":"&amp;"AF"&amp;MATCH(E34,'Class Jobs'!$A$1:$A1000,0)&amp;"")-$Z34),0)),0)),INDIRECT("Class Jobs!B"&amp;MATCH(E34,'Class Jobs'!$A$1:$A1000,0)&amp;":"&amp;"AF"&amp;MATCH(E34,'Class Jobs'!$A$1:$A1000,1)&amp;""),'Class Jobs'!$B$1:$AF$1)</f>
        <v>#REF!</v>
      </c>
      <c r="Z34" s="158">
        <f t="shared" si="10"/>
        <v>0.41</v>
      </c>
      <c r="AA34" s="16" t="str">
        <f t="array" ref="AA34">INDEX(NPCGender,TRUNC(1+(COUNTA(NPCGender))*(TRUNC(MOD(($B34*1103515245 +12345)/ 65536, 32768),0)/32768),0))</f>
        <v>Female</v>
      </c>
      <c r="AB34" s="16" t="str">
        <f t="array" ref="AB34">INDEX(NPCRace,TRUNC(1+(COUNTA(NPCRace))*(TRUNC(MOD(($B34*1103515245 +12345)/ 65536, 32768),0)/32768),0))</f>
        <v>Half-Elf</v>
      </c>
      <c r="AC34" s="16" t="str">
        <f t="array" ref="AC34">INDEX(NPCAL,TRUNC(1+(COUNTA(NPCAL))*(TRUNC(MOD(($B34*1103515245 +12345)/ 65536, 32768),0)/32768),0))</f>
        <v>NG</v>
      </c>
      <c r="AD34" s="72" t="str">
        <f ca="1">IFERROR(__xludf.DUMMYFUNCTION("if(V34&lt;15,QUERY(NPCVar!C:D,""Select D WHERE C = '""&amp;D34&amp;""'""),if((TRUNC(1+10)*(TRUNC(MOD((ROW(H34)*1103515245 +12345)/ 65536, 32768),0)/32768)/10) &gt; 0.85,INDEX(NPCFaction,TRUNC(1+(counta(NPCFaction)-1)*(TRUNC(MOD(($B34*1103515245 +12345)/ 65536, 32768),0"&amp;")/32768),0)),QUERY(NPCVar!C:D,""Select D WHERE C = '""&amp;D34&amp;""'"")))"),"Traders Guild")</f>
        <v>Traders Guild</v>
      </c>
      <c r="AE34" s="108" t="e">
        <f t="shared" ca="1" si="11"/>
        <v>#NAME?</v>
      </c>
      <c r="AF34" s="159">
        <f ca="1">IFERROR(__xludf.DUMMYFUNCTION("AE34*(V34 / QUERY(NPCVar!$K$2:$N$12, ""Select N WHERE K='""&amp;AB34&amp;""'""))*TRUNC(1+10)*(TRUNC(MOD(($B34*1103515245 +12345)/ 65536, 32768),0)/32768)"),1.35734252929687)</f>
        <v>1.3573425292968699</v>
      </c>
      <c r="AG34" s="16"/>
      <c r="AH34" s="77"/>
      <c r="AI34" s="114"/>
    </row>
    <row r="35" spans="1:35" ht="16.2">
      <c r="A35" s="53">
        <v>34</v>
      </c>
      <c r="B35" s="118">
        <f t="shared" si="0"/>
        <v>2.29454</v>
      </c>
      <c r="C35" s="72" t="str">
        <f t="array" ref="C35">INDEX(NPCFName,TRUNC(1+(COUNTA(NPCFName))*(TRUNC(MOD(($B35*1103515245 +12345)/ 65536, 32768),0)/32768),0))</f>
        <v>Lurd</v>
      </c>
      <c r="D35" s="16" t="str">
        <f t="array" ref="D35">INDEX(NPCLName,TRUNC(1+(COUNTA(NPCLName))*(TRUNC(MOD(($B35*1103515245 +12345)/ 65536, 32768),0)/32768),0))</f>
        <v>Ashcloud</v>
      </c>
      <c r="E35" s="16" t="s">
        <v>183</v>
      </c>
      <c r="F35" s="76">
        <v>1</v>
      </c>
      <c r="G35" s="153">
        <f ca="1">VLOOKUP($AB$2,'RF Mod'!$A$2:$G$12,2,FALSE)+VLOOKUP($AD$2,'RF Mod'!$I$2:$O$11,2,FALSE)+(TRUNC(6+(24-6)*(TRUNC(MOD(($Z35*1103515245 +12345)/ 65536, 32768),0)/32768),0))</f>
        <v>5</v>
      </c>
      <c r="H35" s="16">
        <f t="shared" ca="1" si="1"/>
        <v>-3</v>
      </c>
      <c r="I35" s="153">
        <f ca="1">VLOOKUP($AB$2,'RF Mod'!$A$2:$G$12,3,FALSE)+VLOOKUP($AD$2,'RF Mod'!$I$2:$O$11,3,FALSE)+(TRUNC(6+(24-6)*(TRUNC(MOD(($Z35*1103515245 +12345)/ 65536, 32768),0)/32768),0))</f>
        <v>9</v>
      </c>
      <c r="J35" s="16">
        <f t="shared" ca="1" si="2"/>
        <v>-1</v>
      </c>
      <c r="K35" s="153">
        <f ca="1">VLOOKUP($AB$2,'RF Mod'!$A$2:$G$12,3,FALSE)+VLOOKUP($AD$2,'RF Mod'!$I$2:$O$11,3,FALSE)+(TRUNC(6+(24-6)*(TRUNC(MOD(($Z35*1103515245 +12345)/ 65536, 32768),0)/32768),0))</f>
        <v>9</v>
      </c>
      <c r="L35" s="16">
        <f t="shared" ca="1" si="3"/>
        <v>-1</v>
      </c>
      <c r="M35" s="153">
        <f ca="1">VLOOKUP($AB$2,'RF Mod'!$A$2:$G$12,4,FALSE)+VLOOKUP($AD$2,'RF Mod'!$I$2:$O$11,4,FALSE)+(TRUNC(6+(24-6)*(TRUNC(MOD(($Z35*1103515245 +12345)/ 65536, 32768),0)/32768),0))</f>
        <v>8</v>
      </c>
      <c r="N35" s="16">
        <f t="shared" ca="1" si="4"/>
        <v>-1</v>
      </c>
      <c r="O35" s="153">
        <f ca="1">VLOOKUP($AB$2,'RF Mod'!$A$2:$G$12,5,FALSE)+VLOOKUP($AD$2,'RF Mod'!$I$2:$O$11,5,FALSE)+(TRUNC(6+(24-6)*(TRUNC(MOD(($Z35*1103515245 +12345)/ 65536, 32768),0)/32768),0))</f>
        <v>11</v>
      </c>
      <c r="P35" s="16" t="e">
        <f t="shared" ca="1" si="5"/>
        <v>#NAME?</v>
      </c>
      <c r="Q35" s="153">
        <f ca="1">VLOOKUP($AB$2,'RF Mod'!$A$2:$G$12,6,FALSE)+VLOOKUP($AD$2,'RF Mod'!$I$2:$O$11,6,FALSE)+(TRUNC(6+(24-6)*(TRUNC(MOD(($Z35*1103515245 +12345)/ 65536, 32768),0)/32768),0))</f>
        <v>9</v>
      </c>
      <c r="R35" s="16">
        <f t="shared" ca="1" si="6"/>
        <v>-1</v>
      </c>
      <c r="S35" s="154">
        <f t="shared" ca="1" si="12"/>
        <v>11</v>
      </c>
      <c r="T35" s="154">
        <f t="shared" ca="1" si="7"/>
        <v>5</v>
      </c>
      <c r="U35" s="16" t="str">
        <f t="shared" ca="1" si="8"/>
        <v>Fine</v>
      </c>
      <c r="V35" s="155">
        <f ca="1">IFERROR(__xludf.DUMMYFUNCTION("if(W35=""Middle Age"",QUERY(NPCVar!$K$2:$N1000, ""Select L where K = '""&amp;AB35&amp;""'""),if(W35=""Old"",QUERY(NPCVar!$K$2:$N1000, ""Select M where K = '""&amp;AB35&amp;""'""),if(W35=""Venerable"",QUERY(NPCVar!$K$2:$N1000, ""Select N where K = '""&amp;AB35&amp;""'""),false)))"&amp;"*X35"),40)</f>
        <v>40</v>
      </c>
      <c r="W35" s="156" t="str">
        <f t="array" ref="W35">INDEX(NPCAgeType,TRUNC(1+(4-1)*(TRUNC(MOD((X35*1103515245 +12345)/ 65536, 32768),0)/32768),0))</f>
        <v>Middle Age</v>
      </c>
      <c r="X35" s="117">
        <f t="shared" si="13"/>
        <v>0.5</v>
      </c>
      <c r="Y35" s="157" t="e">
        <f t="array" aca="1" ref="Y35" ca="1">LOOKUP(ABS(MAX(Z35 + MIN(ABS(INDIRECT("Class Jobs!B"&amp;MATCH(E35,'Class Jobs'!$A$1:$A1000,0)&amp;":"&amp;"AF"&amp;MATCH(E35,'Class Jobs'!$A$1:$A1000,0)&amp;"")-$Z35)) * SUM(IF(MIN(ABS(INDIRECT("Class Jobs!B"&amp;MATCH(E35,'Class Jobs'!$A$1:$A1000,0)&amp;":"&amp;"AF"&amp;MATCH(E35,'Class Jobs'!$A$1:$A1000,0)&amp;"")-$Z35))=ABS(INDIRECT("Class Jobs!B"&amp;MATCH(E35,'Class Jobs'!$A$1:$A1000,0)&amp;":"&amp;"AF"&amp;MATCH(E35,'Class Jobs'!$A$1:$A1000,0)&amp;"")-$Z35),SIGN(INDIRECT("Class Jobs!B"&amp;MATCH(E35,'Class Jobs'!$A$1:A1000,0)&amp;":"&amp;"AF"&amp;MATCH(E35,'Class Jobs'!$A$1:$A1000,0)&amp;"")-$Z35),0)),0)),INDIRECT("Class Jobs!B"&amp;MATCH(E35,'Class Jobs'!$A$1:$A1000,0)&amp;":"&amp;"AF"&amp;MATCH(E35,'Class Jobs'!$A$1:$A1000,1)&amp;""),'Class Jobs'!$B$1:$AF$1)</f>
        <v>#REF!</v>
      </c>
      <c r="Z35" s="158">
        <f t="shared" si="10"/>
        <v>0.18</v>
      </c>
      <c r="AA35" s="16" t="str">
        <f t="array" ref="AA35">INDEX(NPCGender,TRUNC(1+(COUNTA(NPCGender))*(TRUNC(MOD(($B35*1103515245 +12345)/ 65536, 32768),0)/32768),0))</f>
        <v>Male</v>
      </c>
      <c r="AB35" s="16" t="str">
        <f t="array" ref="AB35">INDEX(NPCRace,TRUNC(1+(COUNTA(NPCRace))*(TRUNC(MOD(($B35*1103515245 +12345)/ 65536, 32768),0)/32768),0))</f>
        <v>Dwarf</v>
      </c>
      <c r="AC35" s="16" t="str">
        <f t="array" ref="AC35">INDEX(NPCAL,TRUNC(1+(COUNTA(NPCAL))*(TRUNC(MOD(($B35*1103515245 +12345)/ 65536, 32768),0)/32768),0))</f>
        <v>CE</v>
      </c>
      <c r="AD35" s="72" t="str">
        <f ca="1">IFERROR(__xludf.DUMMYFUNCTION("if(V35&lt;15,QUERY(NPCVar!C:D,""Select D WHERE C = '""&amp;D35&amp;""'""),if((TRUNC(1+10)*(TRUNC(MOD((ROW(H35)*1103515245 +12345)/ 65536, 32768),0)/32768)/10) &gt; 0.85,INDEX(NPCFaction,TRUNC(1+(counta(NPCFaction)-1)*(TRUNC(MOD(($B35*1103515245 +12345)/ 65536, 32768),0"&amp;")/32768),0)),QUERY(NPCVar!C:D,""Select D WHERE C = '""&amp;D35&amp;""'"")))"),"Necromancer")</f>
        <v>Necromancer</v>
      </c>
      <c r="AE35" s="108" t="e">
        <f t="shared" ca="1" si="11"/>
        <v>#NAME?</v>
      </c>
      <c r="AF35" s="159">
        <f ca="1">IFERROR(__xludf.DUMMYFUNCTION("AE35*(V35 / QUERY(NPCVar!$K$2:$N$12, ""Select N WHERE K='""&amp;AB35&amp;""'""))*TRUNC(1+10)*(TRUNC(MOD(($B35*1103515245 +12345)/ 65536, 32768),0)/32768)"),0.0492462158203125)</f>
        <v>4.9246215820312501E-2</v>
      </c>
      <c r="AG35" s="16"/>
      <c r="AH35" s="77"/>
      <c r="AI35" s="114"/>
    </row>
    <row r="36" spans="1:35" ht="16.2">
      <c r="A36" s="53">
        <v>35</v>
      </c>
      <c r="B36" s="118">
        <f t="shared" si="0"/>
        <v>1.28868</v>
      </c>
      <c r="C36" s="72" t="str">
        <f t="array" ref="C36">INDEX(NPCFName,TRUNC(1+(COUNTA(NPCFName))*(TRUNC(MOD(($B36*1103515245 +12345)/ 65536, 32768),0)/32768),0))</f>
        <v>Zigmal</v>
      </c>
      <c r="D36" s="16" t="str">
        <f t="array" ref="D36">INDEX(NPCLName,TRUNC(1+(COUNTA(NPCLName))*(TRUNC(MOD(($B36*1103515245 +12345)/ 65536, 32768),0)/32768),0))</f>
        <v>Mourninglash</v>
      </c>
      <c r="E36" s="16" t="s">
        <v>135</v>
      </c>
      <c r="F36" s="76">
        <v>8</v>
      </c>
      <c r="G36" s="153">
        <f ca="1">VLOOKUP($AB$2,'RF Mod'!$A$2:$G$12,2,FALSE)+VLOOKUP($AD$2,'RF Mod'!$I$2:$O$11,2,FALSE)+(TRUNC(6+(24-6)*(TRUNC(MOD(($Z36*1103515245 +12345)/ 65536, 32768),0)/32768),0))</f>
        <v>10</v>
      </c>
      <c r="H36" s="16" t="e">
        <f t="shared" ca="1" si="1"/>
        <v>#NAME?</v>
      </c>
      <c r="I36" s="153">
        <f ca="1">VLOOKUP($AB$2,'RF Mod'!$A$2:$G$12,3,FALSE)+VLOOKUP($AD$2,'RF Mod'!$I$2:$O$11,3,FALSE)+(TRUNC(6+(24-6)*(TRUNC(MOD(($Z36*1103515245 +12345)/ 65536, 32768),0)/32768),0))</f>
        <v>14</v>
      </c>
      <c r="J36" s="16" t="e">
        <f t="shared" ca="1" si="2"/>
        <v>#NAME?</v>
      </c>
      <c r="K36" s="153">
        <f ca="1">VLOOKUP($AB$2,'RF Mod'!$A$2:$G$12,3,FALSE)+VLOOKUP($AD$2,'RF Mod'!$I$2:$O$11,3,FALSE)+(TRUNC(6+(24-6)*(TRUNC(MOD(($Z36*1103515245 +12345)/ 65536, 32768),0)/32768),0))</f>
        <v>14</v>
      </c>
      <c r="L36" s="16" t="e">
        <f t="shared" ca="1" si="3"/>
        <v>#NAME?</v>
      </c>
      <c r="M36" s="153">
        <f ca="1">VLOOKUP($AB$2,'RF Mod'!$A$2:$G$12,4,FALSE)+VLOOKUP($AD$2,'RF Mod'!$I$2:$O$11,4,FALSE)+(TRUNC(6+(24-6)*(TRUNC(MOD(($Z36*1103515245 +12345)/ 65536, 32768),0)/32768),0))</f>
        <v>13</v>
      </c>
      <c r="N36" s="16" t="e">
        <f t="shared" ca="1" si="4"/>
        <v>#NAME?</v>
      </c>
      <c r="O36" s="153">
        <f ca="1">VLOOKUP($AB$2,'RF Mod'!$A$2:$G$12,5,FALSE)+VLOOKUP($AD$2,'RF Mod'!$I$2:$O$11,5,FALSE)+(TRUNC(6+(24-6)*(TRUNC(MOD(($Z36*1103515245 +12345)/ 65536, 32768),0)/32768),0))</f>
        <v>16</v>
      </c>
      <c r="P36" s="16" t="e">
        <f t="shared" ca="1" si="5"/>
        <v>#NAME?</v>
      </c>
      <c r="Q36" s="153">
        <f ca="1">VLOOKUP($AB$2,'RF Mod'!$A$2:$G$12,6,FALSE)+VLOOKUP($AD$2,'RF Mod'!$I$2:$O$11,6,FALSE)+(TRUNC(6+(24-6)*(TRUNC(MOD(($Z36*1103515245 +12345)/ 65536, 32768),0)/32768),0))</f>
        <v>14</v>
      </c>
      <c r="R36" s="16" t="e">
        <f t="shared" ca="1" si="6"/>
        <v>#NAME?</v>
      </c>
      <c r="S36" s="154">
        <f t="shared" ca="1" si="12"/>
        <v>256</v>
      </c>
      <c r="T36" s="154">
        <f t="shared" ca="1" si="7"/>
        <v>293</v>
      </c>
      <c r="U36" s="16" t="str">
        <f t="shared" ca="1" si="8"/>
        <v>Dead</v>
      </c>
      <c r="V36" s="155">
        <f ca="1">IFERROR(__xludf.DUMMYFUNCTION("if(W36=""Middle Age"",QUERY(NPCVar!$K$2:$N1000, ""Select L where K = '""&amp;AB36&amp;""'""),if(W36=""Old"",QUERY(NPCVar!$K$2:$N1000, ""Select M where K = '""&amp;AB36&amp;""'""),if(W36=""Venerable"",QUERY(NPCVar!$K$2:$N1000, ""Select N where K = '""&amp;AB36&amp;""'""),false)))"&amp;"*X36"),144)</f>
        <v>144</v>
      </c>
      <c r="W36" s="156" t="str">
        <f t="array" ref="W36">INDEX(NPCAgeType,TRUNC(1+(4-1)*(TRUNC(MOD((X36*1103515245 +12345)/ 65536, 32768),0)/32768),0))</f>
        <v>Venerable</v>
      </c>
      <c r="X36" s="117">
        <f t="shared" si="13"/>
        <v>1.6</v>
      </c>
      <c r="Y36" s="157" t="e">
        <f t="array" aca="1" ref="Y36" ca="1">LOOKUP(ABS(MAX(Z36 + MIN(ABS(INDIRECT("Class Jobs!B"&amp;MATCH(E36,'Class Jobs'!$A$1:$A1000,0)&amp;":"&amp;"AF"&amp;MATCH(E36,'Class Jobs'!$A$1:$A1000,0)&amp;"")-$Z36)) * SUM(IF(MIN(ABS(INDIRECT("Class Jobs!B"&amp;MATCH(E36,'Class Jobs'!$A$1:$A1000,0)&amp;":"&amp;"AF"&amp;MATCH(E36,'Class Jobs'!$A$1:$A1000,0)&amp;"")-$Z36))=ABS(INDIRECT("Class Jobs!B"&amp;MATCH(E36,'Class Jobs'!$A$1:$A1000,0)&amp;":"&amp;"AF"&amp;MATCH(E36,'Class Jobs'!$A$1:$A1000,0)&amp;"")-$Z36),SIGN(INDIRECT("Class Jobs!B"&amp;MATCH(E36,'Class Jobs'!$A$1:A1000,0)&amp;":"&amp;"AF"&amp;MATCH(E36,'Class Jobs'!$A$1:$A1000,0)&amp;"")-$Z36),0)),0)),INDIRECT("Class Jobs!B"&amp;MATCH(E36,'Class Jobs'!$A$1:$A1000,0)&amp;":"&amp;"AF"&amp;MATCH(E36,'Class Jobs'!$A$1:$A1000,1)&amp;""),'Class Jobs'!$B$1:$AF$1)</f>
        <v>#REF!</v>
      </c>
      <c r="Z36" s="158">
        <f t="shared" si="10"/>
        <v>0.66</v>
      </c>
      <c r="AA36" s="16" t="str">
        <f t="array" ref="AA36">INDEX(NPCGender,TRUNC(1+(COUNTA(NPCGender))*(TRUNC(MOD(($B36*1103515245 +12345)/ 65536, 32768),0)/32768),0))</f>
        <v>Female</v>
      </c>
      <c r="AB36" s="16" t="str">
        <f t="array" ref="AB36">INDEX(NPCRace,TRUNC(1+(COUNTA(NPCRace))*(TRUNC(MOD(($B36*1103515245 +12345)/ 65536, 32768),0)/32768),0))</f>
        <v>Human</v>
      </c>
      <c r="AC36" s="16" t="str">
        <f t="array" ref="AC36">INDEX(NPCAL,TRUNC(1+(COUNTA(NPCAL))*(TRUNC(MOD(($B36*1103515245 +12345)/ 65536, 32768),0)/32768),0))</f>
        <v>NE</v>
      </c>
      <c r="AD36" s="72" t="str">
        <f ca="1">IFERROR(__xludf.DUMMYFUNCTION("if(V36&lt;15,QUERY(NPCVar!C:D,""Select D WHERE C = '""&amp;D36&amp;""'""),if((TRUNC(1+10)*(TRUNC(MOD((ROW(H36)*1103515245 +12345)/ 65536, 32768),0)/32768)/10) &gt; 0.85,INDEX(NPCFaction,TRUNC(1+(counta(NPCFaction)-1)*(TRUNC(MOD(($B36*1103515245 +12345)/ 65536, 32768),0"&amp;")/32768),0)),QUERY(NPCVar!C:D,""Select D WHERE C = '""&amp;D36&amp;""'"")))"),"Traverlers Guild")</f>
        <v>Traverlers Guild</v>
      </c>
      <c r="AE36" s="108" t="e">
        <f t="shared" ca="1" si="11"/>
        <v>#NAME?</v>
      </c>
      <c r="AF36" s="159">
        <f ca="1">IFERROR(__xludf.DUMMYFUNCTION("AE36*(V36 / QUERY(NPCVar!$K$2:$N$12, ""Select N WHERE K='""&amp;AB36&amp;""'""))*TRUNC(1+10)*(TRUNC(MOD(($B36*1103515245 +12345)/ 65536, 32768),0)/32768)"),11.654736328125)</f>
        <v>11.654736328125001</v>
      </c>
      <c r="AG36" s="16"/>
      <c r="AH36" s="77"/>
      <c r="AI36" s="114"/>
    </row>
    <row r="37" spans="1:35" ht="16.2">
      <c r="A37" s="53">
        <v>36</v>
      </c>
      <c r="B37" s="118">
        <f t="shared" si="0"/>
        <v>0.28283000000000003</v>
      </c>
      <c r="C37" s="72" t="str">
        <f t="array" ref="C37">INDEX(NPCFName,TRUNC(1+(COUNTA(NPCFName))*(TRUNC(MOD(($B37*1103515245 +12345)/ 65536, 32768),0)/32768),0))</f>
        <v>Isen</v>
      </c>
      <c r="D37" s="16" t="str">
        <f t="array" ref="D37">INDEX(NPCLName,TRUNC(1+(COUNTA(NPCLName))*(TRUNC(MOD(($B37*1103515245 +12345)/ 65536, 32768),0)/32768),0))</f>
        <v>Fistwing</v>
      </c>
      <c r="E37" s="16" t="s">
        <v>183</v>
      </c>
      <c r="F37" s="76">
        <v>1</v>
      </c>
      <c r="G37" s="153">
        <f ca="1">VLOOKUP($AB$2,'RF Mod'!$A$2:$G$12,2,FALSE)+VLOOKUP($AD$2,'RF Mod'!$I$2:$O$11,2,FALSE)+(TRUNC(6+(24-6)*(TRUNC(MOD(($Z37*1103515245 +12345)/ 65536, 32768),0)/32768),0))</f>
        <v>5</v>
      </c>
      <c r="H37" s="16">
        <f t="shared" ca="1" si="1"/>
        <v>-3</v>
      </c>
      <c r="I37" s="153">
        <f ca="1">VLOOKUP($AB$2,'RF Mod'!$A$2:$G$12,3,FALSE)+VLOOKUP($AD$2,'RF Mod'!$I$2:$O$11,3,FALSE)+(TRUNC(6+(24-6)*(TRUNC(MOD(($Z37*1103515245 +12345)/ 65536, 32768),0)/32768),0))</f>
        <v>9</v>
      </c>
      <c r="J37" s="16">
        <f t="shared" ca="1" si="2"/>
        <v>-1</v>
      </c>
      <c r="K37" s="153">
        <f ca="1">VLOOKUP($AB$2,'RF Mod'!$A$2:$G$12,3,FALSE)+VLOOKUP($AD$2,'RF Mod'!$I$2:$O$11,3,FALSE)+(TRUNC(6+(24-6)*(TRUNC(MOD(($Z37*1103515245 +12345)/ 65536, 32768),0)/32768),0))</f>
        <v>9</v>
      </c>
      <c r="L37" s="16">
        <f t="shared" ca="1" si="3"/>
        <v>-1</v>
      </c>
      <c r="M37" s="153">
        <f ca="1">VLOOKUP($AB$2,'RF Mod'!$A$2:$G$12,4,FALSE)+VLOOKUP($AD$2,'RF Mod'!$I$2:$O$11,4,FALSE)+(TRUNC(6+(24-6)*(TRUNC(MOD(($Z37*1103515245 +12345)/ 65536, 32768),0)/32768),0))</f>
        <v>8</v>
      </c>
      <c r="N37" s="16">
        <f t="shared" ca="1" si="4"/>
        <v>-1</v>
      </c>
      <c r="O37" s="153">
        <f ca="1">VLOOKUP($AB$2,'RF Mod'!$A$2:$G$12,5,FALSE)+VLOOKUP($AD$2,'RF Mod'!$I$2:$O$11,5,FALSE)+(TRUNC(6+(24-6)*(TRUNC(MOD(($Z37*1103515245 +12345)/ 65536, 32768),0)/32768),0))</f>
        <v>11</v>
      </c>
      <c r="P37" s="16" t="e">
        <f t="shared" ca="1" si="5"/>
        <v>#NAME?</v>
      </c>
      <c r="Q37" s="153">
        <f ca="1">VLOOKUP($AB$2,'RF Mod'!$A$2:$G$12,6,FALSE)+VLOOKUP($AD$2,'RF Mod'!$I$2:$O$11,6,FALSE)+(TRUNC(6+(24-6)*(TRUNC(MOD(($Z37*1103515245 +12345)/ 65536, 32768),0)/32768),0))</f>
        <v>9</v>
      </c>
      <c r="R37" s="16">
        <f t="shared" ca="1" si="6"/>
        <v>-1</v>
      </c>
      <c r="S37" s="154">
        <f t="shared" ca="1" si="12"/>
        <v>11</v>
      </c>
      <c r="T37" s="154">
        <f t="shared" ca="1" si="7"/>
        <v>2</v>
      </c>
      <c r="U37" s="16" t="str">
        <f t="shared" ca="1" si="8"/>
        <v>Fine</v>
      </c>
      <c r="V37" s="155">
        <f ca="1">IFERROR(__xludf.DUMMYFUNCTION("if(W37=""Middle Age"",QUERY(NPCVar!$K$2:$N1000, ""Select L where K = '""&amp;AB37&amp;""'""),if(W37=""Old"",QUERY(NPCVar!$K$2:$N1000, ""Select M where K = '""&amp;AB37&amp;""'""),if(W37=""Venerable"",QUERY(NPCVar!$K$2:$N1000, ""Select N where K = '""&amp;AB37&amp;""'""),false)))"&amp;"*X37"),32)</f>
        <v>32</v>
      </c>
      <c r="W37" s="156" t="str">
        <f t="array" ref="W37">INDEX(NPCAgeType,TRUNC(1+(4-1)*(TRUNC(MOD((X37*1103515245 +12345)/ 65536, 32768),0)/32768),0))</f>
        <v>Middle Age</v>
      </c>
      <c r="X37" s="117">
        <f t="shared" si="13"/>
        <v>0.4</v>
      </c>
      <c r="Y37" s="157" t="e">
        <f t="array" aca="1" ref="Y37" ca="1">LOOKUP(ABS(MAX(Z37 + MIN(ABS(INDIRECT("Class Jobs!B"&amp;MATCH(E37,'Class Jobs'!$A$1:$A1000,0)&amp;":"&amp;"AF"&amp;MATCH(E37,'Class Jobs'!$A$1:$A1000,0)&amp;"")-$Z37)) * SUM(IF(MIN(ABS(INDIRECT("Class Jobs!B"&amp;MATCH(E37,'Class Jobs'!$A$1:$A1000,0)&amp;":"&amp;"AF"&amp;MATCH(E37,'Class Jobs'!$A$1:$A1000,0)&amp;"")-$Z37))=ABS(INDIRECT("Class Jobs!B"&amp;MATCH(E37,'Class Jobs'!$A$1:$A1000,0)&amp;":"&amp;"AF"&amp;MATCH(E37,'Class Jobs'!$A$1:$A1000,0)&amp;"")-$Z37),SIGN(INDIRECT("Class Jobs!B"&amp;MATCH(E37,'Class Jobs'!$A$1:A1000,0)&amp;":"&amp;"AF"&amp;MATCH(E37,'Class Jobs'!$A$1:$A1000,0)&amp;"")-$Z37),0)),0)),INDIRECT("Class Jobs!B"&amp;MATCH(E37,'Class Jobs'!$A$1:$A1000,0)&amp;":"&amp;"AF"&amp;MATCH(E37,'Class Jobs'!$A$1:$A1000,1)&amp;""),'Class Jobs'!$B$1:$AF$1)</f>
        <v>#REF!</v>
      </c>
      <c r="Z37" s="158">
        <f t="shared" si="10"/>
        <v>0.15</v>
      </c>
      <c r="AA37" s="16" t="str">
        <f t="array" ref="AA37">INDEX(NPCGender,TRUNC(1+(COUNTA(NPCGender))*(TRUNC(MOD(($B37*1103515245 +12345)/ 65536, 32768),0)/32768),0))</f>
        <v>Male</v>
      </c>
      <c r="AB37" s="16" t="str">
        <f t="array" ref="AB37">INDEX(NPCRace,TRUNC(1+(COUNTA(NPCRace))*(TRUNC(MOD(($B37*1103515245 +12345)/ 65536, 32768),0)/32768),0))</f>
        <v>Dwarf</v>
      </c>
      <c r="AC37" s="16" t="str">
        <f t="array" ref="AC37">INDEX(NPCAL,TRUNC(1+(COUNTA(NPCAL))*(TRUNC(MOD(($B37*1103515245 +12345)/ 65536, 32768),0)/32768),0))</f>
        <v>CE</v>
      </c>
      <c r="AD37" s="72" t="str">
        <f ca="1">IFERROR(__xludf.DUMMYFUNCTION("if(V37&lt;15,QUERY(NPCVar!C:D,""Select D WHERE C = '""&amp;D37&amp;""'""),if((TRUNC(1+10)*(TRUNC(MOD((ROW(H37)*1103515245 +12345)/ 65536, 32768),0)/32768)/10) &gt; 0.85,INDEX(NPCFaction,TRUNC(1+(counta(NPCFaction)-1)*(TRUNC(MOD(($B37*1103515245 +12345)/ 65536, 32768),0"&amp;")/32768),0)),QUERY(NPCVar!C:D,""Select D WHERE C = '""&amp;D37&amp;""'"")))"),"Royalty")</f>
        <v>Royalty</v>
      </c>
      <c r="AE37" s="108" t="e">
        <f t="shared" ca="1" si="11"/>
        <v>#NAME?</v>
      </c>
      <c r="AF37" s="159">
        <f ca="1">IFERROR(__xludf.DUMMYFUNCTION("AE37*(V37 / QUERY(NPCVar!$K$2:$N$12, ""Select N WHERE K='""&amp;AB37&amp;""'""))*TRUNC(1+10)*(TRUNC(MOD(($B37*1103515245 +12345)/ 65536, 32768),0)/32768)"),0.031971435546875)</f>
        <v>3.1971435546875003E-2</v>
      </c>
      <c r="AG37" s="16"/>
      <c r="AH37" s="77"/>
      <c r="AI37" s="114"/>
    </row>
    <row r="38" spans="1:35" ht="16.2">
      <c r="A38" s="53">
        <v>37</v>
      </c>
      <c r="B38" s="118">
        <f t="shared" si="0"/>
        <v>1.7769600000000001</v>
      </c>
      <c r="C38" s="72" t="str">
        <f t="array" ref="C38">INDEX(NPCFName,TRUNC(1+(COUNTA(NPCFName))*(TRUNC(MOD(($B38*1103515245 +12345)/ 65536, 32768),0)/32768),0))</f>
        <v>Rogist</v>
      </c>
      <c r="D38" s="16" t="str">
        <f t="array" ref="D38">INDEX(NPCLName,TRUNC(1+(COUNTA(NPCLName))*(TRUNC(MOD(($B38*1103515245 +12345)/ 65536, 32768),0)/32768),0))</f>
        <v>Stormwolf</v>
      </c>
      <c r="E38" s="16" t="s">
        <v>146</v>
      </c>
      <c r="F38" s="76">
        <v>8</v>
      </c>
      <c r="G38" s="153">
        <f ca="1">VLOOKUP($AB$2,'RF Mod'!$A$2:$G$12,2,FALSE)+VLOOKUP($AD$2,'RF Mod'!$I$2:$O$11,2,FALSE)+(TRUNC(6+(24-6)*(TRUNC(MOD(($Z38*1103515245 +12345)/ 65536, 32768),0)/32768),0))</f>
        <v>12</v>
      </c>
      <c r="H38" s="16" t="e">
        <f t="shared" ca="1" si="1"/>
        <v>#NAME?</v>
      </c>
      <c r="I38" s="153">
        <f ca="1">VLOOKUP($AB$2,'RF Mod'!$A$2:$G$12,3,FALSE)+VLOOKUP($AD$2,'RF Mod'!$I$2:$O$11,3,FALSE)+(TRUNC(6+(24-6)*(TRUNC(MOD(($Z38*1103515245 +12345)/ 65536, 32768),0)/32768),0))</f>
        <v>16</v>
      </c>
      <c r="J38" s="16" t="e">
        <f t="shared" ca="1" si="2"/>
        <v>#NAME?</v>
      </c>
      <c r="K38" s="153">
        <f ca="1">VLOOKUP($AB$2,'RF Mod'!$A$2:$G$12,3,FALSE)+VLOOKUP($AD$2,'RF Mod'!$I$2:$O$11,3,FALSE)+(TRUNC(6+(24-6)*(TRUNC(MOD(($Z38*1103515245 +12345)/ 65536, 32768),0)/32768),0))</f>
        <v>16</v>
      </c>
      <c r="L38" s="16" t="e">
        <f t="shared" ca="1" si="3"/>
        <v>#NAME?</v>
      </c>
      <c r="M38" s="153">
        <f ca="1">VLOOKUP($AB$2,'RF Mod'!$A$2:$G$12,4,FALSE)+VLOOKUP($AD$2,'RF Mod'!$I$2:$O$11,4,FALSE)+(TRUNC(6+(24-6)*(TRUNC(MOD(($Z38*1103515245 +12345)/ 65536, 32768),0)/32768),0))</f>
        <v>15</v>
      </c>
      <c r="N38" s="16" t="e">
        <f t="shared" ca="1" si="4"/>
        <v>#NAME?</v>
      </c>
      <c r="O38" s="153">
        <f ca="1">VLOOKUP($AB$2,'RF Mod'!$A$2:$G$12,5,FALSE)+VLOOKUP($AD$2,'RF Mod'!$I$2:$O$11,5,FALSE)+(TRUNC(6+(24-6)*(TRUNC(MOD(($Z38*1103515245 +12345)/ 65536, 32768),0)/32768),0))</f>
        <v>18</v>
      </c>
      <c r="P38" s="16" t="e">
        <f t="shared" ca="1" si="5"/>
        <v>#NAME?</v>
      </c>
      <c r="Q38" s="153">
        <f ca="1">VLOOKUP($AB$2,'RF Mod'!$A$2:$G$12,6,FALSE)+VLOOKUP($AD$2,'RF Mod'!$I$2:$O$11,6,FALSE)+(TRUNC(6+(24-6)*(TRUNC(MOD(($Z38*1103515245 +12345)/ 65536, 32768),0)/32768),0))</f>
        <v>16</v>
      </c>
      <c r="R38" s="16" t="e">
        <f t="shared" ca="1" si="6"/>
        <v>#NAME?</v>
      </c>
      <c r="S38" s="154">
        <f t="shared" ca="1" si="12"/>
        <v>224</v>
      </c>
      <c r="T38" s="154">
        <f t="shared" ca="1" si="7"/>
        <v>200</v>
      </c>
      <c r="U38" s="16" t="str">
        <f t="shared" ca="1" si="8"/>
        <v>Bloody</v>
      </c>
      <c r="V38" s="155">
        <f ca="1">IFERROR(__xludf.DUMMYFUNCTION("if(W38=""Middle Age"",QUERY(NPCVar!$K$2:$N1000, ""Select L where K = '""&amp;AB38&amp;""'""),if(W38=""Old"",QUERY(NPCVar!$K$2:$N1000, ""Select M where K = '""&amp;AB38&amp;""'""),if(W38=""Venerable"",QUERY(NPCVar!$K$2:$N1000, ""Select N where K = '""&amp;AB38&amp;""'""),false)))"&amp;"*X38"),66)</f>
        <v>66</v>
      </c>
      <c r="W38" s="156" t="str">
        <f t="array" ref="W38">INDEX(NPCAgeType,TRUNC(1+(4-1)*(TRUNC(MOD((X38*1103515245 +12345)/ 65536, 32768),0)/32768),0))</f>
        <v>Middle Age</v>
      </c>
      <c r="X38" s="117">
        <f t="shared" si="13"/>
        <v>2.2000000000000002</v>
      </c>
      <c r="Y38" s="157" t="e">
        <f t="array" aca="1" ref="Y38" ca="1">LOOKUP(ABS(MAX(Z38 + MIN(ABS(INDIRECT("Class Jobs!B"&amp;MATCH(E38,'Class Jobs'!$A$1:$A1000,0)&amp;":"&amp;"AF"&amp;MATCH(E38,'Class Jobs'!$A$1:$A1000,0)&amp;"")-$Z38)) * SUM(IF(MIN(ABS(INDIRECT("Class Jobs!B"&amp;MATCH(E38,'Class Jobs'!$A$1:$A1000,0)&amp;":"&amp;"AF"&amp;MATCH(E38,'Class Jobs'!$A$1:$A1000,0)&amp;"")-$Z38))=ABS(INDIRECT("Class Jobs!B"&amp;MATCH(E38,'Class Jobs'!$A$1:$A1000,0)&amp;":"&amp;"AF"&amp;MATCH(E38,'Class Jobs'!$A$1:$A1000,0)&amp;"")-$Z38),SIGN(INDIRECT("Class Jobs!B"&amp;MATCH(E38,'Class Jobs'!$A$1:A1000,0)&amp;":"&amp;"AF"&amp;MATCH(E38,'Class Jobs'!$A$1:$A1000,0)&amp;"")-$Z38),0)),0)),INDIRECT("Class Jobs!B"&amp;MATCH(E38,'Class Jobs'!$A$1:$A1000,0)&amp;":"&amp;"AF"&amp;MATCH(E38,'Class Jobs'!$A$1:$A1000,1)&amp;""),'Class Jobs'!$B$1:$AF$1)</f>
        <v>#REF!</v>
      </c>
      <c r="Z38" s="158">
        <f t="shared" si="10"/>
        <v>0.91</v>
      </c>
      <c r="AA38" s="16" t="str">
        <f t="array" ref="AA38">INDEX(NPCGender,TRUNC(1+(COUNTA(NPCGender))*(TRUNC(MOD(($B38*1103515245 +12345)/ 65536, 32768),0)/32768),0))</f>
        <v>Neutral</v>
      </c>
      <c r="AB38" s="16" t="str">
        <f t="array" ref="AB38">INDEX(NPCRace,TRUNC(1+(COUNTA(NPCRace))*(TRUNC(MOD(($B38*1103515245 +12345)/ 65536, 32768),0)/32768),0))</f>
        <v>Goliath</v>
      </c>
      <c r="AC38" s="16" t="str">
        <f t="array" ref="AC38">INDEX(NPCAL,TRUNC(1+(COUNTA(NPCAL))*(TRUNC(MOD(($B38*1103515245 +12345)/ 65536, 32768),0)/32768),0))</f>
        <v>LE</v>
      </c>
      <c r="AD38" s="72" t="str">
        <f ca="1">IFERROR(__xludf.DUMMYFUNCTION("if(V38&lt;15,QUERY(NPCVar!C:D,""Select D WHERE C = '""&amp;D38&amp;""'""),if((TRUNC(1+10)*(TRUNC(MOD((ROW(H38)*1103515245 +12345)/ 65536, 32768),0)/32768)/10) &gt; 0.85,INDEX(NPCFaction,TRUNC(1+(counta(NPCFaction)-1)*(TRUNC(MOD(($B38*1103515245 +12345)/ 65536, 32768),0"&amp;")/32768),0)),QUERY(NPCVar!C:D,""Select D WHERE C = '""&amp;D38&amp;""'"")))"),"Followers of Isis")</f>
        <v>Followers of Isis</v>
      </c>
      <c r="AE38" s="108" t="e">
        <f t="shared" ca="1" si="11"/>
        <v>#NAME?</v>
      </c>
      <c r="AF38" s="159">
        <f ca="1">IFERROR(__xludf.DUMMYFUNCTION("AE38*(V38 / QUERY(NPCVar!$K$2:$N$12, ""Select N WHERE K='""&amp;AB38&amp;""'""))*TRUNC(1+10)*(TRUNC(MOD(($B38*1103515245 +12345)/ 65536, 32768),0)/32768)"),1.10487091064453)</f>
        <v>1.10487091064453</v>
      </c>
      <c r="AG38" s="16"/>
      <c r="AH38" s="77"/>
      <c r="AI38" s="114"/>
    </row>
    <row r="39" spans="1:35" ht="16.2">
      <c r="A39" s="53">
        <v>38</v>
      </c>
      <c r="B39" s="118">
        <f t="shared" si="0"/>
        <v>0.77110000000000001</v>
      </c>
      <c r="C39" s="72" t="str">
        <f t="array" ref="C39">INDEX(NPCFName,TRUNC(1+(COUNTA(NPCFName))*(TRUNC(MOD(($B39*1103515245 +12345)/ 65536, 32768),0)/32768),0))</f>
        <v>Daermod</v>
      </c>
      <c r="D39" s="16" t="str">
        <f t="array" ref="D39">INDEX(NPCLName,TRUNC(1+(COUNTA(NPCLName))*(TRUNC(MOD(($B39*1103515245 +12345)/ 65536, 32768),0)/32768),0))</f>
        <v>Fistroot</v>
      </c>
      <c r="E39" s="16" t="s">
        <v>183</v>
      </c>
      <c r="F39" s="76">
        <v>3</v>
      </c>
      <c r="G39" s="153">
        <f ca="1">VLOOKUP($AB$2,'RF Mod'!$A$2:$G$12,2,FALSE)+VLOOKUP($AD$2,'RF Mod'!$I$2:$O$11,2,FALSE)+(TRUNC(6+(24-6)*(TRUNC(MOD(($Z39*1103515245 +12345)/ 65536, 32768),0)/32768),0))</f>
        <v>7</v>
      </c>
      <c r="H39" s="16">
        <f t="shared" ca="1" si="1"/>
        <v>-2</v>
      </c>
      <c r="I39" s="153">
        <f ca="1">VLOOKUP($AB$2,'RF Mod'!$A$2:$G$12,3,FALSE)+VLOOKUP($AD$2,'RF Mod'!$I$2:$O$11,3,FALSE)+(TRUNC(6+(24-6)*(TRUNC(MOD(($Z39*1103515245 +12345)/ 65536, 32768),0)/32768),0))</f>
        <v>11</v>
      </c>
      <c r="J39" s="16" t="e">
        <f t="shared" ca="1" si="2"/>
        <v>#NAME?</v>
      </c>
      <c r="K39" s="153">
        <f ca="1">VLOOKUP($AB$2,'RF Mod'!$A$2:$G$12,3,FALSE)+VLOOKUP($AD$2,'RF Mod'!$I$2:$O$11,3,FALSE)+(TRUNC(6+(24-6)*(TRUNC(MOD(($Z39*1103515245 +12345)/ 65536, 32768),0)/32768),0))</f>
        <v>11</v>
      </c>
      <c r="L39" s="16" t="e">
        <f t="shared" ca="1" si="3"/>
        <v>#NAME?</v>
      </c>
      <c r="M39" s="153">
        <f ca="1">VLOOKUP($AB$2,'RF Mod'!$A$2:$G$12,4,FALSE)+VLOOKUP($AD$2,'RF Mod'!$I$2:$O$11,4,FALSE)+(TRUNC(6+(24-6)*(TRUNC(MOD(($Z39*1103515245 +12345)/ 65536, 32768),0)/32768),0))</f>
        <v>10</v>
      </c>
      <c r="N39" s="16" t="e">
        <f t="shared" ca="1" si="4"/>
        <v>#NAME?</v>
      </c>
      <c r="O39" s="153">
        <f ca="1">VLOOKUP($AB$2,'RF Mod'!$A$2:$G$12,5,FALSE)+VLOOKUP($AD$2,'RF Mod'!$I$2:$O$11,5,FALSE)+(TRUNC(6+(24-6)*(TRUNC(MOD(($Z39*1103515245 +12345)/ 65536, 32768),0)/32768),0))</f>
        <v>13</v>
      </c>
      <c r="P39" s="16" t="e">
        <f t="shared" ca="1" si="5"/>
        <v>#NAME?</v>
      </c>
      <c r="Q39" s="153">
        <f ca="1">VLOOKUP($AB$2,'RF Mod'!$A$2:$G$12,6,FALSE)+VLOOKUP($AD$2,'RF Mod'!$I$2:$O$11,6,FALSE)+(TRUNC(6+(24-6)*(TRUNC(MOD(($Z39*1103515245 +12345)/ 65536, 32768),0)/32768),0))</f>
        <v>11</v>
      </c>
      <c r="R39" s="16" t="e">
        <f t="shared" ca="1" si="6"/>
        <v>#NAME?</v>
      </c>
      <c r="S39" s="154">
        <f t="shared" ca="1" si="12"/>
        <v>57</v>
      </c>
      <c r="T39" s="154">
        <f t="shared" ca="1" si="7"/>
        <v>30</v>
      </c>
      <c r="U39" s="16" t="str">
        <f t="shared" ca="1" si="8"/>
        <v>Bloody</v>
      </c>
      <c r="V39" s="155">
        <f ca="1">IFERROR(__xludf.DUMMYFUNCTION("if(W39=""Middle Age"",QUERY(NPCVar!$K$2:$N1000, ""Select L where K = '""&amp;AB39&amp;""'""),if(W39=""Old"",QUERY(NPCVar!$K$2:$N1000, ""Select M where K = '""&amp;AB39&amp;""'""),if(W39=""Venerable"",QUERY(NPCVar!$K$2:$N1000, ""Select N where K = '""&amp;AB39&amp;""'""),false)))"&amp;"*X39"),67.5)</f>
        <v>67.5</v>
      </c>
      <c r="W39" s="156" t="str">
        <f t="array" ref="W39">INDEX(NPCAgeType,TRUNC(1+(4-1)*(TRUNC(MOD((X39*1103515245 +12345)/ 65536, 32768),0)/32768),0))</f>
        <v>Old</v>
      </c>
      <c r="X39" s="117">
        <f t="shared" si="13"/>
        <v>1</v>
      </c>
      <c r="Y39" s="157" t="e">
        <f t="array" aca="1" ref="Y39" ca="1">LOOKUP(ABS(MAX(Z39 + MIN(ABS(INDIRECT("Class Jobs!B"&amp;MATCH(E39,'Class Jobs'!$A$1:$A1000,0)&amp;":"&amp;"AF"&amp;MATCH(E39,'Class Jobs'!$A$1:$A1000,0)&amp;"")-$Z39)) * SUM(IF(MIN(ABS(INDIRECT("Class Jobs!B"&amp;MATCH(E39,'Class Jobs'!$A$1:$A1000,0)&amp;":"&amp;"AF"&amp;MATCH(E39,'Class Jobs'!$A$1:$A1000,0)&amp;"")-$Z39))=ABS(INDIRECT("Class Jobs!B"&amp;MATCH(E39,'Class Jobs'!$A$1:$A1000,0)&amp;":"&amp;"AF"&amp;MATCH(E39,'Class Jobs'!$A$1:$A1000,0)&amp;"")-$Z39),SIGN(INDIRECT("Class Jobs!B"&amp;MATCH(E39,'Class Jobs'!$A$1:A1000,0)&amp;":"&amp;"AF"&amp;MATCH(E39,'Class Jobs'!$A$1:$A1000,0)&amp;"")-$Z39),0)),0)),INDIRECT("Class Jobs!B"&amp;MATCH(E39,'Class Jobs'!$A$1:$A1000,0)&amp;":"&amp;"AF"&amp;MATCH(E39,'Class Jobs'!$A$1:$A1000,1)&amp;""),'Class Jobs'!$B$1:$AF$1)</f>
        <v>#REF!</v>
      </c>
      <c r="Z39" s="158">
        <f t="shared" si="10"/>
        <v>0.4</v>
      </c>
      <c r="AA39" s="16" t="str">
        <f t="array" ref="AA39">INDEX(NPCGender,TRUNC(1+(COUNTA(NPCGender))*(TRUNC(MOD(($B39*1103515245 +12345)/ 65536, 32768),0)/32768),0))</f>
        <v>Female</v>
      </c>
      <c r="AB39" s="16" t="str">
        <f t="array" ref="AB39">INDEX(NPCRace,TRUNC(1+(COUNTA(NPCRace))*(TRUNC(MOD(($B39*1103515245 +12345)/ 65536, 32768),0)/32768),0))</f>
        <v>Half-Elf</v>
      </c>
      <c r="AC39" s="16" t="str">
        <f t="array" ref="AC39">INDEX(NPCAL,TRUNC(1+(COUNTA(NPCAL))*(TRUNC(MOD(($B39*1103515245 +12345)/ 65536, 32768),0)/32768),0))</f>
        <v>NG</v>
      </c>
      <c r="AD39" s="72" t="str">
        <f ca="1">IFERROR(__xludf.DUMMYFUNCTION("if(V39&lt;15,QUERY(NPCVar!C:D,""Select D WHERE C = '""&amp;D39&amp;""'""),if((TRUNC(1+10)*(TRUNC(MOD((ROW(H39)*1103515245 +12345)/ 65536, 32768),0)/32768)/10) &gt; 0.85,INDEX(NPCFaction,TRUNC(1+(counta(NPCFaction)-1)*(TRUNC(MOD(($B39*1103515245 +12345)/ 65536, 32768),0"&amp;")/32768),0)),QUERY(NPCVar!C:D,""Select D WHERE C = '""&amp;D39&amp;""'"")))"),"Magic Guild")</f>
        <v>Magic Guild</v>
      </c>
      <c r="AE39" s="108" t="e">
        <f t="shared" ca="1" si="11"/>
        <v>#NAME?</v>
      </c>
      <c r="AF39" s="159">
        <f ca="1">IFERROR(__xludf.DUMMYFUNCTION("AE39*(V39 / QUERY(NPCVar!$K$2:$N$12, ""Select N WHERE K='""&amp;AB39&amp;""'""))*TRUNC(1+10)*(TRUNC(MOD(($B39*1103515245 +12345)/ 65536, 32768),0)/32768)"),0.65379638671875)</f>
        <v>0.65379638671874996</v>
      </c>
      <c r="AG39" s="16"/>
      <c r="AH39" s="77"/>
      <c r="AI39" s="114"/>
    </row>
    <row r="40" spans="1:35" ht="16.2">
      <c r="A40" s="53">
        <v>39</v>
      </c>
      <c r="B40" s="118">
        <f t="shared" si="0"/>
        <v>2.2652399999999999</v>
      </c>
      <c r="C40" s="72" t="str">
        <f t="array" ref="C40">INDEX(NPCFName,TRUNC(1+(COUNTA(NPCFName))*(TRUNC(MOD(($B40*1103515245 +12345)/ 65536, 32768),0)/32768),0))</f>
        <v>Kildarien</v>
      </c>
      <c r="D40" s="16" t="str">
        <f t="array" ref="D40">INDEX(NPCLName,TRUNC(1+(COUNTA(NPCLName))*(TRUNC(MOD(($B40*1103515245 +12345)/ 65536, 32768),0)/32768),0))</f>
        <v>Fistwing</v>
      </c>
      <c r="E40" s="16" t="s">
        <v>146</v>
      </c>
      <c r="F40" s="76">
        <v>1</v>
      </c>
      <c r="G40" s="153">
        <f ca="1">VLOOKUP($AB$2,'RF Mod'!$A$2:$G$12,2,FALSE)+VLOOKUP($AD$2,'RF Mod'!$I$2:$O$11,2,FALSE)+(TRUNC(6+(24-6)*(TRUNC(MOD(($Z40*1103515245 +12345)/ 65536, 32768),0)/32768),0))</f>
        <v>5</v>
      </c>
      <c r="H40" s="16">
        <f t="shared" ca="1" si="1"/>
        <v>-3</v>
      </c>
      <c r="I40" s="153">
        <f ca="1">VLOOKUP($AB$2,'RF Mod'!$A$2:$G$12,3,FALSE)+VLOOKUP($AD$2,'RF Mod'!$I$2:$O$11,3,FALSE)+(TRUNC(6+(24-6)*(TRUNC(MOD(($Z40*1103515245 +12345)/ 65536, 32768),0)/32768),0))</f>
        <v>9</v>
      </c>
      <c r="J40" s="16">
        <f t="shared" ca="1" si="2"/>
        <v>-1</v>
      </c>
      <c r="K40" s="153">
        <f ca="1">VLOOKUP($AB$2,'RF Mod'!$A$2:$G$12,3,FALSE)+VLOOKUP($AD$2,'RF Mod'!$I$2:$O$11,3,FALSE)+(TRUNC(6+(24-6)*(TRUNC(MOD(($Z40*1103515245 +12345)/ 65536, 32768),0)/32768),0))</f>
        <v>9</v>
      </c>
      <c r="L40" s="16">
        <f t="shared" ca="1" si="3"/>
        <v>-1</v>
      </c>
      <c r="M40" s="153">
        <f ca="1">VLOOKUP($AB$2,'RF Mod'!$A$2:$G$12,4,FALSE)+VLOOKUP($AD$2,'RF Mod'!$I$2:$O$11,4,FALSE)+(TRUNC(6+(24-6)*(TRUNC(MOD(($Z40*1103515245 +12345)/ 65536, 32768),0)/32768),0))</f>
        <v>8</v>
      </c>
      <c r="N40" s="16">
        <f t="shared" ca="1" si="4"/>
        <v>-1</v>
      </c>
      <c r="O40" s="153">
        <f ca="1">VLOOKUP($AB$2,'RF Mod'!$A$2:$G$12,5,FALSE)+VLOOKUP($AD$2,'RF Mod'!$I$2:$O$11,5,FALSE)+(TRUNC(6+(24-6)*(TRUNC(MOD(($Z40*1103515245 +12345)/ 65536, 32768),0)/32768),0))</f>
        <v>11</v>
      </c>
      <c r="P40" s="16" t="e">
        <f t="shared" ca="1" si="5"/>
        <v>#NAME?</v>
      </c>
      <c r="Q40" s="153">
        <f ca="1">VLOOKUP($AB$2,'RF Mod'!$A$2:$G$12,6,FALSE)+VLOOKUP($AD$2,'RF Mod'!$I$2:$O$11,6,FALSE)+(TRUNC(6+(24-6)*(TRUNC(MOD(($Z40*1103515245 +12345)/ 65536, 32768),0)/32768),0))</f>
        <v>9</v>
      </c>
      <c r="R40" s="16">
        <f t="shared" ca="1" si="6"/>
        <v>-1</v>
      </c>
      <c r="S40" s="154">
        <f t="shared" ca="1" si="12"/>
        <v>27</v>
      </c>
      <c r="T40" s="154">
        <f t="shared" ca="1" si="7"/>
        <v>8</v>
      </c>
      <c r="U40" s="16" t="str">
        <f t="shared" ca="1" si="8"/>
        <v>Fine</v>
      </c>
      <c r="V40" s="155">
        <f ca="1">IFERROR(__xludf.DUMMYFUNCTION("if(W40=""Middle Age"",QUERY(NPCVar!$K$2:$N1000, ""Select L where K = '""&amp;AB40&amp;""'""),if(W40=""Old"",QUERY(NPCVar!$K$2:$N1000, ""Select M where K = '""&amp;AB40&amp;""'""),if(W40=""Venerable"",QUERY(NPCVar!$K$2:$N1000, ""Select N where K = '""&amp;AB40&amp;""'""),false)))"&amp;"*X40"),32)</f>
        <v>32</v>
      </c>
      <c r="W40" s="156" t="str">
        <f t="array" ref="W40">INDEX(NPCAgeType,TRUNC(1+(4-1)*(TRUNC(MOD((X40*1103515245 +12345)/ 65536, 32768),0)/32768),0))</f>
        <v>Middle Age</v>
      </c>
      <c r="X40" s="117">
        <f t="shared" si="13"/>
        <v>0.4</v>
      </c>
      <c r="Y40" s="157" t="e">
        <f t="array" aca="1" ref="Y40" ca="1">LOOKUP(ABS(MAX(Z40 + MIN(ABS(INDIRECT("Class Jobs!B"&amp;MATCH(E40,'Class Jobs'!$A$1:$A1000,0)&amp;":"&amp;"AF"&amp;MATCH(E40,'Class Jobs'!$A$1:$A1000,0)&amp;"")-$Z40)) * SUM(IF(MIN(ABS(INDIRECT("Class Jobs!B"&amp;MATCH(E40,'Class Jobs'!$A$1:$A1000,0)&amp;":"&amp;"AF"&amp;MATCH(E40,'Class Jobs'!$A$1:$A1000,0)&amp;"")-$Z40))=ABS(INDIRECT("Class Jobs!B"&amp;MATCH(E40,'Class Jobs'!$A$1:$A1000,0)&amp;":"&amp;"AF"&amp;MATCH(E40,'Class Jobs'!$A$1:$A1000,0)&amp;"")-$Z40),SIGN(INDIRECT("Class Jobs!B"&amp;MATCH(E40,'Class Jobs'!$A$1:A1000,0)&amp;":"&amp;"AF"&amp;MATCH(E40,'Class Jobs'!$A$1:$A1000,0)&amp;"")-$Z40),0)),0)),INDIRECT("Class Jobs!B"&amp;MATCH(E40,'Class Jobs'!$A$1:$A1000,0)&amp;":"&amp;"AF"&amp;MATCH(E40,'Class Jobs'!$A$1:$A1000,1)&amp;""),'Class Jobs'!$B$1:$AF$1)</f>
        <v>#REF!</v>
      </c>
      <c r="Z40" s="158">
        <f t="shared" si="10"/>
        <v>0.17</v>
      </c>
      <c r="AA40" s="16" t="str">
        <f t="array" ref="AA40">INDEX(NPCGender,TRUNC(1+(COUNTA(NPCGender))*(TRUNC(MOD(($B40*1103515245 +12345)/ 65536, 32768),0)/32768),0))</f>
        <v>Male</v>
      </c>
      <c r="AB40" s="16" t="str">
        <f t="array" ref="AB40">INDEX(NPCRace,TRUNC(1+(COUNTA(NPCRace))*(TRUNC(MOD(($B40*1103515245 +12345)/ 65536, 32768),0)/32768),0))</f>
        <v>Dwarf</v>
      </c>
      <c r="AC40" s="16" t="str">
        <f t="array" ref="AC40">INDEX(NPCAL,TRUNC(1+(COUNTA(NPCAL))*(TRUNC(MOD(($B40*1103515245 +12345)/ 65536, 32768),0)/32768),0))</f>
        <v>CE</v>
      </c>
      <c r="AD40" s="72" t="str">
        <f ca="1">IFERROR(__xludf.DUMMYFUNCTION("if(V40&lt;15,QUERY(NPCVar!C:D,""Select D WHERE C = '""&amp;D40&amp;""'""),if((TRUNC(1+10)*(TRUNC(MOD((ROW(H40)*1103515245 +12345)/ 65536, 32768),0)/32768)/10) &gt; 0.85,INDEX(NPCFaction,TRUNC(1+(counta(NPCFaction)-1)*(TRUNC(MOD(($B40*1103515245 +12345)/ 65536, 32768),0"&amp;")/32768),0)),QUERY(NPCVar!C:D,""Select D WHERE C = '""&amp;D40&amp;""'"")))"),"Royalty")</f>
        <v>Royalty</v>
      </c>
      <c r="AE40" s="108" t="e">
        <f t="shared" ca="1" si="11"/>
        <v>#NAME?</v>
      </c>
      <c r="AF40" s="159">
        <f ca="1">IFERROR(__xludf.DUMMYFUNCTION("AE40*(V40 / QUERY(NPCVar!$K$2:$N$12, ""Select N WHERE K='""&amp;AB40&amp;""'""))*TRUNC(1+10)*(TRUNC(MOD(($B40*1103515245 +12345)/ 65536, 32768),0)/32768)"),-0.036080322265625)</f>
        <v>-3.6080322265624999E-2</v>
      </c>
      <c r="AG40" s="16"/>
      <c r="AH40" s="77"/>
      <c r="AI40" s="114"/>
    </row>
    <row r="41" spans="1:35" ht="16.2">
      <c r="A41" s="53">
        <v>40</v>
      </c>
      <c r="B41" s="118">
        <f t="shared" si="0"/>
        <v>1.2593799999999999</v>
      </c>
      <c r="C41" s="72" t="str">
        <f t="array" ref="C41">INDEX(NPCFName,TRUNC(1+(COUNTA(NPCFName))*(TRUNC(MOD(($B41*1103515245 +12345)/ 65536, 32768),0)/32768),0))</f>
        <v>Wishane</v>
      </c>
      <c r="D41" s="16" t="str">
        <f t="array" ref="D41">INDEX(NPCLName,TRUNC(1+(COUNTA(NPCLName))*(TRUNC(MOD(($B41*1103515245 +12345)/ 65536, 32768),0)/32768),0))</f>
        <v>Mourninglash</v>
      </c>
      <c r="E41" s="16" t="str">
        <f t="array" ref="E41">INDEX(NPCClass,TRUNC(1+(COUNTA(NPCClass))*(TRUNC(MOD(($B41*1103515245 +12345)/ 65536, 32768),0)/32768),0))</f>
        <v>Warlock</v>
      </c>
      <c r="F41" s="76">
        <v>8</v>
      </c>
      <c r="G41" s="153">
        <f ca="1">VLOOKUP($AB$2,'RF Mod'!$A$2:$G$12,2,FALSE)+VLOOKUP($AD$2,'RF Mod'!$I$2:$O$11,2,FALSE)+(TRUNC(6+(24-6)*(TRUNC(MOD(($Z41*1103515245 +12345)/ 65536, 32768),0)/32768),0))</f>
        <v>10</v>
      </c>
      <c r="H41" s="16" t="e">
        <f t="shared" ca="1" si="1"/>
        <v>#NAME?</v>
      </c>
      <c r="I41" s="153">
        <f ca="1">VLOOKUP($AB$2,'RF Mod'!$A$2:$G$12,3,FALSE)+VLOOKUP($AD$2,'RF Mod'!$I$2:$O$11,3,FALSE)+(TRUNC(6+(24-6)*(TRUNC(MOD(($Z41*1103515245 +12345)/ 65536, 32768),0)/32768),0))</f>
        <v>14</v>
      </c>
      <c r="J41" s="16" t="e">
        <f t="shared" ca="1" si="2"/>
        <v>#NAME?</v>
      </c>
      <c r="K41" s="153">
        <f ca="1">VLOOKUP($AB$2,'RF Mod'!$A$2:$G$12,3,FALSE)+VLOOKUP($AD$2,'RF Mod'!$I$2:$O$11,3,FALSE)+(TRUNC(6+(24-6)*(TRUNC(MOD(($Z41*1103515245 +12345)/ 65536, 32768),0)/32768),0))</f>
        <v>14</v>
      </c>
      <c r="L41" s="16" t="e">
        <f t="shared" ca="1" si="3"/>
        <v>#NAME?</v>
      </c>
      <c r="M41" s="153">
        <f ca="1">VLOOKUP($AB$2,'RF Mod'!$A$2:$G$12,4,FALSE)+VLOOKUP($AD$2,'RF Mod'!$I$2:$O$11,4,FALSE)+(TRUNC(6+(24-6)*(TRUNC(MOD(($Z41*1103515245 +12345)/ 65536, 32768),0)/32768),0))</f>
        <v>13</v>
      </c>
      <c r="N41" s="16" t="e">
        <f t="shared" ca="1" si="4"/>
        <v>#NAME?</v>
      </c>
      <c r="O41" s="153">
        <f ca="1">VLOOKUP($AB$2,'RF Mod'!$A$2:$G$12,5,FALSE)+VLOOKUP($AD$2,'RF Mod'!$I$2:$O$11,5,FALSE)+(TRUNC(6+(24-6)*(TRUNC(MOD(($Z41*1103515245 +12345)/ 65536, 32768),0)/32768),0))</f>
        <v>16</v>
      </c>
      <c r="P41" s="16" t="e">
        <f t="shared" ca="1" si="5"/>
        <v>#NAME?</v>
      </c>
      <c r="Q41" s="153">
        <f ca="1">VLOOKUP($AB$2,'RF Mod'!$A$2:$G$12,6,FALSE)+VLOOKUP($AD$2,'RF Mod'!$I$2:$O$11,6,FALSE)+(TRUNC(6+(24-6)*(TRUNC(MOD(($Z41*1103515245 +12345)/ 65536, 32768),0)/32768),0))</f>
        <v>14</v>
      </c>
      <c r="R41" s="16" t="e">
        <f t="shared" ca="1" si="6"/>
        <v>#NAME?</v>
      </c>
      <c r="S41" s="154">
        <f t="shared" ca="1" si="12"/>
        <v>192</v>
      </c>
      <c r="T41" s="154">
        <f t="shared" ca="1" si="7"/>
        <v>217</v>
      </c>
      <c r="U41" s="16" t="str">
        <f t="shared" ca="1" si="8"/>
        <v>Dead</v>
      </c>
      <c r="V41" s="155">
        <f ca="1">IFERROR(__xludf.DUMMYFUNCTION("if(W41=""Middle Age"",QUERY(NPCVar!$K$2:$N1000, ""Select L where K = '""&amp;AB41&amp;""'""),if(W41=""Old"",QUERY(NPCVar!$K$2:$N1000, ""Select M where K = '""&amp;AB41&amp;""'""),if(W41=""Venerable"",QUERY(NPCVar!$K$2:$N1000, ""Select N where K = '""&amp;AB41&amp;""'""),false)))"&amp;"*X41"),144)</f>
        <v>144</v>
      </c>
      <c r="W41" s="156" t="str">
        <f t="array" ref="W41">INDEX(NPCAgeType,TRUNC(1+(4-1)*(TRUNC(MOD((X41*1103515245 +12345)/ 65536, 32768),0)/32768),0))</f>
        <v>Venerable</v>
      </c>
      <c r="X41" s="117">
        <f t="shared" si="13"/>
        <v>1.6</v>
      </c>
      <c r="Y41" s="157" t="e">
        <f t="array" aca="1" ref="Y41" ca="1">LOOKUP(ABS(MAX(Z41 + MIN(ABS(INDIRECT("Class Jobs!B"&amp;MATCH(E41,'Class Jobs'!$A$1:$A1000,0)&amp;":"&amp;"AF"&amp;MATCH(E41,'Class Jobs'!$A$1:$A1000,0)&amp;"")-$Z41)) * SUM(IF(MIN(ABS(INDIRECT("Class Jobs!B"&amp;MATCH(E41,'Class Jobs'!$A$1:$A1000,0)&amp;":"&amp;"AF"&amp;MATCH(E41,'Class Jobs'!$A$1:$A1000,0)&amp;"")-$Z41))=ABS(INDIRECT("Class Jobs!B"&amp;MATCH(E41,'Class Jobs'!$A$1:$A1000,0)&amp;":"&amp;"AF"&amp;MATCH(E41,'Class Jobs'!$A$1:$A1000,0)&amp;"")-$Z41),SIGN(INDIRECT("Class Jobs!B"&amp;MATCH(E41,'Class Jobs'!$A$1:A1000,0)&amp;":"&amp;"AF"&amp;MATCH(E41,'Class Jobs'!$A$1:$A1000,0)&amp;"")-$Z41),0)),0)),INDIRECT("Class Jobs!B"&amp;MATCH(E41,'Class Jobs'!$A$1:$A1000,0)&amp;":"&amp;"AF"&amp;MATCH(E41,'Class Jobs'!$A$1:$A1000,1)&amp;""),'Class Jobs'!$B$1:$AF$1)</f>
        <v>#REF!</v>
      </c>
      <c r="Z41" s="158">
        <f t="shared" si="10"/>
        <v>0.65</v>
      </c>
      <c r="AA41" s="16" t="str">
        <f t="array" ref="AA41">INDEX(NPCGender,TRUNC(1+(COUNTA(NPCGender))*(TRUNC(MOD(($B41*1103515245 +12345)/ 65536, 32768),0)/32768),0))</f>
        <v>Female</v>
      </c>
      <c r="AB41" s="16" t="str">
        <f t="array" ref="AB41">INDEX(NPCRace,TRUNC(1+(COUNTA(NPCRace))*(TRUNC(MOD(($B41*1103515245 +12345)/ 65536, 32768),0)/32768),0))</f>
        <v>Human</v>
      </c>
      <c r="AC41" s="16" t="str">
        <f t="array" ref="AC41">INDEX(NPCAL,TRUNC(1+(COUNTA(NPCAL))*(TRUNC(MOD(($B41*1103515245 +12345)/ 65536, 32768),0)/32768),0))</f>
        <v>NE</v>
      </c>
      <c r="AD41" s="72" t="str">
        <f ca="1">IFERROR(__xludf.DUMMYFUNCTION("if(V41&lt;15,QUERY(NPCVar!C:D,""Select D WHERE C = '""&amp;D41&amp;""'""),if((TRUNC(1+10)*(TRUNC(MOD((ROW(H41)*1103515245 +12345)/ 65536, 32768),0)/32768)/10) &gt; 0.85,INDEX(NPCFaction,TRUNC(1+(counta(NPCFaction)-1)*(TRUNC(MOD(($B41*1103515245 +12345)/ 65536, 32768),0"&amp;")/32768),0)),QUERY(NPCVar!C:D,""Select D WHERE C = '""&amp;D41&amp;""'"")))"),"Traverlers Guild")</f>
        <v>Traverlers Guild</v>
      </c>
      <c r="AE41" s="108" t="e">
        <f t="shared" ca="1" si="11"/>
        <v>#NAME?</v>
      </c>
      <c r="AF41" s="159">
        <f ca="1">IFERROR(__xludf.DUMMYFUNCTION("AE41*(V41 / QUERY(NPCVar!$K$2:$N$12, ""Select N WHERE K='""&amp;AB41&amp;""'""))*TRUNC(1+10)*(TRUNC(MOD(($B41*1103515245 +12345)/ 65536, 32768),0)/32768)"),6.83396484375)</f>
        <v>6.8339648437499996</v>
      </c>
      <c r="AG41" s="16"/>
      <c r="AH41" s="77"/>
      <c r="AI41" s="114"/>
    </row>
    <row r="42" spans="1:35" ht="16.2">
      <c r="A42" s="53">
        <v>41</v>
      </c>
      <c r="B42" s="118">
        <f t="shared" si="0"/>
        <v>0.25352999999999998</v>
      </c>
      <c r="C42" s="72" t="str">
        <f t="array" ref="C42">INDEX(NPCFName,TRUNC(1+(COUNTA(NPCFName))*(TRUNC(MOD(($B42*1103515245 +12345)/ 65536, 32768),0)/32768),0))</f>
        <v>Halmar</v>
      </c>
      <c r="D42" s="16" t="str">
        <f t="array" ref="D42">INDEX(NPCLName,TRUNC(1+(COUNTA(NPCLName))*(TRUNC(MOD(($B42*1103515245 +12345)/ 65536, 32768),0)/32768),0))</f>
        <v>Distantlash</v>
      </c>
      <c r="E42" s="16" t="str">
        <f t="array" ref="E42">INDEX(NPCClass,TRUNC(1+(COUNTA(NPCClass))*(TRUNC(MOD(($B42*1103515245 +12345)/ 65536, 32768),0)/32768),0))</f>
        <v>Bard</v>
      </c>
      <c r="F42" s="76">
        <v>1</v>
      </c>
      <c r="G42" s="153">
        <f ca="1">VLOOKUP($AB$2,'RF Mod'!$A$2:$G$12,2,FALSE)+VLOOKUP($AD$2,'RF Mod'!$I$2:$O$11,2,FALSE)+(TRUNC(6+(24-6)*(TRUNC(MOD(($Z42*1103515245 +12345)/ 65536, 32768),0)/32768),0))</f>
        <v>5</v>
      </c>
      <c r="H42" s="16">
        <f t="shared" ca="1" si="1"/>
        <v>-3</v>
      </c>
      <c r="I42" s="153">
        <f ca="1">VLOOKUP($AB$2,'RF Mod'!$A$2:$G$12,3,FALSE)+VLOOKUP($AD$2,'RF Mod'!$I$2:$O$11,3,FALSE)+(TRUNC(6+(24-6)*(TRUNC(MOD(($Z42*1103515245 +12345)/ 65536, 32768),0)/32768),0))</f>
        <v>9</v>
      </c>
      <c r="J42" s="16">
        <f t="shared" ca="1" si="2"/>
        <v>-1</v>
      </c>
      <c r="K42" s="153">
        <f ca="1">VLOOKUP($AB$2,'RF Mod'!$A$2:$G$12,3,FALSE)+VLOOKUP($AD$2,'RF Mod'!$I$2:$O$11,3,FALSE)+(TRUNC(6+(24-6)*(TRUNC(MOD(($Z42*1103515245 +12345)/ 65536, 32768),0)/32768),0))</f>
        <v>9</v>
      </c>
      <c r="L42" s="16">
        <f t="shared" ca="1" si="3"/>
        <v>-1</v>
      </c>
      <c r="M42" s="153">
        <f ca="1">VLOOKUP($AB$2,'RF Mod'!$A$2:$G$12,4,FALSE)+VLOOKUP($AD$2,'RF Mod'!$I$2:$O$11,4,FALSE)+(TRUNC(6+(24-6)*(TRUNC(MOD(($Z42*1103515245 +12345)/ 65536, 32768),0)/32768),0))</f>
        <v>8</v>
      </c>
      <c r="N42" s="16">
        <f t="shared" ca="1" si="4"/>
        <v>-1</v>
      </c>
      <c r="O42" s="153">
        <f ca="1">VLOOKUP($AB$2,'RF Mod'!$A$2:$G$12,5,FALSE)+VLOOKUP($AD$2,'RF Mod'!$I$2:$O$11,5,FALSE)+(TRUNC(6+(24-6)*(TRUNC(MOD(($Z42*1103515245 +12345)/ 65536, 32768),0)/32768),0))</f>
        <v>11</v>
      </c>
      <c r="P42" s="16" t="e">
        <f t="shared" ca="1" si="5"/>
        <v>#NAME?</v>
      </c>
      <c r="Q42" s="153">
        <f ca="1">VLOOKUP($AB$2,'RF Mod'!$A$2:$G$12,6,FALSE)+VLOOKUP($AD$2,'RF Mod'!$I$2:$O$11,6,FALSE)+(TRUNC(6+(24-6)*(TRUNC(MOD(($Z42*1103515245 +12345)/ 65536, 32768),0)/32768),0))</f>
        <v>9</v>
      </c>
      <c r="R42" s="16">
        <f t="shared" ca="1" si="6"/>
        <v>-1</v>
      </c>
      <c r="S42" s="154">
        <f t="shared" ca="1" si="12"/>
        <v>27</v>
      </c>
      <c r="T42" s="154">
        <f t="shared" ca="1" si="7"/>
        <v>6</v>
      </c>
      <c r="U42" s="16" t="str">
        <f t="shared" ca="1" si="8"/>
        <v>Fine</v>
      </c>
      <c r="V42" s="155">
        <f ca="1">IFERROR(__xludf.DUMMYFUNCTION("if(W42=""Middle Age"",QUERY(NPCVar!$K$2:$N1000, ""Select L where K = '""&amp;AB42&amp;""'""),if(W42=""Old"",QUERY(NPCVar!$K$2:$N1000, ""Select M where K = '""&amp;AB42&amp;""'""),if(W42=""Venerable"",QUERY(NPCVar!$K$2:$N1000, ""Select N where K = '""&amp;AB42&amp;""'""),false)))"&amp;"*X42"),32)</f>
        <v>32</v>
      </c>
      <c r="W42" s="156" t="str">
        <f t="array" ref="W42">INDEX(NPCAgeType,TRUNC(1+(4-1)*(TRUNC(MOD((X42*1103515245 +12345)/ 65536, 32768),0)/32768),0))</f>
        <v>Middle Age</v>
      </c>
      <c r="X42" s="117">
        <f t="shared" si="13"/>
        <v>0.4</v>
      </c>
      <c r="Y42" s="157" t="e">
        <f t="array" aca="1" ref="Y42" ca="1">LOOKUP(ABS(MAX(Z42 + MIN(ABS(INDIRECT("Class Jobs!B"&amp;MATCH(E42,'Class Jobs'!$A$1:$A1000,0)&amp;":"&amp;"AF"&amp;MATCH(E42,'Class Jobs'!$A$1:$A1000,0)&amp;"")-$Z42)) * SUM(IF(MIN(ABS(INDIRECT("Class Jobs!B"&amp;MATCH(E42,'Class Jobs'!$A$1:$A1000,0)&amp;":"&amp;"AF"&amp;MATCH(E42,'Class Jobs'!$A$1:$A1000,0)&amp;"")-$Z42))=ABS(INDIRECT("Class Jobs!B"&amp;MATCH(E42,'Class Jobs'!$A$1:$A1000,0)&amp;":"&amp;"AF"&amp;MATCH(E42,'Class Jobs'!$A$1:$A1000,0)&amp;"")-$Z42),SIGN(INDIRECT("Class Jobs!B"&amp;MATCH(E42,'Class Jobs'!$A$1:A1000,0)&amp;":"&amp;"AF"&amp;MATCH(E42,'Class Jobs'!$A$1:$A1000,0)&amp;"")-$Z42),0)),0)),INDIRECT("Class Jobs!B"&amp;MATCH(E42,'Class Jobs'!$A$1:$A1000,0)&amp;":"&amp;"AF"&amp;MATCH(E42,'Class Jobs'!$A$1:$A1000,1)&amp;""),'Class Jobs'!$B$1:$AF$1)</f>
        <v>#REF!</v>
      </c>
      <c r="Z42" s="158">
        <f t="shared" si="10"/>
        <v>0.13</v>
      </c>
      <c r="AA42" s="16" t="str">
        <f t="array" ref="AA42">INDEX(NPCGender,TRUNC(1+(COUNTA(NPCGender))*(TRUNC(MOD(($B42*1103515245 +12345)/ 65536, 32768),0)/32768),0))</f>
        <v>Male</v>
      </c>
      <c r="AB42" s="16" t="str">
        <f t="array" ref="AB42">INDEX(NPCRace,TRUNC(1+(COUNTA(NPCRace))*(TRUNC(MOD(($B42*1103515245 +12345)/ 65536, 32768),0)/32768),0))</f>
        <v>Dwarf</v>
      </c>
      <c r="AC42" s="16" t="str">
        <f t="array" ref="AC42">INDEX(NPCAL,TRUNC(1+(COUNTA(NPCAL))*(TRUNC(MOD(($B42*1103515245 +12345)/ 65536, 32768),0)/32768),0))</f>
        <v>CE</v>
      </c>
      <c r="AD42" s="72" t="str">
        <f ca="1">IFERROR(__xludf.DUMMYFUNCTION("if(V42&lt;15,QUERY(NPCVar!C:D,""Select D WHERE C = '""&amp;D42&amp;""'""),if((TRUNC(1+10)*(TRUNC(MOD((ROW(H42)*1103515245 +12345)/ 65536, 32768),0)/32768)/10) &gt; 0.85,INDEX(NPCFaction,TRUNC(1+(counta(NPCFaction)-1)*(TRUNC(MOD(($B42*1103515245 +12345)/ 65536, 32768),0"&amp;")/32768),0)),QUERY(NPCVar!C:D,""Select D WHERE C = '""&amp;D42&amp;""'"")))"),"Death Guild")</f>
        <v>Death Guild</v>
      </c>
      <c r="AE42" s="108" t="e">
        <f t="shared" ca="1" si="11"/>
        <v>#NAME?</v>
      </c>
      <c r="AF42" s="159">
        <f ca="1">IFERROR(__xludf.DUMMYFUNCTION("AE42*(V42 / QUERY(NPCVar!$K$2:$N$12, ""Select N WHERE K='""&amp;AB42&amp;""'""))*TRUNC(1+10)*(TRUNC(MOD(($B42*1103515245 +12345)/ 65536, 32768),0)/32768)"),-0.0286614990234375)</f>
        <v>-2.8661499023437498E-2</v>
      </c>
      <c r="AG42" s="16"/>
      <c r="AH42" s="77"/>
      <c r="AI42" s="114"/>
    </row>
    <row r="43" spans="1:35" ht="16.2">
      <c r="A43" s="53">
        <v>42</v>
      </c>
      <c r="B43" s="118">
        <f t="shared" si="0"/>
        <v>1.74766</v>
      </c>
      <c r="C43" s="72" t="str">
        <f t="array" ref="C43">INDEX(NPCFName,TRUNC(1+(COUNTA(NPCFName))*(TRUNC(MOD(($B43*1103515245 +12345)/ 65536, 32768),0)/32768),0))</f>
        <v>Poscidion</v>
      </c>
      <c r="D43" s="16" t="str">
        <f t="array" ref="D43">INDEX(NPCLName,TRUNC(1+(COUNTA(NPCLName))*(TRUNC(MOD(($B43*1103515245 +12345)/ 65536, 32768),0)/32768),0))</f>
        <v>Forestbluff</v>
      </c>
      <c r="E43" s="16" t="str">
        <f t="array" ref="E43">INDEX(NPCClass,TRUNC(1+(COUNTA(NPCClass))*(TRUNC(MOD(($B43*1103515245 +12345)/ 65536, 32768),0)/32768),0))</f>
        <v>Fighter</v>
      </c>
      <c r="F43" s="76">
        <v>8</v>
      </c>
      <c r="G43" s="153">
        <f ca="1">VLOOKUP($AB$2,'RF Mod'!$A$2:$G$12,2,FALSE)+VLOOKUP($AD$2,'RF Mod'!$I$2:$O$11,2,FALSE)+(TRUNC(6+(24-6)*(TRUNC(MOD(($Z43*1103515245 +12345)/ 65536, 32768),0)/32768),0))</f>
        <v>12</v>
      </c>
      <c r="H43" s="16" t="e">
        <f t="shared" ca="1" si="1"/>
        <v>#NAME?</v>
      </c>
      <c r="I43" s="153">
        <f ca="1">VLOOKUP($AB$2,'RF Mod'!$A$2:$G$12,3,FALSE)+VLOOKUP($AD$2,'RF Mod'!$I$2:$O$11,3,FALSE)+(TRUNC(6+(24-6)*(TRUNC(MOD(($Z43*1103515245 +12345)/ 65536, 32768),0)/32768),0))</f>
        <v>16</v>
      </c>
      <c r="J43" s="16" t="e">
        <f t="shared" ca="1" si="2"/>
        <v>#NAME?</v>
      </c>
      <c r="K43" s="153">
        <f ca="1">VLOOKUP($AB$2,'RF Mod'!$A$2:$G$12,3,FALSE)+VLOOKUP($AD$2,'RF Mod'!$I$2:$O$11,3,FALSE)+(TRUNC(6+(24-6)*(TRUNC(MOD(($Z43*1103515245 +12345)/ 65536, 32768),0)/32768),0))</f>
        <v>16</v>
      </c>
      <c r="L43" s="16" t="e">
        <f t="shared" ca="1" si="3"/>
        <v>#NAME?</v>
      </c>
      <c r="M43" s="153">
        <f ca="1">VLOOKUP($AB$2,'RF Mod'!$A$2:$G$12,4,FALSE)+VLOOKUP($AD$2,'RF Mod'!$I$2:$O$11,4,FALSE)+(TRUNC(6+(24-6)*(TRUNC(MOD(($Z43*1103515245 +12345)/ 65536, 32768),0)/32768),0))</f>
        <v>15</v>
      </c>
      <c r="N43" s="16" t="e">
        <f t="shared" ca="1" si="4"/>
        <v>#NAME?</v>
      </c>
      <c r="O43" s="153">
        <f ca="1">VLOOKUP($AB$2,'RF Mod'!$A$2:$G$12,5,FALSE)+VLOOKUP($AD$2,'RF Mod'!$I$2:$O$11,5,FALSE)+(TRUNC(6+(24-6)*(TRUNC(MOD(($Z43*1103515245 +12345)/ 65536, 32768),0)/32768),0))</f>
        <v>18</v>
      </c>
      <c r="P43" s="16" t="e">
        <f t="shared" ca="1" si="5"/>
        <v>#NAME?</v>
      </c>
      <c r="Q43" s="153">
        <f ca="1">VLOOKUP($AB$2,'RF Mod'!$A$2:$G$12,6,FALSE)+VLOOKUP($AD$2,'RF Mod'!$I$2:$O$11,6,FALSE)+(TRUNC(6+(24-6)*(TRUNC(MOD(($Z43*1103515245 +12345)/ 65536, 32768),0)/32768),0))</f>
        <v>16</v>
      </c>
      <c r="R43" s="16" t="e">
        <f t="shared" ca="1" si="6"/>
        <v>#NAME?</v>
      </c>
      <c r="S43" s="154">
        <f t="shared" ca="1" si="12"/>
        <v>272</v>
      </c>
      <c r="T43" s="154">
        <f t="shared" ca="1" si="7"/>
        <v>13</v>
      </c>
      <c r="U43" s="16" t="str">
        <f t="shared" ca="1" si="8"/>
        <v>Fine</v>
      </c>
      <c r="V43" s="155">
        <f ca="1">IFERROR(__xludf.DUMMYFUNCTION("if(W43=""Middle Age"",QUERY(NPCVar!$K$2:$N1000, ""Select L where K = '""&amp;AB43&amp;""'""),if(W43=""Old"",QUERY(NPCVar!$K$2:$N1000, ""Select M where K = '""&amp;AB43&amp;""'""),if(W43=""Venerable"",QUERY(NPCVar!$K$2:$N1000, ""Select N where K = '""&amp;AB43&amp;""'""),false)))"&amp;"*X43"),60.5)</f>
        <v>60.5</v>
      </c>
      <c r="W43" s="156" t="str">
        <f t="array" ref="W43">INDEX(NPCAgeType,TRUNC(1+(4-1)*(TRUNC(MOD((X43*1103515245 +12345)/ 65536, 32768),0)/32768),0))</f>
        <v>Middle Age</v>
      </c>
      <c r="X43" s="117">
        <f t="shared" si="13"/>
        <v>2.2000000000000002</v>
      </c>
      <c r="Y43" s="157" t="e">
        <f t="array" aca="1" ref="Y43" ca="1">LOOKUP(ABS(MAX(Z43 + MIN(ABS(INDIRECT("Class Jobs!B"&amp;MATCH(E43,'Class Jobs'!$A$1:$A1000,0)&amp;":"&amp;"AF"&amp;MATCH(E43,'Class Jobs'!$A$1:$A1000,0)&amp;"")-$Z43)) * SUM(IF(MIN(ABS(INDIRECT("Class Jobs!B"&amp;MATCH(E43,'Class Jobs'!$A$1:$A1000,0)&amp;":"&amp;"AF"&amp;MATCH(E43,'Class Jobs'!$A$1:$A1000,0)&amp;"")-$Z43))=ABS(INDIRECT("Class Jobs!B"&amp;MATCH(E43,'Class Jobs'!$A$1:$A1000,0)&amp;":"&amp;"AF"&amp;MATCH(E43,'Class Jobs'!$A$1:$A1000,0)&amp;"")-$Z43),SIGN(INDIRECT("Class Jobs!B"&amp;MATCH(E43,'Class Jobs'!$A$1:A1000,0)&amp;":"&amp;"AF"&amp;MATCH(E43,'Class Jobs'!$A$1:$A1000,0)&amp;"")-$Z43),0)),0)),INDIRECT("Class Jobs!B"&amp;MATCH(E43,'Class Jobs'!$A$1:$A1000,0)&amp;":"&amp;"AF"&amp;MATCH(E43,'Class Jobs'!$A$1:$A1000,1)&amp;""),'Class Jobs'!$B$1:$AF$1)</f>
        <v>#REF!</v>
      </c>
      <c r="Z43" s="158">
        <f t="shared" si="10"/>
        <v>0.89</v>
      </c>
      <c r="AA43" s="16" t="str">
        <f t="array" ref="AA43">INDEX(NPCGender,TRUNC(1+(COUNTA(NPCGender))*(TRUNC(MOD(($B43*1103515245 +12345)/ 65536, 32768),0)/32768),0))</f>
        <v>Neutral</v>
      </c>
      <c r="AB43" s="16" t="str">
        <f t="array" ref="AB43">INDEX(NPCRace,TRUNC(1+(COUNTA(NPCRace))*(TRUNC(MOD(($B43*1103515245 +12345)/ 65536, 32768),0)/32768),0))</f>
        <v>Genasi</v>
      </c>
      <c r="AC43" s="16" t="str">
        <f t="array" ref="AC43">INDEX(NPCAL,TRUNC(1+(COUNTA(NPCAL))*(TRUNC(MOD(($B43*1103515245 +12345)/ 65536, 32768),0)/32768),0))</f>
        <v>LE</v>
      </c>
      <c r="AD43" s="72" t="str">
        <f ca="1">IFERROR(__xludf.DUMMYFUNCTION("if(V43&lt;15,QUERY(NPCVar!C:D,""Select D WHERE C = '""&amp;D43&amp;""'""),if((TRUNC(1+10)*(TRUNC(MOD((ROW(H43)*1103515245 +12345)/ 65536, 32768),0)/32768)/10) &gt; 0.85,INDEX(NPCFaction,TRUNC(1+(counta(NPCFaction)-1)*(TRUNC(MOD(($B43*1103515245 +12345)/ 65536, 32768),0"&amp;")/32768),0)),QUERY(NPCVar!C:D,""Select D WHERE C = '""&amp;D43&amp;""'"")))"),"Thieves Guild")</f>
        <v>Thieves Guild</v>
      </c>
      <c r="AE43" s="108" t="e">
        <f t="shared" ca="1" si="11"/>
        <v>#NAME?</v>
      </c>
      <c r="AF43" s="159">
        <f ca="1">IFERROR(__xludf.DUMMYFUNCTION("AE43*(V43 / QUERY(NPCVar!$K$2:$N$12, ""Select N WHERE K='""&amp;AB43&amp;""'""))*TRUNC(1+10)*(TRUNC(MOD(($B43*1103515245 +12345)/ 65536, 32768),0)/32768)"),3.80320266723632)</f>
        <v>3.8032026672363202</v>
      </c>
      <c r="AG43" s="16"/>
      <c r="AH43" s="77"/>
      <c r="AI43" s="114"/>
    </row>
    <row r="44" spans="1:35" ht="16.2">
      <c r="A44" s="53">
        <v>43</v>
      </c>
      <c r="B44" s="118">
        <f t="shared" si="0"/>
        <v>0.74173</v>
      </c>
      <c r="C44" s="72" t="str">
        <f t="array" ref="C44">INDEX(NPCFName,TRUNC(1+(COUNTA(NPCFName))*(TRUNC(MOD(($B44*1103515245 +12345)/ 65536, 32768),0)/32768),0))</f>
        <v>Celthric</v>
      </c>
      <c r="D44" s="16" t="str">
        <f t="array" ref="D44">INDEX(NPCLName,TRUNC(1+(COUNTA(NPCLName))*(TRUNC(MOD(($B44*1103515245 +12345)/ 65536, 32768),0)/32768),0))</f>
        <v>Fistroot</v>
      </c>
      <c r="E44" s="16" t="str">
        <f t="array" ref="E44">INDEX(NPCClass,TRUNC(1+(COUNTA(NPCClass))*(TRUNC(MOD(($B44*1103515245 +12345)/ 65536, 32768),0)/32768),0))</f>
        <v>Paladin</v>
      </c>
      <c r="F44" s="76">
        <v>6</v>
      </c>
      <c r="G44" s="153">
        <f ca="1">VLOOKUP($AB$2,'RF Mod'!$A$2:$G$12,2,FALSE)+VLOOKUP($AD$2,'RF Mod'!$I$2:$O$11,2,FALSE)+(TRUNC(6+(24-6)*(TRUNC(MOD(($Z44*1103515245 +12345)/ 65536, 32768),0)/32768),0))</f>
        <v>7</v>
      </c>
      <c r="H44" s="16">
        <f t="shared" ca="1" si="1"/>
        <v>-2</v>
      </c>
      <c r="I44" s="153">
        <f ca="1">VLOOKUP($AB$2,'RF Mod'!$A$2:$G$12,3,FALSE)+VLOOKUP($AD$2,'RF Mod'!$I$2:$O$11,3,FALSE)+(TRUNC(6+(24-6)*(TRUNC(MOD(($Z44*1103515245 +12345)/ 65536, 32768),0)/32768),0))</f>
        <v>11</v>
      </c>
      <c r="J44" s="16" t="e">
        <f t="shared" ca="1" si="2"/>
        <v>#NAME?</v>
      </c>
      <c r="K44" s="153">
        <f ca="1">VLOOKUP($AB$2,'RF Mod'!$A$2:$G$12,3,FALSE)+VLOOKUP($AD$2,'RF Mod'!$I$2:$O$11,3,FALSE)+(TRUNC(6+(24-6)*(TRUNC(MOD(($Z44*1103515245 +12345)/ 65536, 32768),0)/32768),0))</f>
        <v>11</v>
      </c>
      <c r="L44" s="16" t="e">
        <f t="shared" ca="1" si="3"/>
        <v>#NAME?</v>
      </c>
      <c r="M44" s="153">
        <f ca="1">VLOOKUP($AB$2,'RF Mod'!$A$2:$G$12,4,FALSE)+VLOOKUP($AD$2,'RF Mod'!$I$2:$O$11,4,FALSE)+(TRUNC(6+(24-6)*(TRUNC(MOD(($Z44*1103515245 +12345)/ 65536, 32768),0)/32768),0))</f>
        <v>10</v>
      </c>
      <c r="N44" s="16" t="e">
        <f t="shared" ca="1" si="4"/>
        <v>#NAME?</v>
      </c>
      <c r="O44" s="153">
        <f ca="1">VLOOKUP($AB$2,'RF Mod'!$A$2:$G$12,5,FALSE)+VLOOKUP($AD$2,'RF Mod'!$I$2:$O$11,5,FALSE)+(TRUNC(6+(24-6)*(TRUNC(MOD(($Z44*1103515245 +12345)/ 65536, 32768),0)/32768),0))</f>
        <v>13</v>
      </c>
      <c r="P44" s="16" t="e">
        <f t="shared" ca="1" si="5"/>
        <v>#NAME?</v>
      </c>
      <c r="Q44" s="153">
        <f ca="1">VLOOKUP($AB$2,'RF Mod'!$A$2:$G$12,6,FALSE)+VLOOKUP($AD$2,'RF Mod'!$I$2:$O$11,6,FALSE)+(TRUNC(6+(24-6)*(TRUNC(MOD(($Z44*1103515245 +12345)/ 65536, 32768),0)/32768),0))</f>
        <v>11</v>
      </c>
      <c r="R44" s="16" t="e">
        <f t="shared" ca="1" si="6"/>
        <v>#NAME?</v>
      </c>
      <c r="S44" s="154">
        <f t="shared" ca="1" si="12"/>
        <v>78</v>
      </c>
      <c r="T44" s="154">
        <f t="shared" ca="1" si="7"/>
        <v>87</v>
      </c>
      <c r="U44" s="16" t="str">
        <f t="shared" ca="1" si="8"/>
        <v>Dead</v>
      </c>
      <c r="V44" s="155">
        <f ca="1">IFERROR(__xludf.DUMMYFUNCTION("if(W44=""Middle Age"",QUERY(NPCVar!$K$2:$N1000, ""Select L where K = '""&amp;AB44&amp;""'""),if(W44=""Old"",QUERY(NPCVar!$K$2:$N1000, ""Select M where K = '""&amp;AB44&amp;""'""),if(W44=""Venerable"",QUERY(NPCVar!$K$2:$N1000, ""Select N where K = '""&amp;AB44&amp;""'""),false)))"&amp;"*X44"),67.5)</f>
        <v>67.5</v>
      </c>
      <c r="W44" s="156" t="str">
        <f t="array" ref="W44">INDEX(NPCAgeType,TRUNC(1+(4-1)*(TRUNC(MOD((X44*1103515245 +12345)/ 65536, 32768),0)/32768),0))</f>
        <v>Old</v>
      </c>
      <c r="X44" s="117">
        <f t="shared" si="13"/>
        <v>1</v>
      </c>
      <c r="Y44" s="157" t="e">
        <f t="array" aca="1" ref="Y44" ca="1">LOOKUP(ABS(MAX(Z44 + MIN(ABS(INDIRECT("Class Jobs!B"&amp;MATCH(E44,'Class Jobs'!$A$1:$A1000,0)&amp;":"&amp;"AF"&amp;MATCH(E44,'Class Jobs'!$A$1:$A1000,0)&amp;"")-$Z44)) * SUM(IF(MIN(ABS(INDIRECT("Class Jobs!B"&amp;MATCH(E44,'Class Jobs'!$A$1:$A1000,0)&amp;":"&amp;"AF"&amp;MATCH(E44,'Class Jobs'!$A$1:$A1000,0)&amp;"")-$Z44))=ABS(INDIRECT("Class Jobs!B"&amp;MATCH(E44,'Class Jobs'!$A$1:$A1000,0)&amp;":"&amp;"AF"&amp;MATCH(E44,'Class Jobs'!$A$1:$A1000,0)&amp;"")-$Z44),SIGN(INDIRECT("Class Jobs!B"&amp;MATCH(E44,'Class Jobs'!$A$1:A1000,0)&amp;":"&amp;"AF"&amp;MATCH(E44,'Class Jobs'!$A$1:$A1000,0)&amp;"")-$Z44),0)),0)),INDIRECT("Class Jobs!B"&amp;MATCH(E44,'Class Jobs'!$A$1:$A1000,0)&amp;":"&amp;"AF"&amp;MATCH(E44,'Class Jobs'!$A$1:$A1000,1)&amp;""),'Class Jobs'!$B$1:$AF$1)</f>
        <v>#REF!</v>
      </c>
      <c r="Z44" s="158">
        <f t="shared" si="10"/>
        <v>0.38</v>
      </c>
      <c r="AA44" s="16" t="str">
        <f t="array" ref="AA44">INDEX(NPCGender,TRUNC(1+(COUNTA(NPCGender))*(TRUNC(MOD(($B44*1103515245 +12345)/ 65536, 32768),0)/32768),0))</f>
        <v>Female</v>
      </c>
      <c r="AB44" s="16" t="str">
        <f t="array" ref="AB44">INDEX(NPCRace,TRUNC(1+(COUNTA(NPCRace))*(TRUNC(MOD(($B44*1103515245 +12345)/ 65536, 32768),0)/32768),0))</f>
        <v>Half-Elf</v>
      </c>
      <c r="AC44" s="16" t="str">
        <f t="array" ref="AC44">INDEX(NPCAL,TRUNC(1+(COUNTA(NPCAL))*(TRUNC(MOD(($B44*1103515245 +12345)/ 65536, 32768),0)/32768),0))</f>
        <v>NG</v>
      </c>
      <c r="AD44" s="72" t="str">
        <f ca="1">IFERROR(__xludf.DUMMYFUNCTION("if(V44&lt;15,QUERY(NPCVar!C:D,""Select D WHERE C = '""&amp;D44&amp;""'""),if((TRUNC(1+10)*(TRUNC(MOD((ROW(H44)*1103515245 +12345)/ 65536, 32768),0)/32768)/10) &gt; 0.85,INDEX(NPCFaction,TRUNC(1+(counta(NPCFaction)-1)*(TRUNC(MOD(($B44*1103515245 +12345)/ 65536, 32768),0"&amp;")/32768),0)),QUERY(NPCVar!C:D,""Select D WHERE C = '""&amp;D44&amp;""'"")))"),"Magic Guild")</f>
        <v>Magic Guild</v>
      </c>
      <c r="AE44" s="108" t="e">
        <f t="shared" ca="1" si="11"/>
        <v>#NAME?</v>
      </c>
      <c r="AF44" s="159">
        <f ca="1">IFERROR(__xludf.DUMMYFUNCTION("AE44*(V44 / QUERY(NPCVar!$K$2:$N$12, ""Select N WHERE K='""&amp;AB44&amp;""'""))*TRUNC(1+10)*(TRUNC(MOD(($B44*1103515245 +12345)/ 65536, 32768),0)/32768)"),0)</f>
        <v>0</v>
      </c>
      <c r="AG44" s="16"/>
      <c r="AH44" s="77"/>
      <c r="AI44" s="114"/>
    </row>
    <row r="45" spans="1:35" ht="16.2">
      <c r="A45" s="53">
        <v>44</v>
      </c>
      <c r="B45" s="118">
        <f t="shared" si="0"/>
        <v>2.2358699999999998</v>
      </c>
      <c r="C45" s="72" t="str">
        <f t="array" ref="C45">INDEX(NPCFName,TRUNC(1+(COUNTA(NPCFName))*(TRUNC(MOD(($B45*1103515245 +12345)/ 65536, 32768),0)/32768),0))</f>
        <v>Janus</v>
      </c>
      <c r="D45" s="16" t="str">
        <f t="array" ref="D45">INDEX(NPCLName,TRUNC(1+(COUNTA(NPCLName))*(TRUNC(MOD(($B45*1103515245 +12345)/ 65536, 32768),0)/32768),0))</f>
        <v>Fistwing</v>
      </c>
      <c r="E45" s="16" t="str">
        <f t="array" ref="E45">INDEX(NPCClass,TRUNC(1+(COUNTA(NPCClass))*(TRUNC(MOD(($B45*1103515245 +12345)/ 65536, 32768),0)/32768),0))</f>
        <v>Bard</v>
      </c>
      <c r="F45" s="76">
        <v>1</v>
      </c>
      <c r="G45" s="153">
        <f ca="1">VLOOKUP($AB$2,'RF Mod'!$A$2:$G$12,2,FALSE)+VLOOKUP($AD$2,'RF Mod'!$I$2:$O$11,2,FALSE)+(TRUNC(6+(24-6)*(TRUNC(MOD(($Z45*1103515245 +12345)/ 65536, 32768),0)/32768),0))</f>
        <v>5</v>
      </c>
      <c r="H45" s="16">
        <f t="shared" ca="1" si="1"/>
        <v>-3</v>
      </c>
      <c r="I45" s="153">
        <f ca="1">VLOOKUP($AB$2,'RF Mod'!$A$2:$G$12,3,FALSE)+VLOOKUP($AD$2,'RF Mod'!$I$2:$O$11,3,FALSE)+(TRUNC(6+(24-6)*(TRUNC(MOD(($Z45*1103515245 +12345)/ 65536, 32768),0)/32768),0))</f>
        <v>9</v>
      </c>
      <c r="J45" s="16">
        <f t="shared" ca="1" si="2"/>
        <v>-1</v>
      </c>
      <c r="K45" s="153">
        <f ca="1">VLOOKUP($AB$2,'RF Mod'!$A$2:$G$12,3,FALSE)+VLOOKUP($AD$2,'RF Mod'!$I$2:$O$11,3,FALSE)+(TRUNC(6+(24-6)*(TRUNC(MOD(($Z45*1103515245 +12345)/ 65536, 32768),0)/32768),0))</f>
        <v>9</v>
      </c>
      <c r="L45" s="16">
        <f t="shared" ca="1" si="3"/>
        <v>-1</v>
      </c>
      <c r="M45" s="153">
        <f ca="1">VLOOKUP($AB$2,'RF Mod'!$A$2:$G$12,4,FALSE)+VLOOKUP($AD$2,'RF Mod'!$I$2:$O$11,4,FALSE)+(TRUNC(6+(24-6)*(TRUNC(MOD(($Z45*1103515245 +12345)/ 65536, 32768),0)/32768),0))</f>
        <v>8</v>
      </c>
      <c r="N45" s="16">
        <f t="shared" ca="1" si="4"/>
        <v>-1</v>
      </c>
      <c r="O45" s="153">
        <f ca="1">VLOOKUP($AB$2,'RF Mod'!$A$2:$G$12,5,FALSE)+VLOOKUP($AD$2,'RF Mod'!$I$2:$O$11,5,FALSE)+(TRUNC(6+(24-6)*(TRUNC(MOD(($Z45*1103515245 +12345)/ 65536, 32768),0)/32768),0))</f>
        <v>11</v>
      </c>
      <c r="P45" s="16" t="e">
        <f t="shared" ca="1" si="5"/>
        <v>#NAME?</v>
      </c>
      <c r="Q45" s="153">
        <f ca="1">VLOOKUP($AB$2,'RF Mod'!$A$2:$G$12,6,FALSE)+VLOOKUP($AD$2,'RF Mod'!$I$2:$O$11,6,FALSE)+(TRUNC(6+(24-6)*(TRUNC(MOD(($Z45*1103515245 +12345)/ 65536, 32768),0)/32768),0))</f>
        <v>9</v>
      </c>
      <c r="R45" s="16">
        <f t="shared" ca="1" si="6"/>
        <v>-1</v>
      </c>
      <c r="S45" s="154">
        <f t="shared" ca="1" si="12"/>
        <v>11</v>
      </c>
      <c r="T45" s="154">
        <f t="shared" ca="1" si="7"/>
        <v>9</v>
      </c>
      <c r="U45" s="16" t="str">
        <f t="shared" ca="1" si="8"/>
        <v>Bloody</v>
      </c>
      <c r="V45" s="155">
        <f ca="1">IFERROR(__xludf.DUMMYFUNCTION("if(W45=""Middle Age"",QUERY(NPCVar!$K$2:$N1000, ""Select L where K = '""&amp;AB45&amp;""'""),if(W45=""Old"",QUERY(NPCVar!$K$2:$N1000, ""Select M where K = '""&amp;AB45&amp;""'""),if(W45=""Venerable"",QUERY(NPCVar!$K$2:$N1000, ""Select N where K = '""&amp;AB45&amp;""'""),false)))"&amp;"*X45"),32)</f>
        <v>32</v>
      </c>
      <c r="W45" s="156" t="str">
        <f t="array" ref="W45">INDEX(NPCAgeType,TRUNC(1+(4-1)*(TRUNC(MOD((X45*1103515245 +12345)/ 65536, 32768),0)/32768),0))</f>
        <v>Middle Age</v>
      </c>
      <c r="X45" s="117">
        <f t="shared" si="13"/>
        <v>0.4</v>
      </c>
      <c r="Y45" s="157" t="e">
        <f t="array" aca="1" ref="Y45" ca="1">LOOKUP(ABS(MAX(Z45 + MIN(ABS(INDIRECT("Class Jobs!B"&amp;MATCH(E45,'Class Jobs'!$A$1:$A1000,0)&amp;":"&amp;"AF"&amp;MATCH(E45,'Class Jobs'!$A$1:$A1000,0)&amp;"")-$Z45)) * SUM(IF(MIN(ABS(INDIRECT("Class Jobs!B"&amp;MATCH(E45,'Class Jobs'!$A$1:$A1000,0)&amp;":"&amp;"AF"&amp;MATCH(E45,'Class Jobs'!$A$1:$A1000,0)&amp;"")-$Z45))=ABS(INDIRECT("Class Jobs!B"&amp;MATCH(E45,'Class Jobs'!$A$1:$A1000,0)&amp;":"&amp;"AF"&amp;MATCH(E45,'Class Jobs'!$A$1:$A1000,0)&amp;"")-$Z45),SIGN(INDIRECT("Class Jobs!B"&amp;MATCH(E45,'Class Jobs'!$A$1:A1000,0)&amp;":"&amp;"AF"&amp;MATCH(E45,'Class Jobs'!$A$1:$A1000,0)&amp;"")-$Z45),0)),0)),INDIRECT("Class Jobs!B"&amp;MATCH(E45,'Class Jobs'!$A$1:$A1000,0)&amp;":"&amp;"AF"&amp;MATCH(E45,'Class Jobs'!$A$1:$A1000,1)&amp;""),'Class Jobs'!$B$1:$AF$1)</f>
        <v>#REF!</v>
      </c>
      <c r="Z45" s="158">
        <f t="shared" si="10"/>
        <v>0.15</v>
      </c>
      <c r="AA45" s="16" t="str">
        <f t="array" ref="AA45">INDEX(NPCGender,TRUNC(1+(COUNTA(NPCGender))*(TRUNC(MOD(($B45*1103515245 +12345)/ 65536, 32768),0)/32768),0))</f>
        <v>Male</v>
      </c>
      <c r="AB45" s="16" t="str">
        <f t="array" ref="AB45">INDEX(NPCRace,TRUNC(1+(COUNTA(NPCRace))*(TRUNC(MOD(($B45*1103515245 +12345)/ 65536, 32768),0)/32768),0))</f>
        <v>Dwarf</v>
      </c>
      <c r="AC45" s="16" t="str">
        <f t="array" ref="AC45">INDEX(NPCAL,TRUNC(1+(COUNTA(NPCAL))*(TRUNC(MOD(($B45*1103515245 +12345)/ 65536, 32768),0)/32768),0))</f>
        <v>CE</v>
      </c>
      <c r="AD45" s="72" t="str">
        <f ca="1">IFERROR(__xludf.DUMMYFUNCTION("if(V45&lt;15,QUERY(NPCVar!C:D,""Select D WHERE C = '""&amp;D45&amp;""'""),if((TRUNC(1+10)*(TRUNC(MOD((ROW(H45)*1103515245 +12345)/ 65536, 32768),0)/32768)/10) &gt; 0.85,INDEX(NPCFaction,TRUNC(1+(counta(NPCFaction)-1)*(TRUNC(MOD(($B45*1103515245 +12345)/ 65536, 32768),0"&amp;")/32768),0)),QUERY(NPCVar!C:D,""Select D WHERE C = '""&amp;D45&amp;""'"")))"),"Royalty")</f>
        <v>Royalty</v>
      </c>
      <c r="AE45" s="108" t="e">
        <f t="shared" ca="1" si="11"/>
        <v>#NAME?</v>
      </c>
      <c r="AF45" s="159">
        <f ca="1">IFERROR(__xludf.DUMMYFUNCTION("AE45*(V45 / QUERY(NPCVar!$K$2:$N$12, ""Select N WHERE K='""&amp;AB45&amp;""'""))*TRUNC(1+10)*(TRUNC(MOD(($B45*1103515245 +12345)/ 65536, 32768),0)/32768)"),0.0491455078124999)</f>
        <v>4.9145507812499899E-2</v>
      </c>
      <c r="AG45" s="16"/>
      <c r="AH45" s="77"/>
      <c r="AI45" s="114"/>
    </row>
    <row r="46" spans="1:35" ht="16.2">
      <c r="A46" s="53">
        <v>45</v>
      </c>
      <c r="B46" s="118">
        <f t="shared" si="0"/>
        <v>1.23001</v>
      </c>
      <c r="C46" s="72" t="str">
        <f t="array" ref="C46">INDEX(NPCFName,TRUNC(1+(COUNTA(NPCFName))*(TRUNC(MOD(($B46*1103515245 +12345)/ 65536, 32768),0)/32768),0))</f>
        <v>Vacone</v>
      </c>
      <c r="D46" s="16" t="str">
        <f t="array" ref="D46">INDEX(NPCLName,TRUNC(1+(COUNTA(NPCLName))*(TRUNC(MOD(($B46*1103515245 +12345)/ 65536, 32768),0)/32768),0))</f>
        <v>Gloomrage</v>
      </c>
      <c r="E46" s="16" t="str">
        <f t="array" ref="E46">INDEX(NPCClass,TRUNC(1+(COUNTA(NPCClass))*(TRUNC(MOD(($B46*1103515245 +12345)/ 65536, 32768),0)/32768),0))</f>
        <v>Warlock</v>
      </c>
      <c r="F46" s="76">
        <v>8</v>
      </c>
      <c r="G46" s="153">
        <f ca="1">VLOOKUP($AB$2,'RF Mod'!$A$2:$G$12,2,FALSE)+VLOOKUP($AD$2,'RF Mod'!$I$2:$O$11,2,FALSE)+(TRUNC(6+(24-6)*(TRUNC(MOD(($Z46*1103515245 +12345)/ 65536, 32768),0)/32768),0))</f>
        <v>9</v>
      </c>
      <c r="H46" s="16">
        <f t="shared" ca="1" si="1"/>
        <v>-1</v>
      </c>
      <c r="I46" s="153">
        <f ca="1">VLOOKUP($AB$2,'RF Mod'!$A$2:$G$12,3,FALSE)+VLOOKUP($AD$2,'RF Mod'!$I$2:$O$11,3,FALSE)+(TRUNC(6+(24-6)*(TRUNC(MOD(($Z46*1103515245 +12345)/ 65536, 32768),0)/32768),0))</f>
        <v>13</v>
      </c>
      <c r="J46" s="16" t="e">
        <f t="shared" ca="1" si="2"/>
        <v>#NAME?</v>
      </c>
      <c r="K46" s="153">
        <f ca="1">VLOOKUP($AB$2,'RF Mod'!$A$2:$G$12,3,FALSE)+VLOOKUP($AD$2,'RF Mod'!$I$2:$O$11,3,FALSE)+(TRUNC(6+(24-6)*(TRUNC(MOD(($Z46*1103515245 +12345)/ 65536, 32768),0)/32768),0))</f>
        <v>13</v>
      </c>
      <c r="L46" s="16" t="e">
        <f t="shared" ca="1" si="3"/>
        <v>#NAME?</v>
      </c>
      <c r="M46" s="153">
        <f ca="1">VLOOKUP($AB$2,'RF Mod'!$A$2:$G$12,4,FALSE)+VLOOKUP($AD$2,'RF Mod'!$I$2:$O$11,4,FALSE)+(TRUNC(6+(24-6)*(TRUNC(MOD(($Z46*1103515245 +12345)/ 65536, 32768),0)/32768),0))</f>
        <v>12</v>
      </c>
      <c r="N46" s="16" t="e">
        <f t="shared" ca="1" si="4"/>
        <v>#NAME?</v>
      </c>
      <c r="O46" s="153">
        <f ca="1">VLOOKUP($AB$2,'RF Mod'!$A$2:$G$12,5,FALSE)+VLOOKUP($AD$2,'RF Mod'!$I$2:$O$11,5,FALSE)+(TRUNC(6+(24-6)*(TRUNC(MOD(($Z46*1103515245 +12345)/ 65536, 32768),0)/32768),0))</f>
        <v>15</v>
      </c>
      <c r="P46" s="16" t="e">
        <f t="shared" ca="1" si="5"/>
        <v>#NAME?</v>
      </c>
      <c r="Q46" s="153">
        <f ca="1">VLOOKUP($AB$2,'RF Mod'!$A$2:$G$12,6,FALSE)+VLOOKUP($AD$2,'RF Mod'!$I$2:$O$11,6,FALSE)+(TRUNC(6+(24-6)*(TRUNC(MOD(($Z46*1103515245 +12345)/ 65536, 32768),0)/32768),0))</f>
        <v>13</v>
      </c>
      <c r="R46" s="16" t="e">
        <f t="shared" ca="1" si="6"/>
        <v>#NAME?</v>
      </c>
      <c r="S46" s="154">
        <f t="shared" ca="1" si="12"/>
        <v>216</v>
      </c>
      <c r="T46" s="154">
        <f t="shared" ca="1" si="7"/>
        <v>254</v>
      </c>
      <c r="U46" s="16" t="str">
        <f t="shared" ca="1" si="8"/>
        <v>Dead</v>
      </c>
      <c r="V46" s="155">
        <f ca="1">IFERROR(__xludf.DUMMYFUNCTION("if(W46=""Middle Age"",QUERY(NPCVar!$K$2:$N1000, ""Select L where K = '""&amp;AB46&amp;""'""),if(W46=""Old"",QUERY(NPCVar!$K$2:$N1000, ""Select M where K = '""&amp;AB46&amp;""'""),if(W46=""Venerable"",QUERY(NPCVar!$K$2:$N1000, ""Select N where K = '""&amp;AB46&amp;""'""),false)))"&amp;"*X46"),320)</f>
        <v>320</v>
      </c>
      <c r="W46" s="156" t="str">
        <f t="array" ref="W46">INDEX(NPCAgeType,TRUNC(1+(4-1)*(TRUNC(MOD((X46*1103515245 +12345)/ 65536, 32768),0)/32768),0))</f>
        <v>Venerable</v>
      </c>
      <c r="X46" s="117">
        <f t="shared" si="13"/>
        <v>1.6</v>
      </c>
      <c r="Y46" s="157" t="e">
        <f t="array" aca="1" ref="Y46" ca="1">LOOKUP(ABS(MAX(Z46 + MIN(ABS(INDIRECT("Class Jobs!B"&amp;MATCH(E46,'Class Jobs'!$A$1:$A1000,0)&amp;":"&amp;"AF"&amp;MATCH(E46,'Class Jobs'!$A$1:$A1000,0)&amp;"")-$Z46)) * SUM(IF(MIN(ABS(INDIRECT("Class Jobs!B"&amp;MATCH(E46,'Class Jobs'!$A$1:$A1000,0)&amp;":"&amp;"AF"&amp;MATCH(E46,'Class Jobs'!$A$1:$A1000,0)&amp;"")-$Z46))=ABS(INDIRECT("Class Jobs!B"&amp;MATCH(E46,'Class Jobs'!$A$1:$A1000,0)&amp;":"&amp;"AF"&amp;MATCH(E46,'Class Jobs'!$A$1:$A1000,0)&amp;"")-$Z46),SIGN(INDIRECT("Class Jobs!B"&amp;MATCH(E46,'Class Jobs'!$A$1:A1000,0)&amp;":"&amp;"AF"&amp;MATCH(E46,'Class Jobs'!$A$1:$A1000,0)&amp;"")-$Z46),0)),0)),INDIRECT("Class Jobs!B"&amp;MATCH(E46,'Class Jobs'!$A$1:$A1000,0)&amp;":"&amp;"AF"&amp;MATCH(E46,'Class Jobs'!$A$1:$A1000,1)&amp;""),'Class Jobs'!$B$1:$AF$1)</f>
        <v>#REF!</v>
      </c>
      <c r="Z46" s="158">
        <f t="shared" si="10"/>
        <v>0.63</v>
      </c>
      <c r="AA46" s="16" t="str">
        <f t="array" ref="AA46">INDEX(NPCGender,TRUNC(1+(COUNTA(NPCGender))*(TRUNC(MOD(($B46*1103515245 +12345)/ 65536, 32768),0)/32768),0))</f>
        <v>Female</v>
      </c>
      <c r="AB46" s="16" t="str">
        <f t="array" ref="AB46">INDEX(NPCRace,TRUNC(1+(COUNTA(NPCRace))*(TRUNC(MOD(($B46*1103515245 +12345)/ 65536, 32768),0)/32768),0))</f>
        <v>Halfling</v>
      </c>
      <c r="AC46" s="16" t="str">
        <f t="array" ref="AC46">INDEX(NPCAL,TRUNC(1+(COUNTA(NPCAL))*(TRUNC(MOD(($B46*1103515245 +12345)/ 65536, 32768),0)/32768),0))</f>
        <v>NE</v>
      </c>
      <c r="AD46" s="72" t="str">
        <f ca="1">IFERROR(__xludf.DUMMYFUNCTION("if(V46&lt;15,QUERY(NPCVar!C:D,""Select D WHERE C = '""&amp;D46&amp;""'""),if((TRUNC(1+10)*(TRUNC(MOD((ROW(H46)*1103515245 +12345)/ 65536, 32768),0)/32768)/10) &gt; 0.85,INDEX(NPCFaction,TRUNC(1+(counta(NPCFaction)-1)*(TRUNC(MOD(($B46*1103515245 +12345)/ 65536, 32768),0"&amp;")/32768),0)),QUERY(NPCVar!C:D,""Select D WHERE C = '""&amp;D46&amp;""'"")))"),"Traders Guild")</f>
        <v>Traders Guild</v>
      </c>
      <c r="AE46" s="108" t="e">
        <f t="shared" ca="1" si="11"/>
        <v>#NAME?</v>
      </c>
      <c r="AF46" s="159">
        <f ca="1">IFERROR(__xludf.DUMMYFUNCTION("AE46*(V46 / QUERY(NPCVar!$K$2:$N$12, ""Select N WHERE K='""&amp;AB46&amp;""'""))*TRUNC(1+10)*(TRUNC(MOD(($B46*1103515245 +12345)/ 65536, 32768),0)/32768)"),3.3372216796875)</f>
        <v>3.3372216796875001</v>
      </c>
      <c r="AG46" s="16"/>
      <c r="AH46" s="77"/>
      <c r="AI46" s="114"/>
    </row>
    <row r="47" spans="1:35" ht="16.2">
      <c r="A47" s="53">
        <v>46</v>
      </c>
      <c r="B47" s="118">
        <f t="shared" si="0"/>
        <v>0.22416</v>
      </c>
      <c r="C47" s="72" t="str">
        <f t="array" ref="C47">INDEX(NPCFName,TRUNC(1+(COUNTA(NPCFName))*(TRUNC(MOD(($B47*1103515245 +12345)/ 65536, 32768),0)/32768),0))</f>
        <v>Galiron</v>
      </c>
      <c r="D47" s="16" t="str">
        <f t="array" ref="D47">INDEX(NPCLName,TRUNC(1+(COUNTA(NPCLName))*(TRUNC(MOD(($B47*1103515245 +12345)/ 65536, 32768),0)/32768),0))</f>
        <v>Distantlash</v>
      </c>
      <c r="E47" s="16" t="str">
        <f t="array" ref="E47">INDEX(NPCClass,TRUNC(1+(COUNTA(NPCClass))*(TRUNC(MOD(($B47*1103515245 +12345)/ 65536, 32768),0)/32768),0))</f>
        <v>Bard</v>
      </c>
      <c r="F47" s="76">
        <v>1</v>
      </c>
      <c r="G47" s="153">
        <f ca="1">VLOOKUP($AB$2,'RF Mod'!$A$2:$G$12,2,FALSE)+VLOOKUP($AD$2,'RF Mod'!$I$2:$O$11,2,FALSE)+(TRUNC(6+(24-6)*(TRUNC(MOD(($Z47*1103515245 +12345)/ 65536, 32768),0)/32768),0))</f>
        <v>5</v>
      </c>
      <c r="H47" s="16">
        <f t="shared" ca="1" si="1"/>
        <v>-3</v>
      </c>
      <c r="I47" s="153">
        <f ca="1">VLOOKUP($AB$2,'RF Mod'!$A$2:$G$12,3,FALSE)+VLOOKUP($AD$2,'RF Mod'!$I$2:$O$11,3,FALSE)+(TRUNC(6+(24-6)*(TRUNC(MOD(($Z47*1103515245 +12345)/ 65536, 32768),0)/32768),0))</f>
        <v>9</v>
      </c>
      <c r="J47" s="16">
        <f t="shared" ca="1" si="2"/>
        <v>-1</v>
      </c>
      <c r="K47" s="153">
        <f ca="1">VLOOKUP($AB$2,'RF Mod'!$A$2:$G$12,3,FALSE)+VLOOKUP($AD$2,'RF Mod'!$I$2:$O$11,3,FALSE)+(TRUNC(6+(24-6)*(TRUNC(MOD(($Z47*1103515245 +12345)/ 65536, 32768),0)/32768),0))</f>
        <v>9</v>
      </c>
      <c r="L47" s="16">
        <f t="shared" ca="1" si="3"/>
        <v>-1</v>
      </c>
      <c r="M47" s="153">
        <f ca="1">VLOOKUP($AB$2,'RF Mod'!$A$2:$G$12,4,FALSE)+VLOOKUP($AD$2,'RF Mod'!$I$2:$O$11,4,FALSE)+(TRUNC(6+(24-6)*(TRUNC(MOD(($Z47*1103515245 +12345)/ 65536, 32768),0)/32768),0))</f>
        <v>8</v>
      </c>
      <c r="N47" s="16">
        <f t="shared" ca="1" si="4"/>
        <v>-1</v>
      </c>
      <c r="O47" s="153">
        <f ca="1">VLOOKUP($AB$2,'RF Mod'!$A$2:$G$12,5,FALSE)+VLOOKUP($AD$2,'RF Mod'!$I$2:$O$11,5,FALSE)+(TRUNC(6+(24-6)*(TRUNC(MOD(($Z47*1103515245 +12345)/ 65536, 32768),0)/32768),0))</f>
        <v>11</v>
      </c>
      <c r="P47" s="16" t="e">
        <f t="shared" ca="1" si="5"/>
        <v>#NAME?</v>
      </c>
      <c r="Q47" s="153">
        <f ca="1">VLOOKUP($AB$2,'RF Mod'!$A$2:$G$12,6,FALSE)+VLOOKUP($AD$2,'RF Mod'!$I$2:$O$11,6,FALSE)+(TRUNC(6+(24-6)*(TRUNC(MOD(($Z47*1103515245 +12345)/ 65536, 32768),0)/32768),0))</f>
        <v>9</v>
      </c>
      <c r="R47" s="16">
        <f t="shared" ca="1" si="6"/>
        <v>-1</v>
      </c>
      <c r="S47" s="154">
        <f t="shared" ca="1" si="12"/>
        <v>11</v>
      </c>
      <c r="T47" s="154">
        <f t="shared" ca="1" si="7"/>
        <v>5</v>
      </c>
      <c r="U47" s="16" t="str">
        <f t="shared" ca="1" si="8"/>
        <v>Fine</v>
      </c>
      <c r="V47" s="155">
        <f ca="1">IFERROR(__xludf.DUMMYFUNCTION("if(W47=""Middle Age"",QUERY(NPCVar!$K$2:$N1000, ""Select L where K = '""&amp;AB47&amp;""'""),if(W47=""Old"",QUERY(NPCVar!$K$2:$N1000, ""Select M where K = '""&amp;AB47&amp;""'""),if(W47=""Venerable"",QUERY(NPCVar!$K$2:$N1000, ""Select N where K = '""&amp;AB47&amp;""'""),false)))"&amp;"*X47"),24)</f>
        <v>24</v>
      </c>
      <c r="W47" s="156" t="str">
        <f t="array" ref="W47">INDEX(NPCAgeType,TRUNC(1+(4-1)*(TRUNC(MOD((X47*1103515245 +12345)/ 65536, 32768),0)/32768),0))</f>
        <v>Middle Age</v>
      </c>
      <c r="X47" s="117">
        <f t="shared" si="13"/>
        <v>0.3</v>
      </c>
      <c r="Y47" s="157" t="e">
        <f t="array" aca="1" ref="Y47" ca="1">LOOKUP(ABS(MAX(Z47 + MIN(ABS(INDIRECT("Class Jobs!B"&amp;MATCH(E47,'Class Jobs'!$A$1:$A1000,0)&amp;":"&amp;"AF"&amp;MATCH(E47,'Class Jobs'!$A$1:$A1000,0)&amp;"")-$Z47)) * SUM(IF(MIN(ABS(INDIRECT("Class Jobs!B"&amp;MATCH(E47,'Class Jobs'!$A$1:$A1000,0)&amp;":"&amp;"AF"&amp;MATCH(E47,'Class Jobs'!$A$1:$A1000,0)&amp;"")-$Z47))=ABS(INDIRECT("Class Jobs!B"&amp;MATCH(E47,'Class Jobs'!$A$1:$A1000,0)&amp;":"&amp;"AF"&amp;MATCH(E47,'Class Jobs'!$A$1:$A1000,0)&amp;"")-$Z47),SIGN(INDIRECT("Class Jobs!B"&amp;MATCH(E47,'Class Jobs'!$A$1:A1000,0)&amp;":"&amp;"AF"&amp;MATCH(E47,'Class Jobs'!$A$1:$A1000,0)&amp;"")-$Z47),0)),0)),INDIRECT("Class Jobs!B"&amp;MATCH(E47,'Class Jobs'!$A$1:$A1000,0)&amp;":"&amp;"AF"&amp;MATCH(E47,'Class Jobs'!$A$1:$A1000,1)&amp;""),'Class Jobs'!$B$1:$AF$1)</f>
        <v>#REF!</v>
      </c>
      <c r="Z47" s="158">
        <f t="shared" si="10"/>
        <v>0.12</v>
      </c>
      <c r="AA47" s="16" t="str">
        <f t="array" ref="AA47">INDEX(NPCGender,TRUNC(1+(COUNTA(NPCGender))*(TRUNC(MOD(($B47*1103515245 +12345)/ 65536, 32768),0)/32768),0))</f>
        <v>Male</v>
      </c>
      <c r="AB47" s="16" t="str">
        <f t="array" ref="AB47">INDEX(NPCRace,TRUNC(1+(COUNTA(NPCRace))*(TRUNC(MOD(($B47*1103515245 +12345)/ 65536, 32768),0)/32768),0))</f>
        <v>Dwarf</v>
      </c>
      <c r="AC47" s="16" t="str">
        <f t="array" ref="AC47">INDEX(NPCAL,TRUNC(1+(COUNTA(NPCAL))*(TRUNC(MOD(($B47*1103515245 +12345)/ 65536, 32768),0)/32768),0))</f>
        <v>CE</v>
      </c>
      <c r="AD47" s="72" t="str">
        <f ca="1">IFERROR(__xludf.DUMMYFUNCTION("if(V47&lt;15,QUERY(NPCVar!C:D,""Select D WHERE C = '""&amp;D47&amp;""'""),if((TRUNC(1+10)*(TRUNC(MOD((ROW(H47)*1103515245 +12345)/ 65536, 32768),0)/32768)/10) &gt; 0.85,INDEX(NPCFaction,TRUNC(1+(counta(NPCFaction)-1)*(TRUNC(MOD(($B47*1103515245 +12345)/ 65536, 32768),0"&amp;")/32768),0)),QUERY(NPCVar!C:D,""Select D WHERE C = '""&amp;D47&amp;""'"")))"),"Death Guild")</f>
        <v>Death Guild</v>
      </c>
      <c r="AE47" s="108" t="e">
        <f t="shared" ca="1" si="11"/>
        <v>#NAME?</v>
      </c>
      <c r="AF47" s="159">
        <f ca="1">IFERROR(__xludf.DUMMYFUNCTION("AE47*(V47 / QUERY(NPCVar!$K$2:$N$12, ""Select N WHERE K='""&amp;AB47&amp;""'""))*TRUNC(1+10)*(TRUNC(MOD(($B47*1103515245 +12345)/ 65536, 32768),0)/32768)"),0.0285054016113281)</f>
        <v>2.8505401611328099E-2</v>
      </c>
      <c r="AG47" s="16"/>
      <c r="AH47" s="77"/>
      <c r="AI47" s="114"/>
    </row>
    <row r="48" spans="1:35" ht="16.2">
      <c r="A48" s="53">
        <v>47</v>
      </c>
      <c r="B48" s="118">
        <f t="shared" si="0"/>
        <v>1.7182900000000001</v>
      </c>
      <c r="C48" s="72" t="str">
        <f t="array" ref="C48">INDEX(NPCFName,TRUNC(1+(COUNTA(NPCFName))*(TRUNC(MOD(($B48*1103515245 +12345)/ 65536, 32768),0)/32768),0))</f>
        <v>Omaniron</v>
      </c>
      <c r="D48" s="16" t="str">
        <f t="array" ref="D48">INDEX(NPCLName,TRUNC(1+(COUNTA(NPCLName))*(TRUNC(MOD(($B48*1103515245 +12345)/ 65536, 32768),0)/32768),0))</f>
        <v>Forestbluff</v>
      </c>
      <c r="E48" s="16" t="str">
        <f t="array" ref="E48">INDEX(NPCClass,TRUNC(1+(COUNTA(NPCClass))*(TRUNC(MOD(($B48*1103515245 +12345)/ 65536, 32768),0)/32768),0))</f>
        <v>Fighter</v>
      </c>
      <c r="F48" s="76">
        <v>8</v>
      </c>
      <c r="G48" s="153">
        <f ca="1">VLOOKUP($AB$2,'RF Mod'!$A$2:$G$12,2,FALSE)+VLOOKUP($AD$2,'RF Mod'!$I$2:$O$11,2,FALSE)+(TRUNC(6+(24-6)*(TRUNC(MOD(($Z48*1103515245 +12345)/ 65536, 32768),0)/32768),0))</f>
        <v>12</v>
      </c>
      <c r="H48" s="16" t="e">
        <f t="shared" ca="1" si="1"/>
        <v>#NAME?</v>
      </c>
      <c r="I48" s="153">
        <f ca="1">VLOOKUP($AB$2,'RF Mod'!$A$2:$G$12,3,FALSE)+VLOOKUP($AD$2,'RF Mod'!$I$2:$O$11,3,FALSE)+(TRUNC(6+(24-6)*(TRUNC(MOD(($Z48*1103515245 +12345)/ 65536, 32768),0)/32768),0))</f>
        <v>16</v>
      </c>
      <c r="J48" s="16" t="e">
        <f t="shared" ca="1" si="2"/>
        <v>#NAME?</v>
      </c>
      <c r="K48" s="153">
        <f ca="1">VLOOKUP($AB$2,'RF Mod'!$A$2:$G$12,3,FALSE)+VLOOKUP($AD$2,'RF Mod'!$I$2:$O$11,3,FALSE)+(TRUNC(6+(24-6)*(TRUNC(MOD(($Z48*1103515245 +12345)/ 65536, 32768),0)/32768),0))</f>
        <v>16</v>
      </c>
      <c r="L48" s="16" t="e">
        <f t="shared" ca="1" si="3"/>
        <v>#NAME?</v>
      </c>
      <c r="M48" s="153">
        <f ca="1">VLOOKUP($AB$2,'RF Mod'!$A$2:$G$12,4,FALSE)+VLOOKUP($AD$2,'RF Mod'!$I$2:$O$11,4,FALSE)+(TRUNC(6+(24-6)*(TRUNC(MOD(($Z48*1103515245 +12345)/ 65536, 32768),0)/32768),0))</f>
        <v>15</v>
      </c>
      <c r="N48" s="16" t="e">
        <f t="shared" ca="1" si="4"/>
        <v>#NAME?</v>
      </c>
      <c r="O48" s="153">
        <f ca="1">VLOOKUP($AB$2,'RF Mod'!$A$2:$G$12,5,FALSE)+VLOOKUP($AD$2,'RF Mod'!$I$2:$O$11,5,FALSE)+(TRUNC(6+(24-6)*(TRUNC(MOD(($Z48*1103515245 +12345)/ 65536, 32768),0)/32768),0))</f>
        <v>18</v>
      </c>
      <c r="P48" s="16" t="e">
        <f t="shared" ca="1" si="5"/>
        <v>#NAME?</v>
      </c>
      <c r="Q48" s="153">
        <f ca="1">VLOOKUP($AB$2,'RF Mod'!$A$2:$G$12,6,FALSE)+VLOOKUP($AD$2,'RF Mod'!$I$2:$O$11,6,FALSE)+(TRUNC(6+(24-6)*(TRUNC(MOD(($Z48*1103515245 +12345)/ 65536, 32768),0)/32768),0))</f>
        <v>16</v>
      </c>
      <c r="R48" s="16" t="e">
        <f t="shared" ca="1" si="6"/>
        <v>#NAME?</v>
      </c>
      <c r="S48" s="154">
        <f t="shared" ca="1" si="12"/>
        <v>256</v>
      </c>
      <c r="T48" s="154">
        <f t="shared" ca="1" si="7"/>
        <v>128</v>
      </c>
      <c r="U48" s="16" t="str">
        <f t="shared" ca="1" si="8"/>
        <v>Fine</v>
      </c>
      <c r="V48" s="155">
        <f ca="1">IFERROR(__xludf.DUMMYFUNCTION("if(W48=""Middle Age"",QUERY(NPCVar!$K$2:$N1000, ""Select L where K = '""&amp;AB48&amp;""'""),if(W48=""Old"",QUERY(NPCVar!$K$2:$N1000, ""Select M where K = '""&amp;AB48&amp;""'""),if(W48=""Venerable"",QUERY(NPCVar!$K$2:$N1000, ""Select N where K = '""&amp;AB48&amp;""'""),false)))"&amp;"*X48"),60.5)</f>
        <v>60.5</v>
      </c>
      <c r="W48" s="156" t="str">
        <f t="array" ref="W48">INDEX(NPCAgeType,TRUNC(1+(4-1)*(TRUNC(MOD((X48*1103515245 +12345)/ 65536, 32768),0)/32768),0))</f>
        <v>Middle Age</v>
      </c>
      <c r="X48" s="117">
        <f t="shared" si="13"/>
        <v>2.2000000000000002</v>
      </c>
      <c r="Y48" s="157" t="e">
        <f t="array" aca="1" ref="Y48" ca="1">LOOKUP(ABS(MAX(Z48 + MIN(ABS(INDIRECT("Class Jobs!B"&amp;MATCH(E48,'Class Jobs'!$A$1:$A1000,0)&amp;":"&amp;"AF"&amp;MATCH(E48,'Class Jobs'!$A$1:$A1000,0)&amp;"")-$Z48)) * SUM(IF(MIN(ABS(INDIRECT("Class Jobs!B"&amp;MATCH(E48,'Class Jobs'!$A$1:$A1000,0)&amp;":"&amp;"AF"&amp;MATCH(E48,'Class Jobs'!$A$1:$A1000,0)&amp;"")-$Z48))=ABS(INDIRECT("Class Jobs!B"&amp;MATCH(E48,'Class Jobs'!$A$1:$A1000,0)&amp;":"&amp;"AF"&amp;MATCH(E48,'Class Jobs'!$A$1:$A1000,0)&amp;"")-$Z48),SIGN(INDIRECT("Class Jobs!B"&amp;MATCH(E48,'Class Jobs'!$A$1:A1000,0)&amp;":"&amp;"AF"&amp;MATCH(E48,'Class Jobs'!$A$1:$A1000,0)&amp;"")-$Z48),0)),0)),INDIRECT("Class Jobs!B"&amp;MATCH(E48,'Class Jobs'!$A$1:$A1000,0)&amp;":"&amp;"AF"&amp;MATCH(E48,'Class Jobs'!$A$1:$A1000,1)&amp;""),'Class Jobs'!$B$1:$AF$1)</f>
        <v>#REF!</v>
      </c>
      <c r="Z48" s="158">
        <f t="shared" si="10"/>
        <v>0.88</v>
      </c>
      <c r="AA48" s="16" t="str">
        <f t="array" ref="AA48">INDEX(NPCGender,TRUNC(1+(COUNTA(NPCGender))*(TRUNC(MOD(($B48*1103515245 +12345)/ 65536, 32768),0)/32768),0))</f>
        <v>Neutral</v>
      </c>
      <c r="AB48" s="16" t="str">
        <f t="array" ref="AB48">INDEX(NPCRace,TRUNC(1+(COUNTA(NPCRace))*(TRUNC(MOD(($B48*1103515245 +12345)/ 65536, 32768),0)/32768),0))</f>
        <v>Genasi</v>
      </c>
      <c r="AC48" s="16" t="str">
        <f t="array" ref="AC48">INDEX(NPCAL,TRUNC(1+(COUNTA(NPCAL))*(TRUNC(MOD(($B48*1103515245 +12345)/ 65536, 32768),0)/32768),0))</f>
        <v>LN</v>
      </c>
      <c r="AD48" s="72" t="str">
        <f ca="1">IFERROR(__xludf.DUMMYFUNCTION("if(V48&lt;15,QUERY(NPCVar!C:D,""Select D WHERE C = '""&amp;D48&amp;""'""),if((TRUNC(1+10)*(TRUNC(MOD((ROW(H48)*1103515245 +12345)/ 65536, 32768),0)/32768)/10) &gt; 0.85,INDEX(NPCFaction,TRUNC(1+(counta(NPCFaction)-1)*(TRUNC(MOD(($B48*1103515245 +12345)/ 65536, 32768),0"&amp;")/32768),0)),QUERY(NPCVar!C:D,""Select D WHERE C = '""&amp;D48&amp;""'"")))"),"Thieves Guild")</f>
        <v>Thieves Guild</v>
      </c>
      <c r="AE48" s="108" t="e">
        <f t="shared" ca="1" si="11"/>
        <v>#NAME?</v>
      </c>
      <c r="AF48" s="159">
        <f ca="1">IFERROR(__xludf.DUMMYFUNCTION("AE48*(V48 / QUERY(NPCVar!$K$2:$N$12, ""Select N WHERE K='""&amp;AB48&amp;""'""))*TRUNC(1+10)*(TRUNC(MOD(($B48*1103515245 +12345)/ 65536, 32768),0)/32768)"),1.60258163452148)</f>
        <v>1.6025816345214801</v>
      </c>
      <c r="AG48" s="16"/>
      <c r="AH48" s="77"/>
      <c r="AI48" s="114"/>
    </row>
    <row r="49" spans="1:35" ht="16.2">
      <c r="A49" s="53">
        <v>48</v>
      </c>
      <c r="B49" s="118">
        <f t="shared" si="0"/>
        <v>0.71243999999999996</v>
      </c>
      <c r="C49" s="72" t="str">
        <f t="array" ref="C49">INDEX(NPCFName,TRUNC(1+(COUNTA(NPCFName))*(TRUNC(MOD(($B49*1103515245 +12345)/ 65536, 32768),0)/32768),0))</f>
        <v>Biedgar</v>
      </c>
      <c r="D49" s="16" t="str">
        <f t="array" ref="D49">INDEX(NPCLName,TRUNC(1+(COUNTA(NPCLName))*(TRUNC(MOD(($B49*1103515245 +12345)/ 65536, 32768),0)/32768),0))</f>
        <v>Leafblight</v>
      </c>
      <c r="E49" s="16" t="str">
        <f t="array" ref="E49">INDEX(NPCClass,TRUNC(1+(COUNTA(NPCClass))*(TRUNC(MOD(($B49*1103515245 +12345)/ 65536, 32768),0)/32768),0))</f>
        <v>Paladin</v>
      </c>
      <c r="F49" s="76">
        <v>1</v>
      </c>
      <c r="G49" s="153">
        <f ca="1">VLOOKUP($AB$2,'RF Mod'!$A$2:$G$12,2,FALSE)+VLOOKUP($AD$2,'RF Mod'!$I$2:$O$11,2,FALSE)+(TRUNC(6+(24-6)*(TRUNC(MOD(($Z49*1103515245 +12345)/ 65536, 32768),0)/32768),0))</f>
        <v>7</v>
      </c>
      <c r="H49" s="16">
        <f t="shared" ca="1" si="1"/>
        <v>-2</v>
      </c>
      <c r="I49" s="153">
        <f ca="1">VLOOKUP($AB$2,'RF Mod'!$A$2:$G$12,3,FALSE)+VLOOKUP($AD$2,'RF Mod'!$I$2:$O$11,3,FALSE)+(TRUNC(6+(24-6)*(TRUNC(MOD(($Z49*1103515245 +12345)/ 65536, 32768),0)/32768),0))</f>
        <v>11</v>
      </c>
      <c r="J49" s="16" t="e">
        <f t="shared" ca="1" si="2"/>
        <v>#NAME?</v>
      </c>
      <c r="K49" s="153">
        <f ca="1">VLOOKUP($AB$2,'RF Mod'!$A$2:$G$12,3,FALSE)+VLOOKUP($AD$2,'RF Mod'!$I$2:$O$11,3,FALSE)+(TRUNC(6+(24-6)*(TRUNC(MOD(($Z49*1103515245 +12345)/ 65536, 32768),0)/32768),0))</f>
        <v>11</v>
      </c>
      <c r="L49" s="16" t="e">
        <f t="shared" ca="1" si="3"/>
        <v>#NAME?</v>
      </c>
      <c r="M49" s="153">
        <f ca="1">VLOOKUP($AB$2,'RF Mod'!$A$2:$G$12,4,FALSE)+VLOOKUP($AD$2,'RF Mod'!$I$2:$O$11,4,FALSE)+(TRUNC(6+(24-6)*(TRUNC(MOD(($Z49*1103515245 +12345)/ 65536, 32768),0)/32768),0))</f>
        <v>10</v>
      </c>
      <c r="N49" s="16" t="e">
        <f t="shared" ca="1" si="4"/>
        <v>#NAME?</v>
      </c>
      <c r="O49" s="153">
        <f ca="1">VLOOKUP($AB$2,'RF Mod'!$A$2:$G$12,5,FALSE)+VLOOKUP($AD$2,'RF Mod'!$I$2:$O$11,5,FALSE)+(TRUNC(6+(24-6)*(TRUNC(MOD(($Z49*1103515245 +12345)/ 65536, 32768),0)/32768),0))</f>
        <v>13</v>
      </c>
      <c r="P49" s="16" t="e">
        <f t="shared" ca="1" si="5"/>
        <v>#NAME?</v>
      </c>
      <c r="Q49" s="153">
        <f ca="1">VLOOKUP($AB$2,'RF Mod'!$A$2:$G$12,6,FALSE)+VLOOKUP($AD$2,'RF Mod'!$I$2:$O$11,6,FALSE)+(TRUNC(6+(24-6)*(TRUNC(MOD(($Z49*1103515245 +12345)/ 65536, 32768),0)/32768),0))</f>
        <v>11</v>
      </c>
      <c r="R49" s="16" t="e">
        <f t="shared" ca="1" si="6"/>
        <v>#NAME?</v>
      </c>
      <c r="S49" s="154">
        <f t="shared" ca="1" si="12"/>
        <v>19</v>
      </c>
      <c r="T49" s="154">
        <f t="shared" ca="1" si="7"/>
        <v>21</v>
      </c>
      <c r="U49" s="16" t="str">
        <f t="shared" ca="1" si="8"/>
        <v>Dead</v>
      </c>
      <c r="V49" s="155">
        <f ca="1">IFERROR(__xludf.DUMMYFUNCTION("if(W49=""Middle Age"",QUERY(NPCVar!$K$2:$N1000, ""Select L where K = '""&amp;AB49&amp;""'""),if(W49=""Old"",QUERY(NPCVar!$K$2:$N1000, ""Select M where K = '""&amp;AB49&amp;""'""),if(W49=""Venerable"",QUERY(NPCVar!$K$2:$N1000, ""Select N where K = '""&amp;AB49&amp;""'""),false)))"&amp;"*X49"),60.75)</f>
        <v>60.75</v>
      </c>
      <c r="W49" s="156" t="str">
        <f t="array" ref="W49">INDEX(NPCAgeType,TRUNC(1+(4-1)*(TRUNC(MOD((X49*1103515245 +12345)/ 65536, 32768),0)/32768),0))</f>
        <v>Old</v>
      </c>
      <c r="X49" s="117">
        <f t="shared" si="13"/>
        <v>0.9</v>
      </c>
      <c r="Y49" s="157" t="e">
        <f t="array" aca="1" ref="Y49" ca="1">LOOKUP(ABS(MAX(Z49 + MIN(ABS(INDIRECT("Class Jobs!B"&amp;MATCH(E49,'Class Jobs'!$A$1:$A1000,0)&amp;":"&amp;"AF"&amp;MATCH(E49,'Class Jobs'!$A$1:$A1000,0)&amp;"")-$Z49)) * SUM(IF(MIN(ABS(INDIRECT("Class Jobs!B"&amp;MATCH(E49,'Class Jobs'!$A$1:$A1000,0)&amp;":"&amp;"AF"&amp;MATCH(E49,'Class Jobs'!$A$1:$A1000,0)&amp;"")-$Z49))=ABS(INDIRECT("Class Jobs!B"&amp;MATCH(E49,'Class Jobs'!$A$1:$A1000,0)&amp;":"&amp;"AF"&amp;MATCH(E49,'Class Jobs'!$A$1:$A1000,0)&amp;"")-$Z49),SIGN(INDIRECT("Class Jobs!B"&amp;MATCH(E49,'Class Jobs'!$A$1:A1000,0)&amp;":"&amp;"AF"&amp;MATCH(E49,'Class Jobs'!$A$1:$A1000,0)&amp;"")-$Z49),0)),0)),INDIRECT("Class Jobs!B"&amp;MATCH(E49,'Class Jobs'!$A$1:$A1000,0)&amp;":"&amp;"AF"&amp;MATCH(E49,'Class Jobs'!$A$1:$A1000,1)&amp;""),'Class Jobs'!$B$1:$AF$1)</f>
        <v>#REF!</v>
      </c>
      <c r="Z49" s="158">
        <f t="shared" si="10"/>
        <v>0.37</v>
      </c>
      <c r="AA49" s="16" t="str">
        <f t="array" ref="AA49">INDEX(NPCGender,TRUNC(1+(COUNTA(NPCGender))*(TRUNC(MOD(($B49*1103515245 +12345)/ 65536, 32768),0)/32768),0))</f>
        <v>Female</v>
      </c>
      <c r="AB49" s="16" t="str">
        <f t="array" ref="AB49">INDEX(NPCRace,TRUNC(1+(COUNTA(NPCRace))*(TRUNC(MOD(($B49*1103515245 +12345)/ 65536, 32768),0)/32768),0))</f>
        <v>Half-Elf</v>
      </c>
      <c r="AC49" s="16" t="str">
        <f t="array" ref="AC49">INDEX(NPCAL,TRUNC(1+(COUNTA(NPCAL))*(TRUNC(MOD(($B49*1103515245 +12345)/ 65536, 32768),0)/32768),0))</f>
        <v>NG</v>
      </c>
      <c r="AD49" s="72" t="str">
        <f ca="1">IFERROR(__xludf.DUMMYFUNCTION("if(V49&lt;15,QUERY(NPCVar!C:D,""Select D WHERE C = '""&amp;D49&amp;""'""),if((TRUNC(1+10)*(TRUNC(MOD((ROW(H49)*1103515245 +12345)/ 65536, 32768),0)/32768)/10) &gt; 0.85,INDEX(NPCFaction,TRUNC(1+(counta(NPCFaction)-1)*(TRUNC(MOD(($B49*1103515245 +12345)/ 65536, 32768),0"&amp;")/32768),0)),QUERY(NPCVar!C:D,""Select D WHERE C = '""&amp;D49&amp;""'"")))"),"Necromancer")</f>
        <v>Necromancer</v>
      </c>
      <c r="AE49" s="108" t="e">
        <f t="shared" ca="1" si="11"/>
        <v>#NAME?</v>
      </c>
      <c r="AF49" s="159">
        <f ca="1">IFERROR(__xludf.DUMMYFUNCTION("AE49*(V49 / QUERY(NPCVar!$K$2:$N$12, ""Select N WHERE K='""&amp;AB49&amp;""'""))*TRUNC(1+10)*(TRUNC(MOD(($B49*1103515245 +12345)/ 65536, 32768),0)/32768)"),0.679552459716796)</f>
        <v>0.67955245971679601</v>
      </c>
      <c r="AG49" s="16"/>
      <c r="AH49" s="77"/>
      <c r="AI49" s="114"/>
    </row>
    <row r="50" spans="1:35" ht="16.2">
      <c r="A50" s="53">
        <v>49</v>
      </c>
      <c r="B50" s="118">
        <f t="shared" si="0"/>
        <v>2.2065700000000001</v>
      </c>
      <c r="C50" s="72" t="str">
        <f t="array" ref="C50">INDEX(NPCFName,TRUNC(1+(COUNTA(NPCFName))*(TRUNC(MOD(($B50*1103515245 +12345)/ 65536, 32768),0)/32768),0))</f>
        <v>Hermenze</v>
      </c>
      <c r="D50" s="16" t="str">
        <f t="array" ref="D50">INDEX(NPCLName,TRUNC(1+(COUNTA(NPCLName))*(TRUNC(MOD(($B50*1103515245 +12345)/ 65536, 32768),0)/32768),0))</f>
        <v>Fistwing</v>
      </c>
      <c r="E50" s="16" t="str">
        <f t="array" ref="E50">INDEX(NPCClass,TRUNC(1+(COUNTA(NPCClass))*(TRUNC(MOD(($B50*1103515245 +12345)/ 65536, 32768),0)/32768),0))</f>
        <v>Bard</v>
      </c>
      <c r="F50" s="76">
        <v>1</v>
      </c>
      <c r="G50" s="153">
        <f ca="1">VLOOKUP($AB$2,'RF Mod'!$A$2:$G$12,2,FALSE)+VLOOKUP($AD$2,'RF Mod'!$I$2:$O$11,2,FALSE)+(TRUNC(6+(24-6)*(TRUNC(MOD(($Z50*1103515245 +12345)/ 65536, 32768),0)/32768),0))</f>
        <v>5</v>
      </c>
      <c r="H50" s="16">
        <f t="shared" ca="1" si="1"/>
        <v>-3</v>
      </c>
      <c r="I50" s="153">
        <f ca="1">VLOOKUP($AB$2,'RF Mod'!$A$2:$G$12,3,FALSE)+VLOOKUP($AD$2,'RF Mod'!$I$2:$O$11,3,FALSE)+(TRUNC(6+(24-6)*(TRUNC(MOD(($Z50*1103515245 +12345)/ 65536, 32768),0)/32768),0))</f>
        <v>9</v>
      </c>
      <c r="J50" s="16">
        <f t="shared" ca="1" si="2"/>
        <v>-1</v>
      </c>
      <c r="K50" s="153">
        <f ca="1">VLOOKUP($AB$2,'RF Mod'!$A$2:$G$12,3,FALSE)+VLOOKUP($AD$2,'RF Mod'!$I$2:$O$11,3,FALSE)+(TRUNC(6+(24-6)*(TRUNC(MOD(($Z50*1103515245 +12345)/ 65536, 32768),0)/32768),0))</f>
        <v>9</v>
      </c>
      <c r="L50" s="16">
        <f t="shared" ca="1" si="3"/>
        <v>-1</v>
      </c>
      <c r="M50" s="153">
        <f ca="1">VLOOKUP($AB$2,'RF Mod'!$A$2:$G$12,4,FALSE)+VLOOKUP($AD$2,'RF Mod'!$I$2:$O$11,4,FALSE)+(TRUNC(6+(24-6)*(TRUNC(MOD(($Z50*1103515245 +12345)/ 65536, 32768),0)/32768),0))</f>
        <v>8</v>
      </c>
      <c r="N50" s="16">
        <f t="shared" ca="1" si="4"/>
        <v>-1</v>
      </c>
      <c r="O50" s="153">
        <f ca="1">VLOOKUP($AB$2,'RF Mod'!$A$2:$G$12,5,FALSE)+VLOOKUP($AD$2,'RF Mod'!$I$2:$O$11,5,FALSE)+(TRUNC(6+(24-6)*(TRUNC(MOD(($Z50*1103515245 +12345)/ 65536, 32768),0)/32768),0))</f>
        <v>11</v>
      </c>
      <c r="P50" s="16" t="e">
        <f t="shared" ca="1" si="5"/>
        <v>#NAME?</v>
      </c>
      <c r="Q50" s="153">
        <f ca="1">VLOOKUP($AB$2,'RF Mod'!$A$2:$G$12,6,FALSE)+VLOOKUP($AD$2,'RF Mod'!$I$2:$O$11,6,FALSE)+(TRUNC(6+(24-6)*(TRUNC(MOD(($Z50*1103515245 +12345)/ 65536, 32768),0)/32768),0))</f>
        <v>9</v>
      </c>
      <c r="R50" s="16">
        <f t="shared" ca="1" si="6"/>
        <v>-1</v>
      </c>
      <c r="S50" s="154">
        <f t="shared" ca="1" si="12"/>
        <v>27</v>
      </c>
      <c r="T50" s="154">
        <f t="shared" ca="1" si="7"/>
        <v>22</v>
      </c>
      <c r="U50" s="16" t="str">
        <f t="shared" ca="1" si="8"/>
        <v>Bloody</v>
      </c>
      <c r="V50" s="155">
        <f ca="1">IFERROR(__xludf.DUMMYFUNCTION("if(W50=""Middle Age"",QUERY(NPCVar!$K$2:$N1000, ""Select L where K = '""&amp;AB50&amp;""'""),if(W50=""Old"",QUERY(NPCVar!$K$2:$N1000, ""Select M where K = '""&amp;AB50&amp;""'""),if(W50=""Venerable"",QUERY(NPCVar!$K$2:$N1000, ""Select N where K = '""&amp;AB50&amp;""'""),false)))"&amp;"*X50"),32)</f>
        <v>32</v>
      </c>
      <c r="W50" s="156" t="str">
        <f t="array" ref="W50">INDEX(NPCAgeType,TRUNC(1+(4-1)*(TRUNC(MOD((X50*1103515245 +12345)/ 65536, 32768),0)/32768),0))</f>
        <v>Middle Age</v>
      </c>
      <c r="X50" s="117">
        <f t="shared" si="13"/>
        <v>0.4</v>
      </c>
      <c r="Y50" s="157" t="e">
        <f t="array" aca="1" ref="Y50" ca="1">LOOKUP(ABS(MAX(Z50 + MIN(ABS(INDIRECT("Class Jobs!B"&amp;MATCH(E50,'Class Jobs'!$A$1:$A1000,0)&amp;":"&amp;"AF"&amp;MATCH(E50,'Class Jobs'!$A$1:$A1000,0)&amp;"")-$Z50)) * SUM(IF(MIN(ABS(INDIRECT("Class Jobs!B"&amp;MATCH(E50,'Class Jobs'!$A$1:$A1000,0)&amp;":"&amp;"AF"&amp;MATCH(E50,'Class Jobs'!$A$1:$A1000,0)&amp;"")-$Z50))=ABS(INDIRECT("Class Jobs!B"&amp;MATCH(E50,'Class Jobs'!$A$1:$A1000,0)&amp;":"&amp;"AF"&amp;MATCH(E50,'Class Jobs'!$A$1:$A1000,0)&amp;"")-$Z50),SIGN(INDIRECT("Class Jobs!B"&amp;MATCH(E50,'Class Jobs'!$A$1:A1000,0)&amp;":"&amp;"AF"&amp;MATCH(E50,'Class Jobs'!$A$1:$A1000,0)&amp;"")-$Z50),0)),0)),INDIRECT("Class Jobs!B"&amp;MATCH(E50,'Class Jobs'!$A$1:$A1000,0)&amp;":"&amp;"AF"&amp;MATCH(E50,'Class Jobs'!$A$1:$A1000,1)&amp;""),'Class Jobs'!$B$1:$AF$1)</f>
        <v>#REF!</v>
      </c>
      <c r="Z50" s="158">
        <f t="shared" si="10"/>
        <v>0.14000000000000001</v>
      </c>
      <c r="AA50" s="16" t="str">
        <f t="array" ref="AA50">INDEX(NPCGender,TRUNC(1+(COUNTA(NPCGender))*(TRUNC(MOD(($B50*1103515245 +12345)/ 65536, 32768),0)/32768),0))</f>
        <v>Male</v>
      </c>
      <c r="AB50" s="16" t="str">
        <f t="array" ref="AB50">INDEX(NPCRace,TRUNC(1+(COUNTA(NPCRace))*(TRUNC(MOD(($B50*1103515245 +12345)/ 65536, 32768),0)/32768),0))</f>
        <v>Dwarf</v>
      </c>
      <c r="AC50" s="16" t="str">
        <f t="array" ref="AC50">INDEX(NPCAL,TRUNC(1+(COUNTA(NPCAL))*(TRUNC(MOD(($B50*1103515245 +12345)/ 65536, 32768),0)/32768),0))</f>
        <v>CE</v>
      </c>
      <c r="AD50" s="72" t="str">
        <f ca="1">IFERROR(__xludf.DUMMYFUNCTION("if(V50&lt;15,QUERY(NPCVar!C:D,""Select D WHERE C = '""&amp;D50&amp;""'""),if((TRUNC(1+10)*(TRUNC(MOD((ROW(H50)*1103515245 +12345)/ 65536, 32768),0)/32768)/10) &gt; 0.85,INDEX(NPCFaction,TRUNC(1+(counta(NPCFaction)-1)*(TRUNC(MOD(($B50*1103515245 +12345)/ 65536, 32768),0"&amp;")/32768),0)),QUERY(NPCVar!C:D,""Select D WHERE C = '""&amp;D50&amp;""'"")))"),"Royalty")</f>
        <v>Royalty</v>
      </c>
      <c r="AE50" s="108" t="e">
        <f t="shared" ca="1" si="11"/>
        <v>#NAME?</v>
      </c>
      <c r="AF50" s="159">
        <f ca="1">IFERROR(__xludf.DUMMYFUNCTION("AE50*(V50 / QUERY(NPCVar!$K$2:$N$12, ""Select N WHERE K='""&amp;AB50&amp;""'""))*TRUNC(1+10)*(TRUNC(MOD(($B50*1103515245 +12345)/ 65536, 32768),0)/32768)"),-0.0147268676757812)</f>
        <v>-1.4726867675781199E-2</v>
      </c>
      <c r="AG50" s="16"/>
      <c r="AH50" s="77"/>
      <c r="AI50" s="114"/>
    </row>
    <row r="51" spans="1:35" ht="16.2">
      <c r="A51" s="53">
        <v>50</v>
      </c>
      <c r="B51" s="118">
        <f t="shared" si="0"/>
        <v>1.2007099999999999</v>
      </c>
      <c r="C51" s="72" t="str">
        <f t="array" ref="C51">INDEX(NPCFName,TRUNC(1+(COUNTA(NPCFName))*(TRUNC(MOD(($B51*1103515245 +12345)/ 65536, 32768),0)/32768),0))</f>
        <v>Tholan</v>
      </c>
      <c r="D51" s="16" t="str">
        <f t="array" ref="D51">INDEX(NPCLName,TRUNC(1+(COUNTA(NPCLName))*(TRUNC(MOD(($B51*1103515245 +12345)/ 65536, 32768),0)/32768),0))</f>
        <v>Gloomrage</v>
      </c>
      <c r="E51" s="16" t="str">
        <f t="array" ref="E51">INDEX(NPCClass,TRUNC(1+(COUNTA(NPCClass))*(TRUNC(MOD(($B51*1103515245 +12345)/ 65536, 32768),0)/32768),0))</f>
        <v>Warlock</v>
      </c>
      <c r="F51" s="76">
        <v>8</v>
      </c>
      <c r="G51" s="153">
        <f ca="1">VLOOKUP($AB$2,'RF Mod'!$A$2:$G$12,2,FALSE)+VLOOKUP($AD$2,'RF Mod'!$I$2:$O$11,2,FALSE)+(TRUNC(6+(24-6)*(TRUNC(MOD(($Z51*1103515245 +12345)/ 65536, 32768),0)/32768),0))</f>
        <v>9</v>
      </c>
      <c r="H51" s="16">
        <f t="shared" ca="1" si="1"/>
        <v>-1</v>
      </c>
      <c r="I51" s="153">
        <f ca="1">VLOOKUP($AB$2,'RF Mod'!$A$2:$G$12,3,FALSE)+VLOOKUP($AD$2,'RF Mod'!$I$2:$O$11,3,FALSE)+(TRUNC(6+(24-6)*(TRUNC(MOD(($Z51*1103515245 +12345)/ 65536, 32768),0)/32768),0))</f>
        <v>13</v>
      </c>
      <c r="J51" s="16" t="e">
        <f t="shared" ca="1" si="2"/>
        <v>#NAME?</v>
      </c>
      <c r="K51" s="153">
        <f ca="1">VLOOKUP($AB$2,'RF Mod'!$A$2:$G$12,3,FALSE)+VLOOKUP($AD$2,'RF Mod'!$I$2:$O$11,3,FALSE)+(TRUNC(6+(24-6)*(TRUNC(MOD(($Z51*1103515245 +12345)/ 65536, 32768),0)/32768),0))</f>
        <v>13</v>
      </c>
      <c r="L51" s="16" t="e">
        <f t="shared" ca="1" si="3"/>
        <v>#NAME?</v>
      </c>
      <c r="M51" s="153">
        <f ca="1">VLOOKUP($AB$2,'RF Mod'!$A$2:$G$12,4,FALSE)+VLOOKUP($AD$2,'RF Mod'!$I$2:$O$11,4,FALSE)+(TRUNC(6+(24-6)*(TRUNC(MOD(($Z51*1103515245 +12345)/ 65536, 32768),0)/32768),0))</f>
        <v>12</v>
      </c>
      <c r="N51" s="16" t="e">
        <f t="shared" ca="1" si="4"/>
        <v>#NAME?</v>
      </c>
      <c r="O51" s="153">
        <f ca="1">VLOOKUP($AB$2,'RF Mod'!$A$2:$G$12,5,FALSE)+VLOOKUP($AD$2,'RF Mod'!$I$2:$O$11,5,FALSE)+(TRUNC(6+(24-6)*(TRUNC(MOD(($Z51*1103515245 +12345)/ 65536, 32768),0)/32768),0))</f>
        <v>15</v>
      </c>
      <c r="P51" s="16" t="e">
        <f t="shared" ca="1" si="5"/>
        <v>#NAME?</v>
      </c>
      <c r="Q51" s="153">
        <f ca="1">VLOOKUP($AB$2,'RF Mod'!$A$2:$G$12,6,FALSE)+VLOOKUP($AD$2,'RF Mod'!$I$2:$O$11,6,FALSE)+(TRUNC(6+(24-6)*(TRUNC(MOD(($Z51*1103515245 +12345)/ 65536, 32768),0)/32768),0))</f>
        <v>13</v>
      </c>
      <c r="R51" s="16" t="e">
        <f t="shared" ca="1" si="6"/>
        <v>#NAME?</v>
      </c>
      <c r="S51" s="154">
        <f t="shared" ca="1" si="12"/>
        <v>136</v>
      </c>
      <c r="T51" s="154">
        <f t="shared" ca="1" si="7"/>
        <v>96</v>
      </c>
      <c r="U51" s="16" t="str">
        <f t="shared" ca="1" si="8"/>
        <v>Bloody</v>
      </c>
      <c r="V51" s="155">
        <f ca="1">IFERROR(__xludf.DUMMYFUNCTION("if(W51=""Middle Age"",QUERY(NPCVar!$K$2:$N1000, ""Select L where K = '""&amp;AB51&amp;""'""),if(W51=""Old"",QUERY(NPCVar!$K$2:$N1000, ""Select M where K = '""&amp;AB51&amp;""'""),if(W51=""Venerable"",QUERY(NPCVar!$K$2:$N1000, ""Select N where K = '""&amp;AB51&amp;""'""),false)))"&amp;"*X51"),300)</f>
        <v>300</v>
      </c>
      <c r="W51" s="156" t="str">
        <f t="array" ref="W51">INDEX(NPCAgeType,TRUNC(1+(4-1)*(TRUNC(MOD((X51*1103515245 +12345)/ 65536, 32768),0)/32768),0))</f>
        <v>Venerable</v>
      </c>
      <c r="X51" s="117">
        <f t="shared" si="13"/>
        <v>1.5</v>
      </c>
      <c r="Y51" s="157" t="e">
        <f t="array" aca="1" ref="Y51" ca="1">LOOKUP(ABS(MAX(Z51 + MIN(ABS(INDIRECT("Class Jobs!B"&amp;MATCH(E51,'Class Jobs'!$A$1:$A1000,0)&amp;":"&amp;"AF"&amp;MATCH(E51,'Class Jobs'!$A$1:$A1000,0)&amp;"")-$Z51)) * SUM(IF(MIN(ABS(INDIRECT("Class Jobs!B"&amp;MATCH(E51,'Class Jobs'!$A$1:$A1000,0)&amp;":"&amp;"AF"&amp;MATCH(E51,'Class Jobs'!$A$1:$A1000,0)&amp;"")-$Z51))=ABS(INDIRECT("Class Jobs!B"&amp;MATCH(E51,'Class Jobs'!$A$1:$A1000,0)&amp;":"&amp;"AF"&amp;MATCH(E51,'Class Jobs'!$A$1:$A1000,0)&amp;"")-$Z51),SIGN(INDIRECT("Class Jobs!B"&amp;MATCH(E51,'Class Jobs'!$A$1:A1000,0)&amp;":"&amp;"AF"&amp;MATCH(E51,'Class Jobs'!$A$1:$A1000,0)&amp;"")-$Z51),0)),0)),INDIRECT("Class Jobs!B"&amp;MATCH(E51,'Class Jobs'!$A$1:$A1000,0)&amp;":"&amp;"AF"&amp;MATCH(E51,'Class Jobs'!$A$1:$A1000,1)&amp;""),'Class Jobs'!$B$1:$AF$1)</f>
        <v>#REF!</v>
      </c>
      <c r="Z51" s="158">
        <f t="shared" si="10"/>
        <v>0.62</v>
      </c>
      <c r="AA51" s="16" t="str">
        <f t="array" ref="AA51">INDEX(NPCGender,TRUNC(1+(COUNTA(NPCGender))*(TRUNC(MOD(($B51*1103515245 +12345)/ 65536, 32768),0)/32768),0))</f>
        <v>Female</v>
      </c>
      <c r="AB51" s="16" t="str">
        <f t="array" ref="AB51">INDEX(NPCRace,TRUNC(1+(COUNTA(NPCRace))*(TRUNC(MOD(($B51*1103515245 +12345)/ 65536, 32768),0)/32768),0))</f>
        <v>Halfling</v>
      </c>
      <c r="AC51" s="16" t="str">
        <f t="array" ref="AC51">INDEX(NPCAL,TRUNC(1+(COUNTA(NPCAL))*(TRUNC(MOD(($B51*1103515245 +12345)/ 65536, 32768),0)/32768),0))</f>
        <v>NE</v>
      </c>
      <c r="AD51" s="72" t="str">
        <f ca="1">IFERROR(__xludf.DUMMYFUNCTION("if(V51&lt;15,QUERY(NPCVar!C:D,""Select D WHERE C = '""&amp;D51&amp;""'""),if((TRUNC(1+10)*(TRUNC(MOD((ROW(H51)*1103515245 +12345)/ 65536, 32768),0)/32768)/10) &gt; 0.85,INDEX(NPCFaction,TRUNC(1+(counta(NPCFaction)-1)*(TRUNC(MOD(($B51*1103515245 +12345)/ 65536, 32768),0"&amp;")/32768),0)),QUERY(NPCVar!C:D,""Select D WHERE C = '""&amp;D51&amp;""'"")))"),"Traders Guild")</f>
        <v>Traders Guild</v>
      </c>
      <c r="AE51" s="108" t="e">
        <f t="shared" ca="1" si="11"/>
        <v>#NAME?</v>
      </c>
      <c r="AF51" s="159">
        <f ca="1">IFERROR(__xludf.DUMMYFUNCTION("AE51*(V51 / QUERY(NPCVar!$K$2:$N$12, ""Select N WHERE K='""&amp;AB51&amp;""'""))*TRUNC(1+10)*(TRUNC(MOD(($B51*1103515245 +12345)/ 65536, 32768),0)/32768)"),8.1444580078125)</f>
        <v>8.1444580078124993</v>
      </c>
      <c r="AG51" s="16"/>
      <c r="AH51" s="77"/>
      <c r="AI51" s="114"/>
    </row>
    <row r="52" spans="1:35" ht="16.2">
      <c r="A52" s="53">
        <v>51</v>
      </c>
      <c r="B52" s="118">
        <f t="shared" si="0"/>
        <v>0.19478000000000001</v>
      </c>
      <c r="C52" s="72" t="str">
        <f t="array" ref="C52">INDEX(NPCFName,TRUNC(1+(COUNTA(NPCFName))*(TRUNC(MOD(($B52*1103515245 +12345)/ 65536, 32768),0)/32768),0))</f>
        <v>Etar</v>
      </c>
      <c r="D52" s="16" t="str">
        <f t="array" ref="D52">INDEX(NPCLName,TRUNC(1+(COUNTA(NPCLName))*(TRUNC(MOD(($B52*1103515245 +12345)/ 65536, 32768),0)/32768),0))</f>
        <v>Distantlash</v>
      </c>
      <c r="E52" s="16" t="str">
        <f t="array" ref="E52">INDEX(NPCClass,TRUNC(1+(COUNTA(NPCClass))*(TRUNC(MOD(($B52*1103515245 +12345)/ 65536, 32768),0)/32768),0))</f>
        <v>Bard</v>
      </c>
      <c r="F52" s="76">
        <v>1</v>
      </c>
      <c r="G52" s="153">
        <f ca="1">VLOOKUP($AB$2,'RF Mod'!$A$2:$G$12,2,FALSE)+VLOOKUP($AD$2,'RF Mod'!$I$2:$O$11,2,FALSE)+(TRUNC(6+(24-6)*(TRUNC(MOD(($Z52*1103515245 +12345)/ 65536, 32768),0)/32768),0))</f>
        <v>4</v>
      </c>
      <c r="H52" s="16">
        <f t="shared" ca="1" si="1"/>
        <v>-3</v>
      </c>
      <c r="I52" s="153">
        <f ca="1">VLOOKUP($AB$2,'RF Mod'!$A$2:$G$12,3,FALSE)+VLOOKUP($AD$2,'RF Mod'!$I$2:$O$11,3,FALSE)+(TRUNC(6+(24-6)*(TRUNC(MOD(($Z52*1103515245 +12345)/ 65536, 32768),0)/32768),0))</f>
        <v>8</v>
      </c>
      <c r="J52" s="16">
        <f t="shared" ca="1" si="2"/>
        <v>-1</v>
      </c>
      <c r="K52" s="153">
        <f ca="1">VLOOKUP($AB$2,'RF Mod'!$A$2:$G$12,3,FALSE)+VLOOKUP($AD$2,'RF Mod'!$I$2:$O$11,3,FALSE)+(TRUNC(6+(24-6)*(TRUNC(MOD(($Z52*1103515245 +12345)/ 65536, 32768),0)/32768),0))</f>
        <v>8</v>
      </c>
      <c r="L52" s="16">
        <f t="shared" ca="1" si="3"/>
        <v>-1</v>
      </c>
      <c r="M52" s="153">
        <f ca="1">VLOOKUP($AB$2,'RF Mod'!$A$2:$G$12,4,FALSE)+VLOOKUP($AD$2,'RF Mod'!$I$2:$O$11,4,FALSE)+(TRUNC(6+(24-6)*(TRUNC(MOD(($Z52*1103515245 +12345)/ 65536, 32768),0)/32768),0))</f>
        <v>7</v>
      </c>
      <c r="N52" s="16">
        <f t="shared" ca="1" si="4"/>
        <v>-2</v>
      </c>
      <c r="O52" s="153">
        <f ca="1">VLOOKUP($AB$2,'RF Mod'!$A$2:$G$12,5,FALSE)+VLOOKUP($AD$2,'RF Mod'!$I$2:$O$11,5,FALSE)+(TRUNC(6+(24-6)*(TRUNC(MOD(($Z52*1103515245 +12345)/ 65536, 32768),0)/32768),0))</f>
        <v>10</v>
      </c>
      <c r="P52" s="16" t="e">
        <f t="shared" ca="1" si="5"/>
        <v>#NAME?</v>
      </c>
      <c r="Q52" s="153">
        <f ca="1">VLOOKUP($AB$2,'RF Mod'!$A$2:$G$12,6,FALSE)+VLOOKUP($AD$2,'RF Mod'!$I$2:$O$11,6,FALSE)+(TRUNC(6+(24-6)*(TRUNC(MOD(($Z52*1103515245 +12345)/ 65536, 32768),0)/32768),0))</f>
        <v>8</v>
      </c>
      <c r="R52" s="16">
        <f t="shared" ca="1" si="6"/>
        <v>-1</v>
      </c>
      <c r="S52" s="154">
        <f t="shared" ca="1" si="12"/>
        <v>26</v>
      </c>
      <c r="T52" s="154">
        <f t="shared" ca="1" si="7"/>
        <v>19</v>
      </c>
      <c r="U52" s="16" t="str">
        <f t="shared" ca="1" si="8"/>
        <v>Bloody</v>
      </c>
      <c r="V52" s="155">
        <f ca="1">IFERROR(__xludf.DUMMYFUNCTION("if(W52=""Middle Age"",QUERY(NPCVar!$K$2:$N1000, ""Select L where K = '""&amp;AB52&amp;""'""),if(W52=""Old"",QUERY(NPCVar!$K$2:$N1000, ""Select M where K = '""&amp;AB52&amp;""'""),if(W52=""Venerable"",QUERY(NPCVar!$K$2:$N1000, ""Select N where K = '""&amp;AB52&amp;""'""),false)))"&amp;"*X52"),24)</f>
        <v>24</v>
      </c>
      <c r="W52" s="156" t="str">
        <f t="array" ref="W52">INDEX(NPCAgeType,TRUNC(1+(4-1)*(TRUNC(MOD((X52*1103515245 +12345)/ 65536, 32768),0)/32768),0))</f>
        <v>Middle Age</v>
      </c>
      <c r="X52" s="117">
        <f t="shared" si="13"/>
        <v>0.3</v>
      </c>
      <c r="Y52" s="157" t="e">
        <f t="array" aca="1" ref="Y52" ca="1">LOOKUP(ABS(MAX(Z52 + MIN(ABS(INDIRECT("Class Jobs!B"&amp;MATCH(E52,'Class Jobs'!$A$1:$A1000,0)&amp;":"&amp;"AF"&amp;MATCH(E52,'Class Jobs'!$A$1:$A1000,0)&amp;"")-$Z52)) * SUM(IF(MIN(ABS(INDIRECT("Class Jobs!B"&amp;MATCH(E52,'Class Jobs'!$A$1:$A1000,0)&amp;":"&amp;"AF"&amp;MATCH(E52,'Class Jobs'!$A$1:$A1000,0)&amp;"")-$Z52))=ABS(INDIRECT("Class Jobs!B"&amp;MATCH(E52,'Class Jobs'!$A$1:$A1000,0)&amp;":"&amp;"AF"&amp;MATCH(E52,'Class Jobs'!$A$1:$A1000,0)&amp;"")-$Z52),SIGN(INDIRECT("Class Jobs!B"&amp;MATCH(E52,'Class Jobs'!$A$1:A1000,0)&amp;":"&amp;"AF"&amp;MATCH(E52,'Class Jobs'!$A$1:$A1000,0)&amp;"")-$Z52),0)),0)),INDIRECT("Class Jobs!B"&amp;MATCH(E52,'Class Jobs'!$A$1:$A1000,0)&amp;":"&amp;"AF"&amp;MATCH(E52,'Class Jobs'!$A$1:$A1000,1)&amp;""),'Class Jobs'!$B$1:$AF$1)</f>
        <v>#REF!</v>
      </c>
      <c r="Z52" s="158">
        <f t="shared" si="10"/>
        <v>0.1</v>
      </c>
      <c r="AA52" s="16" t="str">
        <f t="array" ref="AA52">INDEX(NPCGender,TRUNC(1+(COUNTA(NPCGender))*(TRUNC(MOD(($B52*1103515245 +12345)/ 65536, 32768),0)/32768),0))</f>
        <v>Male</v>
      </c>
      <c r="AB52" s="16" t="str">
        <f t="array" ref="AB52">INDEX(NPCRace,TRUNC(1+(COUNTA(NPCRace))*(TRUNC(MOD(($B52*1103515245 +12345)/ 65536, 32768),0)/32768),0))</f>
        <v>Dwarf</v>
      </c>
      <c r="AC52" s="16" t="str">
        <f t="array" ref="AC52">INDEX(NPCAL,TRUNC(1+(COUNTA(NPCAL))*(TRUNC(MOD(($B52*1103515245 +12345)/ 65536, 32768),0)/32768),0))</f>
        <v>CN</v>
      </c>
      <c r="AD52" s="72" t="str">
        <f ca="1">IFERROR(__xludf.DUMMYFUNCTION("if(V52&lt;15,QUERY(NPCVar!C:D,""Select D WHERE C = '""&amp;D52&amp;""'""),if((TRUNC(1+10)*(TRUNC(MOD((ROW(H52)*1103515245 +12345)/ 65536, 32768),0)/32768)/10) &gt; 0.85,INDEX(NPCFaction,TRUNC(1+(counta(NPCFaction)-1)*(TRUNC(MOD(($B52*1103515245 +12345)/ 65536, 32768),0"&amp;")/32768),0)),QUERY(NPCVar!C:D,""Select D WHERE C = '""&amp;D52&amp;""'"")))"),"Death Guild")</f>
        <v>Death Guild</v>
      </c>
      <c r="AE52" s="108" t="e">
        <f t="shared" ca="1" si="11"/>
        <v>#NAME?</v>
      </c>
      <c r="AF52" s="159">
        <f ca="1">IFERROR(__xludf.DUMMYFUNCTION("AE52*(V52 / QUERY(NPCVar!$K$2:$N$12, ""Select N WHERE K='""&amp;AB52&amp;""'""))*TRUNC(1+10)*(TRUNC(MOD(($B52*1103515245 +12345)/ 65536, 32768),0)/32768)"),-0.00825553894042968)</f>
        <v>-8.2555389404296801E-3</v>
      </c>
      <c r="AG52" s="16"/>
      <c r="AH52" s="77"/>
      <c r="AI52" s="114"/>
    </row>
    <row r="53" spans="1:35" ht="16.2">
      <c r="A53" s="53">
        <v>52</v>
      </c>
      <c r="B53" s="118">
        <f t="shared" si="0"/>
        <v>1.68892</v>
      </c>
      <c r="C53" s="72" t="str">
        <f t="array" ref="C53">INDEX(NPCFName,TRUNC(1+(COUNTA(NPCFName))*(TRUNC(MOD(($B53*1103515245 +12345)/ 65536, 32768),0)/32768),0))</f>
        <v>Mythil</v>
      </c>
      <c r="D53" s="16" t="str">
        <f t="array" ref="D53">INDEX(NPCLName,TRUNC(1+(COUNTA(NPCLName))*(TRUNC(MOD(($B53*1103515245 +12345)/ 65536, 32768),0)/32768),0))</f>
        <v>Forestbluff</v>
      </c>
      <c r="E53" s="16" t="str">
        <f t="array" ref="E53">INDEX(NPCClass,TRUNC(1+(COUNTA(NPCClass))*(TRUNC(MOD(($B53*1103515245 +12345)/ 65536, 32768),0)/32768),0))</f>
        <v>Fighter</v>
      </c>
      <c r="F53" s="76">
        <v>8</v>
      </c>
      <c r="G53" s="153">
        <f ca="1">VLOOKUP($AB$2,'RF Mod'!$A$2:$G$12,2,FALSE)+VLOOKUP($AD$2,'RF Mod'!$I$2:$O$11,2,FALSE)+(TRUNC(6+(24-6)*(TRUNC(MOD(($Z53*1103515245 +12345)/ 65536, 32768),0)/32768),0))</f>
        <v>11</v>
      </c>
      <c r="H53" s="16" t="e">
        <f t="shared" ca="1" si="1"/>
        <v>#NAME?</v>
      </c>
      <c r="I53" s="153">
        <f ca="1">VLOOKUP($AB$2,'RF Mod'!$A$2:$G$12,3,FALSE)+VLOOKUP($AD$2,'RF Mod'!$I$2:$O$11,3,FALSE)+(TRUNC(6+(24-6)*(TRUNC(MOD(($Z53*1103515245 +12345)/ 65536, 32768),0)/32768),0))</f>
        <v>15</v>
      </c>
      <c r="J53" s="16" t="e">
        <f t="shared" ca="1" si="2"/>
        <v>#NAME?</v>
      </c>
      <c r="K53" s="153">
        <f ca="1">VLOOKUP($AB$2,'RF Mod'!$A$2:$G$12,3,FALSE)+VLOOKUP($AD$2,'RF Mod'!$I$2:$O$11,3,FALSE)+(TRUNC(6+(24-6)*(TRUNC(MOD(($Z53*1103515245 +12345)/ 65536, 32768),0)/32768),0))</f>
        <v>15</v>
      </c>
      <c r="L53" s="16" t="e">
        <f t="shared" ca="1" si="3"/>
        <v>#NAME?</v>
      </c>
      <c r="M53" s="153">
        <f ca="1">VLOOKUP($AB$2,'RF Mod'!$A$2:$G$12,4,FALSE)+VLOOKUP($AD$2,'RF Mod'!$I$2:$O$11,4,FALSE)+(TRUNC(6+(24-6)*(TRUNC(MOD(($Z53*1103515245 +12345)/ 65536, 32768),0)/32768),0))</f>
        <v>14</v>
      </c>
      <c r="N53" s="16" t="e">
        <f t="shared" ca="1" si="4"/>
        <v>#NAME?</v>
      </c>
      <c r="O53" s="153">
        <f ca="1">VLOOKUP($AB$2,'RF Mod'!$A$2:$G$12,5,FALSE)+VLOOKUP($AD$2,'RF Mod'!$I$2:$O$11,5,FALSE)+(TRUNC(6+(24-6)*(TRUNC(MOD(($Z53*1103515245 +12345)/ 65536, 32768),0)/32768),0))</f>
        <v>17</v>
      </c>
      <c r="P53" s="16" t="e">
        <f t="shared" ca="1" si="5"/>
        <v>#NAME?</v>
      </c>
      <c r="Q53" s="153">
        <f ca="1">VLOOKUP($AB$2,'RF Mod'!$A$2:$G$12,6,FALSE)+VLOOKUP($AD$2,'RF Mod'!$I$2:$O$11,6,FALSE)+(TRUNC(6+(24-6)*(TRUNC(MOD(($Z53*1103515245 +12345)/ 65536, 32768),0)/32768),0))</f>
        <v>15</v>
      </c>
      <c r="R53" s="16" t="e">
        <f t="shared" ca="1" si="6"/>
        <v>#NAME?</v>
      </c>
      <c r="S53" s="154">
        <f t="shared" ca="1" si="12"/>
        <v>136</v>
      </c>
      <c r="T53" s="154">
        <f t="shared" ca="1" si="7"/>
        <v>10</v>
      </c>
      <c r="U53" s="16" t="str">
        <f t="shared" ca="1" si="8"/>
        <v>Fine</v>
      </c>
      <c r="V53" s="155">
        <f ca="1">IFERROR(__xludf.DUMMYFUNCTION("if(W53=""Middle Age"",QUERY(NPCVar!$K$2:$N1000, ""Select L where K = '""&amp;AB53&amp;""'""),if(W53=""Old"",QUERY(NPCVar!$K$2:$N1000, ""Select M where K = '""&amp;AB53&amp;""'""),if(W53=""Venerable"",QUERY(NPCVar!$K$2:$N1000, ""Select N where K = '""&amp;AB53&amp;""'""),false)))"&amp;"*X53"),57.75)</f>
        <v>57.75</v>
      </c>
      <c r="W53" s="156" t="str">
        <f t="array" ref="W53">INDEX(NPCAgeType,TRUNC(1+(4-1)*(TRUNC(MOD((X53*1103515245 +12345)/ 65536, 32768),0)/32768),0))</f>
        <v>Middle Age</v>
      </c>
      <c r="X53" s="117">
        <f t="shared" si="13"/>
        <v>2.1</v>
      </c>
      <c r="Y53" s="157" t="e">
        <f t="array" aca="1" ref="Y53" ca="1">LOOKUP(ABS(MAX(Z53 + MIN(ABS(INDIRECT("Class Jobs!B"&amp;MATCH(E53,'Class Jobs'!$A$1:$A1000,0)&amp;":"&amp;"AF"&amp;MATCH(E53,'Class Jobs'!$A$1:$A1000,0)&amp;"")-$Z53)) * SUM(IF(MIN(ABS(INDIRECT("Class Jobs!B"&amp;MATCH(E53,'Class Jobs'!$A$1:$A1000,0)&amp;":"&amp;"AF"&amp;MATCH(E53,'Class Jobs'!$A$1:$A1000,0)&amp;"")-$Z53))=ABS(INDIRECT("Class Jobs!B"&amp;MATCH(E53,'Class Jobs'!$A$1:$A1000,0)&amp;":"&amp;"AF"&amp;MATCH(E53,'Class Jobs'!$A$1:$A1000,0)&amp;"")-$Z53),SIGN(INDIRECT("Class Jobs!B"&amp;MATCH(E53,'Class Jobs'!$A$1:A1000,0)&amp;":"&amp;"AF"&amp;MATCH(E53,'Class Jobs'!$A$1:$A1000,0)&amp;"")-$Z53),0)),0)),INDIRECT("Class Jobs!B"&amp;MATCH(E53,'Class Jobs'!$A$1:$A1000,0)&amp;":"&amp;"AF"&amp;MATCH(E53,'Class Jobs'!$A$1:$A1000,1)&amp;""),'Class Jobs'!$B$1:$AF$1)</f>
        <v>#REF!</v>
      </c>
      <c r="Z53" s="158">
        <f t="shared" si="10"/>
        <v>0.86</v>
      </c>
      <c r="AA53" s="16" t="str">
        <f t="array" ref="AA53">INDEX(NPCGender,TRUNC(1+(COUNTA(NPCGender))*(TRUNC(MOD(($B53*1103515245 +12345)/ 65536, 32768),0)/32768),0))</f>
        <v>Neutral</v>
      </c>
      <c r="AB53" s="16" t="str">
        <f t="array" ref="AB53">INDEX(NPCRace,TRUNC(1+(COUNTA(NPCRace))*(TRUNC(MOD(($B53*1103515245 +12345)/ 65536, 32768),0)/32768),0))</f>
        <v>Genasi</v>
      </c>
      <c r="AC53" s="16" t="str">
        <f t="array" ref="AC53">INDEX(NPCAL,TRUNC(1+(COUNTA(NPCAL))*(TRUNC(MOD(($B53*1103515245 +12345)/ 65536, 32768),0)/32768),0))</f>
        <v>LN</v>
      </c>
      <c r="AD53" s="72" t="str">
        <f ca="1">IFERROR(__xludf.DUMMYFUNCTION("if(V53&lt;15,QUERY(NPCVar!C:D,""Select D WHERE C = '""&amp;D53&amp;""'""),if((TRUNC(1+10)*(TRUNC(MOD((ROW(H53)*1103515245 +12345)/ 65536, 32768),0)/32768)/10) &gt; 0.85,INDEX(NPCFaction,TRUNC(1+(counta(NPCFaction)-1)*(TRUNC(MOD(($B53*1103515245 +12345)/ 65536, 32768),0"&amp;")/32768),0)),QUERY(NPCVar!C:D,""Select D WHERE C = '""&amp;D53&amp;""'"")))"),"Thieves Guild")</f>
        <v>Thieves Guild</v>
      </c>
      <c r="AE53" s="108" t="e">
        <f t="shared" ca="1" si="11"/>
        <v>#NAME?</v>
      </c>
      <c r="AF53" s="159">
        <f ca="1">IFERROR(__xludf.DUMMYFUNCTION("AE53*(V53 / QUERY(NPCVar!$K$2:$N$12, ""Select N WHERE K='""&amp;AB53&amp;""'""))*TRUNC(1+10)*(TRUNC(MOD(($B53*1103515245 +12345)/ 65536, 32768),0)/32768)"),4.00950805664062)</f>
        <v>4.0095080566406196</v>
      </c>
      <c r="AG53" s="16"/>
      <c r="AH53" s="77"/>
      <c r="AI53" s="114"/>
    </row>
    <row r="54" spans="1:35" ht="16.2">
      <c r="A54" s="53">
        <v>53</v>
      </c>
      <c r="B54" s="118">
        <f t="shared" si="0"/>
        <v>0.68306</v>
      </c>
      <c r="C54" s="72" t="str">
        <f t="array" ref="C54">INDEX(NPCFName,TRUNC(1+(COUNTA(NPCFName))*(TRUNC(MOD(($B54*1103515245 +12345)/ 65536, 32768),0)/32768),0))</f>
        <v>Aslan</v>
      </c>
      <c r="D54" s="16" t="str">
        <f t="array" ref="D54">INDEX(NPCLName,TRUNC(1+(COUNTA(NPCLName))*(TRUNC(MOD(($B54*1103515245 +12345)/ 65536, 32768),0)/32768),0))</f>
        <v>Leafblight</v>
      </c>
      <c r="E54" s="16" t="str">
        <f t="array" ref="E54">INDEX(NPCClass,TRUNC(1+(COUNTA(NPCClass))*(TRUNC(MOD(($B54*1103515245 +12345)/ 65536, 32768),0)/32768),0))</f>
        <v>Paladin</v>
      </c>
      <c r="F54" s="76">
        <v>5</v>
      </c>
      <c r="G54" s="153">
        <f ca="1">VLOOKUP($AB$2,'RF Mod'!$A$2:$G$12,2,FALSE)+VLOOKUP($AD$2,'RF Mod'!$I$2:$O$11,2,FALSE)+(TRUNC(6+(24-6)*(TRUNC(MOD(($Z54*1103515245 +12345)/ 65536, 32768),0)/32768),0))</f>
        <v>7</v>
      </c>
      <c r="H54" s="16">
        <f t="shared" ca="1" si="1"/>
        <v>-2</v>
      </c>
      <c r="I54" s="153">
        <f ca="1">VLOOKUP($AB$2,'RF Mod'!$A$2:$G$12,3,FALSE)+VLOOKUP($AD$2,'RF Mod'!$I$2:$O$11,3,FALSE)+(TRUNC(6+(24-6)*(TRUNC(MOD(($Z54*1103515245 +12345)/ 65536, 32768),0)/32768),0))</f>
        <v>11</v>
      </c>
      <c r="J54" s="16" t="e">
        <f t="shared" ca="1" si="2"/>
        <v>#NAME?</v>
      </c>
      <c r="K54" s="153">
        <f ca="1">VLOOKUP($AB$2,'RF Mod'!$A$2:$G$12,3,FALSE)+VLOOKUP($AD$2,'RF Mod'!$I$2:$O$11,3,FALSE)+(TRUNC(6+(24-6)*(TRUNC(MOD(($Z54*1103515245 +12345)/ 65536, 32768),0)/32768),0))</f>
        <v>11</v>
      </c>
      <c r="L54" s="16" t="e">
        <f t="shared" ca="1" si="3"/>
        <v>#NAME?</v>
      </c>
      <c r="M54" s="153">
        <f ca="1">VLOOKUP($AB$2,'RF Mod'!$A$2:$G$12,4,FALSE)+VLOOKUP($AD$2,'RF Mod'!$I$2:$O$11,4,FALSE)+(TRUNC(6+(24-6)*(TRUNC(MOD(($Z54*1103515245 +12345)/ 65536, 32768),0)/32768),0))</f>
        <v>10</v>
      </c>
      <c r="N54" s="16" t="e">
        <f t="shared" ca="1" si="4"/>
        <v>#NAME?</v>
      </c>
      <c r="O54" s="153">
        <f ca="1">VLOOKUP($AB$2,'RF Mod'!$A$2:$G$12,5,FALSE)+VLOOKUP($AD$2,'RF Mod'!$I$2:$O$11,5,FALSE)+(TRUNC(6+(24-6)*(TRUNC(MOD(($Z54*1103515245 +12345)/ 65536, 32768),0)/32768),0))</f>
        <v>13</v>
      </c>
      <c r="P54" s="16" t="e">
        <f t="shared" ca="1" si="5"/>
        <v>#NAME?</v>
      </c>
      <c r="Q54" s="153">
        <f ca="1">VLOOKUP($AB$2,'RF Mod'!$A$2:$G$12,6,FALSE)+VLOOKUP($AD$2,'RF Mod'!$I$2:$O$11,6,FALSE)+(TRUNC(6+(24-6)*(TRUNC(MOD(($Z54*1103515245 +12345)/ 65536, 32768),0)/32768),0))</f>
        <v>11</v>
      </c>
      <c r="R54" s="16" t="e">
        <f t="shared" ca="1" si="6"/>
        <v>#NAME?</v>
      </c>
      <c r="S54" s="154">
        <f t="shared" ca="1" si="12"/>
        <v>75</v>
      </c>
      <c r="T54" s="154">
        <f t="shared" ca="1" si="7"/>
        <v>88</v>
      </c>
      <c r="U54" s="16" t="str">
        <f t="shared" ca="1" si="8"/>
        <v>Dead</v>
      </c>
      <c r="V54" s="155">
        <f ca="1">IFERROR(__xludf.DUMMYFUNCTION("if(W54=""Middle Age"",QUERY(NPCVar!$K$2:$N1000, ""Select L where K = '""&amp;AB54&amp;""'""),if(W54=""Old"",QUERY(NPCVar!$K$2:$N1000, ""Select M where K = '""&amp;AB54&amp;""'""),if(W54=""Venerable"",QUERY(NPCVar!$K$2:$N1000, ""Select N where K = '""&amp;AB54&amp;""'""),false)))"&amp;"*X54"),151.875)</f>
        <v>151.875</v>
      </c>
      <c r="W54" s="156" t="str">
        <f t="array" ref="W54">INDEX(NPCAgeType,TRUNC(1+(4-1)*(TRUNC(MOD((X54*1103515245 +12345)/ 65536, 32768),0)/32768),0))</f>
        <v>Old</v>
      </c>
      <c r="X54" s="117">
        <f t="shared" si="13"/>
        <v>0.9</v>
      </c>
      <c r="Y54" s="157" t="e">
        <f t="array" aca="1" ref="Y54" ca="1">LOOKUP(ABS(MAX(Z54 + MIN(ABS(INDIRECT("Class Jobs!B"&amp;MATCH(E54,'Class Jobs'!$A$1:$A1000,0)&amp;":"&amp;"AF"&amp;MATCH(E54,'Class Jobs'!$A$1:$A1000,0)&amp;"")-$Z54)) * SUM(IF(MIN(ABS(INDIRECT("Class Jobs!B"&amp;MATCH(E54,'Class Jobs'!$A$1:$A1000,0)&amp;":"&amp;"AF"&amp;MATCH(E54,'Class Jobs'!$A$1:$A1000,0)&amp;"")-$Z54))=ABS(INDIRECT("Class Jobs!B"&amp;MATCH(E54,'Class Jobs'!$A$1:$A1000,0)&amp;":"&amp;"AF"&amp;MATCH(E54,'Class Jobs'!$A$1:$A1000,0)&amp;"")-$Z54),SIGN(INDIRECT("Class Jobs!B"&amp;MATCH(E54,'Class Jobs'!$A$1:A1000,0)&amp;":"&amp;"AF"&amp;MATCH(E54,'Class Jobs'!$A$1:$A1000,0)&amp;"")-$Z54),0)),0)),INDIRECT("Class Jobs!B"&amp;MATCH(E54,'Class Jobs'!$A$1:$A1000,0)&amp;":"&amp;"AF"&amp;MATCH(E54,'Class Jobs'!$A$1:$A1000,1)&amp;""),'Class Jobs'!$B$1:$AF$1)</f>
        <v>#REF!</v>
      </c>
      <c r="Z54" s="158">
        <f t="shared" si="10"/>
        <v>0.35</v>
      </c>
      <c r="AA54" s="16" t="str">
        <f t="array" ref="AA54">INDEX(NPCGender,TRUNC(1+(COUNTA(NPCGender))*(TRUNC(MOD(($B54*1103515245 +12345)/ 65536, 32768),0)/32768),0))</f>
        <v>Female</v>
      </c>
      <c r="AB54" s="16" t="str">
        <f t="array" ref="AB54">INDEX(NPCRace,TRUNC(1+(COUNTA(NPCRace))*(TRUNC(MOD(($B54*1103515245 +12345)/ 65536, 32768),0)/32768),0))</f>
        <v>Gnome</v>
      </c>
      <c r="AC54" s="16" t="str">
        <f t="array" ref="AC54">INDEX(NPCAL,TRUNC(1+(COUNTA(NPCAL))*(TRUNC(MOD(($B54*1103515245 +12345)/ 65536, 32768),0)/32768),0))</f>
        <v>NG</v>
      </c>
      <c r="AD54" s="72" t="str">
        <f ca="1">IFERROR(__xludf.DUMMYFUNCTION("if(V54&lt;15,QUERY(NPCVar!C:D,""Select D WHERE C = '""&amp;D54&amp;""'""),if((TRUNC(1+10)*(TRUNC(MOD((ROW(H54)*1103515245 +12345)/ 65536, 32768),0)/32768)/10) &gt; 0.85,INDEX(NPCFaction,TRUNC(1+(counta(NPCFaction)-1)*(TRUNC(MOD(($B54*1103515245 +12345)/ 65536, 32768),0"&amp;")/32768),0)),QUERY(NPCVar!C:D,""Select D WHERE C = '""&amp;D54&amp;""'"")))"),"Necromancer")</f>
        <v>Necromancer</v>
      </c>
      <c r="AE54" s="108" t="e">
        <f t="shared" ca="1" si="11"/>
        <v>#NAME?</v>
      </c>
      <c r="AF54" s="159">
        <f ca="1">IFERROR(__xludf.DUMMYFUNCTION("AE54*(V54 / QUERY(NPCVar!$K$2:$N$12, ""Select N WHERE K='""&amp;AB54&amp;""'""))*TRUNC(1+10)*(TRUNC(MOD(($B54*1103515245 +12345)/ 65536, 32768),0)/32768)"),0.260604629516601)</f>
        <v>0.26060462951660102</v>
      </c>
      <c r="AG54" s="16"/>
      <c r="AH54" s="77"/>
      <c r="AI54" s="114"/>
    </row>
    <row r="55" spans="1:35" ht="16.2">
      <c r="A55" s="53">
        <v>54</v>
      </c>
      <c r="B55" s="118">
        <f t="shared" si="0"/>
        <v>2.1772</v>
      </c>
      <c r="C55" s="72" t="str">
        <f t="array" ref="C55">INDEX(NPCFName,TRUNC(1+(COUNTA(NPCFName))*(TRUNC(MOD(($B55*1103515245 +12345)/ 65536, 32768),0)/32768),0))</f>
        <v>Gerirr</v>
      </c>
      <c r="D55" s="16" t="str">
        <f t="array" ref="D55">INDEX(NPCLName,TRUNC(1+(COUNTA(NPCLName))*(TRUNC(MOD(($B55*1103515245 +12345)/ 65536, 32768),0)/32768),0))</f>
        <v>Distantlash</v>
      </c>
      <c r="E55" s="16" t="str">
        <f t="array" ref="E55">INDEX(NPCClass,TRUNC(1+(COUNTA(NPCClass))*(TRUNC(MOD(($B55*1103515245 +12345)/ 65536, 32768),0)/32768),0))</f>
        <v>Bard</v>
      </c>
      <c r="F55" s="76">
        <v>1</v>
      </c>
      <c r="G55" s="153">
        <f ca="1">VLOOKUP($AB$2,'RF Mod'!$A$2:$G$12,2,FALSE)+VLOOKUP($AD$2,'RF Mod'!$I$2:$O$11,2,FALSE)+(TRUNC(6+(24-6)*(TRUNC(MOD(($Z55*1103515245 +12345)/ 65536, 32768),0)/32768),0))</f>
        <v>5</v>
      </c>
      <c r="H55" s="16">
        <f t="shared" ca="1" si="1"/>
        <v>-3</v>
      </c>
      <c r="I55" s="153">
        <f ca="1">VLOOKUP($AB$2,'RF Mod'!$A$2:$G$12,3,FALSE)+VLOOKUP($AD$2,'RF Mod'!$I$2:$O$11,3,FALSE)+(TRUNC(6+(24-6)*(TRUNC(MOD(($Z55*1103515245 +12345)/ 65536, 32768),0)/32768),0))</f>
        <v>9</v>
      </c>
      <c r="J55" s="16">
        <f t="shared" ca="1" si="2"/>
        <v>-1</v>
      </c>
      <c r="K55" s="153">
        <f ca="1">VLOOKUP($AB$2,'RF Mod'!$A$2:$G$12,3,FALSE)+VLOOKUP($AD$2,'RF Mod'!$I$2:$O$11,3,FALSE)+(TRUNC(6+(24-6)*(TRUNC(MOD(($Z55*1103515245 +12345)/ 65536, 32768),0)/32768),0))</f>
        <v>9</v>
      </c>
      <c r="L55" s="16">
        <f t="shared" ca="1" si="3"/>
        <v>-1</v>
      </c>
      <c r="M55" s="153">
        <f ca="1">VLOOKUP($AB$2,'RF Mod'!$A$2:$G$12,4,FALSE)+VLOOKUP($AD$2,'RF Mod'!$I$2:$O$11,4,FALSE)+(TRUNC(6+(24-6)*(TRUNC(MOD(($Z55*1103515245 +12345)/ 65536, 32768),0)/32768),0))</f>
        <v>8</v>
      </c>
      <c r="N55" s="16">
        <f t="shared" ca="1" si="4"/>
        <v>-1</v>
      </c>
      <c r="O55" s="153">
        <f ca="1">VLOOKUP($AB$2,'RF Mod'!$A$2:$G$12,5,FALSE)+VLOOKUP($AD$2,'RF Mod'!$I$2:$O$11,5,FALSE)+(TRUNC(6+(24-6)*(TRUNC(MOD(($Z55*1103515245 +12345)/ 65536, 32768),0)/32768),0))</f>
        <v>11</v>
      </c>
      <c r="P55" s="16" t="e">
        <f t="shared" ca="1" si="5"/>
        <v>#NAME?</v>
      </c>
      <c r="Q55" s="153">
        <f ca="1">VLOOKUP($AB$2,'RF Mod'!$A$2:$G$12,6,FALSE)+VLOOKUP($AD$2,'RF Mod'!$I$2:$O$11,6,FALSE)+(TRUNC(6+(24-6)*(TRUNC(MOD(($Z55*1103515245 +12345)/ 65536, 32768),0)/32768),0))</f>
        <v>9</v>
      </c>
      <c r="R55" s="16">
        <f t="shared" ca="1" si="6"/>
        <v>-1</v>
      </c>
      <c r="S55" s="154">
        <f t="shared" ca="1" si="12"/>
        <v>11</v>
      </c>
      <c r="T55" s="154">
        <f t="shared" ca="1" si="7"/>
        <v>12</v>
      </c>
      <c r="U55" s="16" t="str">
        <f t="shared" ca="1" si="8"/>
        <v>Dead</v>
      </c>
      <c r="V55" s="155">
        <f ca="1">IFERROR(__xludf.DUMMYFUNCTION("if(W55=""Middle Age"",QUERY(NPCVar!$K$2:$N1000, ""Select L where K = '""&amp;AB55&amp;""'""),if(W55=""Old"",QUERY(NPCVar!$K$2:$N1000, ""Select M where K = '""&amp;AB55&amp;""'""),if(W55=""Venerable"",QUERY(NPCVar!$K$2:$N1000, ""Select N where K = '""&amp;AB55&amp;""'""),false)))"&amp;"*X55"),24)</f>
        <v>24</v>
      </c>
      <c r="W55" s="156" t="str">
        <f t="array" ref="W55">INDEX(NPCAgeType,TRUNC(1+(4-1)*(TRUNC(MOD((X55*1103515245 +12345)/ 65536, 32768),0)/32768),0))</f>
        <v>Middle Age</v>
      </c>
      <c r="X55" s="117">
        <f t="shared" si="13"/>
        <v>0.3</v>
      </c>
      <c r="Y55" s="157" t="e">
        <f t="array" aca="1" ref="Y55" ca="1">LOOKUP(ABS(MAX(Z55 + MIN(ABS(INDIRECT("Class Jobs!B"&amp;MATCH(E55,'Class Jobs'!$A$1:$A1000,0)&amp;":"&amp;"AF"&amp;MATCH(E55,'Class Jobs'!$A$1:$A1000,0)&amp;"")-$Z55)) * SUM(IF(MIN(ABS(INDIRECT("Class Jobs!B"&amp;MATCH(E55,'Class Jobs'!$A$1:$A1000,0)&amp;":"&amp;"AF"&amp;MATCH(E55,'Class Jobs'!$A$1:$A1000,0)&amp;"")-$Z55))=ABS(INDIRECT("Class Jobs!B"&amp;MATCH(E55,'Class Jobs'!$A$1:$A1000,0)&amp;":"&amp;"AF"&amp;MATCH(E55,'Class Jobs'!$A$1:$A1000,0)&amp;"")-$Z55),SIGN(INDIRECT("Class Jobs!B"&amp;MATCH(E55,'Class Jobs'!$A$1:A1000,0)&amp;":"&amp;"AF"&amp;MATCH(E55,'Class Jobs'!$A$1:$A1000,0)&amp;"")-$Z55),0)),0)),INDIRECT("Class Jobs!B"&amp;MATCH(E55,'Class Jobs'!$A$1:$A1000,0)&amp;":"&amp;"AF"&amp;MATCH(E55,'Class Jobs'!$A$1:$A1000,1)&amp;""),'Class Jobs'!$B$1:$AF$1)</f>
        <v>#REF!</v>
      </c>
      <c r="Z55" s="158">
        <f t="shared" si="10"/>
        <v>0.12</v>
      </c>
      <c r="AA55" s="16" t="str">
        <f t="array" ref="AA55">INDEX(NPCGender,TRUNC(1+(COUNTA(NPCGender))*(TRUNC(MOD(($B55*1103515245 +12345)/ 65536, 32768),0)/32768),0))</f>
        <v>Male</v>
      </c>
      <c r="AB55" s="16" t="str">
        <f t="array" ref="AB55">INDEX(NPCRace,TRUNC(1+(COUNTA(NPCRace))*(TRUNC(MOD(($B55*1103515245 +12345)/ 65536, 32768),0)/32768),0))</f>
        <v>Dwarf</v>
      </c>
      <c r="AC55" s="16" t="str">
        <f t="array" ref="AC55">INDEX(NPCAL,TRUNC(1+(COUNTA(NPCAL))*(TRUNC(MOD(($B55*1103515245 +12345)/ 65536, 32768),0)/32768),0))</f>
        <v>CE</v>
      </c>
      <c r="AD55" s="72" t="str">
        <f ca="1">IFERROR(__xludf.DUMMYFUNCTION("if(V55&lt;15,QUERY(NPCVar!C:D,""Select D WHERE C = '""&amp;D55&amp;""'""),if((TRUNC(1+10)*(TRUNC(MOD((ROW(H55)*1103515245 +12345)/ 65536, 32768),0)/32768)/10) &gt; 0.85,INDEX(NPCFaction,TRUNC(1+(counta(NPCFaction)-1)*(TRUNC(MOD(($B55*1103515245 +12345)/ 65536, 32768),0"&amp;")/32768),0)),QUERY(NPCVar!C:D,""Select D WHERE C = '""&amp;D55&amp;""'"")))"),"Death Guild")</f>
        <v>Death Guild</v>
      </c>
      <c r="AE55" s="108" t="e">
        <f t="shared" ca="1" si="11"/>
        <v>#NAME?</v>
      </c>
      <c r="AF55" s="159">
        <f ca="1">IFERROR(__xludf.DUMMYFUNCTION("AE55*(V55 / QUERY(NPCVar!$K$2:$N$12, ""Select N WHERE K='""&amp;AB55&amp;""'""))*TRUNC(1+10)*(TRUNC(MOD(($B55*1103515245 +12345)/ 65536, 32768),0)/32768)"),0.039195556640625)</f>
        <v>3.9195556640624997E-2</v>
      </c>
      <c r="AG55" s="16"/>
      <c r="AH55" s="77"/>
      <c r="AI55" s="114"/>
    </row>
    <row r="56" spans="1:35" ht="16.2">
      <c r="A56" s="53">
        <v>55</v>
      </c>
      <c r="B56" s="118">
        <f t="shared" si="0"/>
        <v>1.17134</v>
      </c>
      <c r="C56" s="72" t="str">
        <f t="array" ref="C56">INDEX(NPCFName,TRUNC(1+(COUNTA(NPCFName))*(TRUNC(MOD(($B56*1103515245 +12345)/ 65536, 32768),0)/32768),0))</f>
        <v>Silco</v>
      </c>
      <c r="D56" s="16" t="str">
        <f t="array" ref="D56">INDEX(NPCLName,TRUNC(1+(COUNTA(NPCLName))*(TRUNC(MOD(($B56*1103515245 +12345)/ 65536, 32768),0)/32768),0))</f>
        <v>Gloomrage</v>
      </c>
      <c r="E56" s="16" t="str">
        <f t="array" ref="E56">INDEX(NPCClass,TRUNC(1+(COUNTA(NPCClass))*(TRUNC(MOD(($B56*1103515245 +12345)/ 65536, 32768),0)/32768),0))</f>
        <v>Warlock</v>
      </c>
      <c r="F56" s="76">
        <v>8</v>
      </c>
      <c r="G56" s="153">
        <f ca="1">VLOOKUP($AB$2,'RF Mod'!$A$2:$G$12,2,FALSE)+VLOOKUP($AD$2,'RF Mod'!$I$2:$O$11,2,FALSE)+(TRUNC(6+(24-6)*(TRUNC(MOD(($Z56*1103515245 +12345)/ 65536, 32768),0)/32768),0))</f>
        <v>9</v>
      </c>
      <c r="H56" s="16">
        <f t="shared" ca="1" si="1"/>
        <v>-1</v>
      </c>
      <c r="I56" s="153">
        <f ca="1">VLOOKUP($AB$2,'RF Mod'!$A$2:$G$12,3,FALSE)+VLOOKUP($AD$2,'RF Mod'!$I$2:$O$11,3,FALSE)+(TRUNC(6+(24-6)*(TRUNC(MOD(($Z56*1103515245 +12345)/ 65536, 32768),0)/32768),0))</f>
        <v>13</v>
      </c>
      <c r="J56" s="16" t="e">
        <f t="shared" ca="1" si="2"/>
        <v>#NAME?</v>
      </c>
      <c r="K56" s="153">
        <f ca="1">VLOOKUP($AB$2,'RF Mod'!$A$2:$G$12,3,FALSE)+VLOOKUP($AD$2,'RF Mod'!$I$2:$O$11,3,FALSE)+(TRUNC(6+(24-6)*(TRUNC(MOD(($Z56*1103515245 +12345)/ 65536, 32768),0)/32768),0))</f>
        <v>13</v>
      </c>
      <c r="L56" s="16" t="e">
        <f t="shared" ca="1" si="3"/>
        <v>#NAME?</v>
      </c>
      <c r="M56" s="153">
        <f ca="1">VLOOKUP($AB$2,'RF Mod'!$A$2:$G$12,4,FALSE)+VLOOKUP($AD$2,'RF Mod'!$I$2:$O$11,4,FALSE)+(TRUNC(6+(24-6)*(TRUNC(MOD(($Z56*1103515245 +12345)/ 65536, 32768),0)/32768),0))</f>
        <v>12</v>
      </c>
      <c r="N56" s="16" t="e">
        <f t="shared" ca="1" si="4"/>
        <v>#NAME?</v>
      </c>
      <c r="O56" s="153">
        <f ca="1">VLOOKUP($AB$2,'RF Mod'!$A$2:$G$12,5,FALSE)+VLOOKUP($AD$2,'RF Mod'!$I$2:$O$11,5,FALSE)+(TRUNC(6+(24-6)*(TRUNC(MOD(($Z56*1103515245 +12345)/ 65536, 32768),0)/32768),0))</f>
        <v>15</v>
      </c>
      <c r="P56" s="16" t="e">
        <f t="shared" ca="1" si="5"/>
        <v>#NAME?</v>
      </c>
      <c r="Q56" s="153">
        <f ca="1">VLOOKUP($AB$2,'RF Mod'!$A$2:$G$12,6,FALSE)+VLOOKUP($AD$2,'RF Mod'!$I$2:$O$11,6,FALSE)+(TRUNC(6+(24-6)*(TRUNC(MOD(($Z56*1103515245 +12345)/ 65536, 32768),0)/32768),0))</f>
        <v>13</v>
      </c>
      <c r="R56" s="16" t="e">
        <f t="shared" ca="1" si="6"/>
        <v>#NAME?</v>
      </c>
      <c r="S56" s="154">
        <f t="shared" ca="1" si="12"/>
        <v>120</v>
      </c>
      <c r="T56" s="154">
        <f t="shared" ca="1" si="7"/>
        <v>113</v>
      </c>
      <c r="U56" s="16" t="str">
        <f t="shared" ca="1" si="8"/>
        <v>Bloody</v>
      </c>
      <c r="V56" s="155">
        <f ca="1">IFERROR(__xludf.DUMMYFUNCTION("if(W56=""Middle Age"",QUERY(NPCVar!$K$2:$N1000, ""Select L where K = '""&amp;AB56&amp;""'""),if(W56=""Old"",QUERY(NPCVar!$K$2:$N1000, ""Select M where K = '""&amp;AB56&amp;""'""),if(W56=""Venerable"",QUERY(NPCVar!$K$2:$N1000, ""Select N where K = '""&amp;AB56&amp;""'""),false)))"&amp;"*X56"),300)</f>
        <v>300</v>
      </c>
      <c r="W56" s="156" t="str">
        <f t="array" ref="W56">INDEX(NPCAgeType,TRUNC(1+(4-1)*(TRUNC(MOD((X56*1103515245 +12345)/ 65536, 32768),0)/32768),0))</f>
        <v>Venerable</v>
      </c>
      <c r="X56" s="117">
        <f t="shared" si="13"/>
        <v>1.5</v>
      </c>
      <c r="Y56" s="157" t="e">
        <f t="array" aca="1" ref="Y56" ca="1">LOOKUP(ABS(MAX(Z56 + MIN(ABS(INDIRECT("Class Jobs!B"&amp;MATCH(E56,'Class Jobs'!$A$1:$A1000,0)&amp;":"&amp;"AF"&amp;MATCH(E56,'Class Jobs'!$A$1:$A1000,0)&amp;"")-$Z56)) * SUM(IF(MIN(ABS(INDIRECT("Class Jobs!B"&amp;MATCH(E56,'Class Jobs'!$A$1:$A1000,0)&amp;":"&amp;"AF"&amp;MATCH(E56,'Class Jobs'!$A$1:$A1000,0)&amp;"")-$Z56))=ABS(INDIRECT("Class Jobs!B"&amp;MATCH(E56,'Class Jobs'!$A$1:$A1000,0)&amp;":"&amp;"AF"&amp;MATCH(E56,'Class Jobs'!$A$1:$A1000,0)&amp;"")-$Z56),SIGN(INDIRECT("Class Jobs!B"&amp;MATCH(E56,'Class Jobs'!$A$1:A1000,0)&amp;":"&amp;"AF"&amp;MATCH(E56,'Class Jobs'!$A$1:$A1000,0)&amp;"")-$Z56),0)),0)),INDIRECT("Class Jobs!B"&amp;MATCH(E56,'Class Jobs'!$A$1:$A1000,0)&amp;":"&amp;"AF"&amp;MATCH(E56,'Class Jobs'!$A$1:$A1000,1)&amp;""),'Class Jobs'!$B$1:$AF$1)</f>
        <v>#REF!</v>
      </c>
      <c r="Z56" s="158">
        <f t="shared" si="10"/>
        <v>0.6</v>
      </c>
      <c r="AA56" s="16" t="str">
        <f t="array" ref="AA56">INDEX(NPCGender,TRUNC(1+(COUNTA(NPCGender))*(TRUNC(MOD(($B56*1103515245 +12345)/ 65536, 32768),0)/32768),0))</f>
        <v>Female</v>
      </c>
      <c r="AB56" s="16" t="str">
        <f t="array" ref="AB56">INDEX(NPCRace,TRUNC(1+(COUNTA(NPCRace))*(TRUNC(MOD(($B56*1103515245 +12345)/ 65536, 32768),0)/32768),0))</f>
        <v>Halfling</v>
      </c>
      <c r="AC56" s="16" t="str">
        <f t="array" ref="AC56">INDEX(NPCAL,TRUNC(1+(COUNTA(NPCAL))*(TRUNC(MOD(($B56*1103515245 +12345)/ 65536, 32768),0)/32768),0))</f>
        <v>NE</v>
      </c>
      <c r="AD56" s="72" t="str">
        <f ca="1">IFERROR(__xludf.DUMMYFUNCTION("if(V56&lt;15,QUERY(NPCVar!C:D,""Select D WHERE C = '""&amp;D56&amp;""'""),if((TRUNC(1+10)*(TRUNC(MOD((ROW(H56)*1103515245 +12345)/ 65536, 32768),0)/32768)/10) &gt; 0.85,INDEX(NPCFaction,TRUNC(1+(counta(NPCFaction)-1)*(TRUNC(MOD(($B56*1103515245 +12345)/ 65536, 32768),0"&amp;")/32768),0)),QUERY(NPCVar!C:D,""Select D WHERE C = '""&amp;D56&amp;""'"")))"),"Death Guild")</f>
        <v>Death Guild</v>
      </c>
      <c r="AE56" s="108" t="e">
        <f t="shared" ca="1" si="11"/>
        <v>#NAME?</v>
      </c>
      <c r="AF56" s="159">
        <f ca="1">IFERROR(__xludf.DUMMYFUNCTION("AE56*(V56 / QUERY(NPCVar!$K$2:$N$12, ""Select N WHERE K='""&amp;AB56&amp;""'""))*TRUNC(1+10)*(TRUNC(MOD(($B56*1103515245 +12345)/ 65536, 32768),0)/32768)"),3.97252807617187)</f>
        <v>3.9725280761718702</v>
      </c>
      <c r="AG56" s="16"/>
      <c r="AH56" s="77"/>
      <c r="AI56" s="114"/>
    </row>
    <row r="57" spans="1:35" ht="16.2">
      <c r="A57" s="53">
        <v>56</v>
      </c>
      <c r="B57" s="118">
        <f t="shared" si="0"/>
        <v>0.16549</v>
      </c>
      <c r="C57" s="72" t="str">
        <f t="array" ref="C57">INDEX(NPCFName,TRUNC(1+(COUNTA(NPCFName))*(TRUNC(MOD(($B57*1103515245 +12345)/ 65536, 32768),0)/32768),0))</f>
        <v>Duran</v>
      </c>
      <c r="D57" s="16" t="str">
        <f t="array" ref="D57">INDEX(NPCLName,TRUNC(1+(COUNTA(NPCLName))*(TRUNC(MOD(($B57*1103515245 +12345)/ 65536, 32768),0)/32768),0))</f>
        <v>Autumnorb</v>
      </c>
      <c r="E57" s="16" t="str">
        <f t="array" ref="E57">INDEX(NPCClass,TRUNC(1+(COUNTA(NPCClass))*(TRUNC(MOD(($B57*1103515245 +12345)/ 65536, 32768),0)/32768),0))</f>
        <v>Bard</v>
      </c>
      <c r="F57" s="76">
        <v>1</v>
      </c>
      <c r="G57" s="153">
        <f ca="1">VLOOKUP($AB$2,'RF Mod'!$A$2:$G$12,2,FALSE)+VLOOKUP($AD$2,'RF Mod'!$I$2:$O$11,2,FALSE)+(TRUNC(6+(24-6)*(TRUNC(MOD(($Z57*1103515245 +12345)/ 65536, 32768),0)/32768),0))</f>
        <v>4</v>
      </c>
      <c r="H57" s="16">
        <f t="shared" ca="1" si="1"/>
        <v>-3</v>
      </c>
      <c r="I57" s="153">
        <f ca="1">VLOOKUP($AB$2,'RF Mod'!$A$2:$G$12,3,FALSE)+VLOOKUP($AD$2,'RF Mod'!$I$2:$O$11,3,FALSE)+(TRUNC(6+(24-6)*(TRUNC(MOD(($Z57*1103515245 +12345)/ 65536, 32768),0)/32768),0))</f>
        <v>8</v>
      </c>
      <c r="J57" s="16">
        <f t="shared" ca="1" si="2"/>
        <v>-1</v>
      </c>
      <c r="K57" s="153">
        <f ca="1">VLOOKUP($AB$2,'RF Mod'!$A$2:$G$12,3,FALSE)+VLOOKUP($AD$2,'RF Mod'!$I$2:$O$11,3,FALSE)+(TRUNC(6+(24-6)*(TRUNC(MOD(($Z57*1103515245 +12345)/ 65536, 32768),0)/32768),0))</f>
        <v>8</v>
      </c>
      <c r="L57" s="16">
        <f t="shared" ca="1" si="3"/>
        <v>-1</v>
      </c>
      <c r="M57" s="153">
        <f ca="1">VLOOKUP($AB$2,'RF Mod'!$A$2:$G$12,4,FALSE)+VLOOKUP($AD$2,'RF Mod'!$I$2:$O$11,4,FALSE)+(TRUNC(6+(24-6)*(TRUNC(MOD(($Z57*1103515245 +12345)/ 65536, 32768),0)/32768),0))</f>
        <v>7</v>
      </c>
      <c r="N57" s="16">
        <f t="shared" ca="1" si="4"/>
        <v>-2</v>
      </c>
      <c r="O57" s="153">
        <f ca="1">VLOOKUP($AB$2,'RF Mod'!$A$2:$G$12,5,FALSE)+VLOOKUP($AD$2,'RF Mod'!$I$2:$O$11,5,FALSE)+(TRUNC(6+(24-6)*(TRUNC(MOD(($Z57*1103515245 +12345)/ 65536, 32768),0)/32768),0))</f>
        <v>10</v>
      </c>
      <c r="P57" s="16" t="e">
        <f t="shared" ca="1" si="5"/>
        <v>#NAME?</v>
      </c>
      <c r="Q57" s="153">
        <f ca="1">VLOOKUP($AB$2,'RF Mod'!$A$2:$G$12,6,FALSE)+VLOOKUP($AD$2,'RF Mod'!$I$2:$O$11,6,FALSE)+(TRUNC(6+(24-6)*(TRUNC(MOD(($Z57*1103515245 +12345)/ 65536, 32768),0)/32768),0))</f>
        <v>8</v>
      </c>
      <c r="R57" s="16">
        <f t="shared" ca="1" si="6"/>
        <v>-1</v>
      </c>
      <c r="S57" s="154">
        <f t="shared" ca="1" si="12"/>
        <v>10</v>
      </c>
      <c r="T57" s="154">
        <f t="shared" ca="1" si="7"/>
        <v>4</v>
      </c>
      <c r="U57" s="16" t="str">
        <f t="shared" ca="1" si="8"/>
        <v>Fine</v>
      </c>
      <c r="V57" s="155">
        <f ca="1">IFERROR(__xludf.DUMMYFUNCTION("if(W57=""Middle Age"",QUERY(NPCVar!$K$2:$N1000, ""Select L where K = '""&amp;AB57&amp;""'""),if(W57=""Old"",QUERY(NPCVar!$K$2:$N1000, ""Select M where K = '""&amp;AB57&amp;""'""),if(W57=""Venerable"",QUERY(NPCVar!$K$2:$N1000, ""Select N where K = '""&amp;AB57&amp;""'""),false)))"&amp;"*X57"),6)</f>
        <v>6</v>
      </c>
      <c r="W57" s="156" t="str">
        <f t="array" ref="W57">INDEX(NPCAgeType,TRUNC(1+(4-1)*(TRUNC(MOD((X57*1103515245 +12345)/ 65536, 32768),0)/32768),0))</f>
        <v>Middle Age</v>
      </c>
      <c r="X57" s="117">
        <f t="shared" si="13"/>
        <v>0.3</v>
      </c>
      <c r="Y57" s="157" t="e">
        <f t="array" aca="1" ref="Y57" ca="1">LOOKUP(ABS(MAX(Z57 + MIN(ABS(INDIRECT("Class Jobs!B"&amp;MATCH(E57,'Class Jobs'!$A$1:$A1000,0)&amp;":"&amp;"AF"&amp;MATCH(E57,'Class Jobs'!$A$1:$A1000,0)&amp;"")-$Z57)) * SUM(IF(MIN(ABS(INDIRECT("Class Jobs!B"&amp;MATCH(E57,'Class Jobs'!$A$1:$A1000,0)&amp;":"&amp;"AF"&amp;MATCH(E57,'Class Jobs'!$A$1:$A1000,0)&amp;"")-$Z57))=ABS(INDIRECT("Class Jobs!B"&amp;MATCH(E57,'Class Jobs'!$A$1:$A1000,0)&amp;":"&amp;"AF"&amp;MATCH(E57,'Class Jobs'!$A$1:$A1000,0)&amp;"")-$Z57),SIGN(INDIRECT("Class Jobs!B"&amp;MATCH(E57,'Class Jobs'!$A$1:A1000,0)&amp;":"&amp;"AF"&amp;MATCH(E57,'Class Jobs'!$A$1:$A1000,0)&amp;"")-$Z57),0)),0)),INDIRECT("Class Jobs!B"&amp;MATCH(E57,'Class Jobs'!$A$1:$A1000,0)&amp;":"&amp;"AF"&amp;MATCH(E57,'Class Jobs'!$A$1:$A1000,1)&amp;""),'Class Jobs'!$B$1:$AF$1)</f>
        <v>#REF!</v>
      </c>
      <c r="Z57" s="158">
        <f t="shared" si="10"/>
        <v>0.09</v>
      </c>
      <c r="AA57" s="16" t="str">
        <f t="array" ref="AA57">INDEX(NPCGender,TRUNC(1+(COUNTA(NPCGender))*(TRUNC(MOD(($B57*1103515245 +12345)/ 65536, 32768),0)/32768),0))</f>
        <v>Male</v>
      </c>
      <c r="AB57" s="16" t="str">
        <f t="array" ref="AB57">INDEX(NPCRace,TRUNC(1+(COUNTA(NPCRace))*(TRUNC(MOD(($B57*1103515245 +12345)/ 65536, 32768),0)/32768),0))</f>
        <v>Dragonborn</v>
      </c>
      <c r="AC57" s="16" t="str">
        <f t="array" ref="AC57">INDEX(NPCAL,TRUNC(1+(COUNTA(NPCAL))*(TRUNC(MOD(($B57*1103515245 +12345)/ 65536, 32768),0)/32768),0))</f>
        <v>CN</v>
      </c>
      <c r="AD57" s="72" t="str">
        <f ca="1">IFERROR(__xludf.DUMMYFUNCTION("if(V57&lt;15,QUERY(NPCVar!C:D,""Select D WHERE C = '""&amp;D57&amp;""'""),if((TRUNC(1+10)*(TRUNC(MOD((ROW(H57)*1103515245 +12345)/ 65536, 32768),0)/32768)/10) &gt; 0.85,INDEX(NPCFaction,TRUNC(1+(counta(NPCFaction)-1)*(TRUNC(MOD(($B57*1103515245 +12345)/ 65536, 32768),0"&amp;")/32768),0)),QUERY(NPCVar!C:D,""Select D WHERE C = '""&amp;D57&amp;""'"")))"),"Royalty")</f>
        <v>Royalty</v>
      </c>
      <c r="AE57" s="108" t="e">
        <f t="shared" ca="1" si="11"/>
        <v>#NAME?</v>
      </c>
      <c r="AF57" s="159">
        <f ca="1">IFERROR(__xludf.DUMMYFUNCTION("AE57*(V57 / QUERY(NPCVar!$K$2:$N$12, ""Select N WHERE K='""&amp;AB57&amp;""'""))*TRUNC(1+10)*(TRUNC(MOD(($B57*1103515245 +12345)/ 65536, 32768),0)/32768)"),0.0280572509765624)</f>
        <v>2.8057250976562399E-2</v>
      </c>
      <c r="AG57" s="16"/>
      <c r="AH57" s="77"/>
      <c r="AI57" s="114"/>
    </row>
    <row r="58" spans="1:35" ht="16.2">
      <c r="A58" s="53">
        <v>57</v>
      </c>
      <c r="B58" s="118">
        <f t="shared" si="0"/>
        <v>1.6596200000000001</v>
      </c>
      <c r="C58" s="72" t="str">
        <f t="array" ref="C58">INDEX(NPCFName,TRUNC(1+(COUNTA(NPCFName))*(TRUNC(MOD(($B58*1103515245 +12345)/ 65536, 32768),0)/32768),0))</f>
        <v>Medin</v>
      </c>
      <c r="D58" s="16" t="str">
        <f t="array" ref="D58">INDEX(NPCLName,TRUNC(1+(COUNTA(NPCLName))*(TRUNC(MOD(($B58*1103515245 +12345)/ 65536, 32768),0)/32768),0))</f>
        <v>Springgust</v>
      </c>
      <c r="E58" s="16" t="str">
        <f t="array" ref="E58">INDEX(NPCClass,TRUNC(1+(COUNTA(NPCClass))*(TRUNC(MOD(($B58*1103515245 +12345)/ 65536, 32768),0)/32768),0))</f>
        <v>Fighter</v>
      </c>
      <c r="F58" s="76">
        <v>8</v>
      </c>
      <c r="G58" s="153">
        <f ca="1">VLOOKUP($AB$2,'RF Mod'!$A$2:$G$12,2,FALSE)+VLOOKUP($AD$2,'RF Mod'!$I$2:$O$11,2,FALSE)+(TRUNC(6+(24-6)*(TRUNC(MOD(($Z58*1103515245 +12345)/ 65536, 32768),0)/32768),0))</f>
        <v>11</v>
      </c>
      <c r="H58" s="16" t="e">
        <f t="shared" ca="1" si="1"/>
        <v>#NAME?</v>
      </c>
      <c r="I58" s="153">
        <f ca="1">VLOOKUP($AB$2,'RF Mod'!$A$2:$G$12,3,FALSE)+VLOOKUP($AD$2,'RF Mod'!$I$2:$O$11,3,FALSE)+(TRUNC(6+(24-6)*(TRUNC(MOD(($Z58*1103515245 +12345)/ 65536, 32768),0)/32768),0))</f>
        <v>15</v>
      </c>
      <c r="J58" s="16" t="e">
        <f t="shared" ca="1" si="2"/>
        <v>#NAME?</v>
      </c>
      <c r="K58" s="153">
        <f ca="1">VLOOKUP($AB$2,'RF Mod'!$A$2:$G$12,3,FALSE)+VLOOKUP($AD$2,'RF Mod'!$I$2:$O$11,3,FALSE)+(TRUNC(6+(24-6)*(TRUNC(MOD(($Z58*1103515245 +12345)/ 65536, 32768),0)/32768),0))</f>
        <v>15</v>
      </c>
      <c r="L58" s="16" t="e">
        <f t="shared" ca="1" si="3"/>
        <v>#NAME?</v>
      </c>
      <c r="M58" s="153">
        <f ca="1">VLOOKUP($AB$2,'RF Mod'!$A$2:$G$12,4,FALSE)+VLOOKUP($AD$2,'RF Mod'!$I$2:$O$11,4,FALSE)+(TRUNC(6+(24-6)*(TRUNC(MOD(($Z58*1103515245 +12345)/ 65536, 32768),0)/32768),0))</f>
        <v>14</v>
      </c>
      <c r="N58" s="16" t="e">
        <f t="shared" ca="1" si="4"/>
        <v>#NAME?</v>
      </c>
      <c r="O58" s="153">
        <f ca="1">VLOOKUP($AB$2,'RF Mod'!$A$2:$G$12,5,FALSE)+VLOOKUP($AD$2,'RF Mod'!$I$2:$O$11,5,FALSE)+(TRUNC(6+(24-6)*(TRUNC(MOD(($Z58*1103515245 +12345)/ 65536, 32768),0)/32768),0))</f>
        <v>17</v>
      </c>
      <c r="P58" s="16" t="e">
        <f t="shared" ca="1" si="5"/>
        <v>#NAME?</v>
      </c>
      <c r="Q58" s="153">
        <f ca="1">VLOOKUP($AB$2,'RF Mod'!$A$2:$G$12,6,FALSE)+VLOOKUP($AD$2,'RF Mod'!$I$2:$O$11,6,FALSE)+(TRUNC(6+(24-6)*(TRUNC(MOD(($Z58*1103515245 +12345)/ 65536, 32768),0)/32768),0))</f>
        <v>15</v>
      </c>
      <c r="R58" s="16" t="e">
        <f t="shared" ca="1" si="6"/>
        <v>#NAME?</v>
      </c>
      <c r="S58" s="154">
        <f t="shared" ca="1" si="12"/>
        <v>136</v>
      </c>
      <c r="T58" s="154">
        <f t="shared" ca="1" si="7"/>
        <v>150</v>
      </c>
      <c r="U58" s="16" t="str">
        <f t="shared" ca="1" si="8"/>
        <v>Dead</v>
      </c>
      <c r="V58" s="155">
        <f ca="1">IFERROR(__xludf.DUMMYFUNCTION("if(W58=""Middle Age"",QUERY(NPCVar!$K$2:$N1000, ""Select L where K = '""&amp;AB58&amp;""'""),if(W58=""Old"",QUERY(NPCVar!$K$2:$N1000, ""Select M where K = '""&amp;AB58&amp;""'""),if(W58=""Venerable"",QUERY(NPCVar!$K$2:$N1000, ""Select N where K = '""&amp;AB58&amp;""'""),false)))"&amp;"*X58"),57.75)</f>
        <v>57.75</v>
      </c>
      <c r="W58" s="156" t="str">
        <f t="array" ref="W58">INDEX(NPCAgeType,TRUNC(1+(4-1)*(TRUNC(MOD((X58*1103515245 +12345)/ 65536, 32768),0)/32768),0))</f>
        <v>Middle Age</v>
      </c>
      <c r="X58" s="117">
        <f t="shared" si="13"/>
        <v>2.1</v>
      </c>
      <c r="Y58" s="157" t="e">
        <f t="array" aca="1" ref="Y58" ca="1">LOOKUP(ABS(MAX(Z58 + MIN(ABS(INDIRECT("Class Jobs!B"&amp;MATCH(E58,'Class Jobs'!$A$1:$A1000,0)&amp;":"&amp;"AF"&amp;MATCH(E58,'Class Jobs'!$A$1:$A1000,0)&amp;"")-$Z58)) * SUM(IF(MIN(ABS(INDIRECT("Class Jobs!B"&amp;MATCH(E58,'Class Jobs'!$A$1:$A1000,0)&amp;":"&amp;"AF"&amp;MATCH(E58,'Class Jobs'!$A$1:$A1000,0)&amp;"")-$Z58))=ABS(INDIRECT("Class Jobs!B"&amp;MATCH(E58,'Class Jobs'!$A$1:$A1000,0)&amp;":"&amp;"AF"&amp;MATCH(E58,'Class Jobs'!$A$1:$A1000,0)&amp;"")-$Z58),SIGN(INDIRECT("Class Jobs!B"&amp;MATCH(E58,'Class Jobs'!$A$1:A1000,0)&amp;":"&amp;"AF"&amp;MATCH(E58,'Class Jobs'!$A$1:$A1000,0)&amp;"")-$Z58),0)),0)),INDIRECT("Class Jobs!B"&amp;MATCH(E58,'Class Jobs'!$A$1:$A1000,0)&amp;":"&amp;"AF"&amp;MATCH(E58,'Class Jobs'!$A$1:$A1000,1)&amp;""),'Class Jobs'!$B$1:$AF$1)</f>
        <v>#REF!</v>
      </c>
      <c r="Z58" s="158">
        <f t="shared" si="10"/>
        <v>0.85</v>
      </c>
      <c r="AA58" s="16" t="str">
        <f t="array" ref="AA58">INDEX(NPCGender,TRUNC(1+(COUNTA(NPCGender))*(TRUNC(MOD(($B58*1103515245 +12345)/ 65536, 32768),0)/32768),0))</f>
        <v>Neutral</v>
      </c>
      <c r="AB58" s="16" t="str">
        <f t="array" ref="AB58">INDEX(NPCRace,TRUNC(1+(COUNTA(NPCRace))*(TRUNC(MOD(($B58*1103515245 +12345)/ 65536, 32768),0)/32768),0))</f>
        <v>Genasi</v>
      </c>
      <c r="AC58" s="16" t="str">
        <f t="array" ref="AC58">INDEX(NPCAL,TRUNC(1+(COUNTA(NPCAL))*(TRUNC(MOD(($B58*1103515245 +12345)/ 65536, 32768),0)/32768),0))</f>
        <v>LN</v>
      </c>
      <c r="AD58" s="72" t="str">
        <f ca="1">IFERROR(__xludf.DUMMYFUNCTION("if(V58&lt;15,QUERY(NPCVar!C:D,""Select D WHERE C = '""&amp;D58&amp;""'""),if((TRUNC(1+10)*(TRUNC(MOD((ROW(H58)*1103515245 +12345)/ 65536, 32768),0)/32768)/10) &gt; 0.85,INDEX(NPCFaction,TRUNC(1+(counta(NPCFaction)-1)*(TRUNC(MOD(($B58*1103515245 +12345)/ 65536, 32768),0"&amp;")/32768),0)),QUERY(NPCVar!C:D,""Select D WHERE C = '""&amp;D58&amp;""'"")))"),"Farmers Guild")</f>
        <v>Farmers Guild</v>
      </c>
      <c r="AE58" s="108" t="e">
        <f t="shared" ca="1" si="11"/>
        <v>#NAME?</v>
      </c>
      <c r="AF58" s="159">
        <f ca="1">IFERROR(__xludf.DUMMYFUNCTION("AE58*(V58 / QUERY(NPCVar!$K$2:$N$12, ""Select N WHERE K='""&amp;AB58&amp;""'""))*TRUNC(1+10)*(TRUNC(MOD(($B58*1103515245 +12345)/ 65536, 32768),0)/32768)"),1.96999969482421)</f>
        <v>1.96999969482421</v>
      </c>
      <c r="AG58" s="16"/>
      <c r="AH58" s="77"/>
      <c r="AI58" s="114"/>
    </row>
    <row r="59" spans="1:35" ht="16.2">
      <c r="A59" s="53">
        <v>58</v>
      </c>
      <c r="B59" s="118">
        <f t="shared" si="0"/>
        <v>0.65376999999999996</v>
      </c>
      <c r="C59" s="72" t="str">
        <f t="array" ref="C59">INDEX(NPCFName,TRUNC(1+(COUNTA(NPCFName))*(TRUNC(MOD(($B59*1103515245 +12345)/ 65536, 32768),0)/32768),0))</f>
        <v>Achard</v>
      </c>
      <c r="D59" s="16" t="str">
        <f t="array" ref="D59">INDEX(NPCLName,TRUNC(1+(COUNTA(NPCLName))*(TRUNC(MOD(($B59*1103515245 +12345)/ 65536, 32768),0)/32768),0))</f>
        <v>Leafblight</v>
      </c>
      <c r="E59" s="16" t="str">
        <f t="array" ref="E59">INDEX(NPCClass,TRUNC(1+(COUNTA(NPCClass))*(TRUNC(MOD(($B59*1103515245 +12345)/ 65536, 32768),0)/32768),0))</f>
        <v>Paladin</v>
      </c>
      <c r="F59" s="76">
        <v>1</v>
      </c>
      <c r="G59" s="153">
        <f ca="1">VLOOKUP($AB$2,'RF Mod'!$A$2:$G$12,2,FALSE)+VLOOKUP($AD$2,'RF Mod'!$I$2:$O$11,2,FALSE)+(TRUNC(6+(24-6)*(TRUNC(MOD(($Z59*1103515245 +12345)/ 65536, 32768),0)/32768),0))</f>
        <v>7</v>
      </c>
      <c r="H59" s="16">
        <f t="shared" ca="1" si="1"/>
        <v>-2</v>
      </c>
      <c r="I59" s="153">
        <f ca="1">VLOOKUP($AB$2,'RF Mod'!$A$2:$G$12,3,FALSE)+VLOOKUP($AD$2,'RF Mod'!$I$2:$O$11,3,FALSE)+(TRUNC(6+(24-6)*(TRUNC(MOD(($Z59*1103515245 +12345)/ 65536, 32768),0)/32768),0))</f>
        <v>11</v>
      </c>
      <c r="J59" s="16" t="e">
        <f t="shared" ca="1" si="2"/>
        <v>#NAME?</v>
      </c>
      <c r="K59" s="153">
        <f ca="1">VLOOKUP($AB$2,'RF Mod'!$A$2:$G$12,3,FALSE)+VLOOKUP($AD$2,'RF Mod'!$I$2:$O$11,3,FALSE)+(TRUNC(6+(24-6)*(TRUNC(MOD(($Z59*1103515245 +12345)/ 65536, 32768),0)/32768),0))</f>
        <v>11</v>
      </c>
      <c r="L59" s="16" t="e">
        <f t="shared" ca="1" si="3"/>
        <v>#NAME?</v>
      </c>
      <c r="M59" s="153">
        <f ca="1">VLOOKUP($AB$2,'RF Mod'!$A$2:$G$12,4,FALSE)+VLOOKUP($AD$2,'RF Mod'!$I$2:$O$11,4,FALSE)+(TRUNC(6+(24-6)*(TRUNC(MOD(($Z59*1103515245 +12345)/ 65536, 32768),0)/32768),0))</f>
        <v>10</v>
      </c>
      <c r="N59" s="16" t="e">
        <f t="shared" ca="1" si="4"/>
        <v>#NAME?</v>
      </c>
      <c r="O59" s="153">
        <f ca="1">VLOOKUP($AB$2,'RF Mod'!$A$2:$G$12,5,FALSE)+VLOOKUP($AD$2,'RF Mod'!$I$2:$O$11,5,FALSE)+(TRUNC(6+(24-6)*(TRUNC(MOD(($Z59*1103515245 +12345)/ 65536, 32768),0)/32768),0))</f>
        <v>13</v>
      </c>
      <c r="P59" s="16" t="e">
        <f t="shared" ca="1" si="5"/>
        <v>#NAME?</v>
      </c>
      <c r="Q59" s="153">
        <f ca="1">VLOOKUP($AB$2,'RF Mod'!$A$2:$G$12,6,FALSE)+VLOOKUP($AD$2,'RF Mod'!$I$2:$O$11,6,FALSE)+(TRUNC(6+(24-6)*(TRUNC(MOD(($Z59*1103515245 +12345)/ 65536, 32768),0)/32768),0))</f>
        <v>11</v>
      </c>
      <c r="R59" s="16" t="e">
        <f t="shared" ca="1" si="6"/>
        <v>#NAME?</v>
      </c>
      <c r="S59" s="154">
        <f t="shared" ca="1" si="12"/>
        <v>21</v>
      </c>
      <c r="T59" s="154">
        <f t="shared" ca="1" si="7"/>
        <v>7</v>
      </c>
      <c r="U59" s="16" t="str">
        <f t="shared" ca="1" si="8"/>
        <v>Fine</v>
      </c>
      <c r="V59" s="155">
        <f ca="1">IFERROR(__xludf.DUMMYFUNCTION("if(W59=""Middle Age"",QUERY(NPCVar!$K$2:$N1000, ""Select L where K = '""&amp;AB59&amp;""'""),if(W59=""Old"",QUERY(NPCVar!$K$2:$N1000, ""Select M where K = '""&amp;AB59&amp;""'""),if(W59=""Venerable"",QUERY(NPCVar!$K$2:$N1000, ""Select N where K = '""&amp;AB59&amp;""'""),false)))"&amp;"*X59"),151.875)</f>
        <v>151.875</v>
      </c>
      <c r="W59" s="156" t="str">
        <f t="array" ref="W59">INDEX(NPCAgeType,TRUNC(1+(4-1)*(TRUNC(MOD((X59*1103515245 +12345)/ 65536, 32768),0)/32768),0))</f>
        <v>Old</v>
      </c>
      <c r="X59" s="117">
        <f t="shared" si="13"/>
        <v>0.9</v>
      </c>
      <c r="Y59" s="157" t="e">
        <f t="array" aca="1" ref="Y59" ca="1">LOOKUP(ABS(MAX(Z59 + MIN(ABS(INDIRECT("Class Jobs!B"&amp;MATCH(E59,'Class Jobs'!$A$1:$A1000,0)&amp;":"&amp;"AF"&amp;MATCH(E59,'Class Jobs'!$A$1:$A1000,0)&amp;"")-$Z59)) * SUM(IF(MIN(ABS(INDIRECT("Class Jobs!B"&amp;MATCH(E59,'Class Jobs'!$A$1:$A1000,0)&amp;":"&amp;"AF"&amp;MATCH(E59,'Class Jobs'!$A$1:$A1000,0)&amp;"")-$Z59))=ABS(INDIRECT("Class Jobs!B"&amp;MATCH(E59,'Class Jobs'!$A$1:$A1000,0)&amp;":"&amp;"AF"&amp;MATCH(E59,'Class Jobs'!$A$1:$A1000,0)&amp;"")-$Z59),SIGN(INDIRECT("Class Jobs!B"&amp;MATCH(E59,'Class Jobs'!$A$1:A1000,0)&amp;":"&amp;"AF"&amp;MATCH(E59,'Class Jobs'!$A$1:$A1000,0)&amp;"")-$Z59),0)),0)),INDIRECT("Class Jobs!B"&amp;MATCH(E59,'Class Jobs'!$A$1:$A1000,0)&amp;":"&amp;"AF"&amp;MATCH(E59,'Class Jobs'!$A$1:$A1000,1)&amp;""),'Class Jobs'!$B$1:$AF$1)</f>
        <v>#REF!</v>
      </c>
      <c r="Z59" s="158">
        <f t="shared" si="10"/>
        <v>0.34</v>
      </c>
      <c r="AA59" s="16" t="str">
        <f t="array" ref="AA59">INDEX(NPCGender,TRUNC(1+(COUNTA(NPCGender))*(TRUNC(MOD(($B59*1103515245 +12345)/ 65536, 32768),0)/32768),0))</f>
        <v>Female</v>
      </c>
      <c r="AB59" s="16" t="str">
        <f t="array" ref="AB59">INDEX(NPCRace,TRUNC(1+(COUNTA(NPCRace))*(TRUNC(MOD(($B59*1103515245 +12345)/ 65536, 32768),0)/32768),0))</f>
        <v>Gnome</v>
      </c>
      <c r="AC59" s="16" t="str">
        <f t="array" ref="AC59">INDEX(NPCAL,TRUNC(1+(COUNTA(NPCAL))*(TRUNC(MOD(($B59*1103515245 +12345)/ 65536, 32768),0)/32768),0))</f>
        <v>NG</v>
      </c>
      <c r="AD59" s="72" t="str">
        <f ca="1">IFERROR(__xludf.DUMMYFUNCTION("if(V59&lt;15,QUERY(NPCVar!C:D,""Select D WHERE C = '""&amp;D59&amp;""'""),if((TRUNC(1+10)*(TRUNC(MOD((ROW(H59)*1103515245 +12345)/ 65536, 32768),0)/32768)/10) &gt; 0.85,INDEX(NPCFaction,TRUNC(1+(counta(NPCFaction)-1)*(TRUNC(MOD(($B59*1103515245 +12345)/ 65536, 32768),0"&amp;")/32768),0)),QUERY(NPCVar!C:D,""Select D WHERE C = '""&amp;D59&amp;""'"")))"),"Necromancer")</f>
        <v>Necromancer</v>
      </c>
      <c r="AE59" s="108" t="e">
        <f t="shared" ca="1" si="11"/>
        <v>#NAME?</v>
      </c>
      <c r="AF59" s="159">
        <f ca="1">IFERROR(__xludf.DUMMYFUNCTION("AE59*(V59 / QUERY(NPCVar!$K$2:$N$12, ""Select N WHERE K='""&amp;AB59&amp;""'""))*TRUNC(1+10)*(TRUNC(MOD(($B59*1103515245 +12345)/ 65536, 32768),0)/32768)"),0.873017578125)</f>
        <v>0.87301757812500003</v>
      </c>
      <c r="AG59" s="16"/>
      <c r="AH59" s="77"/>
      <c r="AI59" s="114"/>
    </row>
    <row r="60" spans="1:35" ht="16.2">
      <c r="A60" s="53">
        <v>59</v>
      </c>
      <c r="B60" s="118">
        <f t="shared" si="0"/>
        <v>2.1478199999999998</v>
      </c>
      <c r="C60" s="72" t="str">
        <f t="array" ref="C60">INDEX(NPCFName,TRUNC(1+(COUNTA(NPCFName))*(TRUNC(MOD(($B60*1103515245 +12345)/ 65536, 32768),0)/32768),0))</f>
        <v>Faoturk</v>
      </c>
      <c r="D60" s="16" t="str">
        <f t="array" ref="D60">INDEX(NPCLName,TRUNC(1+(COUNTA(NPCLName))*(TRUNC(MOD(($B60*1103515245 +12345)/ 65536, 32768),0)/32768),0))</f>
        <v>Distantlash</v>
      </c>
      <c r="E60" s="16" t="str">
        <f t="array" ref="E60">INDEX(NPCClass,TRUNC(1+(COUNTA(NPCClass))*(TRUNC(MOD(($B60*1103515245 +12345)/ 65536, 32768),0)/32768),0))</f>
        <v>Bard</v>
      </c>
      <c r="F60" s="76">
        <v>1</v>
      </c>
      <c r="G60" s="153">
        <f ca="1">VLOOKUP($AB$2,'RF Mod'!$A$2:$G$12,2,FALSE)+VLOOKUP($AD$2,'RF Mod'!$I$2:$O$11,2,FALSE)+(TRUNC(6+(24-6)*(TRUNC(MOD(($Z60*1103515245 +12345)/ 65536, 32768),0)/32768),0))</f>
        <v>5</v>
      </c>
      <c r="H60" s="16">
        <f t="shared" ca="1" si="1"/>
        <v>-3</v>
      </c>
      <c r="I60" s="153">
        <f ca="1">VLOOKUP($AB$2,'RF Mod'!$A$2:$G$12,3,FALSE)+VLOOKUP($AD$2,'RF Mod'!$I$2:$O$11,3,FALSE)+(TRUNC(6+(24-6)*(TRUNC(MOD(($Z60*1103515245 +12345)/ 65536, 32768),0)/32768),0))</f>
        <v>9</v>
      </c>
      <c r="J60" s="16">
        <f t="shared" ca="1" si="2"/>
        <v>-1</v>
      </c>
      <c r="K60" s="153">
        <f ca="1">VLOOKUP($AB$2,'RF Mod'!$A$2:$G$12,3,FALSE)+VLOOKUP($AD$2,'RF Mod'!$I$2:$O$11,3,FALSE)+(TRUNC(6+(24-6)*(TRUNC(MOD(($Z60*1103515245 +12345)/ 65536, 32768),0)/32768),0))</f>
        <v>9</v>
      </c>
      <c r="L60" s="16">
        <f t="shared" ca="1" si="3"/>
        <v>-1</v>
      </c>
      <c r="M60" s="153">
        <f ca="1">VLOOKUP($AB$2,'RF Mod'!$A$2:$G$12,4,FALSE)+VLOOKUP($AD$2,'RF Mod'!$I$2:$O$11,4,FALSE)+(TRUNC(6+(24-6)*(TRUNC(MOD(($Z60*1103515245 +12345)/ 65536, 32768),0)/32768),0))</f>
        <v>8</v>
      </c>
      <c r="N60" s="16">
        <f t="shared" ca="1" si="4"/>
        <v>-1</v>
      </c>
      <c r="O60" s="153">
        <f ca="1">VLOOKUP($AB$2,'RF Mod'!$A$2:$G$12,5,FALSE)+VLOOKUP($AD$2,'RF Mod'!$I$2:$O$11,5,FALSE)+(TRUNC(6+(24-6)*(TRUNC(MOD(($Z60*1103515245 +12345)/ 65536, 32768),0)/32768),0))</f>
        <v>11</v>
      </c>
      <c r="P60" s="16" t="e">
        <f t="shared" ca="1" si="5"/>
        <v>#NAME?</v>
      </c>
      <c r="Q60" s="153">
        <f ca="1">VLOOKUP($AB$2,'RF Mod'!$A$2:$G$12,6,FALSE)+VLOOKUP($AD$2,'RF Mod'!$I$2:$O$11,6,FALSE)+(TRUNC(6+(24-6)*(TRUNC(MOD(($Z60*1103515245 +12345)/ 65536, 32768),0)/32768),0))</f>
        <v>9</v>
      </c>
      <c r="R60" s="16">
        <f t="shared" ca="1" si="6"/>
        <v>-1</v>
      </c>
      <c r="S60" s="154">
        <f t="shared" ca="1" si="12"/>
        <v>11</v>
      </c>
      <c r="T60" s="154">
        <f t="shared" ca="1" si="7"/>
        <v>9</v>
      </c>
      <c r="U60" s="16" t="str">
        <f t="shared" ca="1" si="8"/>
        <v>Bloody</v>
      </c>
      <c r="V60" s="155">
        <f ca="1">IFERROR(__xludf.DUMMYFUNCTION("if(W60=""Middle Age"",QUERY(NPCVar!$K$2:$N1000, ""Select L where K = '""&amp;AB60&amp;""'""),if(W60=""Old"",QUERY(NPCVar!$K$2:$N1000, ""Select M where K = '""&amp;AB60&amp;""'""),if(W60=""Venerable"",QUERY(NPCVar!$K$2:$N1000, ""Select N where K = '""&amp;AB60&amp;""'""),false)))"&amp;"*X60"),24)</f>
        <v>24</v>
      </c>
      <c r="W60" s="156" t="str">
        <f t="array" ref="W60">INDEX(NPCAgeType,TRUNC(1+(4-1)*(TRUNC(MOD((X60*1103515245 +12345)/ 65536, 32768),0)/32768),0))</f>
        <v>Middle Age</v>
      </c>
      <c r="X60" s="117">
        <f t="shared" si="13"/>
        <v>0.3</v>
      </c>
      <c r="Y60" s="157" t="e">
        <f t="array" aca="1" ref="Y60" ca="1">LOOKUP(ABS(MAX(Z60 + MIN(ABS(INDIRECT("Class Jobs!B"&amp;MATCH(E60,'Class Jobs'!$A$1:$A1000,0)&amp;":"&amp;"AF"&amp;MATCH(E60,'Class Jobs'!$A$1:$A1000,0)&amp;"")-$Z60)) * SUM(IF(MIN(ABS(INDIRECT("Class Jobs!B"&amp;MATCH(E60,'Class Jobs'!$A$1:$A1000,0)&amp;":"&amp;"AF"&amp;MATCH(E60,'Class Jobs'!$A$1:$A1000,0)&amp;"")-$Z60))=ABS(INDIRECT("Class Jobs!B"&amp;MATCH(E60,'Class Jobs'!$A$1:$A1000,0)&amp;":"&amp;"AF"&amp;MATCH(E60,'Class Jobs'!$A$1:$A1000,0)&amp;"")-$Z60),SIGN(INDIRECT("Class Jobs!B"&amp;MATCH(E60,'Class Jobs'!$A$1:A1000,0)&amp;":"&amp;"AF"&amp;MATCH(E60,'Class Jobs'!$A$1:$A1000,0)&amp;"")-$Z60),0)),0)),INDIRECT("Class Jobs!B"&amp;MATCH(E60,'Class Jobs'!$A$1:$A1000,0)&amp;":"&amp;"AF"&amp;MATCH(E60,'Class Jobs'!$A$1:$A1000,1)&amp;""),'Class Jobs'!$B$1:$AF$1)</f>
        <v>#REF!</v>
      </c>
      <c r="Z60" s="158">
        <f t="shared" si="10"/>
        <v>0.11</v>
      </c>
      <c r="AA60" s="16" t="str">
        <f t="array" ref="AA60">INDEX(NPCGender,TRUNC(1+(COUNTA(NPCGender))*(TRUNC(MOD(($B60*1103515245 +12345)/ 65536, 32768),0)/32768),0))</f>
        <v>Male</v>
      </c>
      <c r="AB60" s="16" t="str">
        <f t="array" ref="AB60">INDEX(NPCRace,TRUNC(1+(COUNTA(NPCRace))*(TRUNC(MOD(($B60*1103515245 +12345)/ 65536, 32768),0)/32768),0))</f>
        <v>Dwarf</v>
      </c>
      <c r="AC60" s="16" t="str">
        <f t="array" ref="AC60">INDEX(NPCAL,TRUNC(1+(COUNTA(NPCAL))*(TRUNC(MOD(($B60*1103515245 +12345)/ 65536, 32768),0)/32768),0))</f>
        <v>CN</v>
      </c>
      <c r="AD60" s="72" t="str">
        <f ca="1">IFERROR(__xludf.DUMMYFUNCTION("if(V60&lt;15,QUERY(NPCVar!C:D,""Select D WHERE C = '""&amp;D60&amp;""'""),if((TRUNC(1+10)*(TRUNC(MOD((ROW(H60)*1103515245 +12345)/ 65536, 32768),0)/32768)/10) &gt; 0.85,INDEX(NPCFaction,TRUNC(1+(counta(NPCFaction)-1)*(TRUNC(MOD(($B60*1103515245 +12345)/ 65536, 32768),0"&amp;")/32768),0)),QUERY(NPCVar!C:D,""Select D WHERE C = '""&amp;D60&amp;""'"")))"),"Royalty")</f>
        <v>Royalty</v>
      </c>
      <c r="AE60" s="108" t="e">
        <f t="shared" ca="1" si="11"/>
        <v>#NAME?</v>
      </c>
      <c r="AF60" s="159">
        <f ca="1">IFERROR(__xludf.DUMMYFUNCTION("AE60*(V60 / QUERY(NPCVar!$K$2:$N$12, ""Select N WHERE K='""&amp;AB60&amp;""'""))*TRUNC(1+10)*(TRUNC(MOD(($B60*1103515245 +12345)/ 65536, 32768),0)/32768)"),0)</f>
        <v>0</v>
      </c>
      <c r="AG60" s="16"/>
      <c r="AH60" s="77"/>
      <c r="AI60" s="114"/>
    </row>
    <row r="61" spans="1:35" ht="16.2">
      <c r="A61" s="53">
        <v>60</v>
      </c>
      <c r="B61" s="118">
        <f t="shared" si="0"/>
        <v>1.1419699999999999</v>
      </c>
      <c r="C61" s="72" t="str">
        <f t="array" ref="C61">INDEX(NPCFName,TRUNC(1+(COUNTA(NPCFName))*(TRUNC(MOD(($B61*1103515245 +12345)/ 65536, 32768),0)/32768),0))</f>
        <v>Rythern</v>
      </c>
      <c r="D61" s="16" t="str">
        <f t="array" ref="D61">INDEX(NPCLName,TRUNC(1+(COUNTA(NPCLName))*(TRUNC(MOD(($B61*1103515245 +12345)/ 65536, 32768),0)/32768),0))</f>
        <v>Chestaxe</v>
      </c>
      <c r="E61" s="16" t="str">
        <f t="array" ref="E61">INDEX(NPCClass,TRUNC(1+(COUNTA(NPCClass))*(TRUNC(MOD(($B61*1103515245 +12345)/ 65536, 32768),0)/32768),0))</f>
        <v>Warlock</v>
      </c>
      <c r="F61" s="76">
        <v>7</v>
      </c>
      <c r="G61" s="153">
        <f ca="1">VLOOKUP($AB$2,'RF Mod'!$A$2:$G$12,2,FALSE)+VLOOKUP($AD$2,'RF Mod'!$I$2:$O$11,2,FALSE)+(TRUNC(6+(24-6)*(TRUNC(MOD(($Z61*1103515245 +12345)/ 65536, 32768),0)/32768),0))</f>
        <v>9</v>
      </c>
      <c r="H61" s="16">
        <f t="shared" ca="1" si="1"/>
        <v>-1</v>
      </c>
      <c r="I61" s="153">
        <f ca="1">VLOOKUP($AB$2,'RF Mod'!$A$2:$G$12,3,FALSE)+VLOOKUP($AD$2,'RF Mod'!$I$2:$O$11,3,FALSE)+(TRUNC(6+(24-6)*(TRUNC(MOD(($Z61*1103515245 +12345)/ 65536, 32768),0)/32768),0))</f>
        <v>13</v>
      </c>
      <c r="J61" s="16" t="e">
        <f t="shared" ca="1" si="2"/>
        <v>#NAME?</v>
      </c>
      <c r="K61" s="153">
        <f ca="1">VLOOKUP($AB$2,'RF Mod'!$A$2:$G$12,3,FALSE)+VLOOKUP($AD$2,'RF Mod'!$I$2:$O$11,3,FALSE)+(TRUNC(6+(24-6)*(TRUNC(MOD(($Z61*1103515245 +12345)/ 65536, 32768),0)/32768),0))</f>
        <v>13</v>
      </c>
      <c r="L61" s="16" t="e">
        <f t="shared" ca="1" si="3"/>
        <v>#NAME?</v>
      </c>
      <c r="M61" s="153">
        <f ca="1">VLOOKUP($AB$2,'RF Mod'!$A$2:$G$12,4,FALSE)+VLOOKUP($AD$2,'RF Mod'!$I$2:$O$11,4,FALSE)+(TRUNC(6+(24-6)*(TRUNC(MOD(($Z61*1103515245 +12345)/ 65536, 32768),0)/32768),0))</f>
        <v>12</v>
      </c>
      <c r="N61" s="16" t="e">
        <f t="shared" ca="1" si="4"/>
        <v>#NAME?</v>
      </c>
      <c r="O61" s="153">
        <f ca="1">VLOOKUP($AB$2,'RF Mod'!$A$2:$G$12,5,FALSE)+VLOOKUP($AD$2,'RF Mod'!$I$2:$O$11,5,FALSE)+(TRUNC(6+(24-6)*(TRUNC(MOD(($Z61*1103515245 +12345)/ 65536, 32768),0)/32768),0))</f>
        <v>15</v>
      </c>
      <c r="P61" s="16" t="e">
        <f t="shared" ca="1" si="5"/>
        <v>#NAME?</v>
      </c>
      <c r="Q61" s="153">
        <f ca="1">VLOOKUP($AB$2,'RF Mod'!$A$2:$G$12,6,FALSE)+VLOOKUP($AD$2,'RF Mod'!$I$2:$O$11,6,FALSE)+(TRUNC(6+(24-6)*(TRUNC(MOD(($Z61*1103515245 +12345)/ 65536, 32768),0)/32768),0))</f>
        <v>13</v>
      </c>
      <c r="R61" s="16" t="e">
        <f t="shared" ca="1" si="6"/>
        <v>#NAME?</v>
      </c>
      <c r="S61" s="154">
        <f t="shared" ca="1" si="12"/>
        <v>161</v>
      </c>
      <c r="T61" s="154">
        <f t="shared" ca="1" si="7"/>
        <v>128</v>
      </c>
      <c r="U61" s="16" t="str">
        <f t="shared" ca="1" si="8"/>
        <v>Bloody</v>
      </c>
      <c r="V61" s="155">
        <f ca="1">IFERROR(__xludf.DUMMYFUNCTION("if(W61=""Middle Age"",QUERY(NPCVar!$K$2:$N1000, ""Select L where K = '""&amp;AB61&amp;""'""),if(W61=""Old"",QUERY(NPCVar!$K$2:$N1000, ""Select M where K = '""&amp;AB61&amp;""'""),if(W61=""Venerable"",QUERY(NPCVar!$K$2:$N1000, ""Select N where K = '""&amp;AB61&amp;""'""),false)))"&amp;"*X61"),300)</f>
        <v>300</v>
      </c>
      <c r="W61" s="156" t="str">
        <f t="array" ref="W61">INDEX(NPCAgeType,TRUNC(1+(4-1)*(TRUNC(MOD((X61*1103515245 +12345)/ 65536, 32768),0)/32768),0))</f>
        <v>Venerable</v>
      </c>
      <c r="X61" s="117">
        <f t="shared" si="13"/>
        <v>1.5</v>
      </c>
      <c r="Y61" s="157" t="e">
        <f t="array" aca="1" ref="Y61" ca="1">LOOKUP(ABS(MAX(Z61 + MIN(ABS(INDIRECT("Class Jobs!B"&amp;MATCH(E61,'Class Jobs'!$A$1:$A1000,0)&amp;":"&amp;"AF"&amp;MATCH(E61,'Class Jobs'!$A$1:$A1000,0)&amp;"")-$Z61)) * SUM(IF(MIN(ABS(INDIRECT("Class Jobs!B"&amp;MATCH(E61,'Class Jobs'!$A$1:$A1000,0)&amp;":"&amp;"AF"&amp;MATCH(E61,'Class Jobs'!$A$1:$A1000,0)&amp;"")-$Z61))=ABS(INDIRECT("Class Jobs!B"&amp;MATCH(E61,'Class Jobs'!$A$1:$A1000,0)&amp;":"&amp;"AF"&amp;MATCH(E61,'Class Jobs'!$A$1:$A1000,0)&amp;"")-$Z61),SIGN(INDIRECT("Class Jobs!B"&amp;MATCH(E61,'Class Jobs'!$A$1:A1000,0)&amp;":"&amp;"AF"&amp;MATCH(E61,'Class Jobs'!$A$1:$A1000,0)&amp;"")-$Z61),0)),0)),INDIRECT("Class Jobs!B"&amp;MATCH(E61,'Class Jobs'!$A$1:$A1000,0)&amp;":"&amp;"AF"&amp;MATCH(E61,'Class Jobs'!$A$1:$A1000,1)&amp;""),'Class Jobs'!$B$1:$AF$1)</f>
        <v>#REF!</v>
      </c>
      <c r="Z61" s="158">
        <f t="shared" si="10"/>
        <v>0.59</v>
      </c>
      <c r="AA61" s="16" t="str">
        <f t="array" ref="AA61">INDEX(NPCGender,TRUNC(1+(COUNTA(NPCGender))*(TRUNC(MOD(($B61*1103515245 +12345)/ 65536, 32768),0)/32768),0))</f>
        <v>Female</v>
      </c>
      <c r="AB61" s="16" t="str">
        <f t="array" ref="AB61">INDEX(NPCRace,TRUNC(1+(COUNTA(NPCRace))*(TRUNC(MOD(($B61*1103515245 +12345)/ 65536, 32768),0)/32768),0))</f>
        <v>Halfling</v>
      </c>
      <c r="AC61" s="16" t="str">
        <f t="array" ref="AC61">INDEX(NPCAL,TRUNC(1+(COUNTA(NPCAL))*(TRUNC(MOD(($B61*1103515245 +12345)/ 65536, 32768),0)/32768),0))</f>
        <v>NE</v>
      </c>
      <c r="AD61" s="72" t="str">
        <f ca="1">IFERROR(__xludf.DUMMYFUNCTION("if(V61&lt;15,QUERY(NPCVar!C:D,""Select D WHERE C = '""&amp;D61&amp;""'""),if((TRUNC(1+10)*(TRUNC(MOD((ROW(H61)*1103515245 +12345)/ 65536, 32768),0)/32768)/10) &gt; 0.85,INDEX(NPCFaction,TRUNC(1+(counta(NPCFaction)-1)*(TRUNC(MOD(($B61*1103515245 +12345)/ 65536, 32768),0"&amp;")/32768),0)),QUERY(NPCVar!C:D,""Select D WHERE C = '""&amp;D61&amp;""'"")))"),"Farmers Guild")</f>
        <v>Farmers Guild</v>
      </c>
      <c r="AE61" s="108" t="e">
        <f t="shared" ca="1" si="11"/>
        <v>#NAME?</v>
      </c>
      <c r="AF61" s="159">
        <f ca="1">IFERROR(__xludf.DUMMYFUNCTION("AE61*(V61 / QUERY(NPCVar!$K$2:$N$12, ""Select N WHERE K='""&amp;AB61&amp;""'""))*TRUNC(1+10)*(TRUNC(MOD(($B61*1103515245 +12345)/ 65536, 32768),0)/32768)"),8.71431427001953)</f>
        <v>8.7143142700195302</v>
      </c>
      <c r="AG61" s="16"/>
      <c r="AH61" s="77"/>
      <c r="AI61" s="114"/>
    </row>
    <row r="62" spans="1:35" ht="16.2">
      <c r="A62" s="53">
        <v>61</v>
      </c>
      <c r="B62" s="118">
        <f t="shared" si="0"/>
        <v>0.13611000000000001</v>
      </c>
      <c r="C62" s="72" t="str">
        <f t="array" ref="C62">INDEX(NPCFName,TRUNC(1+(COUNTA(NPCFName))*(TRUNC(MOD(($B62*1103515245 +12345)/ 65536, 32768),0)/32768),0))</f>
        <v>Darmor</v>
      </c>
      <c r="D62" s="16" t="str">
        <f t="array" ref="D62">INDEX(NPCLName,TRUNC(1+(COUNTA(NPCLName))*(TRUNC(MOD(($B62*1103515245 +12345)/ 65536, 32768),0)/32768),0))</f>
        <v>Autumnorb</v>
      </c>
      <c r="E62" s="16" t="str">
        <f t="array" ref="E62">INDEX(NPCClass,TRUNC(1+(COUNTA(NPCClass))*(TRUNC(MOD(($B62*1103515245 +12345)/ 65536, 32768),0)/32768),0))</f>
        <v>Barbarian</v>
      </c>
      <c r="F62" s="76">
        <v>1</v>
      </c>
      <c r="G62" s="153">
        <f ca="1">VLOOKUP($AB$2,'RF Mod'!$A$2:$G$12,2,FALSE)+VLOOKUP($AD$2,'RF Mod'!$I$2:$O$11,2,FALSE)+(TRUNC(6+(24-6)*(TRUNC(MOD(($Z62*1103515245 +12345)/ 65536, 32768),0)/32768),0))</f>
        <v>4</v>
      </c>
      <c r="H62" s="16">
        <f t="shared" ca="1" si="1"/>
        <v>-3</v>
      </c>
      <c r="I62" s="153">
        <f ca="1">VLOOKUP($AB$2,'RF Mod'!$A$2:$G$12,3,FALSE)+VLOOKUP($AD$2,'RF Mod'!$I$2:$O$11,3,FALSE)+(TRUNC(6+(24-6)*(TRUNC(MOD(($Z62*1103515245 +12345)/ 65536, 32768),0)/32768),0))</f>
        <v>8</v>
      </c>
      <c r="J62" s="16">
        <f t="shared" ca="1" si="2"/>
        <v>-1</v>
      </c>
      <c r="K62" s="153">
        <f ca="1">VLOOKUP($AB$2,'RF Mod'!$A$2:$G$12,3,FALSE)+VLOOKUP($AD$2,'RF Mod'!$I$2:$O$11,3,FALSE)+(TRUNC(6+(24-6)*(TRUNC(MOD(($Z62*1103515245 +12345)/ 65536, 32768),0)/32768),0))</f>
        <v>8</v>
      </c>
      <c r="L62" s="16">
        <f t="shared" ca="1" si="3"/>
        <v>-1</v>
      </c>
      <c r="M62" s="153">
        <f ca="1">VLOOKUP($AB$2,'RF Mod'!$A$2:$G$12,4,FALSE)+VLOOKUP($AD$2,'RF Mod'!$I$2:$O$11,4,FALSE)+(TRUNC(6+(24-6)*(TRUNC(MOD(($Z62*1103515245 +12345)/ 65536, 32768),0)/32768),0))</f>
        <v>7</v>
      </c>
      <c r="N62" s="16">
        <f t="shared" ca="1" si="4"/>
        <v>-2</v>
      </c>
      <c r="O62" s="153">
        <f ca="1">VLOOKUP($AB$2,'RF Mod'!$A$2:$G$12,5,FALSE)+VLOOKUP($AD$2,'RF Mod'!$I$2:$O$11,5,FALSE)+(TRUNC(6+(24-6)*(TRUNC(MOD(($Z62*1103515245 +12345)/ 65536, 32768),0)/32768),0))</f>
        <v>10</v>
      </c>
      <c r="P62" s="16" t="e">
        <f t="shared" ca="1" si="5"/>
        <v>#NAME?</v>
      </c>
      <c r="Q62" s="153">
        <f ca="1">VLOOKUP($AB$2,'RF Mod'!$A$2:$G$12,6,FALSE)+VLOOKUP($AD$2,'RF Mod'!$I$2:$O$11,6,FALSE)+(TRUNC(6+(24-6)*(TRUNC(MOD(($Z62*1103515245 +12345)/ 65536, 32768),0)/32768),0))</f>
        <v>8</v>
      </c>
      <c r="R62" s="16">
        <f t="shared" ca="1" si="6"/>
        <v>-1</v>
      </c>
      <c r="S62" s="154">
        <f t="shared" ca="1" si="12"/>
        <v>10</v>
      </c>
      <c r="T62" s="154">
        <f t="shared" ca="1" si="7"/>
        <v>5</v>
      </c>
      <c r="U62" s="16" t="str">
        <f t="shared" ca="1" si="8"/>
        <v>Fine</v>
      </c>
      <c r="V62" s="155">
        <f ca="1">IFERROR(__xludf.DUMMYFUNCTION("if(W62=""Middle Age"",QUERY(NPCVar!$K$2:$N1000, ""Select L where K = '""&amp;AB62&amp;""'""),if(W62=""Old"",QUERY(NPCVar!$K$2:$N1000, ""Select M where K = '""&amp;AB62&amp;""'""),if(W62=""Venerable"",QUERY(NPCVar!$K$2:$N1000, ""Select N where K = '""&amp;AB62&amp;""'""),false)))"&amp;"*X62"),4)</f>
        <v>4</v>
      </c>
      <c r="W62" s="156" t="str">
        <f t="array" ref="W62">INDEX(NPCAgeType,TRUNC(1+(4-1)*(TRUNC(MOD((X62*1103515245 +12345)/ 65536, 32768),0)/32768),0))</f>
        <v>Middle Age</v>
      </c>
      <c r="X62" s="117">
        <f t="shared" si="13"/>
        <v>0.2</v>
      </c>
      <c r="Y62" s="157" t="e">
        <f t="array" aca="1" ref="Y62" ca="1">LOOKUP(ABS(MAX(Z62 + MIN(ABS(INDIRECT("Class Jobs!B"&amp;MATCH(E62,'Class Jobs'!$A$1:$A1000,0)&amp;":"&amp;"AF"&amp;MATCH(E62,'Class Jobs'!$A$1:$A1000,0)&amp;"")-$Z62)) * SUM(IF(MIN(ABS(INDIRECT("Class Jobs!B"&amp;MATCH(E62,'Class Jobs'!$A$1:$A1000,0)&amp;":"&amp;"AF"&amp;MATCH(E62,'Class Jobs'!$A$1:$A1000,0)&amp;"")-$Z62))=ABS(INDIRECT("Class Jobs!B"&amp;MATCH(E62,'Class Jobs'!$A$1:$A1000,0)&amp;":"&amp;"AF"&amp;MATCH(E62,'Class Jobs'!$A$1:$A1000,0)&amp;"")-$Z62),SIGN(INDIRECT("Class Jobs!B"&amp;MATCH(E62,'Class Jobs'!$A$1:A1000,0)&amp;":"&amp;"AF"&amp;MATCH(E62,'Class Jobs'!$A$1:$A1000,0)&amp;"")-$Z62),0)),0)),INDIRECT("Class Jobs!B"&amp;MATCH(E62,'Class Jobs'!$A$1:$A1000,0)&amp;":"&amp;"AF"&amp;MATCH(E62,'Class Jobs'!$A$1:$A1000,1)&amp;""),'Class Jobs'!$B$1:$AF$1)</f>
        <v>#REF!</v>
      </c>
      <c r="Z62" s="158">
        <f t="shared" si="10"/>
        <v>7.0000000000000007E-2</v>
      </c>
      <c r="AA62" s="16" t="str">
        <f t="array" ref="AA62">INDEX(NPCGender,TRUNC(1+(COUNTA(NPCGender))*(TRUNC(MOD(($B62*1103515245 +12345)/ 65536, 32768),0)/32768),0))</f>
        <v>Male</v>
      </c>
      <c r="AB62" s="16" t="str">
        <f t="array" ref="AB62">INDEX(NPCRace,TRUNC(1+(COUNTA(NPCRace))*(TRUNC(MOD(($B62*1103515245 +12345)/ 65536, 32768),0)/32768),0))</f>
        <v>Dragonborn</v>
      </c>
      <c r="AC62" s="16" t="str">
        <f t="array" ref="AC62">INDEX(NPCAL,TRUNC(1+(COUNTA(NPCAL))*(TRUNC(MOD(($B62*1103515245 +12345)/ 65536, 32768),0)/32768),0))</f>
        <v>CN</v>
      </c>
      <c r="AD62" s="72" t="str">
        <f ca="1">IFERROR(__xludf.DUMMYFUNCTION("if(V62&lt;15,QUERY(NPCVar!C:D,""Select D WHERE C = '""&amp;D62&amp;""'""),if((TRUNC(1+10)*(TRUNC(MOD((ROW(H62)*1103515245 +12345)/ 65536, 32768),0)/32768)/10) &gt; 0.85,INDEX(NPCFaction,TRUNC(1+(counta(NPCFaction)-1)*(TRUNC(MOD(($B62*1103515245 +12345)/ 65536, 32768),0"&amp;")/32768),0)),QUERY(NPCVar!C:D,""Select D WHERE C = '""&amp;D62&amp;""'"")))"),"Royalty")</f>
        <v>Royalty</v>
      </c>
      <c r="AE62" s="108" t="e">
        <f t="shared" ca="1" si="11"/>
        <v>#NAME?</v>
      </c>
      <c r="AF62" s="159">
        <f ca="1">IFERROR(__xludf.DUMMYFUNCTION("AE62*(V62 / QUERY(NPCVar!$K$2:$N$12, ""Select N WHERE K='""&amp;AB62&amp;""'""))*TRUNC(1+10)*(TRUNC(MOD(($B62*1103515245 +12345)/ 65536, 32768),0)/32768)"),0.0038470458984375)</f>
        <v>3.8470458984375001E-3</v>
      </c>
      <c r="AG62" s="16"/>
      <c r="AH62" s="77"/>
      <c r="AI62" s="114"/>
    </row>
    <row r="63" spans="1:35" ht="16.2">
      <c r="A63" s="53">
        <v>62</v>
      </c>
      <c r="B63" s="118">
        <f t="shared" si="0"/>
        <v>1.63025</v>
      </c>
      <c r="C63" s="72" t="str">
        <f t="array" ref="C63">INDEX(NPCFName,TRUNC(1+(COUNTA(NPCFName))*(TRUNC(MOD(($B63*1103515245 +12345)/ 65536, 32768),0)/32768),0))</f>
        <v>Lephar</v>
      </c>
      <c r="D63" s="16" t="str">
        <f t="array" ref="D63">INDEX(NPCLName,TRUNC(1+(COUNTA(NPCLName))*(TRUNC(MOD(($B63*1103515245 +12345)/ 65536, 32768),0)/32768),0))</f>
        <v>Springgust</v>
      </c>
      <c r="E63" s="16" t="str">
        <f t="array" ref="E63">INDEX(NPCClass,TRUNC(1+(COUNTA(NPCClass))*(TRUNC(MOD(($B63*1103515245 +12345)/ 65536, 32768),0)/32768),0))</f>
        <v>Fighter</v>
      </c>
      <c r="F63" s="76">
        <v>8</v>
      </c>
      <c r="G63" s="153">
        <f ca="1">VLOOKUP($AB$2,'RF Mod'!$A$2:$G$12,2,FALSE)+VLOOKUP($AD$2,'RF Mod'!$I$2:$O$11,2,FALSE)+(TRUNC(6+(24-6)*(TRUNC(MOD(($Z63*1103515245 +12345)/ 65536, 32768),0)/32768),0))</f>
        <v>11</v>
      </c>
      <c r="H63" s="16" t="e">
        <f t="shared" ca="1" si="1"/>
        <v>#NAME?</v>
      </c>
      <c r="I63" s="153">
        <f ca="1">VLOOKUP($AB$2,'RF Mod'!$A$2:$G$12,3,FALSE)+VLOOKUP($AD$2,'RF Mod'!$I$2:$O$11,3,FALSE)+(TRUNC(6+(24-6)*(TRUNC(MOD(($Z63*1103515245 +12345)/ 65536, 32768),0)/32768),0))</f>
        <v>15</v>
      </c>
      <c r="J63" s="16" t="e">
        <f t="shared" ca="1" si="2"/>
        <v>#NAME?</v>
      </c>
      <c r="K63" s="153">
        <f ca="1">VLOOKUP($AB$2,'RF Mod'!$A$2:$G$12,3,FALSE)+VLOOKUP($AD$2,'RF Mod'!$I$2:$O$11,3,FALSE)+(TRUNC(6+(24-6)*(TRUNC(MOD(($Z63*1103515245 +12345)/ 65536, 32768),0)/32768),0))</f>
        <v>15</v>
      </c>
      <c r="L63" s="16" t="e">
        <f t="shared" ca="1" si="3"/>
        <v>#NAME?</v>
      </c>
      <c r="M63" s="153">
        <f ca="1">VLOOKUP($AB$2,'RF Mod'!$A$2:$G$12,4,FALSE)+VLOOKUP($AD$2,'RF Mod'!$I$2:$O$11,4,FALSE)+(TRUNC(6+(24-6)*(TRUNC(MOD(($Z63*1103515245 +12345)/ 65536, 32768),0)/32768),0))</f>
        <v>14</v>
      </c>
      <c r="N63" s="16" t="e">
        <f t="shared" ca="1" si="4"/>
        <v>#NAME?</v>
      </c>
      <c r="O63" s="153">
        <f ca="1">VLOOKUP($AB$2,'RF Mod'!$A$2:$G$12,5,FALSE)+VLOOKUP($AD$2,'RF Mod'!$I$2:$O$11,5,FALSE)+(TRUNC(6+(24-6)*(TRUNC(MOD(($Z63*1103515245 +12345)/ 65536, 32768),0)/32768),0))</f>
        <v>17</v>
      </c>
      <c r="P63" s="16" t="e">
        <f t="shared" ca="1" si="5"/>
        <v>#NAME?</v>
      </c>
      <c r="Q63" s="153">
        <f ca="1">VLOOKUP($AB$2,'RF Mod'!$A$2:$G$12,6,FALSE)+VLOOKUP($AD$2,'RF Mod'!$I$2:$O$11,6,FALSE)+(TRUNC(6+(24-6)*(TRUNC(MOD(($Z63*1103515245 +12345)/ 65536, 32768),0)/32768),0))</f>
        <v>15</v>
      </c>
      <c r="R63" s="16" t="e">
        <f t="shared" ca="1" si="6"/>
        <v>#NAME?</v>
      </c>
      <c r="S63" s="154">
        <f t="shared" ca="1" si="12"/>
        <v>168</v>
      </c>
      <c r="T63" s="154">
        <f t="shared" ca="1" si="7"/>
        <v>2</v>
      </c>
      <c r="U63" s="16" t="str">
        <f t="shared" ca="1" si="8"/>
        <v>Fine</v>
      </c>
      <c r="V63" s="155">
        <f ca="1">IFERROR(__xludf.DUMMYFUNCTION("if(W63=""Middle Age"",QUERY(NPCVar!$K$2:$N1000, ""Select L where K = '""&amp;AB63&amp;""'""),if(W63=""Old"",QUERY(NPCVar!$K$2:$N1000, ""Select M where K = '""&amp;AB63&amp;""'""),if(W63=""Venerable"",QUERY(NPCVar!$K$2:$N1000, ""Select N where K = '""&amp;AB63&amp;""'""),false)))"&amp;"*X63"),57.75)</f>
        <v>57.75</v>
      </c>
      <c r="W63" s="156" t="str">
        <f t="array" ref="W63">INDEX(NPCAgeType,TRUNC(1+(4-1)*(TRUNC(MOD((X63*1103515245 +12345)/ 65536, 32768),0)/32768),0))</f>
        <v>Middle Age</v>
      </c>
      <c r="X63" s="117">
        <f t="shared" si="13"/>
        <v>2.1</v>
      </c>
      <c r="Y63" s="157" t="e">
        <f t="array" aca="1" ref="Y63" ca="1">LOOKUP(ABS(MAX(Z63 + MIN(ABS(INDIRECT("Class Jobs!B"&amp;MATCH(E63,'Class Jobs'!$A$1:$A1000,0)&amp;":"&amp;"AF"&amp;MATCH(E63,'Class Jobs'!$A$1:$A1000,0)&amp;"")-$Z63)) * SUM(IF(MIN(ABS(INDIRECT("Class Jobs!B"&amp;MATCH(E63,'Class Jobs'!$A$1:$A1000,0)&amp;":"&amp;"AF"&amp;MATCH(E63,'Class Jobs'!$A$1:$A1000,0)&amp;"")-$Z63))=ABS(INDIRECT("Class Jobs!B"&amp;MATCH(E63,'Class Jobs'!$A$1:$A1000,0)&amp;":"&amp;"AF"&amp;MATCH(E63,'Class Jobs'!$A$1:$A1000,0)&amp;"")-$Z63),SIGN(INDIRECT("Class Jobs!B"&amp;MATCH(E63,'Class Jobs'!$A$1:A1000,0)&amp;":"&amp;"AF"&amp;MATCH(E63,'Class Jobs'!$A$1:$A1000,0)&amp;"")-$Z63),0)),0)),INDIRECT("Class Jobs!B"&amp;MATCH(E63,'Class Jobs'!$A$1:$A1000,0)&amp;":"&amp;"AF"&amp;MATCH(E63,'Class Jobs'!$A$1:$A1000,1)&amp;""),'Class Jobs'!$B$1:$AF$1)</f>
        <v>#REF!</v>
      </c>
      <c r="Z63" s="158">
        <f t="shared" si="10"/>
        <v>0.83</v>
      </c>
      <c r="AA63" s="16" t="str">
        <f t="array" ref="AA63">INDEX(NPCGender,TRUNC(1+(COUNTA(NPCGender))*(TRUNC(MOD(($B63*1103515245 +12345)/ 65536, 32768),0)/32768),0))</f>
        <v>Neutral</v>
      </c>
      <c r="AB63" s="16" t="str">
        <f t="array" ref="AB63">INDEX(NPCRace,TRUNC(1+(COUNTA(NPCRace))*(TRUNC(MOD(($B63*1103515245 +12345)/ 65536, 32768),0)/32768),0))</f>
        <v>Genasi</v>
      </c>
      <c r="AC63" s="16" t="str">
        <f t="array" ref="AC63">INDEX(NPCAL,TRUNC(1+(COUNTA(NPCAL))*(TRUNC(MOD(($B63*1103515245 +12345)/ 65536, 32768),0)/32768),0))</f>
        <v>LN</v>
      </c>
      <c r="AD63" s="72" t="str">
        <f ca="1">IFERROR(__xludf.DUMMYFUNCTION("if(V63&lt;15,QUERY(NPCVar!C:D,""Select D WHERE C = '""&amp;D63&amp;""'""),if((TRUNC(1+10)*(TRUNC(MOD((ROW(H63)*1103515245 +12345)/ 65536, 32768),0)/32768)/10) &gt; 0.85,INDEX(NPCFaction,TRUNC(1+(counta(NPCFaction)-1)*(TRUNC(MOD(($B63*1103515245 +12345)/ 65536, 32768),0"&amp;")/32768),0)),QUERY(NPCVar!C:D,""Select D WHERE C = '""&amp;D63&amp;""'"")))"),"Traverlers Guild")</f>
        <v>Traverlers Guild</v>
      </c>
      <c r="AE63" s="108" t="e">
        <f t="shared" ca="1" si="11"/>
        <v>#NAME?</v>
      </c>
      <c r="AF63" s="159">
        <f ca="1">IFERROR(__xludf.DUMMYFUNCTION("AE63*(V63 / QUERY(NPCVar!$K$2:$N$12, ""Select N WHERE K='""&amp;AB63&amp;""'""))*TRUNC(1+10)*(TRUNC(MOD(($B63*1103515245 +12345)/ 65536, 32768),0)/32768)"),4.35398483276367)</f>
        <v>4.3539848327636701</v>
      </c>
      <c r="AG63" s="16"/>
      <c r="AH63" s="77"/>
      <c r="AI63" s="114"/>
    </row>
    <row r="64" spans="1:35" ht="16.2">
      <c r="A64" s="53">
        <v>63</v>
      </c>
      <c r="B64" s="118">
        <f t="shared" si="0"/>
        <v>0.62439</v>
      </c>
      <c r="C64" s="72" t="str">
        <f t="array" ref="C64">INDEX(NPCFName,TRUNC(1+(COUNTA(NPCFName))*(TRUNC(MOD(($B64*1103515245 +12345)/ 65536, 32768),0)/32768),0))</f>
        <v>Xex</v>
      </c>
      <c r="D64" s="16" t="str">
        <f t="array" ref="D64">INDEX(NPCLName,TRUNC(1+(COUNTA(NPCLName))*(TRUNC(MOD(($B64*1103515245 +12345)/ 65536, 32768),0)/32768),0))</f>
        <v>Stormdew</v>
      </c>
      <c r="E64" s="16" t="str">
        <f t="array" ref="E64">INDEX(NPCClass,TRUNC(1+(COUNTA(NPCClass))*(TRUNC(MOD(($B64*1103515245 +12345)/ 65536, 32768),0)/32768),0))</f>
        <v>Monk</v>
      </c>
      <c r="F64" s="76">
        <v>1</v>
      </c>
      <c r="G64" s="153">
        <f ca="1">VLOOKUP($AB$2,'RF Mod'!$A$2:$G$12,2,FALSE)+VLOOKUP($AD$2,'RF Mod'!$I$2:$O$11,2,FALSE)+(TRUNC(6+(24-6)*(TRUNC(MOD(($Z64*1103515245 +12345)/ 65536, 32768),0)/32768),0))</f>
        <v>6</v>
      </c>
      <c r="H64" s="16">
        <f t="shared" ca="1" si="1"/>
        <v>-2</v>
      </c>
      <c r="I64" s="153">
        <f ca="1">VLOOKUP($AB$2,'RF Mod'!$A$2:$G$12,3,FALSE)+VLOOKUP($AD$2,'RF Mod'!$I$2:$O$11,3,FALSE)+(TRUNC(6+(24-6)*(TRUNC(MOD(($Z64*1103515245 +12345)/ 65536, 32768),0)/32768),0))</f>
        <v>10</v>
      </c>
      <c r="J64" s="16" t="e">
        <f t="shared" ca="1" si="2"/>
        <v>#NAME?</v>
      </c>
      <c r="K64" s="153">
        <f ca="1">VLOOKUP($AB$2,'RF Mod'!$A$2:$G$12,3,FALSE)+VLOOKUP($AD$2,'RF Mod'!$I$2:$O$11,3,FALSE)+(TRUNC(6+(24-6)*(TRUNC(MOD(($Z64*1103515245 +12345)/ 65536, 32768),0)/32768),0))</f>
        <v>10</v>
      </c>
      <c r="L64" s="16" t="e">
        <f t="shared" ca="1" si="3"/>
        <v>#NAME?</v>
      </c>
      <c r="M64" s="153">
        <f ca="1">VLOOKUP($AB$2,'RF Mod'!$A$2:$G$12,4,FALSE)+VLOOKUP($AD$2,'RF Mod'!$I$2:$O$11,4,FALSE)+(TRUNC(6+(24-6)*(TRUNC(MOD(($Z64*1103515245 +12345)/ 65536, 32768),0)/32768),0))</f>
        <v>9</v>
      </c>
      <c r="N64" s="16">
        <f t="shared" ca="1" si="4"/>
        <v>-1</v>
      </c>
      <c r="O64" s="153">
        <f ca="1">VLOOKUP($AB$2,'RF Mod'!$A$2:$G$12,5,FALSE)+VLOOKUP($AD$2,'RF Mod'!$I$2:$O$11,5,FALSE)+(TRUNC(6+(24-6)*(TRUNC(MOD(($Z64*1103515245 +12345)/ 65536, 32768),0)/32768),0))</f>
        <v>12</v>
      </c>
      <c r="P64" s="16" t="e">
        <f t="shared" ca="1" si="5"/>
        <v>#NAME?</v>
      </c>
      <c r="Q64" s="153">
        <f ca="1">VLOOKUP($AB$2,'RF Mod'!$A$2:$G$12,6,FALSE)+VLOOKUP($AD$2,'RF Mod'!$I$2:$O$11,6,FALSE)+(TRUNC(6+(24-6)*(TRUNC(MOD(($Z64*1103515245 +12345)/ 65536, 32768),0)/32768),0))</f>
        <v>10</v>
      </c>
      <c r="R64" s="16" t="e">
        <f t="shared" ca="1" si="6"/>
        <v>#NAME?</v>
      </c>
      <c r="S64" s="154">
        <f t="shared" ca="1" si="12"/>
        <v>12</v>
      </c>
      <c r="T64" s="154">
        <f t="shared" ca="1" si="7"/>
        <v>2</v>
      </c>
      <c r="U64" s="16" t="str">
        <f t="shared" ca="1" si="8"/>
        <v>Fine</v>
      </c>
      <c r="V64" s="155">
        <f ca="1">IFERROR(__xludf.DUMMYFUNCTION("if(W64=""Middle Age"",QUERY(NPCVar!$K$2:$N1000, ""Select L where K = '""&amp;AB64&amp;""'""),if(W64=""Old"",QUERY(NPCVar!$K$2:$N1000, ""Select M where K = '""&amp;AB64&amp;""'""),if(W64=""Venerable"",QUERY(NPCVar!$K$2:$N1000, ""Select N where K = '""&amp;AB64&amp;""'""),false)))"&amp;"*X64"),135)</f>
        <v>135</v>
      </c>
      <c r="W64" s="156" t="str">
        <f t="array" ref="W64">INDEX(NPCAgeType,TRUNC(1+(4-1)*(TRUNC(MOD((X64*1103515245 +12345)/ 65536, 32768),0)/32768),0))</f>
        <v>Old</v>
      </c>
      <c r="X64" s="117">
        <f t="shared" si="13"/>
        <v>0.8</v>
      </c>
      <c r="Y64" s="157" t="e">
        <f t="array" aca="1" ref="Y64" ca="1">LOOKUP(ABS(MAX(Z64 + MIN(ABS(INDIRECT("Class Jobs!B"&amp;MATCH(E64,'Class Jobs'!$A$1:$A1000,0)&amp;":"&amp;"AF"&amp;MATCH(E64,'Class Jobs'!$A$1:$A1000,0)&amp;"")-$Z64)) * SUM(IF(MIN(ABS(INDIRECT("Class Jobs!B"&amp;MATCH(E64,'Class Jobs'!$A$1:$A1000,0)&amp;":"&amp;"AF"&amp;MATCH(E64,'Class Jobs'!$A$1:$A1000,0)&amp;"")-$Z64))=ABS(INDIRECT("Class Jobs!B"&amp;MATCH(E64,'Class Jobs'!$A$1:$A1000,0)&amp;":"&amp;"AF"&amp;MATCH(E64,'Class Jobs'!$A$1:$A1000,0)&amp;"")-$Z64),SIGN(INDIRECT("Class Jobs!B"&amp;MATCH(E64,'Class Jobs'!$A$1:A1000,0)&amp;":"&amp;"AF"&amp;MATCH(E64,'Class Jobs'!$A$1:$A1000,0)&amp;"")-$Z64),0)),0)),INDIRECT("Class Jobs!B"&amp;MATCH(E64,'Class Jobs'!$A$1:$A1000,0)&amp;":"&amp;"AF"&amp;MATCH(E64,'Class Jobs'!$A$1:$A1000,1)&amp;""),'Class Jobs'!$B$1:$AF$1)</f>
        <v>#REF!</v>
      </c>
      <c r="Z64" s="158">
        <f t="shared" si="10"/>
        <v>0.32</v>
      </c>
      <c r="AA64" s="16" t="str">
        <f t="array" ref="AA64">INDEX(NPCGender,TRUNC(1+(COUNTA(NPCGender))*(TRUNC(MOD(($B64*1103515245 +12345)/ 65536, 32768),0)/32768),0))</f>
        <v>Male</v>
      </c>
      <c r="AB64" s="16" t="str">
        <f t="array" ref="AB64">INDEX(NPCRace,TRUNC(1+(COUNTA(NPCRace))*(TRUNC(MOD(($B64*1103515245 +12345)/ 65536, 32768),0)/32768),0))</f>
        <v>Gnome</v>
      </c>
      <c r="AC64" s="16" t="str">
        <f t="array" ref="AC64">INDEX(NPCAL,TRUNC(1+(COUNTA(NPCAL))*(TRUNC(MOD(($B64*1103515245 +12345)/ 65536, 32768),0)/32768),0))</f>
        <v>CG</v>
      </c>
      <c r="AD64" s="72" t="str">
        <f ca="1">IFERROR(__xludf.DUMMYFUNCTION("if(V64&lt;15,QUERY(NPCVar!C:D,""Select D WHERE C = '""&amp;D64&amp;""'""),if((TRUNC(1+10)*(TRUNC(MOD((ROW(H64)*1103515245 +12345)/ 65536, 32768),0)/32768)/10) &gt; 0.85,INDEX(NPCFaction,TRUNC(1+(counta(NPCFaction)-1)*(TRUNC(MOD(($B64*1103515245 +12345)/ 65536, 32768),0"&amp;")/32768),0)),QUERY(NPCVar!C:D,""Select D WHERE C = '""&amp;D64&amp;""'"")))"),"Traders Guild")</f>
        <v>Traders Guild</v>
      </c>
      <c r="AE64" s="108" t="e">
        <f t="shared" ca="1" si="11"/>
        <v>#NAME?</v>
      </c>
      <c r="AF64" s="159">
        <f ca="1">IFERROR(__xludf.DUMMYFUNCTION("AE64*(V64 / QUERY(NPCVar!$K$2:$N$12, ""Select N WHERE K='""&amp;AB64&amp;""'""))*TRUNC(1+10)*(TRUNC(MOD(($B64*1103515245 +12345)/ 65536, 32768),0)/32768)"),0.211748657226562)</f>
        <v>0.211748657226562</v>
      </c>
      <c r="AG64" s="16"/>
      <c r="AH64" s="77"/>
      <c r="AI64" s="114"/>
    </row>
    <row r="65" spans="1:35" ht="16.2">
      <c r="A65" s="53">
        <v>64</v>
      </c>
      <c r="B65" s="118">
        <f t="shared" si="0"/>
        <v>2.1185299999999998</v>
      </c>
      <c r="C65" s="72" t="str">
        <f t="array" ref="C65">INDEX(NPCFName,TRUNC(1+(COUNTA(NPCFName))*(TRUNC(MOD(($B65*1103515245 +12345)/ 65536, 32768),0)/32768),0))</f>
        <v>Eard</v>
      </c>
      <c r="D65" s="16" t="str">
        <f t="array" ref="D65">INDEX(NPCLName,TRUNC(1+(COUNTA(NPCLName))*(TRUNC(MOD(($B65*1103515245 +12345)/ 65536, 32768),0)/32768),0))</f>
        <v>Autumnorb</v>
      </c>
      <c r="E65" s="16" t="str">
        <f t="array" ref="E65">INDEX(NPCClass,TRUNC(1+(COUNTA(NPCClass))*(TRUNC(MOD(($B65*1103515245 +12345)/ 65536, 32768),0)/32768),0))</f>
        <v>Bard</v>
      </c>
      <c r="F65" s="76">
        <v>1</v>
      </c>
      <c r="G65" s="153">
        <f ca="1">VLOOKUP($AB$2,'RF Mod'!$A$2:$G$12,2,FALSE)+VLOOKUP($AD$2,'RF Mod'!$I$2:$O$11,2,FALSE)+(TRUNC(6+(24-6)*(TRUNC(MOD(($Z65*1103515245 +12345)/ 65536, 32768),0)/32768),0))</f>
        <v>4</v>
      </c>
      <c r="H65" s="16">
        <f t="shared" ca="1" si="1"/>
        <v>-3</v>
      </c>
      <c r="I65" s="153">
        <f ca="1">VLOOKUP($AB$2,'RF Mod'!$A$2:$G$12,3,FALSE)+VLOOKUP($AD$2,'RF Mod'!$I$2:$O$11,3,FALSE)+(TRUNC(6+(24-6)*(TRUNC(MOD(($Z65*1103515245 +12345)/ 65536, 32768),0)/32768),0))</f>
        <v>8</v>
      </c>
      <c r="J65" s="16">
        <f t="shared" ca="1" si="2"/>
        <v>-1</v>
      </c>
      <c r="K65" s="153">
        <f ca="1">VLOOKUP($AB$2,'RF Mod'!$A$2:$G$12,3,FALSE)+VLOOKUP($AD$2,'RF Mod'!$I$2:$O$11,3,FALSE)+(TRUNC(6+(24-6)*(TRUNC(MOD(($Z65*1103515245 +12345)/ 65536, 32768),0)/32768),0))</f>
        <v>8</v>
      </c>
      <c r="L65" s="16">
        <f t="shared" ca="1" si="3"/>
        <v>-1</v>
      </c>
      <c r="M65" s="153">
        <f ca="1">VLOOKUP($AB$2,'RF Mod'!$A$2:$G$12,4,FALSE)+VLOOKUP($AD$2,'RF Mod'!$I$2:$O$11,4,FALSE)+(TRUNC(6+(24-6)*(TRUNC(MOD(($Z65*1103515245 +12345)/ 65536, 32768),0)/32768),0))</f>
        <v>7</v>
      </c>
      <c r="N65" s="16">
        <f t="shared" ca="1" si="4"/>
        <v>-2</v>
      </c>
      <c r="O65" s="153">
        <f ca="1">VLOOKUP($AB$2,'RF Mod'!$A$2:$G$12,5,FALSE)+VLOOKUP($AD$2,'RF Mod'!$I$2:$O$11,5,FALSE)+(TRUNC(6+(24-6)*(TRUNC(MOD(($Z65*1103515245 +12345)/ 65536, 32768),0)/32768),0))</f>
        <v>10</v>
      </c>
      <c r="P65" s="16" t="e">
        <f t="shared" ca="1" si="5"/>
        <v>#NAME?</v>
      </c>
      <c r="Q65" s="153">
        <f ca="1">VLOOKUP($AB$2,'RF Mod'!$A$2:$G$12,6,FALSE)+VLOOKUP($AD$2,'RF Mod'!$I$2:$O$11,6,FALSE)+(TRUNC(6+(24-6)*(TRUNC(MOD(($Z65*1103515245 +12345)/ 65536, 32768),0)/32768),0))</f>
        <v>8</v>
      </c>
      <c r="R65" s="16">
        <f t="shared" ca="1" si="6"/>
        <v>-1</v>
      </c>
      <c r="S65" s="154">
        <f t="shared" ca="1" si="12"/>
        <v>10</v>
      </c>
      <c r="T65" s="154">
        <f t="shared" ca="1" si="7"/>
        <v>11</v>
      </c>
      <c r="U65" s="16" t="str">
        <f t="shared" ca="1" si="8"/>
        <v>Dead</v>
      </c>
      <c r="V65" s="155">
        <f ca="1">IFERROR(__xludf.DUMMYFUNCTION("if(W65=""Middle Age"",QUERY(NPCVar!$K$2:$N1000, ""Select L where K = '""&amp;AB65&amp;""'""),if(W65=""Old"",QUERY(NPCVar!$K$2:$N1000, ""Select M where K = '""&amp;AB65&amp;""'""),if(W65=""Venerable"",QUERY(NPCVar!$K$2:$N1000, ""Select N where K = '""&amp;AB65&amp;""'""),false)))"&amp;"*X65"),6)</f>
        <v>6</v>
      </c>
      <c r="W65" s="156" t="str">
        <f t="array" ref="W65">INDEX(NPCAgeType,TRUNC(1+(4-1)*(TRUNC(MOD((X65*1103515245 +12345)/ 65536, 32768),0)/32768),0))</f>
        <v>Middle Age</v>
      </c>
      <c r="X65" s="117">
        <f t="shared" si="13"/>
        <v>0.3</v>
      </c>
      <c r="Y65" s="157" t="e">
        <f t="array" aca="1" ref="Y65" ca="1">LOOKUP(ABS(MAX(Z65 + MIN(ABS(INDIRECT("Class Jobs!B"&amp;MATCH(E65,'Class Jobs'!$A$1:$A1000,0)&amp;":"&amp;"AF"&amp;MATCH(E65,'Class Jobs'!$A$1:$A1000,0)&amp;"")-$Z65)) * SUM(IF(MIN(ABS(INDIRECT("Class Jobs!B"&amp;MATCH(E65,'Class Jobs'!$A$1:$A1000,0)&amp;":"&amp;"AF"&amp;MATCH(E65,'Class Jobs'!$A$1:$A1000,0)&amp;"")-$Z65))=ABS(INDIRECT("Class Jobs!B"&amp;MATCH(E65,'Class Jobs'!$A$1:$A1000,0)&amp;":"&amp;"AF"&amp;MATCH(E65,'Class Jobs'!$A$1:$A1000,0)&amp;"")-$Z65),SIGN(INDIRECT("Class Jobs!B"&amp;MATCH(E65,'Class Jobs'!$A$1:A1000,0)&amp;":"&amp;"AF"&amp;MATCH(E65,'Class Jobs'!$A$1:$A1000,0)&amp;"")-$Z65),0)),0)),INDIRECT("Class Jobs!B"&amp;MATCH(E65,'Class Jobs'!$A$1:$A1000,0)&amp;":"&amp;"AF"&amp;MATCH(E65,'Class Jobs'!$A$1:$A1000,1)&amp;""),'Class Jobs'!$B$1:$AF$1)</f>
        <v>#REF!</v>
      </c>
      <c r="Z65" s="158">
        <f t="shared" si="10"/>
        <v>0.09</v>
      </c>
      <c r="AA65" s="16" t="str">
        <f t="array" ref="AA65">INDEX(NPCGender,TRUNC(1+(COUNTA(NPCGender))*(TRUNC(MOD(($B65*1103515245 +12345)/ 65536, 32768),0)/32768),0))</f>
        <v>Male</v>
      </c>
      <c r="AB65" s="16" t="str">
        <f t="array" ref="AB65">INDEX(NPCRace,TRUNC(1+(COUNTA(NPCRace))*(TRUNC(MOD(($B65*1103515245 +12345)/ 65536, 32768),0)/32768),0))</f>
        <v>Dragonborn</v>
      </c>
      <c r="AC65" s="16" t="str">
        <f t="array" ref="AC65">INDEX(NPCAL,TRUNC(1+(COUNTA(NPCAL))*(TRUNC(MOD(($B65*1103515245 +12345)/ 65536, 32768),0)/32768),0))</f>
        <v>CN</v>
      </c>
      <c r="AD65" s="72" t="str">
        <f ca="1">IFERROR(__xludf.DUMMYFUNCTION("if(V65&lt;15,QUERY(NPCVar!C:D,""Select D WHERE C = '""&amp;D65&amp;""'""),if((TRUNC(1+10)*(TRUNC(MOD((ROW(H65)*1103515245 +12345)/ 65536, 32768),0)/32768)/10) &gt; 0.85,INDEX(NPCFaction,TRUNC(1+(counta(NPCFaction)-1)*(TRUNC(MOD(($B65*1103515245 +12345)/ 65536, 32768),0"&amp;")/32768),0)),QUERY(NPCVar!C:D,""Select D WHERE C = '""&amp;D65&amp;""'"")))"),"Royalty")</f>
        <v>Royalty</v>
      </c>
      <c r="AE65" s="108" t="e">
        <f t="shared" ca="1" si="11"/>
        <v>#NAME?</v>
      </c>
      <c r="AF65" s="159">
        <f ca="1">IFERROR(__xludf.DUMMYFUNCTION("AE65*(V65 / QUERY(NPCVar!$K$2:$N$12, ""Select N WHERE K='""&amp;AB65&amp;""'""))*TRUNC(1+10)*(TRUNC(MOD(($B65*1103515245 +12345)/ 65536, 32768),0)/32768)"),0.0365570068359374)</f>
        <v>3.6557006835937399E-2</v>
      </c>
      <c r="AG65" s="16"/>
      <c r="AH65" s="77"/>
      <c r="AI65" s="114"/>
    </row>
    <row r="66" spans="1:35" ht="16.2">
      <c r="A66" s="53">
        <v>65</v>
      </c>
      <c r="B66" s="118">
        <f t="shared" ref="B66:B129" si="14">(TRUNC(1+(250000-1)*(TRUNC(MOD(((Seed*ROW())*1103515245 +12345)/ 65536, 32768),0)/32768),0))/100000</f>
        <v>1.11267</v>
      </c>
      <c r="C66" s="72" t="str">
        <f t="array" ref="C66">INDEX(NPCFName,TRUNC(1+(COUNTA(NPCFName))*(TRUNC(MOD(($B66*1103515245 +12345)/ 65536, 32768),0)/32768),0))</f>
        <v>Randar</v>
      </c>
      <c r="D66" s="16" t="str">
        <f t="array" ref="D66">INDEX(NPCLName,TRUNC(1+(COUNTA(NPCLName))*(TRUNC(MOD(($B66*1103515245 +12345)/ 65536, 32768),0)/32768),0))</f>
        <v>Chestaxe</v>
      </c>
      <c r="E66" s="16" t="str">
        <f t="array" ref="E66">INDEX(NPCClass,TRUNC(1+(COUNTA(NPCClass))*(TRUNC(MOD(($B66*1103515245 +12345)/ 65536, 32768),0)/32768),0))</f>
        <v>Sorcerer</v>
      </c>
      <c r="F66" s="76">
        <v>8</v>
      </c>
      <c r="G66" s="153">
        <f ca="1">VLOOKUP($AB$2,'RF Mod'!$A$2:$G$12,2,FALSE)+VLOOKUP($AD$2,'RF Mod'!$I$2:$O$11,2,FALSE)+(TRUNC(6+(24-6)*(TRUNC(MOD(($Z66*1103515245 +12345)/ 65536, 32768),0)/32768),0))</f>
        <v>9</v>
      </c>
      <c r="H66" s="16">
        <f t="shared" ca="1" si="1"/>
        <v>-1</v>
      </c>
      <c r="I66" s="153">
        <f ca="1">VLOOKUP($AB$2,'RF Mod'!$A$2:$G$12,3,FALSE)+VLOOKUP($AD$2,'RF Mod'!$I$2:$O$11,3,FALSE)+(TRUNC(6+(24-6)*(TRUNC(MOD(($Z66*1103515245 +12345)/ 65536, 32768),0)/32768),0))</f>
        <v>13</v>
      </c>
      <c r="J66" s="16" t="e">
        <f t="shared" ca="1" si="2"/>
        <v>#NAME?</v>
      </c>
      <c r="K66" s="153">
        <f ca="1">VLOOKUP($AB$2,'RF Mod'!$A$2:$G$12,3,FALSE)+VLOOKUP($AD$2,'RF Mod'!$I$2:$O$11,3,FALSE)+(TRUNC(6+(24-6)*(TRUNC(MOD(($Z66*1103515245 +12345)/ 65536, 32768),0)/32768),0))</f>
        <v>13</v>
      </c>
      <c r="L66" s="16" t="e">
        <f t="shared" ca="1" si="3"/>
        <v>#NAME?</v>
      </c>
      <c r="M66" s="153">
        <f ca="1">VLOOKUP($AB$2,'RF Mod'!$A$2:$G$12,4,FALSE)+VLOOKUP($AD$2,'RF Mod'!$I$2:$O$11,4,FALSE)+(TRUNC(6+(24-6)*(TRUNC(MOD(($Z66*1103515245 +12345)/ 65536, 32768),0)/32768),0))</f>
        <v>12</v>
      </c>
      <c r="N66" s="16" t="e">
        <f t="shared" ca="1" si="4"/>
        <v>#NAME?</v>
      </c>
      <c r="O66" s="153">
        <f ca="1">VLOOKUP($AB$2,'RF Mod'!$A$2:$G$12,5,FALSE)+VLOOKUP($AD$2,'RF Mod'!$I$2:$O$11,5,FALSE)+(TRUNC(6+(24-6)*(TRUNC(MOD(($Z66*1103515245 +12345)/ 65536, 32768),0)/32768),0))</f>
        <v>15</v>
      </c>
      <c r="P66" s="16" t="e">
        <f t="shared" ca="1" si="5"/>
        <v>#NAME?</v>
      </c>
      <c r="Q66" s="153">
        <f ca="1">VLOOKUP($AB$2,'RF Mod'!$A$2:$G$12,6,FALSE)+VLOOKUP($AD$2,'RF Mod'!$I$2:$O$11,6,FALSE)+(TRUNC(6+(24-6)*(TRUNC(MOD(($Z66*1103515245 +12345)/ 65536, 32768),0)/32768),0))</f>
        <v>13</v>
      </c>
      <c r="R66" s="16" t="e">
        <f t="shared" ca="1" si="6"/>
        <v>#NAME?</v>
      </c>
      <c r="S66" s="154">
        <f t="shared" ca="1" si="12"/>
        <v>152</v>
      </c>
      <c r="T66" s="154">
        <f t="shared" ca="1" si="7"/>
        <v>14</v>
      </c>
      <c r="U66" s="16" t="str">
        <f t="shared" ca="1" si="8"/>
        <v>Fine</v>
      </c>
      <c r="V66" s="155">
        <f ca="1">IFERROR(__xludf.DUMMYFUNCTION("if(W66=""Middle Age"",QUERY(NPCVar!$K$2:$N1000, ""Select L where K = '""&amp;AB66&amp;""'""),if(W66=""Old"",QUERY(NPCVar!$K$2:$N1000, ""Select M where K = '""&amp;AB66&amp;""'""),if(W66=""Venerable"",QUERY(NPCVar!$K$2:$N1000, ""Select N where K = '""&amp;AB66&amp;""'""),false)))"&amp;"*X66"),280)</f>
        <v>280</v>
      </c>
      <c r="W66" s="156" t="str">
        <f t="array" ref="W66">INDEX(NPCAgeType,TRUNC(1+(4-1)*(TRUNC(MOD((X66*1103515245 +12345)/ 65536, 32768),0)/32768),0))</f>
        <v>Venerable</v>
      </c>
      <c r="X66" s="117">
        <f t="shared" si="13"/>
        <v>1.4</v>
      </c>
      <c r="Y66" s="157" t="e">
        <f t="array" aca="1" ref="Y66" ca="1">LOOKUP(ABS(MAX(Z66 + MIN(ABS(INDIRECT("Class Jobs!B"&amp;MATCH(E66,'Class Jobs'!$A$1:$A1000,0)&amp;":"&amp;"AF"&amp;MATCH(E66,'Class Jobs'!$A$1:$A1000,0)&amp;"")-$Z66)) * SUM(IF(MIN(ABS(INDIRECT("Class Jobs!B"&amp;MATCH(E66,'Class Jobs'!$A$1:$A1000,0)&amp;":"&amp;"AF"&amp;MATCH(E66,'Class Jobs'!$A$1:$A1000,0)&amp;"")-$Z66))=ABS(INDIRECT("Class Jobs!B"&amp;MATCH(E66,'Class Jobs'!$A$1:$A1000,0)&amp;":"&amp;"AF"&amp;MATCH(E66,'Class Jobs'!$A$1:$A1000,0)&amp;"")-$Z66),SIGN(INDIRECT("Class Jobs!B"&amp;MATCH(E66,'Class Jobs'!$A$1:A1000,0)&amp;":"&amp;"AF"&amp;MATCH(E66,'Class Jobs'!$A$1:$A1000,0)&amp;"")-$Z66),0)),0)),INDIRECT("Class Jobs!B"&amp;MATCH(E66,'Class Jobs'!$A$1:$A1000,0)&amp;":"&amp;"AF"&amp;MATCH(E66,'Class Jobs'!$A$1:$A1000,1)&amp;""),'Class Jobs'!$B$1:$AF$1)</f>
        <v>#REF!</v>
      </c>
      <c r="Z66" s="158">
        <f t="shared" si="10"/>
        <v>0.56999999999999995</v>
      </c>
      <c r="AA66" s="16" t="str">
        <f t="array" ref="AA66">INDEX(NPCGender,TRUNC(1+(COUNTA(NPCGender))*(TRUNC(MOD(($B66*1103515245 +12345)/ 65536, 32768),0)/32768),0))</f>
        <v>Female</v>
      </c>
      <c r="AB66" s="16" t="str">
        <f t="array" ref="AB66">INDEX(NPCRace,TRUNC(1+(COUNTA(NPCRace))*(TRUNC(MOD(($B66*1103515245 +12345)/ 65536, 32768),0)/32768),0))</f>
        <v>Halfling</v>
      </c>
      <c r="AC66" s="16" t="str">
        <f t="array" ref="AC66">INDEX(NPCAL,TRUNC(1+(COUNTA(NPCAL))*(TRUNC(MOD(($B66*1103515245 +12345)/ 65536, 32768),0)/32768),0))</f>
        <v>NE</v>
      </c>
      <c r="AD66" s="72" t="str">
        <f ca="1">IFERROR(__xludf.DUMMYFUNCTION("if(V66&lt;15,QUERY(NPCVar!C:D,""Select D WHERE C = '""&amp;D66&amp;""'""),if((TRUNC(1+10)*(TRUNC(MOD((ROW(H66)*1103515245 +12345)/ 65536, 32768),0)/32768)/10) &gt; 0.85,INDEX(NPCFaction,TRUNC(1+(counta(NPCFaction)-1)*(TRUNC(MOD(($B66*1103515245 +12345)/ 65536, 32768),0"&amp;")/32768),0)),QUERY(NPCVar!C:D,""Select D WHERE C = '""&amp;D66&amp;""'"")))"),"Death Guild")</f>
        <v>Death Guild</v>
      </c>
      <c r="AE66" s="108" t="e">
        <f t="shared" ca="1" si="11"/>
        <v>#NAME?</v>
      </c>
      <c r="AF66" s="159">
        <f ca="1">IFERROR(__xludf.DUMMYFUNCTION("AE66*(V66 / QUERY(NPCVar!$K$2:$N$12, ""Select N WHERE K='""&amp;AB66&amp;""'""))*TRUNC(1+10)*(TRUNC(MOD(($B66*1103515245 +12345)/ 65536, 32768),0)/32768)"),4.40245056152343)</f>
        <v>4.4024505615234304</v>
      </c>
      <c r="AG66" s="16"/>
      <c r="AH66" s="77"/>
      <c r="AI66" s="114"/>
    </row>
    <row r="67" spans="1:35" ht="16.2">
      <c r="A67" s="53">
        <v>66</v>
      </c>
      <c r="B67" s="118">
        <f t="shared" si="14"/>
        <v>0.10682</v>
      </c>
      <c r="C67" s="72" t="str">
        <f t="array" ref="C67">INDEX(NPCFName,TRUNC(1+(COUNTA(NPCFName))*(TRUNC(MOD(($B67*1103515245 +12345)/ 65536, 32768),0)/32768),0))</f>
        <v>Ciroc</v>
      </c>
      <c r="D67" s="16" t="str">
        <f t="array" ref="D67">INDEX(NPCLName,TRUNC(1+(COUNTA(NPCLName))*(TRUNC(MOD(($B67*1103515245 +12345)/ 65536, 32768),0)/32768),0))</f>
        <v>Crystalgazer</v>
      </c>
      <c r="E67" s="16" t="str">
        <f t="array" ref="E67">INDEX(NPCClass,TRUNC(1+(COUNTA(NPCClass))*(TRUNC(MOD(($B67*1103515245 +12345)/ 65536, 32768),0)/32768),0))</f>
        <v>Barbarian</v>
      </c>
      <c r="F67" s="76">
        <v>1</v>
      </c>
      <c r="G67" s="153">
        <f ca="1">VLOOKUP($AB$2,'RF Mod'!$A$2:$G$12,2,FALSE)+VLOOKUP($AD$2,'RF Mod'!$I$2:$O$11,2,FALSE)+(TRUNC(6+(24-6)*(TRUNC(MOD(($Z67*1103515245 +12345)/ 65536, 32768),0)/32768),0))</f>
        <v>4</v>
      </c>
      <c r="H67" s="16">
        <f t="shared" ca="1" si="1"/>
        <v>-3</v>
      </c>
      <c r="I67" s="153">
        <f ca="1">VLOOKUP($AB$2,'RF Mod'!$A$2:$G$12,3,FALSE)+VLOOKUP($AD$2,'RF Mod'!$I$2:$O$11,3,FALSE)+(TRUNC(6+(24-6)*(TRUNC(MOD(($Z67*1103515245 +12345)/ 65536, 32768),0)/32768),0))</f>
        <v>8</v>
      </c>
      <c r="J67" s="16">
        <f t="shared" ca="1" si="2"/>
        <v>-1</v>
      </c>
      <c r="K67" s="153">
        <f ca="1">VLOOKUP($AB$2,'RF Mod'!$A$2:$G$12,3,FALSE)+VLOOKUP($AD$2,'RF Mod'!$I$2:$O$11,3,FALSE)+(TRUNC(6+(24-6)*(TRUNC(MOD(($Z67*1103515245 +12345)/ 65536, 32768),0)/32768),0))</f>
        <v>8</v>
      </c>
      <c r="L67" s="16">
        <f t="shared" ca="1" si="3"/>
        <v>-1</v>
      </c>
      <c r="M67" s="153">
        <f ca="1">VLOOKUP($AB$2,'RF Mod'!$A$2:$G$12,4,FALSE)+VLOOKUP($AD$2,'RF Mod'!$I$2:$O$11,4,FALSE)+(TRUNC(6+(24-6)*(TRUNC(MOD(($Z67*1103515245 +12345)/ 65536, 32768),0)/32768),0))</f>
        <v>7</v>
      </c>
      <c r="N67" s="16">
        <f t="shared" ca="1" si="4"/>
        <v>-2</v>
      </c>
      <c r="O67" s="153">
        <f ca="1">VLOOKUP($AB$2,'RF Mod'!$A$2:$G$12,5,FALSE)+VLOOKUP($AD$2,'RF Mod'!$I$2:$O$11,5,FALSE)+(TRUNC(6+(24-6)*(TRUNC(MOD(($Z67*1103515245 +12345)/ 65536, 32768),0)/32768),0))</f>
        <v>10</v>
      </c>
      <c r="P67" s="16" t="e">
        <f t="shared" ca="1" si="5"/>
        <v>#NAME?</v>
      </c>
      <c r="Q67" s="153">
        <f ca="1">VLOOKUP($AB$2,'RF Mod'!$A$2:$G$12,6,FALSE)+VLOOKUP($AD$2,'RF Mod'!$I$2:$O$11,6,FALSE)+(TRUNC(6+(24-6)*(TRUNC(MOD(($Z67*1103515245 +12345)/ 65536, 32768),0)/32768),0))</f>
        <v>8</v>
      </c>
      <c r="R67" s="16">
        <f t="shared" ca="1" si="6"/>
        <v>-1</v>
      </c>
      <c r="S67" s="154">
        <f t="shared" ca="1" si="12"/>
        <v>10</v>
      </c>
      <c r="T67" s="154">
        <f t="shared" ca="1" si="7"/>
        <v>3</v>
      </c>
      <c r="U67" s="16" t="str">
        <f t="shared" ca="1" si="8"/>
        <v>Fine</v>
      </c>
      <c r="V67" s="155">
        <f ca="1">IFERROR(__xludf.DUMMYFUNCTION("if(W67=""Middle Age"",QUERY(NPCVar!$K$2:$N1000, ""Select L where K = '""&amp;AB67&amp;""'""),if(W67=""Old"",QUERY(NPCVar!$K$2:$N1000, ""Select M where K = '""&amp;AB67&amp;""'""),if(W67=""Venerable"",QUERY(NPCVar!$K$2:$N1000, ""Select N where K = '""&amp;AB67&amp;""'""),false)))"&amp;"*X67"),4)</f>
        <v>4</v>
      </c>
      <c r="W67" s="156" t="str">
        <f t="array" ref="W67">INDEX(NPCAgeType,TRUNC(1+(4-1)*(TRUNC(MOD((X67*1103515245 +12345)/ 65536, 32768),0)/32768),0))</f>
        <v>Middle Age</v>
      </c>
      <c r="X67" s="117">
        <f t="shared" si="13"/>
        <v>0.2</v>
      </c>
      <c r="Y67" s="157" t="e">
        <f t="array" aca="1" ref="Y67" ca="1">LOOKUP(ABS(MAX(Z67 + MIN(ABS(INDIRECT("Class Jobs!B"&amp;MATCH(E67,'Class Jobs'!$A$1:$A1000,0)&amp;":"&amp;"AF"&amp;MATCH(E67,'Class Jobs'!$A$1:$A1000,0)&amp;"")-$Z67)) * SUM(IF(MIN(ABS(INDIRECT("Class Jobs!B"&amp;MATCH(E67,'Class Jobs'!$A$1:$A1000,0)&amp;":"&amp;"AF"&amp;MATCH(E67,'Class Jobs'!$A$1:$A1000,0)&amp;"")-$Z67))=ABS(INDIRECT("Class Jobs!B"&amp;MATCH(E67,'Class Jobs'!$A$1:$A1000,0)&amp;":"&amp;"AF"&amp;MATCH(E67,'Class Jobs'!$A$1:$A1000,0)&amp;"")-$Z67),SIGN(INDIRECT("Class Jobs!B"&amp;MATCH(E67,'Class Jobs'!$A$1:A1000,0)&amp;":"&amp;"AF"&amp;MATCH(E67,'Class Jobs'!$A$1:$A1000,0)&amp;"")-$Z67),0)),0)),INDIRECT("Class Jobs!B"&amp;MATCH(E67,'Class Jobs'!$A$1:$A1000,0)&amp;":"&amp;"AF"&amp;MATCH(E67,'Class Jobs'!$A$1:$A1000,1)&amp;""),'Class Jobs'!$B$1:$AF$1)</f>
        <v>#REF!</v>
      </c>
      <c r="Z67" s="158">
        <f t="shared" si="10"/>
        <v>0.06</v>
      </c>
      <c r="AA67" s="16" t="str">
        <f t="array" ref="AA67">INDEX(NPCGender,TRUNC(1+(COUNTA(NPCGender))*(TRUNC(MOD(($B67*1103515245 +12345)/ 65536, 32768),0)/32768),0))</f>
        <v>Male</v>
      </c>
      <c r="AB67" s="16" t="str">
        <f t="array" ref="AB67">INDEX(NPCRace,TRUNC(1+(COUNTA(NPCRace))*(TRUNC(MOD(($B67*1103515245 +12345)/ 65536, 32768),0)/32768),0))</f>
        <v>Dragonborn</v>
      </c>
      <c r="AC67" s="16" t="str">
        <f t="array" ref="AC67">INDEX(NPCAL,TRUNC(1+(COUNTA(NPCAL))*(TRUNC(MOD(($B67*1103515245 +12345)/ 65536, 32768),0)/32768),0))</f>
        <v>CN</v>
      </c>
      <c r="AD67" s="72" t="str">
        <f ca="1">IFERROR(__xludf.DUMMYFUNCTION("if(V67&lt;15,QUERY(NPCVar!C:D,""Select D WHERE C = '""&amp;D67&amp;""'""),if((TRUNC(1+10)*(TRUNC(MOD((ROW(H67)*1103515245 +12345)/ 65536, 32768),0)/32768)/10) &gt; 0.85,INDEX(NPCFaction,TRUNC(1+(counta(NPCFaction)-1)*(TRUNC(MOD(($B67*1103515245 +12345)/ 65536, 32768),0"&amp;")/32768),0)),QUERY(NPCVar!C:D,""Select D WHERE C = '""&amp;D67&amp;""'"")))"),"Death Guild")</f>
        <v>Death Guild</v>
      </c>
      <c r="AE67" s="108" t="e">
        <f t="shared" ca="1" si="11"/>
        <v>#NAME?</v>
      </c>
      <c r="AF67" s="159">
        <f ca="1">IFERROR(__xludf.DUMMYFUNCTION("AE67*(V67 / QUERY(NPCVar!$K$2:$N$12, ""Select N WHERE K='""&amp;AB67&amp;""'""))*TRUNC(1+10)*(TRUNC(MOD(($B67*1103515245 +12345)/ 65536, 32768),0)/32768)"),0.0181072998046875)</f>
        <v>1.8107299804687501E-2</v>
      </c>
      <c r="AG67" s="16"/>
      <c r="AH67" s="77"/>
      <c r="AI67" s="114"/>
    </row>
    <row r="68" spans="1:35" ht="16.2">
      <c r="A68" s="53">
        <v>67</v>
      </c>
      <c r="B68" s="118">
        <f t="shared" si="14"/>
        <v>1.6009500000000001</v>
      </c>
      <c r="C68" s="72" t="str">
        <f t="array" ref="C68">INDEX(NPCFName,TRUNC(1+(COUNTA(NPCFName))*(TRUNC(MOD(($B68*1103515245 +12345)/ 65536, 32768),0)/32768),0))</f>
        <v>Kellan</v>
      </c>
      <c r="D68" s="16" t="str">
        <f t="array" ref="D68">INDEX(NPCLName,TRUNC(1+(COUNTA(NPCLName))*(TRUNC(MOD(($B68*1103515245 +12345)/ 65536, 32768),0)/32768),0))</f>
        <v>Deepcrest</v>
      </c>
      <c r="E68" s="16" t="str">
        <f t="array" ref="E68">INDEX(NPCClass,TRUNC(1+(COUNTA(NPCClass))*(TRUNC(MOD(($B68*1103515245 +12345)/ 65536, 32768),0)/32768),0))</f>
        <v>Cleric</v>
      </c>
      <c r="F68" s="76">
        <v>8</v>
      </c>
      <c r="G68" s="153">
        <f ca="1">VLOOKUP($AB$2,'RF Mod'!$A$2:$G$12,2,FALSE)+VLOOKUP($AD$2,'RF Mod'!$I$2:$O$11,2,FALSE)+(TRUNC(6+(24-6)*(TRUNC(MOD(($Z68*1103515245 +12345)/ 65536, 32768),0)/32768),0))</f>
        <v>11</v>
      </c>
      <c r="H68" s="16" t="e">
        <f t="shared" ca="1" si="1"/>
        <v>#NAME?</v>
      </c>
      <c r="I68" s="153">
        <f ca="1">VLOOKUP($AB$2,'RF Mod'!$A$2:$G$12,3,FALSE)+VLOOKUP($AD$2,'RF Mod'!$I$2:$O$11,3,FALSE)+(TRUNC(6+(24-6)*(TRUNC(MOD(($Z68*1103515245 +12345)/ 65536, 32768),0)/32768),0))</f>
        <v>15</v>
      </c>
      <c r="J68" s="16" t="e">
        <f t="shared" ca="1" si="2"/>
        <v>#NAME?</v>
      </c>
      <c r="K68" s="153">
        <f ca="1">VLOOKUP($AB$2,'RF Mod'!$A$2:$G$12,3,FALSE)+VLOOKUP($AD$2,'RF Mod'!$I$2:$O$11,3,FALSE)+(TRUNC(6+(24-6)*(TRUNC(MOD(($Z68*1103515245 +12345)/ 65536, 32768),0)/32768),0))</f>
        <v>15</v>
      </c>
      <c r="L68" s="16" t="e">
        <f t="shared" ca="1" si="3"/>
        <v>#NAME?</v>
      </c>
      <c r="M68" s="153">
        <f ca="1">VLOOKUP($AB$2,'RF Mod'!$A$2:$G$12,4,FALSE)+VLOOKUP($AD$2,'RF Mod'!$I$2:$O$11,4,FALSE)+(TRUNC(6+(24-6)*(TRUNC(MOD(($Z68*1103515245 +12345)/ 65536, 32768),0)/32768),0))</f>
        <v>14</v>
      </c>
      <c r="N68" s="16" t="e">
        <f t="shared" ca="1" si="4"/>
        <v>#NAME?</v>
      </c>
      <c r="O68" s="153">
        <f ca="1">VLOOKUP($AB$2,'RF Mod'!$A$2:$G$12,5,FALSE)+VLOOKUP($AD$2,'RF Mod'!$I$2:$O$11,5,FALSE)+(TRUNC(6+(24-6)*(TRUNC(MOD(($Z68*1103515245 +12345)/ 65536, 32768),0)/32768),0))</f>
        <v>17</v>
      </c>
      <c r="P68" s="16" t="e">
        <f t="shared" ca="1" si="5"/>
        <v>#NAME?</v>
      </c>
      <c r="Q68" s="153">
        <f ca="1">VLOOKUP($AB$2,'RF Mod'!$A$2:$G$12,6,FALSE)+VLOOKUP($AD$2,'RF Mod'!$I$2:$O$11,6,FALSE)+(TRUNC(6+(24-6)*(TRUNC(MOD(($Z68*1103515245 +12345)/ 65536, 32768),0)/32768),0))</f>
        <v>15</v>
      </c>
      <c r="R68" s="16" t="e">
        <f t="shared" ca="1" si="6"/>
        <v>#NAME?</v>
      </c>
      <c r="S68" s="154">
        <f t="shared" ca="1" si="12"/>
        <v>152</v>
      </c>
      <c r="T68" s="154">
        <f t="shared" ca="1" si="7"/>
        <v>19</v>
      </c>
      <c r="U68" s="16" t="str">
        <f t="shared" ca="1" si="8"/>
        <v>Fine</v>
      </c>
      <c r="V68" s="155">
        <f ca="1">IFERROR(__xludf.DUMMYFUNCTION("if(W68=""Middle Age"",QUERY(NPCVar!$K$2:$N1000, ""Select L where K = '""&amp;AB68&amp;""'""),if(W68=""Old"",QUERY(NPCVar!$K$2:$N1000, ""Select M where K = '""&amp;AB68&amp;""'""),if(W68=""Venerable"",QUERY(NPCVar!$K$2:$N1000, ""Select N where K = '""&amp;AB68&amp;""'""),false)))"&amp;"*X68"),55)</f>
        <v>55</v>
      </c>
      <c r="W68" s="156" t="str">
        <f t="array" ref="W68">INDEX(NPCAgeType,TRUNC(1+(4-1)*(TRUNC(MOD((X68*1103515245 +12345)/ 65536, 32768),0)/32768),0))</f>
        <v>Middle Age</v>
      </c>
      <c r="X68" s="117">
        <f t="shared" si="13"/>
        <v>2</v>
      </c>
      <c r="Y68" s="157" t="e">
        <f t="array" aca="1" ref="Y68" ca="1">LOOKUP(ABS(MAX(Z68 + MIN(ABS(INDIRECT("Class Jobs!B"&amp;MATCH(E68,'Class Jobs'!$A$1:$A1000,0)&amp;":"&amp;"AF"&amp;MATCH(E68,'Class Jobs'!$A$1:$A1000,0)&amp;"")-$Z68)) * SUM(IF(MIN(ABS(INDIRECT("Class Jobs!B"&amp;MATCH(E68,'Class Jobs'!$A$1:$A1000,0)&amp;":"&amp;"AF"&amp;MATCH(E68,'Class Jobs'!$A$1:$A1000,0)&amp;"")-$Z68))=ABS(INDIRECT("Class Jobs!B"&amp;MATCH(E68,'Class Jobs'!$A$1:$A1000,0)&amp;":"&amp;"AF"&amp;MATCH(E68,'Class Jobs'!$A$1:$A1000,0)&amp;"")-$Z68),SIGN(INDIRECT("Class Jobs!B"&amp;MATCH(E68,'Class Jobs'!$A$1:A1000,0)&amp;":"&amp;"AF"&amp;MATCH(E68,'Class Jobs'!$A$1:$A1000,0)&amp;"")-$Z68),0)),0)),INDIRECT("Class Jobs!B"&amp;MATCH(E68,'Class Jobs'!$A$1:$A1000,0)&amp;":"&amp;"AF"&amp;MATCH(E68,'Class Jobs'!$A$1:$A1000,1)&amp;""),'Class Jobs'!$B$1:$AF$1)</f>
        <v>#REF!</v>
      </c>
      <c r="Z68" s="158">
        <f t="shared" si="10"/>
        <v>0.82</v>
      </c>
      <c r="AA68" s="16" t="str">
        <f t="array" ref="AA68">INDEX(NPCGender,TRUNC(1+(COUNTA(NPCGender))*(TRUNC(MOD(($B68*1103515245 +12345)/ 65536, 32768),0)/32768),0))</f>
        <v>Neutral</v>
      </c>
      <c r="AB68" s="16" t="str">
        <f t="array" ref="AB68">INDEX(NPCRace,TRUNC(1+(COUNTA(NPCRace))*(TRUNC(MOD(($B68*1103515245 +12345)/ 65536, 32768),0)/32768),0))</f>
        <v>Genasi</v>
      </c>
      <c r="AC68" s="16" t="str">
        <f t="array" ref="AC68">INDEX(NPCAL,TRUNC(1+(COUNTA(NPCAL))*(TRUNC(MOD(($B68*1103515245 +12345)/ 65536, 32768),0)/32768),0))</f>
        <v>LN</v>
      </c>
      <c r="AD68" s="72" t="str">
        <f ca="1">IFERROR(__xludf.DUMMYFUNCTION("if(V68&lt;15,QUERY(NPCVar!C:D,""Select D WHERE C = '""&amp;D68&amp;""'""),if((TRUNC(1+10)*(TRUNC(MOD((ROW(H68)*1103515245 +12345)/ 65536, 32768),0)/32768)/10) &gt; 0.85,INDEX(NPCFaction,TRUNC(1+(counta(NPCFaction)-1)*(TRUNC(MOD(($B68*1103515245 +12345)/ 65536, 32768),0"&amp;")/32768),0)),QUERY(NPCVar!C:D,""Select D WHERE C = '""&amp;D68&amp;""'"")))"),"Farmers Guild")</f>
        <v>Farmers Guild</v>
      </c>
      <c r="AE68" s="108" t="e">
        <f t="shared" ca="1" si="11"/>
        <v>#NAME?</v>
      </c>
      <c r="AF68" s="159">
        <f ca="1">IFERROR(__xludf.DUMMYFUNCTION("AE68*(V68 / QUERY(NPCVar!$K$2:$N$12, ""Select N WHERE K='""&amp;AB68&amp;""'""))*TRUNC(1+10)*(TRUNC(MOD(($B68*1103515245 +12345)/ 65536, 32768),0)/32768)"),2.26232147216796)</f>
        <v>2.2623214721679599</v>
      </c>
      <c r="AG68" s="16"/>
      <c r="AH68" s="77"/>
      <c r="AI68" s="114"/>
    </row>
    <row r="69" spans="1:35" ht="16.2">
      <c r="A69" s="53">
        <v>68</v>
      </c>
      <c r="B69" s="118">
        <f t="shared" si="14"/>
        <v>0.59501999999999999</v>
      </c>
      <c r="C69" s="72" t="str">
        <f t="array" ref="C69">INDEX(NPCFName,TRUNC(1+(COUNTA(NPCFName))*(TRUNC(MOD(($B69*1103515245 +12345)/ 65536, 32768),0)/32768),0))</f>
        <v>Virde</v>
      </c>
      <c r="D69" s="16" t="str">
        <f t="array" ref="D69">INDEX(NPCLName,TRUNC(1+(COUNTA(NPCLName))*(TRUNC(MOD(($B69*1103515245 +12345)/ 65536, 32768),0)/32768),0))</f>
        <v>Stormdew</v>
      </c>
      <c r="E69" s="16" t="str">
        <f t="array" ref="E69">INDEX(NPCClass,TRUNC(1+(COUNTA(NPCClass))*(TRUNC(MOD(($B69*1103515245 +12345)/ 65536, 32768),0)/32768),0))</f>
        <v>Monk</v>
      </c>
      <c r="F69" s="76">
        <v>5</v>
      </c>
      <c r="G69" s="153">
        <f ca="1">VLOOKUP($AB$2,'RF Mod'!$A$2:$G$12,2,FALSE)+VLOOKUP($AD$2,'RF Mod'!$I$2:$O$11,2,FALSE)+(TRUNC(6+(24-6)*(TRUNC(MOD(($Z69*1103515245 +12345)/ 65536, 32768),0)/32768),0))</f>
        <v>6</v>
      </c>
      <c r="H69" s="16">
        <f t="shared" ca="1" si="1"/>
        <v>-2</v>
      </c>
      <c r="I69" s="153">
        <f ca="1">VLOOKUP($AB$2,'RF Mod'!$A$2:$G$12,3,FALSE)+VLOOKUP($AD$2,'RF Mod'!$I$2:$O$11,3,FALSE)+(TRUNC(6+(24-6)*(TRUNC(MOD(($Z69*1103515245 +12345)/ 65536, 32768),0)/32768),0))</f>
        <v>10</v>
      </c>
      <c r="J69" s="16" t="e">
        <f t="shared" ca="1" si="2"/>
        <v>#NAME?</v>
      </c>
      <c r="K69" s="153">
        <f ca="1">VLOOKUP($AB$2,'RF Mod'!$A$2:$G$12,3,FALSE)+VLOOKUP($AD$2,'RF Mod'!$I$2:$O$11,3,FALSE)+(TRUNC(6+(24-6)*(TRUNC(MOD(($Z69*1103515245 +12345)/ 65536, 32768),0)/32768),0))</f>
        <v>10</v>
      </c>
      <c r="L69" s="16" t="e">
        <f t="shared" ca="1" si="3"/>
        <v>#NAME?</v>
      </c>
      <c r="M69" s="153">
        <f ca="1">VLOOKUP($AB$2,'RF Mod'!$A$2:$G$12,4,FALSE)+VLOOKUP($AD$2,'RF Mod'!$I$2:$O$11,4,FALSE)+(TRUNC(6+(24-6)*(TRUNC(MOD(($Z69*1103515245 +12345)/ 65536, 32768),0)/32768),0))</f>
        <v>9</v>
      </c>
      <c r="N69" s="16">
        <f t="shared" ca="1" si="4"/>
        <v>-1</v>
      </c>
      <c r="O69" s="153">
        <f ca="1">VLOOKUP($AB$2,'RF Mod'!$A$2:$G$12,5,FALSE)+VLOOKUP($AD$2,'RF Mod'!$I$2:$O$11,5,FALSE)+(TRUNC(6+(24-6)*(TRUNC(MOD(($Z69*1103515245 +12345)/ 65536, 32768),0)/32768),0))</f>
        <v>12</v>
      </c>
      <c r="P69" s="16" t="e">
        <f t="shared" ca="1" si="5"/>
        <v>#NAME?</v>
      </c>
      <c r="Q69" s="153">
        <f ca="1">VLOOKUP($AB$2,'RF Mod'!$A$2:$G$12,6,FALSE)+VLOOKUP($AD$2,'RF Mod'!$I$2:$O$11,6,FALSE)+(TRUNC(6+(24-6)*(TRUNC(MOD(($Z69*1103515245 +12345)/ 65536, 32768),0)/32768),0))</f>
        <v>10</v>
      </c>
      <c r="R69" s="16" t="e">
        <f t="shared" ca="1" si="6"/>
        <v>#NAME?</v>
      </c>
      <c r="S69" s="154">
        <f t="shared" ca="1" si="12"/>
        <v>90</v>
      </c>
      <c r="T69" s="154">
        <f t="shared" ca="1" si="7"/>
        <v>95</v>
      </c>
      <c r="U69" s="16" t="str">
        <f t="shared" ca="1" si="8"/>
        <v>Dead</v>
      </c>
      <c r="V69" s="155">
        <f ca="1">IFERROR(__xludf.DUMMYFUNCTION("if(W69=""Middle Age"",QUERY(NPCVar!$K$2:$N1000, ""Select L where K = '""&amp;AB69&amp;""'""),if(W69=""Old"",QUERY(NPCVar!$K$2:$N1000, ""Select M where K = '""&amp;AB69&amp;""'""),if(W69=""Venerable"",QUERY(NPCVar!$K$2:$N1000, ""Select N where K = '""&amp;AB69&amp;""'""),false)))"&amp;"*X69"),135)</f>
        <v>135</v>
      </c>
      <c r="W69" s="156" t="str">
        <f t="array" ref="W69">INDEX(NPCAgeType,TRUNC(1+(4-1)*(TRUNC(MOD((X69*1103515245 +12345)/ 65536, 32768),0)/32768),0))</f>
        <v>Old</v>
      </c>
      <c r="X69" s="117">
        <f t="shared" si="13"/>
        <v>0.8</v>
      </c>
      <c r="Y69" s="157" t="e">
        <f t="array" aca="1" ref="Y69" ca="1">LOOKUP(ABS(MAX(Z69 + MIN(ABS(INDIRECT("Class Jobs!B"&amp;MATCH(E69,'Class Jobs'!$A$1:$A1000,0)&amp;":"&amp;"AF"&amp;MATCH(E69,'Class Jobs'!$A$1:$A1000,0)&amp;"")-$Z69)) * SUM(IF(MIN(ABS(INDIRECT("Class Jobs!B"&amp;MATCH(E69,'Class Jobs'!$A$1:$A1000,0)&amp;":"&amp;"AF"&amp;MATCH(E69,'Class Jobs'!$A$1:$A1000,0)&amp;"")-$Z69))=ABS(INDIRECT("Class Jobs!B"&amp;MATCH(E69,'Class Jobs'!$A$1:$A1000,0)&amp;":"&amp;"AF"&amp;MATCH(E69,'Class Jobs'!$A$1:$A1000,0)&amp;"")-$Z69),SIGN(INDIRECT("Class Jobs!B"&amp;MATCH(E69,'Class Jobs'!$A$1:A1000,0)&amp;":"&amp;"AF"&amp;MATCH(E69,'Class Jobs'!$A$1:$A1000,0)&amp;"")-$Z69),0)),0)),INDIRECT("Class Jobs!B"&amp;MATCH(E69,'Class Jobs'!$A$1:$A1000,0)&amp;":"&amp;"AF"&amp;MATCH(E69,'Class Jobs'!$A$1:$A1000,1)&amp;""),'Class Jobs'!$B$1:$AF$1)</f>
        <v>#REF!</v>
      </c>
      <c r="Z69" s="158">
        <f t="shared" si="10"/>
        <v>0.31</v>
      </c>
      <c r="AA69" s="16" t="str">
        <f t="array" ref="AA69">INDEX(NPCGender,TRUNC(1+(COUNTA(NPCGender))*(TRUNC(MOD(($B69*1103515245 +12345)/ 65536, 32768),0)/32768),0))</f>
        <v>Male</v>
      </c>
      <c r="AB69" s="16" t="str">
        <f t="array" ref="AB69">INDEX(NPCRace,TRUNC(1+(COUNTA(NPCRace))*(TRUNC(MOD(($B69*1103515245 +12345)/ 65536, 32768),0)/32768),0))</f>
        <v>Gnome</v>
      </c>
      <c r="AC69" s="16" t="str">
        <f t="array" ref="AC69">INDEX(NPCAL,TRUNC(1+(COUNTA(NPCAL))*(TRUNC(MOD(($B69*1103515245 +12345)/ 65536, 32768),0)/32768),0))</f>
        <v>CG</v>
      </c>
      <c r="AD69" s="72" t="str">
        <f ca="1">IFERROR(__xludf.DUMMYFUNCTION("if(V69&lt;15,QUERY(NPCVar!C:D,""Select D WHERE C = '""&amp;D69&amp;""'""),if((TRUNC(1+10)*(TRUNC(MOD((ROW(H69)*1103515245 +12345)/ 65536, 32768),0)/32768)/10) &gt; 0.85,INDEX(NPCFaction,TRUNC(1+(counta(NPCFaction)-1)*(TRUNC(MOD(($B69*1103515245 +12345)/ 65536, 32768),0"&amp;")/32768),0)),QUERY(NPCVar!C:D,""Select D WHERE C = '""&amp;D69&amp;""'"")))"),"Magic Guild")</f>
        <v>Magic Guild</v>
      </c>
      <c r="AE69" s="108" t="e">
        <f t="shared" ca="1" si="11"/>
        <v>#NAME?</v>
      </c>
      <c r="AF69" s="159">
        <f ca="1">IFERROR(__xludf.DUMMYFUNCTION("AE69*(V69 / QUERY(NPCVar!$K$2:$N$12, ""Select N WHERE K='""&amp;AB69&amp;""'""))*TRUNC(1+10)*(TRUNC(MOD(($B69*1103515245 +12345)/ 65536, 32768),0)/32768)"),0.706295471191406)</f>
        <v>0.70629547119140601</v>
      </c>
      <c r="AG69" s="16"/>
      <c r="AH69" s="77"/>
      <c r="AI69" s="114"/>
    </row>
    <row r="70" spans="1:35" ht="16.2">
      <c r="A70" s="53">
        <v>69</v>
      </c>
      <c r="B70" s="118">
        <f t="shared" si="14"/>
        <v>2.0891500000000001</v>
      </c>
      <c r="C70" s="72" t="str">
        <f t="array" ref="C70">INDEX(NPCFName,TRUNC(1+(COUNTA(NPCFName))*(TRUNC(MOD(($B70*1103515245 +12345)/ 65536, 32768),0)/32768),0))</f>
        <v>Derik</v>
      </c>
      <c r="D70" s="16" t="str">
        <f t="array" ref="D70">INDEX(NPCLName,TRUNC(1+(COUNTA(NPCLName))*(TRUNC(MOD(($B70*1103515245 +12345)/ 65536, 32768),0)/32768),0))</f>
        <v>Autumnorb</v>
      </c>
      <c r="E70" s="16" t="str">
        <f t="array" ref="E70">INDEX(NPCClass,TRUNC(1+(COUNTA(NPCClass))*(TRUNC(MOD(($B70*1103515245 +12345)/ 65536, 32768),0)/32768),0))</f>
        <v>Barbarian</v>
      </c>
      <c r="F70" s="76">
        <v>1</v>
      </c>
      <c r="G70" s="153">
        <f ca="1">VLOOKUP($AB$2,'RF Mod'!$A$2:$G$12,2,FALSE)+VLOOKUP($AD$2,'RF Mod'!$I$2:$O$11,2,FALSE)+(TRUNC(6+(24-6)*(TRUNC(MOD(($Z70*1103515245 +12345)/ 65536, 32768),0)/32768),0))</f>
        <v>4</v>
      </c>
      <c r="H70" s="16">
        <f t="shared" ca="1" si="1"/>
        <v>-3</v>
      </c>
      <c r="I70" s="153">
        <f ca="1">VLOOKUP($AB$2,'RF Mod'!$A$2:$G$12,3,FALSE)+VLOOKUP($AD$2,'RF Mod'!$I$2:$O$11,3,FALSE)+(TRUNC(6+(24-6)*(TRUNC(MOD(($Z70*1103515245 +12345)/ 65536, 32768),0)/32768),0))</f>
        <v>8</v>
      </c>
      <c r="J70" s="16">
        <f t="shared" ca="1" si="2"/>
        <v>-1</v>
      </c>
      <c r="K70" s="153">
        <f ca="1">VLOOKUP($AB$2,'RF Mod'!$A$2:$G$12,3,FALSE)+VLOOKUP($AD$2,'RF Mod'!$I$2:$O$11,3,FALSE)+(TRUNC(6+(24-6)*(TRUNC(MOD(($Z70*1103515245 +12345)/ 65536, 32768),0)/32768),0))</f>
        <v>8</v>
      </c>
      <c r="L70" s="16">
        <f t="shared" ca="1" si="3"/>
        <v>-1</v>
      </c>
      <c r="M70" s="153">
        <f ca="1">VLOOKUP($AB$2,'RF Mod'!$A$2:$G$12,4,FALSE)+VLOOKUP($AD$2,'RF Mod'!$I$2:$O$11,4,FALSE)+(TRUNC(6+(24-6)*(TRUNC(MOD(($Z70*1103515245 +12345)/ 65536, 32768),0)/32768),0))</f>
        <v>7</v>
      </c>
      <c r="N70" s="16">
        <f t="shared" ca="1" si="4"/>
        <v>-2</v>
      </c>
      <c r="O70" s="153">
        <f ca="1">VLOOKUP($AB$2,'RF Mod'!$A$2:$G$12,5,FALSE)+VLOOKUP($AD$2,'RF Mod'!$I$2:$O$11,5,FALSE)+(TRUNC(6+(24-6)*(TRUNC(MOD(($Z70*1103515245 +12345)/ 65536, 32768),0)/32768),0))</f>
        <v>10</v>
      </c>
      <c r="P70" s="16" t="e">
        <f t="shared" ca="1" si="5"/>
        <v>#NAME?</v>
      </c>
      <c r="Q70" s="153">
        <f ca="1">VLOOKUP($AB$2,'RF Mod'!$A$2:$G$12,6,FALSE)+VLOOKUP($AD$2,'RF Mod'!$I$2:$O$11,6,FALSE)+(TRUNC(6+(24-6)*(TRUNC(MOD(($Z70*1103515245 +12345)/ 65536, 32768),0)/32768),0))</f>
        <v>8</v>
      </c>
      <c r="R70" s="16">
        <f t="shared" ca="1" si="6"/>
        <v>-1</v>
      </c>
      <c r="S70" s="154">
        <f t="shared" ca="1" si="12"/>
        <v>10</v>
      </c>
      <c r="T70" s="154">
        <f t="shared" ca="1" si="7"/>
        <v>10</v>
      </c>
      <c r="U70" s="16" t="str">
        <f t="shared" ca="1" si="8"/>
        <v>Unconscious</v>
      </c>
      <c r="V70" s="155">
        <f ca="1">IFERROR(__xludf.DUMMYFUNCTION("if(W70=""Middle Age"",QUERY(NPCVar!$K$2:$N1000, ""Select L where K = '""&amp;AB70&amp;""'""),if(W70=""Old"",QUERY(NPCVar!$K$2:$N1000, ""Select M where K = '""&amp;AB70&amp;""'""),if(W70=""Venerable"",QUERY(NPCVar!$K$2:$N1000, ""Select N where K = '""&amp;AB70&amp;""'""),false)))"&amp;"*X70"),4)</f>
        <v>4</v>
      </c>
      <c r="W70" s="156" t="str">
        <f t="array" ref="W70">INDEX(NPCAgeType,TRUNC(1+(4-1)*(TRUNC(MOD((X70*1103515245 +12345)/ 65536, 32768),0)/32768),0))</f>
        <v>Middle Age</v>
      </c>
      <c r="X70" s="117">
        <f t="shared" si="13"/>
        <v>0.2</v>
      </c>
      <c r="Y70" s="157" t="e">
        <f t="array" aca="1" ref="Y70" ca="1">LOOKUP(ABS(MAX(Z70 + MIN(ABS(INDIRECT("Class Jobs!B"&amp;MATCH(E70,'Class Jobs'!$A$1:$A1000,0)&amp;":"&amp;"AF"&amp;MATCH(E70,'Class Jobs'!$A$1:$A1000,0)&amp;"")-$Z70)) * SUM(IF(MIN(ABS(INDIRECT("Class Jobs!B"&amp;MATCH(E70,'Class Jobs'!$A$1:$A1000,0)&amp;":"&amp;"AF"&amp;MATCH(E70,'Class Jobs'!$A$1:$A1000,0)&amp;"")-$Z70))=ABS(INDIRECT("Class Jobs!B"&amp;MATCH(E70,'Class Jobs'!$A$1:$A1000,0)&amp;":"&amp;"AF"&amp;MATCH(E70,'Class Jobs'!$A$1:$A1000,0)&amp;"")-$Z70),SIGN(INDIRECT("Class Jobs!B"&amp;MATCH(E70,'Class Jobs'!$A$1:A1000,0)&amp;":"&amp;"AF"&amp;MATCH(E70,'Class Jobs'!$A$1:$A1000,0)&amp;"")-$Z70),0)),0)),INDIRECT("Class Jobs!B"&amp;MATCH(E70,'Class Jobs'!$A$1:$A1000,0)&amp;":"&amp;"AF"&amp;MATCH(E70,'Class Jobs'!$A$1:$A1000,1)&amp;""),'Class Jobs'!$B$1:$AF$1)</f>
        <v>#REF!</v>
      </c>
      <c r="Z70" s="158">
        <f t="shared" si="10"/>
        <v>0.08</v>
      </c>
      <c r="AA70" s="16" t="str">
        <f t="array" ref="AA70">INDEX(NPCGender,TRUNC(1+(COUNTA(NPCGender))*(TRUNC(MOD(($B70*1103515245 +12345)/ 65536, 32768),0)/32768),0))</f>
        <v>Male</v>
      </c>
      <c r="AB70" s="16" t="str">
        <f t="array" ref="AB70">INDEX(NPCRace,TRUNC(1+(COUNTA(NPCRace))*(TRUNC(MOD(($B70*1103515245 +12345)/ 65536, 32768),0)/32768),0))</f>
        <v>Dragonborn</v>
      </c>
      <c r="AC70" s="16" t="str">
        <f t="array" ref="AC70">INDEX(NPCAL,TRUNC(1+(COUNTA(NPCAL))*(TRUNC(MOD(($B70*1103515245 +12345)/ 65536, 32768),0)/32768),0))</f>
        <v>CN</v>
      </c>
      <c r="AD70" s="72" t="str">
        <f ca="1">IFERROR(__xludf.DUMMYFUNCTION("if(V70&lt;15,QUERY(NPCVar!C:D,""Select D WHERE C = '""&amp;D70&amp;""'""),if((TRUNC(1+10)*(TRUNC(MOD((ROW(H70)*1103515245 +12345)/ 65536, 32768),0)/32768)/10) &gt; 0.85,INDEX(NPCFaction,TRUNC(1+(counta(NPCFaction)-1)*(TRUNC(MOD(($B70*1103515245 +12345)/ 65536, 32768),0"&amp;")/32768),0)),QUERY(NPCVar!C:D,""Select D WHERE C = '""&amp;D70&amp;""'"")))"),"Royalty")</f>
        <v>Royalty</v>
      </c>
      <c r="AE70" s="108" t="e">
        <f t="shared" ca="1" si="11"/>
        <v>#NAME?</v>
      </c>
      <c r="AF70" s="159">
        <f ca="1">IFERROR(__xludf.DUMMYFUNCTION("AE70*(V70 / QUERY(NPCVar!$K$2:$N$12, ""Select N WHERE K='""&amp;AB70&amp;""'""))*TRUNC(1+10)*(TRUNC(MOD(($B70*1103515245 +12345)/ 65536, 32768),0)/32768)"),0.00808685302734375)</f>
        <v>8.0868530273437503E-3</v>
      </c>
      <c r="AG70" s="16"/>
      <c r="AH70" s="77"/>
      <c r="AI70" s="114"/>
    </row>
    <row r="71" spans="1:35" ht="16.2">
      <c r="A71" s="53">
        <v>70</v>
      </c>
      <c r="B71" s="118">
        <f t="shared" si="14"/>
        <v>1.0832999999999999</v>
      </c>
      <c r="C71" s="72" t="str">
        <f t="array" ref="C71">INDEX(NPCFName,TRUNC(1+(COUNTA(NPCFName))*(TRUNC(MOD(($B71*1103515245 +12345)/ 65536, 32768),0)/32768),0))</f>
        <v>Perder</v>
      </c>
      <c r="D71" s="16" t="str">
        <f t="array" ref="D71">INDEX(NPCLName,TRUNC(1+(COUNTA(NPCLName))*(TRUNC(MOD(($B71*1103515245 +12345)/ 65536, 32768),0)/32768),0))</f>
        <v>Plainspirit</v>
      </c>
      <c r="E71" s="16" t="str">
        <f t="array" ref="E71">INDEX(NPCClass,TRUNC(1+(COUNTA(NPCClass))*(TRUNC(MOD(($B71*1103515245 +12345)/ 65536, 32768),0)/32768),0))</f>
        <v>Sorcerer</v>
      </c>
      <c r="F71" s="76">
        <v>8</v>
      </c>
      <c r="G71" s="153">
        <f ca="1">VLOOKUP($AB$2,'RF Mod'!$A$2:$G$12,2,FALSE)+VLOOKUP($AD$2,'RF Mod'!$I$2:$O$11,2,FALSE)+(TRUNC(6+(24-6)*(TRUNC(MOD(($Z71*1103515245 +12345)/ 65536, 32768),0)/32768),0))</f>
        <v>9</v>
      </c>
      <c r="H71" s="16">
        <f t="shared" ca="1" si="1"/>
        <v>-1</v>
      </c>
      <c r="I71" s="153">
        <f ca="1">VLOOKUP($AB$2,'RF Mod'!$A$2:$G$12,3,FALSE)+VLOOKUP($AD$2,'RF Mod'!$I$2:$O$11,3,FALSE)+(TRUNC(6+(24-6)*(TRUNC(MOD(($Z71*1103515245 +12345)/ 65536, 32768),0)/32768),0))</f>
        <v>13</v>
      </c>
      <c r="J71" s="16" t="e">
        <f t="shared" ca="1" si="2"/>
        <v>#NAME?</v>
      </c>
      <c r="K71" s="153">
        <f ca="1">VLOOKUP($AB$2,'RF Mod'!$A$2:$G$12,3,FALSE)+VLOOKUP($AD$2,'RF Mod'!$I$2:$O$11,3,FALSE)+(TRUNC(6+(24-6)*(TRUNC(MOD(($Z71*1103515245 +12345)/ 65536, 32768),0)/32768),0))</f>
        <v>13</v>
      </c>
      <c r="L71" s="16" t="e">
        <f t="shared" ca="1" si="3"/>
        <v>#NAME?</v>
      </c>
      <c r="M71" s="153">
        <f ca="1">VLOOKUP($AB$2,'RF Mod'!$A$2:$G$12,4,FALSE)+VLOOKUP($AD$2,'RF Mod'!$I$2:$O$11,4,FALSE)+(TRUNC(6+(24-6)*(TRUNC(MOD(($Z71*1103515245 +12345)/ 65536, 32768),0)/32768),0))</f>
        <v>12</v>
      </c>
      <c r="N71" s="16" t="e">
        <f t="shared" ca="1" si="4"/>
        <v>#NAME?</v>
      </c>
      <c r="O71" s="153">
        <f ca="1">VLOOKUP($AB$2,'RF Mod'!$A$2:$G$12,5,FALSE)+VLOOKUP($AD$2,'RF Mod'!$I$2:$O$11,5,FALSE)+(TRUNC(6+(24-6)*(TRUNC(MOD(($Z71*1103515245 +12345)/ 65536, 32768),0)/32768),0))</f>
        <v>15</v>
      </c>
      <c r="P71" s="16" t="e">
        <f t="shared" ca="1" si="5"/>
        <v>#NAME?</v>
      </c>
      <c r="Q71" s="153">
        <f ca="1">VLOOKUP($AB$2,'RF Mod'!$A$2:$G$12,6,FALSE)+VLOOKUP($AD$2,'RF Mod'!$I$2:$O$11,6,FALSE)+(TRUNC(6+(24-6)*(TRUNC(MOD(($Z71*1103515245 +12345)/ 65536, 32768),0)/32768),0))</f>
        <v>13</v>
      </c>
      <c r="R71" s="16" t="e">
        <f t="shared" ca="1" si="6"/>
        <v>#NAME?</v>
      </c>
      <c r="S71" s="154">
        <f t="shared" ca="1" si="12"/>
        <v>168</v>
      </c>
      <c r="T71" s="154">
        <f t="shared" ca="1" si="7"/>
        <v>45</v>
      </c>
      <c r="U71" s="16" t="str">
        <f t="shared" ca="1" si="8"/>
        <v>Fine</v>
      </c>
      <c r="V71" s="155">
        <f ca="1">IFERROR(__xludf.DUMMYFUNCTION("if(W71=""Middle Age"",QUERY(NPCVar!$K$2:$N1000, ""Select L where K = '""&amp;AB71&amp;""'""),if(W71=""Old"",QUERY(NPCVar!$K$2:$N1000, ""Select M where K = '""&amp;AB71&amp;""'""),if(W71=""Venerable"",QUERY(NPCVar!$K$2:$N1000, ""Select N where K = '""&amp;AB71&amp;""'""),false)))"&amp;"*X71"),280)</f>
        <v>280</v>
      </c>
      <c r="W71" s="156" t="str">
        <f t="array" ref="W71">INDEX(NPCAgeType,TRUNC(1+(4-1)*(TRUNC(MOD((X71*1103515245 +12345)/ 65536, 32768),0)/32768),0))</f>
        <v>Venerable</v>
      </c>
      <c r="X71" s="117">
        <f t="shared" si="13"/>
        <v>1.4</v>
      </c>
      <c r="Y71" s="157" t="e">
        <f t="array" aca="1" ref="Y71" ca="1">LOOKUP(ABS(MAX(Z71 + MIN(ABS(INDIRECT("Class Jobs!B"&amp;MATCH(E71,'Class Jobs'!$A$1:$A1000,0)&amp;":"&amp;"AF"&amp;MATCH(E71,'Class Jobs'!$A$1:$A1000,0)&amp;"")-$Z71)) * SUM(IF(MIN(ABS(INDIRECT("Class Jobs!B"&amp;MATCH(E71,'Class Jobs'!$A$1:$A1000,0)&amp;":"&amp;"AF"&amp;MATCH(E71,'Class Jobs'!$A$1:$A1000,0)&amp;"")-$Z71))=ABS(INDIRECT("Class Jobs!B"&amp;MATCH(E71,'Class Jobs'!$A$1:$A1000,0)&amp;":"&amp;"AF"&amp;MATCH(E71,'Class Jobs'!$A$1:$A1000,0)&amp;"")-$Z71),SIGN(INDIRECT("Class Jobs!B"&amp;MATCH(E71,'Class Jobs'!$A$1:A1000,0)&amp;":"&amp;"AF"&amp;MATCH(E71,'Class Jobs'!$A$1:$A1000,0)&amp;"")-$Z71),0)),0)),INDIRECT("Class Jobs!B"&amp;MATCH(E71,'Class Jobs'!$A$1:$A1000,0)&amp;":"&amp;"AF"&amp;MATCH(E71,'Class Jobs'!$A$1:$A1000,1)&amp;""),'Class Jobs'!$B$1:$AF$1)</f>
        <v>#REF!</v>
      </c>
      <c r="Z71" s="158">
        <f t="shared" si="10"/>
        <v>0.56000000000000005</v>
      </c>
      <c r="AA71" s="16" t="str">
        <f t="array" ref="AA71">INDEX(NPCGender,TRUNC(1+(COUNTA(NPCGender))*(TRUNC(MOD(($B71*1103515245 +12345)/ 65536, 32768),0)/32768),0))</f>
        <v>Female</v>
      </c>
      <c r="AB71" s="16" t="str">
        <f t="array" ref="AB71">INDEX(NPCRace,TRUNC(1+(COUNTA(NPCRace))*(TRUNC(MOD(($B71*1103515245 +12345)/ 65536, 32768),0)/32768),0))</f>
        <v>Halfling</v>
      </c>
      <c r="AC71" s="16" t="str">
        <f t="array" ref="AC71">INDEX(NPCAL,TRUNC(1+(COUNTA(NPCAL))*(TRUNC(MOD(($B71*1103515245 +12345)/ 65536, 32768),0)/32768),0))</f>
        <v>NE</v>
      </c>
      <c r="AD71" s="72" t="str">
        <f ca="1">IFERROR(__xludf.DUMMYFUNCTION("if(V71&lt;15,QUERY(NPCVar!C:D,""Select D WHERE C = '""&amp;D71&amp;""'""),if((TRUNC(1+10)*(TRUNC(MOD((ROW(H71)*1103515245 +12345)/ 65536, 32768),0)/32768)/10) &gt; 0.85,INDEX(NPCFaction,TRUNC(1+(counta(NPCFaction)-1)*(TRUNC(MOD(($B71*1103515245 +12345)/ 65536, 32768),0"&amp;")/32768),0)),QUERY(NPCVar!C:D,""Select D WHERE C = '""&amp;D71&amp;""'"")))"),"Traders Guild")</f>
        <v>Traders Guild</v>
      </c>
      <c r="AE71" s="108" t="e">
        <f t="shared" ca="1" si="11"/>
        <v>#NAME?</v>
      </c>
      <c r="AF71" s="159">
        <f ca="1">IFERROR(__xludf.DUMMYFUNCTION("AE71*(V71 / QUERY(NPCVar!$K$2:$N$12, ""Select N WHERE K='""&amp;AB71&amp;""'""))*TRUNC(1+10)*(TRUNC(MOD(($B71*1103515245 +12345)/ 65536, 32768),0)/32768)"),8.57273559570312)</f>
        <v>8.5727355957031204</v>
      </c>
      <c r="AG71" s="16"/>
      <c r="AH71" s="77"/>
      <c r="AI71" s="114"/>
    </row>
    <row r="72" spans="1:35" ht="16.2">
      <c r="A72" s="53">
        <v>71</v>
      </c>
      <c r="B72" s="118">
        <f t="shared" si="14"/>
        <v>7.7439999999999995E-2</v>
      </c>
      <c r="C72" s="72" t="str">
        <f t="array" ref="C72">INDEX(NPCFName,TRUNC(1+(COUNTA(NPCFName))*(TRUNC(MOD(($B72*1103515245 +12345)/ 65536, 32768),0)/32768),0))</f>
        <v>Bristan</v>
      </c>
      <c r="D72" s="16" t="str">
        <f t="array" ref="D72">INDEX(NPCLName,TRUNC(1+(COUNTA(NPCLName))*(TRUNC(MOD(($B72*1103515245 +12345)/ 65536, 32768),0)/32768),0))</f>
        <v>Crystalgazer</v>
      </c>
      <c r="E72" s="16" t="str">
        <f t="array" ref="E72">INDEX(NPCClass,TRUNC(1+(COUNTA(NPCClass))*(TRUNC(MOD(($B72*1103515245 +12345)/ 65536, 32768),0)/32768),0))</f>
        <v>Barbarian</v>
      </c>
      <c r="F72" s="76">
        <v>1</v>
      </c>
      <c r="G72" s="153">
        <f ca="1">VLOOKUP($AB$2,'RF Mod'!$A$2:$G$12,2,FALSE)+VLOOKUP($AD$2,'RF Mod'!$I$2:$O$11,2,FALSE)+(TRUNC(6+(24-6)*(TRUNC(MOD(($Z72*1103515245 +12345)/ 65536, 32768),0)/32768),0))</f>
        <v>4</v>
      </c>
      <c r="H72" s="16">
        <f t="shared" ca="1" si="1"/>
        <v>-3</v>
      </c>
      <c r="I72" s="153">
        <f ca="1">VLOOKUP($AB$2,'RF Mod'!$A$2:$G$12,3,FALSE)+VLOOKUP($AD$2,'RF Mod'!$I$2:$O$11,3,FALSE)+(TRUNC(6+(24-6)*(TRUNC(MOD(($Z72*1103515245 +12345)/ 65536, 32768),0)/32768),0))</f>
        <v>8</v>
      </c>
      <c r="J72" s="16">
        <f t="shared" ca="1" si="2"/>
        <v>-1</v>
      </c>
      <c r="K72" s="153">
        <f ca="1">VLOOKUP($AB$2,'RF Mod'!$A$2:$G$12,3,FALSE)+VLOOKUP($AD$2,'RF Mod'!$I$2:$O$11,3,FALSE)+(TRUNC(6+(24-6)*(TRUNC(MOD(($Z72*1103515245 +12345)/ 65536, 32768),0)/32768),0))</f>
        <v>8</v>
      </c>
      <c r="L72" s="16">
        <f t="shared" ca="1" si="3"/>
        <v>-1</v>
      </c>
      <c r="M72" s="153">
        <f ca="1">VLOOKUP($AB$2,'RF Mod'!$A$2:$G$12,4,FALSE)+VLOOKUP($AD$2,'RF Mod'!$I$2:$O$11,4,FALSE)+(TRUNC(6+(24-6)*(TRUNC(MOD(($Z72*1103515245 +12345)/ 65536, 32768),0)/32768),0))</f>
        <v>7</v>
      </c>
      <c r="N72" s="16">
        <f t="shared" ca="1" si="4"/>
        <v>-2</v>
      </c>
      <c r="O72" s="153">
        <f ca="1">VLOOKUP($AB$2,'RF Mod'!$A$2:$G$12,5,FALSE)+VLOOKUP($AD$2,'RF Mod'!$I$2:$O$11,5,FALSE)+(TRUNC(6+(24-6)*(TRUNC(MOD(($Z72*1103515245 +12345)/ 65536, 32768),0)/32768),0))</f>
        <v>10</v>
      </c>
      <c r="P72" s="16" t="e">
        <f t="shared" ca="1" si="5"/>
        <v>#NAME?</v>
      </c>
      <c r="Q72" s="153">
        <f ca="1">VLOOKUP($AB$2,'RF Mod'!$A$2:$G$12,6,FALSE)+VLOOKUP($AD$2,'RF Mod'!$I$2:$O$11,6,FALSE)+(TRUNC(6+(24-6)*(TRUNC(MOD(($Z72*1103515245 +12345)/ 65536, 32768),0)/32768),0))</f>
        <v>8</v>
      </c>
      <c r="R72" s="16">
        <f t="shared" ca="1" si="6"/>
        <v>-1</v>
      </c>
      <c r="S72" s="154">
        <f t="shared" ca="1" si="12"/>
        <v>10</v>
      </c>
      <c r="T72" s="154">
        <f t="shared" ca="1" si="7"/>
        <v>3</v>
      </c>
      <c r="U72" s="16" t="str">
        <f t="shared" ca="1" si="8"/>
        <v>Fine</v>
      </c>
      <c r="V72" s="155">
        <f ca="1">IFERROR(__xludf.DUMMYFUNCTION("if(W72=""Middle Age"",QUERY(NPCVar!$K$2:$N1000, ""Select L where K = '""&amp;AB72&amp;""'""),if(W72=""Old"",QUERY(NPCVar!$K$2:$N1000, ""Select M where K = '""&amp;AB72&amp;""'""),if(W72=""Venerable"",QUERY(NPCVar!$K$2:$N1000, ""Select N where K = '""&amp;AB72&amp;""'""),false)))"&amp;"*X72"),2)</f>
        <v>2</v>
      </c>
      <c r="W72" s="156" t="str">
        <f t="array" ref="W72">INDEX(NPCAgeType,TRUNC(1+(4-1)*(TRUNC(MOD((X72*1103515245 +12345)/ 65536, 32768),0)/32768),0))</f>
        <v>Middle Age</v>
      </c>
      <c r="X72" s="117">
        <f t="shared" si="13"/>
        <v>0.1</v>
      </c>
      <c r="Y72" s="157" t="e">
        <f t="array" aca="1" ref="Y72" ca="1">LOOKUP(ABS(MAX(Z72 + MIN(ABS(INDIRECT("Class Jobs!B"&amp;MATCH(E72,'Class Jobs'!$A$1:$A1000,0)&amp;":"&amp;"AF"&amp;MATCH(E72,'Class Jobs'!$A$1:$A1000,0)&amp;"")-$Z72)) * SUM(IF(MIN(ABS(INDIRECT("Class Jobs!B"&amp;MATCH(E72,'Class Jobs'!$A$1:$A1000,0)&amp;":"&amp;"AF"&amp;MATCH(E72,'Class Jobs'!$A$1:$A1000,0)&amp;"")-$Z72))=ABS(INDIRECT("Class Jobs!B"&amp;MATCH(E72,'Class Jobs'!$A$1:$A1000,0)&amp;":"&amp;"AF"&amp;MATCH(E72,'Class Jobs'!$A$1:$A1000,0)&amp;"")-$Z72),SIGN(INDIRECT("Class Jobs!B"&amp;MATCH(E72,'Class Jobs'!$A$1:A1000,0)&amp;":"&amp;"AF"&amp;MATCH(E72,'Class Jobs'!$A$1:$A1000,0)&amp;"")-$Z72),0)),0)),INDIRECT("Class Jobs!B"&amp;MATCH(E72,'Class Jobs'!$A$1:$A1000,0)&amp;":"&amp;"AF"&amp;MATCH(E72,'Class Jobs'!$A$1:$A1000,1)&amp;""),'Class Jobs'!$B$1:$AF$1)</f>
        <v>#REF!</v>
      </c>
      <c r="Z72" s="158">
        <f t="shared" si="10"/>
        <v>0.04</v>
      </c>
      <c r="AA72" s="16" t="str">
        <f t="array" ref="AA72">INDEX(NPCGender,TRUNC(1+(COUNTA(NPCGender))*(TRUNC(MOD(($B72*1103515245 +12345)/ 65536, 32768),0)/32768),0))</f>
        <v>Male</v>
      </c>
      <c r="AB72" s="16" t="str">
        <f t="array" ref="AB72">INDEX(NPCRace,TRUNC(1+(COUNTA(NPCRace))*(TRUNC(MOD(($B72*1103515245 +12345)/ 65536, 32768),0)/32768),0))</f>
        <v>Dragonborn</v>
      </c>
      <c r="AC72" s="16" t="str">
        <f t="array" ref="AC72">INDEX(NPCAL,TRUNC(1+(COUNTA(NPCAL))*(TRUNC(MOD(($B72*1103515245 +12345)/ 65536, 32768),0)/32768),0))</f>
        <v>CN</v>
      </c>
      <c r="AD72" s="72" t="str">
        <f ca="1">IFERROR(__xludf.DUMMYFUNCTION("if(V72&lt;15,QUERY(NPCVar!C:D,""Select D WHERE C = '""&amp;D72&amp;""'""),if((TRUNC(1+10)*(TRUNC(MOD((ROW(H72)*1103515245 +12345)/ 65536, 32768),0)/32768)/10) &gt; 0.85,INDEX(NPCFaction,TRUNC(1+(counta(NPCFaction)-1)*(TRUNC(MOD(($B72*1103515245 +12345)/ 65536, 32768),0"&amp;")/32768),0)),QUERY(NPCVar!C:D,""Select D WHERE C = '""&amp;D72&amp;""'"")))"),"Death Guild")</f>
        <v>Death Guild</v>
      </c>
      <c r="AE72" s="108" t="e">
        <f t="shared" ca="1" si="11"/>
        <v>#NAME?</v>
      </c>
      <c r="AF72" s="159">
        <f ca="1">IFERROR(__xludf.DUMMYFUNCTION("AE72*(V72 / QUERY(NPCVar!$K$2:$N$12, ""Select N WHERE K='""&amp;AB72&amp;""'""))*TRUNC(1+10)*(TRUNC(MOD(($B72*1103515245 +12345)/ 65536, 32768),0)/32768)"),0.002188720703125)</f>
        <v>2.188720703125E-3</v>
      </c>
      <c r="AG72" s="16"/>
      <c r="AH72" s="77"/>
      <c r="AI72" s="114"/>
    </row>
    <row r="73" spans="1:35" ht="16.2">
      <c r="A73" s="53">
        <v>72</v>
      </c>
      <c r="B73" s="118">
        <f t="shared" si="14"/>
        <v>1.57158</v>
      </c>
      <c r="C73" s="72" t="str">
        <f t="array" ref="C73">INDEX(NPCFName,TRUNC(1+(COUNTA(NPCFName))*(TRUNC(MOD(($B73*1103515245 +12345)/ 65536, 32768),0)/32768),0))</f>
        <v>Ilgenar</v>
      </c>
      <c r="D73" s="16" t="str">
        <f t="array" ref="D73">INDEX(NPCLName,TRUNC(1+(COUNTA(NPCLName))*(TRUNC(MOD(($B73*1103515245 +12345)/ 65536, 32768),0)/32768),0))</f>
        <v>Deepcrest</v>
      </c>
      <c r="E73" s="16" t="str">
        <f t="array" ref="E73">INDEX(NPCClass,TRUNC(1+(COUNTA(NPCClass))*(TRUNC(MOD(($B73*1103515245 +12345)/ 65536, 32768),0)/32768),0))</f>
        <v>Cleric</v>
      </c>
      <c r="F73" s="76">
        <v>8</v>
      </c>
      <c r="G73" s="153">
        <f ca="1">VLOOKUP($AB$2,'RF Mod'!$A$2:$G$12,2,FALSE)+VLOOKUP($AD$2,'RF Mod'!$I$2:$O$11,2,FALSE)+(TRUNC(6+(24-6)*(TRUNC(MOD(($Z73*1103515245 +12345)/ 65536, 32768),0)/32768),0))</f>
        <v>11</v>
      </c>
      <c r="H73" s="16" t="e">
        <f t="shared" ca="1" si="1"/>
        <v>#NAME?</v>
      </c>
      <c r="I73" s="153">
        <f ca="1">VLOOKUP($AB$2,'RF Mod'!$A$2:$G$12,3,FALSE)+VLOOKUP($AD$2,'RF Mod'!$I$2:$O$11,3,FALSE)+(TRUNC(6+(24-6)*(TRUNC(MOD(($Z73*1103515245 +12345)/ 65536, 32768),0)/32768),0))</f>
        <v>15</v>
      </c>
      <c r="J73" s="16" t="e">
        <f t="shared" ca="1" si="2"/>
        <v>#NAME?</v>
      </c>
      <c r="K73" s="153">
        <f ca="1">VLOOKUP($AB$2,'RF Mod'!$A$2:$G$12,3,FALSE)+VLOOKUP($AD$2,'RF Mod'!$I$2:$O$11,3,FALSE)+(TRUNC(6+(24-6)*(TRUNC(MOD(($Z73*1103515245 +12345)/ 65536, 32768),0)/32768),0))</f>
        <v>15</v>
      </c>
      <c r="L73" s="16" t="e">
        <f t="shared" ca="1" si="3"/>
        <v>#NAME?</v>
      </c>
      <c r="M73" s="153">
        <f ca="1">VLOOKUP($AB$2,'RF Mod'!$A$2:$G$12,4,FALSE)+VLOOKUP($AD$2,'RF Mod'!$I$2:$O$11,4,FALSE)+(TRUNC(6+(24-6)*(TRUNC(MOD(($Z73*1103515245 +12345)/ 65536, 32768),0)/32768),0))</f>
        <v>14</v>
      </c>
      <c r="N73" s="16" t="e">
        <f t="shared" ca="1" si="4"/>
        <v>#NAME?</v>
      </c>
      <c r="O73" s="153">
        <f ca="1">VLOOKUP($AB$2,'RF Mod'!$A$2:$G$12,5,FALSE)+VLOOKUP($AD$2,'RF Mod'!$I$2:$O$11,5,FALSE)+(TRUNC(6+(24-6)*(TRUNC(MOD(($Z73*1103515245 +12345)/ 65536, 32768),0)/32768),0))</f>
        <v>17</v>
      </c>
      <c r="P73" s="16" t="e">
        <f t="shared" ca="1" si="5"/>
        <v>#NAME?</v>
      </c>
      <c r="Q73" s="153">
        <f ca="1">VLOOKUP($AB$2,'RF Mod'!$A$2:$G$12,6,FALSE)+VLOOKUP($AD$2,'RF Mod'!$I$2:$O$11,6,FALSE)+(TRUNC(6+(24-6)*(TRUNC(MOD(($Z73*1103515245 +12345)/ 65536, 32768),0)/32768),0))</f>
        <v>15</v>
      </c>
      <c r="R73" s="16" t="e">
        <f t="shared" ca="1" si="6"/>
        <v>#NAME?</v>
      </c>
      <c r="S73" s="154">
        <f t="shared" ca="1" si="12"/>
        <v>168</v>
      </c>
      <c r="T73" s="154">
        <f t="shared" ca="1" si="7"/>
        <v>62</v>
      </c>
      <c r="U73" s="16" t="str">
        <f t="shared" ca="1" si="8"/>
        <v>Fine</v>
      </c>
      <c r="V73" s="155">
        <f ca="1">IFERROR(__xludf.DUMMYFUNCTION("if(W73=""Middle Age"",QUERY(NPCVar!$K$2:$N1000, ""Select L where K = '""&amp;AB73&amp;""'""),if(W73=""Old"",QUERY(NPCVar!$K$2:$N1000, ""Select M where K = '""&amp;AB73&amp;""'""),if(W73=""Venerable"",QUERY(NPCVar!$K$2:$N1000, ""Select N where K = '""&amp;AB73&amp;""'""),false)))"&amp;"*X73"),50)</f>
        <v>50</v>
      </c>
      <c r="W73" s="156" t="str">
        <f t="array" ref="W73">INDEX(NPCAgeType,TRUNC(1+(4-1)*(TRUNC(MOD((X73*1103515245 +12345)/ 65536, 32768),0)/32768),0))</f>
        <v>Middle Age</v>
      </c>
      <c r="X73" s="117">
        <f t="shared" si="13"/>
        <v>2</v>
      </c>
      <c r="Y73" s="157" t="e">
        <f t="array" aca="1" ref="Y73" ca="1">LOOKUP(ABS(MAX(Z73 + MIN(ABS(INDIRECT("Class Jobs!B"&amp;MATCH(E73,'Class Jobs'!$A$1:$A1000,0)&amp;":"&amp;"AF"&amp;MATCH(E73,'Class Jobs'!$A$1:$A1000,0)&amp;"")-$Z73)) * SUM(IF(MIN(ABS(INDIRECT("Class Jobs!B"&amp;MATCH(E73,'Class Jobs'!$A$1:$A1000,0)&amp;":"&amp;"AF"&amp;MATCH(E73,'Class Jobs'!$A$1:$A1000,0)&amp;"")-$Z73))=ABS(INDIRECT("Class Jobs!B"&amp;MATCH(E73,'Class Jobs'!$A$1:$A1000,0)&amp;":"&amp;"AF"&amp;MATCH(E73,'Class Jobs'!$A$1:$A1000,0)&amp;"")-$Z73),SIGN(INDIRECT("Class Jobs!B"&amp;MATCH(E73,'Class Jobs'!$A$1:A1000,0)&amp;":"&amp;"AF"&amp;MATCH(E73,'Class Jobs'!$A$1:$A1000,0)&amp;"")-$Z73),0)),0)),INDIRECT("Class Jobs!B"&amp;MATCH(E73,'Class Jobs'!$A$1:$A1000,0)&amp;":"&amp;"AF"&amp;MATCH(E73,'Class Jobs'!$A$1:$A1000,1)&amp;""),'Class Jobs'!$B$1:$AF$1)</f>
        <v>#REF!</v>
      </c>
      <c r="Z73" s="158">
        <f t="shared" si="10"/>
        <v>0.8</v>
      </c>
      <c r="AA73" s="16" t="str">
        <f t="array" ref="AA73">INDEX(NPCGender,TRUNC(1+(COUNTA(NPCGender))*(TRUNC(MOD(($B73*1103515245 +12345)/ 65536, 32768),0)/32768),0))</f>
        <v>Neutral</v>
      </c>
      <c r="AB73" s="16" t="str">
        <f t="array" ref="AB73">INDEX(NPCRace,TRUNC(1+(COUNTA(NPCRace))*(TRUNC(MOD(($B73*1103515245 +12345)/ 65536, 32768),0)/32768),0))</f>
        <v>Tiefling</v>
      </c>
      <c r="AC73" s="16" t="str">
        <f t="array" ref="AC73">INDEX(NPCAL,TRUNC(1+(COUNTA(NPCAL))*(TRUNC(MOD(($B73*1103515245 +12345)/ 65536, 32768),0)/32768),0))</f>
        <v>LN</v>
      </c>
      <c r="AD73" s="72" t="str">
        <f ca="1">IFERROR(__xludf.DUMMYFUNCTION("if(V73&lt;15,QUERY(NPCVar!C:D,""Select D WHERE C = '""&amp;D73&amp;""'""),if((TRUNC(1+10)*(TRUNC(MOD((ROW(H73)*1103515245 +12345)/ 65536, 32768),0)/32768)/10) &gt; 0.85,INDEX(NPCFaction,TRUNC(1+(counta(NPCFaction)-1)*(TRUNC(MOD(($B73*1103515245 +12345)/ 65536, 32768),0"&amp;")/32768),0)),QUERY(NPCVar!C:D,""Select D WHERE C = '""&amp;D73&amp;""'"")))"),"Adventures Guild")</f>
        <v>Adventures Guild</v>
      </c>
      <c r="AE73" s="108" t="e">
        <f t="shared" ca="1" si="11"/>
        <v>#NAME?</v>
      </c>
      <c r="AF73" s="159">
        <f ca="1">IFERROR(__xludf.DUMMYFUNCTION("AE73*(V73 / QUERY(NPCVar!$K$2:$N$12, ""Select N WHERE K='""&amp;AB73&amp;""'""))*TRUNC(1+10)*(TRUNC(MOD(($B73*1103515245 +12345)/ 65536, 32768),0)/32768)"),4.44155883789062)</f>
        <v>4.4415588378906197</v>
      </c>
      <c r="AG73" s="16"/>
      <c r="AH73" s="77"/>
      <c r="AI73" s="114"/>
    </row>
    <row r="74" spans="1:35" ht="16.2">
      <c r="A74" s="53">
        <v>73</v>
      </c>
      <c r="B74" s="118">
        <f t="shared" si="14"/>
        <v>0.56572</v>
      </c>
      <c r="C74" s="72" t="str">
        <f t="array" ref="C74">INDEX(NPCFName,TRUNC(1+(COUNTA(NPCFName))*(TRUNC(MOD(($B74*1103515245 +12345)/ 65536, 32768),0)/32768),0))</f>
        <v>Tuk</v>
      </c>
      <c r="D74" s="16" t="str">
        <f t="array" ref="D74">INDEX(NPCLName,TRUNC(1+(COUNTA(NPCLName))*(TRUNC(MOD(($B74*1103515245 +12345)/ 65536, 32768),0)/32768),0))</f>
        <v>Commonscream</v>
      </c>
      <c r="E74" s="16" t="str">
        <f t="array" ref="E74">INDEX(NPCClass,TRUNC(1+(COUNTA(NPCClass))*(TRUNC(MOD(($B74*1103515245 +12345)/ 65536, 32768),0)/32768),0))</f>
        <v>Monk</v>
      </c>
      <c r="F74" s="76">
        <v>1</v>
      </c>
      <c r="G74" s="153">
        <f ca="1">VLOOKUP($AB$2,'RF Mod'!$A$2:$G$12,2,FALSE)+VLOOKUP($AD$2,'RF Mod'!$I$2:$O$11,2,FALSE)+(TRUNC(6+(24-6)*(TRUNC(MOD(($Z74*1103515245 +12345)/ 65536, 32768),0)/32768),0))</f>
        <v>6</v>
      </c>
      <c r="H74" s="16">
        <f t="shared" ca="1" si="1"/>
        <v>-2</v>
      </c>
      <c r="I74" s="153">
        <f ca="1">VLOOKUP($AB$2,'RF Mod'!$A$2:$G$12,3,FALSE)+VLOOKUP($AD$2,'RF Mod'!$I$2:$O$11,3,FALSE)+(TRUNC(6+(24-6)*(TRUNC(MOD(($Z74*1103515245 +12345)/ 65536, 32768),0)/32768),0))</f>
        <v>10</v>
      </c>
      <c r="J74" s="16" t="e">
        <f t="shared" ca="1" si="2"/>
        <v>#NAME?</v>
      </c>
      <c r="K74" s="153">
        <f ca="1">VLOOKUP($AB$2,'RF Mod'!$A$2:$G$12,3,FALSE)+VLOOKUP($AD$2,'RF Mod'!$I$2:$O$11,3,FALSE)+(TRUNC(6+(24-6)*(TRUNC(MOD(($Z74*1103515245 +12345)/ 65536, 32768),0)/32768),0))</f>
        <v>10</v>
      </c>
      <c r="L74" s="16" t="e">
        <f t="shared" ca="1" si="3"/>
        <v>#NAME?</v>
      </c>
      <c r="M74" s="153">
        <f ca="1">VLOOKUP($AB$2,'RF Mod'!$A$2:$G$12,4,FALSE)+VLOOKUP($AD$2,'RF Mod'!$I$2:$O$11,4,FALSE)+(TRUNC(6+(24-6)*(TRUNC(MOD(($Z74*1103515245 +12345)/ 65536, 32768),0)/32768),0))</f>
        <v>9</v>
      </c>
      <c r="N74" s="16">
        <f t="shared" ca="1" si="4"/>
        <v>-1</v>
      </c>
      <c r="O74" s="153">
        <f ca="1">VLOOKUP($AB$2,'RF Mod'!$A$2:$G$12,5,FALSE)+VLOOKUP($AD$2,'RF Mod'!$I$2:$O$11,5,FALSE)+(TRUNC(6+(24-6)*(TRUNC(MOD(($Z74*1103515245 +12345)/ 65536, 32768),0)/32768),0))</f>
        <v>12</v>
      </c>
      <c r="P74" s="16" t="e">
        <f t="shared" ca="1" si="5"/>
        <v>#NAME?</v>
      </c>
      <c r="Q74" s="153">
        <f ca="1">VLOOKUP($AB$2,'RF Mod'!$A$2:$G$12,6,FALSE)+VLOOKUP($AD$2,'RF Mod'!$I$2:$O$11,6,FALSE)+(TRUNC(6+(24-6)*(TRUNC(MOD(($Z74*1103515245 +12345)/ 65536, 32768),0)/32768),0))</f>
        <v>10</v>
      </c>
      <c r="R74" s="16" t="e">
        <f t="shared" ca="1" si="6"/>
        <v>#NAME?</v>
      </c>
      <c r="S74" s="154">
        <f t="shared" ca="1" si="12"/>
        <v>14</v>
      </c>
      <c r="T74" s="154">
        <f t="shared" ca="1" si="7"/>
        <v>11</v>
      </c>
      <c r="U74" s="16" t="str">
        <f t="shared" ca="1" si="8"/>
        <v>Bloody</v>
      </c>
      <c r="V74" s="155">
        <f ca="1">IFERROR(__xludf.DUMMYFUNCTION("if(W74=""Middle Age"",QUERY(NPCVar!$K$2:$N1000, ""Select L where K = '""&amp;AB74&amp;""'""),if(W74=""Old"",QUERY(NPCVar!$K$2:$N1000, ""Select M where K = '""&amp;AB74&amp;""'""),if(W74=""Venerable"",QUERY(NPCVar!$K$2:$N1000, ""Select N where K = '""&amp;AB74&amp;""'""),false)))"&amp;"*X74"),118.124999999999)</f>
        <v>118.12499999999901</v>
      </c>
      <c r="W74" s="156" t="str">
        <f t="array" ref="W74">INDEX(NPCAgeType,TRUNC(1+(4-1)*(TRUNC(MOD((X74*1103515245 +12345)/ 65536, 32768),0)/32768),0))</f>
        <v>Old</v>
      </c>
      <c r="X74" s="117">
        <f t="shared" si="13"/>
        <v>0.7</v>
      </c>
      <c r="Y74" s="157" t="e">
        <f t="array" aca="1" ref="Y74" ca="1">LOOKUP(ABS(MAX(Z74 + MIN(ABS(INDIRECT("Class Jobs!B"&amp;MATCH(E74,'Class Jobs'!$A$1:$A1000,0)&amp;":"&amp;"AF"&amp;MATCH(E74,'Class Jobs'!$A$1:$A1000,0)&amp;"")-$Z74)) * SUM(IF(MIN(ABS(INDIRECT("Class Jobs!B"&amp;MATCH(E74,'Class Jobs'!$A$1:$A1000,0)&amp;":"&amp;"AF"&amp;MATCH(E74,'Class Jobs'!$A$1:$A1000,0)&amp;"")-$Z74))=ABS(INDIRECT("Class Jobs!B"&amp;MATCH(E74,'Class Jobs'!$A$1:$A1000,0)&amp;":"&amp;"AF"&amp;MATCH(E74,'Class Jobs'!$A$1:$A1000,0)&amp;"")-$Z74),SIGN(INDIRECT("Class Jobs!B"&amp;MATCH(E74,'Class Jobs'!$A$1:A1000,0)&amp;":"&amp;"AF"&amp;MATCH(E74,'Class Jobs'!$A$1:$A1000,0)&amp;"")-$Z74),0)),0)),INDIRECT("Class Jobs!B"&amp;MATCH(E74,'Class Jobs'!$A$1:$A1000,0)&amp;":"&amp;"AF"&amp;MATCH(E74,'Class Jobs'!$A$1:$A1000,1)&amp;""),'Class Jobs'!$B$1:$AF$1)</f>
        <v>#REF!</v>
      </c>
      <c r="Z74" s="158">
        <f t="shared" si="10"/>
        <v>0.28999999999999998</v>
      </c>
      <c r="AA74" s="16" t="str">
        <f t="array" ref="AA74">INDEX(NPCGender,TRUNC(1+(COUNTA(NPCGender))*(TRUNC(MOD(($B74*1103515245 +12345)/ 65536, 32768),0)/32768),0))</f>
        <v>Male</v>
      </c>
      <c r="AB74" s="16" t="str">
        <f t="array" ref="AB74">INDEX(NPCRace,TRUNC(1+(COUNTA(NPCRace))*(TRUNC(MOD(($B74*1103515245 +12345)/ 65536, 32768),0)/32768),0))</f>
        <v>Gnome</v>
      </c>
      <c r="AC74" s="16" t="str">
        <f t="array" ref="AC74">INDEX(NPCAL,TRUNC(1+(COUNTA(NPCAL))*(TRUNC(MOD(($B74*1103515245 +12345)/ 65536, 32768),0)/32768),0))</f>
        <v>CG</v>
      </c>
      <c r="AD74" s="72" t="str">
        <f ca="1">IFERROR(__xludf.DUMMYFUNCTION("if(V74&lt;15,QUERY(NPCVar!C:D,""Select D WHERE C = '""&amp;D74&amp;""'""),if((TRUNC(1+10)*(TRUNC(MOD((ROW(H74)*1103515245 +12345)/ 65536, 32768),0)/32768)/10) &gt; 0.85,INDEX(NPCFaction,TRUNC(1+(counta(NPCFaction)-1)*(TRUNC(MOD(($B74*1103515245 +12345)/ 65536, 32768),0"&amp;")/32768),0)),QUERY(NPCVar!C:D,""Select D WHERE C = '""&amp;D74&amp;""'"")))"),"Necromancer")</f>
        <v>Necromancer</v>
      </c>
      <c r="AE74" s="108" t="e">
        <f t="shared" ca="1" si="11"/>
        <v>#NAME?</v>
      </c>
      <c r="AF74" s="159">
        <f ca="1">IFERROR(__xludf.DUMMYFUNCTION("AE74*(V74 / QUERY(NPCVar!$K$2:$N$12, ""Select N WHERE K='""&amp;AB74&amp;""'""))*TRUNC(1+10)*(TRUNC(MOD(($B74*1103515245 +12345)/ 65536, 32768),0)/32768)"),0.251801490783691)</f>
        <v>0.25180149078369102</v>
      </c>
      <c r="AG74" s="16"/>
      <c r="AH74" s="77"/>
      <c r="AI74" s="114"/>
    </row>
    <row r="75" spans="1:35" ht="16.2">
      <c r="A75" s="53">
        <v>74</v>
      </c>
      <c r="B75" s="118">
        <f t="shared" si="14"/>
        <v>2.05986</v>
      </c>
      <c r="C75" s="72" t="str">
        <f t="array" ref="C75">INDEX(NPCFName,TRUNC(1+(COUNTA(NPCFName))*(TRUNC(MOD(($B75*1103515245 +12345)/ 65536, 32768),0)/32768),0))</f>
        <v>Cosdeer</v>
      </c>
      <c r="D75" s="16" t="str">
        <f t="array" ref="D75">INDEX(NPCLName,TRUNC(1+(COUNTA(NPCLName))*(TRUNC(MOD(($B75*1103515245 +12345)/ 65536, 32768),0)/32768),0))</f>
        <v>Crystalgazer</v>
      </c>
      <c r="E75" s="16" t="str">
        <f t="array" ref="E75">INDEX(NPCClass,TRUNC(1+(COUNTA(NPCClass))*(TRUNC(MOD(($B75*1103515245 +12345)/ 65536, 32768),0)/32768),0))</f>
        <v>Barbarian</v>
      </c>
      <c r="F75" s="76">
        <v>1</v>
      </c>
      <c r="G75" s="153">
        <f ca="1">VLOOKUP($AB$2,'RF Mod'!$A$2:$G$12,2,FALSE)+VLOOKUP($AD$2,'RF Mod'!$I$2:$O$11,2,FALSE)+(TRUNC(6+(24-6)*(TRUNC(MOD(($Z75*1103515245 +12345)/ 65536, 32768),0)/32768),0))</f>
        <v>4</v>
      </c>
      <c r="H75" s="16">
        <f t="shared" ca="1" si="1"/>
        <v>-3</v>
      </c>
      <c r="I75" s="153">
        <f ca="1">VLOOKUP($AB$2,'RF Mod'!$A$2:$G$12,3,FALSE)+VLOOKUP($AD$2,'RF Mod'!$I$2:$O$11,3,FALSE)+(TRUNC(6+(24-6)*(TRUNC(MOD(($Z75*1103515245 +12345)/ 65536, 32768),0)/32768),0))</f>
        <v>8</v>
      </c>
      <c r="J75" s="16">
        <f t="shared" ca="1" si="2"/>
        <v>-1</v>
      </c>
      <c r="K75" s="153">
        <f ca="1">VLOOKUP($AB$2,'RF Mod'!$A$2:$G$12,3,FALSE)+VLOOKUP($AD$2,'RF Mod'!$I$2:$O$11,3,FALSE)+(TRUNC(6+(24-6)*(TRUNC(MOD(($Z75*1103515245 +12345)/ 65536, 32768),0)/32768),0))</f>
        <v>8</v>
      </c>
      <c r="L75" s="16">
        <f t="shared" ca="1" si="3"/>
        <v>-1</v>
      </c>
      <c r="M75" s="153">
        <f ca="1">VLOOKUP($AB$2,'RF Mod'!$A$2:$G$12,4,FALSE)+VLOOKUP($AD$2,'RF Mod'!$I$2:$O$11,4,FALSE)+(TRUNC(6+(24-6)*(TRUNC(MOD(($Z75*1103515245 +12345)/ 65536, 32768),0)/32768),0))</f>
        <v>7</v>
      </c>
      <c r="N75" s="16">
        <f t="shared" ca="1" si="4"/>
        <v>-2</v>
      </c>
      <c r="O75" s="153">
        <f ca="1">VLOOKUP($AB$2,'RF Mod'!$A$2:$G$12,5,FALSE)+VLOOKUP($AD$2,'RF Mod'!$I$2:$O$11,5,FALSE)+(TRUNC(6+(24-6)*(TRUNC(MOD(($Z75*1103515245 +12345)/ 65536, 32768),0)/32768),0))</f>
        <v>10</v>
      </c>
      <c r="P75" s="16" t="e">
        <f t="shared" ca="1" si="5"/>
        <v>#NAME?</v>
      </c>
      <c r="Q75" s="153">
        <f ca="1">VLOOKUP($AB$2,'RF Mod'!$A$2:$G$12,6,FALSE)+VLOOKUP($AD$2,'RF Mod'!$I$2:$O$11,6,FALSE)+(TRUNC(6+(24-6)*(TRUNC(MOD(($Z75*1103515245 +12345)/ 65536, 32768),0)/32768),0))</f>
        <v>8</v>
      </c>
      <c r="R75" s="16">
        <f t="shared" ca="1" si="6"/>
        <v>-1</v>
      </c>
      <c r="S75" s="154">
        <f t="shared" ca="1" si="12"/>
        <v>26</v>
      </c>
      <c r="T75" s="154">
        <f t="shared" ca="1" si="7"/>
        <v>3</v>
      </c>
      <c r="U75" s="16" t="str">
        <f t="shared" ca="1" si="8"/>
        <v>Fine</v>
      </c>
      <c r="V75" s="155">
        <f ca="1">IFERROR(__xludf.DUMMYFUNCTION("if(W75=""Middle Age"",QUERY(NPCVar!$K$2:$N1000, ""Select L where K = '""&amp;AB75&amp;""'""),if(W75=""Old"",QUERY(NPCVar!$K$2:$N1000, ""Select M where K = '""&amp;AB75&amp;""'""),if(W75=""Venerable"",QUERY(NPCVar!$K$2:$N1000, ""Select N where K = '""&amp;AB75&amp;""'""),false)))"&amp;"*X75"),4)</f>
        <v>4</v>
      </c>
      <c r="W75" s="156" t="str">
        <f t="array" ref="W75">INDEX(NPCAgeType,TRUNC(1+(4-1)*(TRUNC(MOD((X75*1103515245 +12345)/ 65536, 32768),0)/32768),0))</f>
        <v>Middle Age</v>
      </c>
      <c r="X75" s="117">
        <f t="shared" si="13"/>
        <v>0.2</v>
      </c>
      <c r="Y75" s="157" t="e">
        <f t="array" aca="1" ref="Y75" ca="1">LOOKUP(ABS(MAX(Z75 + MIN(ABS(INDIRECT("Class Jobs!B"&amp;MATCH(E75,'Class Jobs'!$A$1:$A1000,0)&amp;":"&amp;"AF"&amp;MATCH(E75,'Class Jobs'!$A$1:$A1000,0)&amp;"")-$Z75)) * SUM(IF(MIN(ABS(INDIRECT("Class Jobs!B"&amp;MATCH(E75,'Class Jobs'!$A$1:$A1000,0)&amp;":"&amp;"AF"&amp;MATCH(E75,'Class Jobs'!$A$1:$A1000,0)&amp;"")-$Z75))=ABS(INDIRECT("Class Jobs!B"&amp;MATCH(E75,'Class Jobs'!$A$1:$A1000,0)&amp;":"&amp;"AF"&amp;MATCH(E75,'Class Jobs'!$A$1:$A1000,0)&amp;"")-$Z75),SIGN(INDIRECT("Class Jobs!B"&amp;MATCH(E75,'Class Jobs'!$A$1:A1000,0)&amp;":"&amp;"AF"&amp;MATCH(E75,'Class Jobs'!$A$1:$A1000,0)&amp;"")-$Z75),0)),0)),INDIRECT("Class Jobs!B"&amp;MATCH(E75,'Class Jobs'!$A$1:$A1000,0)&amp;":"&amp;"AF"&amp;MATCH(E75,'Class Jobs'!$A$1:$A1000,1)&amp;""),'Class Jobs'!$B$1:$AF$1)</f>
        <v>#REF!</v>
      </c>
      <c r="Z75" s="158">
        <f t="shared" si="10"/>
        <v>0.06</v>
      </c>
      <c r="AA75" s="16" t="str">
        <f t="array" ref="AA75">INDEX(NPCGender,TRUNC(1+(COUNTA(NPCGender))*(TRUNC(MOD(($B75*1103515245 +12345)/ 65536, 32768),0)/32768),0))</f>
        <v>Male</v>
      </c>
      <c r="AB75" s="16" t="str">
        <f t="array" ref="AB75">INDEX(NPCRace,TRUNC(1+(COUNTA(NPCRace))*(TRUNC(MOD(($B75*1103515245 +12345)/ 65536, 32768),0)/32768),0))</f>
        <v>Dragonborn</v>
      </c>
      <c r="AC75" s="16" t="str">
        <f t="array" ref="AC75">INDEX(NPCAL,TRUNC(1+(COUNTA(NPCAL))*(TRUNC(MOD(($B75*1103515245 +12345)/ 65536, 32768),0)/32768),0))</f>
        <v>CN</v>
      </c>
      <c r="AD75" s="72" t="str">
        <f ca="1">IFERROR(__xludf.DUMMYFUNCTION("if(V75&lt;15,QUERY(NPCVar!C:D,""Select D WHERE C = '""&amp;D75&amp;""'""),if((TRUNC(1+10)*(TRUNC(MOD((ROW(H75)*1103515245 +12345)/ 65536, 32768),0)/32768)/10) &gt; 0.85,INDEX(NPCFaction,TRUNC(1+(counta(NPCFaction)-1)*(TRUNC(MOD(($B75*1103515245 +12345)/ 65536, 32768),0"&amp;")/32768),0)),QUERY(NPCVar!C:D,""Select D WHERE C = '""&amp;D75&amp;""'"")))"),"Death Guild")</f>
        <v>Death Guild</v>
      </c>
      <c r="AE75" s="108" t="e">
        <f t="shared" ca="1" si="11"/>
        <v>#NAME?</v>
      </c>
      <c r="AF75" s="159">
        <f ca="1">IFERROR(__xludf.DUMMYFUNCTION("AE75*(V75 / QUERY(NPCVar!$K$2:$N$12, ""Select N WHERE K='""&amp;AB75&amp;""'""))*TRUNC(1+10)*(TRUNC(MOD(($B75*1103515245 +12345)/ 65536, 32768),0)/32768)"),-0.006431884765625)</f>
        <v>-6.4318847656249997E-3</v>
      </c>
      <c r="AG75" s="16"/>
      <c r="AH75" s="77"/>
      <c r="AI75" s="114"/>
    </row>
    <row r="76" spans="1:35" ht="16.2">
      <c r="A76" s="53">
        <v>75</v>
      </c>
      <c r="B76" s="118">
        <f t="shared" si="14"/>
        <v>1.054</v>
      </c>
      <c r="C76" s="72" t="str">
        <f t="array" ref="C76">INDEX(NPCFName,TRUNC(1+(COUNTA(NPCFName))*(TRUNC(MOD(($B76*1103515245 +12345)/ 65536, 32768),0)/32768),0))</f>
        <v>Noford</v>
      </c>
      <c r="D76" s="16" t="str">
        <f t="array" ref="D76">INDEX(NPCLName,TRUNC(1+(COUNTA(NPCLName))*(TRUNC(MOD(($B76*1103515245 +12345)/ 65536, 32768),0)/32768),0))</f>
        <v>Plainspirit</v>
      </c>
      <c r="E76" s="16" t="str">
        <f t="array" ref="E76">INDEX(NPCClass,TRUNC(1+(COUNTA(NPCClass))*(TRUNC(MOD(($B76*1103515245 +12345)/ 65536, 32768),0)/32768),0))</f>
        <v>Sorcerer</v>
      </c>
      <c r="F76" s="76">
        <v>8</v>
      </c>
      <c r="G76" s="153">
        <f ca="1">VLOOKUP($AB$2,'RF Mod'!$A$2:$G$12,2,FALSE)+VLOOKUP($AD$2,'RF Mod'!$I$2:$O$11,2,FALSE)+(TRUNC(6+(24-6)*(TRUNC(MOD(($Z76*1103515245 +12345)/ 65536, 32768),0)/32768),0))</f>
        <v>8</v>
      </c>
      <c r="H76" s="16">
        <f t="shared" ca="1" si="1"/>
        <v>-1</v>
      </c>
      <c r="I76" s="153">
        <f ca="1">VLOOKUP($AB$2,'RF Mod'!$A$2:$G$12,3,FALSE)+VLOOKUP($AD$2,'RF Mod'!$I$2:$O$11,3,FALSE)+(TRUNC(6+(24-6)*(TRUNC(MOD(($Z76*1103515245 +12345)/ 65536, 32768),0)/32768),0))</f>
        <v>12</v>
      </c>
      <c r="J76" s="16" t="e">
        <f t="shared" ca="1" si="2"/>
        <v>#NAME?</v>
      </c>
      <c r="K76" s="153">
        <f ca="1">VLOOKUP($AB$2,'RF Mod'!$A$2:$G$12,3,FALSE)+VLOOKUP($AD$2,'RF Mod'!$I$2:$O$11,3,FALSE)+(TRUNC(6+(24-6)*(TRUNC(MOD(($Z76*1103515245 +12345)/ 65536, 32768),0)/32768),0))</f>
        <v>12</v>
      </c>
      <c r="L76" s="16" t="e">
        <f t="shared" ca="1" si="3"/>
        <v>#NAME?</v>
      </c>
      <c r="M76" s="153">
        <f ca="1">VLOOKUP($AB$2,'RF Mod'!$A$2:$G$12,4,FALSE)+VLOOKUP($AD$2,'RF Mod'!$I$2:$O$11,4,FALSE)+(TRUNC(6+(24-6)*(TRUNC(MOD(($Z76*1103515245 +12345)/ 65536, 32768),0)/32768),0))</f>
        <v>11</v>
      </c>
      <c r="N76" s="16" t="e">
        <f t="shared" ca="1" si="4"/>
        <v>#NAME?</v>
      </c>
      <c r="O76" s="153">
        <f ca="1">VLOOKUP($AB$2,'RF Mod'!$A$2:$G$12,5,FALSE)+VLOOKUP($AD$2,'RF Mod'!$I$2:$O$11,5,FALSE)+(TRUNC(6+(24-6)*(TRUNC(MOD(($Z76*1103515245 +12345)/ 65536, 32768),0)/32768),0))</f>
        <v>14</v>
      </c>
      <c r="P76" s="16" t="e">
        <f t="shared" ca="1" si="5"/>
        <v>#NAME?</v>
      </c>
      <c r="Q76" s="153">
        <f ca="1">VLOOKUP($AB$2,'RF Mod'!$A$2:$G$12,6,FALSE)+VLOOKUP($AD$2,'RF Mod'!$I$2:$O$11,6,FALSE)+(TRUNC(6+(24-6)*(TRUNC(MOD(($Z76*1103515245 +12345)/ 65536, 32768),0)/32768),0))</f>
        <v>12</v>
      </c>
      <c r="R76" s="16" t="e">
        <f t="shared" ca="1" si="6"/>
        <v>#NAME?</v>
      </c>
      <c r="S76" s="154">
        <f t="shared" ca="1" si="12"/>
        <v>160</v>
      </c>
      <c r="T76" s="154">
        <f t="shared" ca="1" si="7"/>
        <v>61</v>
      </c>
      <c r="U76" s="16" t="str">
        <f t="shared" ca="1" si="8"/>
        <v>Fine</v>
      </c>
      <c r="V76" s="155">
        <f ca="1">IFERROR(__xludf.DUMMYFUNCTION("if(W76=""Middle Age"",QUERY(NPCVar!$K$2:$N1000, ""Select L where K = '""&amp;AB76&amp;""'""),if(W76=""Old"",QUERY(NPCVar!$K$2:$N1000, ""Select M where K = '""&amp;AB76&amp;""'""),if(W76=""Venerable"",QUERY(NPCVar!$K$2:$N1000, ""Select N where K = '""&amp;AB76&amp;""'""),false)))"&amp;"*X76"),91)</f>
        <v>91</v>
      </c>
      <c r="W76" s="156" t="str">
        <f t="array" ref="W76">INDEX(NPCAgeType,TRUNC(1+(4-1)*(TRUNC(MOD((X76*1103515245 +12345)/ 65536, 32768),0)/32768),0))</f>
        <v>Venerable</v>
      </c>
      <c r="X76" s="117">
        <f t="shared" si="13"/>
        <v>1.3</v>
      </c>
      <c r="Y76" s="157" t="e">
        <f t="array" aca="1" ref="Y76" ca="1">LOOKUP(ABS(MAX(Z76 + MIN(ABS(INDIRECT("Class Jobs!B"&amp;MATCH(E76,'Class Jobs'!$A$1:$A1000,0)&amp;":"&amp;"AF"&amp;MATCH(E76,'Class Jobs'!$A$1:$A1000,0)&amp;"")-$Z76)) * SUM(IF(MIN(ABS(INDIRECT("Class Jobs!B"&amp;MATCH(E76,'Class Jobs'!$A$1:$A1000,0)&amp;":"&amp;"AF"&amp;MATCH(E76,'Class Jobs'!$A$1:$A1000,0)&amp;"")-$Z76))=ABS(INDIRECT("Class Jobs!B"&amp;MATCH(E76,'Class Jobs'!$A$1:$A1000,0)&amp;":"&amp;"AF"&amp;MATCH(E76,'Class Jobs'!$A$1:$A1000,0)&amp;"")-$Z76),SIGN(INDIRECT("Class Jobs!B"&amp;MATCH(E76,'Class Jobs'!$A$1:A1000,0)&amp;":"&amp;"AF"&amp;MATCH(E76,'Class Jobs'!$A$1:$A1000,0)&amp;"")-$Z76),0)),0)),INDIRECT("Class Jobs!B"&amp;MATCH(E76,'Class Jobs'!$A$1:$A1000,0)&amp;":"&amp;"AF"&amp;MATCH(E76,'Class Jobs'!$A$1:$A1000,1)&amp;""),'Class Jobs'!$B$1:$AF$1)</f>
        <v>#REF!</v>
      </c>
      <c r="Z76" s="158">
        <f t="shared" si="10"/>
        <v>0.54</v>
      </c>
      <c r="AA76" s="16" t="str">
        <f t="array" ref="AA76">INDEX(NPCGender,TRUNC(1+(COUNTA(NPCGender))*(TRUNC(MOD(($B76*1103515245 +12345)/ 65536, 32768),0)/32768),0))</f>
        <v>Female</v>
      </c>
      <c r="AB76" s="16" t="str">
        <f t="array" ref="AB76">INDEX(NPCRace,TRUNC(1+(COUNTA(NPCRace))*(TRUNC(MOD(($B76*1103515245 +12345)/ 65536, 32768),0)/32768),0))</f>
        <v>Half-Orc</v>
      </c>
      <c r="AC76" s="16" t="str">
        <f t="array" ref="AC76">INDEX(NPCAL,TRUNC(1+(COUNTA(NPCAL))*(TRUNC(MOD(($B76*1103515245 +12345)/ 65536, 32768),0)/32768),0))</f>
        <v>NN</v>
      </c>
      <c r="AD76" s="72" t="str">
        <f ca="1">IFERROR(__xludf.DUMMYFUNCTION("if(V76&lt;15,QUERY(NPCVar!C:D,""Select D WHERE C = '""&amp;D76&amp;""'""),if((TRUNC(1+10)*(TRUNC(MOD((ROW(H76)*1103515245 +12345)/ 65536, 32768),0)/32768)/10) &gt; 0.85,INDEX(NPCFaction,TRUNC(1+(counta(NPCFaction)-1)*(TRUNC(MOD(($B76*1103515245 +12345)/ 65536, 32768),0"&amp;")/32768),0)),QUERY(NPCVar!C:D,""Select D WHERE C = '""&amp;D76&amp;""'"")))"),"Traders Guild")</f>
        <v>Traders Guild</v>
      </c>
      <c r="AE76" s="108" t="e">
        <f t="shared" ca="1" si="11"/>
        <v>#NAME?</v>
      </c>
      <c r="AF76" s="159">
        <f ca="1">IFERROR(__xludf.DUMMYFUNCTION("AE76*(V76 / QUERY(NPCVar!$K$2:$N$12, ""Select N WHERE K='""&amp;AB76&amp;""'""))*TRUNC(1+10)*(TRUNC(MOD(($B76*1103515245 +12345)/ 65536, 32768),0)/32768)"),4.64688903808593)</f>
        <v>4.6468890380859298</v>
      </c>
      <c r="AG76" s="16"/>
      <c r="AH76" s="77"/>
      <c r="AI76" s="114"/>
    </row>
    <row r="77" spans="1:35" ht="16.2">
      <c r="A77" s="53">
        <v>76</v>
      </c>
      <c r="B77" s="118">
        <f t="shared" si="14"/>
        <v>4.8070000000000002E-2</v>
      </c>
      <c r="C77" s="72" t="str">
        <f t="array" ref="C77">INDEX(NPCFName,TRUNC(1+(COUNTA(NPCFName))*(TRUNC(MOD(($B77*1103515245 +12345)/ 65536, 32768),0)/32768),0))</f>
        <v>Balati</v>
      </c>
      <c r="D77" s="16" t="str">
        <f t="array" ref="D77">INDEX(NPCLName,TRUNC(1+(COUNTA(NPCLName))*(TRUNC(MOD(($B77*1103515245 +12345)/ 65536, 32768),0)/32768),0))</f>
        <v>Stagfang</v>
      </c>
      <c r="E77" s="16" t="str">
        <f t="array" ref="E77">INDEX(NPCClass,TRUNC(1+(COUNTA(NPCClass))*(TRUNC(MOD(($B77*1103515245 +12345)/ 65536, 32768),0)/32768),0))</f>
        <v>Barbarian</v>
      </c>
      <c r="F77" s="76">
        <v>1</v>
      </c>
      <c r="G77" s="153">
        <f ca="1">VLOOKUP($AB$2,'RF Mod'!$A$2:$G$12,2,FALSE)+VLOOKUP($AD$2,'RF Mod'!$I$2:$O$11,2,FALSE)+(TRUNC(6+(24-6)*(TRUNC(MOD(($Z77*1103515245 +12345)/ 65536, 32768),0)/32768),0))</f>
        <v>4</v>
      </c>
      <c r="H77" s="16">
        <f t="shared" ca="1" si="1"/>
        <v>-3</v>
      </c>
      <c r="I77" s="153">
        <f ca="1">VLOOKUP($AB$2,'RF Mod'!$A$2:$G$12,3,FALSE)+VLOOKUP($AD$2,'RF Mod'!$I$2:$O$11,3,FALSE)+(TRUNC(6+(24-6)*(TRUNC(MOD(($Z77*1103515245 +12345)/ 65536, 32768),0)/32768),0))</f>
        <v>8</v>
      </c>
      <c r="J77" s="16">
        <f t="shared" ca="1" si="2"/>
        <v>-1</v>
      </c>
      <c r="K77" s="153">
        <f ca="1">VLOOKUP($AB$2,'RF Mod'!$A$2:$G$12,3,FALSE)+VLOOKUP($AD$2,'RF Mod'!$I$2:$O$11,3,FALSE)+(TRUNC(6+(24-6)*(TRUNC(MOD(($Z77*1103515245 +12345)/ 65536, 32768),0)/32768),0))</f>
        <v>8</v>
      </c>
      <c r="L77" s="16">
        <f t="shared" ca="1" si="3"/>
        <v>-1</v>
      </c>
      <c r="M77" s="153">
        <f ca="1">VLOOKUP($AB$2,'RF Mod'!$A$2:$G$12,4,FALSE)+VLOOKUP($AD$2,'RF Mod'!$I$2:$O$11,4,FALSE)+(TRUNC(6+(24-6)*(TRUNC(MOD(($Z77*1103515245 +12345)/ 65536, 32768),0)/32768),0))</f>
        <v>7</v>
      </c>
      <c r="N77" s="16">
        <f t="shared" ca="1" si="4"/>
        <v>-2</v>
      </c>
      <c r="O77" s="153">
        <f ca="1">VLOOKUP($AB$2,'RF Mod'!$A$2:$G$12,5,FALSE)+VLOOKUP($AD$2,'RF Mod'!$I$2:$O$11,5,FALSE)+(TRUNC(6+(24-6)*(TRUNC(MOD(($Z77*1103515245 +12345)/ 65536, 32768),0)/32768),0))</f>
        <v>10</v>
      </c>
      <c r="P77" s="16" t="e">
        <f t="shared" ca="1" si="5"/>
        <v>#NAME?</v>
      </c>
      <c r="Q77" s="153">
        <f ca="1">VLOOKUP($AB$2,'RF Mod'!$A$2:$G$12,6,FALSE)+VLOOKUP($AD$2,'RF Mod'!$I$2:$O$11,6,FALSE)+(TRUNC(6+(24-6)*(TRUNC(MOD(($Z77*1103515245 +12345)/ 65536, 32768),0)/32768),0))</f>
        <v>8</v>
      </c>
      <c r="R77" s="16">
        <f t="shared" ca="1" si="6"/>
        <v>-1</v>
      </c>
      <c r="S77" s="154">
        <f t="shared" ca="1" si="12"/>
        <v>26</v>
      </c>
      <c r="T77" s="154">
        <f t="shared" ca="1" si="7"/>
        <v>23</v>
      </c>
      <c r="U77" s="16" t="str">
        <f t="shared" ca="1" si="8"/>
        <v>Bloody</v>
      </c>
      <c r="V77" s="155">
        <f ca="1">IFERROR(__xludf.DUMMYFUNCTION("if(W77=""Middle Age"",QUERY(NPCVar!$K$2:$N1000, ""Select L where K = '""&amp;AB77&amp;""'""),if(W77=""Old"",QUERY(NPCVar!$K$2:$N1000, ""Select M where K = '""&amp;AB77&amp;""'""),if(W77=""Venerable"",QUERY(NPCVar!$K$2:$N1000, ""Select N where K = '""&amp;AB77&amp;""'""),false)))"&amp;"*X77"),2)</f>
        <v>2</v>
      </c>
      <c r="W77" s="156" t="str">
        <f t="array" ref="W77">INDEX(NPCAgeType,TRUNC(1+(4-1)*(TRUNC(MOD((X77*1103515245 +12345)/ 65536, 32768),0)/32768),0))</f>
        <v>Middle Age</v>
      </c>
      <c r="X77" s="117">
        <f t="shared" si="13"/>
        <v>0.1</v>
      </c>
      <c r="Y77" s="157" t="e">
        <f t="array" aca="1" ref="Y77" ca="1">LOOKUP(ABS(MAX(Z77 + MIN(ABS(INDIRECT("Class Jobs!B"&amp;MATCH(E77,'Class Jobs'!$A$1:$A1000,0)&amp;":"&amp;"AF"&amp;MATCH(E77,'Class Jobs'!$A$1:$A1000,0)&amp;"")-$Z77)) * SUM(IF(MIN(ABS(INDIRECT("Class Jobs!B"&amp;MATCH(E77,'Class Jobs'!$A$1:$A1000,0)&amp;":"&amp;"AF"&amp;MATCH(E77,'Class Jobs'!$A$1:$A1000,0)&amp;"")-$Z77))=ABS(INDIRECT("Class Jobs!B"&amp;MATCH(E77,'Class Jobs'!$A$1:$A1000,0)&amp;":"&amp;"AF"&amp;MATCH(E77,'Class Jobs'!$A$1:$A1000,0)&amp;"")-$Z77),SIGN(INDIRECT("Class Jobs!B"&amp;MATCH(E77,'Class Jobs'!$A$1:A1000,0)&amp;":"&amp;"AF"&amp;MATCH(E77,'Class Jobs'!$A$1:$A1000,0)&amp;"")-$Z77),0)),0)),INDIRECT("Class Jobs!B"&amp;MATCH(E77,'Class Jobs'!$A$1:$A1000,0)&amp;":"&amp;"AF"&amp;MATCH(E77,'Class Jobs'!$A$1:$A1000,1)&amp;""),'Class Jobs'!$B$1:$AF$1)</f>
        <v>#REF!</v>
      </c>
      <c r="Z77" s="158">
        <f t="shared" si="10"/>
        <v>0.03</v>
      </c>
      <c r="AA77" s="16" t="str">
        <f t="array" ref="AA77">INDEX(NPCGender,TRUNC(1+(COUNTA(NPCGender))*(TRUNC(MOD(($B77*1103515245 +12345)/ 65536, 32768),0)/32768),0))</f>
        <v>Male</v>
      </c>
      <c r="AB77" s="16" t="str">
        <f t="array" ref="AB77">INDEX(NPCRace,TRUNC(1+(COUNTA(NPCRace))*(TRUNC(MOD(($B77*1103515245 +12345)/ 65536, 32768),0)/32768),0))</f>
        <v>Dragonborn</v>
      </c>
      <c r="AC77" s="16" t="str">
        <f t="array" ref="AC77">INDEX(NPCAL,TRUNC(1+(COUNTA(NPCAL))*(TRUNC(MOD(($B77*1103515245 +12345)/ 65536, 32768),0)/32768),0))</f>
        <v>CN</v>
      </c>
      <c r="AD77" s="72" t="str">
        <f ca="1">IFERROR(__xludf.DUMMYFUNCTION("if(V77&lt;15,QUERY(NPCVar!C:D,""Select D WHERE C = '""&amp;D77&amp;""'""),if((TRUNC(1+10)*(TRUNC(MOD((ROW(H77)*1103515245 +12345)/ 65536, 32768),0)/32768)/10) &gt; 0.85,INDEX(NPCFaction,TRUNC(1+(counta(NPCFaction)-1)*(TRUNC(MOD(($B77*1103515245 +12345)/ 65536, 32768),0"&amp;")/32768),0)),QUERY(NPCVar!C:D,""Select D WHERE C = '""&amp;D77&amp;""'"")))"),"Royalty")</f>
        <v>Royalty</v>
      </c>
      <c r="AE77" s="108" t="e">
        <f t="shared" ca="1" si="11"/>
        <v>#NAME?</v>
      </c>
      <c r="AF77" s="159">
        <f ca="1">IFERROR(__xludf.DUMMYFUNCTION("AE77*(V77 / QUERY(NPCVar!$K$2:$N$12, ""Select N WHERE K='""&amp;AB77&amp;""'""))*TRUNC(1+10)*(TRUNC(MOD(($B77*1103515245 +12345)/ 65536, 32768),0)/32768)"),-0.00135787963867187)</f>
        <v>-1.3578796386718699E-3</v>
      </c>
      <c r="AG77" s="16"/>
      <c r="AH77" s="77"/>
      <c r="AI77" s="114"/>
    </row>
    <row r="78" spans="1:35" ht="16.2">
      <c r="A78" s="53">
        <v>77</v>
      </c>
      <c r="B78" s="118">
        <f t="shared" si="14"/>
        <v>1.5422</v>
      </c>
      <c r="C78" s="72" t="str">
        <f t="array" ref="C78">INDEX(NPCFName,TRUNC(1+(COUNTA(NPCFName))*(TRUNC(MOD(($B78*1103515245 +12345)/ 65536, 32768),0)/32768),0))</f>
        <v>Gustov</v>
      </c>
      <c r="D78" s="16" t="str">
        <f t="array" ref="D78">INDEX(NPCLName,TRUNC(1+(COUNTA(NPCLName))*(TRUNC(MOD(($B78*1103515245 +12345)/ 65536, 32768),0)/32768),0))</f>
        <v>Truthdoom</v>
      </c>
      <c r="E78" s="16" t="str">
        <f t="array" ref="E78">INDEX(NPCClass,TRUNC(1+(COUNTA(NPCClass))*(TRUNC(MOD(($B78*1103515245 +12345)/ 65536, 32768),0)/32768),0))</f>
        <v>Cleric</v>
      </c>
      <c r="F78" s="76">
        <v>8</v>
      </c>
      <c r="G78" s="153">
        <f ca="1">VLOOKUP($AB$2,'RF Mod'!$A$2:$G$12,2,FALSE)+VLOOKUP($AD$2,'RF Mod'!$I$2:$O$11,2,FALSE)+(TRUNC(6+(24-6)*(TRUNC(MOD(($Z78*1103515245 +12345)/ 65536, 32768),0)/32768),0))</f>
        <v>11</v>
      </c>
      <c r="H78" s="16" t="e">
        <f t="shared" ca="1" si="1"/>
        <v>#NAME?</v>
      </c>
      <c r="I78" s="153">
        <f ca="1">VLOOKUP($AB$2,'RF Mod'!$A$2:$G$12,3,FALSE)+VLOOKUP($AD$2,'RF Mod'!$I$2:$O$11,3,FALSE)+(TRUNC(6+(24-6)*(TRUNC(MOD(($Z78*1103515245 +12345)/ 65536, 32768),0)/32768),0))</f>
        <v>15</v>
      </c>
      <c r="J78" s="16" t="e">
        <f t="shared" ca="1" si="2"/>
        <v>#NAME?</v>
      </c>
      <c r="K78" s="153">
        <f ca="1">VLOOKUP($AB$2,'RF Mod'!$A$2:$G$12,3,FALSE)+VLOOKUP($AD$2,'RF Mod'!$I$2:$O$11,3,FALSE)+(TRUNC(6+(24-6)*(TRUNC(MOD(($Z78*1103515245 +12345)/ 65536, 32768),0)/32768),0))</f>
        <v>15</v>
      </c>
      <c r="L78" s="16" t="e">
        <f t="shared" ca="1" si="3"/>
        <v>#NAME?</v>
      </c>
      <c r="M78" s="153">
        <f ca="1">VLOOKUP($AB$2,'RF Mod'!$A$2:$G$12,4,FALSE)+VLOOKUP($AD$2,'RF Mod'!$I$2:$O$11,4,FALSE)+(TRUNC(6+(24-6)*(TRUNC(MOD(($Z78*1103515245 +12345)/ 65536, 32768),0)/32768),0))</f>
        <v>14</v>
      </c>
      <c r="N78" s="16" t="e">
        <f t="shared" ca="1" si="4"/>
        <v>#NAME?</v>
      </c>
      <c r="O78" s="153">
        <f ca="1">VLOOKUP($AB$2,'RF Mod'!$A$2:$G$12,5,FALSE)+VLOOKUP($AD$2,'RF Mod'!$I$2:$O$11,5,FALSE)+(TRUNC(6+(24-6)*(TRUNC(MOD(($Z78*1103515245 +12345)/ 65536, 32768),0)/32768),0))</f>
        <v>17</v>
      </c>
      <c r="P78" s="16" t="e">
        <f t="shared" ca="1" si="5"/>
        <v>#NAME?</v>
      </c>
      <c r="Q78" s="153">
        <f ca="1">VLOOKUP($AB$2,'RF Mod'!$A$2:$G$12,6,FALSE)+VLOOKUP($AD$2,'RF Mod'!$I$2:$O$11,6,FALSE)+(TRUNC(6+(24-6)*(TRUNC(MOD(($Z78*1103515245 +12345)/ 65536, 32768),0)/32768),0))</f>
        <v>15</v>
      </c>
      <c r="R78" s="16" t="e">
        <f t="shared" ca="1" si="6"/>
        <v>#NAME?</v>
      </c>
      <c r="S78" s="154">
        <f t="shared" ca="1" si="12"/>
        <v>216</v>
      </c>
      <c r="T78" s="154">
        <f t="shared" ca="1" si="7"/>
        <v>164</v>
      </c>
      <c r="U78" s="16" t="str">
        <f t="shared" ca="1" si="8"/>
        <v>Bloody</v>
      </c>
      <c r="V78" s="155">
        <f ca="1">IFERROR(__xludf.DUMMYFUNCTION("if(W78=""Middle Age"",QUERY(NPCVar!$K$2:$N1000, ""Select L where K = '""&amp;AB78&amp;""'""),if(W78=""Old"",QUERY(NPCVar!$K$2:$N1000, ""Select M where K = '""&amp;AB78&amp;""'""),if(W78=""Venerable"",QUERY(NPCVar!$K$2:$N1000, ""Select N where K = '""&amp;AB78&amp;""'""),false)))"&amp;"*X78"),50)</f>
        <v>50</v>
      </c>
      <c r="W78" s="156" t="str">
        <f t="array" ref="W78">INDEX(NPCAgeType,TRUNC(1+(4-1)*(TRUNC(MOD((X78*1103515245 +12345)/ 65536, 32768),0)/32768),0))</f>
        <v>Middle Age</v>
      </c>
      <c r="X78" s="117">
        <f t="shared" si="13"/>
        <v>2</v>
      </c>
      <c r="Y78" s="157" t="e">
        <f t="array" aca="1" ref="Y78" ca="1">LOOKUP(ABS(MAX(Z78 + MIN(ABS(INDIRECT("Class Jobs!B"&amp;MATCH(E78,'Class Jobs'!$A$1:$A1000,0)&amp;":"&amp;"AF"&amp;MATCH(E78,'Class Jobs'!$A$1:$A1000,0)&amp;"")-$Z78)) * SUM(IF(MIN(ABS(INDIRECT("Class Jobs!B"&amp;MATCH(E78,'Class Jobs'!$A$1:$A1000,0)&amp;":"&amp;"AF"&amp;MATCH(E78,'Class Jobs'!$A$1:$A1000,0)&amp;"")-$Z78))=ABS(INDIRECT("Class Jobs!B"&amp;MATCH(E78,'Class Jobs'!$A$1:$A1000,0)&amp;":"&amp;"AF"&amp;MATCH(E78,'Class Jobs'!$A$1:$A1000,0)&amp;"")-$Z78),SIGN(INDIRECT("Class Jobs!B"&amp;MATCH(E78,'Class Jobs'!$A$1:A1000,0)&amp;":"&amp;"AF"&amp;MATCH(E78,'Class Jobs'!$A$1:$A1000,0)&amp;"")-$Z78),0)),0)),INDIRECT("Class Jobs!B"&amp;MATCH(E78,'Class Jobs'!$A$1:$A1000,0)&amp;":"&amp;"AF"&amp;MATCH(E78,'Class Jobs'!$A$1:$A1000,1)&amp;""),'Class Jobs'!$B$1:$AF$1)</f>
        <v>#REF!</v>
      </c>
      <c r="Z78" s="158">
        <f t="shared" si="10"/>
        <v>0.79</v>
      </c>
      <c r="AA78" s="16" t="str">
        <f t="array" ref="AA78">INDEX(NPCGender,TRUNC(1+(COUNTA(NPCGender))*(TRUNC(MOD(($B78*1103515245 +12345)/ 65536, 32768),0)/32768),0))</f>
        <v>Neutral</v>
      </c>
      <c r="AB78" s="16" t="str">
        <f t="array" ref="AB78">INDEX(NPCRace,TRUNC(1+(COUNTA(NPCRace))*(TRUNC(MOD(($B78*1103515245 +12345)/ 65536, 32768),0)/32768),0))</f>
        <v>Tiefling</v>
      </c>
      <c r="AC78" s="16" t="str">
        <f t="array" ref="AC78">INDEX(NPCAL,TRUNC(1+(COUNTA(NPCAL))*(TRUNC(MOD(($B78*1103515245 +12345)/ 65536, 32768),0)/32768),0))</f>
        <v>LN</v>
      </c>
      <c r="AD78" s="72" t="str">
        <f ca="1">IFERROR(__xludf.DUMMYFUNCTION("if(V78&lt;15,QUERY(NPCVar!C:D,""Select D WHERE C = '""&amp;D78&amp;""'""),if((TRUNC(1+10)*(TRUNC(MOD((ROW(H78)*1103515245 +12345)/ 65536, 32768),0)/32768)/10) &gt; 0.85,INDEX(NPCFaction,TRUNC(1+(counta(NPCFaction)-1)*(TRUNC(MOD(($B78*1103515245 +12345)/ 65536, 32768),0"&amp;")/32768),0)),QUERY(NPCVar!C:D,""Select D WHERE C = '""&amp;D78&amp;""'"")))"),"Traverlers Guild")</f>
        <v>Traverlers Guild</v>
      </c>
      <c r="AE78" s="108" t="e">
        <f t="shared" ca="1" si="11"/>
        <v>#NAME?</v>
      </c>
      <c r="AF78" s="159">
        <f ca="1">IFERROR(__xludf.DUMMYFUNCTION("AE78*(V78 / QUERY(NPCVar!$K$2:$N$12, ""Select N WHERE K='""&amp;AB78&amp;""'""))*TRUNC(1+10)*(TRUNC(MOD(($B78*1103515245 +12345)/ 65536, 32768),0)/32768)"),3.05104980468749)</f>
        <v>3.0510498046874899</v>
      </c>
      <c r="AG78" s="16"/>
      <c r="AH78" s="77"/>
      <c r="AI78" s="114"/>
    </row>
    <row r="79" spans="1:35" ht="16.2">
      <c r="A79" s="53">
        <v>78</v>
      </c>
      <c r="B79" s="118">
        <f t="shared" si="14"/>
        <v>0.53634999999999999</v>
      </c>
      <c r="C79" s="72" t="str">
        <f t="array" ref="C79">INDEX(NPCFName,TRUNC(1+(COUNTA(NPCFName))*(TRUNC(MOD(($B79*1103515245 +12345)/ 65536, 32768),0)/32768),0))</f>
        <v>Suth</v>
      </c>
      <c r="D79" s="16" t="str">
        <f t="array" ref="D79">INDEX(NPCLName,TRUNC(1+(COUNTA(NPCLName))*(TRUNC(MOD(($B79*1103515245 +12345)/ 65536, 32768),0)/32768),0))</f>
        <v>Commonscream</v>
      </c>
      <c r="E79" s="16" t="str">
        <f t="array" ref="E79">INDEX(NPCClass,TRUNC(1+(COUNTA(NPCClass))*(TRUNC(MOD(($B79*1103515245 +12345)/ 65536, 32768),0)/32768),0))</f>
        <v>Monk</v>
      </c>
      <c r="F79" s="76">
        <v>3</v>
      </c>
      <c r="G79" s="153">
        <f ca="1">VLOOKUP($AB$2,'RF Mod'!$A$2:$G$12,2,FALSE)+VLOOKUP($AD$2,'RF Mod'!$I$2:$O$11,2,FALSE)+(TRUNC(6+(24-6)*(TRUNC(MOD(($Z79*1103515245 +12345)/ 65536, 32768),0)/32768),0))</f>
        <v>6</v>
      </c>
      <c r="H79" s="16">
        <f t="shared" ca="1" si="1"/>
        <v>-2</v>
      </c>
      <c r="I79" s="153">
        <f ca="1">VLOOKUP($AB$2,'RF Mod'!$A$2:$G$12,3,FALSE)+VLOOKUP($AD$2,'RF Mod'!$I$2:$O$11,3,FALSE)+(TRUNC(6+(24-6)*(TRUNC(MOD(($Z79*1103515245 +12345)/ 65536, 32768),0)/32768),0))</f>
        <v>10</v>
      </c>
      <c r="J79" s="16" t="e">
        <f t="shared" ca="1" si="2"/>
        <v>#NAME?</v>
      </c>
      <c r="K79" s="153">
        <f ca="1">VLOOKUP($AB$2,'RF Mod'!$A$2:$G$12,3,FALSE)+VLOOKUP($AD$2,'RF Mod'!$I$2:$O$11,3,FALSE)+(TRUNC(6+(24-6)*(TRUNC(MOD(($Z79*1103515245 +12345)/ 65536, 32768),0)/32768),0))</f>
        <v>10</v>
      </c>
      <c r="L79" s="16" t="e">
        <f t="shared" ca="1" si="3"/>
        <v>#NAME?</v>
      </c>
      <c r="M79" s="153">
        <f ca="1">VLOOKUP($AB$2,'RF Mod'!$A$2:$G$12,4,FALSE)+VLOOKUP($AD$2,'RF Mod'!$I$2:$O$11,4,FALSE)+(TRUNC(6+(24-6)*(TRUNC(MOD(($Z79*1103515245 +12345)/ 65536, 32768),0)/32768),0))</f>
        <v>9</v>
      </c>
      <c r="N79" s="16">
        <f t="shared" ca="1" si="4"/>
        <v>-1</v>
      </c>
      <c r="O79" s="153">
        <f ca="1">VLOOKUP($AB$2,'RF Mod'!$A$2:$G$12,5,FALSE)+VLOOKUP($AD$2,'RF Mod'!$I$2:$O$11,5,FALSE)+(TRUNC(6+(24-6)*(TRUNC(MOD(($Z79*1103515245 +12345)/ 65536, 32768),0)/32768),0))</f>
        <v>12</v>
      </c>
      <c r="P79" s="16" t="e">
        <f t="shared" ca="1" si="5"/>
        <v>#NAME?</v>
      </c>
      <c r="Q79" s="153">
        <f ca="1">VLOOKUP($AB$2,'RF Mod'!$A$2:$G$12,6,FALSE)+VLOOKUP($AD$2,'RF Mod'!$I$2:$O$11,6,FALSE)+(TRUNC(6+(24-6)*(TRUNC(MOD(($Z79*1103515245 +12345)/ 65536, 32768),0)/32768),0))</f>
        <v>10</v>
      </c>
      <c r="R79" s="16" t="e">
        <f t="shared" ca="1" si="6"/>
        <v>#NAME?</v>
      </c>
      <c r="S79" s="154">
        <f t="shared" ca="1" si="12"/>
        <v>84</v>
      </c>
      <c r="T79" s="154">
        <f t="shared" ca="1" si="7"/>
        <v>70</v>
      </c>
      <c r="U79" s="16" t="str">
        <f t="shared" ca="1" si="8"/>
        <v>Bloody</v>
      </c>
      <c r="V79" s="155">
        <f ca="1">IFERROR(__xludf.DUMMYFUNCTION("if(W79=""Middle Age"",QUERY(NPCVar!$K$2:$N1000, ""Select L where K = '""&amp;AB79&amp;""'""),if(W79=""Old"",QUERY(NPCVar!$K$2:$N1000, ""Select M where K = '""&amp;AB79&amp;""'""),if(W79=""Venerable"",QUERY(NPCVar!$K$2:$N1000, ""Select N where K = '""&amp;AB79&amp;""'""),false)))"&amp;"*X79"),118.124999999999)</f>
        <v>118.12499999999901</v>
      </c>
      <c r="W79" s="156" t="str">
        <f t="array" ref="W79">INDEX(NPCAgeType,TRUNC(1+(4-1)*(TRUNC(MOD((X79*1103515245 +12345)/ 65536, 32768),0)/32768),0))</f>
        <v>Old</v>
      </c>
      <c r="X79" s="117">
        <f t="shared" si="13"/>
        <v>0.7</v>
      </c>
      <c r="Y79" s="157" t="e">
        <f t="array" aca="1" ref="Y79" ca="1">LOOKUP(ABS(MAX(Z79 + MIN(ABS(INDIRECT("Class Jobs!B"&amp;MATCH(E79,'Class Jobs'!$A$1:$A1000,0)&amp;":"&amp;"AF"&amp;MATCH(E79,'Class Jobs'!$A$1:$A1000,0)&amp;"")-$Z79)) * SUM(IF(MIN(ABS(INDIRECT("Class Jobs!B"&amp;MATCH(E79,'Class Jobs'!$A$1:$A1000,0)&amp;":"&amp;"AF"&amp;MATCH(E79,'Class Jobs'!$A$1:$A1000,0)&amp;"")-$Z79))=ABS(INDIRECT("Class Jobs!B"&amp;MATCH(E79,'Class Jobs'!$A$1:$A1000,0)&amp;":"&amp;"AF"&amp;MATCH(E79,'Class Jobs'!$A$1:$A1000,0)&amp;"")-$Z79),SIGN(INDIRECT("Class Jobs!B"&amp;MATCH(E79,'Class Jobs'!$A$1:A1000,0)&amp;":"&amp;"AF"&amp;MATCH(E79,'Class Jobs'!$A$1:$A1000,0)&amp;"")-$Z79),0)),0)),INDIRECT("Class Jobs!B"&amp;MATCH(E79,'Class Jobs'!$A$1:$A1000,0)&amp;":"&amp;"AF"&amp;MATCH(E79,'Class Jobs'!$A$1:$A1000,1)&amp;""),'Class Jobs'!$B$1:$AF$1)</f>
        <v>#REF!</v>
      </c>
      <c r="Z79" s="158">
        <f t="shared" si="10"/>
        <v>0.28000000000000003</v>
      </c>
      <c r="AA79" s="16" t="str">
        <f t="array" ref="AA79">INDEX(NPCGender,TRUNC(1+(COUNTA(NPCGender))*(TRUNC(MOD(($B79*1103515245 +12345)/ 65536, 32768),0)/32768),0))</f>
        <v>Male</v>
      </c>
      <c r="AB79" s="16" t="str">
        <f t="array" ref="AB79">INDEX(NPCRace,TRUNC(1+(COUNTA(NPCRace))*(TRUNC(MOD(($B79*1103515245 +12345)/ 65536, 32768),0)/32768),0))</f>
        <v>Gnome</v>
      </c>
      <c r="AC79" s="16" t="str">
        <f t="array" ref="AC79">INDEX(NPCAL,TRUNC(1+(COUNTA(NPCAL))*(TRUNC(MOD(($B79*1103515245 +12345)/ 65536, 32768),0)/32768),0))</f>
        <v>CG</v>
      </c>
      <c r="AD79" s="72" t="str">
        <f ca="1">IFERROR(__xludf.DUMMYFUNCTION("if(V79&lt;15,QUERY(NPCVar!C:D,""Select D WHERE C = '""&amp;D79&amp;""'""),if((TRUNC(1+10)*(TRUNC(MOD((ROW(H79)*1103515245 +12345)/ 65536, 32768),0)/32768)/10) &gt; 0.85,INDEX(NPCFaction,TRUNC(1+(counta(NPCFaction)-1)*(TRUNC(MOD(($B79*1103515245 +12345)/ 65536, 32768),0"&amp;")/32768),0)),QUERY(NPCVar!C:D,""Select D WHERE C = '""&amp;D79&amp;""'"")))"),"Necromancer")</f>
        <v>Necromancer</v>
      </c>
      <c r="AE79" s="108" t="e">
        <f t="shared" ca="1" si="11"/>
        <v>#NAME?</v>
      </c>
      <c r="AF79" s="159">
        <f ca="1">IFERROR(__xludf.DUMMYFUNCTION("AE79*(V79 / QUERY(NPCVar!$K$2:$N$12, ""Select N WHERE K='""&amp;AB79&amp;""'""))*TRUNC(1+10)*(TRUNC(MOD(($B79*1103515245 +12345)/ 65536, 32768),0)/32768)"),-0.0795807266235351)</f>
        <v>-7.9580726623535103E-2</v>
      </c>
      <c r="AG79" s="16"/>
      <c r="AH79" s="77"/>
      <c r="AI79" s="114"/>
    </row>
    <row r="80" spans="1:35" ht="16.2">
      <c r="A80" s="53">
        <v>79</v>
      </c>
      <c r="B80" s="118">
        <f t="shared" si="14"/>
        <v>2.0304799999999998</v>
      </c>
      <c r="C80" s="72" t="str">
        <f t="array" ref="C80">INDEX(NPCFName,TRUNC(1+(COUNTA(NPCFName))*(TRUNC(MOD(($B80*1103515245 +12345)/ 65536, 32768),0)/32768),0))</f>
        <v>Caelholdt</v>
      </c>
      <c r="D80" s="16" t="str">
        <f t="array" ref="D80">INDEX(NPCLName,TRUNC(1+(COUNTA(NPCLName))*(TRUNC(MOD(($B80*1103515245 +12345)/ 65536, 32768),0)/32768),0))</f>
        <v>Crystalgazer</v>
      </c>
      <c r="E80" s="16" t="str">
        <f t="array" ref="E80">INDEX(NPCClass,TRUNC(1+(COUNTA(NPCClass))*(TRUNC(MOD(($B80*1103515245 +12345)/ 65536, 32768),0)/32768),0))</f>
        <v>Barbarian</v>
      </c>
      <c r="F80" s="76">
        <v>1</v>
      </c>
      <c r="G80" s="153">
        <f ca="1">VLOOKUP($AB$2,'RF Mod'!$A$2:$G$12,2,FALSE)+VLOOKUP($AD$2,'RF Mod'!$I$2:$O$11,2,FALSE)+(TRUNC(6+(24-6)*(TRUNC(MOD(($Z80*1103515245 +12345)/ 65536, 32768),0)/32768),0))</f>
        <v>4</v>
      </c>
      <c r="H80" s="16">
        <f t="shared" ca="1" si="1"/>
        <v>-3</v>
      </c>
      <c r="I80" s="153">
        <f ca="1">VLOOKUP($AB$2,'RF Mod'!$A$2:$G$12,3,FALSE)+VLOOKUP($AD$2,'RF Mod'!$I$2:$O$11,3,FALSE)+(TRUNC(6+(24-6)*(TRUNC(MOD(($Z80*1103515245 +12345)/ 65536, 32768),0)/32768),0))</f>
        <v>8</v>
      </c>
      <c r="J80" s="16">
        <f t="shared" ca="1" si="2"/>
        <v>-1</v>
      </c>
      <c r="K80" s="153">
        <f ca="1">VLOOKUP($AB$2,'RF Mod'!$A$2:$G$12,3,FALSE)+VLOOKUP($AD$2,'RF Mod'!$I$2:$O$11,3,FALSE)+(TRUNC(6+(24-6)*(TRUNC(MOD(($Z80*1103515245 +12345)/ 65536, 32768),0)/32768),0))</f>
        <v>8</v>
      </c>
      <c r="L80" s="16">
        <f t="shared" ca="1" si="3"/>
        <v>-1</v>
      </c>
      <c r="M80" s="153">
        <f ca="1">VLOOKUP($AB$2,'RF Mod'!$A$2:$G$12,4,FALSE)+VLOOKUP($AD$2,'RF Mod'!$I$2:$O$11,4,FALSE)+(TRUNC(6+(24-6)*(TRUNC(MOD(($Z80*1103515245 +12345)/ 65536, 32768),0)/32768),0))</f>
        <v>7</v>
      </c>
      <c r="N80" s="16">
        <f t="shared" ca="1" si="4"/>
        <v>-2</v>
      </c>
      <c r="O80" s="153">
        <f ca="1">VLOOKUP($AB$2,'RF Mod'!$A$2:$G$12,5,FALSE)+VLOOKUP($AD$2,'RF Mod'!$I$2:$O$11,5,FALSE)+(TRUNC(6+(24-6)*(TRUNC(MOD(($Z80*1103515245 +12345)/ 65536, 32768),0)/32768),0))</f>
        <v>10</v>
      </c>
      <c r="P80" s="16" t="e">
        <f t="shared" ca="1" si="5"/>
        <v>#NAME?</v>
      </c>
      <c r="Q80" s="153">
        <f ca="1">VLOOKUP($AB$2,'RF Mod'!$A$2:$G$12,6,FALSE)+VLOOKUP($AD$2,'RF Mod'!$I$2:$O$11,6,FALSE)+(TRUNC(6+(24-6)*(TRUNC(MOD(($Z80*1103515245 +12345)/ 65536, 32768),0)/32768),0))</f>
        <v>8</v>
      </c>
      <c r="R80" s="16">
        <f t="shared" ca="1" si="6"/>
        <v>-1</v>
      </c>
      <c r="S80" s="154">
        <f t="shared" ca="1" si="12"/>
        <v>10</v>
      </c>
      <c r="T80" s="154">
        <f t="shared" ca="1" si="7"/>
        <v>2</v>
      </c>
      <c r="U80" s="16" t="str">
        <f t="shared" ca="1" si="8"/>
        <v>Fine</v>
      </c>
      <c r="V80" s="155">
        <f ca="1">IFERROR(__xludf.DUMMYFUNCTION("if(W80=""Middle Age"",QUERY(NPCVar!$K$2:$N1000, ""Select L where K = '""&amp;AB80&amp;""'""),if(W80=""Old"",QUERY(NPCVar!$K$2:$N1000, ""Select M where K = '""&amp;AB80&amp;""'""),if(W80=""Venerable"",QUERY(NPCVar!$K$2:$N1000, ""Select N where K = '""&amp;AB80&amp;""'""),false)))"&amp;"*X80"),4)</f>
        <v>4</v>
      </c>
      <c r="W80" s="156" t="str">
        <f t="array" ref="W80">INDEX(NPCAgeType,TRUNC(1+(4-1)*(TRUNC(MOD((X80*1103515245 +12345)/ 65536, 32768),0)/32768),0))</f>
        <v>Middle Age</v>
      </c>
      <c r="X80" s="117">
        <f t="shared" si="13"/>
        <v>0.2</v>
      </c>
      <c r="Y80" s="157" t="e">
        <f t="array" aca="1" ref="Y80" ca="1">LOOKUP(ABS(MAX(Z80 + MIN(ABS(INDIRECT("Class Jobs!B"&amp;MATCH(E80,'Class Jobs'!$A$1:$A1000,0)&amp;":"&amp;"AF"&amp;MATCH(E80,'Class Jobs'!$A$1:$A1000,0)&amp;"")-$Z80)) * SUM(IF(MIN(ABS(INDIRECT("Class Jobs!B"&amp;MATCH(E80,'Class Jobs'!$A$1:$A1000,0)&amp;":"&amp;"AF"&amp;MATCH(E80,'Class Jobs'!$A$1:$A1000,0)&amp;"")-$Z80))=ABS(INDIRECT("Class Jobs!B"&amp;MATCH(E80,'Class Jobs'!$A$1:$A1000,0)&amp;":"&amp;"AF"&amp;MATCH(E80,'Class Jobs'!$A$1:$A1000,0)&amp;"")-$Z80),SIGN(INDIRECT("Class Jobs!B"&amp;MATCH(E80,'Class Jobs'!$A$1:A1000,0)&amp;":"&amp;"AF"&amp;MATCH(E80,'Class Jobs'!$A$1:$A1000,0)&amp;"")-$Z80),0)),0)),INDIRECT("Class Jobs!B"&amp;MATCH(E80,'Class Jobs'!$A$1:$A1000,0)&amp;":"&amp;"AF"&amp;MATCH(E80,'Class Jobs'!$A$1:$A1000,1)&amp;""),'Class Jobs'!$B$1:$AF$1)</f>
        <v>#REF!</v>
      </c>
      <c r="Z80" s="158">
        <f t="shared" si="10"/>
        <v>0.05</v>
      </c>
      <c r="AA80" s="16" t="str">
        <f t="array" ref="AA80">INDEX(NPCGender,TRUNC(1+(COUNTA(NPCGender))*(TRUNC(MOD(($B80*1103515245 +12345)/ 65536, 32768),0)/32768),0))</f>
        <v>Male</v>
      </c>
      <c r="AB80" s="16" t="str">
        <f t="array" ref="AB80">INDEX(NPCRace,TRUNC(1+(COUNTA(NPCRace))*(TRUNC(MOD(($B80*1103515245 +12345)/ 65536, 32768),0)/32768),0))</f>
        <v>Dragonborn</v>
      </c>
      <c r="AC80" s="16" t="str">
        <f t="array" ref="AC80">INDEX(NPCAL,TRUNC(1+(COUNTA(NPCAL))*(TRUNC(MOD(($B80*1103515245 +12345)/ 65536, 32768),0)/32768),0))</f>
        <v>CN</v>
      </c>
      <c r="AD80" s="72" t="str">
        <f ca="1">IFERROR(__xludf.DUMMYFUNCTION("if(V80&lt;15,QUERY(NPCVar!C:D,""Select D WHERE C = '""&amp;D80&amp;""'""),if((TRUNC(1+10)*(TRUNC(MOD((ROW(H80)*1103515245 +12345)/ 65536, 32768),0)/32768)/10) &gt; 0.85,INDEX(NPCFaction,TRUNC(1+(counta(NPCFaction)-1)*(TRUNC(MOD(($B80*1103515245 +12345)/ 65536, 32768),0"&amp;")/32768),0)),QUERY(NPCVar!C:D,""Select D WHERE C = '""&amp;D80&amp;""'"")))"),"Death Guild")</f>
        <v>Death Guild</v>
      </c>
      <c r="AE80" s="108" t="e">
        <f t="shared" ca="1" si="11"/>
        <v>#NAME?</v>
      </c>
      <c r="AF80" s="159">
        <f ca="1">IFERROR(__xludf.DUMMYFUNCTION("AE80*(V80 / QUERY(NPCVar!$K$2:$N$12, ""Select N WHERE K='""&amp;AB80&amp;""'""))*TRUNC(1+10)*(TRUNC(MOD(($B80*1103515245 +12345)/ 65536, 32768),0)/32768)"),0.00716033935546874)</f>
        <v>7.1603393554687403E-3</v>
      </c>
      <c r="AG80" s="16"/>
      <c r="AH80" s="77"/>
      <c r="AI80" s="114"/>
    </row>
    <row r="81" spans="1:35" ht="16.2">
      <c r="A81" s="53">
        <v>80</v>
      </c>
      <c r="B81" s="118">
        <f t="shared" si="14"/>
        <v>1.0246299999999999</v>
      </c>
      <c r="C81" s="72" t="str">
        <f t="array" ref="C81">INDEX(NPCFName,TRUNC(1+(COUNTA(NPCFName))*(TRUNC(MOD(($B81*1103515245 +12345)/ 65536, 32768),0)/32768),0))</f>
        <v>Michael</v>
      </c>
      <c r="D81" s="16" t="str">
        <f t="array" ref="D81">INDEX(NPCLName,TRUNC(1+(COUNTA(NPCLName))*(TRUNC(MOD(($B81*1103515245 +12345)/ 65536, 32768),0)/32768),0))</f>
        <v>Staghammer</v>
      </c>
      <c r="E81" s="16" t="str">
        <f t="array" ref="E81">INDEX(NPCClass,TRUNC(1+(COUNTA(NPCClass))*(TRUNC(MOD(($B81*1103515245 +12345)/ 65536, 32768),0)/32768),0))</f>
        <v>Sorcerer</v>
      </c>
      <c r="F81" s="76">
        <v>8</v>
      </c>
      <c r="G81" s="153">
        <f ca="1">VLOOKUP($AB$2,'RF Mod'!$A$2:$G$12,2,FALSE)+VLOOKUP($AD$2,'RF Mod'!$I$2:$O$11,2,FALSE)+(TRUNC(6+(24-6)*(TRUNC(MOD(($Z81*1103515245 +12345)/ 65536, 32768),0)/32768),0))</f>
        <v>8</v>
      </c>
      <c r="H81" s="16">
        <f t="shared" ca="1" si="1"/>
        <v>-1</v>
      </c>
      <c r="I81" s="153">
        <f ca="1">VLOOKUP($AB$2,'RF Mod'!$A$2:$G$12,3,FALSE)+VLOOKUP($AD$2,'RF Mod'!$I$2:$O$11,3,FALSE)+(TRUNC(6+(24-6)*(TRUNC(MOD(($Z81*1103515245 +12345)/ 65536, 32768),0)/32768),0))</f>
        <v>12</v>
      </c>
      <c r="J81" s="16" t="e">
        <f t="shared" ca="1" si="2"/>
        <v>#NAME?</v>
      </c>
      <c r="K81" s="153">
        <f ca="1">VLOOKUP($AB$2,'RF Mod'!$A$2:$G$12,3,FALSE)+VLOOKUP($AD$2,'RF Mod'!$I$2:$O$11,3,FALSE)+(TRUNC(6+(24-6)*(TRUNC(MOD(($Z81*1103515245 +12345)/ 65536, 32768),0)/32768),0))</f>
        <v>12</v>
      </c>
      <c r="L81" s="16" t="e">
        <f t="shared" ca="1" si="3"/>
        <v>#NAME?</v>
      </c>
      <c r="M81" s="153">
        <f ca="1">VLOOKUP($AB$2,'RF Mod'!$A$2:$G$12,4,FALSE)+VLOOKUP($AD$2,'RF Mod'!$I$2:$O$11,4,FALSE)+(TRUNC(6+(24-6)*(TRUNC(MOD(($Z81*1103515245 +12345)/ 65536, 32768),0)/32768),0))</f>
        <v>11</v>
      </c>
      <c r="N81" s="16" t="e">
        <f t="shared" ca="1" si="4"/>
        <v>#NAME?</v>
      </c>
      <c r="O81" s="153">
        <f ca="1">VLOOKUP($AB$2,'RF Mod'!$A$2:$G$12,5,FALSE)+VLOOKUP($AD$2,'RF Mod'!$I$2:$O$11,5,FALSE)+(TRUNC(6+(24-6)*(TRUNC(MOD(($Z81*1103515245 +12345)/ 65536, 32768),0)/32768),0))</f>
        <v>14</v>
      </c>
      <c r="P81" s="16" t="e">
        <f t="shared" ca="1" si="5"/>
        <v>#NAME?</v>
      </c>
      <c r="Q81" s="153">
        <f ca="1">VLOOKUP($AB$2,'RF Mod'!$A$2:$G$12,6,FALSE)+VLOOKUP($AD$2,'RF Mod'!$I$2:$O$11,6,FALSE)+(TRUNC(6+(24-6)*(TRUNC(MOD(($Z81*1103515245 +12345)/ 65536, 32768),0)/32768),0))</f>
        <v>12</v>
      </c>
      <c r="R81" s="16" t="e">
        <f t="shared" ca="1" si="6"/>
        <v>#NAME?</v>
      </c>
      <c r="S81" s="154">
        <f t="shared" ca="1" si="12"/>
        <v>208</v>
      </c>
      <c r="T81" s="154">
        <f t="shared" ca="1" si="7"/>
        <v>123</v>
      </c>
      <c r="U81" s="16" t="str">
        <f t="shared" ca="1" si="8"/>
        <v>Bloody</v>
      </c>
      <c r="V81" s="155">
        <f ca="1">IFERROR(__xludf.DUMMYFUNCTION("if(W81=""Middle Age"",QUERY(NPCVar!$K$2:$N1000, ""Select L where K = '""&amp;AB81&amp;""'""),if(W81=""Old"",QUERY(NPCVar!$K$2:$N1000, ""Select M where K = '""&amp;AB81&amp;""'""),if(W81=""Venerable"",QUERY(NPCVar!$K$2:$N1000, ""Select N where K = '""&amp;AB81&amp;""'""),false)))"&amp;"*X81"),91)</f>
        <v>91</v>
      </c>
      <c r="W81" s="156" t="str">
        <f t="array" ref="W81">INDEX(NPCAgeType,TRUNC(1+(4-1)*(TRUNC(MOD((X81*1103515245 +12345)/ 65536, 32768),0)/32768),0))</f>
        <v>Venerable</v>
      </c>
      <c r="X81" s="117">
        <f t="shared" si="13"/>
        <v>1.3</v>
      </c>
      <c r="Y81" s="157" t="e">
        <f t="array" aca="1" ref="Y81" ca="1">LOOKUP(ABS(MAX(Z81 + MIN(ABS(INDIRECT("Class Jobs!B"&amp;MATCH(E81,'Class Jobs'!$A$1:$A1000,0)&amp;":"&amp;"AF"&amp;MATCH(E81,'Class Jobs'!$A$1:$A1000,0)&amp;"")-$Z81)) * SUM(IF(MIN(ABS(INDIRECT("Class Jobs!B"&amp;MATCH(E81,'Class Jobs'!$A$1:$A1000,0)&amp;":"&amp;"AF"&amp;MATCH(E81,'Class Jobs'!$A$1:$A1000,0)&amp;"")-$Z81))=ABS(INDIRECT("Class Jobs!B"&amp;MATCH(E81,'Class Jobs'!$A$1:$A1000,0)&amp;":"&amp;"AF"&amp;MATCH(E81,'Class Jobs'!$A$1:$A1000,0)&amp;"")-$Z81),SIGN(INDIRECT("Class Jobs!B"&amp;MATCH(E81,'Class Jobs'!$A$1:A1000,0)&amp;":"&amp;"AF"&amp;MATCH(E81,'Class Jobs'!$A$1:$A1000,0)&amp;"")-$Z81),0)),0)),INDIRECT("Class Jobs!B"&amp;MATCH(E81,'Class Jobs'!$A$1:$A1000,0)&amp;":"&amp;"AF"&amp;MATCH(E81,'Class Jobs'!$A$1:$A1000,1)&amp;""),'Class Jobs'!$B$1:$AF$1)</f>
        <v>#REF!</v>
      </c>
      <c r="Z81" s="158">
        <f t="shared" si="10"/>
        <v>0.53</v>
      </c>
      <c r="AA81" s="16" t="str">
        <f t="array" ref="AA81">INDEX(NPCGender,TRUNC(1+(COUNTA(NPCGender))*(TRUNC(MOD(($B81*1103515245 +12345)/ 65536, 32768),0)/32768),0))</f>
        <v>Female</v>
      </c>
      <c r="AB81" s="16" t="str">
        <f t="array" ref="AB81">INDEX(NPCRace,TRUNC(1+(COUNTA(NPCRace))*(TRUNC(MOD(($B81*1103515245 +12345)/ 65536, 32768),0)/32768),0))</f>
        <v>Half-Orc</v>
      </c>
      <c r="AC81" s="16" t="str">
        <f t="array" ref="AC81">INDEX(NPCAL,TRUNC(1+(COUNTA(NPCAL))*(TRUNC(MOD(($B81*1103515245 +12345)/ 65536, 32768),0)/32768),0))</f>
        <v>NN</v>
      </c>
      <c r="AD81" s="72" t="str">
        <f ca="1">IFERROR(__xludf.DUMMYFUNCTION("if(V81&lt;15,QUERY(NPCVar!C:D,""Select D WHERE C = '""&amp;D81&amp;""'""),if((TRUNC(1+10)*(TRUNC(MOD((ROW(H81)*1103515245 +12345)/ 65536, 32768),0)/32768)/10) &gt; 0.85,INDEX(NPCFaction,TRUNC(1+(counta(NPCFaction)-1)*(TRUNC(MOD(($B81*1103515245 +12345)/ 65536, 32768),0"&amp;")/32768),0)),QUERY(NPCVar!C:D,""Select D WHERE C = '""&amp;D81&amp;""'"")))"),"Farmers Guild")</f>
        <v>Farmers Guild</v>
      </c>
      <c r="AE81" s="108" t="e">
        <f t="shared" ca="1" si="11"/>
        <v>#NAME?</v>
      </c>
      <c r="AF81" s="159">
        <f ca="1">IFERROR(__xludf.DUMMYFUNCTION("AE81*(V81 / QUERY(NPCVar!$K$2:$N$12, ""Select N WHERE K='""&amp;AB81&amp;""'""))*TRUNC(1+10)*(TRUNC(MOD(($B81*1103515245 +12345)/ 65536, 32768),0)/32768)"),1.50584655761718)</f>
        <v>1.50584655761718</v>
      </c>
      <c r="AG81" s="16"/>
      <c r="AH81" s="77"/>
      <c r="AI81" s="114"/>
    </row>
    <row r="82" spans="1:35" ht="16.2">
      <c r="A82" s="53">
        <v>81</v>
      </c>
      <c r="B82" s="118">
        <f t="shared" si="14"/>
        <v>1.8769999999999998E-2</v>
      </c>
      <c r="C82" s="72" t="str">
        <f t="array" ref="C82">INDEX(NPCFName,TRUNC(1+(COUNTA(NPCFName))*(TRUNC(MOD(($B82*1103515245 +12345)/ 65536, 32768),0)/32768),0))</f>
        <v>Airen</v>
      </c>
      <c r="D82" s="16" t="str">
        <f t="array" ref="D82">INDEX(NPCLName,TRUNC(1+(COUNTA(NPCLName))*(TRUNC(MOD(($B82*1103515245 +12345)/ 65536, 32768),0)/32768),0))</f>
        <v>Stagfang</v>
      </c>
      <c r="E82" s="16" t="str">
        <f t="array" ref="E82">INDEX(NPCClass,TRUNC(1+(COUNTA(NPCClass))*(TRUNC(MOD(($B82*1103515245 +12345)/ 65536, 32768),0)/32768),0))</f>
        <v>Barbarian</v>
      </c>
      <c r="F82" s="76">
        <v>1</v>
      </c>
      <c r="G82" s="153">
        <f ca="1">VLOOKUP($AB$2,'RF Mod'!$A$2:$G$12,2,FALSE)+VLOOKUP($AD$2,'RF Mod'!$I$2:$O$11,2,FALSE)+(TRUNC(6+(24-6)*(TRUNC(MOD(($Z82*1103515245 +12345)/ 65536, 32768),0)/32768),0))</f>
        <v>4</v>
      </c>
      <c r="H82" s="16">
        <f t="shared" ca="1" si="1"/>
        <v>-3</v>
      </c>
      <c r="I82" s="153">
        <f ca="1">VLOOKUP($AB$2,'RF Mod'!$A$2:$G$12,3,FALSE)+VLOOKUP($AD$2,'RF Mod'!$I$2:$O$11,3,FALSE)+(TRUNC(6+(24-6)*(TRUNC(MOD(($Z82*1103515245 +12345)/ 65536, 32768),0)/32768),0))</f>
        <v>8</v>
      </c>
      <c r="J82" s="16">
        <f t="shared" ca="1" si="2"/>
        <v>-1</v>
      </c>
      <c r="K82" s="153">
        <f ca="1">VLOOKUP($AB$2,'RF Mod'!$A$2:$G$12,3,FALSE)+VLOOKUP($AD$2,'RF Mod'!$I$2:$O$11,3,FALSE)+(TRUNC(6+(24-6)*(TRUNC(MOD(($Z82*1103515245 +12345)/ 65536, 32768),0)/32768),0))</f>
        <v>8</v>
      </c>
      <c r="L82" s="16">
        <f t="shared" ca="1" si="3"/>
        <v>-1</v>
      </c>
      <c r="M82" s="153">
        <f ca="1">VLOOKUP($AB$2,'RF Mod'!$A$2:$G$12,4,FALSE)+VLOOKUP($AD$2,'RF Mod'!$I$2:$O$11,4,FALSE)+(TRUNC(6+(24-6)*(TRUNC(MOD(($Z82*1103515245 +12345)/ 65536, 32768),0)/32768),0))</f>
        <v>7</v>
      </c>
      <c r="N82" s="16">
        <f t="shared" ca="1" si="4"/>
        <v>-2</v>
      </c>
      <c r="O82" s="153">
        <f ca="1">VLOOKUP($AB$2,'RF Mod'!$A$2:$G$12,5,FALSE)+VLOOKUP($AD$2,'RF Mod'!$I$2:$O$11,5,FALSE)+(TRUNC(6+(24-6)*(TRUNC(MOD(($Z82*1103515245 +12345)/ 65536, 32768),0)/32768),0))</f>
        <v>10</v>
      </c>
      <c r="P82" s="16" t="e">
        <f t="shared" ca="1" si="5"/>
        <v>#NAME?</v>
      </c>
      <c r="Q82" s="153">
        <f ca="1">VLOOKUP($AB$2,'RF Mod'!$A$2:$G$12,6,FALSE)+VLOOKUP($AD$2,'RF Mod'!$I$2:$O$11,6,FALSE)+(TRUNC(6+(24-6)*(TRUNC(MOD(($Z82*1103515245 +12345)/ 65536, 32768),0)/32768),0))</f>
        <v>8</v>
      </c>
      <c r="R82" s="16">
        <f t="shared" ca="1" si="6"/>
        <v>-1</v>
      </c>
      <c r="S82" s="154">
        <f t="shared" ca="1" si="12"/>
        <v>10</v>
      </c>
      <c r="T82" s="154">
        <f t="shared" ca="1" si="7"/>
        <v>3</v>
      </c>
      <c r="U82" s="16" t="str">
        <f t="shared" ca="1" si="8"/>
        <v>Fine</v>
      </c>
      <c r="V82" s="155">
        <f ca="1">IFERROR(__xludf.DUMMYFUNCTION("if(W82=""Middle Age"",QUERY(NPCVar!$K$2:$N1000, ""Select L where K = '""&amp;AB82&amp;""'""),if(W82=""Old"",QUERY(NPCVar!$K$2:$N1000, ""Select M where K = '""&amp;AB82&amp;""'""),if(W82=""Venerable"",QUERY(NPCVar!$K$2:$N1000, ""Select N where K = '""&amp;AB82&amp;""'""),false)))"&amp;"*X82"),2)</f>
        <v>2</v>
      </c>
      <c r="W82" s="156" t="str">
        <f t="array" ref="W82">INDEX(NPCAgeType,TRUNC(1+(4-1)*(TRUNC(MOD((X82*1103515245 +12345)/ 65536, 32768),0)/32768),0))</f>
        <v>Middle Age</v>
      </c>
      <c r="X82" s="117">
        <f t="shared" si="13"/>
        <v>0.1</v>
      </c>
      <c r="Y82" s="157" t="e">
        <f t="array" aca="1" ref="Y82" ca="1">LOOKUP(ABS(MAX(Z82 + MIN(ABS(INDIRECT("Class Jobs!B"&amp;MATCH(E82,'Class Jobs'!$A$1:$A1000,0)&amp;":"&amp;"AF"&amp;MATCH(E82,'Class Jobs'!$A$1:$A1000,0)&amp;"")-$Z82)) * SUM(IF(MIN(ABS(INDIRECT("Class Jobs!B"&amp;MATCH(E82,'Class Jobs'!$A$1:$A1000,0)&amp;":"&amp;"AF"&amp;MATCH(E82,'Class Jobs'!$A$1:$A1000,0)&amp;"")-$Z82))=ABS(INDIRECT("Class Jobs!B"&amp;MATCH(E82,'Class Jobs'!$A$1:$A1000,0)&amp;":"&amp;"AF"&amp;MATCH(E82,'Class Jobs'!$A$1:$A1000,0)&amp;"")-$Z82),SIGN(INDIRECT("Class Jobs!B"&amp;MATCH(E82,'Class Jobs'!$A$1:A1000,0)&amp;":"&amp;"AF"&amp;MATCH(E82,'Class Jobs'!$A$1:$A1000,0)&amp;"")-$Z82),0)),0)),INDIRECT("Class Jobs!B"&amp;MATCH(E82,'Class Jobs'!$A$1:$A1000,0)&amp;":"&amp;"AF"&amp;MATCH(E82,'Class Jobs'!$A$1:$A1000,1)&amp;""),'Class Jobs'!$B$1:$AF$1)</f>
        <v>#REF!</v>
      </c>
      <c r="Z82" s="158">
        <f t="shared" si="10"/>
        <v>0.01</v>
      </c>
      <c r="AA82" s="16" t="str">
        <f t="array" ref="AA82">INDEX(NPCGender,TRUNC(1+(COUNTA(NPCGender))*(TRUNC(MOD(($B82*1103515245 +12345)/ 65536, 32768),0)/32768),0))</f>
        <v>Male</v>
      </c>
      <c r="AB82" s="16" t="str">
        <f t="array" ref="AB82">INDEX(NPCRace,TRUNC(1+(COUNTA(NPCRace))*(TRUNC(MOD(($B82*1103515245 +12345)/ 65536, 32768),0)/32768),0))</f>
        <v>Dragonborn</v>
      </c>
      <c r="AC82" s="16" t="str">
        <f t="array" ref="AC82">INDEX(NPCAL,TRUNC(1+(COUNTA(NPCAL))*(TRUNC(MOD(($B82*1103515245 +12345)/ 65536, 32768),0)/32768),0))</f>
        <v>CN</v>
      </c>
      <c r="AD82" s="72" t="str">
        <f ca="1">IFERROR(__xludf.DUMMYFUNCTION("if(V82&lt;15,QUERY(NPCVar!C:D,""Select D WHERE C = '""&amp;D82&amp;""'""),if((TRUNC(1+10)*(TRUNC(MOD((ROW(H82)*1103515245 +12345)/ 65536, 32768),0)/32768)/10) &gt; 0.85,INDEX(NPCFaction,TRUNC(1+(counta(NPCFaction)-1)*(TRUNC(MOD(($B82*1103515245 +12345)/ 65536, 32768),0"&amp;")/32768),0)),QUERY(NPCVar!C:D,""Select D WHERE C = '""&amp;D82&amp;""'"")))"),"Royalty")</f>
        <v>Royalty</v>
      </c>
      <c r="AE82" s="108" t="e">
        <f t="shared" ca="1" si="11"/>
        <v>#NAME?</v>
      </c>
      <c r="AF82" s="159">
        <f ca="1">IFERROR(__xludf.DUMMYFUNCTION("AE82*(V82 / QUERY(NPCVar!$K$2:$N$12, ""Select N WHERE K='""&amp;AB82&amp;""'""))*TRUNC(1+10)*(TRUNC(MOD(($B82*1103515245 +12345)/ 65536, 32768),0)/32768)"),0.000795593261718749)</f>
        <v>7.9559326171874903E-4</v>
      </c>
      <c r="AG82" s="16"/>
      <c r="AH82" s="77"/>
      <c r="AI82" s="114"/>
    </row>
    <row r="83" spans="1:35" ht="16.2">
      <c r="A83" s="53">
        <v>82</v>
      </c>
      <c r="B83" s="118">
        <f t="shared" si="14"/>
        <v>1.51291</v>
      </c>
      <c r="C83" s="72" t="str">
        <f t="array" ref="C83">INDEX(NPCFName,TRUNC(1+(COUNTA(NPCFName))*(TRUNC(MOD(($B83*1103515245 +12345)/ 65536, 32768),0)/32768),0))</f>
        <v>Fronar</v>
      </c>
      <c r="D83" s="16" t="str">
        <f t="array" ref="D83">INDEX(NPCLName,TRUNC(1+(COUNTA(NPCLName))*(TRUNC(MOD(($B83*1103515245 +12345)/ 65536, 32768),0)/32768),0))</f>
        <v>Truthdoom</v>
      </c>
      <c r="E83" s="16" t="str">
        <f t="array" ref="E83">INDEX(NPCClass,TRUNC(1+(COUNTA(NPCClass))*(TRUNC(MOD(($B83*1103515245 +12345)/ 65536, 32768),0)/32768),0))</f>
        <v>Cleric</v>
      </c>
      <c r="F83" s="76">
        <v>8</v>
      </c>
      <c r="G83" s="153">
        <f ca="1">VLOOKUP($AB$2,'RF Mod'!$A$2:$G$12,2,FALSE)+VLOOKUP($AD$2,'RF Mod'!$I$2:$O$11,2,FALSE)+(TRUNC(6+(24-6)*(TRUNC(MOD(($Z83*1103515245 +12345)/ 65536, 32768),0)/32768),0))</f>
        <v>11</v>
      </c>
      <c r="H83" s="16" t="e">
        <f t="shared" ca="1" si="1"/>
        <v>#NAME?</v>
      </c>
      <c r="I83" s="153">
        <f ca="1">VLOOKUP($AB$2,'RF Mod'!$A$2:$G$12,3,FALSE)+VLOOKUP($AD$2,'RF Mod'!$I$2:$O$11,3,FALSE)+(TRUNC(6+(24-6)*(TRUNC(MOD(($Z83*1103515245 +12345)/ 65536, 32768),0)/32768),0))</f>
        <v>15</v>
      </c>
      <c r="J83" s="16" t="e">
        <f t="shared" ca="1" si="2"/>
        <v>#NAME?</v>
      </c>
      <c r="K83" s="153">
        <f ca="1">VLOOKUP($AB$2,'RF Mod'!$A$2:$G$12,3,FALSE)+VLOOKUP($AD$2,'RF Mod'!$I$2:$O$11,3,FALSE)+(TRUNC(6+(24-6)*(TRUNC(MOD(($Z83*1103515245 +12345)/ 65536, 32768),0)/32768),0))</f>
        <v>15</v>
      </c>
      <c r="L83" s="16" t="e">
        <f t="shared" ca="1" si="3"/>
        <v>#NAME?</v>
      </c>
      <c r="M83" s="153">
        <f ca="1">VLOOKUP($AB$2,'RF Mod'!$A$2:$G$12,4,FALSE)+VLOOKUP($AD$2,'RF Mod'!$I$2:$O$11,4,FALSE)+(TRUNC(6+(24-6)*(TRUNC(MOD(($Z83*1103515245 +12345)/ 65536, 32768),0)/32768),0))</f>
        <v>14</v>
      </c>
      <c r="N83" s="16" t="e">
        <f t="shared" ca="1" si="4"/>
        <v>#NAME?</v>
      </c>
      <c r="O83" s="153">
        <f ca="1">VLOOKUP($AB$2,'RF Mod'!$A$2:$G$12,5,FALSE)+VLOOKUP($AD$2,'RF Mod'!$I$2:$O$11,5,FALSE)+(TRUNC(6+(24-6)*(TRUNC(MOD(($Z83*1103515245 +12345)/ 65536, 32768),0)/32768),0))</f>
        <v>17</v>
      </c>
      <c r="P83" s="16" t="e">
        <f t="shared" ca="1" si="5"/>
        <v>#NAME?</v>
      </c>
      <c r="Q83" s="153">
        <f ca="1">VLOOKUP($AB$2,'RF Mod'!$A$2:$G$12,6,FALSE)+VLOOKUP($AD$2,'RF Mod'!$I$2:$O$11,6,FALSE)+(TRUNC(6+(24-6)*(TRUNC(MOD(($Z83*1103515245 +12345)/ 65536, 32768),0)/32768),0))</f>
        <v>15</v>
      </c>
      <c r="R83" s="16" t="e">
        <f t="shared" ca="1" si="6"/>
        <v>#NAME?</v>
      </c>
      <c r="S83" s="154">
        <f t="shared" ca="1" si="12"/>
        <v>200</v>
      </c>
      <c r="T83" s="154">
        <f t="shared" ca="1" si="7"/>
        <v>78</v>
      </c>
      <c r="U83" s="16" t="str">
        <f t="shared" ca="1" si="8"/>
        <v>Fine</v>
      </c>
      <c r="V83" s="155">
        <f ca="1">IFERROR(__xludf.DUMMYFUNCTION("if(W83=""Middle Age"",QUERY(NPCVar!$K$2:$N1000, ""Select L where K = '""&amp;AB83&amp;""'""),if(W83=""Old"",QUERY(NPCVar!$K$2:$N1000, ""Select M where K = '""&amp;AB83&amp;""'""),if(W83=""Venerable"",QUERY(NPCVar!$K$2:$N1000, ""Select N where K = '""&amp;AB83&amp;""'""),false)))"&amp;"*X83"),190)</f>
        <v>190</v>
      </c>
      <c r="W83" s="156" t="str">
        <f t="array" ref="W83">INDEX(NPCAgeType,TRUNC(1+(4-1)*(TRUNC(MOD((X83*1103515245 +12345)/ 65536, 32768),0)/32768),0))</f>
        <v>Venerable</v>
      </c>
      <c r="X83" s="117">
        <f t="shared" si="13"/>
        <v>1.9</v>
      </c>
      <c r="Y83" s="157" t="e">
        <f t="array" aca="1" ref="Y83" ca="1">LOOKUP(ABS(MAX(Z83 + MIN(ABS(INDIRECT("Class Jobs!B"&amp;MATCH(E83,'Class Jobs'!$A$1:$A1000,0)&amp;":"&amp;"AF"&amp;MATCH(E83,'Class Jobs'!$A$1:$A1000,0)&amp;"")-$Z83)) * SUM(IF(MIN(ABS(INDIRECT("Class Jobs!B"&amp;MATCH(E83,'Class Jobs'!$A$1:$A1000,0)&amp;":"&amp;"AF"&amp;MATCH(E83,'Class Jobs'!$A$1:$A1000,0)&amp;"")-$Z83))=ABS(INDIRECT("Class Jobs!B"&amp;MATCH(E83,'Class Jobs'!$A$1:$A1000,0)&amp;":"&amp;"AF"&amp;MATCH(E83,'Class Jobs'!$A$1:$A1000,0)&amp;"")-$Z83),SIGN(INDIRECT("Class Jobs!B"&amp;MATCH(E83,'Class Jobs'!$A$1:A1000,0)&amp;":"&amp;"AF"&amp;MATCH(E83,'Class Jobs'!$A$1:$A1000,0)&amp;"")-$Z83),0)),0)),INDIRECT("Class Jobs!B"&amp;MATCH(E83,'Class Jobs'!$A$1:$A1000,0)&amp;":"&amp;"AF"&amp;MATCH(E83,'Class Jobs'!$A$1:$A1000,1)&amp;""),'Class Jobs'!$B$1:$AF$1)</f>
        <v>#REF!</v>
      </c>
      <c r="Z83" s="158">
        <f t="shared" si="10"/>
        <v>0.77</v>
      </c>
      <c r="AA83" s="16" t="str">
        <f t="array" ref="AA83">INDEX(NPCGender,TRUNC(1+(COUNTA(NPCGender))*(TRUNC(MOD(($B83*1103515245 +12345)/ 65536, 32768),0)/32768),0))</f>
        <v>Neutral</v>
      </c>
      <c r="AB83" s="16" t="str">
        <f t="array" ref="AB83">INDEX(NPCRace,TRUNC(1+(COUNTA(NPCRace))*(TRUNC(MOD(($B83*1103515245 +12345)/ 65536, 32768),0)/32768),0))</f>
        <v>Tiefling</v>
      </c>
      <c r="AC83" s="16" t="str">
        <f t="array" ref="AC83">INDEX(NPCAL,TRUNC(1+(COUNTA(NPCAL))*(TRUNC(MOD(($B83*1103515245 +12345)/ 65536, 32768),0)/32768),0))</f>
        <v>LG</v>
      </c>
      <c r="AD83" s="72" t="str">
        <f ca="1">IFERROR(__xludf.DUMMYFUNCTION("if(V83&lt;15,QUERY(NPCVar!C:D,""Select D WHERE C = '""&amp;D83&amp;""'""),if((TRUNC(1+10)*(TRUNC(MOD((ROW(H83)*1103515245 +12345)/ 65536, 32768),0)/32768)/10) &gt; 0.85,INDEX(NPCFaction,TRUNC(1+(counta(NPCFaction)-1)*(TRUNC(MOD(($B83*1103515245 +12345)/ 65536, 32768),0"&amp;")/32768),0)),QUERY(NPCVar!C:D,""Select D WHERE C = '""&amp;D83&amp;""'"")))"),"Traverlers Guild")</f>
        <v>Traverlers Guild</v>
      </c>
      <c r="AE83" s="108" t="e">
        <f t="shared" ca="1" si="11"/>
        <v>#NAME?</v>
      </c>
      <c r="AF83" s="159">
        <f ca="1">IFERROR(__xludf.DUMMYFUNCTION("AE83*(V83 / QUERY(NPCVar!$K$2:$N$12, ""Select N WHERE K='""&amp;AB83&amp;""'""))*TRUNC(1+10)*(TRUNC(MOD(($B83*1103515245 +12345)/ 65536, 32768),0)/32768)"),4.87451934814453)</f>
        <v>4.8745193481445304</v>
      </c>
      <c r="AG83" s="16"/>
      <c r="AH83" s="77"/>
      <c r="AI83" s="114"/>
    </row>
    <row r="84" spans="1:35" ht="16.2">
      <c r="A84" s="53">
        <v>83</v>
      </c>
      <c r="B84" s="118">
        <f t="shared" si="14"/>
        <v>0.50705</v>
      </c>
      <c r="C84" s="72" t="str">
        <f t="array" ref="C84">INDEX(NPCFName,TRUNC(1+(COUNTA(NPCFName))*(TRUNC(MOD(($B84*1103515245 +12345)/ 65536, 32768),0)/32768),0))</f>
        <v>Sed</v>
      </c>
      <c r="D84" s="16" t="str">
        <f t="array" ref="D84">INDEX(NPCLName,TRUNC(1+(COUNTA(NPCLName))*(TRUNC(MOD(($B84*1103515245 +12345)/ 65536, 32768),0)/32768),0))</f>
        <v>Tuskleaf</v>
      </c>
      <c r="E84" s="16" t="str">
        <f t="array" ref="E84">INDEX(NPCClass,TRUNC(1+(COUNTA(NPCClass))*(TRUNC(MOD(($B84*1103515245 +12345)/ 65536, 32768),0)/32768),0))</f>
        <v>Monk</v>
      </c>
      <c r="F84" s="76">
        <v>1</v>
      </c>
      <c r="G84" s="153">
        <f ca="1">VLOOKUP($AB$2,'RF Mod'!$A$2:$G$12,2,FALSE)+VLOOKUP($AD$2,'RF Mod'!$I$2:$O$11,2,FALSE)+(TRUNC(6+(24-6)*(TRUNC(MOD(($Z84*1103515245 +12345)/ 65536, 32768),0)/32768),0))</f>
        <v>6</v>
      </c>
      <c r="H84" s="16">
        <f t="shared" ca="1" si="1"/>
        <v>-2</v>
      </c>
      <c r="I84" s="153">
        <f ca="1">VLOOKUP($AB$2,'RF Mod'!$A$2:$G$12,3,FALSE)+VLOOKUP($AD$2,'RF Mod'!$I$2:$O$11,3,FALSE)+(TRUNC(6+(24-6)*(TRUNC(MOD(($Z84*1103515245 +12345)/ 65536, 32768),0)/32768),0))</f>
        <v>10</v>
      </c>
      <c r="J84" s="16" t="e">
        <f t="shared" ca="1" si="2"/>
        <v>#NAME?</v>
      </c>
      <c r="K84" s="153">
        <f ca="1">VLOOKUP($AB$2,'RF Mod'!$A$2:$G$12,3,FALSE)+VLOOKUP($AD$2,'RF Mod'!$I$2:$O$11,3,FALSE)+(TRUNC(6+(24-6)*(TRUNC(MOD(($Z84*1103515245 +12345)/ 65536, 32768),0)/32768),0))</f>
        <v>10</v>
      </c>
      <c r="L84" s="16" t="e">
        <f t="shared" ca="1" si="3"/>
        <v>#NAME?</v>
      </c>
      <c r="M84" s="153">
        <f ca="1">VLOOKUP($AB$2,'RF Mod'!$A$2:$G$12,4,FALSE)+VLOOKUP($AD$2,'RF Mod'!$I$2:$O$11,4,FALSE)+(TRUNC(6+(24-6)*(TRUNC(MOD(($Z84*1103515245 +12345)/ 65536, 32768),0)/32768),0))</f>
        <v>9</v>
      </c>
      <c r="N84" s="16">
        <f t="shared" ca="1" si="4"/>
        <v>-1</v>
      </c>
      <c r="O84" s="153">
        <f ca="1">VLOOKUP($AB$2,'RF Mod'!$A$2:$G$12,5,FALSE)+VLOOKUP($AD$2,'RF Mod'!$I$2:$O$11,5,FALSE)+(TRUNC(6+(24-6)*(TRUNC(MOD(($Z84*1103515245 +12345)/ 65536, 32768),0)/32768),0))</f>
        <v>12</v>
      </c>
      <c r="P84" s="16" t="e">
        <f t="shared" ca="1" si="5"/>
        <v>#NAME?</v>
      </c>
      <c r="Q84" s="153">
        <f ca="1">VLOOKUP($AB$2,'RF Mod'!$A$2:$G$12,6,FALSE)+VLOOKUP($AD$2,'RF Mod'!$I$2:$O$11,6,FALSE)+(TRUNC(6+(24-6)*(TRUNC(MOD(($Z84*1103515245 +12345)/ 65536, 32768),0)/32768),0))</f>
        <v>10</v>
      </c>
      <c r="R84" s="16" t="e">
        <f t="shared" ca="1" si="6"/>
        <v>#NAME?</v>
      </c>
      <c r="S84" s="154">
        <f t="shared" ca="1" si="12"/>
        <v>14</v>
      </c>
      <c r="T84" s="154">
        <f t="shared" ca="1" si="7"/>
        <v>5</v>
      </c>
      <c r="U84" s="16" t="str">
        <f t="shared" ca="1" si="8"/>
        <v>Fine</v>
      </c>
      <c r="V84" s="155">
        <f ca="1">IFERROR(__xludf.DUMMYFUNCTION("if(W84=""Middle Age"",QUERY(NPCVar!$K$2:$N1000, ""Select L where K = '""&amp;AB84&amp;""'""),if(W84=""Old"",QUERY(NPCVar!$K$2:$N1000, ""Select M where K = '""&amp;AB84&amp;""'""),if(W84=""Venerable"",QUERY(NPCVar!$K$2:$N1000, ""Select N where K = '""&amp;AB84&amp;""'""),false)))"&amp;"*X84"),196.875)</f>
        <v>196.875</v>
      </c>
      <c r="W84" s="156" t="str">
        <f t="array" ref="W84">INDEX(NPCAgeType,TRUNC(1+(4-1)*(TRUNC(MOD((X84*1103515245 +12345)/ 65536, 32768),0)/32768),0))</f>
        <v>Old</v>
      </c>
      <c r="X84" s="117">
        <f t="shared" si="13"/>
        <v>0.7</v>
      </c>
      <c r="Y84" s="157" t="e">
        <f t="array" aca="1" ref="Y84" ca="1">LOOKUP(ABS(MAX(Z84 + MIN(ABS(INDIRECT("Class Jobs!B"&amp;MATCH(E84,'Class Jobs'!$A$1:$A1000,0)&amp;":"&amp;"AF"&amp;MATCH(E84,'Class Jobs'!$A$1:$A1000,0)&amp;"")-$Z84)) * SUM(IF(MIN(ABS(INDIRECT("Class Jobs!B"&amp;MATCH(E84,'Class Jobs'!$A$1:$A1000,0)&amp;":"&amp;"AF"&amp;MATCH(E84,'Class Jobs'!$A$1:$A1000,0)&amp;"")-$Z84))=ABS(INDIRECT("Class Jobs!B"&amp;MATCH(E84,'Class Jobs'!$A$1:$A1000,0)&amp;":"&amp;"AF"&amp;MATCH(E84,'Class Jobs'!$A$1:$A1000,0)&amp;"")-$Z84),SIGN(INDIRECT("Class Jobs!B"&amp;MATCH(E84,'Class Jobs'!$A$1:A1000,0)&amp;":"&amp;"AF"&amp;MATCH(E84,'Class Jobs'!$A$1:$A1000,0)&amp;"")-$Z84),0)),0)),INDIRECT("Class Jobs!B"&amp;MATCH(E84,'Class Jobs'!$A$1:$A1000,0)&amp;":"&amp;"AF"&amp;MATCH(E84,'Class Jobs'!$A$1:$A1000,1)&amp;""),'Class Jobs'!$B$1:$AF$1)</f>
        <v>#REF!</v>
      </c>
      <c r="Z84" s="158">
        <f t="shared" si="10"/>
        <v>0.26</v>
      </c>
      <c r="AA84" s="16" t="str">
        <f t="array" ref="AA84">INDEX(NPCGender,TRUNC(1+(COUNTA(NPCGender))*(TRUNC(MOD(($B84*1103515245 +12345)/ 65536, 32768),0)/32768),0))</f>
        <v>Male</v>
      </c>
      <c r="AB84" s="16" t="str">
        <f t="array" ref="AB84">INDEX(NPCRace,TRUNC(1+(COUNTA(NPCRace))*(TRUNC(MOD(($B84*1103515245 +12345)/ 65536, 32768),0)/32768),0))</f>
        <v>Elf</v>
      </c>
      <c r="AC84" s="16" t="str">
        <f t="array" ref="AC84">INDEX(NPCAL,TRUNC(1+(COUNTA(NPCAL))*(TRUNC(MOD(($B84*1103515245 +12345)/ 65536, 32768),0)/32768),0))</f>
        <v>CG</v>
      </c>
      <c r="AD84" s="72" t="str">
        <f ca="1">IFERROR(__xludf.DUMMYFUNCTION("if(V84&lt;15,QUERY(NPCVar!C:D,""Select D WHERE C = '""&amp;D84&amp;""'""),if((TRUNC(1+10)*(TRUNC(MOD((ROW(H84)*1103515245 +12345)/ 65536, 32768),0)/32768)/10) &gt; 0.85,INDEX(NPCFaction,TRUNC(1+(counta(NPCFaction)-1)*(TRUNC(MOD(($B84*1103515245 +12345)/ 65536, 32768),0"&amp;")/32768),0)),QUERY(NPCVar!C:D,""Select D WHERE C = '""&amp;D84&amp;""'"")))"),"Magic Guild")</f>
        <v>Magic Guild</v>
      </c>
      <c r="AE84" s="108" t="e">
        <f t="shared" ca="1" si="11"/>
        <v>#NAME?</v>
      </c>
      <c r="AF84" s="159">
        <f ca="1">IFERROR(__xludf.DUMMYFUNCTION("AE84*(V84 / QUERY(NPCVar!$K$2:$N$12, ""Select N WHERE K='""&amp;AB84&amp;""'""))*TRUNC(1+10)*(TRUNC(MOD(($B84*1103515245 +12345)/ 65536, 32768),0)/32768)"),0.300945739746093)</f>
        <v>0.30094573974609301</v>
      </c>
      <c r="AG84" s="16"/>
      <c r="AH84" s="77"/>
      <c r="AI84" s="114"/>
    </row>
    <row r="85" spans="1:35" ht="16.2">
      <c r="A85" s="53">
        <v>84</v>
      </c>
      <c r="B85" s="118">
        <f t="shared" si="14"/>
        <v>2.0011899999999998</v>
      </c>
      <c r="C85" s="72" t="str">
        <f t="array" ref="C85">INDEX(NPCFName,TRUNC(1+(COUNTA(NPCFName))*(TRUNC(MOD(($B85*1103515245 +12345)/ 65536, 32768),0)/32768),0))</f>
        <v>Bedic</v>
      </c>
      <c r="D85" s="16" t="str">
        <f t="array" ref="D85">INDEX(NPCLName,TRUNC(1+(COUNTA(NPCLName))*(TRUNC(MOD(($B85*1103515245 +12345)/ 65536, 32768),0)/32768),0))</f>
        <v>Stagfang</v>
      </c>
      <c r="E85" s="16" t="str">
        <f t="array" ref="E85">INDEX(NPCClass,TRUNC(1+(COUNTA(NPCClass))*(TRUNC(MOD(($B85*1103515245 +12345)/ 65536, 32768),0)/32768),0))</f>
        <v>Barbarian</v>
      </c>
      <c r="F85" s="76">
        <v>1</v>
      </c>
      <c r="G85" s="153">
        <f ca="1">VLOOKUP($AB$2,'RF Mod'!$A$2:$G$12,2,FALSE)+VLOOKUP($AD$2,'RF Mod'!$I$2:$O$11,2,FALSE)+(TRUNC(6+(24-6)*(TRUNC(MOD(($Z85*1103515245 +12345)/ 65536, 32768),0)/32768),0))</f>
        <v>4</v>
      </c>
      <c r="H85" s="16">
        <f t="shared" ca="1" si="1"/>
        <v>-3</v>
      </c>
      <c r="I85" s="153">
        <f ca="1">VLOOKUP($AB$2,'RF Mod'!$A$2:$G$12,3,FALSE)+VLOOKUP($AD$2,'RF Mod'!$I$2:$O$11,3,FALSE)+(TRUNC(6+(24-6)*(TRUNC(MOD(($Z85*1103515245 +12345)/ 65536, 32768),0)/32768),0))</f>
        <v>8</v>
      </c>
      <c r="J85" s="16">
        <f t="shared" ca="1" si="2"/>
        <v>-1</v>
      </c>
      <c r="K85" s="153">
        <f ca="1">VLOOKUP($AB$2,'RF Mod'!$A$2:$G$12,3,FALSE)+VLOOKUP($AD$2,'RF Mod'!$I$2:$O$11,3,FALSE)+(TRUNC(6+(24-6)*(TRUNC(MOD(($Z85*1103515245 +12345)/ 65536, 32768),0)/32768),0))</f>
        <v>8</v>
      </c>
      <c r="L85" s="16">
        <f t="shared" ca="1" si="3"/>
        <v>-1</v>
      </c>
      <c r="M85" s="153">
        <f ca="1">VLOOKUP($AB$2,'RF Mod'!$A$2:$G$12,4,FALSE)+VLOOKUP($AD$2,'RF Mod'!$I$2:$O$11,4,FALSE)+(TRUNC(6+(24-6)*(TRUNC(MOD(($Z85*1103515245 +12345)/ 65536, 32768),0)/32768),0))</f>
        <v>7</v>
      </c>
      <c r="N85" s="16">
        <f t="shared" ca="1" si="4"/>
        <v>-2</v>
      </c>
      <c r="O85" s="153">
        <f ca="1">VLOOKUP($AB$2,'RF Mod'!$A$2:$G$12,5,FALSE)+VLOOKUP($AD$2,'RF Mod'!$I$2:$O$11,5,FALSE)+(TRUNC(6+(24-6)*(TRUNC(MOD(($Z85*1103515245 +12345)/ 65536, 32768),0)/32768),0))</f>
        <v>10</v>
      </c>
      <c r="P85" s="16" t="e">
        <f t="shared" ca="1" si="5"/>
        <v>#NAME?</v>
      </c>
      <c r="Q85" s="153">
        <f ca="1">VLOOKUP($AB$2,'RF Mod'!$A$2:$G$12,6,FALSE)+VLOOKUP($AD$2,'RF Mod'!$I$2:$O$11,6,FALSE)+(TRUNC(6+(24-6)*(TRUNC(MOD(($Z85*1103515245 +12345)/ 65536, 32768),0)/32768),0))</f>
        <v>8</v>
      </c>
      <c r="R85" s="16">
        <f t="shared" ca="1" si="6"/>
        <v>-1</v>
      </c>
      <c r="S85" s="154">
        <f t="shared" ca="1" si="12"/>
        <v>26</v>
      </c>
      <c r="T85" s="154">
        <f t="shared" ca="1" si="7"/>
        <v>16</v>
      </c>
      <c r="U85" s="16" t="str">
        <f t="shared" ca="1" si="8"/>
        <v>Bloody</v>
      </c>
      <c r="V85" s="155">
        <f ca="1">IFERROR(__xludf.DUMMYFUNCTION("if(W85=""Middle Age"",QUERY(NPCVar!$K$2:$N1000, ""Select L where K = '""&amp;AB85&amp;""'""),if(W85=""Old"",QUERY(NPCVar!$K$2:$N1000, ""Select M where K = '""&amp;AB85&amp;""'""),if(W85=""Venerable"",QUERY(NPCVar!$K$2:$N1000, ""Select N where K = '""&amp;AB85&amp;""'""),false)))"&amp;"*X85"),2)</f>
        <v>2</v>
      </c>
      <c r="W85" s="156" t="str">
        <f t="array" ref="W85">INDEX(NPCAgeType,TRUNC(1+(4-1)*(TRUNC(MOD((X85*1103515245 +12345)/ 65536, 32768),0)/32768),0))</f>
        <v>Middle Age</v>
      </c>
      <c r="X85" s="117">
        <f t="shared" si="13"/>
        <v>0.1</v>
      </c>
      <c r="Y85" s="157" t="e">
        <f t="array" aca="1" ref="Y85" ca="1">LOOKUP(ABS(MAX(Z85 + MIN(ABS(INDIRECT("Class Jobs!B"&amp;MATCH(E85,'Class Jobs'!$A$1:$A1000,0)&amp;":"&amp;"AF"&amp;MATCH(E85,'Class Jobs'!$A$1:$A1000,0)&amp;"")-$Z85)) * SUM(IF(MIN(ABS(INDIRECT("Class Jobs!B"&amp;MATCH(E85,'Class Jobs'!$A$1:$A1000,0)&amp;":"&amp;"AF"&amp;MATCH(E85,'Class Jobs'!$A$1:$A1000,0)&amp;"")-$Z85))=ABS(INDIRECT("Class Jobs!B"&amp;MATCH(E85,'Class Jobs'!$A$1:$A1000,0)&amp;":"&amp;"AF"&amp;MATCH(E85,'Class Jobs'!$A$1:$A1000,0)&amp;"")-$Z85),SIGN(INDIRECT("Class Jobs!B"&amp;MATCH(E85,'Class Jobs'!$A$1:A1000,0)&amp;":"&amp;"AF"&amp;MATCH(E85,'Class Jobs'!$A$1:$A1000,0)&amp;"")-$Z85),0)),0)),INDIRECT("Class Jobs!B"&amp;MATCH(E85,'Class Jobs'!$A$1:$A1000,0)&amp;":"&amp;"AF"&amp;MATCH(E85,'Class Jobs'!$A$1:$A1000,1)&amp;""),'Class Jobs'!$B$1:$AF$1)</f>
        <v>#REF!</v>
      </c>
      <c r="Z85" s="158">
        <f t="shared" si="10"/>
        <v>0.03</v>
      </c>
      <c r="AA85" s="16" t="str">
        <f t="array" ref="AA85">INDEX(NPCGender,TRUNC(1+(COUNTA(NPCGender))*(TRUNC(MOD(($B85*1103515245 +12345)/ 65536, 32768),0)/32768),0))</f>
        <v>Male</v>
      </c>
      <c r="AB85" s="16" t="str">
        <f t="array" ref="AB85">INDEX(NPCRace,TRUNC(1+(COUNTA(NPCRace))*(TRUNC(MOD(($B85*1103515245 +12345)/ 65536, 32768),0)/32768),0))</f>
        <v>Dragonborn</v>
      </c>
      <c r="AC85" s="16" t="str">
        <f t="array" ref="AC85">INDEX(NPCAL,TRUNC(1+(COUNTA(NPCAL))*(TRUNC(MOD(($B85*1103515245 +12345)/ 65536, 32768),0)/32768),0))</f>
        <v>CN</v>
      </c>
      <c r="AD85" s="72" t="str">
        <f ca="1">IFERROR(__xludf.DUMMYFUNCTION("if(V85&lt;15,QUERY(NPCVar!C:D,""Select D WHERE C = '""&amp;D85&amp;""'""),if((TRUNC(1+10)*(TRUNC(MOD((ROW(H85)*1103515245 +12345)/ 65536, 32768),0)/32768)/10) &gt; 0.85,INDEX(NPCFaction,TRUNC(1+(counta(NPCFaction)-1)*(TRUNC(MOD(($B85*1103515245 +12345)/ 65536, 32768),0"&amp;")/32768),0)),QUERY(NPCVar!C:D,""Select D WHERE C = '""&amp;D85&amp;""'"")))"),"Royalty")</f>
        <v>Royalty</v>
      </c>
      <c r="AE85" s="108" t="e">
        <f t="shared" ca="1" si="11"/>
        <v>#NAME?</v>
      </c>
      <c r="AF85" s="159">
        <f ca="1">IFERROR(__xludf.DUMMYFUNCTION("AE85*(V85 / QUERY(NPCVar!$K$2:$N$12, ""Select N WHERE K='""&amp;AB85&amp;""'""))*TRUNC(1+10)*(TRUNC(MOD(($B85*1103515245 +12345)/ 65536, 32768),0)/32768)"),-0.000778808593749999)</f>
        <v>-7.7880859374999901E-4</v>
      </c>
      <c r="AG85" s="16"/>
      <c r="AH85" s="77"/>
      <c r="AI85" s="114"/>
    </row>
    <row r="86" spans="1:35" ht="16.2">
      <c r="A86" s="53">
        <v>85</v>
      </c>
      <c r="B86" s="118">
        <f t="shared" si="14"/>
        <v>0.99526000000000003</v>
      </c>
      <c r="C86" s="72" t="str">
        <f t="array" ref="C86">INDEX(NPCFName,TRUNC(1+(COUNTA(NPCFName))*(TRUNC(MOD(($B86*1103515245 +12345)/ 65536, 32768),0)/32768),0))</f>
        <v>Luphildern</v>
      </c>
      <c r="D86" s="16" t="str">
        <f t="array" ref="D86">INDEX(NPCLName,TRUNC(1+(COUNTA(NPCLName))*(TRUNC(MOD(($B86*1103515245 +12345)/ 65536, 32768),0)/32768),0))</f>
        <v>Staghammer</v>
      </c>
      <c r="E86" s="16" t="str">
        <f t="array" ref="E86">INDEX(NPCClass,TRUNC(1+(COUNTA(NPCClass))*(TRUNC(MOD(($B86*1103515245 +12345)/ 65536, 32768),0)/32768),0))</f>
        <v>Sorcerer</v>
      </c>
      <c r="F86" s="76">
        <v>6</v>
      </c>
      <c r="G86" s="153">
        <f ca="1">VLOOKUP($AB$2,'RF Mod'!$A$2:$G$12,2,FALSE)+VLOOKUP($AD$2,'RF Mod'!$I$2:$O$11,2,FALSE)+(TRUNC(6+(24-6)*(TRUNC(MOD(($Z86*1103515245 +12345)/ 65536, 32768),0)/32768),0))</f>
        <v>8</v>
      </c>
      <c r="H86" s="16">
        <f t="shared" ca="1" si="1"/>
        <v>-1</v>
      </c>
      <c r="I86" s="153">
        <f ca="1">VLOOKUP($AB$2,'RF Mod'!$A$2:$G$12,3,FALSE)+VLOOKUP($AD$2,'RF Mod'!$I$2:$O$11,3,FALSE)+(TRUNC(6+(24-6)*(TRUNC(MOD(($Z86*1103515245 +12345)/ 65536, 32768),0)/32768),0))</f>
        <v>12</v>
      </c>
      <c r="J86" s="16" t="e">
        <f t="shared" ca="1" si="2"/>
        <v>#NAME?</v>
      </c>
      <c r="K86" s="153">
        <f ca="1">VLOOKUP($AB$2,'RF Mod'!$A$2:$G$12,3,FALSE)+VLOOKUP($AD$2,'RF Mod'!$I$2:$O$11,3,FALSE)+(TRUNC(6+(24-6)*(TRUNC(MOD(($Z86*1103515245 +12345)/ 65536, 32768),0)/32768),0))</f>
        <v>12</v>
      </c>
      <c r="L86" s="16" t="e">
        <f t="shared" ca="1" si="3"/>
        <v>#NAME?</v>
      </c>
      <c r="M86" s="153">
        <f ca="1">VLOOKUP($AB$2,'RF Mod'!$A$2:$G$12,4,FALSE)+VLOOKUP($AD$2,'RF Mod'!$I$2:$O$11,4,FALSE)+(TRUNC(6+(24-6)*(TRUNC(MOD(($Z86*1103515245 +12345)/ 65536, 32768),0)/32768),0))</f>
        <v>11</v>
      </c>
      <c r="N86" s="16" t="e">
        <f t="shared" ca="1" si="4"/>
        <v>#NAME?</v>
      </c>
      <c r="O86" s="153">
        <f ca="1">VLOOKUP($AB$2,'RF Mod'!$A$2:$G$12,5,FALSE)+VLOOKUP($AD$2,'RF Mod'!$I$2:$O$11,5,FALSE)+(TRUNC(6+(24-6)*(TRUNC(MOD(($Z86*1103515245 +12345)/ 65536, 32768),0)/32768),0))</f>
        <v>14</v>
      </c>
      <c r="P86" s="16" t="e">
        <f t="shared" ca="1" si="5"/>
        <v>#NAME?</v>
      </c>
      <c r="Q86" s="153">
        <f ca="1">VLOOKUP($AB$2,'RF Mod'!$A$2:$G$12,6,FALSE)+VLOOKUP($AD$2,'RF Mod'!$I$2:$O$11,6,FALSE)+(TRUNC(6+(24-6)*(TRUNC(MOD(($Z86*1103515245 +12345)/ 65536, 32768),0)/32768),0))</f>
        <v>12</v>
      </c>
      <c r="R86" s="16" t="e">
        <f t="shared" ca="1" si="6"/>
        <v>#NAME?</v>
      </c>
      <c r="S86" s="154">
        <f t="shared" ca="1" si="12"/>
        <v>84</v>
      </c>
      <c r="T86" s="154">
        <f t="shared" ca="1" si="7"/>
        <v>88</v>
      </c>
      <c r="U86" s="16" t="str">
        <f t="shared" ca="1" si="8"/>
        <v>Dead</v>
      </c>
      <c r="V86" s="155">
        <f ca="1">IFERROR(__xludf.DUMMYFUNCTION("if(W86=""Middle Age"",QUERY(NPCVar!$K$2:$N1000, ""Select L where K = '""&amp;AB86&amp;""'""),if(W86=""Old"",QUERY(NPCVar!$K$2:$N1000, ""Select M where K = '""&amp;AB86&amp;""'""),if(W86=""Venerable"",QUERY(NPCVar!$K$2:$N1000, ""Select N where K = '""&amp;AB86&amp;""'""),false)))"&amp;"*X86"),91)</f>
        <v>91</v>
      </c>
      <c r="W86" s="156" t="str">
        <f t="array" ref="W86">INDEX(NPCAgeType,TRUNC(1+(4-1)*(TRUNC(MOD((X86*1103515245 +12345)/ 65536, 32768),0)/32768),0))</f>
        <v>Venerable</v>
      </c>
      <c r="X86" s="117">
        <f t="shared" si="13"/>
        <v>1.3</v>
      </c>
      <c r="Y86" s="157" t="e">
        <f t="array" aca="1" ref="Y86" ca="1">LOOKUP(ABS(MAX(Z86 + MIN(ABS(INDIRECT("Class Jobs!B"&amp;MATCH(E86,'Class Jobs'!$A$1:$A1000,0)&amp;":"&amp;"AF"&amp;MATCH(E86,'Class Jobs'!$A$1:$A1000,0)&amp;"")-$Z86)) * SUM(IF(MIN(ABS(INDIRECT("Class Jobs!B"&amp;MATCH(E86,'Class Jobs'!$A$1:$A1000,0)&amp;":"&amp;"AF"&amp;MATCH(E86,'Class Jobs'!$A$1:$A1000,0)&amp;"")-$Z86))=ABS(INDIRECT("Class Jobs!B"&amp;MATCH(E86,'Class Jobs'!$A$1:$A1000,0)&amp;":"&amp;"AF"&amp;MATCH(E86,'Class Jobs'!$A$1:$A1000,0)&amp;"")-$Z86),SIGN(INDIRECT("Class Jobs!B"&amp;MATCH(E86,'Class Jobs'!$A$1:A1000,0)&amp;":"&amp;"AF"&amp;MATCH(E86,'Class Jobs'!$A$1:$A1000,0)&amp;"")-$Z86),0)),0)),INDIRECT("Class Jobs!B"&amp;MATCH(E86,'Class Jobs'!$A$1:$A1000,0)&amp;":"&amp;"AF"&amp;MATCH(E86,'Class Jobs'!$A$1:$A1000,1)&amp;""),'Class Jobs'!$B$1:$AF$1)</f>
        <v>#REF!</v>
      </c>
      <c r="Z86" s="158">
        <f t="shared" si="10"/>
        <v>0.51</v>
      </c>
      <c r="AA86" s="16" t="str">
        <f t="array" ref="AA86">INDEX(NPCGender,TRUNC(1+(COUNTA(NPCGender))*(TRUNC(MOD(($B86*1103515245 +12345)/ 65536, 32768),0)/32768),0))</f>
        <v>Female</v>
      </c>
      <c r="AB86" s="16" t="str">
        <f t="array" ref="AB86">INDEX(NPCRace,TRUNC(1+(COUNTA(NPCRace))*(TRUNC(MOD(($B86*1103515245 +12345)/ 65536, 32768),0)/32768),0))</f>
        <v>Half-Orc</v>
      </c>
      <c r="AC86" s="16" t="str">
        <f t="array" ref="AC86">INDEX(NPCAL,TRUNC(1+(COUNTA(NPCAL))*(TRUNC(MOD(($B86*1103515245 +12345)/ 65536, 32768),0)/32768),0))</f>
        <v>NN</v>
      </c>
      <c r="AD86" s="72" t="str">
        <f ca="1">IFERROR(__xludf.DUMMYFUNCTION("if(V86&lt;15,QUERY(NPCVar!C:D,""Select D WHERE C = '""&amp;D86&amp;""'""),if((TRUNC(1+10)*(TRUNC(MOD((ROW(H86)*1103515245 +12345)/ 65536, 32768),0)/32768)/10) &gt; 0.85,INDEX(NPCFaction,TRUNC(1+(counta(NPCFaction)-1)*(TRUNC(MOD(($B86*1103515245 +12345)/ 65536, 32768),0"&amp;")/32768),0)),QUERY(NPCVar!C:D,""Select D WHERE C = '""&amp;D86&amp;""'"")))"),"Farmers Guild")</f>
        <v>Farmers Guild</v>
      </c>
      <c r="AE86" s="108" t="e">
        <f t="shared" ca="1" si="11"/>
        <v>#NAME?</v>
      </c>
      <c r="AF86" s="159">
        <f ca="1">IFERROR(__xludf.DUMMYFUNCTION("AE86*(V86 / QUERY(NPCVar!$K$2:$N$12, ""Select N WHERE K='""&amp;AB86&amp;""'""))*TRUNC(1+10)*(TRUNC(MOD(($B86*1103515245 +12345)/ 65536, 32768),0)/32768)"),5.8505712890625)</f>
        <v>5.8505712890624997</v>
      </c>
      <c r="AG86" s="16"/>
      <c r="AH86" s="77"/>
      <c r="AI86" s="114"/>
    </row>
    <row r="87" spans="1:35" ht="16.2">
      <c r="A87" s="53">
        <v>86</v>
      </c>
      <c r="B87" s="118">
        <f t="shared" si="14"/>
        <v>2.4893900000000002</v>
      </c>
      <c r="C87" s="72" t="str">
        <f t="array" ref="C87">INDEX(NPCFName,TRUNC(1+(COUNTA(NPCFName))*(TRUNC(MOD(($B87*1103515245 +12345)/ 65536, 32768),0)/32768),0))</f>
        <v>Temilfist</v>
      </c>
      <c r="D87" s="16" t="str">
        <f t="array" ref="D87">INDEX(NPCLName,TRUNC(1+(COUNTA(NPCLName))*(TRUNC(MOD(($B87*1103515245 +12345)/ 65536, 32768),0)/32768),0))</f>
        <v>Commonscream</v>
      </c>
      <c r="E87" s="16" t="str">
        <f t="array" ref="E87">INDEX(NPCClass,TRUNC(1+(COUNTA(NPCClass))*(TRUNC(MOD(($B87*1103515245 +12345)/ 65536, 32768),0)/32768),0))</f>
        <v>Monk</v>
      </c>
      <c r="F87" s="76">
        <v>2</v>
      </c>
      <c r="G87" s="153">
        <f ca="1">VLOOKUP($AB$2,'RF Mod'!$A$2:$G$12,2,FALSE)+VLOOKUP($AD$2,'RF Mod'!$I$2:$O$11,2,FALSE)+(TRUNC(6+(24-6)*(TRUNC(MOD(($Z87*1103515245 +12345)/ 65536, 32768),0)/32768),0))</f>
        <v>6</v>
      </c>
      <c r="H87" s="16">
        <f t="shared" ca="1" si="1"/>
        <v>-2</v>
      </c>
      <c r="I87" s="153">
        <f ca="1">VLOOKUP($AB$2,'RF Mod'!$A$2:$G$12,3,FALSE)+VLOOKUP($AD$2,'RF Mod'!$I$2:$O$11,3,FALSE)+(TRUNC(6+(24-6)*(TRUNC(MOD(($Z87*1103515245 +12345)/ 65536, 32768),0)/32768),0))</f>
        <v>10</v>
      </c>
      <c r="J87" s="16" t="e">
        <f t="shared" ca="1" si="2"/>
        <v>#NAME?</v>
      </c>
      <c r="K87" s="153">
        <f ca="1">VLOOKUP($AB$2,'RF Mod'!$A$2:$G$12,3,FALSE)+VLOOKUP($AD$2,'RF Mod'!$I$2:$O$11,3,FALSE)+(TRUNC(6+(24-6)*(TRUNC(MOD(($Z87*1103515245 +12345)/ 65536, 32768),0)/32768),0))</f>
        <v>10</v>
      </c>
      <c r="L87" s="16" t="e">
        <f t="shared" ca="1" si="3"/>
        <v>#NAME?</v>
      </c>
      <c r="M87" s="153">
        <f ca="1">VLOOKUP($AB$2,'RF Mod'!$A$2:$G$12,4,FALSE)+VLOOKUP($AD$2,'RF Mod'!$I$2:$O$11,4,FALSE)+(TRUNC(6+(24-6)*(TRUNC(MOD(($Z87*1103515245 +12345)/ 65536, 32768),0)/32768),0))</f>
        <v>9</v>
      </c>
      <c r="N87" s="16">
        <f t="shared" ca="1" si="4"/>
        <v>-1</v>
      </c>
      <c r="O87" s="153">
        <f ca="1">VLOOKUP($AB$2,'RF Mod'!$A$2:$G$12,5,FALSE)+VLOOKUP($AD$2,'RF Mod'!$I$2:$O$11,5,FALSE)+(TRUNC(6+(24-6)*(TRUNC(MOD(($Z87*1103515245 +12345)/ 65536, 32768),0)/32768),0))</f>
        <v>12</v>
      </c>
      <c r="P87" s="16" t="e">
        <f t="shared" ca="1" si="5"/>
        <v>#NAME?</v>
      </c>
      <c r="Q87" s="153">
        <f ca="1">VLOOKUP($AB$2,'RF Mod'!$A$2:$G$12,6,FALSE)+VLOOKUP($AD$2,'RF Mod'!$I$2:$O$11,6,FALSE)+(TRUNC(6+(24-6)*(TRUNC(MOD(($Z87*1103515245 +12345)/ 65536, 32768),0)/32768),0))</f>
        <v>10</v>
      </c>
      <c r="R87" s="16" t="e">
        <f t="shared" ca="1" si="6"/>
        <v>#NAME?</v>
      </c>
      <c r="S87" s="154">
        <f t="shared" ca="1" si="12"/>
        <v>24</v>
      </c>
      <c r="T87" s="154">
        <f t="shared" ca="1" si="7"/>
        <v>28</v>
      </c>
      <c r="U87" s="16" t="str">
        <f t="shared" ca="1" si="8"/>
        <v>Dead</v>
      </c>
      <c r="V87" s="155">
        <f ca="1">IFERROR(__xludf.DUMMYFUNCTION("if(W87=""Middle Age"",QUERY(NPCVar!$K$2:$N1000, ""Select L where K = '""&amp;AB87&amp;""'""),if(W87=""Old"",QUERY(NPCVar!$K$2:$N1000, ""Select M where K = '""&amp;AB87&amp;""'""),if(W87=""Venerable"",QUERY(NPCVar!$K$2:$N1000, ""Select N where K = '""&amp;AB87&amp;""'""),false)))"&amp;"*X87"),118.124999999999)</f>
        <v>118.12499999999901</v>
      </c>
      <c r="W87" s="156" t="str">
        <f t="array" ref="W87">INDEX(NPCAgeType,TRUNC(1+(4-1)*(TRUNC(MOD((X87*1103515245 +12345)/ 65536, 32768),0)/32768),0))</f>
        <v>Old</v>
      </c>
      <c r="X87" s="117">
        <f t="shared" si="13"/>
        <v>0.7</v>
      </c>
      <c r="Y87" s="157" t="e">
        <f t="array" aca="1" ref="Y87" ca="1">LOOKUP(ABS(MAX(Z87 + MIN(ABS(INDIRECT("Class Jobs!B"&amp;MATCH(E87,'Class Jobs'!$A$1:$A1000,0)&amp;":"&amp;"AF"&amp;MATCH(E87,'Class Jobs'!$A$1:$A1000,0)&amp;"")-$Z87)) * SUM(IF(MIN(ABS(INDIRECT("Class Jobs!B"&amp;MATCH(E87,'Class Jobs'!$A$1:$A1000,0)&amp;":"&amp;"AF"&amp;MATCH(E87,'Class Jobs'!$A$1:$A1000,0)&amp;"")-$Z87))=ABS(INDIRECT("Class Jobs!B"&amp;MATCH(E87,'Class Jobs'!$A$1:$A1000,0)&amp;":"&amp;"AF"&amp;MATCH(E87,'Class Jobs'!$A$1:$A1000,0)&amp;"")-$Z87),SIGN(INDIRECT("Class Jobs!B"&amp;MATCH(E87,'Class Jobs'!$A$1:A1000,0)&amp;":"&amp;"AF"&amp;MATCH(E87,'Class Jobs'!$A$1:$A1000,0)&amp;"")-$Z87),0)),0)),INDIRECT("Class Jobs!B"&amp;MATCH(E87,'Class Jobs'!$A$1:$A1000,0)&amp;":"&amp;"AF"&amp;MATCH(E87,'Class Jobs'!$A$1:$A1000,1)&amp;""),'Class Jobs'!$B$1:$AF$1)</f>
        <v>#REF!</v>
      </c>
      <c r="Z87" s="158">
        <f t="shared" si="10"/>
        <v>0.28000000000000003</v>
      </c>
      <c r="AA87" s="16" t="str">
        <f t="array" ref="AA87">INDEX(NPCGender,TRUNC(1+(COUNTA(NPCGender))*(TRUNC(MOD(($B87*1103515245 +12345)/ 65536, 32768),0)/32768),0))</f>
        <v>Male</v>
      </c>
      <c r="AB87" s="16" t="str">
        <f t="array" ref="AB87">INDEX(NPCRace,TRUNC(1+(COUNTA(NPCRace))*(TRUNC(MOD(($B87*1103515245 +12345)/ 65536, 32768),0)/32768),0))</f>
        <v>Gnome</v>
      </c>
      <c r="AC87" s="16" t="str">
        <f t="array" ref="AC87">INDEX(NPCAL,TRUNC(1+(COUNTA(NPCAL))*(TRUNC(MOD(($B87*1103515245 +12345)/ 65536, 32768),0)/32768),0))</f>
        <v>CG</v>
      </c>
      <c r="AD87" s="72" t="str">
        <f ca="1">IFERROR(__xludf.DUMMYFUNCTION("if(V87&lt;15,QUERY(NPCVar!C:D,""Select D WHERE C = '""&amp;D87&amp;""'""),if((TRUNC(1+10)*(TRUNC(MOD((ROW(H87)*1103515245 +12345)/ 65536, 32768),0)/32768)/10) &gt; 0.85,INDEX(NPCFaction,TRUNC(1+(counta(NPCFaction)-1)*(TRUNC(MOD(($B87*1103515245 +12345)/ 65536, 32768),0"&amp;")/32768),0)),QUERY(NPCVar!C:D,""Select D WHERE C = '""&amp;D87&amp;""'"")))"),"Necromancer")</f>
        <v>Necromancer</v>
      </c>
      <c r="AE87" s="108" t="e">
        <f t="shared" ca="1" si="11"/>
        <v>#NAME?</v>
      </c>
      <c r="AF87" s="159">
        <f ca="1">IFERROR(__xludf.DUMMYFUNCTION("AE87*(V87 / QUERY(NPCVar!$K$2:$N$12, ""Select N WHERE K='""&amp;AB87&amp;""'""))*TRUNC(1+10)*(TRUNC(MOD(($B87*1103515245 +12345)/ 65536, 32768),0)/32768)"),0)</f>
        <v>0</v>
      </c>
      <c r="AG87" s="16"/>
      <c r="AH87" s="77"/>
      <c r="AI87" s="114"/>
    </row>
    <row r="88" spans="1:35" ht="16.2">
      <c r="A88" s="53">
        <v>87</v>
      </c>
      <c r="B88" s="118">
        <f t="shared" si="14"/>
        <v>1.48353</v>
      </c>
      <c r="C88" s="72" t="str">
        <f t="array" ref="C88">INDEX(NPCFName,TRUNC(1+(COUNTA(NPCFName))*(TRUNC(MOD(($B88*1103515245 +12345)/ 65536, 32768),0)/32768),0))</f>
        <v>Erim</v>
      </c>
      <c r="D88" s="16" t="str">
        <f t="array" ref="D88">INDEX(NPCLName,TRUNC(1+(COUNTA(NPCLName))*(TRUNC(MOD(($B88*1103515245 +12345)/ 65536, 32768),0)/32768),0))</f>
        <v>Sacredgloom</v>
      </c>
      <c r="E88" s="16" t="str">
        <f t="array" ref="E88">INDEX(NPCClass,TRUNC(1+(COUNTA(NPCClass))*(TRUNC(MOD(($B88*1103515245 +12345)/ 65536, 32768),0)/32768),0))</f>
        <v>Cleric</v>
      </c>
      <c r="F88" s="76">
        <v>8</v>
      </c>
      <c r="G88" s="153">
        <f ca="1">VLOOKUP($AB$2,'RF Mod'!$A$2:$G$12,2,FALSE)+VLOOKUP($AD$2,'RF Mod'!$I$2:$O$11,2,FALSE)+(TRUNC(6+(24-6)*(TRUNC(MOD(($Z88*1103515245 +12345)/ 65536, 32768),0)/32768),0))</f>
        <v>11</v>
      </c>
      <c r="H88" s="16" t="e">
        <f t="shared" ca="1" si="1"/>
        <v>#NAME?</v>
      </c>
      <c r="I88" s="153">
        <f ca="1">VLOOKUP($AB$2,'RF Mod'!$A$2:$G$12,3,FALSE)+VLOOKUP($AD$2,'RF Mod'!$I$2:$O$11,3,FALSE)+(TRUNC(6+(24-6)*(TRUNC(MOD(($Z88*1103515245 +12345)/ 65536, 32768),0)/32768),0))</f>
        <v>15</v>
      </c>
      <c r="J88" s="16" t="e">
        <f t="shared" ca="1" si="2"/>
        <v>#NAME?</v>
      </c>
      <c r="K88" s="153">
        <f ca="1">VLOOKUP($AB$2,'RF Mod'!$A$2:$G$12,3,FALSE)+VLOOKUP($AD$2,'RF Mod'!$I$2:$O$11,3,FALSE)+(TRUNC(6+(24-6)*(TRUNC(MOD(($Z88*1103515245 +12345)/ 65536, 32768),0)/32768),0))</f>
        <v>15</v>
      </c>
      <c r="L88" s="16" t="e">
        <f t="shared" ca="1" si="3"/>
        <v>#NAME?</v>
      </c>
      <c r="M88" s="153">
        <f ca="1">VLOOKUP($AB$2,'RF Mod'!$A$2:$G$12,4,FALSE)+VLOOKUP($AD$2,'RF Mod'!$I$2:$O$11,4,FALSE)+(TRUNC(6+(24-6)*(TRUNC(MOD(($Z88*1103515245 +12345)/ 65536, 32768),0)/32768),0))</f>
        <v>14</v>
      </c>
      <c r="N88" s="16" t="e">
        <f t="shared" ca="1" si="4"/>
        <v>#NAME?</v>
      </c>
      <c r="O88" s="153">
        <f ca="1">VLOOKUP($AB$2,'RF Mod'!$A$2:$G$12,5,FALSE)+VLOOKUP($AD$2,'RF Mod'!$I$2:$O$11,5,FALSE)+(TRUNC(6+(24-6)*(TRUNC(MOD(($Z88*1103515245 +12345)/ 65536, 32768),0)/32768),0))</f>
        <v>17</v>
      </c>
      <c r="P88" s="16" t="e">
        <f t="shared" ca="1" si="5"/>
        <v>#NAME?</v>
      </c>
      <c r="Q88" s="153">
        <f ca="1">VLOOKUP($AB$2,'RF Mod'!$A$2:$G$12,6,FALSE)+VLOOKUP($AD$2,'RF Mod'!$I$2:$O$11,6,FALSE)+(TRUNC(6+(24-6)*(TRUNC(MOD(($Z88*1103515245 +12345)/ 65536, 32768),0)/32768),0))</f>
        <v>15</v>
      </c>
      <c r="R88" s="16" t="e">
        <f t="shared" ca="1" si="6"/>
        <v>#NAME?</v>
      </c>
      <c r="S88" s="154">
        <f t="shared" ca="1" si="12"/>
        <v>200</v>
      </c>
      <c r="T88" s="154">
        <f t="shared" ca="1" si="7"/>
        <v>57</v>
      </c>
      <c r="U88" s="16" t="str">
        <f t="shared" ca="1" si="8"/>
        <v>Fine</v>
      </c>
      <c r="V88" s="155">
        <f ca="1">IFERROR(__xludf.DUMMYFUNCTION("if(W88=""Middle Age"",QUERY(NPCVar!$K$2:$N1000, ""Select L where K = '""&amp;AB88&amp;""'""),if(W88=""Old"",QUERY(NPCVar!$K$2:$N1000, ""Select M where K = '""&amp;AB88&amp;""'""),if(W88=""Venerable"",QUERY(NPCVar!$K$2:$N1000, ""Select N where K = '""&amp;AB88&amp;""'""),false)))"&amp;"*X88"),190)</f>
        <v>190</v>
      </c>
      <c r="W88" s="156" t="str">
        <f t="array" ref="W88">INDEX(NPCAgeType,TRUNC(1+(4-1)*(TRUNC(MOD((X88*1103515245 +12345)/ 65536, 32768),0)/32768),0))</f>
        <v>Venerable</v>
      </c>
      <c r="X88" s="117">
        <f t="shared" si="13"/>
        <v>1.9</v>
      </c>
      <c r="Y88" s="157" t="e">
        <f t="array" aca="1" ref="Y88" ca="1">LOOKUP(ABS(MAX(Z88 + MIN(ABS(INDIRECT("Class Jobs!B"&amp;MATCH(E88,'Class Jobs'!$A$1:$A1000,0)&amp;":"&amp;"AF"&amp;MATCH(E88,'Class Jobs'!$A$1:$A1000,0)&amp;"")-$Z88)) * SUM(IF(MIN(ABS(INDIRECT("Class Jobs!B"&amp;MATCH(E88,'Class Jobs'!$A$1:$A1000,0)&amp;":"&amp;"AF"&amp;MATCH(E88,'Class Jobs'!$A$1:$A1000,0)&amp;"")-$Z88))=ABS(INDIRECT("Class Jobs!B"&amp;MATCH(E88,'Class Jobs'!$A$1:$A1000,0)&amp;":"&amp;"AF"&amp;MATCH(E88,'Class Jobs'!$A$1:$A1000,0)&amp;"")-$Z88),SIGN(INDIRECT("Class Jobs!B"&amp;MATCH(E88,'Class Jobs'!$A$1:A1000,0)&amp;":"&amp;"AF"&amp;MATCH(E88,'Class Jobs'!$A$1:$A1000,0)&amp;"")-$Z88),0)),0)),INDIRECT("Class Jobs!B"&amp;MATCH(E88,'Class Jobs'!$A$1:$A1000,0)&amp;":"&amp;"AF"&amp;MATCH(E88,'Class Jobs'!$A$1:$A1000,1)&amp;""),'Class Jobs'!$B$1:$AF$1)</f>
        <v>#REF!</v>
      </c>
      <c r="Z88" s="158">
        <f t="shared" si="10"/>
        <v>0.76</v>
      </c>
      <c r="AA88" s="16" t="str">
        <f t="array" ref="AA88">INDEX(NPCGender,TRUNC(1+(COUNTA(NPCGender))*(TRUNC(MOD(($B88*1103515245 +12345)/ 65536, 32768),0)/32768),0))</f>
        <v>Neutral</v>
      </c>
      <c r="AB88" s="16" t="str">
        <f t="array" ref="AB88">INDEX(NPCRace,TRUNC(1+(COUNTA(NPCRace))*(TRUNC(MOD(($B88*1103515245 +12345)/ 65536, 32768),0)/32768),0))</f>
        <v>Tiefling</v>
      </c>
      <c r="AC88" s="16" t="str">
        <f t="array" ref="AC88">INDEX(NPCAL,TRUNC(1+(COUNTA(NPCAL))*(TRUNC(MOD(($B88*1103515245 +12345)/ 65536, 32768),0)/32768),0))</f>
        <v>LG</v>
      </c>
      <c r="AD88" s="72" t="str">
        <f ca="1">IFERROR(__xludf.DUMMYFUNCTION("if(V88&lt;15,QUERY(NPCVar!C:D,""Select D WHERE C = '""&amp;D88&amp;""'""),if((TRUNC(1+10)*(TRUNC(MOD((ROW(H88)*1103515245 +12345)/ 65536, 32768),0)/32768)/10) &gt; 0.85,INDEX(NPCFaction,TRUNC(1+(counta(NPCFaction)-1)*(TRUNC(MOD(($B88*1103515245 +12345)/ 65536, 32768),0"&amp;")/32768),0)),QUERY(NPCVar!C:D,""Select D WHERE C = '""&amp;D88&amp;""'"")))"),"Adventures Guild")</f>
        <v>Adventures Guild</v>
      </c>
      <c r="AE88" s="108" t="e">
        <f t="shared" ca="1" si="11"/>
        <v>#NAME?</v>
      </c>
      <c r="AF88" s="159">
        <f ca="1">IFERROR(__xludf.DUMMYFUNCTION("AE88*(V88 / QUERY(NPCVar!$K$2:$N$12, ""Select N WHERE K='""&amp;AB88&amp;""'""))*TRUNC(1+10)*(TRUNC(MOD(($B88*1103515245 +12345)/ 65536, 32768),0)/32768)"),12.746142578125)</f>
        <v>12.746142578124999</v>
      </c>
      <c r="AG88" s="16"/>
      <c r="AH88" s="77"/>
      <c r="AI88" s="114"/>
    </row>
    <row r="89" spans="1:35" ht="16.2">
      <c r="A89" s="53">
        <v>88</v>
      </c>
      <c r="B89" s="118">
        <f t="shared" si="14"/>
        <v>0.47767999999999999</v>
      </c>
      <c r="C89" s="72" t="str">
        <f t="array" ref="C89">INDEX(NPCFName,TRUNC(1+(COUNTA(NPCFName))*(TRUNC(MOD(($B89*1103515245 +12345)/ 65536, 32768),0)/32768),0))</f>
        <v>Rikar</v>
      </c>
      <c r="D89" s="16" t="str">
        <f t="array" ref="D89">INDEX(NPCLName,TRUNC(1+(COUNTA(NPCLName))*(TRUNC(MOD(($B89*1103515245 +12345)/ 65536, 32768),0)/32768),0))</f>
        <v>Tuskleaf</v>
      </c>
      <c r="E89" s="16" t="str">
        <f t="array" ref="E89">INDEX(NPCClass,TRUNC(1+(COUNTA(NPCClass))*(TRUNC(MOD(($B89*1103515245 +12345)/ 65536, 32768),0)/32768),0))</f>
        <v>Druid</v>
      </c>
      <c r="F89" s="76">
        <v>1</v>
      </c>
      <c r="G89" s="153">
        <f ca="1">VLOOKUP($AB$2,'RF Mod'!$A$2:$G$12,2,FALSE)+VLOOKUP($AD$2,'RF Mod'!$I$2:$O$11,2,FALSE)+(TRUNC(6+(24-6)*(TRUNC(MOD(($Z89*1103515245 +12345)/ 65536, 32768),0)/32768),0))</f>
        <v>6</v>
      </c>
      <c r="H89" s="16">
        <f t="shared" ca="1" si="1"/>
        <v>-2</v>
      </c>
      <c r="I89" s="153">
        <f ca="1">VLOOKUP($AB$2,'RF Mod'!$A$2:$G$12,3,FALSE)+VLOOKUP($AD$2,'RF Mod'!$I$2:$O$11,3,FALSE)+(TRUNC(6+(24-6)*(TRUNC(MOD(($Z89*1103515245 +12345)/ 65536, 32768),0)/32768),0))</f>
        <v>10</v>
      </c>
      <c r="J89" s="16" t="e">
        <f t="shared" ca="1" si="2"/>
        <v>#NAME?</v>
      </c>
      <c r="K89" s="153">
        <f ca="1">VLOOKUP($AB$2,'RF Mod'!$A$2:$G$12,3,FALSE)+VLOOKUP($AD$2,'RF Mod'!$I$2:$O$11,3,FALSE)+(TRUNC(6+(24-6)*(TRUNC(MOD(($Z89*1103515245 +12345)/ 65536, 32768),0)/32768),0))</f>
        <v>10</v>
      </c>
      <c r="L89" s="16" t="e">
        <f t="shared" ca="1" si="3"/>
        <v>#NAME?</v>
      </c>
      <c r="M89" s="153">
        <f ca="1">VLOOKUP($AB$2,'RF Mod'!$A$2:$G$12,4,FALSE)+VLOOKUP($AD$2,'RF Mod'!$I$2:$O$11,4,FALSE)+(TRUNC(6+(24-6)*(TRUNC(MOD(($Z89*1103515245 +12345)/ 65536, 32768),0)/32768),0))</f>
        <v>9</v>
      </c>
      <c r="N89" s="16">
        <f t="shared" ca="1" si="4"/>
        <v>-1</v>
      </c>
      <c r="O89" s="153">
        <f ca="1">VLOOKUP($AB$2,'RF Mod'!$A$2:$G$12,5,FALSE)+VLOOKUP($AD$2,'RF Mod'!$I$2:$O$11,5,FALSE)+(TRUNC(6+(24-6)*(TRUNC(MOD(($Z89*1103515245 +12345)/ 65536, 32768),0)/32768),0))</f>
        <v>12</v>
      </c>
      <c r="P89" s="16" t="e">
        <f t="shared" ca="1" si="5"/>
        <v>#NAME?</v>
      </c>
      <c r="Q89" s="153">
        <f ca="1">VLOOKUP($AB$2,'RF Mod'!$A$2:$G$12,6,FALSE)+VLOOKUP($AD$2,'RF Mod'!$I$2:$O$11,6,FALSE)+(TRUNC(6+(24-6)*(TRUNC(MOD(($Z89*1103515245 +12345)/ 65536, 32768),0)/32768),0))</f>
        <v>10</v>
      </c>
      <c r="R89" s="16" t="e">
        <f t="shared" ca="1" si="6"/>
        <v>#NAME?</v>
      </c>
      <c r="S89" s="154">
        <f t="shared" ca="1" si="12"/>
        <v>12</v>
      </c>
      <c r="T89" s="154">
        <f t="shared" ca="1" si="7"/>
        <v>4</v>
      </c>
      <c r="U89" s="16" t="str">
        <f t="shared" ca="1" si="8"/>
        <v>Fine</v>
      </c>
      <c r="V89" s="155">
        <f ca="1">IFERROR(__xludf.DUMMYFUNCTION("if(W89=""Middle Age"",QUERY(NPCVar!$K$2:$N1000, ""Select L where K = '""&amp;AB89&amp;""'""),if(W89=""Old"",QUERY(NPCVar!$K$2:$N1000, ""Select M where K = '""&amp;AB89&amp;""'""),if(W89=""Venerable"",QUERY(NPCVar!$K$2:$N1000, ""Select N where K = '""&amp;AB89&amp;""'""),false)))"&amp;"*X89"),112.5)</f>
        <v>112.5</v>
      </c>
      <c r="W89" s="156" t="str">
        <f t="array" ref="W89">INDEX(NPCAgeType,TRUNC(1+(4-1)*(TRUNC(MOD((X89*1103515245 +12345)/ 65536, 32768),0)/32768),0))</f>
        <v>Middle Age</v>
      </c>
      <c r="X89" s="117">
        <f t="shared" si="13"/>
        <v>0.6</v>
      </c>
      <c r="Y89" s="157" t="e">
        <f t="array" aca="1" ref="Y89" ca="1">LOOKUP(ABS(MAX(Z89 + MIN(ABS(INDIRECT("Class Jobs!B"&amp;MATCH(E89,'Class Jobs'!$A$1:$A1000,0)&amp;":"&amp;"AF"&amp;MATCH(E89,'Class Jobs'!$A$1:$A1000,0)&amp;"")-$Z89)) * SUM(IF(MIN(ABS(INDIRECT("Class Jobs!B"&amp;MATCH(E89,'Class Jobs'!$A$1:$A1000,0)&amp;":"&amp;"AF"&amp;MATCH(E89,'Class Jobs'!$A$1:$A1000,0)&amp;"")-$Z89))=ABS(INDIRECT("Class Jobs!B"&amp;MATCH(E89,'Class Jobs'!$A$1:$A1000,0)&amp;":"&amp;"AF"&amp;MATCH(E89,'Class Jobs'!$A$1:$A1000,0)&amp;"")-$Z89),SIGN(INDIRECT("Class Jobs!B"&amp;MATCH(E89,'Class Jobs'!$A$1:A1000,0)&amp;":"&amp;"AF"&amp;MATCH(E89,'Class Jobs'!$A$1:$A1000,0)&amp;"")-$Z89),0)),0)),INDIRECT("Class Jobs!B"&amp;MATCH(E89,'Class Jobs'!$A$1:$A1000,0)&amp;":"&amp;"AF"&amp;MATCH(E89,'Class Jobs'!$A$1:$A1000,1)&amp;""),'Class Jobs'!$B$1:$AF$1)</f>
        <v>#REF!</v>
      </c>
      <c r="Z89" s="158">
        <f t="shared" si="10"/>
        <v>0.25</v>
      </c>
      <c r="AA89" s="16" t="str">
        <f t="array" ref="AA89">INDEX(NPCGender,TRUNC(1+(COUNTA(NPCGender))*(TRUNC(MOD(($B89*1103515245 +12345)/ 65536, 32768),0)/32768),0))</f>
        <v>Male</v>
      </c>
      <c r="AB89" s="16" t="str">
        <f t="array" ref="AB89">INDEX(NPCRace,TRUNC(1+(COUNTA(NPCRace))*(TRUNC(MOD(($B89*1103515245 +12345)/ 65536, 32768),0)/32768),0))</f>
        <v>Elf</v>
      </c>
      <c r="AC89" s="16" t="str">
        <f t="array" ref="AC89">INDEX(NPCAL,TRUNC(1+(COUNTA(NPCAL))*(TRUNC(MOD(($B89*1103515245 +12345)/ 65536, 32768),0)/32768),0))</f>
        <v>CG</v>
      </c>
      <c r="AD89" s="72" t="str">
        <f ca="1">IFERROR(__xludf.DUMMYFUNCTION("if(V89&lt;15,QUERY(NPCVar!C:D,""Select D WHERE C = '""&amp;D89&amp;""'""),if((TRUNC(1+10)*(TRUNC(MOD((ROW(H89)*1103515245 +12345)/ 65536, 32768),0)/32768)/10) &gt; 0.85,INDEX(NPCFaction,TRUNC(1+(counta(NPCFaction)-1)*(TRUNC(MOD(($B89*1103515245 +12345)/ 65536, 32768),0"&amp;")/32768),0)),QUERY(NPCVar!C:D,""Select D WHERE C = '""&amp;D89&amp;""'"")))"),"Magic Guild")</f>
        <v>Magic Guild</v>
      </c>
      <c r="AE89" s="108" t="e">
        <f t="shared" ca="1" si="11"/>
        <v>#NAME?</v>
      </c>
      <c r="AF89" s="159">
        <f ca="1">IFERROR(__xludf.DUMMYFUNCTION("AE89*(V89 / QUERY(NPCVar!$K$2:$N$12, ""Select N WHERE K='""&amp;AB89&amp;""'""))*TRUNC(1+10)*(TRUNC(MOD(($B89*1103515245 +12345)/ 65536, 32768),0)/32768)"),0)</f>
        <v>0</v>
      </c>
      <c r="AG89" s="16"/>
      <c r="AH89" s="77"/>
      <c r="AI89" s="114"/>
    </row>
    <row r="90" spans="1:35" ht="16.2">
      <c r="A90" s="53">
        <v>89</v>
      </c>
      <c r="B90" s="118">
        <f t="shared" si="14"/>
        <v>1.9718100000000001</v>
      </c>
      <c r="C90" s="72" t="str">
        <f t="array" ref="C90">INDEX(NPCFName,TRUNC(1+(COUNTA(NPCFName))*(TRUNC(MOD(($B90*1103515245 +12345)/ 65536, 32768),0)/32768),0))</f>
        <v>Amitel</v>
      </c>
      <c r="D90" s="16" t="str">
        <f t="array" ref="D90">INDEX(NPCLName,TRUNC(1+(COUNTA(NPCLName))*(TRUNC(MOD(($B90*1103515245 +12345)/ 65536, 32768),0)/32768),0))</f>
        <v>Stagfang</v>
      </c>
      <c r="E90" s="16" t="str">
        <f t="array" ref="E90">INDEX(NPCClass,TRUNC(1+(COUNTA(NPCClass))*(TRUNC(MOD(($B90*1103515245 +12345)/ 65536, 32768),0)/32768),0))</f>
        <v>Barbarian</v>
      </c>
      <c r="F90" s="76">
        <v>1</v>
      </c>
      <c r="G90" s="153">
        <f ca="1">VLOOKUP($AB$2,'RF Mod'!$A$2:$G$12,2,FALSE)+VLOOKUP($AD$2,'RF Mod'!$I$2:$O$11,2,FALSE)+(TRUNC(6+(24-6)*(TRUNC(MOD(($Z90*1103515245 +12345)/ 65536, 32768),0)/32768),0))</f>
        <v>4</v>
      </c>
      <c r="H90" s="16">
        <f t="shared" ca="1" si="1"/>
        <v>-3</v>
      </c>
      <c r="I90" s="153">
        <f ca="1">VLOOKUP($AB$2,'RF Mod'!$A$2:$G$12,3,FALSE)+VLOOKUP($AD$2,'RF Mod'!$I$2:$O$11,3,FALSE)+(TRUNC(6+(24-6)*(TRUNC(MOD(($Z90*1103515245 +12345)/ 65536, 32768),0)/32768),0))</f>
        <v>8</v>
      </c>
      <c r="J90" s="16">
        <f t="shared" ca="1" si="2"/>
        <v>-1</v>
      </c>
      <c r="K90" s="153">
        <f ca="1">VLOOKUP($AB$2,'RF Mod'!$A$2:$G$12,3,FALSE)+VLOOKUP($AD$2,'RF Mod'!$I$2:$O$11,3,FALSE)+(TRUNC(6+(24-6)*(TRUNC(MOD(($Z90*1103515245 +12345)/ 65536, 32768),0)/32768),0))</f>
        <v>8</v>
      </c>
      <c r="L90" s="16">
        <f t="shared" ca="1" si="3"/>
        <v>-1</v>
      </c>
      <c r="M90" s="153">
        <f ca="1">VLOOKUP($AB$2,'RF Mod'!$A$2:$G$12,4,FALSE)+VLOOKUP($AD$2,'RF Mod'!$I$2:$O$11,4,FALSE)+(TRUNC(6+(24-6)*(TRUNC(MOD(($Z90*1103515245 +12345)/ 65536, 32768),0)/32768),0))</f>
        <v>7</v>
      </c>
      <c r="N90" s="16">
        <f t="shared" ca="1" si="4"/>
        <v>-2</v>
      </c>
      <c r="O90" s="153">
        <f ca="1">VLOOKUP($AB$2,'RF Mod'!$A$2:$G$12,5,FALSE)+VLOOKUP($AD$2,'RF Mod'!$I$2:$O$11,5,FALSE)+(TRUNC(6+(24-6)*(TRUNC(MOD(($Z90*1103515245 +12345)/ 65536, 32768),0)/32768),0))</f>
        <v>10</v>
      </c>
      <c r="P90" s="16" t="e">
        <f t="shared" ca="1" si="5"/>
        <v>#NAME?</v>
      </c>
      <c r="Q90" s="153">
        <f ca="1">VLOOKUP($AB$2,'RF Mod'!$A$2:$G$12,6,FALSE)+VLOOKUP($AD$2,'RF Mod'!$I$2:$O$11,6,FALSE)+(TRUNC(6+(24-6)*(TRUNC(MOD(($Z90*1103515245 +12345)/ 65536, 32768),0)/32768),0))</f>
        <v>8</v>
      </c>
      <c r="R90" s="16">
        <f t="shared" ca="1" si="6"/>
        <v>-1</v>
      </c>
      <c r="S90" s="154">
        <f t="shared" ca="1" si="12"/>
        <v>10</v>
      </c>
      <c r="T90" s="154">
        <f t="shared" ca="1" si="7"/>
        <v>12</v>
      </c>
      <c r="U90" s="16" t="str">
        <f t="shared" ca="1" si="8"/>
        <v>Dead</v>
      </c>
      <c r="V90" s="155">
        <f ca="1">IFERROR(__xludf.DUMMYFUNCTION("if(W90=""Middle Age"",QUERY(NPCVar!$K$2:$N1000, ""Select L where K = '""&amp;AB90&amp;""'""),if(W90=""Old"",QUERY(NPCVar!$K$2:$N1000, ""Select M where K = '""&amp;AB90&amp;""'""),if(W90=""Venerable"",QUERY(NPCVar!$K$2:$N1000, ""Select N where K = '""&amp;AB90&amp;""'""),false)))"&amp;"*X90"),2)</f>
        <v>2</v>
      </c>
      <c r="W90" s="156" t="str">
        <f t="array" ref="W90">INDEX(NPCAgeType,TRUNC(1+(4-1)*(TRUNC(MOD((X90*1103515245 +12345)/ 65536, 32768),0)/32768),0))</f>
        <v>Middle Age</v>
      </c>
      <c r="X90" s="117">
        <f t="shared" si="13"/>
        <v>0.1</v>
      </c>
      <c r="Y90" s="157" t="e">
        <f t="array" aca="1" ref="Y90" ca="1">LOOKUP(ABS(MAX(Z90 + MIN(ABS(INDIRECT("Class Jobs!B"&amp;MATCH(E90,'Class Jobs'!$A$1:$A1000,0)&amp;":"&amp;"AF"&amp;MATCH(E90,'Class Jobs'!$A$1:$A1000,0)&amp;"")-$Z90)) * SUM(IF(MIN(ABS(INDIRECT("Class Jobs!B"&amp;MATCH(E90,'Class Jobs'!$A$1:$A1000,0)&amp;":"&amp;"AF"&amp;MATCH(E90,'Class Jobs'!$A$1:$A1000,0)&amp;"")-$Z90))=ABS(INDIRECT("Class Jobs!B"&amp;MATCH(E90,'Class Jobs'!$A$1:$A1000,0)&amp;":"&amp;"AF"&amp;MATCH(E90,'Class Jobs'!$A$1:$A1000,0)&amp;"")-$Z90),SIGN(INDIRECT("Class Jobs!B"&amp;MATCH(E90,'Class Jobs'!$A$1:A1000,0)&amp;":"&amp;"AF"&amp;MATCH(E90,'Class Jobs'!$A$1:$A1000,0)&amp;"")-$Z90),0)),0)),INDIRECT("Class Jobs!B"&amp;MATCH(E90,'Class Jobs'!$A$1:$A1000,0)&amp;":"&amp;"AF"&amp;MATCH(E90,'Class Jobs'!$A$1:$A1000,1)&amp;""),'Class Jobs'!$B$1:$AF$1)</f>
        <v>#REF!</v>
      </c>
      <c r="Z90" s="158">
        <f t="shared" si="10"/>
        <v>0.02</v>
      </c>
      <c r="AA90" s="16" t="str">
        <f t="array" ref="AA90">INDEX(NPCGender,TRUNC(1+(COUNTA(NPCGender))*(TRUNC(MOD(($B90*1103515245 +12345)/ 65536, 32768),0)/32768),0))</f>
        <v>Male</v>
      </c>
      <c r="AB90" s="16" t="str">
        <f t="array" ref="AB90">INDEX(NPCRace,TRUNC(1+(COUNTA(NPCRace))*(TRUNC(MOD(($B90*1103515245 +12345)/ 65536, 32768),0)/32768),0))</f>
        <v>Dragonborn</v>
      </c>
      <c r="AC90" s="16" t="str">
        <f t="array" ref="AC90">INDEX(NPCAL,TRUNC(1+(COUNTA(NPCAL))*(TRUNC(MOD(($B90*1103515245 +12345)/ 65536, 32768),0)/32768),0))</f>
        <v>CN</v>
      </c>
      <c r="AD90" s="72" t="str">
        <f ca="1">IFERROR(__xludf.DUMMYFUNCTION("if(V90&lt;15,QUERY(NPCVar!C:D,""Select D WHERE C = '""&amp;D90&amp;""'""),if((TRUNC(1+10)*(TRUNC(MOD((ROW(H90)*1103515245 +12345)/ 65536, 32768),0)/32768)/10) &gt; 0.85,INDEX(NPCFaction,TRUNC(1+(counta(NPCFaction)-1)*(TRUNC(MOD(($B90*1103515245 +12345)/ 65536, 32768),0"&amp;")/32768),0)),QUERY(NPCVar!C:D,""Select D WHERE C = '""&amp;D90&amp;""'"")))"),"Royalty")</f>
        <v>Royalty</v>
      </c>
      <c r="AE90" s="108" t="e">
        <f t="shared" ca="1" si="11"/>
        <v>#NAME?</v>
      </c>
      <c r="AF90" s="159">
        <f ca="1">IFERROR(__xludf.DUMMYFUNCTION("AE90*(V90 / QUERY(NPCVar!$K$2:$N$12, ""Select N WHERE K='""&amp;AB90&amp;""'""))*TRUNC(1+10)*(TRUNC(MOD(($B90*1103515245 +12345)/ 65536, 32768),0)/32768)"),0.0014569091796875)</f>
        <v>1.4569091796875001E-3</v>
      </c>
      <c r="AG90" s="16"/>
      <c r="AH90" s="77"/>
      <c r="AI90" s="114"/>
    </row>
    <row r="91" spans="1:35" ht="16.2">
      <c r="A91" s="53">
        <v>90</v>
      </c>
      <c r="B91" s="118">
        <f t="shared" si="14"/>
        <v>0.96596000000000004</v>
      </c>
      <c r="C91" s="72" t="str">
        <f t="array" ref="C91">INDEX(NPCFName,TRUNC(1+(COUNTA(NPCFName))*(TRUNC(MOD(($B91*1103515245 +12345)/ 65536, 32768),0)/32768),0))</f>
        <v>Kimdar</v>
      </c>
      <c r="D91" s="16" t="str">
        <f t="array" ref="D91">INDEX(NPCLName,TRUNC(1+(COUNTA(NPCLName))*(TRUNC(MOD(($B91*1103515245 +12345)/ 65536, 32768),0)/32768),0))</f>
        <v>Autumnglow</v>
      </c>
      <c r="E91" s="16" t="str">
        <f t="array" ref="E91">INDEX(NPCClass,TRUNC(1+(COUNTA(NPCClass))*(TRUNC(MOD(($B91*1103515245 +12345)/ 65536, 32768),0)/32768),0))</f>
        <v>Ranger</v>
      </c>
      <c r="F91" s="76">
        <v>8</v>
      </c>
      <c r="G91" s="153">
        <f ca="1">VLOOKUP($AB$2,'RF Mod'!$A$2:$G$12,2,FALSE)+VLOOKUP($AD$2,'RF Mod'!$I$2:$O$11,2,FALSE)+(TRUNC(6+(24-6)*(TRUNC(MOD(($Z91*1103515245 +12345)/ 65536, 32768),0)/32768),0))</f>
        <v>8</v>
      </c>
      <c r="H91" s="16">
        <f t="shared" ca="1" si="1"/>
        <v>-1</v>
      </c>
      <c r="I91" s="153">
        <f ca="1">VLOOKUP($AB$2,'RF Mod'!$A$2:$G$12,3,FALSE)+VLOOKUP($AD$2,'RF Mod'!$I$2:$O$11,3,FALSE)+(TRUNC(6+(24-6)*(TRUNC(MOD(($Z91*1103515245 +12345)/ 65536, 32768),0)/32768),0))</f>
        <v>12</v>
      </c>
      <c r="J91" s="16" t="e">
        <f t="shared" ca="1" si="2"/>
        <v>#NAME?</v>
      </c>
      <c r="K91" s="153">
        <f ca="1">VLOOKUP($AB$2,'RF Mod'!$A$2:$G$12,3,FALSE)+VLOOKUP($AD$2,'RF Mod'!$I$2:$O$11,3,FALSE)+(TRUNC(6+(24-6)*(TRUNC(MOD(($Z91*1103515245 +12345)/ 65536, 32768),0)/32768),0))</f>
        <v>12</v>
      </c>
      <c r="L91" s="16" t="e">
        <f t="shared" ca="1" si="3"/>
        <v>#NAME?</v>
      </c>
      <c r="M91" s="153">
        <f ca="1">VLOOKUP($AB$2,'RF Mod'!$A$2:$G$12,4,FALSE)+VLOOKUP($AD$2,'RF Mod'!$I$2:$O$11,4,FALSE)+(TRUNC(6+(24-6)*(TRUNC(MOD(($Z91*1103515245 +12345)/ 65536, 32768),0)/32768),0))</f>
        <v>11</v>
      </c>
      <c r="N91" s="16" t="e">
        <f t="shared" ca="1" si="4"/>
        <v>#NAME?</v>
      </c>
      <c r="O91" s="153">
        <f ca="1">VLOOKUP($AB$2,'RF Mod'!$A$2:$G$12,5,FALSE)+VLOOKUP($AD$2,'RF Mod'!$I$2:$O$11,5,FALSE)+(TRUNC(6+(24-6)*(TRUNC(MOD(($Z91*1103515245 +12345)/ 65536, 32768),0)/32768),0))</f>
        <v>14</v>
      </c>
      <c r="P91" s="16" t="e">
        <f t="shared" ca="1" si="5"/>
        <v>#NAME?</v>
      </c>
      <c r="Q91" s="153">
        <f ca="1">VLOOKUP($AB$2,'RF Mod'!$A$2:$G$12,6,FALSE)+VLOOKUP($AD$2,'RF Mod'!$I$2:$O$11,6,FALSE)+(TRUNC(6+(24-6)*(TRUNC(MOD(($Z91*1103515245 +12345)/ 65536, 32768),0)/32768),0))</f>
        <v>12</v>
      </c>
      <c r="R91" s="16" t="e">
        <f t="shared" ca="1" si="6"/>
        <v>#NAME?</v>
      </c>
      <c r="S91" s="154">
        <f t="shared" ca="1" si="12"/>
        <v>176</v>
      </c>
      <c r="T91" s="154">
        <f t="shared" ca="1" si="7"/>
        <v>85</v>
      </c>
      <c r="U91" s="16" t="str">
        <f t="shared" ca="1" si="8"/>
        <v>Fine</v>
      </c>
      <c r="V91" s="155">
        <f ca="1">IFERROR(__xludf.DUMMYFUNCTION("if(W91=""Middle Age"",QUERY(NPCVar!$K$2:$N1000, ""Select L where K = '""&amp;AB91&amp;""'""),if(W91=""Old"",QUERY(NPCVar!$K$2:$N1000, ""Select M where K = '""&amp;AB91&amp;""'""),if(W91=""Venerable"",QUERY(NPCVar!$K$2:$N1000, ""Select N where K = '""&amp;AB91&amp;""'""),false)))"&amp;"*X91"),31.5)</f>
        <v>31.5</v>
      </c>
      <c r="W91" s="156" t="str">
        <f t="array" ref="W91">INDEX(NPCAgeType,TRUNC(1+(4-1)*(TRUNC(MOD((X91*1103515245 +12345)/ 65536, 32768),0)/32768),0))</f>
        <v>Old</v>
      </c>
      <c r="X91" s="117">
        <f t="shared" si="13"/>
        <v>1.2</v>
      </c>
      <c r="Y91" s="157" t="e">
        <f t="array" aca="1" ref="Y91" ca="1">LOOKUP(ABS(MAX(Z91 + MIN(ABS(INDIRECT("Class Jobs!B"&amp;MATCH(E91,'Class Jobs'!$A$1:$A1000,0)&amp;":"&amp;"AF"&amp;MATCH(E91,'Class Jobs'!$A$1:$A1000,0)&amp;"")-$Z91)) * SUM(IF(MIN(ABS(INDIRECT("Class Jobs!B"&amp;MATCH(E91,'Class Jobs'!$A$1:$A1000,0)&amp;":"&amp;"AF"&amp;MATCH(E91,'Class Jobs'!$A$1:$A1000,0)&amp;"")-$Z91))=ABS(INDIRECT("Class Jobs!B"&amp;MATCH(E91,'Class Jobs'!$A$1:$A1000,0)&amp;":"&amp;"AF"&amp;MATCH(E91,'Class Jobs'!$A$1:$A1000,0)&amp;"")-$Z91),SIGN(INDIRECT("Class Jobs!B"&amp;MATCH(E91,'Class Jobs'!$A$1:A1000,0)&amp;":"&amp;"AF"&amp;MATCH(E91,'Class Jobs'!$A$1:$A1000,0)&amp;"")-$Z91),0)),0)),INDIRECT("Class Jobs!B"&amp;MATCH(E91,'Class Jobs'!$A$1:$A1000,0)&amp;":"&amp;"AF"&amp;MATCH(E91,'Class Jobs'!$A$1:$A1000,1)&amp;""),'Class Jobs'!$B$1:$AF$1)</f>
        <v>#REF!</v>
      </c>
      <c r="Z91" s="158">
        <f t="shared" si="10"/>
        <v>0.5</v>
      </c>
      <c r="AA91" s="16" t="str">
        <f t="array" ref="AA91">INDEX(NPCGender,TRUNC(1+(COUNTA(NPCGender))*(TRUNC(MOD(($B91*1103515245 +12345)/ 65536, 32768),0)/32768),0))</f>
        <v>Female</v>
      </c>
      <c r="AB91" s="16" t="str">
        <f t="array" ref="AB91">INDEX(NPCRace,TRUNC(1+(COUNTA(NPCRace))*(TRUNC(MOD(($B91*1103515245 +12345)/ 65536, 32768),0)/32768),0))</f>
        <v>Half-Orc</v>
      </c>
      <c r="AC91" s="16" t="str">
        <f t="array" ref="AC91">INDEX(NPCAL,TRUNC(1+(COUNTA(NPCAL))*(TRUNC(MOD(($B91*1103515245 +12345)/ 65536, 32768),0)/32768),0))</f>
        <v>NN</v>
      </c>
      <c r="AD91" s="72" t="str">
        <f ca="1">IFERROR(__xludf.DUMMYFUNCTION("if(V91&lt;15,QUERY(NPCVar!C:D,""Select D WHERE C = '""&amp;D91&amp;""'""),if((TRUNC(1+10)*(TRUNC(MOD((ROW(H91)*1103515245 +12345)/ 65536, 32768),0)/32768)/10) &gt; 0.85,INDEX(NPCFaction,TRUNC(1+(counta(NPCFaction)-1)*(TRUNC(MOD(($B91*1103515245 +12345)/ 65536, 32768),0"&amp;")/32768),0)),QUERY(NPCVar!C:D,""Select D WHERE C = '""&amp;D91&amp;""'"")))"),"Traders Guild")</f>
        <v>Traders Guild</v>
      </c>
      <c r="AE91" s="108" t="e">
        <f t="shared" ca="1" si="11"/>
        <v>#NAME?</v>
      </c>
      <c r="AF91" s="159">
        <f ca="1">IFERROR(__xludf.DUMMYFUNCTION("AE91*(V91 / QUERY(NPCVar!$K$2:$N$12, ""Select N WHERE K='""&amp;AB91&amp;""'""))*TRUNC(1+10)*(TRUNC(MOD(($B91*1103515245 +12345)/ 65536, 32768),0)/32768)"),0.982809448242187)</f>
        <v>0.98280944824218697</v>
      </c>
      <c r="AG91" s="16"/>
      <c r="AH91" s="77"/>
      <c r="AI91" s="114"/>
    </row>
    <row r="92" spans="1:35" ht="16.2">
      <c r="A92" s="53">
        <v>91</v>
      </c>
      <c r="B92" s="118">
        <f t="shared" si="14"/>
        <v>2.4600900000000001</v>
      </c>
      <c r="C92" s="72" t="str">
        <f t="array" ref="C92">INDEX(NPCFName,TRUNC(1+(COUNTA(NPCFName))*(TRUNC(MOD(($B92*1103515245 +12345)/ 65536, 32768),0)/32768),0))</f>
        <v>Seryth</v>
      </c>
      <c r="D92" s="16" t="str">
        <f t="array" ref="D92">INDEX(NPCLName,TRUNC(1+(COUNTA(NPCLName))*(TRUNC(MOD(($B92*1103515245 +12345)/ 65536, 32768),0)/32768),0))</f>
        <v>Tuskleaf</v>
      </c>
      <c r="E92" s="16" t="str">
        <f t="array" ref="E92">INDEX(NPCClass,TRUNC(1+(COUNTA(NPCClass))*(TRUNC(MOD(($B92*1103515245 +12345)/ 65536, 32768),0)/32768),0))</f>
        <v>Monk</v>
      </c>
      <c r="F92" s="76">
        <v>1</v>
      </c>
      <c r="G92" s="153">
        <f ca="1">VLOOKUP($AB$2,'RF Mod'!$A$2:$G$12,2,FALSE)+VLOOKUP($AD$2,'RF Mod'!$I$2:$O$11,2,FALSE)+(TRUNC(6+(24-6)*(TRUNC(MOD(($Z92*1103515245 +12345)/ 65536, 32768),0)/32768),0))</f>
        <v>6</v>
      </c>
      <c r="H92" s="16">
        <f t="shared" ca="1" si="1"/>
        <v>-2</v>
      </c>
      <c r="I92" s="153">
        <f ca="1">VLOOKUP($AB$2,'RF Mod'!$A$2:$G$12,3,FALSE)+VLOOKUP($AD$2,'RF Mod'!$I$2:$O$11,3,FALSE)+(TRUNC(6+(24-6)*(TRUNC(MOD(($Z92*1103515245 +12345)/ 65536, 32768),0)/32768),0))</f>
        <v>10</v>
      </c>
      <c r="J92" s="16" t="e">
        <f t="shared" ca="1" si="2"/>
        <v>#NAME?</v>
      </c>
      <c r="K92" s="153">
        <f ca="1">VLOOKUP($AB$2,'RF Mod'!$A$2:$G$12,3,FALSE)+VLOOKUP($AD$2,'RF Mod'!$I$2:$O$11,3,FALSE)+(TRUNC(6+(24-6)*(TRUNC(MOD(($Z92*1103515245 +12345)/ 65536, 32768),0)/32768),0))</f>
        <v>10</v>
      </c>
      <c r="L92" s="16" t="e">
        <f t="shared" ca="1" si="3"/>
        <v>#NAME?</v>
      </c>
      <c r="M92" s="153">
        <f ca="1">VLOOKUP($AB$2,'RF Mod'!$A$2:$G$12,4,FALSE)+VLOOKUP($AD$2,'RF Mod'!$I$2:$O$11,4,FALSE)+(TRUNC(6+(24-6)*(TRUNC(MOD(($Z92*1103515245 +12345)/ 65536, 32768),0)/32768),0))</f>
        <v>9</v>
      </c>
      <c r="N92" s="16">
        <f t="shared" ca="1" si="4"/>
        <v>-1</v>
      </c>
      <c r="O92" s="153">
        <f ca="1">VLOOKUP($AB$2,'RF Mod'!$A$2:$G$12,5,FALSE)+VLOOKUP($AD$2,'RF Mod'!$I$2:$O$11,5,FALSE)+(TRUNC(6+(24-6)*(TRUNC(MOD(($Z92*1103515245 +12345)/ 65536, 32768),0)/32768),0))</f>
        <v>12</v>
      </c>
      <c r="P92" s="16" t="e">
        <f t="shared" ca="1" si="5"/>
        <v>#NAME?</v>
      </c>
      <c r="Q92" s="153">
        <f ca="1">VLOOKUP($AB$2,'RF Mod'!$A$2:$G$12,6,FALSE)+VLOOKUP($AD$2,'RF Mod'!$I$2:$O$11,6,FALSE)+(TRUNC(6+(24-6)*(TRUNC(MOD(($Z92*1103515245 +12345)/ 65536, 32768),0)/32768),0))</f>
        <v>10</v>
      </c>
      <c r="R92" s="16" t="e">
        <f t="shared" ca="1" si="6"/>
        <v>#NAME?</v>
      </c>
      <c r="S92" s="154">
        <f t="shared" ca="1" si="12"/>
        <v>14</v>
      </c>
      <c r="T92" s="154">
        <f t="shared" ca="1" si="7"/>
        <v>1</v>
      </c>
      <c r="U92" s="16" t="str">
        <f t="shared" ca="1" si="8"/>
        <v>Fine</v>
      </c>
      <c r="V92" s="155">
        <f ca="1">IFERROR(__xludf.DUMMYFUNCTION("if(W92=""Middle Age"",QUERY(NPCVar!$K$2:$N1000, ""Select L where K = '""&amp;AB92&amp;""'""),if(W92=""Old"",QUERY(NPCVar!$K$2:$N1000, ""Select M where K = '""&amp;AB92&amp;""'""),if(W92=""Venerable"",QUERY(NPCVar!$K$2:$N1000, ""Select N where K = '""&amp;AB92&amp;""'""),false)))"&amp;"*X92"),196.875)</f>
        <v>196.875</v>
      </c>
      <c r="W92" s="156" t="str">
        <f t="array" ref="W92">INDEX(NPCAgeType,TRUNC(1+(4-1)*(TRUNC(MOD((X92*1103515245 +12345)/ 65536, 32768),0)/32768),0))</f>
        <v>Old</v>
      </c>
      <c r="X92" s="117">
        <f t="shared" si="13"/>
        <v>0.7</v>
      </c>
      <c r="Y92" s="157" t="e">
        <f t="array" aca="1" ref="Y92" ca="1">LOOKUP(ABS(MAX(Z92 + MIN(ABS(INDIRECT("Class Jobs!B"&amp;MATCH(E92,'Class Jobs'!$A$1:$A1000,0)&amp;":"&amp;"AF"&amp;MATCH(E92,'Class Jobs'!$A$1:$A1000,0)&amp;"")-$Z92)) * SUM(IF(MIN(ABS(INDIRECT("Class Jobs!B"&amp;MATCH(E92,'Class Jobs'!$A$1:$A1000,0)&amp;":"&amp;"AF"&amp;MATCH(E92,'Class Jobs'!$A$1:$A1000,0)&amp;"")-$Z92))=ABS(INDIRECT("Class Jobs!B"&amp;MATCH(E92,'Class Jobs'!$A$1:$A1000,0)&amp;":"&amp;"AF"&amp;MATCH(E92,'Class Jobs'!$A$1:$A1000,0)&amp;"")-$Z92),SIGN(INDIRECT("Class Jobs!B"&amp;MATCH(E92,'Class Jobs'!$A$1:A1000,0)&amp;":"&amp;"AF"&amp;MATCH(E92,'Class Jobs'!$A$1:$A1000,0)&amp;"")-$Z92),0)),0)),INDIRECT("Class Jobs!B"&amp;MATCH(E92,'Class Jobs'!$A$1:$A1000,0)&amp;":"&amp;"AF"&amp;MATCH(E92,'Class Jobs'!$A$1:$A1000,1)&amp;""),'Class Jobs'!$B$1:$AF$1)</f>
        <v>#REF!</v>
      </c>
      <c r="Z92" s="158">
        <f t="shared" si="10"/>
        <v>0.27</v>
      </c>
      <c r="AA92" s="16" t="str">
        <f t="array" ref="AA92">INDEX(NPCGender,TRUNC(1+(COUNTA(NPCGender))*(TRUNC(MOD(($B92*1103515245 +12345)/ 65536, 32768),0)/32768),0))</f>
        <v>Male</v>
      </c>
      <c r="AB92" s="16" t="str">
        <f t="array" ref="AB92">INDEX(NPCRace,TRUNC(1+(COUNTA(NPCRace))*(TRUNC(MOD(($B92*1103515245 +12345)/ 65536, 32768),0)/32768),0))</f>
        <v>Elf</v>
      </c>
      <c r="AC92" s="16" t="str">
        <f t="array" ref="AC92">INDEX(NPCAL,TRUNC(1+(COUNTA(NPCAL))*(TRUNC(MOD(($B92*1103515245 +12345)/ 65536, 32768),0)/32768),0))</f>
        <v>CG</v>
      </c>
      <c r="AD92" s="72" t="str">
        <f ca="1">IFERROR(__xludf.DUMMYFUNCTION("if(V92&lt;15,QUERY(NPCVar!C:D,""Select D WHERE C = '""&amp;D92&amp;""'""),if((TRUNC(1+10)*(TRUNC(MOD((ROW(H92)*1103515245 +12345)/ 65536, 32768),0)/32768)/10) &gt; 0.85,INDEX(NPCFaction,TRUNC(1+(counta(NPCFaction)-1)*(TRUNC(MOD(($B92*1103515245 +12345)/ 65536, 32768),0"&amp;")/32768),0)),QUERY(NPCVar!C:D,""Select D WHERE C = '""&amp;D92&amp;""'"")))"),"Magic Guild")</f>
        <v>Magic Guild</v>
      </c>
      <c r="AE92" s="108" t="e">
        <f t="shared" ca="1" si="11"/>
        <v>#NAME?</v>
      </c>
      <c r="AF92" s="159">
        <f ca="1">IFERROR(__xludf.DUMMYFUNCTION("AE92*(V92 / QUERY(NPCVar!$K$2:$N$12, ""Select N WHERE K='""&amp;AB92&amp;""'""))*TRUNC(1+10)*(TRUNC(MOD(($B92*1103515245 +12345)/ 65536, 32768),0)/32768)"),0.381337165832519)</f>
        <v>0.38133716583251898</v>
      </c>
      <c r="AG92" s="16"/>
      <c r="AH92" s="77"/>
      <c r="AI92" s="114"/>
    </row>
    <row r="93" spans="1:35" ht="16.2">
      <c r="A93" s="53">
        <v>92</v>
      </c>
      <c r="B93" s="118">
        <f t="shared" si="14"/>
        <v>1.45424</v>
      </c>
      <c r="C93" s="72" t="str">
        <f t="array" ref="C93">INDEX(NPCFName,TRUNC(1+(COUNTA(NPCFName))*(TRUNC(MOD(($B93*1103515245 +12345)/ 65536, 32768),0)/32768),0))</f>
        <v>Dryden</v>
      </c>
      <c r="D93" s="16" t="str">
        <f t="array" ref="D93">INDEX(NPCLName,TRUNC(1+(COUNTA(NPCLName))*(TRUNC(MOD(($B93*1103515245 +12345)/ 65536, 32768),0)/32768),0))</f>
        <v>Sacredgloom</v>
      </c>
      <c r="E93" s="16" t="str">
        <f t="array" ref="E93">INDEX(NPCClass,TRUNC(1+(COUNTA(NPCClass))*(TRUNC(MOD(($B93*1103515245 +12345)/ 65536, 32768),0)/32768),0))</f>
        <v>None</v>
      </c>
      <c r="F93" s="76">
        <v>8</v>
      </c>
      <c r="G93" s="153">
        <f ca="1">VLOOKUP($AB$2,'RF Mod'!$A$2:$G$12,2,FALSE)+VLOOKUP($AD$2,'RF Mod'!$I$2:$O$11,2,FALSE)+(TRUNC(6+(24-6)*(TRUNC(MOD(($Z93*1103515245 +12345)/ 65536, 32768),0)/32768),0))</f>
        <v>10</v>
      </c>
      <c r="H93" s="16" t="e">
        <f t="shared" ca="1" si="1"/>
        <v>#NAME?</v>
      </c>
      <c r="I93" s="153">
        <f ca="1">VLOOKUP($AB$2,'RF Mod'!$A$2:$G$12,3,FALSE)+VLOOKUP($AD$2,'RF Mod'!$I$2:$O$11,3,FALSE)+(TRUNC(6+(24-6)*(TRUNC(MOD(($Z93*1103515245 +12345)/ 65536, 32768),0)/32768),0))</f>
        <v>14</v>
      </c>
      <c r="J93" s="16" t="e">
        <f t="shared" ca="1" si="2"/>
        <v>#NAME?</v>
      </c>
      <c r="K93" s="153">
        <f ca="1">VLOOKUP($AB$2,'RF Mod'!$A$2:$G$12,3,FALSE)+VLOOKUP($AD$2,'RF Mod'!$I$2:$O$11,3,FALSE)+(TRUNC(6+(24-6)*(TRUNC(MOD(($Z93*1103515245 +12345)/ 65536, 32768),0)/32768),0))</f>
        <v>14</v>
      </c>
      <c r="L93" s="16" t="e">
        <f t="shared" ca="1" si="3"/>
        <v>#NAME?</v>
      </c>
      <c r="M93" s="153">
        <f ca="1">VLOOKUP($AB$2,'RF Mod'!$A$2:$G$12,4,FALSE)+VLOOKUP($AD$2,'RF Mod'!$I$2:$O$11,4,FALSE)+(TRUNC(6+(24-6)*(TRUNC(MOD(($Z93*1103515245 +12345)/ 65536, 32768),0)/32768),0))</f>
        <v>13</v>
      </c>
      <c r="N93" s="16" t="e">
        <f t="shared" ca="1" si="4"/>
        <v>#NAME?</v>
      </c>
      <c r="O93" s="153">
        <f ca="1">VLOOKUP($AB$2,'RF Mod'!$A$2:$G$12,5,FALSE)+VLOOKUP($AD$2,'RF Mod'!$I$2:$O$11,5,FALSE)+(TRUNC(6+(24-6)*(TRUNC(MOD(($Z93*1103515245 +12345)/ 65536, 32768),0)/32768),0))</f>
        <v>16</v>
      </c>
      <c r="P93" s="16" t="e">
        <f t="shared" ca="1" si="5"/>
        <v>#NAME?</v>
      </c>
      <c r="Q93" s="153">
        <f ca="1">VLOOKUP($AB$2,'RF Mod'!$A$2:$G$12,6,FALSE)+VLOOKUP($AD$2,'RF Mod'!$I$2:$O$11,6,FALSE)+(TRUNC(6+(24-6)*(TRUNC(MOD(($Z93*1103515245 +12345)/ 65536, 32768),0)/32768),0))</f>
        <v>14</v>
      </c>
      <c r="R93" s="16" t="e">
        <f t="shared" ca="1" si="6"/>
        <v>#NAME?</v>
      </c>
      <c r="S93" s="154">
        <f t="shared" ca="1" si="12"/>
        <v>128</v>
      </c>
      <c r="T93" s="154">
        <f t="shared" ca="1" si="7"/>
        <v>110</v>
      </c>
      <c r="U93" s="16" t="str">
        <f t="shared" ca="1" si="8"/>
        <v>Bloody</v>
      </c>
      <c r="V93" s="155">
        <f ca="1">IFERROR(__xludf.DUMMYFUNCTION("if(W93=""Middle Age"",QUERY(NPCVar!$K$2:$N1000, ""Select L where K = '""&amp;AB93&amp;""'""),if(W93=""Old"",QUERY(NPCVar!$K$2:$N1000, ""Select M where K = '""&amp;AB93&amp;""'""),if(W93=""Venerable"",QUERY(NPCVar!$K$2:$N1000, ""Select N where K = '""&amp;AB93&amp;""'""),false)))"&amp;"*X93"),180)</f>
        <v>180</v>
      </c>
      <c r="W93" s="156" t="str">
        <f t="array" ref="W93">INDEX(NPCAgeType,TRUNC(1+(4-1)*(TRUNC(MOD((X93*1103515245 +12345)/ 65536, 32768),0)/32768),0))</f>
        <v>Venerable</v>
      </c>
      <c r="X93" s="117">
        <f t="shared" si="13"/>
        <v>1.8</v>
      </c>
      <c r="Y93" s="157" t="e">
        <f t="array" aca="1" ref="Y93" ca="1">LOOKUP(ABS(MAX(Z93 + MIN(ABS(INDIRECT("Class Jobs!B"&amp;MATCH(E93,'Class Jobs'!$A$1:$A1000,0)&amp;":"&amp;"AF"&amp;MATCH(E93,'Class Jobs'!$A$1:$A1000,0)&amp;"")-$Z93)) * SUM(IF(MIN(ABS(INDIRECT("Class Jobs!B"&amp;MATCH(E93,'Class Jobs'!$A$1:$A1000,0)&amp;":"&amp;"AF"&amp;MATCH(E93,'Class Jobs'!$A$1:$A1000,0)&amp;"")-$Z93))=ABS(INDIRECT("Class Jobs!B"&amp;MATCH(E93,'Class Jobs'!$A$1:$A1000,0)&amp;":"&amp;"AF"&amp;MATCH(E93,'Class Jobs'!$A$1:$A1000,0)&amp;"")-$Z93),SIGN(INDIRECT("Class Jobs!B"&amp;MATCH(E93,'Class Jobs'!$A$1:A1000,0)&amp;":"&amp;"AF"&amp;MATCH(E93,'Class Jobs'!$A$1:$A1000,0)&amp;"")-$Z93),0)),0)),INDIRECT("Class Jobs!B"&amp;MATCH(E93,'Class Jobs'!$A$1:$A1000,0)&amp;":"&amp;"AF"&amp;MATCH(E93,'Class Jobs'!$A$1:$A1000,1)&amp;""),'Class Jobs'!$B$1:$AF$1)</f>
        <v>#REF!</v>
      </c>
      <c r="Z93" s="158">
        <f t="shared" si="10"/>
        <v>0.74</v>
      </c>
      <c r="AA93" s="16" t="str">
        <f t="array" ref="AA93">INDEX(NPCGender,TRUNC(1+(COUNTA(NPCGender))*(TRUNC(MOD(($B93*1103515245 +12345)/ 65536, 32768),0)/32768),0))</f>
        <v>Neutral</v>
      </c>
      <c r="AB93" s="16" t="str">
        <f t="array" ref="AB93">INDEX(NPCRace,TRUNC(1+(COUNTA(NPCRace))*(TRUNC(MOD(($B93*1103515245 +12345)/ 65536, 32768),0)/32768),0))</f>
        <v>Tiefling</v>
      </c>
      <c r="AC93" s="16" t="str">
        <f t="array" ref="AC93">INDEX(NPCAL,TRUNC(1+(COUNTA(NPCAL))*(TRUNC(MOD(($B93*1103515245 +12345)/ 65536, 32768),0)/32768),0))</f>
        <v>LG</v>
      </c>
      <c r="AD93" s="72" t="str">
        <f ca="1">IFERROR(__xludf.DUMMYFUNCTION("if(V93&lt;15,QUERY(NPCVar!C:D,""Select D WHERE C = '""&amp;D93&amp;""'""),if((TRUNC(1+10)*(TRUNC(MOD((ROW(H93)*1103515245 +12345)/ 65536, 32768),0)/32768)/10) &gt; 0.85,INDEX(NPCFaction,TRUNC(1+(counta(NPCFaction)-1)*(TRUNC(MOD(($B93*1103515245 +12345)/ 65536, 32768),0"&amp;")/32768),0)),QUERY(NPCVar!C:D,""Select D WHERE C = '""&amp;D93&amp;""'"")))"),"Magic Guild")</f>
        <v>Magic Guild</v>
      </c>
      <c r="AE93" s="108" t="e">
        <f t="shared" ca="1" si="11"/>
        <v>#NAME?</v>
      </c>
      <c r="AF93" s="159">
        <f ca="1">IFERROR(__xludf.DUMMYFUNCTION("AE93*(V93 / QUERY(NPCVar!$K$2:$N$12, ""Select N WHERE K='""&amp;AB93&amp;""'""))*TRUNC(1+10)*(TRUNC(MOD(($B93*1103515245 +12345)/ 65536, 32768),0)/32768)"),5.91848876953125)</f>
        <v>5.9184887695312502</v>
      </c>
      <c r="AG93" s="16"/>
      <c r="AH93" s="77"/>
      <c r="AI93" s="114"/>
    </row>
    <row r="94" spans="1:35" ht="16.2">
      <c r="A94" s="53">
        <v>93</v>
      </c>
      <c r="B94" s="118">
        <f t="shared" si="14"/>
        <v>0.44830999999999999</v>
      </c>
      <c r="C94" s="72" t="str">
        <f t="array" ref="C94">INDEX(NPCFName,TRUNC(1+(COUNTA(NPCFName))*(TRUNC(MOD(($B94*1103515245 +12345)/ 65536, 32768),0)/32768),0))</f>
        <v>Ponith</v>
      </c>
      <c r="D94" s="16" t="str">
        <f t="array" ref="D94">INDEX(NPCLName,TRUNC(1+(COUNTA(NPCLName))*(TRUNC(MOD(($B94*1103515245 +12345)/ 65536, 32768),0)/32768),0))</f>
        <v>Stillsun</v>
      </c>
      <c r="E94" s="16" t="str">
        <f t="array" ref="E94">INDEX(NPCClass,TRUNC(1+(COUNTA(NPCClass))*(TRUNC(MOD(($B94*1103515245 +12345)/ 65536, 32768),0)/32768),0))</f>
        <v>Druid</v>
      </c>
      <c r="F94" s="76">
        <v>1</v>
      </c>
      <c r="G94" s="153">
        <f ca="1">VLOOKUP($AB$2,'RF Mod'!$A$2:$G$12,2,FALSE)+VLOOKUP($AD$2,'RF Mod'!$I$2:$O$11,2,FALSE)+(TRUNC(6+(24-6)*(TRUNC(MOD(($Z94*1103515245 +12345)/ 65536, 32768),0)/32768),0))</f>
        <v>6</v>
      </c>
      <c r="H94" s="16">
        <f t="shared" ca="1" si="1"/>
        <v>-2</v>
      </c>
      <c r="I94" s="153">
        <f ca="1">VLOOKUP($AB$2,'RF Mod'!$A$2:$G$12,3,FALSE)+VLOOKUP($AD$2,'RF Mod'!$I$2:$O$11,3,FALSE)+(TRUNC(6+(24-6)*(TRUNC(MOD(($Z94*1103515245 +12345)/ 65536, 32768),0)/32768),0))</f>
        <v>10</v>
      </c>
      <c r="J94" s="16" t="e">
        <f t="shared" ca="1" si="2"/>
        <v>#NAME?</v>
      </c>
      <c r="K94" s="153">
        <f ca="1">VLOOKUP($AB$2,'RF Mod'!$A$2:$G$12,3,FALSE)+VLOOKUP($AD$2,'RF Mod'!$I$2:$O$11,3,FALSE)+(TRUNC(6+(24-6)*(TRUNC(MOD(($Z94*1103515245 +12345)/ 65536, 32768),0)/32768),0))</f>
        <v>10</v>
      </c>
      <c r="L94" s="16" t="e">
        <f t="shared" ca="1" si="3"/>
        <v>#NAME?</v>
      </c>
      <c r="M94" s="153">
        <f ca="1">VLOOKUP($AB$2,'RF Mod'!$A$2:$G$12,4,FALSE)+VLOOKUP($AD$2,'RF Mod'!$I$2:$O$11,4,FALSE)+(TRUNC(6+(24-6)*(TRUNC(MOD(($Z94*1103515245 +12345)/ 65536, 32768),0)/32768),0))</f>
        <v>9</v>
      </c>
      <c r="N94" s="16">
        <f t="shared" ca="1" si="4"/>
        <v>-1</v>
      </c>
      <c r="O94" s="153">
        <f ca="1">VLOOKUP($AB$2,'RF Mod'!$A$2:$G$12,5,FALSE)+VLOOKUP($AD$2,'RF Mod'!$I$2:$O$11,5,FALSE)+(TRUNC(6+(24-6)*(TRUNC(MOD(($Z94*1103515245 +12345)/ 65536, 32768),0)/32768),0))</f>
        <v>12</v>
      </c>
      <c r="P94" s="16" t="e">
        <f t="shared" ca="1" si="5"/>
        <v>#NAME?</v>
      </c>
      <c r="Q94" s="153">
        <f ca="1">VLOOKUP($AB$2,'RF Mod'!$A$2:$G$12,6,FALSE)+VLOOKUP($AD$2,'RF Mod'!$I$2:$O$11,6,FALSE)+(TRUNC(6+(24-6)*(TRUNC(MOD(($Z94*1103515245 +12345)/ 65536, 32768),0)/32768),0))</f>
        <v>10</v>
      </c>
      <c r="R94" s="16" t="e">
        <f t="shared" ca="1" si="6"/>
        <v>#NAME?</v>
      </c>
      <c r="S94" s="154">
        <f t="shared" ca="1" si="12"/>
        <v>14</v>
      </c>
      <c r="T94" s="154">
        <f t="shared" ca="1" si="7"/>
        <v>13</v>
      </c>
      <c r="U94" s="16" t="str">
        <f t="shared" ca="1" si="8"/>
        <v>Bloody</v>
      </c>
      <c r="V94" s="155">
        <f ca="1">IFERROR(__xludf.DUMMYFUNCTION("if(W94=""Middle Age"",QUERY(NPCVar!$K$2:$N1000, ""Select L where K = '""&amp;AB94&amp;""'""),if(W94=""Old"",QUERY(NPCVar!$K$2:$N1000, ""Select M where K = '""&amp;AB94&amp;""'""),if(W94=""Venerable"",QUERY(NPCVar!$K$2:$N1000, ""Select N where K = '""&amp;AB94&amp;""'""),false)))"&amp;"*X94"),112.5)</f>
        <v>112.5</v>
      </c>
      <c r="W94" s="156" t="str">
        <f t="array" ref="W94">INDEX(NPCAgeType,TRUNC(1+(4-1)*(TRUNC(MOD((X94*1103515245 +12345)/ 65536, 32768),0)/32768),0))</f>
        <v>Middle Age</v>
      </c>
      <c r="X94" s="117">
        <f t="shared" si="13"/>
        <v>0.6</v>
      </c>
      <c r="Y94" s="157" t="e">
        <f t="array" aca="1" ref="Y94" ca="1">LOOKUP(ABS(MAX(Z94 + MIN(ABS(INDIRECT("Class Jobs!B"&amp;MATCH(E94,'Class Jobs'!$A$1:$A1000,0)&amp;":"&amp;"AF"&amp;MATCH(E94,'Class Jobs'!$A$1:$A1000,0)&amp;"")-$Z94)) * SUM(IF(MIN(ABS(INDIRECT("Class Jobs!B"&amp;MATCH(E94,'Class Jobs'!$A$1:$A1000,0)&amp;":"&amp;"AF"&amp;MATCH(E94,'Class Jobs'!$A$1:$A1000,0)&amp;"")-$Z94))=ABS(INDIRECT("Class Jobs!B"&amp;MATCH(E94,'Class Jobs'!$A$1:$A1000,0)&amp;":"&amp;"AF"&amp;MATCH(E94,'Class Jobs'!$A$1:$A1000,0)&amp;"")-$Z94),SIGN(INDIRECT("Class Jobs!B"&amp;MATCH(E94,'Class Jobs'!$A$1:A1000,0)&amp;":"&amp;"AF"&amp;MATCH(E94,'Class Jobs'!$A$1:$A1000,0)&amp;"")-$Z94),0)),0)),INDIRECT("Class Jobs!B"&amp;MATCH(E94,'Class Jobs'!$A$1:$A1000,0)&amp;":"&amp;"AF"&amp;MATCH(E94,'Class Jobs'!$A$1:$A1000,1)&amp;""),'Class Jobs'!$B$1:$AF$1)</f>
        <v>#REF!</v>
      </c>
      <c r="Z94" s="158">
        <f t="shared" si="10"/>
        <v>0.23</v>
      </c>
      <c r="AA94" s="16" t="str">
        <f t="array" ref="AA94">INDEX(NPCGender,TRUNC(1+(COUNTA(NPCGender))*(TRUNC(MOD(($B94*1103515245 +12345)/ 65536, 32768),0)/32768),0))</f>
        <v>Male</v>
      </c>
      <c r="AB94" s="16" t="str">
        <f t="array" ref="AB94">INDEX(NPCRace,TRUNC(1+(COUNTA(NPCRace))*(TRUNC(MOD(($B94*1103515245 +12345)/ 65536, 32768),0)/32768),0))</f>
        <v>Elf</v>
      </c>
      <c r="AC94" s="16" t="str">
        <f t="array" ref="AC94">INDEX(NPCAL,TRUNC(1+(COUNTA(NPCAL))*(TRUNC(MOD(($B94*1103515245 +12345)/ 65536, 32768),0)/32768),0))</f>
        <v>CG</v>
      </c>
      <c r="AD94" s="72" t="str">
        <f ca="1">IFERROR(__xludf.DUMMYFUNCTION("if(V94&lt;15,QUERY(NPCVar!C:D,""Select D WHERE C = '""&amp;D94&amp;""'""),if((TRUNC(1+10)*(TRUNC(MOD((ROW(H94)*1103515245 +12345)/ 65536, 32768),0)/32768)/10) &gt; 0.85,INDEX(NPCFaction,TRUNC(1+(counta(NPCFaction)-1)*(TRUNC(MOD(($B94*1103515245 +12345)/ 65536, 32768),0"&amp;")/32768),0)),QUERY(NPCVar!C:D,""Select D WHERE C = '""&amp;D94&amp;""'"")))"),"Necromancer")</f>
        <v>Necromancer</v>
      </c>
      <c r="AE94" s="108" t="e">
        <f t="shared" ca="1" si="11"/>
        <v>#NAME?</v>
      </c>
      <c r="AF94" s="159">
        <f ca="1">IFERROR(__xludf.DUMMYFUNCTION("AE94*(V94 / QUERY(NPCVar!$K$2:$N$12, ""Select N WHERE K='""&amp;AB94&amp;""'""))*TRUNC(1+10)*(TRUNC(MOD(($B94*1103515245 +12345)/ 65536, 32768),0)/32768)"),0.228043212890625)</f>
        <v>0.22804321289062501</v>
      </c>
      <c r="AG94" s="16"/>
      <c r="AH94" s="77"/>
      <c r="AI94" s="114"/>
    </row>
    <row r="95" spans="1:35" ht="16.2">
      <c r="A95" s="53">
        <v>94</v>
      </c>
      <c r="B95" s="118">
        <f t="shared" si="14"/>
        <v>1.9424399999999999</v>
      </c>
      <c r="C95" s="72" t="str">
        <f t="array" ref="C95">INDEX(NPCFName,TRUNC(1+(COUNTA(NPCFName))*(TRUNC(MOD(($B95*1103515245 +12345)/ 65536, 32768),0)/32768),0))</f>
        <v>Zoru</v>
      </c>
      <c r="D95" s="16" t="str">
        <f t="array" ref="D95">INDEX(NPCLName,TRUNC(1+(COUNTA(NPCLName))*(TRUNC(MOD(($B95*1103515245 +12345)/ 65536, 32768),0)/32768),0))</f>
        <v>Stillspell</v>
      </c>
      <c r="E95" s="16" t="str">
        <f t="array" ref="E95">INDEX(NPCClass,TRUNC(1+(COUNTA(NPCClass))*(TRUNC(MOD(($B95*1103515245 +12345)/ 65536, 32768),0)/32768),0))</f>
        <v>Wizard</v>
      </c>
      <c r="F95" s="76">
        <v>8</v>
      </c>
      <c r="G95" s="153">
        <f ca="1">VLOOKUP($AB$2,'RF Mod'!$A$2:$G$12,2,FALSE)+VLOOKUP($AD$2,'RF Mod'!$I$2:$O$11,2,FALSE)+(TRUNC(6+(24-6)*(TRUNC(MOD(($Z95*1103515245 +12345)/ 65536, 32768),0)/32768),0))</f>
        <v>13</v>
      </c>
      <c r="H95" s="16" t="e">
        <f t="shared" ca="1" si="1"/>
        <v>#NAME?</v>
      </c>
      <c r="I95" s="153">
        <f ca="1">VLOOKUP($AB$2,'RF Mod'!$A$2:$G$12,3,FALSE)+VLOOKUP($AD$2,'RF Mod'!$I$2:$O$11,3,FALSE)+(TRUNC(6+(24-6)*(TRUNC(MOD(($Z95*1103515245 +12345)/ 65536, 32768),0)/32768),0))</f>
        <v>17</v>
      </c>
      <c r="J95" s="16" t="e">
        <f t="shared" ca="1" si="2"/>
        <v>#NAME?</v>
      </c>
      <c r="K95" s="153">
        <f ca="1">VLOOKUP($AB$2,'RF Mod'!$A$2:$G$12,3,FALSE)+VLOOKUP($AD$2,'RF Mod'!$I$2:$O$11,3,FALSE)+(TRUNC(6+(24-6)*(TRUNC(MOD(($Z95*1103515245 +12345)/ 65536, 32768),0)/32768),0))</f>
        <v>17</v>
      </c>
      <c r="L95" s="16" t="e">
        <f t="shared" ca="1" si="3"/>
        <v>#NAME?</v>
      </c>
      <c r="M95" s="153">
        <f ca="1">VLOOKUP($AB$2,'RF Mod'!$A$2:$G$12,4,FALSE)+VLOOKUP($AD$2,'RF Mod'!$I$2:$O$11,4,FALSE)+(TRUNC(6+(24-6)*(TRUNC(MOD(($Z95*1103515245 +12345)/ 65536, 32768),0)/32768),0))</f>
        <v>16</v>
      </c>
      <c r="N95" s="16" t="e">
        <f t="shared" ca="1" si="4"/>
        <v>#NAME?</v>
      </c>
      <c r="O95" s="153">
        <f ca="1">VLOOKUP($AB$2,'RF Mod'!$A$2:$G$12,5,FALSE)+VLOOKUP($AD$2,'RF Mod'!$I$2:$O$11,5,FALSE)+(TRUNC(6+(24-6)*(TRUNC(MOD(($Z95*1103515245 +12345)/ 65536, 32768),0)/32768),0))</f>
        <v>19</v>
      </c>
      <c r="P95" s="16" t="e">
        <f t="shared" ca="1" si="5"/>
        <v>#NAME?</v>
      </c>
      <c r="Q95" s="153">
        <f ca="1">VLOOKUP($AB$2,'RF Mod'!$A$2:$G$12,6,FALSE)+VLOOKUP($AD$2,'RF Mod'!$I$2:$O$11,6,FALSE)+(TRUNC(6+(24-6)*(TRUNC(MOD(($Z95*1103515245 +12345)/ 65536, 32768),0)/32768),0))</f>
        <v>17</v>
      </c>
      <c r="R95" s="16" t="e">
        <f t="shared" ca="1" si="6"/>
        <v>#NAME?</v>
      </c>
      <c r="S95" s="154">
        <f t="shared" ca="1" si="12"/>
        <v>200</v>
      </c>
      <c r="T95" s="154">
        <f t="shared" ca="1" si="7"/>
        <v>25</v>
      </c>
      <c r="U95" s="16" t="str">
        <f t="shared" ca="1" si="8"/>
        <v>Fine</v>
      </c>
      <c r="V95" s="155">
        <f ca="1">IFERROR(__xludf.DUMMYFUNCTION("if(W95=""Middle Age"",QUERY(NPCVar!$K$2:$N1000, ""Select L where K = '""&amp;AB95&amp;""'""),if(W95=""Old"",QUERY(NPCVar!$K$2:$N1000, ""Select M where K = '""&amp;AB95&amp;""'""),if(W95=""Venerable"",QUERY(NPCVar!$K$2:$N1000, ""Select N where K = '""&amp;AB95&amp;""'""),false)))"&amp;"*X95"),72)</f>
        <v>72</v>
      </c>
      <c r="W95" s="156" t="str">
        <f t="array" ref="W95">INDEX(NPCAgeType,TRUNC(1+(4-1)*(TRUNC(MOD((X95*1103515245 +12345)/ 65536, 32768),0)/32768),0))</f>
        <v>Middle Age</v>
      </c>
      <c r="X95" s="117">
        <f t="shared" si="13"/>
        <v>2.4</v>
      </c>
      <c r="Y95" s="157" t="e">
        <f t="array" aca="1" ref="Y95" ca="1">LOOKUP(ABS(MAX(Z95 + MIN(ABS(INDIRECT("Class Jobs!B"&amp;MATCH(E95,'Class Jobs'!$A$1:$A1000,0)&amp;":"&amp;"AF"&amp;MATCH(E95,'Class Jobs'!$A$1:$A1000,0)&amp;"")-$Z95)) * SUM(IF(MIN(ABS(INDIRECT("Class Jobs!B"&amp;MATCH(E95,'Class Jobs'!$A$1:$A1000,0)&amp;":"&amp;"AF"&amp;MATCH(E95,'Class Jobs'!$A$1:$A1000,0)&amp;"")-$Z95))=ABS(INDIRECT("Class Jobs!B"&amp;MATCH(E95,'Class Jobs'!$A$1:$A1000,0)&amp;":"&amp;"AF"&amp;MATCH(E95,'Class Jobs'!$A$1:$A1000,0)&amp;"")-$Z95),SIGN(INDIRECT("Class Jobs!B"&amp;MATCH(E95,'Class Jobs'!$A$1:A1000,0)&amp;":"&amp;"AF"&amp;MATCH(E95,'Class Jobs'!$A$1:$A1000,0)&amp;"")-$Z95),0)),0)),INDIRECT("Class Jobs!B"&amp;MATCH(E95,'Class Jobs'!$A$1:$A1000,0)&amp;":"&amp;"AF"&amp;MATCH(E95,'Class Jobs'!$A$1:$A1000,1)&amp;""),'Class Jobs'!$B$1:$AF$1)</f>
        <v>#REF!</v>
      </c>
      <c r="Z95" s="158">
        <f t="shared" si="10"/>
        <v>0.99</v>
      </c>
      <c r="AA95" s="16" t="str">
        <f t="array" ref="AA95">INDEX(NPCGender,TRUNC(1+(COUNTA(NPCGender))*(TRUNC(MOD(($B95*1103515245 +12345)/ 65536, 32768),0)/32768),0))</f>
        <v>Neutral</v>
      </c>
      <c r="AB95" s="16" t="str">
        <f t="array" ref="AB95">INDEX(NPCRace,TRUNC(1+(COUNTA(NPCRace))*(TRUNC(MOD(($B95*1103515245 +12345)/ 65536, 32768),0)/32768),0))</f>
        <v>Goliath</v>
      </c>
      <c r="AC95" s="16" t="str">
        <f t="array" ref="AC95">INDEX(NPCAL,TRUNC(1+(COUNTA(NPCAL))*(TRUNC(MOD(($B95*1103515245 +12345)/ 65536, 32768),0)/32768),0))</f>
        <v>LE</v>
      </c>
      <c r="AD95" s="72" t="str">
        <f ca="1">IFERROR(__xludf.DUMMYFUNCTION("if(V95&lt;15,QUERY(NPCVar!C:D,""Select D WHERE C = '""&amp;D95&amp;""'""),if((TRUNC(1+10)*(TRUNC(MOD((ROW(H95)*1103515245 +12345)/ 65536, 32768),0)/32768)/10) &gt; 0.85,INDEX(NPCFaction,TRUNC(1+(counta(NPCFaction)-1)*(TRUNC(MOD(($B95*1103515245 +12345)/ 65536, 32768),0"&amp;")/32768),0)),QUERY(NPCVar!C:D,""Select D WHERE C = '""&amp;D95&amp;""'"")))"),"Traverlers Guild")</f>
        <v>Traverlers Guild</v>
      </c>
      <c r="AE95" s="108" t="e">
        <f t="shared" ca="1" si="11"/>
        <v>#NAME?</v>
      </c>
      <c r="AF95" s="159">
        <f ca="1">IFERROR(__xludf.DUMMYFUNCTION("AE95*(V95 / QUERY(NPCVar!$K$2:$N$12, ""Select N WHERE K='""&amp;AB95&amp;""'""))*TRUNC(1+10)*(TRUNC(MOD(($B95*1103515245 +12345)/ 65536, 32768),0)/32768)"),2.63508544921875)</f>
        <v>2.6350854492187499</v>
      </c>
      <c r="AG95" s="16"/>
      <c r="AH95" s="77"/>
      <c r="AI95" s="114"/>
    </row>
    <row r="96" spans="1:35" ht="16.2">
      <c r="A96" s="53">
        <v>95</v>
      </c>
      <c r="B96" s="118">
        <f t="shared" si="14"/>
        <v>0.93659000000000003</v>
      </c>
      <c r="C96" s="72" t="str">
        <f t="array" ref="C96">INDEX(NPCFName,TRUNC(1+(COUNTA(NPCFName))*(TRUNC(MOD(($B96*1103515245 +12345)/ 65536, 32768),0)/32768),0))</f>
        <v>Jayco</v>
      </c>
      <c r="D96" s="16" t="str">
        <f t="array" ref="D96">INDEX(NPCLName,TRUNC(1+(COUNTA(NPCLName))*(TRUNC(MOD(($B96*1103515245 +12345)/ 65536, 32768),0)/32768),0))</f>
        <v>Autumnglow</v>
      </c>
      <c r="E96" s="16" t="str">
        <f t="array" ref="E96">INDEX(NPCClass,TRUNC(1+(COUNTA(NPCClass))*(TRUNC(MOD(($B96*1103515245 +12345)/ 65536, 32768),0)/32768),0))</f>
        <v>Ranger</v>
      </c>
      <c r="F96" s="76">
        <v>4</v>
      </c>
      <c r="G96" s="153">
        <f ca="1">VLOOKUP($AB$2,'RF Mod'!$A$2:$G$12,2,FALSE)+VLOOKUP($AD$2,'RF Mod'!$I$2:$O$11,2,FALSE)+(TRUNC(6+(24-6)*(TRUNC(MOD(($Z96*1103515245 +12345)/ 65536, 32768),0)/32768),0))</f>
        <v>8</v>
      </c>
      <c r="H96" s="16">
        <f t="shared" ca="1" si="1"/>
        <v>-1</v>
      </c>
      <c r="I96" s="153">
        <f ca="1">VLOOKUP($AB$2,'RF Mod'!$A$2:$G$12,3,FALSE)+VLOOKUP($AD$2,'RF Mod'!$I$2:$O$11,3,FALSE)+(TRUNC(6+(24-6)*(TRUNC(MOD(($Z96*1103515245 +12345)/ 65536, 32768),0)/32768),0))</f>
        <v>12</v>
      </c>
      <c r="J96" s="16" t="e">
        <f t="shared" ca="1" si="2"/>
        <v>#NAME?</v>
      </c>
      <c r="K96" s="153">
        <f ca="1">VLOOKUP($AB$2,'RF Mod'!$A$2:$G$12,3,FALSE)+VLOOKUP($AD$2,'RF Mod'!$I$2:$O$11,3,FALSE)+(TRUNC(6+(24-6)*(TRUNC(MOD(($Z96*1103515245 +12345)/ 65536, 32768),0)/32768),0))</f>
        <v>12</v>
      </c>
      <c r="L96" s="16" t="e">
        <f t="shared" ca="1" si="3"/>
        <v>#NAME?</v>
      </c>
      <c r="M96" s="153">
        <f ca="1">VLOOKUP($AB$2,'RF Mod'!$A$2:$G$12,4,FALSE)+VLOOKUP($AD$2,'RF Mod'!$I$2:$O$11,4,FALSE)+(TRUNC(6+(24-6)*(TRUNC(MOD(($Z96*1103515245 +12345)/ 65536, 32768),0)/32768),0))</f>
        <v>11</v>
      </c>
      <c r="N96" s="16" t="e">
        <f t="shared" ca="1" si="4"/>
        <v>#NAME?</v>
      </c>
      <c r="O96" s="153">
        <f ca="1">VLOOKUP($AB$2,'RF Mod'!$A$2:$G$12,5,FALSE)+VLOOKUP($AD$2,'RF Mod'!$I$2:$O$11,5,FALSE)+(TRUNC(6+(24-6)*(TRUNC(MOD(($Z96*1103515245 +12345)/ 65536, 32768),0)/32768),0))</f>
        <v>14</v>
      </c>
      <c r="P96" s="16" t="e">
        <f t="shared" ca="1" si="5"/>
        <v>#NAME?</v>
      </c>
      <c r="Q96" s="153">
        <f ca="1">VLOOKUP($AB$2,'RF Mod'!$A$2:$G$12,6,FALSE)+VLOOKUP($AD$2,'RF Mod'!$I$2:$O$11,6,FALSE)+(TRUNC(6+(24-6)*(TRUNC(MOD(($Z96*1103515245 +12345)/ 65536, 32768),0)/32768),0))</f>
        <v>12</v>
      </c>
      <c r="R96" s="16" t="e">
        <f t="shared" ca="1" si="6"/>
        <v>#NAME?</v>
      </c>
      <c r="S96" s="154">
        <f t="shared" ca="1" si="12"/>
        <v>56</v>
      </c>
      <c r="T96" s="154">
        <f t="shared" ca="1" si="7"/>
        <v>50</v>
      </c>
      <c r="U96" s="16" t="str">
        <f t="shared" ca="1" si="8"/>
        <v>Bloody</v>
      </c>
      <c r="V96" s="155">
        <f ca="1">IFERROR(__xludf.DUMMYFUNCTION("if(W96=""Middle Age"",QUERY(NPCVar!$K$2:$N1000, ""Select L where K = '""&amp;AB96&amp;""'""),if(W96=""Old"",QUERY(NPCVar!$K$2:$N1000, ""Select M where K = '""&amp;AB96&amp;""'""),if(W96=""Venerable"",QUERY(NPCVar!$K$2:$N1000, ""Select N where K = '""&amp;AB96&amp;""'""),false)))"&amp;"*X96"),31.5)</f>
        <v>31.5</v>
      </c>
      <c r="W96" s="156" t="str">
        <f t="array" ref="W96">INDEX(NPCAgeType,TRUNC(1+(4-1)*(TRUNC(MOD((X96*1103515245 +12345)/ 65536, 32768),0)/32768),0))</f>
        <v>Old</v>
      </c>
      <c r="X96" s="117">
        <f t="shared" si="13"/>
        <v>1.2</v>
      </c>
      <c r="Y96" s="157" t="e">
        <f t="array" aca="1" ref="Y96" ca="1">LOOKUP(ABS(MAX(Z96 + MIN(ABS(INDIRECT("Class Jobs!B"&amp;MATCH(E96,'Class Jobs'!$A$1:$A1000,0)&amp;":"&amp;"AF"&amp;MATCH(E96,'Class Jobs'!$A$1:$A1000,0)&amp;"")-$Z96)) * SUM(IF(MIN(ABS(INDIRECT("Class Jobs!B"&amp;MATCH(E96,'Class Jobs'!$A$1:$A1000,0)&amp;":"&amp;"AF"&amp;MATCH(E96,'Class Jobs'!$A$1:$A1000,0)&amp;"")-$Z96))=ABS(INDIRECT("Class Jobs!B"&amp;MATCH(E96,'Class Jobs'!$A$1:$A1000,0)&amp;":"&amp;"AF"&amp;MATCH(E96,'Class Jobs'!$A$1:$A1000,0)&amp;"")-$Z96),SIGN(INDIRECT("Class Jobs!B"&amp;MATCH(E96,'Class Jobs'!$A$1:A1000,0)&amp;":"&amp;"AF"&amp;MATCH(E96,'Class Jobs'!$A$1:$A1000,0)&amp;"")-$Z96),0)),0)),INDIRECT("Class Jobs!B"&amp;MATCH(E96,'Class Jobs'!$A$1:$A1000,0)&amp;":"&amp;"AF"&amp;MATCH(E96,'Class Jobs'!$A$1:$A1000,1)&amp;""),'Class Jobs'!$B$1:$AF$1)</f>
        <v>#REF!</v>
      </c>
      <c r="Z96" s="158">
        <f t="shared" si="10"/>
        <v>0.48</v>
      </c>
      <c r="AA96" s="16" t="str">
        <f t="array" ref="AA96">INDEX(NPCGender,TRUNC(1+(COUNTA(NPCGender))*(TRUNC(MOD(($B96*1103515245 +12345)/ 65536, 32768),0)/32768),0))</f>
        <v>Female</v>
      </c>
      <c r="AB96" s="16" t="str">
        <f t="array" ref="AB96">INDEX(NPCRace,TRUNC(1+(COUNTA(NPCRace))*(TRUNC(MOD(($B96*1103515245 +12345)/ 65536, 32768),0)/32768),0))</f>
        <v>Half-Orc</v>
      </c>
      <c r="AC96" s="16" t="str">
        <f t="array" ref="AC96">INDEX(NPCAL,TRUNC(1+(COUNTA(NPCAL))*(TRUNC(MOD(($B96*1103515245 +12345)/ 65536, 32768),0)/32768),0))</f>
        <v>NN</v>
      </c>
      <c r="AD96" s="72" t="str">
        <f ca="1">IFERROR(__xludf.DUMMYFUNCTION("if(V96&lt;15,QUERY(NPCVar!C:D,""Select D WHERE C = '""&amp;D96&amp;""'""),if((TRUNC(1+10)*(TRUNC(MOD((ROW(H96)*1103515245 +12345)/ 65536, 32768),0)/32768)/10) &gt; 0.85,INDEX(NPCFaction,TRUNC(1+(counta(NPCFaction)-1)*(TRUNC(MOD(($B96*1103515245 +12345)/ 65536, 32768),0"&amp;")/32768),0)),QUERY(NPCVar!C:D,""Select D WHERE C = '""&amp;D96&amp;""'"")))"),"Traders Guild")</f>
        <v>Traders Guild</v>
      </c>
      <c r="AE96" s="108" t="e">
        <f t="shared" ca="1" si="11"/>
        <v>#NAME?</v>
      </c>
      <c r="AF96" s="159">
        <f ca="1">IFERROR(__xludf.DUMMYFUNCTION("AE96*(V96 / QUERY(NPCVar!$K$2:$N$12, ""Select N WHERE K='""&amp;AB96&amp;""'""))*TRUNC(1+10)*(TRUNC(MOD(($B96*1103515245 +12345)/ 65536, 32768),0)/32768)"),2.14402313232421)</f>
        <v>2.14402313232421</v>
      </c>
      <c r="AG96" s="16"/>
      <c r="AH96" s="77"/>
      <c r="AI96" s="114"/>
    </row>
    <row r="97" spans="1:35" ht="16.2">
      <c r="A97" s="53">
        <v>96</v>
      </c>
      <c r="B97" s="118">
        <f t="shared" si="14"/>
        <v>2.43072</v>
      </c>
      <c r="C97" s="72" t="str">
        <f t="array" ref="C97">INDEX(NPCFName,TRUNC(1+(COUNTA(NPCFName))*(TRUNC(MOD(($B97*1103515245 +12345)/ 65536, 32768),0)/32768),0))</f>
        <v>Rogoth</v>
      </c>
      <c r="D97" s="16" t="str">
        <f t="array" ref="D97">INDEX(NPCLName,TRUNC(1+(COUNTA(NPCLName))*(TRUNC(MOD(($B97*1103515245 +12345)/ 65536, 32768),0)/32768),0))</f>
        <v>Tuskleaf</v>
      </c>
      <c r="E97" s="16" t="str">
        <f t="array" ref="E97">INDEX(NPCClass,TRUNC(1+(COUNTA(NPCClass))*(TRUNC(MOD(($B97*1103515245 +12345)/ 65536, 32768),0)/32768),0))</f>
        <v>Druid</v>
      </c>
      <c r="F97" s="76">
        <v>1</v>
      </c>
      <c r="G97" s="153">
        <f ca="1">VLOOKUP($AB$2,'RF Mod'!$A$2:$G$12,2,FALSE)+VLOOKUP($AD$2,'RF Mod'!$I$2:$O$11,2,FALSE)+(TRUNC(6+(24-6)*(TRUNC(MOD(($Z97*1103515245 +12345)/ 65536, 32768),0)/32768),0))</f>
        <v>6</v>
      </c>
      <c r="H97" s="16">
        <f t="shared" ca="1" si="1"/>
        <v>-2</v>
      </c>
      <c r="I97" s="153">
        <f ca="1">VLOOKUP($AB$2,'RF Mod'!$A$2:$G$12,3,FALSE)+VLOOKUP($AD$2,'RF Mod'!$I$2:$O$11,3,FALSE)+(TRUNC(6+(24-6)*(TRUNC(MOD(($Z97*1103515245 +12345)/ 65536, 32768),0)/32768),0))</f>
        <v>10</v>
      </c>
      <c r="J97" s="16" t="e">
        <f t="shared" ca="1" si="2"/>
        <v>#NAME?</v>
      </c>
      <c r="K97" s="153">
        <f ca="1">VLOOKUP($AB$2,'RF Mod'!$A$2:$G$12,3,FALSE)+VLOOKUP($AD$2,'RF Mod'!$I$2:$O$11,3,FALSE)+(TRUNC(6+(24-6)*(TRUNC(MOD(($Z97*1103515245 +12345)/ 65536, 32768),0)/32768),0))</f>
        <v>10</v>
      </c>
      <c r="L97" s="16" t="e">
        <f t="shared" ca="1" si="3"/>
        <v>#NAME?</v>
      </c>
      <c r="M97" s="153">
        <f ca="1">VLOOKUP($AB$2,'RF Mod'!$A$2:$G$12,4,FALSE)+VLOOKUP($AD$2,'RF Mod'!$I$2:$O$11,4,FALSE)+(TRUNC(6+(24-6)*(TRUNC(MOD(($Z97*1103515245 +12345)/ 65536, 32768),0)/32768),0))</f>
        <v>9</v>
      </c>
      <c r="N97" s="16">
        <f t="shared" ca="1" si="4"/>
        <v>-1</v>
      </c>
      <c r="O97" s="153">
        <f ca="1">VLOOKUP($AB$2,'RF Mod'!$A$2:$G$12,5,FALSE)+VLOOKUP($AD$2,'RF Mod'!$I$2:$O$11,5,FALSE)+(TRUNC(6+(24-6)*(TRUNC(MOD(($Z97*1103515245 +12345)/ 65536, 32768),0)/32768),0))</f>
        <v>12</v>
      </c>
      <c r="P97" s="16" t="e">
        <f t="shared" ca="1" si="5"/>
        <v>#NAME?</v>
      </c>
      <c r="Q97" s="153">
        <f ca="1">VLOOKUP($AB$2,'RF Mod'!$A$2:$G$12,6,FALSE)+VLOOKUP($AD$2,'RF Mod'!$I$2:$O$11,6,FALSE)+(TRUNC(6+(24-6)*(TRUNC(MOD(($Z97*1103515245 +12345)/ 65536, 32768),0)/32768),0))</f>
        <v>10</v>
      </c>
      <c r="R97" s="16" t="e">
        <f t="shared" ca="1" si="6"/>
        <v>#NAME?</v>
      </c>
      <c r="S97" s="154">
        <f t="shared" ca="1" si="12"/>
        <v>12</v>
      </c>
      <c r="T97" s="154">
        <f t="shared" ca="1" si="7"/>
        <v>13</v>
      </c>
      <c r="U97" s="16" t="str">
        <f t="shared" ca="1" si="8"/>
        <v>Dead</v>
      </c>
      <c r="V97" s="155">
        <f ca="1">IFERROR(__xludf.DUMMYFUNCTION("if(W97=""Middle Age"",QUERY(NPCVar!$K$2:$N1000, ""Select L where K = '""&amp;AB97&amp;""'""),if(W97=""Old"",QUERY(NPCVar!$K$2:$N1000, ""Select M where K = '""&amp;AB97&amp;""'""),if(W97=""Venerable"",QUERY(NPCVar!$K$2:$N1000, ""Select N where K = '""&amp;AB97&amp;""'""),false)))"&amp;"*X97"),112.5)</f>
        <v>112.5</v>
      </c>
      <c r="W97" s="156" t="str">
        <f t="array" ref="W97">INDEX(NPCAgeType,TRUNC(1+(4-1)*(TRUNC(MOD((X97*1103515245 +12345)/ 65536, 32768),0)/32768),0))</f>
        <v>Middle Age</v>
      </c>
      <c r="X97" s="117">
        <f t="shared" si="13"/>
        <v>0.6</v>
      </c>
      <c r="Y97" s="157" t="e">
        <f t="array" aca="1" ref="Y97" ca="1">LOOKUP(ABS(MAX(Z97 + MIN(ABS(INDIRECT("Class Jobs!B"&amp;MATCH(E97,'Class Jobs'!$A$1:$A1000,0)&amp;":"&amp;"AF"&amp;MATCH(E97,'Class Jobs'!$A$1:$A1000,0)&amp;"")-$Z97)) * SUM(IF(MIN(ABS(INDIRECT("Class Jobs!B"&amp;MATCH(E97,'Class Jobs'!$A$1:$A1000,0)&amp;":"&amp;"AF"&amp;MATCH(E97,'Class Jobs'!$A$1:$A1000,0)&amp;"")-$Z97))=ABS(INDIRECT("Class Jobs!B"&amp;MATCH(E97,'Class Jobs'!$A$1:$A1000,0)&amp;":"&amp;"AF"&amp;MATCH(E97,'Class Jobs'!$A$1:$A1000,0)&amp;"")-$Z97),SIGN(INDIRECT("Class Jobs!B"&amp;MATCH(E97,'Class Jobs'!$A$1:A1000,0)&amp;":"&amp;"AF"&amp;MATCH(E97,'Class Jobs'!$A$1:$A1000,0)&amp;"")-$Z97),0)),0)),INDIRECT("Class Jobs!B"&amp;MATCH(E97,'Class Jobs'!$A$1:$A1000,0)&amp;":"&amp;"AF"&amp;MATCH(E97,'Class Jobs'!$A$1:$A1000,1)&amp;""),'Class Jobs'!$B$1:$AF$1)</f>
        <v>#REF!</v>
      </c>
      <c r="Z97" s="158">
        <f t="shared" si="10"/>
        <v>0.25</v>
      </c>
      <c r="AA97" s="16" t="str">
        <f t="array" ref="AA97">INDEX(NPCGender,TRUNC(1+(COUNTA(NPCGender))*(TRUNC(MOD(($B97*1103515245 +12345)/ 65536, 32768),0)/32768),0))</f>
        <v>Male</v>
      </c>
      <c r="AB97" s="16" t="str">
        <f t="array" ref="AB97">INDEX(NPCRace,TRUNC(1+(COUNTA(NPCRace))*(TRUNC(MOD(($B97*1103515245 +12345)/ 65536, 32768),0)/32768),0))</f>
        <v>Elf</v>
      </c>
      <c r="AC97" s="16" t="str">
        <f t="array" ref="AC97">INDEX(NPCAL,TRUNC(1+(COUNTA(NPCAL))*(TRUNC(MOD(($B97*1103515245 +12345)/ 65536, 32768),0)/32768),0))</f>
        <v>CG</v>
      </c>
      <c r="AD97" s="72" t="str">
        <f ca="1">IFERROR(__xludf.DUMMYFUNCTION("if(V97&lt;15,QUERY(NPCVar!C:D,""Select D WHERE C = '""&amp;D97&amp;""'""),if((TRUNC(1+10)*(TRUNC(MOD((ROW(H97)*1103515245 +12345)/ 65536, 32768),0)/32768)/10) &gt; 0.85,INDEX(NPCFaction,TRUNC(1+(counta(NPCFaction)-1)*(TRUNC(MOD(($B97*1103515245 +12345)/ 65536, 32768),0"&amp;")/32768),0)),QUERY(NPCVar!C:D,""Select D WHERE C = '""&amp;D97&amp;""'"")))"),"Traders Guild")</f>
        <v>Traders Guild</v>
      </c>
      <c r="AE97" s="108" t="e">
        <f t="shared" ca="1" si="11"/>
        <v>#NAME?</v>
      </c>
      <c r="AF97" s="159">
        <f ca="1">IFERROR(__xludf.DUMMYFUNCTION("AE97*(V97 / QUERY(NPCVar!$K$2:$N$12, ""Select N WHERE K='""&amp;AB97&amp;""'""))*TRUNC(1+10)*(TRUNC(MOD(($B97*1103515245 +12345)/ 65536, 32768),0)/32768)"),0.0410939025878906)</f>
        <v>4.1093902587890599E-2</v>
      </c>
      <c r="AG97" s="16"/>
      <c r="AH97" s="77"/>
      <c r="AI97" s="114"/>
    </row>
    <row r="98" spans="1:35" ht="16.2">
      <c r="A98" s="53">
        <v>97</v>
      </c>
      <c r="B98" s="118">
        <f t="shared" si="14"/>
        <v>1.4248700000000001</v>
      </c>
      <c r="C98" s="72" t="str">
        <f t="array" ref="C98">INDEX(NPCFName,TRUNC(1+(COUNTA(NPCFName))*(TRUNC(MOD(($B98*1103515245 +12345)/ 65536, 32768),0)/32768),0))</f>
        <v>Dalburn</v>
      </c>
      <c r="D98" s="16" t="str">
        <f t="array" ref="D98">INDEX(NPCLName,TRUNC(1+(COUNTA(NPCLName))*(TRUNC(MOD(($B98*1103515245 +12345)/ 65536, 32768),0)/32768),0))</f>
        <v>Rockspell</v>
      </c>
      <c r="E98" s="16" t="str">
        <f t="array" ref="E98">INDEX(NPCClass,TRUNC(1+(COUNTA(NPCClass))*(TRUNC(MOD(($B98*1103515245 +12345)/ 65536, 32768),0)/32768),0))</f>
        <v>None</v>
      </c>
      <c r="F98" s="76">
        <v>8</v>
      </c>
      <c r="G98" s="153">
        <f ca="1">VLOOKUP($AB$2,'RF Mod'!$A$2:$G$12,2,FALSE)+VLOOKUP($AD$2,'RF Mod'!$I$2:$O$11,2,FALSE)+(TRUNC(6+(24-6)*(TRUNC(MOD(($Z98*1103515245 +12345)/ 65536, 32768),0)/32768),0))</f>
        <v>10</v>
      </c>
      <c r="H98" s="16" t="e">
        <f t="shared" ca="1" si="1"/>
        <v>#NAME?</v>
      </c>
      <c r="I98" s="153">
        <f ca="1">VLOOKUP($AB$2,'RF Mod'!$A$2:$G$12,3,FALSE)+VLOOKUP($AD$2,'RF Mod'!$I$2:$O$11,3,FALSE)+(TRUNC(6+(24-6)*(TRUNC(MOD(($Z98*1103515245 +12345)/ 65536, 32768),0)/32768),0))</f>
        <v>14</v>
      </c>
      <c r="J98" s="16" t="e">
        <f t="shared" ca="1" si="2"/>
        <v>#NAME?</v>
      </c>
      <c r="K98" s="153">
        <f ca="1">VLOOKUP($AB$2,'RF Mod'!$A$2:$G$12,3,FALSE)+VLOOKUP($AD$2,'RF Mod'!$I$2:$O$11,3,FALSE)+(TRUNC(6+(24-6)*(TRUNC(MOD(($Z98*1103515245 +12345)/ 65536, 32768),0)/32768),0))</f>
        <v>14</v>
      </c>
      <c r="L98" s="16" t="e">
        <f t="shared" ca="1" si="3"/>
        <v>#NAME?</v>
      </c>
      <c r="M98" s="153">
        <f ca="1">VLOOKUP($AB$2,'RF Mod'!$A$2:$G$12,4,FALSE)+VLOOKUP($AD$2,'RF Mod'!$I$2:$O$11,4,FALSE)+(TRUNC(6+(24-6)*(TRUNC(MOD(($Z98*1103515245 +12345)/ 65536, 32768),0)/32768),0))</f>
        <v>13</v>
      </c>
      <c r="N98" s="16" t="e">
        <f t="shared" ca="1" si="4"/>
        <v>#NAME?</v>
      </c>
      <c r="O98" s="153">
        <f ca="1">VLOOKUP($AB$2,'RF Mod'!$A$2:$G$12,5,FALSE)+VLOOKUP($AD$2,'RF Mod'!$I$2:$O$11,5,FALSE)+(TRUNC(6+(24-6)*(TRUNC(MOD(($Z98*1103515245 +12345)/ 65536, 32768),0)/32768),0))</f>
        <v>16</v>
      </c>
      <c r="P98" s="16" t="e">
        <f t="shared" ca="1" si="5"/>
        <v>#NAME?</v>
      </c>
      <c r="Q98" s="153">
        <f ca="1">VLOOKUP($AB$2,'RF Mod'!$A$2:$G$12,6,FALSE)+VLOOKUP($AD$2,'RF Mod'!$I$2:$O$11,6,FALSE)+(TRUNC(6+(24-6)*(TRUNC(MOD(($Z98*1103515245 +12345)/ 65536, 32768),0)/32768),0))</f>
        <v>14</v>
      </c>
      <c r="R98" s="16" t="e">
        <f t="shared" ca="1" si="6"/>
        <v>#NAME?</v>
      </c>
      <c r="S98" s="154">
        <f t="shared" ca="1" si="12"/>
        <v>224</v>
      </c>
      <c r="T98" s="154">
        <f t="shared" ca="1" si="7"/>
        <v>89</v>
      </c>
      <c r="U98" s="16" t="str">
        <f t="shared" ca="1" si="8"/>
        <v>Fine</v>
      </c>
      <c r="V98" s="155">
        <f ca="1">IFERROR(__xludf.DUMMYFUNCTION("if(W98=""Middle Age"",QUERY(NPCVar!$K$2:$N1000, ""Select L where K = '""&amp;AB98&amp;""'""),if(W98=""Old"",QUERY(NPCVar!$K$2:$N1000, ""Select M where K = '""&amp;AB98&amp;""'""),if(W98=""Venerable"",QUERY(NPCVar!$K$2:$N1000, ""Select N where K = '""&amp;AB98&amp;""'""),false)))"&amp;"*X98"),180)</f>
        <v>180</v>
      </c>
      <c r="W98" s="156" t="str">
        <f t="array" ref="W98">INDEX(NPCAgeType,TRUNC(1+(4-1)*(TRUNC(MOD((X98*1103515245 +12345)/ 65536, 32768),0)/32768),0))</f>
        <v>Venerable</v>
      </c>
      <c r="X98" s="117">
        <f t="shared" si="13"/>
        <v>1.8</v>
      </c>
      <c r="Y98" s="157" t="e">
        <f t="array" aca="1" ref="Y98" ca="1">LOOKUP(ABS(MAX(Z98 + MIN(ABS(INDIRECT("Class Jobs!B"&amp;MATCH(E98,'Class Jobs'!$A$1:$A1000,0)&amp;":"&amp;"AF"&amp;MATCH(E98,'Class Jobs'!$A$1:$A1000,0)&amp;"")-$Z98)) * SUM(IF(MIN(ABS(INDIRECT("Class Jobs!B"&amp;MATCH(E98,'Class Jobs'!$A$1:$A1000,0)&amp;":"&amp;"AF"&amp;MATCH(E98,'Class Jobs'!$A$1:$A1000,0)&amp;"")-$Z98))=ABS(INDIRECT("Class Jobs!B"&amp;MATCH(E98,'Class Jobs'!$A$1:$A1000,0)&amp;":"&amp;"AF"&amp;MATCH(E98,'Class Jobs'!$A$1:$A1000,0)&amp;"")-$Z98),SIGN(INDIRECT("Class Jobs!B"&amp;MATCH(E98,'Class Jobs'!$A$1:A1000,0)&amp;":"&amp;"AF"&amp;MATCH(E98,'Class Jobs'!$A$1:$A1000,0)&amp;"")-$Z98),0)),0)),INDIRECT("Class Jobs!B"&amp;MATCH(E98,'Class Jobs'!$A$1:$A1000,0)&amp;":"&amp;"AF"&amp;MATCH(E98,'Class Jobs'!$A$1:$A1000,1)&amp;""),'Class Jobs'!$B$1:$AF$1)</f>
        <v>#REF!</v>
      </c>
      <c r="Z98" s="158">
        <f t="shared" si="10"/>
        <v>0.73</v>
      </c>
      <c r="AA98" s="16" t="str">
        <f t="array" ref="AA98">INDEX(NPCGender,TRUNC(1+(COUNTA(NPCGender))*(TRUNC(MOD(($B98*1103515245 +12345)/ 65536, 32768),0)/32768),0))</f>
        <v>Neutral</v>
      </c>
      <c r="AB98" s="16" t="str">
        <f t="array" ref="AB98">INDEX(NPCRace,TRUNC(1+(COUNTA(NPCRace))*(TRUNC(MOD(($B98*1103515245 +12345)/ 65536, 32768),0)/32768),0))</f>
        <v>Tiefling</v>
      </c>
      <c r="AC98" s="16" t="str">
        <f t="array" ref="AC98">INDEX(NPCAL,TRUNC(1+(COUNTA(NPCAL))*(TRUNC(MOD(($B98*1103515245 +12345)/ 65536, 32768),0)/32768),0))</f>
        <v>LG</v>
      </c>
      <c r="AD98" s="72" t="str">
        <f ca="1">IFERROR(__xludf.DUMMYFUNCTION("if(V98&lt;15,QUERY(NPCVar!C:D,""Select D WHERE C = '""&amp;D98&amp;""'""),if((TRUNC(1+10)*(TRUNC(MOD((ROW(H98)*1103515245 +12345)/ 65536, 32768),0)/32768)/10) &gt; 0.85,INDEX(NPCFaction,TRUNC(1+(counta(NPCFaction)-1)*(TRUNC(MOD(($B98*1103515245 +12345)/ 65536, 32768),0"&amp;")/32768),0)),QUERY(NPCVar!C:D,""Select D WHERE C = '""&amp;D98&amp;""'"")))"),"Traverlers Guild")</f>
        <v>Traverlers Guild</v>
      </c>
      <c r="AE98" s="108" t="e">
        <f t="shared" ca="1" si="11"/>
        <v>#NAME?</v>
      </c>
      <c r="AF98" s="159">
        <f ca="1">IFERROR(__xludf.DUMMYFUNCTION("AE98*(V98 / QUERY(NPCVar!$K$2:$N$12, ""Select N WHERE K='""&amp;AB98&amp;""'""))*TRUNC(1+10)*(TRUNC(MOD(($B98*1103515245 +12345)/ 65536, 32768),0)/32768)"),13.0474072265625)</f>
        <v>13.0474072265625</v>
      </c>
      <c r="AG98" s="16"/>
      <c r="AH98" s="77"/>
      <c r="AI98" s="114"/>
    </row>
    <row r="99" spans="1:35" ht="16.2">
      <c r="A99" s="53">
        <v>98</v>
      </c>
      <c r="B99" s="118">
        <f t="shared" si="14"/>
        <v>0.41900999999999999</v>
      </c>
      <c r="C99" s="72" t="str">
        <f t="array" ref="C99">INDEX(NPCFName,TRUNC(1+(COUNTA(NPCFName))*(TRUNC(MOD(($B99*1103515245 +12345)/ 65536, 32768),0)/32768),0))</f>
        <v>Ohethlic</v>
      </c>
      <c r="D99" s="16" t="str">
        <f t="array" ref="D99">INDEX(NPCLName,TRUNC(1+(COUNTA(NPCLName))*(TRUNC(MOD(($B99*1103515245 +12345)/ 65536, 32768),0)/32768),0))</f>
        <v>Stillsun</v>
      </c>
      <c r="E99" s="16" t="str">
        <f t="array" ref="E99">INDEX(NPCClass,TRUNC(1+(COUNTA(NPCClass))*(TRUNC(MOD(($B99*1103515245 +12345)/ 65536, 32768),0)/32768),0))</f>
        <v>Druid</v>
      </c>
      <c r="F99" s="76">
        <v>1</v>
      </c>
      <c r="G99" s="153">
        <f ca="1">VLOOKUP($AB$2,'RF Mod'!$A$2:$G$12,2,FALSE)+VLOOKUP($AD$2,'RF Mod'!$I$2:$O$11,2,FALSE)+(TRUNC(6+(24-6)*(TRUNC(MOD(($Z99*1103515245 +12345)/ 65536, 32768),0)/32768),0))</f>
        <v>6</v>
      </c>
      <c r="H99" s="16">
        <f t="shared" ca="1" si="1"/>
        <v>-2</v>
      </c>
      <c r="I99" s="153">
        <f ca="1">VLOOKUP($AB$2,'RF Mod'!$A$2:$G$12,3,FALSE)+VLOOKUP($AD$2,'RF Mod'!$I$2:$O$11,3,FALSE)+(TRUNC(6+(24-6)*(TRUNC(MOD(($Z99*1103515245 +12345)/ 65536, 32768),0)/32768),0))</f>
        <v>10</v>
      </c>
      <c r="J99" s="16" t="e">
        <f t="shared" ca="1" si="2"/>
        <v>#NAME?</v>
      </c>
      <c r="K99" s="153">
        <f ca="1">VLOOKUP($AB$2,'RF Mod'!$A$2:$G$12,3,FALSE)+VLOOKUP($AD$2,'RF Mod'!$I$2:$O$11,3,FALSE)+(TRUNC(6+(24-6)*(TRUNC(MOD(($Z99*1103515245 +12345)/ 65536, 32768),0)/32768),0))</f>
        <v>10</v>
      </c>
      <c r="L99" s="16" t="e">
        <f t="shared" ca="1" si="3"/>
        <v>#NAME?</v>
      </c>
      <c r="M99" s="153">
        <f ca="1">VLOOKUP($AB$2,'RF Mod'!$A$2:$G$12,4,FALSE)+VLOOKUP($AD$2,'RF Mod'!$I$2:$O$11,4,FALSE)+(TRUNC(6+(24-6)*(TRUNC(MOD(($Z99*1103515245 +12345)/ 65536, 32768),0)/32768),0))</f>
        <v>9</v>
      </c>
      <c r="N99" s="16">
        <f t="shared" ca="1" si="4"/>
        <v>-1</v>
      </c>
      <c r="O99" s="153">
        <f ca="1">VLOOKUP($AB$2,'RF Mod'!$A$2:$G$12,5,FALSE)+VLOOKUP($AD$2,'RF Mod'!$I$2:$O$11,5,FALSE)+(TRUNC(6+(24-6)*(TRUNC(MOD(($Z99*1103515245 +12345)/ 65536, 32768),0)/32768),0))</f>
        <v>12</v>
      </c>
      <c r="P99" s="16" t="e">
        <f t="shared" ca="1" si="5"/>
        <v>#NAME?</v>
      </c>
      <c r="Q99" s="153">
        <f ca="1">VLOOKUP($AB$2,'RF Mod'!$A$2:$G$12,6,FALSE)+VLOOKUP($AD$2,'RF Mod'!$I$2:$O$11,6,FALSE)+(TRUNC(6+(24-6)*(TRUNC(MOD(($Z99*1103515245 +12345)/ 65536, 32768),0)/32768),0))</f>
        <v>10</v>
      </c>
      <c r="R99" s="16" t="e">
        <f t="shared" ca="1" si="6"/>
        <v>#NAME?</v>
      </c>
      <c r="S99" s="154">
        <f t="shared" ca="1" si="12"/>
        <v>12</v>
      </c>
      <c r="T99" s="154">
        <f t="shared" ca="1" si="7"/>
        <v>6</v>
      </c>
      <c r="U99" s="16" t="str">
        <f t="shared" ca="1" si="8"/>
        <v>Fine</v>
      </c>
      <c r="V99" s="155">
        <f ca="1">IFERROR(__xludf.DUMMYFUNCTION("if(W99=""Middle Age"",QUERY(NPCVar!$K$2:$N1000, ""Select L where K = '""&amp;AB99&amp;""'""),if(W99=""Old"",QUERY(NPCVar!$K$2:$N1000, ""Select M where K = '""&amp;AB99&amp;""'""),if(W99=""Venerable"",QUERY(NPCVar!$K$2:$N1000, ""Select N where K = '""&amp;AB99&amp;""'""),false)))"&amp;"*X99"),112.5)</f>
        <v>112.5</v>
      </c>
      <c r="W99" s="156" t="str">
        <f t="array" ref="W99">INDEX(NPCAgeType,TRUNC(1+(4-1)*(TRUNC(MOD((X99*1103515245 +12345)/ 65536, 32768),0)/32768),0))</f>
        <v>Middle Age</v>
      </c>
      <c r="X99" s="117">
        <f t="shared" si="13"/>
        <v>0.6</v>
      </c>
      <c r="Y99" s="157" t="e">
        <f t="array" aca="1" ref="Y99" ca="1">LOOKUP(ABS(MAX(Z99 + MIN(ABS(INDIRECT("Class Jobs!B"&amp;MATCH(E99,'Class Jobs'!$A$1:$A1000,0)&amp;":"&amp;"AF"&amp;MATCH(E99,'Class Jobs'!$A$1:$A1000,0)&amp;"")-$Z99)) * SUM(IF(MIN(ABS(INDIRECT("Class Jobs!B"&amp;MATCH(E99,'Class Jobs'!$A$1:$A1000,0)&amp;":"&amp;"AF"&amp;MATCH(E99,'Class Jobs'!$A$1:$A1000,0)&amp;"")-$Z99))=ABS(INDIRECT("Class Jobs!B"&amp;MATCH(E99,'Class Jobs'!$A$1:$A1000,0)&amp;":"&amp;"AF"&amp;MATCH(E99,'Class Jobs'!$A$1:$A1000,0)&amp;"")-$Z99),SIGN(INDIRECT("Class Jobs!B"&amp;MATCH(E99,'Class Jobs'!$A$1:A1000,0)&amp;":"&amp;"AF"&amp;MATCH(E99,'Class Jobs'!$A$1:$A1000,0)&amp;"")-$Z99),0)),0)),INDIRECT("Class Jobs!B"&amp;MATCH(E99,'Class Jobs'!$A$1:$A1000,0)&amp;":"&amp;"AF"&amp;MATCH(E99,'Class Jobs'!$A$1:$A1000,1)&amp;""),'Class Jobs'!$B$1:$AF$1)</f>
        <v>#REF!</v>
      </c>
      <c r="Z99" s="158">
        <f t="shared" si="10"/>
        <v>0.22</v>
      </c>
      <c r="AA99" s="16" t="str">
        <f t="array" ref="AA99">INDEX(NPCGender,TRUNC(1+(COUNTA(NPCGender))*(TRUNC(MOD(($B99*1103515245 +12345)/ 65536, 32768),0)/32768),0))</f>
        <v>Male</v>
      </c>
      <c r="AB99" s="16" t="str">
        <f t="array" ref="AB99">INDEX(NPCRace,TRUNC(1+(COUNTA(NPCRace))*(TRUNC(MOD(($B99*1103515245 +12345)/ 65536, 32768),0)/32768),0))</f>
        <v>Elf</v>
      </c>
      <c r="AC99" s="16" t="str">
        <f t="array" ref="AC99">INDEX(NPCAL,TRUNC(1+(COUNTA(NPCAL))*(TRUNC(MOD(($B99*1103515245 +12345)/ 65536, 32768),0)/32768),0))</f>
        <v>CE</v>
      </c>
      <c r="AD99" s="72" t="str">
        <f ca="1">IFERROR(__xludf.DUMMYFUNCTION("if(V99&lt;15,QUERY(NPCVar!C:D,""Select D WHERE C = '""&amp;D99&amp;""'""),if((TRUNC(1+10)*(TRUNC(MOD((ROW(H99)*1103515245 +12345)/ 65536, 32768),0)/32768)/10) &gt; 0.85,INDEX(NPCFaction,TRUNC(1+(counta(NPCFaction)-1)*(TRUNC(MOD(($B99*1103515245 +12345)/ 65536, 32768),0"&amp;")/32768),0)),QUERY(NPCVar!C:D,""Select D WHERE C = '""&amp;D99&amp;""'"")))"),"Necromancer")</f>
        <v>Necromancer</v>
      </c>
      <c r="AE99" s="108" t="e">
        <f t="shared" ca="1" si="11"/>
        <v>#NAME?</v>
      </c>
      <c r="AF99" s="159">
        <f ca="1">IFERROR(__xludf.DUMMYFUNCTION("AE99*(V99 / QUERY(NPCVar!$K$2:$N$12, ""Select N WHERE K='""&amp;AB99&amp;""'""))*TRUNC(1+10)*(TRUNC(MOD(($B99*1103515245 +12345)/ 65536, 32768),0)/32768)"),0.0710494995117187)</f>
        <v>7.1049499511718697E-2</v>
      </c>
      <c r="AG99" s="16"/>
      <c r="AH99" s="77"/>
      <c r="AI99" s="114"/>
    </row>
    <row r="100" spans="1:35" ht="16.2">
      <c r="A100" s="53">
        <v>99</v>
      </c>
      <c r="B100" s="118">
        <f t="shared" si="14"/>
        <v>1.9131400000000001</v>
      </c>
      <c r="C100" s="72" t="str">
        <f t="array" ref="C100">INDEX(NPCFName,TRUNC(1+(COUNTA(NPCFName))*(TRUNC(MOD(($B100*1103515245 +12345)/ 65536, 32768),0)/32768),0))</f>
        <v>Wuthmon</v>
      </c>
      <c r="D100" s="16" t="str">
        <f t="array" ref="D100">INDEX(NPCLName,TRUNC(1+(COUNTA(NPCLName))*(TRUNC(MOD(($B100*1103515245 +12345)/ 65536, 32768),0)/32768),0))</f>
        <v>Stillspell</v>
      </c>
      <c r="E100" s="16" t="str">
        <f t="array" ref="E100">INDEX(NPCClass,TRUNC(1+(COUNTA(NPCClass))*(TRUNC(MOD(($B100*1103515245 +12345)/ 65536, 32768),0)/32768),0))</f>
        <v>Wizard</v>
      </c>
      <c r="F100" s="76">
        <v>8</v>
      </c>
      <c r="G100" s="153">
        <f ca="1">VLOOKUP($AB$2,'RF Mod'!$A$2:$G$12,2,FALSE)+VLOOKUP($AD$2,'RF Mod'!$I$2:$O$11,2,FALSE)+(TRUNC(6+(24-6)*(TRUNC(MOD(($Z100*1103515245 +12345)/ 65536, 32768),0)/32768),0))</f>
        <v>13</v>
      </c>
      <c r="H100" s="16" t="e">
        <f t="shared" ca="1" si="1"/>
        <v>#NAME?</v>
      </c>
      <c r="I100" s="153">
        <f ca="1">VLOOKUP($AB$2,'RF Mod'!$A$2:$G$12,3,FALSE)+VLOOKUP($AD$2,'RF Mod'!$I$2:$O$11,3,FALSE)+(TRUNC(6+(24-6)*(TRUNC(MOD(($Z100*1103515245 +12345)/ 65536, 32768),0)/32768),0))</f>
        <v>17</v>
      </c>
      <c r="J100" s="16" t="e">
        <f t="shared" ca="1" si="2"/>
        <v>#NAME?</v>
      </c>
      <c r="K100" s="153">
        <f ca="1">VLOOKUP($AB$2,'RF Mod'!$A$2:$G$12,3,FALSE)+VLOOKUP($AD$2,'RF Mod'!$I$2:$O$11,3,FALSE)+(TRUNC(6+(24-6)*(TRUNC(MOD(($Z100*1103515245 +12345)/ 65536, 32768),0)/32768),0))</f>
        <v>17</v>
      </c>
      <c r="L100" s="16" t="e">
        <f t="shared" ca="1" si="3"/>
        <v>#NAME?</v>
      </c>
      <c r="M100" s="153">
        <f ca="1">VLOOKUP($AB$2,'RF Mod'!$A$2:$G$12,4,FALSE)+VLOOKUP($AD$2,'RF Mod'!$I$2:$O$11,4,FALSE)+(TRUNC(6+(24-6)*(TRUNC(MOD(($Z100*1103515245 +12345)/ 65536, 32768),0)/32768),0))</f>
        <v>16</v>
      </c>
      <c r="N100" s="16" t="e">
        <f t="shared" ca="1" si="4"/>
        <v>#NAME?</v>
      </c>
      <c r="O100" s="153">
        <f ca="1">VLOOKUP($AB$2,'RF Mod'!$A$2:$G$12,5,FALSE)+VLOOKUP($AD$2,'RF Mod'!$I$2:$O$11,5,FALSE)+(TRUNC(6+(24-6)*(TRUNC(MOD(($Z100*1103515245 +12345)/ 65536, 32768),0)/32768),0))</f>
        <v>19</v>
      </c>
      <c r="P100" s="16" t="e">
        <f t="shared" ca="1" si="5"/>
        <v>#NAME?</v>
      </c>
      <c r="Q100" s="153">
        <f ca="1">VLOOKUP($AB$2,'RF Mod'!$A$2:$G$12,6,FALSE)+VLOOKUP($AD$2,'RF Mod'!$I$2:$O$11,6,FALSE)+(TRUNC(6+(24-6)*(TRUNC(MOD(($Z100*1103515245 +12345)/ 65536, 32768),0)/32768),0))</f>
        <v>17</v>
      </c>
      <c r="R100" s="16" t="e">
        <f t="shared" ca="1" si="6"/>
        <v>#NAME?</v>
      </c>
      <c r="S100" s="154">
        <f t="shared" ca="1" si="12"/>
        <v>152</v>
      </c>
      <c r="T100" s="154">
        <f t="shared" ca="1" si="7"/>
        <v>69</v>
      </c>
      <c r="U100" s="16" t="str">
        <f t="shared" ca="1" si="8"/>
        <v>Fine</v>
      </c>
      <c r="V100" s="155">
        <f ca="1">IFERROR(__xludf.DUMMYFUNCTION("if(W100=""Middle Age"",QUERY(NPCVar!$K$2:$N1000, ""Select L where K = '""&amp;AB100&amp;""'""),if(W100=""Old"",QUERY(NPCVar!$K$2:$N1000, ""Select M where K = '""&amp;AB100&amp;""'""),if(W100=""Venerable"",QUERY(NPCVar!$K$2:$N1000, ""Select N where K = '""&amp;AB100&amp;""'""),fa"&amp;"lse)))*X100"),72)</f>
        <v>72</v>
      </c>
      <c r="W100" s="156" t="str">
        <f t="array" ref="W100">INDEX(NPCAgeType,TRUNC(1+(4-1)*(TRUNC(MOD((X100*1103515245 +12345)/ 65536, 32768),0)/32768),0))</f>
        <v>Middle Age</v>
      </c>
      <c r="X100" s="117">
        <f t="shared" si="13"/>
        <v>2.4</v>
      </c>
      <c r="Y100" s="157" t="e">
        <f t="array" aca="1" ref="Y100" ca="1">LOOKUP(ABS(MAX(Z100 + MIN(ABS(INDIRECT("Class Jobs!B"&amp;MATCH(E100,'Class Jobs'!$A$1:$A1000,0)&amp;":"&amp;"AF"&amp;MATCH(E100,'Class Jobs'!$A$1:$A1000,0)&amp;"")-$Z100)) * SUM(IF(MIN(ABS(INDIRECT("Class Jobs!B"&amp;MATCH(E100,'Class Jobs'!$A$1:$A1000,0)&amp;":"&amp;"AF"&amp;MATCH(E100,'Class Jobs'!$A$1:$A1000,0)&amp;"")-$Z100))=ABS(INDIRECT("Class Jobs!B"&amp;MATCH(E100,'Class Jobs'!$A$1:$A1000,0)&amp;":"&amp;"AF"&amp;MATCH(E100,'Class Jobs'!$A$1:$A1000,0)&amp;"")-$Z100),SIGN(INDIRECT("Class Jobs!B"&amp;MATCH(E100,'Class Jobs'!$A$1:A1000,0)&amp;":"&amp;"AF"&amp;MATCH(E100,'Class Jobs'!$A$1:$A1000,0)&amp;"")-$Z100),0)),0)),INDIRECT("Class Jobs!B"&amp;MATCH(E100,'Class Jobs'!$A$1:$A1000,0)&amp;":"&amp;"AF"&amp;MATCH(E100,'Class Jobs'!$A$1:$A1000,1)&amp;""),'Class Jobs'!$B$1:$AF$1)</f>
        <v>#REF!</v>
      </c>
      <c r="Z100" s="158">
        <f t="shared" si="10"/>
        <v>0.98</v>
      </c>
      <c r="AA100" s="16" t="str">
        <f t="array" ref="AA100">INDEX(NPCGender,TRUNC(1+(COUNTA(NPCGender))*(TRUNC(MOD(($B100*1103515245 +12345)/ 65536, 32768),0)/32768),0))</f>
        <v>Neutral</v>
      </c>
      <c r="AB100" s="16" t="str">
        <f t="array" ref="AB100">INDEX(NPCRace,TRUNC(1+(COUNTA(NPCRace))*(TRUNC(MOD(($B100*1103515245 +12345)/ 65536, 32768),0)/32768),0))</f>
        <v>Goliath</v>
      </c>
      <c r="AC100" s="16" t="str">
        <f t="array" ref="AC100">INDEX(NPCAL,TRUNC(1+(COUNTA(NPCAL))*(TRUNC(MOD(($B100*1103515245 +12345)/ 65536, 32768),0)/32768),0))</f>
        <v>LE</v>
      </c>
      <c r="AD100" s="72" t="str">
        <f ca="1">IFERROR(__xludf.DUMMYFUNCTION("if(V100&lt;15,QUERY(NPCVar!C:D,""Select D WHERE C = '""&amp;D100&amp;""'""),if((TRUNC(1+10)*(TRUNC(MOD((ROW(H100)*1103515245 +12345)/ 65536, 32768),0)/32768)/10) &gt; 0.85,INDEX(NPCFaction,TRUNC(1+(counta(NPCFaction)-1)*(TRUNC(MOD(($B100*1103515245 +12345)/ 65536, 3276"&amp;"8),0)/32768),0)),QUERY(NPCVar!C:D,""Select D WHERE C = '""&amp;D100&amp;""'"")))"),"Followers of Isis")</f>
        <v>Followers of Isis</v>
      </c>
      <c r="AE100" s="108" t="e">
        <f t="shared" ca="1" si="11"/>
        <v>#NAME?</v>
      </c>
      <c r="AF100" s="159">
        <f ca="1">IFERROR(__xludf.DUMMYFUNCTION("AE100*(V100 / QUERY(NPCVar!$K$2:$N$12, ""Select N WHERE K='""&amp;AB100&amp;""'""))*TRUNC(1+10)*(TRUNC(MOD(($B100*1103515245 +12345)/ 65536, 32768),0)/32768)"),5.83957397460937)</f>
        <v>5.8395739746093698</v>
      </c>
      <c r="AG100" s="16"/>
      <c r="AH100" s="77"/>
      <c r="AI100" s="114"/>
    </row>
    <row r="101" spans="1:35" ht="16.2">
      <c r="A101" s="53">
        <v>100</v>
      </c>
      <c r="B101" s="118">
        <f t="shared" si="14"/>
        <v>0.90729000000000004</v>
      </c>
      <c r="C101" s="72" t="str">
        <f t="array" ref="C101">INDEX(NPCFName,TRUNC(1+(COUNTA(NPCFName))*(TRUNC(MOD(($B101*1103515245 +12345)/ 65536, 32768),0)/32768),0))</f>
        <v>Hecton</v>
      </c>
      <c r="D101" s="16" t="str">
        <f t="array" ref="D101">INDEX(NPCLName,TRUNC(1+(COUNTA(NPCLName))*(TRUNC(MOD(($B101*1103515245 +12345)/ 65536, 32768),0)/32768),0))</f>
        <v>Saurflame</v>
      </c>
      <c r="E101" s="16" t="str">
        <f t="array" ref="E101">INDEX(NPCClass,TRUNC(1+(COUNTA(NPCClass))*(TRUNC(MOD(($B101*1103515245 +12345)/ 65536, 32768),0)/32768),0))</f>
        <v>Ranger</v>
      </c>
      <c r="F101" s="76">
        <v>8</v>
      </c>
      <c r="G101" s="153">
        <f ca="1">VLOOKUP($AB$2,'RF Mod'!$A$2:$G$12,2,FALSE)+VLOOKUP($AD$2,'RF Mod'!$I$2:$O$11,2,FALSE)+(TRUNC(6+(24-6)*(TRUNC(MOD(($Z101*1103515245 +12345)/ 65536, 32768),0)/32768),0))</f>
        <v>8</v>
      </c>
      <c r="H101" s="16">
        <f t="shared" ca="1" si="1"/>
        <v>-1</v>
      </c>
      <c r="I101" s="153">
        <f ca="1">VLOOKUP($AB$2,'RF Mod'!$A$2:$G$12,3,FALSE)+VLOOKUP($AD$2,'RF Mod'!$I$2:$O$11,3,FALSE)+(TRUNC(6+(24-6)*(TRUNC(MOD(($Z101*1103515245 +12345)/ 65536, 32768),0)/32768),0))</f>
        <v>12</v>
      </c>
      <c r="J101" s="16" t="e">
        <f t="shared" ca="1" si="2"/>
        <v>#NAME?</v>
      </c>
      <c r="K101" s="153">
        <f ca="1">VLOOKUP($AB$2,'RF Mod'!$A$2:$G$12,3,FALSE)+VLOOKUP($AD$2,'RF Mod'!$I$2:$O$11,3,FALSE)+(TRUNC(6+(24-6)*(TRUNC(MOD(($Z101*1103515245 +12345)/ 65536, 32768),0)/32768),0))</f>
        <v>12</v>
      </c>
      <c r="L101" s="16" t="e">
        <f t="shared" ca="1" si="3"/>
        <v>#NAME?</v>
      </c>
      <c r="M101" s="153">
        <f ca="1">VLOOKUP($AB$2,'RF Mod'!$A$2:$G$12,4,FALSE)+VLOOKUP($AD$2,'RF Mod'!$I$2:$O$11,4,FALSE)+(TRUNC(6+(24-6)*(TRUNC(MOD(($Z101*1103515245 +12345)/ 65536, 32768),0)/32768),0))</f>
        <v>11</v>
      </c>
      <c r="N101" s="16" t="e">
        <f t="shared" ca="1" si="4"/>
        <v>#NAME?</v>
      </c>
      <c r="O101" s="153">
        <f ca="1">VLOOKUP($AB$2,'RF Mod'!$A$2:$G$12,5,FALSE)+VLOOKUP($AD$2,'RF Mod'!$I$2:$O$11,5,FALSE)+(TRUNC(6+(24-6)*(TRUNC(MOD(($Z101*1103515245 +12345)/ 65536, 32768),0)/32768),0))</f>
        <v>14</v>
      </c>
      <c r="P101" s="16" t="e">
        <f t="shared" ca="1" si="5"/>
        <v>#NAME?</v>
      </c>
      <c r="Q101" s="153">
        <f ca="1">VLOOKUP($AB$2,'RF Mod'!$A$2:$G$12,6,FALSE)+VLOOKUP($AD$2,'RF Mod'!$I$2:$O$11,6,FALSE)+(TRUNC(6+(24-6)*(TRUNC(MOD(($Z101*1103515245 +12345)/ 65536, 32768),0)/32768),0))</f>
        <v>12</v>
      </c>
      <c r="R101" s="16" t="e">
        <f t="shared" ca="1" si="6"/>
        <v>#NAME?</v>
      </c>
      <c r="S101" s="154">
        <f t="shared" ca="1" si="12"/>
        <v>192</v>
      </c>
      <c r="T101" s="154">
        <f t="shared" ca="1" si="7"/>
        <v>163</v>
      </c>
      <c r="U101" s="16" t="str">
        <f t="shared" ca="1" si="8"/>
        <v>Bloody</v>
      </c>
      <c r="V101" s="155">
        <f ca="1">IFERROR(__xludf.DUMMYFUNCTION("if(W101=""Middle Age"",QUERY(NPCVar!$K$2:$N1000, ""Select L where K = '""&amp;AB101&amp;""'""),if(W101=""Old"",QUERY(NPCVar!$K$2:$N1000, ""Select M where K = '""&amp;AB101&amp;""'""),if(W101=""Venerable"",QUERY(NPCVar!$K$2:$N1000, ""Select N where K = '""&amp;AB101&amp;""'""),fa"&amp;"lse)))*X101"),31.5)</f>
        <v>31.5</v>
      </c>
      <c r="W101" s="156" t="str">
        <f t="array" ref="W101">INDEX(NPCAgeType,TRUNC(1+(4-1)*(TRUNC(MOD((X101*1103515245 +12345)/ 65536, 32768),0)/32768),0))</f>
        <v>Old</v>
      </c>
      <c r="X101" s="117">
        <f t="shared" si="13"/>
        <v>1.2</v>
      </c>
      <c r="Y101" s="157" t="e">
        <f t="array" aca="1" ref="Y101" ca="1">LOOKUP(ABS(MAX(Z101 + MIN(ABS(INDIRECT("Class Jobs!B"&amp;MATCH(E101,'Class Jobs'!$A$1:$A1000,0)&amp;":"&amp;"AF"&amp;MATCH(E101,'Class Jobs'!$A$1:$A1000,0)&amp;"")-$Z101)) * SUM(IF(MIN(ABS(INDIRECT("Class Jobs!B"&amp;MATCH(E101,'Class Jobs'!$A$1:$A1000,0)&amp;":"&amp;"AF"&amp;MATCH(E101,'Class Jobs'!$A$1:$A1000,0)&amp;"")-$Z101))=ABS(INDIRECT("Class Jobs!B"&amp;MATCH(E101,'Class Jobs'!$A$1:$A1000,0)&amp;":"&amp;"AF"&amp;MATCH(E101,'Class Jobs'!$A$1:$A1000,0)&amp;"")-$Z101),SIGN(INDIRECT("Class Jobs!B"&amp;MATCH(E101,'Class Jobs'!$A$1:A1000,0)&amp;":"&amp;"AF"&amp;MATCH(E101,'Class Jobs'!$A$1:$A1000,0)&amp;"")-$Z101),0)),0)),INDIRECT("Class Jobs!B"&amp;MATCH(E101,'Class Jobs'!$A$1:$A1000,0)&amp;":"&amp;"AF"&amp;MATCH(E101,'Class Jobs'!$A$1:$A1000,1)&amp;""),'Class Jobs'!$B$1:$AF$1)</f>
        <v>#REF!</v>
      </c>
      <c r="Z101" s="158">
        <f t="shared" si="10"/>
        <v>0.47</v>
      </c>
      <c r="AA101" s="16" t="str">
        <f t="array" ref="AA101">INDEX(NPCGender,TRUNC(1+(COUNTA(NPCGender))*(TRUNC(MOD(($B101*1103515245 +12345)/ 65536, 32768),0)/32768),0))</f>
        <v>Female</v>
      </c>
      <c r="AB101" s="16" t="str">
        <f t="array" ref="AB101">INDEX(NPCRace,TRUNC(1+(COUNTA(NPCRace))*(TRUNC(MOD(($B101*1103515245 +12345)/ 65536, 32768),0)/32768),0))</f>
        <v>Half-Orc</v>
      </c>
      <c r="AC101" s="16" t="str">
        <f t="array" ref="AC101">INDEX(NPCAL,TRUNC(1+(COUNTA(NPCAL))*(TRUNC(MOD(($B101*1103515245 +12345)/ 65536, 32768),0)/32768),0))</f>
        <v>NN</v>
      </c>
      <c r="AD101" s="72" t="str">
        <f ca="1">IFERROR(__xludf.DUMMYFUNCTION("if(V101&lt;15,QUERY(NPCVar!C:D,""Select D WHERE C = '""&amp;D101&amp;""'""),if((TRUNC(1+10)*(TRUNC(MOD((ROW(H101)*1103515245 +12345)/ 65536, 32768),0)/32768)/10) &gt; 0.85,INDEX(NPCFaction,TRUNC(1+(counta(NPCFaction)-1)*(TRUNC(MOD(($B101*1103515245 +12345)/ 65536, 3276"&amp;"8),0)/32768),0)),QUERY(NPCVar!C:D,""Select D WHERE C = '""&amp;D101&amp;""'"")))"),"Thieves Guild")</f>
        <v>Thieves Guild</v>
      </c>
      <c r="AE101" s="108" t="e">
        <f t="shared" ca="1" si="11"/>
        <v>#NAME?</v>
      </c>
      <c r="AF101" s="159">
        <f ca="1">IFERROR(__xludf.DUMMYFUNCTION("AE101*(V101 / QUERY(NPCVar!$K$2:$N$12, ""Select N WHERE K='""&amp;AB101&amp;""'""))*TRUNC(1+10)*(TRUNC(MOD(($B101*1103515245 +12345)/ 65536, 32768),0)/32768)"),1.15388717651367)</f>
        <v>1.15388717651367</v>
      </c>
      <c r="AG101" s="16"/>
      <c r="AH101" s="77"/>
      <c r="AI101" s="114"/>
    </row>
    <row r="102" spans="1:35" ht="16.2">
      <c r="A102" s="53">
        <v>101</v>
      </c>
      <c r="B102" s="118">
        <f t="shared" si="14"/>
        <v>2.4013499999999999</v>
      </c>
      <c r="C102" s="72" t="str">
        <f t="array" ref="C102">INDEX(NPCFName,TRUNC(1+(COUNTA(NPCFName))*(TRUNC(MOD(($B102*1103515245 +12345)/ 65536, 32768),0)/32768),0))</f>
        <v>Qeisan</v>
      </c>
      <c r="D102" s="16" t="str">
        <f t="array" ref="D102">INDEX(NPCLName,TRUNC(1+(COUNTA(NPCLName))*(TRUNC(MOD(($B102*1103515245 +12345)/ 65536, 32768),0)/32768),0))</f>
        <v>Tuskleaf</v>
      </c>
      <c r="E102" s="16" t="str">
        <f t="array" ref="E102">INDEX(NPCClass,TRUNC(1+(COUNTA(NPCClass))*(TRUNC(MOD(($B102*1103515245 +12345)/ 65536, 32768),0)/32768),0))</f>
        <v>Druid</v>
      </c>
      <c r="F102" s="76">
        <v>4</v>
      </c>
      <c r="G102" s="153">
        <f ca="1">VLOOKUP($AB$2,'RF Mod'!$A$2:$G$12,2,FALSE)+VLOOKUP($AD$2,'RF Mod'!$I$2:$O$11,2,FALSE)+(TRUNC(6+(24-6)*(TRUNC(MOD(($Z102*1103515245 +12345)/ 65536, 32768),0)/32768),0))</f>
        <v>6</v>
      </c>
      <c r="H102" s="16">
        <f t="shared" ca="1" si="1"/>
        <v>-2</v>
      </c>
      <c r="I102" s="153">
        <f ca="1">VLOOKUP($AB$2,'RF Mod'!$A$2:$G$12,3,FALSE)+VLOOKUP($AD$2,'RF Mod'!$I$2:$O$11,3,FALSE)+(TRUNC(6+(24-6)*(TRUNC(MOD(($Z102*1103515245 +12345)/ 65536, 32768),0)/32768),0))</f>
        <v>10</v>
      </c>
      <c r="J102" s="16" t="e">
        <f t="shared" ca="1" si="2"/>
        <v>#NAME?</v>
      </c>
      <c r="K102" s="153">
        <f ca="1">VLOOKUP($AB$2,'RF Mod'!$A$2:$G$12,3,FALSE)+VLOOKUP($AD$2,'RF Mod'!$I$2:$O$11,3,FALSE)+(TRUNC(6+(24-6)*(TRUNC(MOD(($Z102*1103515245 +12345)/ 65536, 32768),0)/32768),0))</f>
        <v>10</v>
      </c>
      <c r="L102" s="16" t="e">
        <f t="shared" ca="1" si="3"/>
        <v>#NAME?</v>
      </c>
      <c r="M102" s="153">
        <f ca="1">VLOOKUP($AB$2,'RF Mod'!$A$2:$G$12,4,FALSE)+VLOOKUP($AD$2,'RF Mod'!$I$2:$O$11,4,FALSE)+(TRUNC(6+(24-6)*(TRUNC(MOD(($Z102*1103515245 +12345)/ 65536, 32768),0)/32768),0))</f>
        <v>9</v>
      </c>
      <c r="N102" s="16">
        <f t="shared" ca="1" si="4"/>
        <v>-1</v>
      </c>
      <c r="O102" s="153">
        <f ca="1">VLOOKUP($AB$2,'RF Mod'!$A$2:$G$12,5,FALSE)+VLOOKUP($AD$2,'RF Mod'!$I$2:$O$11,5,FALSE)+(TRUNC(6+(24-6)*(TRUNC(MOD(($Z102*1103515245 +12345)/ 65536, 32768),0)/32768),0))</f>
        <v>12</v>
      </c>
      <c r="P102" s="16" t="e">
        <f t="shared" ca="1" si="5"/>
        <v>#NAME?</v>
      </c>
      <c r="Q102" s="153">
        <f ca="1">VLOOKUP($AB$2,'RF Mod'!$A$2:$G$12,6,FALSE)+VLOOKUP($AD$2,'RF Mod'!$I$2:$O$11,6,FALSE)+(TRUNC(6+(24-6)*(TRUNC(MOD(($Z102*1103515245 +12345)/ 65536, 32768),0)/32768),0))</f>
        <v>10</v>
      </c>
      <c r="R102" s="16" t="e">
        <f t="shared" ca="1" si="6"/>
        <v>#NAME?</v>
      </c>
      <c r="S102" s="154">
        <f t="shared" ca="1" si="12"/>
        <v>56</v>
      </c>
      <c r="T102" s="154">
        <f t="shared" ca="1" si="7"/>
        <v>8</v>
      </c>
      <c r="U102" s="16" t="str">
        <f t="shared" ca="1" si="8"/>
        <v>Fine</v>
      </c>
      <c r="V102" s="155">
        <f ca="1">IFERROR(__xludf.DUMMYFUNCTION("if(W102=""Middle Age"",QUERY(NPCVar!$K$2:$N1000, ""Select L where K = '""&amp;AB102&amp;""'""),if(W102=""Old"",QUERY(NPCVar!$K$2:$N1000, ""Select M where K = '""&amp;AB102&amp;""'""),if(W102=""Venerable"",QUERY(NPCVar!$K$2:$N1000, ""Select N where K = '""&amp;AB102&amp;""'""),fa"&amp;"lse)))*X102"),112.5)</f>
        <v>112.5</v>
      </c>
      <c r="W102" s="156" t="str">
        <f t="array" ref="W102">INDEX(NPCAgeType,TRUNC(1+(4-1)*(TRUNC(MOD((X102*1103515245 +12345)/ 65536, 32768),0)/32768),0))</f>
        <v>Middle Age</v>
      </c>
      <c r="X102" s="117">
        <f t="shared" si="13"/>
        <v>0.6</v>
      </c>
      <c r="Y102" s="157" t="e">
        <f t="array" aca="1" ref="Y102" ca="1">LOOKUP(ABS(MAX(Z102 + MIN(ABS(INDIRECT("Class Jobs!B"&amp;MATCH(E102,'Class Jobs'!$A$1:$A1000,0)&amp;":"&amp;"AF"&amp;MATCH(E102,'Class Jobs'!$A$1:$A1000,0)&amp;"")-$Z102)) * SUM(IF(MIN(ABS(INDIRECT("Class Jobs!B"&amp;MATCH(E102,'Class Jobs'!$A$1:$A1000,0)&amp;":"&amp;"AF"&amp;MATCH(E102,'Class Jobs'!$A$1:$A1000,0)&amp;"")-$Z102))=ABS(INDIRECT("Class Jobs!B"&amp;MATCH(E102,'Class Jobs'!$A$1:$A1000,0)&amp;":"&amp;"AF"&amp;MATCH(E102,'Class Jobs'!$A$1:$A1000,0)&amp;"")-$Z102),SIGN(INDIRECT("Class Jobs!B"&amp;MATCH(E102,'Class Jobs'!$A$1:A1000,0)&amp;":"&amp;"AF"&amp;MATCH(E102,'Class Jobs'!$A$1:$A1000,0)&amp;"")-$Z102),0)),0)),INDIRECT("Class Jobs!B"&amp;MATCH(E102,'Class Jobs'!$A$1:$A1000,0)&amp;":"&amp;"AF"&amp;MATCH(E102,'Class Jobs'!$A$1:$A1000,1)&amp;""),'Class Jobs'!$B$1:$AF$1)</f>
        <v>#REF!</v>
      </c>
      <c r="Z102" s="158">
        <f t="shared" si="10"/>
        <v>0.24</v>
      </c>
      <c r="AA102" s="16" t="str">
        <f t="array" ref="AA102">INDEX(NPCGender,TRUNC(1+(COUNTA(NPCGender))*(TRUNC(MOD(($B102*1103515245 +12345)/ 65536, 32768),0)/32768),0))</f>
        <v>Male</v>
      </c>
      <c r="AB102" s="16" t="str">
        <f t="array" ref="AB102">INDEX(NPCRace,TRUNC(1+(COUNTA(NPCRace))*(TRUNC(MOD(($B102*1103515245 +12345)/ 65536, 32768),0)/32768),0))</f>
        <v>Elf</v>
      </c>
      <c r="AC102" s="16" t="str">
        <f t="array" ref="AC102">INDEX(NPCAL,TRUNC(1+(COUNTA(NPCAL))*(TRUNC(MOD(($B102*1103515245 +12345)/ 65536, 32768),0)/32768),0))</f>
        <v>CG</v>
      </c>
      <c r="AD102" s="72" t="str">
        <f ca="1">IFERROR(__xludf.DUMMYFUNCTION("if(V102&lt;15,QUERY(NPCVar!C:D,""Select D WHERE C = '""&amp;D102&amp;""'""),if((TRUNC(1+10)*(TRUNC(MOD((ROW(H102)*1103515245 +12345)/ 65536, 32768),0)/32768)/10) &gt; 0.85,INDEX(NPCFaction,TRUNC(1+(counta(NPCFaction)-1)*(TRUNC(MOD(($B102*1103515245 +12345)/ 65536, 3276"&amp;"8),0)/32768),0)),QUERY(NPCVar!C:D,""Select D WHERE C = '""&amp;D102&amp;""'"")))"),"Magic Guild")</f>
        <v>Magic Guild</v>
      </c>
      <c r="AE102" s="108" t="e">
        <f t="shared" ca="1" si="11"/>
        <v>#NAME?</v>
      </c>
      <c r="AF102" s="159">
        <f ca="1">IFERROR(__xludf.DUMMYFUNCTION("AE102*(V102 / QUERY(NPCVar!$K$2:$N$12, ""Select N WHERE K='""&amp;AB102&amp;""'""))*TRUNC(1+10)*(TRUNC(MOD(($B102*1103515245 +12345)/ 65536, 32768),0)/32768)"),0.270209655761718)</f>
        <v>0.27020965576171802</v>
      </c>
      <c r="AG102" s="16"/>
      <c r="AH102" s="77"/>
      <c r="AI102" s="114"/>
    </row>
    <row r="103" spans="1:35" ht="16.2">
      <c r="A103" s="53">
        <v>102</v>
      </c>
      <c r="B103" s="118">
        <f t="shared" si="14"/>
        <v>1.3954899999999999</v>
      </c>
      <c r="C103" s="72" t="str">
        <f t="array" ref="C103">INDEX(NPCFName,TRUNC(1+(COUNTA(NPCFName))*(TRUNC(MOD(($B103*1103515245 +12345)/ 65536, 32768),0)/32768),0))</f>
        <v>Cether</v>
      </c>
      <c r="D103" s="16" t="str">
        <f t="array" ref="D103">INDEX(NPCLName,TRUNC(1+(COUNTA(NPCLName))*(TRUNC(MOD(($B103*1103515245 +12345)/ 65536, 32768),0)/32768),0))</f>
        <v>Rockspell</v>
      </c>
      <c r="E103" s="16" t="str">
        <f t="array" ref="E103">INDEX(NPCClass,TRUNC(1+(COUNTA(NPCClass))*(TRUNC(MOD(($B103*1103515245 +12345)/ 65536, 32768),0)/32768),0))</f>
        <v>None</v>
      </c>
      <c r="F103" s="76">
        <v>8</v>
      </c>
      <c r="G103" s="153">
        <f ca="1">VLOOKUP($AB$2,'RF Mod'!$A$2:$G$12,2,FALSE)+VLOOKUP($AD$2,'RF Mod'!$I$2:$O$11,2,FALSE)+(TRUNC(6+(24-6)*(TRUNC(MOD(($Z103*1103515245 +12345)/ 65536, 32768),0)/32768),0))</f>
        <v>10</v>
      </c>
      <c r="H103" s="16" t="e">
        <f t="shared" ca="1" si="1"/>
        <v>#NAME?</v>
      </c>
      <c r="I103" s="153">
        <f ca="1">VLOOKUP($AB$2,'RF Mod'!$A$2:$G$12,3,FALSE)+VLOOKUP($AD$2,'RF Mod'!$I$2:$O$11,3,FALSE)+(TRUNC(6+(24-6)*(TRUNC(MOD(($Z103*1103515245 +12345)/ 65536, 32768),0)/32768),0))</f>
        <v>14</v>
      </c>
      <c r="J103" s="16" t="e">
        <f t="shared" ca="1" si="2"/>
        <v>#NAME?</v>
      </c>
      <c r="K103" s="153">
        <f ca="1">VLOOKUP($AB$2,'RF Mod'!$A$2:$G$12,3,FALSE)+VLOOKUP($AD$2,'RF Mod'!$I$2:$O$11,3,FALSE)+(TRUNC(6+(24-6)*(TRUNC(MOD(($Z103*1103515245 +12345)/ 65536, 32768),0)/32768),0))</f>
        <v>14</v>
      </c>
      <c r="L103" s="16" t="e">
        <f t="shared" ca="1" si="3"/>
        <v>#NAME?</v>
      </c>
      <c r="M103" s="153">
        <f ca="1">VLOOKUP($AB$2,'RF Mod'!$A$2:$G$12,4,FALSE)+VLOOKUP($AD$2,'RF Mod'!$I$2:$O$11,4,FALSE)+(TRUNC(6+(24-6)*(TRUNC(MOD(($Z103*1103515245 +12345)/ 65536, 32768),0)/32768),0))</f>
        <v>13</v>
      </c>
      <c r="N103" s="16" t="e">
        <f t="shared" ca="1" si="4"/>
        <v>#NAME?</v>
      </c>
      <c r="O103" s="153">
        <f ca="1">VLOOKUP($AB$2,'RF Mod'!$A$2:$G$12,5,FALSE)+VLOOKUP($AD$2,'RF Mod'!$I$2:$O$11,5,FALSE)+(TRUNC(6+(24-6)*(TRUNC(MOD(($Z103*1103515245 +12345)/ 65536, 32768),0)/32768),0))</f>
        <v>16</v>
      </c>
      <c r="P103" s="16" t="e">
        <f t="shared" ca="1" si="5"/>
        <v>#NAME?</v>
      </c>
      <c r="Q103" s="153">
        <f ca="1">VLOOKUP($AB$2,'RF Mod'!$A$2:$G$12,6,FALSE)+VLOOKUP($AD$2,'RF Mod'!$I$2:$O$11,6,FALSE)+(TRUNC(6+(24-6)*(TRUNC(MOD(($Z103*1103515245 +12345)/ 65536, 32768),0)/32768),0))</f>
        <v>14</v>
      </c>
      <c r="R103" s="16" t="e">
        <f t="shared" ca="1" si="6"/>
        <v>#NAME?</v>
      </c>
      <c r="S103" s="154">
        <f t="shared" ca="1" si="12"/>
        <v>208</v>
      </c>
      <c r="T103" s="154">
        <f t="shared" ca="1" si="7"/>
        <v>228</v>
      </c>
      <c r="U103" s="16" t="str">
        <f t="shared" ca="1" si="8"/>
        <v>Dead</v>
      </c>
      <c r="V103" s="155">
        <f ca="1">IFERROR(__xludf.DUMMYFUNCTION("if(W103=""Middle Age"",QUERY(NPCVar!$K$2:$N1000, ""Select L where K = '""&amp;AB103&amp;""'""),if(W103=""Old"",QUERY(NPCVar!$K$2:$N1000, ""Select M where K = '""&amp;AB103&amp;""'""),if(W103=""Venerable"",QUERY(NPCVar!$K$2:$N1000, ""Select N where K = '""&amp;AB103&amp;""'""),fa"&amp;"lse)))*X103"),162)</f>
        <v>162</v>
      </c>
      <c r="W103" s="156" t="str">
        <f t="array" ref="W103">INDEX(NPCAgeType,TRUNC(1+(4-1)*(TRUNC(MOD((X103*1103515245 +12345)/ 65536, 32768),0)/32768),0))</f>
        <v>Venerable</v>
      </c>
      <c r="X103" s="117">
        <f t="shared" si="13"/>
        <v>1.8</v>
      </c>
      <c r="Y103" s="157" t="e">
        <f t="array" aca="1" ref="Y103" ca="1">LOOKUP(ABS(MAX(Z103 + MIN(ABS(INDIRECT("Class Jobs!B"&amp;MATCH(E103,'Class Jobs'!$A$1:$A1000,0)&amp;":"&amp;"AF"&amp;MATCH(E103,'Class Jobs'!$A$1:$A1000,0)&amp;"")-$Z103)) * SUM(IF(MIN(ABS(INDIRECT("Class Jobs!B"&amp;MATCH(E103,'Class Jobs'!$A$1:$A1000,0)&amp;":"&amp;"AF"&amp;MATCH(E103,'Class Jobs'!$A$1:$A1000,0)&amp;"")-$Z103))=ABS(INDIRECT("Class Jobs!B"&amp;MATCH(E103,'Class Jobs'!$A$1:$A1000,0)&amp;":"&amp;"AF"&amp;MATCH(E103,'Class Jobs'!$A$1:$A1000,0)&amp;"")-$Z103),SIGN(INDIRECT("Class Jobs!B"&amp;MATCH(E103,'Class Jobs'!$A$1:A1000,0)&amp;":"&amp;"AF"&amp;MATCH(E103,'Class Jobs'!$A$1:$A1000,0)&amp;"")-$Z103),0)),0)),INDIRECT("Class Jobs!B"&amp;MATCH(E103,'Class Jobs'!$A$1:$A1000,0)&amp;":"&amp;"AF"&amp;MATCH(E103,'Class Jobs'!$A$1:$A1000,1)&amp;""),'Class Jobs'!$B$1:$AF$1)</f>
        <v>#REF!</v>
      </c>
      <c r="Z103" s="158">
        <f t="shared" si="10"/>
        <v>0.71</v>
      </c>
      <c r="AA103" s="16" t="str">
        <f t="array" ref="AA103">INDEX(NPCGender,TRUNC(1+(COUNTA(NPCGender))*(TRUNC(MOD(($B103*1103515245 +12345)/ 65536, 32768),0)/32768),0))</f>
        <v>Neutral</v>
      </c>
      <c r="AB103" s="16" t="str">
        <f t="array" ref="AB103">INDEX(NPCRace,TRUNC(1+(COUNTA(NPCRace))*(TRUNC(MOD(($B103*1103515245 +12345)/ 65536, 32768),0)/32768),0))</f>
        <v>Human</v>
      </c>
      <c r="AC103" s="16" t="str">
        <f t="array" ref="AC103">INDEX(NPCAL,TRUNC(1+(COUNTA(NPCAL))*(TRUNC(MOD(($B103*1103515245 +12345)/ 65536, 32768),0)/32768),0))</f>
        <v>LG</v>
      </c>
      <c r="AD103" s="72" t="str">
        <f ca="1">IFERROR(__xludf.DUMMYFUNCTION("if(V103&lt;15,QUERY(NPCVar!C:D,""Select D WHERE C = '""&amp;D103&amp;""'""),if((TRUNC(1+10)*(TRUNC(MOD((ROW(H103)*1103515245 +12345)/ 65536, 32768),0)/32768)/10) &gt; 0.85,INDEX(NPCFaction,TRUNC(1+(counta(NPCFaction)-1)*(TRUNC(MOD(($B103*1103515245 +12345)/ 65536, 3276"&amp;"8),0)/32768),0)),QUERY(NPCVar!C:D,""Select D WHERE C = '""&amp;D103&amp;""'"")))"),"Magic Guild")</f>
        <v>Magic Guild</v>
      </c>
      <c r="AE103" s="108" t="e">
        <f t="shared" ca="1" si="11"/>
        <v>#NAME?</v>
      </c>
      <c r="AF103" s="159">
        <f ca="1">IFERROR(__xludf.DUMMYFUNCTION("AE103*(V103 / QUERY(NPCVar!$K$2:$N$12, ""Select N WHERE K='""&amp;AB103&amp;""'""))*TRUNC(1+10)*(TRUNC(MOD(($B103*1103515245 +12345)/ 65536, 32768),0)/32768)"),7.09900817871093)</f>
        <v>7.09900817871093</v>
      </c>
      <c r="AG103" s="16"/>
      <c r="AH103" s="77"/>
      <c r="AI103" s="114"/>
    </row>
    <row r="104" spans="1:35" ht="16.2">
      <c r="A104" s="53">
        <v>103</v>
      </c>
      <c r="B104" s="118">
        <f t="shared" si="14"/>
        <v>0.38963999999999999</v>
      </c>
      <c r="C104" s="72" t="str">
        <f t="array" ref="C104">INDEX(NPCFName,TRUNC(1+(COUNTA(NPCFName))*(TRUNC(MOD(($B104*1103515245 +12345)/ 65536, 32768),0)/32768),0))</f>
        <v>Mufar</v>
      </c>
      <c r="D104" s="16" t="str">
        <f t="array" ref="D104">INDEX(NPCLName,TRUNC(1+(COUNTA(NPCLName))*(TRUNC(MOD(($B104*1103515245 +12345)/ 65536, 32768),0)/32768),0))</f>
        <v>Stillsun</v>
      </c>
      <c r="E104" s="16" t="str">
        <f t="array" ref="E104">INDEX(NPCClass,TRUNC(1+(COUNTA(NPCClass))*(TRUNC(MOD(($B104*1103515245 +12345)/ 65536, 32768),0)/32768),0))</f>
        <v>Druid</v>
      </c>
      <c r="F104" s="76">
        <v>2</v>
      </c>
      <c r="G104" s="153">
        <f ca="1">VLOOKUP($AB$2,'RF Mod'!$A$2:$G$12,2,FALSE)+VLOOKUP($AD$2,'RF Mod'!$I$2:$O$11,2,FALSE)+(TRUNC(6+(24-6)*(TRUNC(MOD(($Z104*1103515245 +12345)/ 65536, 32768),0)/32768),0))</f>
        <v>5</v>
      </c>
      <c r="H104" s="16">
        <f t="shared" ca="1" si="1"/>
        <v>-3</v>
      </c>
      <c r="I104" s="153">
        <f ca="1">VLOOKUP($AB$2,'RF Mod'!$A$2:$G$12,3,FALSE)+VLOOKUP($AD$2,'RF Mod'!$I$2:$O$11,3,FALSE)+(TRUNC(6+(24-6)*(TRUNC(MOD(($Z104*1103515245 +12345)/ 65536, 32768),0)/32768),0))</f>
        <v>9</v>
      </c>
      <c r="J104" s="16">
        <f t="shared" ca="1" si="2"/>
        <v>-1</v>
      </c>
      <c r="K104" s="153">
        <f ca="1">VLOOKUP($AB$2,'RF Mod'!$A$2:$G$12,3,FALSE)+VLOOKUP($AD$2,'RF Mod'!$I$2:$O$11,3,FALSE)+(TRUNC(6+(24-6)*(TRUNC(MOD(($Z104*1103515245 +12345)/ 65536, 32768),0)/32768),0))</f>
        <v>9</v>
      </c>
      <c r="L104" s="16">
        <f t="shared" ca="1" si="3"/>
        <v>-1</v>
      </c>
      <c r="M104" s="153">
        <f ca="1">VLOOKUP($AB$2,'RF Mod'!$A$2:$G$12,4,FALSE)+VLOOKUP($AD$2,'RF Mod'!$I$2:$O$11,4,FALSE)+(TRUNC(6+(24-6)*(TRUNC(MOD(($Z104*1103515245 +12345)/ 65536, 32768),0)/32768),0))</f>
        <v>8</v>
      </c>
      <c r="N104" s="16">
        <f t="shared" ca="1" si="4"/>
        <v>-1</v>
      </c>
      <c r="O104" s="153">
        <f ca="1">VLOOKUP($AB$2,'RF Mod'!$A$2:$G$12,5,FALSE)+VLOOKUP($AD$2,'RF Mod'!$I$2:$O$11,5,FALSE)+(TRUNC(6+(24-6)*(TRUNC(MOD(($Z104*1103515245 +12345)/ 65536, 32768),0)/32768),0))</f>
        <v>11</v>
      </c>
      <c r="P104" s="16" t="e">
        <f t="shared" ca="1" si="5"/>
        <v>#NAME?</v>
      </c>
      <c r="Q104" s="153">
        <f ca="1">VLOOKUP($AB$2,'RF Mod'!$A$2:$G$12,6,FALSE)+VLOOKUP($AD$2,'RF Mod'!$I$2:$O$11,6,FALSE)+(TRUNC(6+(24-6)*(TRUNC(MOD(($Z104*1103515245 +12345)/ 65536, 32768),0)/32768),0))</f>
        <v>9</v>
      </c>
      <c r="R104" s="16">
        <f t="shared" ca="1" si="6"/>
        <v>-1</v>
      </c>
      <c r="S104" s="154">
        <f t="shared" ca="1" si="12"/>
        <v>22</v>
      </c>
      <c r="T104" s="154">
        <f t="shared" ca="1" si="7"/>
        <v>8</v>
      </c>
      <c r="U104" s="16" t="str">
        <f t="shared" ca="1" si="8"/>
        <v>Fine</v>
      </c>
      <c r="V104" s="155">
        <f ca="1">IFERROR(__xludf.DUMMYFUNCTION("if(W104=""Middle Age"",QUERY(NPCVar!$K$2:$N1000, ""Select L where K = '""&amp;AB104&amp;""'""),if(W104=""Old"",QUERY(NPCVar!$K$2:$N1000, ""Select M where K = '""&amp;AB104&amp;""'""),if(W104=""Venerable"",QUERY(NPCVar!$K$2:$N1000, ""Select N where K = '""&amp;AB104&amp;""'""),fa"&amp;"lse)))*X104"),93.75)</f>
        <v>93.75</v>
      </c>
      <c r="W104" s="156" t="str">
        <f t="array" ref="W104">INDEX(NPCAgeType,TRUNC(1+(4-1)*(TRUNC(MOD((X104*1103515245 +12345)/ 65536, 32768),0)/32768),0))</f>
        <v>Middle Age</v>
      </c>
      <c r="X104" s="117">
        <f t="shared" si="13"/>
        <v>0.5</v>
      </c>
      <c r="Y104" s="157" t="e">
        <f t="array" aca="1" ref="Y104" ca="1">LOOKUP(ABS(MAX(Z104 + MIN(ABS(INDIRECT("Class Jobs!B"&amp;MATCH(E104,'Class Jobs'!$A$1:$A1000,0)&amp;":"&amp;"AF"&amp;MATCH(E104,'Class Jobs'!$A$1:$A1000,0)&amp;"")-$Z104)) * SUM(IF(MIN(ABS(INDIRECT("Class Jobs!B"&amp;MATCH(E104,'Class Jobs'!$A$1:$A1000,0)&amp;":"&amp;"AF"&amp;MATCH(E104,'Class Jobs'!$A$1:$A1000,0)&amp;"")-$Z104))=ABS(INDIRECT("Class Jobs!B"&amp;MATCH(E104,'Class Jobs'!$A$1:$A1000,0)&amp;":"&amp;"AF"&amp;MATCH(E104,'Class Jobs'!$A$1:$A1000,0)&amp;"")-$Z104),SIGN(INDIRECT("Class Jobs!B"&amp;MATCH(E104,'Class Jobs'!$A$1:A1000,0)&amp;":"&amp;"AF"&amp;MATCH(E104,'Class Jobs'!$A$1:$A1000,0)&amp;"")-$Z104),0)),0)),INDIRECT("Class Jobs!B"&amp;MATCH(E104,'Class Jobs'!$A$1:$A1000,0)&amp;":"&amp;"AF"&amp;MATCH(E104,'Class Jobs'!$A$1:$A1000,1)&amp;""),'Class Jobs'!$B$1:$AF$1)</f>
        <v>#REF!</v>
      </c>
      <c r="Z104" s="158">
        <f t="shared" si="10"/>
        <v>0.2</v>
      </c>
      <c r="AA104" s="16" t="str">
        <f t="array" ref="AA104">INDEX(NPCGender,TRUNC(1+(COUNTA(NPCGender))*(TRUNC(MOD(($B104*1103515245 +12345)/ 65536, 32768),0)/32768),0))</f>
        <v>Male</v>
      </c>
      <c r="AB104" s="16" t="str">
        <f t="array" ref="AB104">INDEX(NPCRace,TRUNC(1+(COUNTA(NPCRace))*(TRUNC(MOD(($B104*1103515245 +12345)/ 65536, 32768),0)/32768),0))</f>
        <v>Elf</v>
      </c>
      <c r="AC104" s="16" t="str">
        <f t="array" ref="AC104">INDEX(NPCAL,TRUNC(1+(COUNTA(NPCAL))*(TRUNC(MOD(($B104*1103515245 +12345)/ 65536, 32768),0)/32768),0))</f>
        <v>CE</v>
      </c>
      <c r="AD104" s="72" t="str">
        <f ca="1">IFERROR(__xludf.DUMMYFUNCTION("if(V104&lt;15,QUERY(NPCVar!C:D,""Select D WHERE C = '""&amp;D104&amp;""'""),if((TRUNC(1+10)*(TRUNC(MOD((ROW(H104)*1103515245 +12345)/ 65536, 32768),0)/32768)/10) &gt; 0.85,INDEX(NPCFaction,TRUNC(1+(counta(NPCFaction)-1)*(TRUNC(MOD(($B104*1103515245 +12345)/ 65536, 3276"&amp;"8),0)/32768),0)),QUERY(NPCVar!C:D,""Select D WHERE C = '""&amp;D104&amp;""'"")))"),"Necromancer")</f>
        <v>Necromancer</v>
      </c>
      <c r="AE104" s="108" t="e">
        <f t="shared" ca="1" si="11"/>
        <v>#NAME?</v>
      </c>
      <c r="AF104" s="159">
        <f ca="1">IFERROR(__xludf.DUMMYFUNCTION("AE104*(V104 / QUERY(NPCVar!$K$2:$N$12, ""Select N WHERE K='""&amp;AB104&amp;""'""))*TRUNC(1+10)*(TRUNC(MOD(($B104*1103515245 +12345)/ 65536, 32768),0)/32768)"),0.165186309814453)</f>
        <v>0.16518630981445301</v>
      </c>
      <c r="AG104" s="16"/>
      <c r="AH104" s="77"/>
      <c r="AI104" s="114"/>
    </row>
    <row r="105" spans="1:35" ht="16.2">
      <c r="A105" s="53">
        <v>104</v>
      </c>
      <c r="B105" s="118">
        <f t="shared" si="14"/>
        <v>1.8837699999999999</v>
      </c>
      <c r="C105" s="72" t="str">
        <f t="array" ref="C105">INDEX(NPCFName,TRUNC(1+(COUNTA(NPCFName))*(TRUNC(MOD(($B105*1103515245 +12345)/ 65536, 32768),0)/32768),0))</f>
        <v>Victor</v>
      </c>
      <c r="D105" s="16" t="str">
        <f t="array" ref="D105">INDEX(NPCLName,TRUNC(1+(COUNTA(NPCLName))*(TRUNC(MOD(($B105*1103515245 +12345)/ 65536, 32768),0)/32768),0))</f>
        <v>Stillspell</v>
      </c>
      <c r="E105" s="16" t="str">
        <f t="array" ref="E105">INDEX(NPCClass,TRUNC(1+(COUNTA(NPCClass))*(TRUNC(MOD(($B105*1103515245 +12345)/ 65536, 32768),0)/32768),0))</f>
        <v>Wizard</v>
      </c>
      <c r="F105" s="76">
        <v>8</v>
      </c>
      <c r="G105" s="153">
        <f ca="1">VLOOKUP($AB$2,'RF Mod'!$A$2:$G$12,2,FALSE)+VLOOKUP($AD$2,'RF Mod'!$I$2:$O$11,2,FALSE)+(TRUNC(6+(24-6)*(TRUNC(MOD(($Z105*1103515245 +12345)/ 65536, 32768),0)/32768),0))</f>
        <v>12</v>
      </c>
      <c r="H105" s="16" t="e">
        <f t="shared" ca="1" si="1"/>
        <v>#NAME?</v>
      </c>
      <c r="I105" s="153">
        <f ca="1">VLOOKUP($AB$2,'RF Mod'!$A$2:$G$12,3,FALSE)+VLOOKUP($AD$2,'RF Mod'!$I$2:$O$11,3,FALSE)+(TRUNC(6+(24-6)*(TRUNC(MOD(($Z105*1103515245 +12345)/ 65536, 32768),0)/32768),0))</f>
        <v>16</v>
      </c>
      <c r="J105" s="16" t="e">
        <f t="shared" ca="1" si="2"/>
        <v>#NAME?</v>
      </c>
      <c r="K105" s="153">
        <f ca="1">VLOOKUP($AB$2,'RF Mod'!$A$2:$G$12,3,FALSE)+VLOOKUP($AD$2,'RF Mod'!$I$2:$O$11,3,FALSE)+(TRUNC(6+(24-6)*(TRUNC(MOD(($Z105*1103515245 +12345)/ 65536, 32768),0)/32768),0))</f>
        <v>16</v>
      </c>
      <c r="L105" s="16" t="e">
        <f t="shared" ca="1" si="3"/>
        <v>#NAME?</v>
      </c>
      <c r="M105" s="153">
        <f ca="1">VLOOKUP($AB$2,'RF Mod'!$A$2:$G$12,4,FALSE)+VLOOKUP($AD$2,'RF Mod'!$I$2:$O$11,4,FALSE)+(TRUNC(6+(24-6)*(TRUNC(MOD(($Z105*1103515245 +12345)/ 65536, 32768),0)/32768),0))</f>
        <v>15</v>
      </c>
      <c r="N105" s="16" t="e">
        <f t="shared" ca="1" si="4"/>
        <v>#NAME?</v>
      </c>
      <c r="O105" s="153">
        <f ca="1">VLOOKUP($AB$2,'RF Mod'!$A$2:$G$12,5,FALSE)+VLOOKUP($AD$2,'RF Mod'!$I$2:$O$11,5,FALSE)+(TRUNC(6+(24-6)*(TRUNC(MOD(($Z105*1103515245 +12345)/ 65536, 32768),0)/32768),0))</f>
        <v>18</v>
      </c>
      <c r="P105" s="16" t="e">
        <f t="shared" ca="1" si="5"/>
        <v>#NAME?</v>
      </c>
      <c r="Q105" s="153">
        <f ca="1">VLOOKUP($AB$2,'RF Mod'!$A$2:$G$12,6,FALSE)+VLOOKUP($AD$2,'RF Mod'!$I$2:$O$11,6,FALSE)+(TRUNC(6+(24-6)*(TRUNC(MOD(($Z105*1103515245 +12345)/ 65536, 32768),0)/32768),0))</f>
        <v>16</v>
      </c>
      <c r="R105" s="16" t="e">
        <f t="shared" ca="1" si="6"/>
        <v>#NAME?</v>
      </c>
      <c r="S105" s="154">
        <f t="shared" ca="1" si="12"/>
        <v>224</v>
      </c>
      <c r="T105" s="154">
        <f t="shared" ca="1" si="7"/>
        <v>190</v>
      </c>
      <c r="U105" s="16" t="str">
        <f t="shared" ca="1" si="8"/>
        <v>Bloody</v>
      </c>
      <c r="V105" s="155">
        <f ca="1">IFERROR(__xludf.DUMMYFUNCTION("if(W105=""Middle Age"",QUERY(NPCVar!$K$2:$N1000, ""Select L where K = '""&amp;AB105&amp;""'""),if(W105=""Old"",QUERY(NPCVar!$K$2:$N1000, ""Select M where K = '""&amp;AB105&amp;""'""),if(W105=""Venerable"",QUERY(NPCVar!$K$2:$N1000, ""Select N where K = '""&amp;AB105&amp;""'""),fa"&amp;"lse)))*X105"),72)</f>
        <v>72</v>
      </c>
      <c r="W105" s="156" t="str">
        <f t="array" ref="W105">INDEX(NPCAgeType,TRUNC(1+(4-1)*(TRUNC(MOD((X105*1103515245 +12345)/ 65536, 32768),0)/32768),0))</f>
        <v>Middle Age</v>
      </c>
      <c r="X105" s="117">
        <f t="shared" si="13"/>
        <v>2.4</v>
      </c>
      <c r="Y105" s="157" t="e">
        <f t="array" aca="1" ref="Y105" ca="1">LOOKUP(ABS(MAX(Z105 + MIN(ABS(INDIRECT("Class Jobs!B"&amp;MATCH(E105,'Class Jobs'!$A$1:$A1000,0)&amp;":"&amp;"AF"&amp;MATCH(E105,'Class Jobs'!$A$1:$A1000,0)&amp;"")-$Z105)) * SUM(IF(MIN(ABS(INDIRECT("Class Jobs!B"&amp;MATCH(E105,'Class Jobs'!$A$1:$A1000,0)&amp;":"&amp;"AF"&amp;MATCH(E105,'Class Jobs'!$A$1:$A1000,0)&amp;"")-$Z105))=ABS(INDIRECT("Class Jobs!B"&amp;MATCH(E105,'Class Jobs'!$A$1:$A1000,0)&amp;":"&amp;"AF"&amp;MATCH(E105,'Class Jobs'!$A$1:$A1000,0)&amp;"")-$Z105),SIGN(INDIRECT("Class Jobs!B"&amp;MATCH(E105,'Class Jobs'!$A$1:A1000,0)&amp;":"&amp;"AF"&amp;MATCH(E105,'Class Jobs'!$A$1:$A1000,0)&amp;"")-$Z105),0)),0)),INDIRECT("Class Jobs!B"&amp;MATCH(E105,'Class Jobs'!$A$1:$A1000,0)&amp;":"&amp;"AF"&amp;MATCH(E105,'Class Jobs'!$A$1:$A1000,1)&amp;""),'Class Jobs'!$B$1:$AF$1)</f>
        <v>#REF!</v>
      </c>
      <c r="Z105" s="158">
        <f t="shared" si="10"/>
        <v>0.96</v>
      </c>
      <c r="AA105" s="16" t="str">
        <f t="array" ref="AA105">INDEX(NPCGender,TRUNC(1+(COUNTA(NPCGender))*(TRUNC(MOD(($B105*1103515245 +12345)/ 65536, 32768),0)/32768),0))</f>
        <v>Neutral</v>
      </c>
      <c r="AB105" s="16" t="str">
        <f t="array" ref="AB105">INDEX(NPCRace,TRUNC(1+(COUNTA(NPCRace))*(TRUNC(MOD(($B105*1103515245 +12345)/ 65536, 32768),0)/32768),0))</f>
        <v>Goliath</v>
      </c>
      <c r="AC105" s="16" t="str">
        <f t="array" ref="AC105">INDEX(NPCAL,TRUNC(1+(COUNTA(NPCAL))*(TRUNC(MOD(($B105*1103515245 +12345)/ 65536, 32768),0)/32768),0))</f>
        <v>LE</v>
      </c>
      <c r="AD105" s="72" t="str">
        <f ca="1">IFERROR(__xludf.DUMMYFUNCTION("if(V105&lt;15,QUERY(NPCVar!C:D,""Select D WHERE C = '""&amp;D105&amp;""'""),if((TRUNC(1+10)*(TRUNC(MOD((ROW(H105)*1103515245 +12345)/ 65536, 32768),0)/32768)/10) &gt; 0.85,INDEX(NPCFaction,TRUNC(1+(counta(NPCFaction)-1)*(TRUNC(MOD(($B105*1103515245 +12345)/ 65536, 3276"&amp;"8),0)/32768),0)),QUERY(NPCVar!C:D,""Select D WHERE C = '""&amp;D105&amp;""'"")))"),"Traverlers Guild")</f>
        <v>Traverlers Guild</v>
      </c>
      <c r="AE105" s="108" t="e">
        <f t="shared" ca="1" si="11"/>
        <v>#NAME?</v>
      </c>
      <c r="AF105" s="159">
        <f ca="1">IFERROR(__xludf.DUMMYFUNCTION("AE105*(V105 / QUERY(NPCVar!$K$2:$N$12, ""Select N WHERE K='""&amp;AB105&amp;""'""))*TRUNC(1+10)*(TRUNC(MOD(($B105*1103515245 +12345)/ 65536, 32768),0)/32768)"),3.19435729980468)</f>
        <v>3.1943572998046799</v>
      </c>
      <c r="AG105" s="16"/>
      <c r="AH105" s="77"/>
      <c r="AI105" s="114"/>
    </row>
    <row r="106" spans="1:35" ht="16.2">
      <c r="A106" s="53">
        <v>105</v>
      </c>
      <c r="B106" s="118">
        <f t="shared" si="14"/>
        <v>0.87792000000000003</v>
      </c>
      <c r="C106" s="72" t="str">
        <f t="array" ref="C106">INDEX(NPCFName,TRUNC(1+(COUNTA(NPCFName))*(TRUNC(MOD(($B106*1103515245 +12345)/ 65536, 32768),0)/32768),0))</f>
        <v>Gemedern</v>
      </c>
      <c r="D106" s="16" t="str">
        <f t="array" ref="D106">INDEX(NPCLName,TRUNC(1+(COUNTA(NPCLName))*(TRUNC(MOD(($B106*1103515245 +12345)/ 65536, 32768),0)/32768),0))</f>
        <v>Saurflame</v>
      </c>
      <c r="E106" s="16" t="str">
        <f t="array" ref="E106">INDEX(NPCClass,TRUNC(1+(COUNTA(NPCClass))*(TRUNC(MOD(($B106*1103515245 +12345)/ 65536, 32768),0)/32768),0))</f>
        <v>Ranger</v>
      </c>
      <c r="F106" s="76">
        <v>8</v>
      </c>
      <c r="G106" s="153">
        <f ca="1">VLOOKUP($AB$2,'RF Mod'!$A$2:$G$12,2,FALSE)+VLOOKUP($AD$2,'RF Mod'!$I$2:$O$11,2,FALSE)+(TRUNC(6+(24-6)*(TRUNC(MOD(($Z106*1103515245 +12345)/ 65536, 32768),0)/32768),0))</f>
        <v>8</v>
      </c>
      <c r="H106" s="16">
        <f t="shared" ca="1" si="1"/>
        <v>-1</v>
      </c>
      <c r="I106" s="153">
        <f ca="1">VLOOKUP($AB$2,'RF Mod'!$A$2:$G$12,3,FALSE)+VLOOKUP($AD$2,'RF Mod'!$I$2:$O$11,3,FALSE)+(TRUNC(6+(24-6)*(TRUNC(MOD(($Z106*1103515245 +12345)/ 65536, 32768),0)/32768),0))</f>
        <v>12</v>
      </c>
      <c r="J106" s="16" t="e">
        <f t="shared" ca="1" si="2"/>
        <v>#NAME?</v>
      </c>
      <c r="K106" s="153">
        <f ca="1">VLOOKUP($AB$2,'RF Mod'!$A$2:$G$12,3,FALSE)+VLOOKUP($AD$2,'RF Mod'!$I$2:$O$11,3,FALSE)+(TRUNC(6+(24-6)*(TRUNC(MOD(($Z106*1103515245 +12345)/ 65536, 32768),0)/32768),0))</f>
        <v>12</v>
      </c>
      <c r="L106" s="16" t="e">
        <f t="shared" ca="1" si="3"/>
        <v>#NAME?</v>
      </c>
      <c r="M106" s="153">
        <f ca="1">VLOOKUP($AB$2,'RF Mod'!$A$2:$G$12,4,FALSE)+VLOOKUP($AD$2,'RF Mod'!$I$2:$O$11,4,FALSE)+(TRUNC(6+(24-6)*(TRUNC(MOD(($Z106*1103515245 +12345)/ 65536, 32768),0)/32768),0))</f>
        <v>11</v>
      </c>
      <c r="N106" s="16" t="e">
        <f t="shared" ca="1" si="4"/>
        <v>#NAME?</v>
      </c>
      <c r="O106" s="153">
        <f ca="1">VLOOKUP($AB$2,'RF Mod'!$A$2:$G$12,5,FALSE)+VLOOKUP($AD$2,'RF Mod'!$I$2:$O$11,5,FALSE)+(TRUNC(6+(24-6)*(TRUNC(MOD(($Z106*1103515245 +12345)/ 65536, 32768),0)/32768),0))</f>
        <v>14</v>
      </c>
      <c r="P106" s="16" t="e">
        <f t="shared" ca="1" si="5"/>
        <v>#NAME?</v>
      </c>
      <c r="Q106" s="153">
        <f ca="1">VLOOKUP($AB$2,'RF Mod'!$A$2:$G$12,6,FALSE)+VLOOKUP($AD$2,'RF Mod'!$I$2:$O$11,6,FALSE)+(TRUNC(6+(24-6)*(TRUNC(MOD(($Z106*1103515245 +12345)/ 65536, 32768),0)/32768),0))</f>
        <v>12</v>
      </c>
      <c r="R106" s="16" t="e">
        <f t="shared" ca="1" si="6"/>
        <v>#NAME?</v>
      </c>
      <c r="S106" s="154">
        <f t="shared" ca="1" si="12"/>
        <v>112</v>
      </c>
      <c r="T106" s="154">
        <f t="shared" ca="1" si="7"/>
        <v>101</v>
      </c>
      <c r="U106" s="16" t="str">
        <f t="shared" ca="1" si="8"/>
        <v>Bloody</v>
      </c>
      <c r="V106" s="155">
        <f ca="1">IFERROR(__xludf.DUMMYFUNCTION("if(W106=""Middle Age"",QUERY(NPCVar!$K$2:$N1000, ""Select L where K = '""&amp;AB106&amp;""'""),if(W106=""Old"",QUERY(NPCVar!$K$2:$N1000, ""Select M where K = '""&amp;AB106&amp;""'""),if(W106=""Venerable"",QUERY(NPCVar!$K$2:$N1000, ""Select N where K = '""&amp;AB106&amp;""'""),fa"&amp;"lse)))*X106"),74.25)</f>
        <v>74.25</v>
      </c>
      <c r="W106" s="156" t="str">
        <f t="array" ref="W106">INDEX(NPCAgeType,TRUNC(1+(4-1)*(TRUNC(MOD((X106*1103515245 +12345)/ 65536, 32768),0)/32768),0))</f>
        <v>Old</v>
      </c>
      <c r="X106" s="117">
        <f t="shared" si="13"/>
        <v>1.1000000000000001</v>
      </c>
      <c r="Y106" s="157" t="e">
        <f t="array" aca="1" ref="Y106" ca="1">LOOKUP(ABS(MAX(Z106 + MIN(ABS(INDIRECT("Class Jobs!B"&amp;MATCH(E106,'Class Jobs'!$A$1:$A1000,0)&amp;":"&amp;"AF"&amp;MATCH(E106,'Class Jobs'!$A$1:$A1000,0)&amp;"")-$Z106)) * SUM(IF(MIN(ABS(INDIRECT("Class Jobs!B"&amp;MATCH(E106,'Class Jobs'!$A$1:$A1000,0)&amp;":"&amp;"AF"&amp;MATCH(E106,'Class Jobs'!$A$1:$A1000,0)&amp;"")-$Z106))=ABS(INDIRECT("Class Jobs!B"&amp;MATCH(E106,'Class Jobs'!$A$1:$A1000,0)&amp;":"&amp;"AF"&amp;MATCH(E106,'Class Jobs'!$A$1:$A1000,0)&amp;"")-$Z106),SIGN(INDIRECT("Class Jobs!B"&amp;MATCH(E106,'Class Jobs'!$A$1:A1000,0)&amp;":"&amp;"AF"&amp;MATCH(E106,'Class Jobs'!$A$1:$A1000,0)&amp;"")-$Z106),0)),0)),INDIRECT("Class Jobs!B"&amp;MATCH(E106,'Class Jobs'!$A$1:$A1000,0)&amp;":"&amp;"AF"&amp;MATCH(E106,'Class Jobs'!$A$1:$A1000,1)&amp;""),'Class Jobs'!$B$1:$AF$1)</f>
        <v>#REF!</v>
      </c>
      <c r="Z106" s="158">
        <f t="shared" si="10"/>
        <v>0.45</v>
      </c>
      <c r="AA106" s="16" t="str">
        <f t="array" ref="AA106">INDEX(NPCGender,TRUNC(1+(COUNTA(NPCGender))*(TRUNC(MOD(($B106*1103515245 +12345)/ 65536, 32768),0)/32768),0))</f>
        <v>Female</v>
      </c>
      <c r="AB106" s="16" t="str">
        <f t="array" ref="AB106">INDEX(NPCRace,TRUNC(1+(COUNTA(NPCRace))*(TRUNC(MOD(($B106*1103515245 +12345)/ 65536, 32768),0)/32768),0))</f>
        <v>Half-Elf</v>
      </c>
      <c r="AC106" s="16" t="str">
        <f t="array" ref="AC106">INDEX(NPCAL,TRUNC(1+(COUNTA(NPCAL))*(TRUNC(MOD(($B106*1103515245 +12345)/ 65536, 32768),0)/32768),0))</f>
        <v>NN</v>
      </c>
      <c r="AD106" s="72" t="str">
        <f ca="1">IFERROR(__xludf.DUMMYFUNCTION("if(V106&lt;15,QUERY(NPCVar!C:D,""Select D WHERE C = '""&amp;D106&amp;""'""),if((TRUNC(1+10)*(TRUNC(MOD((ROW(H106)*1103515245 +12345)/ 65536, 32768),0)/32768)/10) &gt; 0.85,INDEX(NPCFaction,TRUNC(1+(counta(NPCFaction)-1)*(TRUNC(MOD(($B106*1103515245 +12345)/ 65536, 3276"&amp;"8),0)/32768),0)),QUERY(NPCVar!C:D,""Select D WHERE C = '""&amp;D106&amp;""'"")))"),"Farmers Guild")</f>
        <v>Farmers Guild</v>
      </c>
      <c r="AE106" s="108" t="e">
        <f t="shared" ca="1" si="11"/>
        <v>#NAME?</v>
      </c>
      <c r="AF106" s="159">
        <f ca="1">IFERROR(__xludf.DUMMYFUNCTION("AE106*(V106 / QUERY(NPCVar!$K$2:$N$12, ""Select N WHERE K='""&amp;AB106&amp;""'""))*TRUNC(1+10)*(TRUNC(MOD(($B106*1103515245 +12345)/ 65536, 32768),0)/32768)"),2.04691543579101)</f>
        <v>2.0469154357910102</v>
      </c>
      <c r="AG106" s="16"/>
      <c r="AH106" s="77"/>
      <c r="AI106" s="114"/>
    </row>
    <row r="107" spans="1:35" ht="16.2">
      <c r="A107" s="53">
        <v>106</v>
      </c>
      <c r="B107" s="118">
        <f t="shared" si="14"/>
        <v>2.3720500000000002</v>
      </c>
      <c r="C107" s="72" t="str">
        <f t="array" ref="C107">INDEX(NPCFName,TRUNC(1+(COUNTA(NPCFName))*(TRUNC(MOD(($B107*1103515245 +12345)/ 65536, 32768),0)/32768),0))</f>
        <v>Othelen</v>
      </c>
      <c r="D107" s="16" t="str">
        <f t="array" ref="D107">INDEX(NPCLName,TRUNC(1+(COUNTA(NPCLName))*(TRUNC(MOD(($B107*1103515245 +12345)/ 65536, 32768),0)/32768),0))</f>
        <v>Stillsun</v>
      </c>
      <c r="E107" s="16" t="str">
        <f t="array" ref="E107">INDEX(NPCClass,TRUNC(1+(COUNTA(NPCClass))*(TRUNC(MOD(($B107*1103515245 +12345)/ 65536, 32768),0)/32768),0))</f>
        <v>Druid</v>
      </c>
      <c r="F107" s="76">
        <v>1</v>
      </c>
      <c r="G107" s="153">
        <f ca="1">VLOOKUP($AB$2,'RF Mod'!$A$2:$G$12,2,FALSE)+VLOOKUP($AD$2,'RF Mod'!$I$2:$O$11,2,FALSE)+(TRUNC(6+(24-6)*(TRUNC(MOD(($Z107*1103515245 +12345)/ 65536, 32768),0)/32768),0))</f>
        <v>6</v>
      </c>
      <c r="H107" s="16">
        <f t="shared" ca="1" si="1"/>
        <v>-2</v>
      </c>
      <c r="I107" s="153">
        <f ca="1">VLOOKUP($AB$2,'RF Mod'!$A$2:$G$12,3,FALSE)+VLOOKUP($AD$2,'RF Mod'!$I$2:$O$11,3,FALSE)+(TRUNC(6+(24-6)*(TRUNC(MOD(($Z107*1103515245 +12345)/ 65536, 32768),0)/32768),0))</f>
        <v>10</v>
      </c>
      <c r="J107" s="16" t="e">
        <f t="shared" ca="1" si="2"/>
        <v>#NAME?</v>
      </c>
      <c r="K107" s="153">
        <f ca="1">VLOOKUP($AB$2,'RF Mod'!$A$2:$G$12,3,FALSE)+VLOOKUP($AD$2,'RF Mod'!$I$2:$O$11,3,FALSE)+(TRUNC(6+(24-6)*(TRUNC(MOD(($Z107*1103515245 +12345)/ 65536, 32768),0)/32768),0))</f>
        <v>10</v>
      </c>
      <c r="L107" s="16" t="e">
        <f t="shared" ca="1" si="3"/>
        <v>#NAME?</v>
      </c>
      <c r="M107" s="153">
        <f ca="1">VLOOKUP($AB$2,'RF Mod'!$A$2:$G$12,4,FALSE)+VLOOKUP($AD$2,'RF Mod'!$I$2:$O$11,4,FALSE)+(TRUNC(6+(24-6)*(TRUNC(MOD(($Z107*1103515245 +12345)/ 65536, 32768),0)/32768),0))</f>
        <v>9</v>
      </c>
      <c r="N107" s="16">
        <f t="shared" ca="1" si="4"/>
        <v>-1</v>
      </c>
      <c r="O107" s="153">
        <f ca="1">VLOOKUP($AB$2,'RF Mod'!$A$2:$G$12,5,FALSE)+VLOOKUP($AD$2,'RF Mod'!$I$2:$O$11,5,FALSE)+(TRUNC(6+(24-6)*(TRUNC(MOD(($Z107*1103515245 +12345)/ 65536, 32768),0)/32768),0))</f>
        <v>12</v>
      </c>
      <c r="P107" s="16" t="e">
        <f t="shared" ca="1" si="5"/>
        <v>#NAME?</v>
      </c>
      <c r="Q107" s="153">
        <f ca="1">VLOOKUP($AB$2,'RF Mod'!$A$2:$G$12,6,FALSE)+VLOOKUP($AD$2,'RF Mod'!$I$2:$O$11,6,FALSE)+(TRUNC(6+(24-6)*(TRUNC(MOD(($Z107*1103515245 +12345)/ 65536, 32768),0)/32768),0))</f>
        <v>10</v>
      </c>
      <c r="R107" s="16" t="e">
        <f t="shared" ca="1" si="6"/>
        <v>#NAME?</v>
      </c>
      <c r="S107" s="154">
        <f t="shared" ca="1" si="12"/>
        <v>12</v>
      </c>
      <c r="T107" s="154">
        <f t="shared" ca="1" si="7"/>
        <v>10</v>
      </c>
      <c r="U107" s="16" t="str">
        <f t="shared" ca="1" si="8"/>
        <v>Bloody</v>
      </c>
      <c r="V107" s="155">
        <f ca="1">IFERROR(__xludf.DUMMYFUNCTION("if(W107=""Middle Age"",QUERY(NPCVar!$K$2:$N1000, ""Select L where K = '""&amp;AB107&amp;""'""),if(W107=""Old"",QUERY(NPCVar!$K$2:$N1000, ""Select M where K = '""&amp;AB107&amp;""'""),if(W107=""Venerable"",QUERY(NPCVar!$K$2:$N1000, ""Select N where K = '""&amp;AB107&amp;""'""),fa"&amp;"lse)))*X107"),112.5)</f>
        <v>112.5</v>
      </c>
      <c r="W107" s="156" t="str">
        <f t="array" ref="W107">INDEX(NPCAgeType,TRUNC(1+(4-1)*(TRUNC(MOD((X107*1103515245 +12345)/ 65536, 32768),0)/32768),0))</f>
        <v>Middle Age</v>
      </c>
      <c r="X107" s="117">
        <f t="shared" si="13"/>
        <v>0.6</v>
      </c>
      <c r="Y107" s="157" t="e">
        <f t="array" aca="1" ref="Y107" ca="1">LOOKUP(ABS(MAX(Z107 + MIN(ABS(INDIRECT("Class Jobs!B"&amp;MATCH(E107,'Class Jobs'!$A$1:$A1000,0)&amp;":"&amp;"AF"&amp;MATCH(E107,'Class Jobs'!$A$1:$A1000,0)&amp;"")-$Z107)) * SUM(IF(MIN(ABS(INDIRECT("Class Jobs!B"&amp;MATCH(E107,'Class Jobs'!$A$1:$A1000,0)&amp;":"&amp;"AF"&amp;MATCH(E107,'Class Jobs'!$A$1:$A1000,0)&amp;"")-$Z107))=ABS(INDIRECT("Class Jobs!B"&amp;MATCH(E107,'Class Jobs'!$A$1:$A1000,0)&amp;":"&amp;"AF"&amp;MATCH(E107,'Class Jobs'!$A$1:$A1000,0)&amp;"")-$Z107),SIGN(INDIRECT("Class Jobs!B"&amp;MATCH(E107,'Class Jobs'!$A$1:A1000,0)&amp;":"&amp;"AF"&amp;MATCH(E107,'Class Jobs'!$A$1:$A1000,0)&amp;"")-$Z107),0)),0)),INDIRECT("Class Jobs!B"&amp;MATCH(E107,'Class Jobs'!$A$1:$A1000,0)&amp;":"&amp;"AF"&amp;MATCH(E107,'Class Jobs'!$A$1:$A1000,1)&amp;""),'Class Jobs'!$B$1:$AF$1)</f>
        <v>#REF!</v>
      </c>
      <c r="Z107" s="158">
        <f t="shared" si="10"/>
        <v>0.22</v>
      </c>
      <c r="AA107" s="16" t="str">
        <f t="array" ref="AA107">INDEX(NPCGender,TRUNC(1+(COUNTA(NPCGender))*(TRUNC(MOD(($B107*1103515245 +12345)/ 65536, 32768),0)/32768),0))</f>
        <v>Male</v>
      </c>
      <c r="AB107" s="16" t="str">
        <f t="array" ref="AB107">INDEX(NPCRace,TRUNC(1+(COUNTA(NPCRace))*(TRUNC(MOD(($B107*1103515245 +12345)/ 65536, 32768),0)/32768),0))</f>
        <v>Elf</v>
      </c>
      <c r="AC107" s="16" t="str">
        <f t="array" ref="AC107">INDEX(NPCAL,TRUNC(1+(COUNTA(NPCAL))*(TRUNC(MOD(($B107*1103515245 +12345)/ 65536, 32768),0)/32768),0))</f>
        <v>CE</v>
      </c>
      <c r="AD107" s="72" t="str">
        <f ca="1">IFERROR(__xludf.DUMMYFUNCTION("if(V107&lt;15,QUERY(NPCVar!C:D,""Select D WHERE C = '""&amp;D107&amp;""'""),if((TRUNC(1+10)*(TRUNC(MOD((ROW(H107)*1103515245 +12345)/ 65536, 32768),0)/32768)/10) &gt; 0.85,INDEX(NPCFaction,TRUNC(1+(counta(NPCFaction)-1)*(TRUNC(MOD(($B107*1103515245 +12345)/ 65536, 3276"&amp;"8),0)/32768),0)),QUERY(NPCVar!C:D,""Select D WHERE C = '""&amp;D107&amp;""'"")))"),"Necromancer")</f>
        <v>Necromancer</v>
      </c>
      <c r="AE107" s="108" t="e">
        <f t="shared" ca="1" si="11"/>
        <v>#NAME?</v>
      </c>
      <c r="AF107" s="159">
        <f ca="1">IFERROR(__xludf.DUMMYFUNCTION("AE107*(V107 / QUERY(NPCVar!$K$2:$N$12, ""Select N WHERE K='""&amp;AB107&amp;""'""))*TRUNC(1+10)*(TRUNC(MOD(($B107*1103515245 +12345)/ 65536, 32768),0)/32768)"),0.108356781005859)</f>
        <v>0.10835678100585899</v>
      </c>
      <c r="AG107" s="16"/>
      <c r="AH107" s="77"/>
      <c r="AI107" s="114"/>
    </row>
    <row r="108" spans="1:35" ht="16.2">
      <c r="A108" s="53">
        <v>107</v>
      </c>
      <c r="B108" s="118">
        <f t="shared" si="14"/>
        <v>1.3662000000000001</v>
      </c>
      <c r="C108" s="72" t="str">
        <f t="array" ref="C108">INDEX(NPCFName,TRUNC(1+(COUNTA(NPCFName))*(TRUNC(MOD(($B108*1103515245 +12345)/ 65536, 32768),0)/32768),0))</f>
        <v>Brakdern</v>
      </c>
      <c r="D108" s="16" t="str">
        <f t="array" ref="D108">INDEX(NPCLName,TRUNC(1+(COUNTA(NPCLName))*(TRUNC(MOD(($B108*1103515245 +12345)/ 65536, 32768),0)/32768),0))</f>
        <v>Rockspell</v>
      </c>
      <c r="E108" s="16" t="str">
        <f t="array" ref="E108">INDEX(NPCClass,TRUNC(1+(COUNTA(NPCClass))*(TRUNC(MOD(($B108*1103515245 +12345)/ 65536, 32768),0)/32768),0))</f>
        <v>None</v>
      </c>
      <c r="F108" s="76">
        <v>8</v>
      </c>
      <c r="G108" s="153">
        <f ca="1">VLOOKUP($AB$2,'RF Mod'!$A$2:$G$12,2,FALSE)+VLOOKUP($AD$2,'RF Mod'!$I$2:$O$11,2,FALSE)+(TRUNC(6+(24-6)*(TRUNC(MOD(($Z108*1103515245 +12345)/ 65536, 32768),0)/32768),0))</f>
        <v>10</v>
      </c>
      <c r="H108" s="16" t="e">
        <f t="shared" ca="1" si="1"/>
        <v>#NAME?</v>
      </c>
      <c r="I108" s="153">
        <f ca="1">VLOOKUP($AB$2,'RF Mod'!$A$2:$G$12,3,FALSE)+VLOOKUP($AD$2,'RF Mod'!$I$2:$O$11,3,FALSE)+(TRUNC(6+(24-6)*(TRUNC(MOD(($Z108*1103515245 +12345)/ 65536, 32768),0)/32768),0))</f>
        <v>14</v>
      </c>
      <c r="J108" s="16" t="e">
        <f t="shared" ca="1" si="2"/>
        <v>#NAME?</v>
      </c>
      <c r="K108" s="153">
        <f ca="1">VLOOKUP($AB$2,'RF Mod'!$A$2:$G$12,3,FALSE)+VLOOKUP($AD$2,'RF Mod'!$I$2:$O$11,3,FALSE)+(TRUNC(6+(24-6)*(TRUNC(MOD(($Z108*1103515245 +12345)/ 65536, 32768),0)/32768),0))</f>
        <v>14</v>
      </c>
      <c r="L108" s="16" t="e">
        <f t="shared" ca="1" si="3"/>
        <v>#NAME?</v>
      </c>
      <c r="M108" s="153">
        <f ca="1">VLOOKUP($AB$2,'RF Mod'!$A$2:$G$12,4,FALSE)+VLOOKUP($AD$2,'RF Mod'!$I$2:$O$11,4,FALSE)+(TRUNC(6+(24-6)*(TRUNC(MOD(($Z108*1103515245 +12345)/ 65536, 32768),0)/32768),0))</f>
        <v>13</v>
      </c>
      <c r="N108" s="16" t="e">
        <f t="shared" ca="1" si="4"/>
        <v>#NAME?</v>
      </c>
      <c r="O108" s="153">
        <f ca="1">VLOOKUP($AB$2,'RF Mod'!$A$2:$G$12,5,FALSE)+VLOOKUP($AD$2,'RF Mod'!$I$2:$O$11,5,FALSE)+(TRUNC(6+(24-6)*(TRUNC(MOD(($Z108*1103515245 +12345)/ 65536, 32768),0)/32768),0))</f>
        <v>16</v>
      </c>
      <c r="P108" s="16" t="e">
        <f t="shared" ca="1" si="5"/>
        <v>#NAME?</v>
      </c>
      <c r="Q108" s="153">
        <f ca="1">VLOOKUP($AB$2,'RF Mod'!$A$2:$G$12,6,FALSE)+VLOOKUP($AD$2,'RF Mod'!$I$2:$O$11,6,FALSE)+(TRUNC(6+(24-6)*(TRUNC(MOD(($Z108*1103515245 +12345)/ 65536, 32768),0)/32768),0))</f>
        <v>14</v>
      </c>
      <c r="R108" s="16" t="e">
        <f t="shared" ca="1" si="6"/>
        <v>#NAME?</v>
      </c>
      <c r="S108" s="154">
        <f t="shared" ca="1" si="12"/>
        <v>224</v>
      </c>
      <c r="T108" s="154">
        <f t="shared" ca="1" si="7"/>
        <v>187</v>
      </c>
      <c r="U108" s="16" t="str">
        <f t="shared" ca="1" si="8"/>
        <v>Bloody</v>
      </c>
      <c r="V108" s="155">
        <f ca="1">IFERROR(__xludf.DUMMYFUNCTION("if(W108=""Middle Age"",QUERY(NPCVar!$K$2:$N1000, ""Select L where K = '""&amp;AB108&amp;""'""),if(W108=""Old"",QUERY(NPCVar!$K$2:$N1000, ""Select M where K = '""&amp;AB108&amp;""'""),if(W108=""Venerable"",QUERY(NPCVar!$K$2:$N1000, ""Select N where K = '""&amp;AB108&amp;""'""),fa"&amp;"lse)))*X108"),153)</f>
        <v>153</v>
      </c>
      <c r="W108" s="156" t="str">
        <f t="array" ref="W108">INDEX(NPCAgeType,TRUNC(1+(4-1)*(TRUNC(MOD((X108*1103515245 +12345)/ 65536, 32768),0)/32768),0))</f>
        <v>Venerable</v>
      </c>
      <c r="X108" s="117">
        <f t="shared" si="13"/>
        <v>1.7</v>
      </c>
      <c r="Y108" s="157" t="e">
        <f t="array" aca="1" ref="Y108" ca="1">LOOKUP(ABS(MAX(Z108 + MIN(ABS(INDIRECT("Class Jobs!B"&amp;MATCH(E108,'Class Jobs'!$A$1:$A1000,0)&amp;":"&amp;"AF"&amp;MATCH(E108,'Class Jobs'!$A$1:$A1000,0)&amp;"")-$Z108)) * SUM(IF(MIN(ABS(INDIRECT("Class Jobs!B"&amp;MATCH(E108,'Class Jobs'!$A$1:$A1000,0)&amp;":"&amp;"AF"&amp;MATCH(E108,'Class Jobs'!$A$1:$A1000,0)&amp;"")-$Z108))=ABS(INDIRECT("Class Jobs!B"&amp;MATCH(E108,'Class Jobs'!$A$1:$A1000,0)&amp;":"&amp;"AF"&amp;MATCH(E108,'Class Jobs'!$A$1:$A1000,0)&amp;"")-$Z108),SIGN(INDIRECT("Class Jobs!B"&amp;MATCH(E108,'Class Jobs'!$A$1:A1000,0)&amp;":"&amp;"AF"&amp;MATCH(E108,'Class Jobs'!$A$1:$A1000,0)&amp;"")-$Z108),0)),0)),INDIRECT("Class Jobs!B"&amp;MATCH(E108,'Class Jobs'!$A$1:$A1000,0)&amp;":"&amp;"AF"&amp;MATCH(E108,'Class Jobs'!$A$1:$A1000,1)&amp;""),'Class Jobs'!$B$1:$AF$1)</f>
        <v>#REF!</v>
      </c>
      <c r="Z108" s="158">
        <f t="shared" si="10"/>
        <v>0.7</v>
      </c>
      <c r="AA108" s="16" t="str">
        <f t="array" ref="AA108">INDEX(NPCGender,TRUNC(1+(COUNTA(NPCGender))*(TRUNC(MOD(($B108*1103515245 +12345)/ 65536, 32768),0)/32768),0))</f>
        <v>Neutral</v>
      </c>
      <c r="AB108" s="16" t="str">
        <f t="array" ref="AB108">INDEX(NPCRace,TRUNC(1+(COUNTA(NPCRace))*(TRUNC(MOD(($B108*1103515245 +12345)/ 65536, 32768),0)/32768),0))</f>
        <v>Human</v>
      </c>
      <c r="AC108" s="16" t="str">
        <f t="array" ref="AC108">INDEX(NPCAL,TRUNC(1+(COUNTA(NPCAL))*(TRUNC(MOD(($B108*1103515245 +12345)/ 65536, 32768),0)/32768),0))</f>
        <v>LG</v>
      </c>
      <c r="AD108" s="72" t="str">
        <f ca="1">IFERROR(__xludf.DUMMYFUNCTION("if(V108&lt;15,QUERY(NPCVar!C:D,""Select D WHERE C = '""&amp;D108&amp;""'""),if((TRUNC(1+10)*(TRUNC(MOD((ROW(H108)*1103515245 +12345)/ 65536, 32768),0)/32768)/10) &gt; 0.85,INDEX(NPCFaction,TRUNC(1+(counta(NPCFaction)-1)*(TRUNC(MOD(($B108*1103515245 +12345)/ 65536, 3276"&amp;"8),0)/32768),0)),QUERY(NPCVar!C:D,""Select D WHERE C = '""&amp;D108&amp;""'"")))"),"Traverlers Guild")</f>
        <v>Traverlers Guild</v>
      </c>
      <c r="AE108" s="108" t="e">
        <f t="shared" ca="1" si="11"/>
        <v>#NAME?</v>
      </c>
      <c r="AF108" s="159">
        <f ca="1">IFERROR(__xludf.DUMMYFUNCTION("AE108*(V108 / QUERY(NPCVar!$K$2:$N$12, ""Select N WHERE K='""&amp;AB108&amp;""'""))*TRUNC(1+10)*(TRUNC(MOD(($B108*1103515245 +12345)/ 65536, 32768),0)/32768)"),13.1278930664062)</f>
        <v>13.1278930664062</v>
      </c>
      <c r="AG108" s="16"/>
      <c r="AH108" s="77"/>
      <c r="AI108" s="114"/>
    </row>
    <row r="109" spans="1:35" ht="16.2">
      <c r="A109" s="53">
        <v>108</v>
      </c>
      <c r="B109" s="118">
        <f t="shared" si="14"/>
        <v>0.36033999999999999</v>
      </c>
      <c r="C109" s="72" t="str">
        <f t="array" ref="C109">INDEX(NPCFName,TRUNC(1+(COUNTA(NPCFName))*(TRUNC(MOD(($B109*1103515245 +12345)/ 65536, 32768),0)/32768),0))</f>
        <v>Markdoon</v>
      </c>
      <c r="D109" s="16" t="str">
        <f t="array" ref="D109">INDEX(NPCLName,TRUNC(1+(COUNTA(NPCLName))*(TRUNC(MOD(($B109*1103515245 +12345)/ 65536, 32768),0)/32768),0))</f>
        <v>Ashcloud</v>
      </c>
      <c r="E109" s="16" t="str">
        <f t="array" ref="E109">INDEX(NPCClass,TRUNC(1+(COUNTA(NPCClass))*(TRUNC(MOD(($B109*1103515245 +12345)/ 65536, 32768),0)/32768),0))</f>
        <v>Druid</v>
      </c>
      <c r="F109" s="76">
        <v>1</v>
      </c>
      <c r="G109" s="153">
        <f ca="1">VLOOKUP($AB$2,'RF Mod'!$A$2:$G$12,2,FALSE)+VLOOKUP($AD$2,'RF Mod'!$I$2:$O$11,2,FALSE)+(TRUNC(6+(24-6)*(TRUNC(MOD(($Z109*1103515245 +12345)/ 65536, 32768),0)/32768),0))</f>
        <v>5</v>
      </c>
      <c r="H109" s="16">
        <f t="shared" ca="1" si="1"/>
        <v>-3</v>
      </c>
      <c r="I109" s="153">
        <f ca="1">VLOOKUP($AB$2,'RF Mod'!$A$2:$G$12,3,FALSE)+VLOOKUP($AD$2,'RF Mod'!$I$2:$O$11,3,FALSE)+(TRUNC(6+(24-6)*(TRUNC(MOD(($Z109*1103515245 +12345)/ 65536, 32768),0)/32768),0))</f>
        <v>9</v>
      </c>
      <c r="J109" s="16">
        <f t="shared" ca="1" si="2"/>
        <v>-1</v>
      </c>
      <c r="K109" s="153">
        <f ca="1">VLOOKUP($AB$2,'RF Mod'!$A$2:$G$12,3,FALSE)+VLOOKUP($AD$2,'RF Mod'!$I$2:$O$11,3,FALSE)+(TRUNC(6+(24-6)*(TRUNC(MOD(($Z109*1103515245 +12345)/ 65536, 32768),0)/32768),0))</f>
        <v>9</v>
      </c>
      <c r="L109" s="16">
        <f t="shared" ca="1" si="3"/>
        <v>-1</v>
      </c>
      <c r="M109" s="153">
        <f ca="1">VLOOKUP($AB$2,'RF Mod'!$A$2:$G$12,4,FALSE)+VLOOKUP($AD$2,'RF Mod'!$I$2:$O$11,4,FALSE)+(TRUNC(6+(24-6)*(TRUNC(MOD(($Z109*1103515245 +12345)/ 65536, 32768),0)/32768),0))</f>
        <v>8</v>
      </c>
      <c r="N109" s="16">
        <f t="shared" ca="1" si="4"/>
        <v>-1</v>
      </c>
      <c r="O109" s="153">
        <f ca="1">VLOOKUP($AB$2,'RF Mod'!$A$2:$G$12,5,FALSE)+VLOOKUP($AD$2,'RF Mod'!$I$2:$O$11,5,FALSE)+(TRUNC(6+(24-6)*(TRUNC(MOD(($Z109*1103515245 +12345)/ 65536, 32768),0)/32768),0))</f>
        <v>11</v>
      </c>
      <c r="P109" s="16" t="e">
        <f t="shared" ca="1" si="5"/>
        <v>#NAME?</v>
      </c>
      <c r="Q109" s="153">
        <f ca="1">VLOOKUP($AB$2,'RF Mod'!$A$2:$G$12,6,FALSE)+VLOOKUP($AD$2,'RF Mod'!$I$2:$O$11,6,FALSE)+(TRUNC(6+(24-6)*(TRUNC(MOD(($Z109*1103515245 +12345)/ 65536, 32768),0)/32768),0))</f>
        <v>9</v>
      </c>
      <c r="R109" s="16">
        <f t="shared" ca="1" si="6"/>
        <v>-1</v>
      </c>
      <c r="S109" s="154">
        <f t="shared" ca="1" si="12"/>
        <v>11</v>
      </c>
      <c r="T109" s="154">
        <f t="shared" ca="1" si="7"/>
        <v>8</v>
      </c>
      <c r="U109" s="16" t="str">
        <f t="shared" ca="1" si="8"/>
        <v>Bloody</v>
      </c>
      <c r="V109" s="155">
        <f ca="1">IFERROR(__xludf.DUMMYFUNCTION("if(W109=""Middle Age"",QUERY(NPCVar!$K$2:$N1000, ""Select L where K = '""&amp;AB109&amp;""'""),if(W109=""Old"",QUERY(NPCVar!$K$2:$N1000, ""Select M where K = '""&amp;AB109&amp;""'""),if(W109=""Venerable"",QUERY(NPCVar!$K$2:$N1000, ""Select N where K = '""&amp;AB109&amp;""'""),fa"&amp;"lse)))*X109"),93.75)</f>
        <v>93.75</v>
      </c>
      <c r="W109" s="156" t="str">
        <f t="array" ref="W109">INDEX(NPCAgeType,TRUNC(1+(4-1)*(TRUNC(MOD((X109*1103515245 +12345)/ 65536, 32768),0)/32768),0))</f>
        <v>Middle Age</v>
      </c>
      <c r="X109" s="117">
        <f t="shared" si="13"/>
        <v>0.5</v>
      </c>
      <c r="Y109" s="157" t="e">
        <f t="array" aca="1" ref="Y109" ca="1">LOOKUP(ABS(MAX(Z109 + MIN(ABS(INDIRECT("Class Jobs!B"&amp;MATCH(E109,'Class Jobs'!$A$1:$A1000,0)&amp;":"&amp;"AF"&amp;MATCH(E109,'Class Jobs'!$A$1:$A1000,0)&amp;"")-$Z109)) * SUM(IF(MIN(ABS(INDIRECT("Class Jobs!B"&amp;MATCH(E109,'Class Jobs'!$A$1:$A1000,0)&amp;":"&amp;"AF"&amp;MATCH(E109,'Class Jobs'!$A$1:$A1000,0)&amp;"")-$Z109))=ABS(INDIRECT("Class Jobs!B"&amp;MATCH(E109,'Class Jobs'!$A$1:$A1000,0)&amp;":"&amp;"AF"&amp;MATCH(E109,'Class Jobs'!$A$1:$A1000,0)&amp;"")-$Z109),SIGN(INDIRECT("Class Jobs!B"&amp;MATCH(E109,'Class Jobs'!$A$1:A1000,0)&amp;":"&amp;"AF"&amp;MATCH(E109,'Class Jobs'!$A$1:$A1000,0)&amp;"")-$Z109),0)),0)),INDIRECT("Class Jobs!B"&amp;MATCH(E109,'Class Jobs'!$A$1:$A1000,0)&amp;":"&amp;"AF"&amp;MATCH(E109,'Class Jobs'!$A$1:$A1000,1)&amp;""),'Class Jobs'!$B$1:$AF$1)</f>
        <v>#REF!</v>
      </c>
      <c r="Z109" s="158">
        <f t="shared" si="10"/>
        <v>0.19</v>
      </c>
      <c r="AA109" s="16" t="str">
        <f t="array" ref="AA109">INDEX(NPCGender,TRUNC(1+(COUNTA(NPCGender))*(TRUNC(MOD(($B109*1103515245 +12345)/ 65536, 32768),0)/32768),0))</f>
        <v>Male</v>
      </c>
      <c r="AB109" s="16" t="str">
        <f t="array" ref="AB109">INDEX(NPCRace,TRUNC(1+(COUNTA(NPCRace))*(TRUNC(MOD(($B109*1103515245 +12345)/ 65536, 32768),0)/32768),0))</f>
        <v>Elf</v>
      </c>
      <c r="AC109" s="16" t="str">
        <f t="array" ref="AC109">INDEX(NPCAL,TRUNC(1+(COUNTA(NPCAL))*(TRUNC(MOD(($B109*1103515245 +12345)/ 65536, 32768),0)/32768),0))</f>
        <v>CE</v>
      </c>
      <c r="AD109" s="72" t="str">
        <f ca="1">IFERROR(__xludf.DUMMYFUNCTION("if(V109&lt;15,QUERY(NPCVar!C:D,""Select D WHERE C = '""&amp;D109&amp;""'""),if((TRUNC(1+10)*(TRUNC(MOD((ROW(H109)*1103515245 +12345)/ 65536, 32768),0)/32768)/10) &gt; 0.85,INDEX(NPCFaction,TRUNC(1+(counta(NPCFaction)-1)*(TRUNC(MOD(($B109*1103515245 +12345)/ 65536, 3276"&amp;"8),0)/32768),0)),QUERY(NPCVar!C:D,""Select D WHERE C = '""&amp;D109&amp;""'"")))"),"Magic Guild")</f>
        <v>Magic Guild</v>
      </c>
      <c r="AE109" s="108" t="e">
        <f t="shared" ca="1" si="11"/>
        <v>#NAME?</v>
      </c>
      <c r="AF109" s="159">
        <f ca="1">IFERROR(__xludf.DUMMYFUNCTION("AE109*(V109 / QUERY(NPCVar!$K$2:$N$12, ""Select N WHERE K='""&amp;AB109&amp;""'""))*TRUNC(1+10)*(TRUNC(MOD(($B109*1103515245 +12345)/ 65536, 32768),0)/32768)"),0.0509162902832031)</f>
        <v>5.0916290283203103E-2</v>
      </c>
      <c r="AG109" s="16"/>
      <c r="AH109" s="77"/>
      <c r="AI109" s="114"/>
    </row>
    <row r="110" spans="1:35" ht="16.2">
      <c r="A110" s="53">
        <v>109</v>
      </c>
      <c r="B110" s="118">
        <f t="shared" si="14"/>
        <v>1.8544700000000001</v>
      </c>
      <c r="C110" s="72" t="str">
        <f t="array" ref="C110">INDEX(NPCFName,TRUNC(1+(COUNTA(NPCFName))*(TRUNC(MOD(($B110*1103515245 +12345)/ 65536, 32768),0)/32768),0))</f>
        <v>Tol’Solie</v>
      </c>
      <c r="D110" s="16" t="str">
        <f t="array" ref="D110">INDEX(NPCLName,TRUNC(1+(COUNTA(NPCLName))*(TRUNC(MOD(($B110*1103515245 +12345)/ 65536, 32768),0)/32768),0))</f>
        <v>Marblearm</v>
      </c>
      <c r="E110" s="16" t="str">
        <f t="array" ref="E110">INDEX(NPCClass,TRUNC(1+(COUNTA(NPCClass))*(TRUNC(MOD(($B110*1103515245 +12345)/ 65536, 32768),0)/32768),0))</f>
        <v>Wizard</v>
      </c>
      <c r="F110" s="76">
        <v>8</v>
      </c>
      <c r="G110" s="153">
        <f ca="1">VLOOKUP($AB$2,'RF Mod'!$A$2:$G$12,2,FALSE)+VLOOKUP($AD$2,'RF Mod'!$I$2:$O$11,2,FALSE)+(TRUNC(6+(24-6)*(TRUNC(MOD(($Z110*1103515245 +12345)/ 65536, 32768),0)/32768),0))</f>
        <v>12</v>
      </c>
      <c r="H110" s="16" t="e">
        <f t="shared" ca="1" si="1"/>
        <v>#NAME?</v>
      </c>
      <c r="I110" s="153">
        <f ca="1">VLOOKUP($AB$2,'RF Mod'!$A$2:$G$12,3,FALSE)+VLOOKUP($AD$2,'RF Mod'!$I$2:$O$11,3,FALSE)+(TRUNC(6+(24-6)*(TRUNC(MOD(($Z110*1103515245 +12345)/ 65536, 32768),0)/32768),0))</f>
        <v>16</v>
      </c>
      <c r="J110" s="16" t="e">
        <f t="shared" ca="1" si="2"/>
        <v>#NAME?</v>
      </c>
      <c r="K110" s="153">
        <f ca="1">VLOOKUP($AB$2,'RF Mod'!$A$2:$G$12,3,FALSE)+VLOOKUP($AD$2,'RF Mod'!$I$2:$O$11,3,FALSE)+(TRUNC(6+(24-6)*(TRUNC(MOD(($Z110*1103515245 +12345)/ 65536, 32768),0)/32768),0))</f>
        <v>16</v>
      </c>
      <c r="L110" s="16" t="e">
        <f t="shared" ca="1" si="3"/>
        <v>#NAME?</v>
      </c>
      <c r="M110" s="153">
        <f ca="1">VLOOKUP($AB$2,'RF Mod'!$A$2:$G$12,4,FALSE)+VLOOKUP($AD$2,'RF Mod'!$I$2:$O$11,4,FALSE)+(TRUNC(6+(24-6)*(TRUNC(MOD(($Z110*1103515245 +12345)/ 65536, 32768),0)/32768),0))</f>
        <v>15</v>
      </c>
      <c r="N110" s="16" t="e">
        <f t="shared" ca="1" si="4"/>
        <v>#NAME?</v>
      </c>
      <c r="O110" s="153">
        <f ca="1">VLOOKUP($AB$2,'RF Mod'!$A$2:$G$12,5,FALSE)+VLOOKUP($AD$2,'RF Mod'!$I$2:$O$11,5,FALSE)+(TRUNC(6+(24-6)*(TRUNC(MOD(($Z110*1103515245 +12345)/ 65536, 32768),0)/32768),0))</f>
        <v>18</v>
      </c>
      <c r="P110" s="16" t="e">
        <f t="shared" ca="1" si="5"/>
        <v>#NAME?</v>
      </c>
      <c r="Q110" s="153">
        <f ca="1">VLOOKUP($AB$2,'RF Mod'!$A$2:$G$12,6,FALSE)+VLOOKUP($AD$2,'RF Mod'!$I$2:$O$11,6,FALSE)+(TRUNC(6+(24-6)*(TRUNC(MOD(($Z110*1103515245 +12345)/ 65536, 32768),0)/32768),0))</f>
        <v>16</v>
      </c>
      <c r="R110" s="16" t="e">
        <f t="shared" ca="1" si="6"/>
        <v>#NAME?</v>
      </c>
      <c r="S110" s="154">
        <f t="shared" ca="1" si="12"/>
        <v>224</v>
      </c>
      <c r="T110" s="154">
        <f t="shared" ca="1" si="7"/>
        <v>108</v>
      </c>
      <c r="U110" s="16" t="str">
        <f t="shared" ca="1" si="8"/>
        <v>Fine</v>
      </c>
      <c r="V110" s="155">
        <f ca="1">IFERROR(__xludf.DUMMYFUNCTION("if(W110=""Middle Age"",QUERY(NPCVar!$K$2:$N1000, ""Select L where K = '""&amp;AB110&amp;""'""),if(W110=""Old"",QUERY(NPCVar!$K$2:$N1000, ""Select M where K = '""&amp;AB110&amp;""'""),if(W110=""Venerable"",QUERY(NPCVar!$K$2:$N1000, ""Select N where K = '""&amp;AB110&amp;""'""),fa"&amp;"lse)))*X110"),69)</f>
        <v>69</v>
      </c>
      <c r="W110" s="156" t="str">
        <f t="array" ref="W110">INDEX(NPCAgeType,TRUNC(1+(4-1)*(TRUNC(MOD((X110*1103515245 +12345)/ 65536, 32768),0)/32768),0))</f>
        <v>Middle Age</v>
      </c>
      <c r="X110" s="117">
        <f t="shared" si="13"/>
        <v>2.2999999999999998</v>
      </c>
      <c r="Y110" s="157" t="e">
        <f t="array" aca="1" ref="Y110" ca="1">LOOKUP(ABS(MAX(Z110 + MIN(ABS(INDIRECT("Class Jobs!B"&amp;MATCH(E110,'Class Jobs'!$A$1:$A1000,0)&amp;":"&amp;"AF"&amp;MATCH(E110,'Class Jobs'!$A$1:$A1000,0)&amp;"")-$Z110)) * SUM(IF(MIN(ABS(INDIRECT("Class Jobs!B"&amp;MATCH(E110,'Class Jobs'!$A$1:$A1000,0)&amp;":"&amp;"AF"&amp;MATCH(E110,'Class Jobs'!$A$1:$A1000,0)&amp;"")-$Z110))=ABS(INDIRECT("Class Jobs!B"&amp;MATCH(E110,'Class Jobs'!$A$1:$A1000,0)&amp;":"&amp;"AF"&amp;MATCH(E110,'Class Jobs'!$A$1:$A1000,0)&amp;"")-$Z110),SIGN(INDIRECT("Class Jobs!B"&amp;MATCH(E110,'Class Jobs'!$A$1:A1000,0)&amp;":"&amp;"AF"&amp;MATCH(E110,'Class Jobs'!$A$1:$A1000,0)&amp;"")-$Z110),0)),0)),INDIRECT("Class Jobs!B"&amp;MATCH(E110,'Class Jobs'!$A$1:$A1000,0)&amp;":"&amp;"AF"&amp;MATCH(E110,'Class Jobs'!$A$1:$A1000,1)&amp;""),'Class Jobs'!$B$1:$AF$1)</f>
        <v>#REF!</v>
      </c>
      <c r="Z110" s="158">
        <f t="shared" si="10"/>
        <v>0.95</v>
      </c>
      <c r="AA110" s="16" t="str">
        <f t="array" ref="AA110">INDEX(NPCGender,TRUNC(1+(COUNTA(NPCGender))*(TRUNC(MOD(($B110*1103515245 +12345)/ 65536, 32768),0)/32768),0))</f>
        <v>Neutral</v>
      </c>
      <c r="AB110" s="16" t="str">
        <f t="array" ref="AB110">INDEX(NPCRace,TRUNC(1+(COUNTA(NPCRace))*(TRUNC(MOD(($B110*1103515245 +12345)/ 65536, 32768),0)/32768),0))</f>
        <v>Goliath</v>
      </c>
      <c r="AC110" s="16" t="str">
        <f t="array" ref="AC110">INDEX(NPCAL,TRUNC(1+(COUNTA(NPCAL))*(TRUNC(MOD(($B110*1103515245 +12345)/ 65536, 32768),0)/32768),0))</f>
        <v>LE</v>
      </c>
      <c r="AD110" s="72" t="str">
        <f ca="1">IFERROR(__xludf.DUMMYFUNCTION("if(V110&lt;15,QUERY(NPCVar!C:D,""Select D WHERE C = '""&amp;D110&amp;""'""),if((TRUNC(1+10)*(TRUNC(MOD((ROW(H110)*1103515245 +12345)/ 65536, 32768),0)/32768)/10) &gt; 0.85,INDEX(NPCFaction,TRUNC(1+(counta(NPCFaction)-1)*(TRUNC(MOD(($B110*1103515245 +12345)/ 65536, 3276"&amp;"8),0)/32768),0)),QUERY(NPCVar!C:D,""Select D WHERE C = '""&amp;D110&amp;""'"")))"),"Thieves Guild")</f>
        <v>Thieves Guild</v>
      </c>
      <c r="AE110" s="108" t="e">
        <f t="shared" ca="1" si="11"/>
        <v>#NAME?</v>
      </c>
      <c r="AF110" s="159">
        <f ca="1">IFERROR(__xludf.DUMMYFUNCTION("AE110*(V110 / QUERY(NPCVar!$K$2:$N$12, ""Select N WHERE K='""&amp;AB110&amp;""'""))*TRUNC(1+10)*(TRUNC(MOD(($B110*1103515245 +12345)/ 65536, 32768),0)/32768)"),1.20547149658203)</f>
        <v>1.2054714965820299</v>
      </c>
      <c r="AG110" s="16"/>
      <c r="AH110" s="77"/>
      <c r="AI110" s="114"/>
    </row>
    <row r="111" spans="1:35" ht="16.2">
      <c r="A111" s="53">
        <v>110</v>
      </c>
      <c r="B111" s="118">
        <f t="shared" si="14"/>
        <v>0.84853999999999996</v>
      </c>
      <c r="C111" s="72" t="str">
        <f t="array" ref="C111">INDEX(NPCFName,TRUNC(1+(COUNTA(NPCFName))*(TRUNC(MOD(($B111*1103515245 +12345)/ 65536, 32768),0)/32768),0))</f>
        <v>Eythil</v>
      </c>
      <c r="D111" s="16" t="str">
        <f t="array" ref="D111">INDEX(NPCLName,TRUNC(1+(COUNTA(NPCLName))*(TRUNC(MOD(($B111*1103515245 +12345)/ 65536, 32768),0)/32768),0))</f>
        <v>Saurflame</v>
      </c>
      <c r="E111" s="16" t="str">
        <f t="array" ref="E111">INDEX(NPCClass,TRUNC(1+(COUNTA(NPCClass))*(TRUNC(MOD(($B111*1103515245 +12345)/ 65536, 32768),0)/32768),0))</f>
        <v>Ranger</v>
      </c>
      <c r="F111" s="76">
        <v>6</v>
      </c>
      <c r="G111" s="153">
        <f ca="1">VLOOKUP($AB$2,'RF Mod'!$A$2:$G$12,2,FALSE)+VLOOKUP($AD$2,'RF Mod'!$I$2:$O$11,2,FALSE)+(TRUNC(6+(24-6)*(TRUNC(MOD(($Z111*1103515245 +12345)/ 65536, 32768),0)/32768),0))</f>
        <v>8</v>
      </c>
      <c r="H111" s="16">
        <f t="shared" ca="1" si="1"/>
        <v>-1</v>
      </c>
      <c r="I111" s="153">
        <f ca="1">VLOOKUP($AB$2,'RF Mod'!$A$2:$G$12,3,FALSE)+VLOOKUP($AD$2,'RF Mod'!$I$2:$O$11,3,FALSE)+(TRUNC(6+(24-6)*(TRUNC(MOD(($Z111*1103515245 +12345)/ 65536, 32768),0)/32768),0))</f>
        <v>12</v>
      </c>
      <c r="J111" s="16" t="e">
        <f t="shared" ca="1" si="2"/>
        <v>#NAME?</v>
      </c>
      <c r="K111" s="153">
        <f ca="1">VLOOKUP($AB$2,'RF Mod'!$A$2:$G$12,3,FALSE)+VLOOKUP($AD$2,'RF Mod'!$I$2:$O$11,3,FALSE)+(TRUNC(6+(24-6)*(TRUNC(MOD(($Z111*1103515245 +12345)/ 65536, 32768),0)/32768),0))</f>
        <v>12</v>
      </c>
      <c r="L111" s="16" t="e">
        <f t="shared" ca="1" si="3"/>
        <v>#NAME?</v>
      </c>
      <c r="M111" s="153">
        <f ca="1">VLOOKUP($AB$2,'RF Mod'!$A$2:$G$12,4,FALSE)+VLOOKUP($AD$2,'RF Mod'!$I$2:$O$11,4,FALSE)+(TRUNC(6+(24-6)*(TRUNC(MOD(($Z111*1103515245 +12345)/ 65536, 32768),0)/32768),0))</f>
        <v>11</v>
      </c>
      <c r="N111" s="16" t="e">
        <f t="shared" ca="1" si="4"/>
        <v>#NAME?</v>
      </c>
      <c r="O111" s="153">
        <f ca="1">VLOOKUP($AB$2,'RF Mod'!$A$2:$G$12,5,FALSE)+VLOOKUP($AD$2,'RF Mod'!$I$2:$O$11,5,FALSE)+(TRUNC(6+(24-6)*(TRUNC(MOD(($Z111*1103515245 +12345)/ 65536, 32768),0)/32768),0))</f>
        <v>14</v>
      </c>
      <c r="P111" s="16" t="e">
        <f t="shared" ca="1" si="5"/>
        <v>#NAME?</v>
      </c>
      <c r="Q111" s="153">
        <f ca="1">VLOOKUP($AB$2,'RF Mod'!$A$2:$G$12,6,FALSE)+VLOOKUP($AD$2,'RF Mod'!$I$2:$O$11,6,FALSE)+(TRUNC(6+(24-6)*(TRUNC(MOD(($Z111*1103515245 +12345)/ 65536, 32768),0)/32768),0))</f>
        <v>12</v>
      </c>
      <c r="R111" s="16" t="e">
        <f t="shared" ca="1" si="6"/>
        <v>#NAME?</v>
      </c>
      <c r="S111" s="154">
        <f t="shared" ca="1" si="12"/>
        <v>144</v>
      </c>
      <c r="T111" s="154">
        <f t="shared" ca="1" si="7"/>
        <v>68</v>
      </c>
      <c r="U111" s="16" t="str">
        <f t="shared" ca="1" si="8"/>
        <v>Fine</v>
      </c>
      <c r="V111" s="155">
        <f ca="1">IFERROR(__xludf.DUMMYFUNCTION("if(W111=""Middle Age"",QUERY(NPCVar!$K$2:$N1000, ""Select L where K = '""&amp;AB111&amp;""'""),if(W111=""Old"",QUERY(NPCVar!$K$2:$N1000, ""Select M where K = '""&amp;AB111&amp;""'""),if(W111=""Venerable"",QUERY(NPCVar!$K$2:$N1000, ""Select N where K = '""&amp;AB111&amp;""'""),fa"&amp;"lse)))*X111"),74.25)</f>
        <v>74.25</v>
      </c>
      <c r="W111" s="156" t="str">
        <f t="array" ref="W111">INDEX(NPCAgeType,TRUNC(1+(4-1)*(TRUNC(MOD((X111*1103515245 +12345)/ 65536, 32768),0)/32768),0))</f>
        <v>Old</v>
      </c>
      <c r="X111" s="117">
        <f t="shared" si="13"/>
        <v>1.1000000000000001</v>
      </c>
      <c r="Y111" s="157" t="e">
        <f t="array" aca="1" ref="Y111" ca="1">LOOKUP(ABS(MAX(Z111 + MIN(ABS(INDIRECT("Class Jobs!B"&amp;MATCH(E111,'Class Jobs'!$A$1:$A1000,0)&amp;":"&amp;"AF"&amp;MATCH(E111,'Class Jobs'!$A$1:$A1000,0)&amp;"")-$Z111)) * SUM(IF(MIN(ABS(INDIRECT("Class Jobs!B"&amp;MATCH(E111,'Class Jobs'!$A$1:$A1000,0)&amp;":"&amp;"AF"&amp;MATCH(E111,'Class Jobs'!$A$1:$A1000,0)&amp;"")-$Z111))=ABS(INDIRECT("Class Jobs!B"&amp;MATCH(E111,'Class Jobs'!$A$1:$A1000,0)&amp;":"&amp;"AF"&amp;MATCH(E111,'Class Jobs'!$A$1:$A1000,0)&amp;"")-$Z111),SIGN(INDIRECT("Class Jobs!B"&amp;MATCH(E111,'Class Jobs'!$A$1:A1000,0)&amp;":"&amp;"AF"&amp;MATCH(E111,'Class Jobs'!$A$1:$A1000,0)&amp;"")-$Z111),0)),0)),INDIRECT("Class Jobs!B"&amp;MATCH(E111,'Class Jobs'!$A$1:$A1000,0)&amp;":"&amp;"AF"&amp;MATCH(E111,'Class Jobs'!$A$1:$A1000,1)&amp;""),'Class Jobs'!$B$1:$AF$1)</f>
        <v>#REF!</v>
      </c>
      <c r="Z111" s="158">
        <f t="shared" si="10"/>
        <v>0.44</v>
      </c>
      <c r="AA111" s="16" t="str">
        <f t="array" ref="AA111">INDEX(NPCGender,TRUNC(1+(COUNTA(NPCGender))*(TRUNC(MOD(($B111*1103515245 +12345)/ 65536, 32768),0)/32768),0))</f>
        <v>Female</v>
      </c>
      <c r="AB111" s="16" t="str">
        <f t="array" ref="AB111">INDEX(NPCRace,TRUNC(1+(COUNTA(NPCRace))*(TRUNC(MOD(($B111*1103515245 +12345)/ 65536, 32768),0)/32768),0))</f>
        <v>Half-Elf</v>
      </c>
      <c r="AC111" s="16" t="str">
        <f t="array" ref="AC111">INDEX(NPCAL,TRUNC(1+(COUNTA(NPCAL))*(TRUNC(MOD(($B111*1103515245 +12345)/ 65536, 32768),0)/32768),0))</f>
        <v>NG</v>
      </c>
      <c r="AD111" s="72" t="str">
        <f ca="1">IFERROR(__xludf.DUMMYFUNCTION("if(V111&lt;15,QUERY(NPCVar!C:D,""Select D WHERE C = '""&amp;D111&amp;""'""),if((TRUNC(1+10)*(TRUNC(MOD((ROW(H111)*1103515245 +12345)/ 65536, 32768),0)/32768)/10) &gt; 0.85,INDEX(NPCFaction,TRUNC(1+(counta(NPCFaction)-1)*(TRUNC(MOD(($B111*1103515245 +12345)/ 65536, 3276"&amp;"8),0)/32768),0)),QUERY(NPCVar!C:D,""Select D WHERE C = '""&amp;D111&amp;""'"")))"),"Farmers Guild")</f>
        <v>Farmers Guild</v>
      </c>
      <c r="AE111" s="108" t="e">
        <f t="shared" ca="1" si="11"/>
        <v>#NAME?</v>
      </c>
      <c r="AF111" s="159">
        <f ca="1">IFERROR(__xludf.DUMMYFUNCTION("AE111*(V111 / QUERY(NPCVar!$K$2:$N$12, ""Select N WHERE K='""&amp;AB111&amp;""'""))*TRUNC(1+10)*(TRUNC(MOD(($B111*1103515245 +12345)/ 65536, 32768),0)/32768)"),1.18710571289062)</f>
        <v>1.1871057128906199</v>
      </c>
      <c r="AG111" s="16"/>
      <c r="AH111" s="77"/>
      <c r="AI111" s="114"/>
    </row>
    <row r="112" spans="1:35" ht="16.2">
      <c r="A112" s="53">
        <v>111</v>
      </c>
      <c r="B112" s="118">
        <f t="shared" si="14"/>
        <v>2.3426800000000001</v>
      </c>
      <c r="C112" s="72" t="str">
        <f t="array" ref="C112">INDEX(NPCFName,TRUNC(1+(COUNTA(NPCFName))*(TRUNC(MOD(($B112*1103515245 +12345)/ 65536, 32768),0)/32768),0))</f>
        <v>Naphates</v>
      </c>
      <c r="D112" s="16" t="str">
        <f t="array" ref="D112">INDEX(NPCLName,TRUNC(1+(COUNTA(NPCLName))*(TRUNC(MOD(($B112*1103515245 +12345)/ 65536, 32768),0)/32768),0))</f>
        <v>Stillsun</v>
      </c>
      <c r="E112" s="16" t="str">
        <f t="array" ref="E112">INDEX(NPCClass,TRUNC(1+(COUNTA(NPCClass))*(TRUNC(MOD(($B112*1103515245 +12345)/ 65536, 32768),0)/32768),0))</f>
        <v>Druid</v>
      </c>
      <c r="F112" s="76">
        <v>1</v>
      </c>
      <c r="G112" s="153">
        <f ca="1">VLOOKUP($AB$2,'RF Mod'!$A$2:$G$12,2,FALSE)+VLOOKUP($AD$2,'RF Mod'!$I$2:$O$11,2,FALSE)+(TRUNC(6+(24-6)*(TRUNC(MOD(($Z112*1103515245 +12345)/ 65536, 32768),0)/32768),0))</f>
        <v>5</v>
      </c>
      <c r="H112" s="16">
        <f t="shared" ca="1" si="1"/>
        <v>-3</v>
      </c>
      <c r="I112" s="153">
        <f ca="1">VLOOKUP($AB$2,'RF Mod'!$A$2:$G$12,3,FALSE)+VLOOKUP($AD$2,'RF Mod'!$I$2:$O$11,3,FALSE)+(TRUNC(6+(24-6)*(TRUNC(MOD(($Z112*1103515245 +12345)/ 65536, 32768),0)/32768),0))</f>
        <v>9</v>
      </c>
      <c r="J112" s="16">
        <f t="shared" ca="1" si="2"/>
        <v>-1</v>
      </c>
      <c r="K112" s="153">
        <f ca="1">VLOOKUP($AB$2,'RF Mod'!$A$2:$G$12,3,FALSE)+VLOOKUP($AD$2,'RF Mod'!$I$2:$O$11,3,FALSE)+(TRUNC(6+(24-6)*(TRUNC(MOD(($Z112*1103515245 +12345)/ 65536, 32768),0)/32768),0))</f>
        <v>9</v>
      </c>
      <c r="L112" s="16">
        <f t="shared" ca="1" si="3"/>
        <v>-1</v>
      </c>
      <c r="M112" s="153">
        <f ca="1">VLOOKUP($AB$2,'RF Mod'!$A$2:$G$12,4,FALSE)+VLOOKUP($AD$2,'RF Mod'!$I$2:$O$11,4,FALSE)+(TRUNC(6+(24-6)*(TRUNC(MOD(($Z112*1103515245 +12345)/ 65536, 32768),0)/32768),0))</f>
        <v>8</v>
      </c>
      <c r="N112" s="16">
        <f t="shared" ca="1" si="4"/>
        <v>-1</v>
      </c>
      <c r="O112" s="153">
        <f ca="1">VLOOKUP($AB$2,'RF Mod'!$A$2:$G$12,5,FALSE)+VLOOKUP($AD$2,'RF Mod'!$I$2:$O$11,5,FALSE)+(TRUNC(6+(24-6)*(TRUNC(MOD(($Z112*1103515245 +12345)/ 65536, 32768),0)/32768),0))</f>
        <v>11</v>
      </c>
      <c r="P112" s="16" t="e">
        <f t="shared" ca="1" si="5"/>
        <v>#NAME?</v>
      </c>
      <c r="Q112" s="153">
        <f ca="1">VLOOKUP($AB$2,'RF Mod'!$A$2:$G$12,6,FALSE)+VLOOKUP($AD$2,'RF Mod'!$I$2:$O$11,6,FALSE)+(TRUNC(6+(24-6)*(TRUNC(MOD(($Z112*1103515245 +12345)/ 65536, 32768),0)/32768),0))</f>
        <v>9</v>
      </c>
      <c r="R112" s="16">
        <f t="shared" ca="1" si="6"/>
        <v>-1</v>
      </c>
      <c r="S112" s="154">
        <f t="shared" ca="1" si="12"/>
        <v>27</v>
      </c>
      <c r="T112" s="154">
        <f t="shared" ca="1" si="7"/>
        <v>16</v>
      </c>
      <c r="U112" s="16" t="str">
        <f t="shared" ca="1" si="8"/>
        <v>Bloody</v>
      </c>
      <c r="V112" s="155">
        <f ca="1">IFERROR(__xludf.DUMMYFUNCTION("if(W112=""Middle Age"",QUERY(NPCVar!$K$2:$N1000, ""Select L where K = '""&amp;AB112&amp;""'""),if(W112=""Old"",QUERY(NPCVar!$K$2:$N1000, ""Select M where K = '""&amp;AB112&amp;""'""),if(W112=""Venerable"",QUERY(NPCVar!$K$2:$N1000, ""Select N where K = '""&amp;AB112&amp;""'""),fa"&amp;"lse)))*X112"),93.75)</f>
        <v>93.75</v>
      </c>
      <c r="W112" s="156" t="str">
        <f t="array" ref="W112">INDEX(NPCAgeType,TRUNC(1+(4-1)*(TRUNC(MOD((X112*1103515245 +12345)/ 65536, 32768),0)/32768),0))</f>
        <v>Middle Age</v>
      </c>
      <c r="X112" s="117">
        <f t="shared" si="13"/>
        <v>0.5</v>
      </c>
      <c r="Y112" s="157" t="e">
        <f t="array" aca="1" ref="Y112" ca="1">LOOKUP(ABS(MAX(Z112 + MIN(ABS(INDIRECT("Class Jobs!B"&amp;MATCH(E112,'Class Jobs'!$A$1:$A1000,0)&amp;":"&amp;"AF"&amp;MATCH(E112,'Class Jobs'!$A$1:$A1000,0)&amp;"")-$Z112)) * SUM(IF(MIN(ABS(INDIRECT("Class Jobs!B"&amp;MATCH(E112,'Class Jobs'!$A$1:$A1000,0)&amp;":"&amp;"AF"&amp;MATCH(E112,'Class Jobs'!$A$1:$A1000,0)&amp;"")-$Z112))=ABS(INDIRECT("Class Jobs!B"&amp;MATCH(E112,'Class Jobs'!$A$1:$A1000,0)&amp;":"&amp;"AF"&amp;MATCH(E112,'Class Jobs'!$A$1:$A1000,0)&amp;"")-$Z112),SIGN(INDIRECT("Class Jobs!B"&amp;MATCH(E112,'Class Jobs'!$A$1:A1000,0)&amp;":"&amp;"AF"&amp;MATCH(E112,'Class Jobs'!$A$1:$A1000,0)&amp;"")-$Z112),0)),0)),INDIRECT("Class Jobs!B"&amp;MATCH(E112,'Class Jobs'!$A$1:$A1000,0)&amp;":"&amp;"AF"&amp;MATCH(E112,'Class Jobs'!$A$1:$A1000,1)&amp;""),'Class Jobs'!$B$1:$AF$1)</f>
        <v>#REF!</v>
      </c>
      <c r="Z112" s="158">
        <f t="shared" si="10"/>
        <v>0.21</v>
      </c>
      <c r="AA112" s="16" t="str">
        <f t="array" ref="AA112">INDEX(NPCGender,TRUNC(1+(COUNTA(NPCGender))*(TRUNC(MOD(($B112*1103515245 +12345)/ 65536, 32768),0)/32768),0))</f>
        <v>Male</v>
      </c>
      <c r="AB112" s="16" t="str">
        <f t="array" ref="AB112">INDEX(NPCRace,TRUNC(1+(COUNTA(NPCRace))*(TRUNC(MOD(($B112*1103515245 +12345)/ 65536, 32768),0)/32768),0))</f>
        <v>Elf</v>
      </c>
      <c r="AC112" s="16" t="str">
        <f t="array" ref="AC112">INDEX(NPCAL,TRUNC(1+(COUNTA(NPCAL))*(TRUNC(MOD(($B112*1103515245 +12345)/ 65536, 32768),0)/32768),0))</f>
        <v>CE</v>
      </c>
      <c r="AD112" s="72" t="str">
        <f ca="1">IFERROR(__xludf.DUMMYFUNCTION("if(V112&lt;15,QUERY(NPCVar!C:D,""Select D WHERE C = '""&amp;D112&amp;""'""),if((TRUNC(1+10)*(TRUNC(MOD((ROW(H112)*1103515245 +12345)/ 65536, 32768),0)/32768)/10) &gt; 0.85,INDEX(NPCFaction,TRUNC(1+(counta(NPCFaction)-1)*(TRUNC(MOD(($B112*1103515245 +12345)/ 65536, 3276"&amp;"8),0)/32768),0)),QUERY(NPCVar!C:D,""Select D WHERE C = '""&amp;D112&amp;""'"")))"),"Necromancer")</f>
        <v>Necromancer</v>
      </c>
      <c r="AE112" s="108" t="e">
        <f t="shared" ca="1" si="11"/>
        <v>#NAME?</v>
      </c>
      <c r="AF112" s="159">
        <f ca="1">IFERROR(__xludf.DUMMYFUNCTION("AE112*(V112 / QUERY(NPCVar!$K$2:$N$12, ""Select N WHERE K='""&amp;AB112&amp;""'""))*TRUNC(1+10)*(TRUNC(MOD(($B112*1103515245 +12345)/ 65536, 32768),0)/32768)"),-0.0560440063476562)</f>
        <v>-5.6044006347656203E-2</v>
      </c>
      <c r="AG112" s="16"/>
      <c r="AH112" s="77"/>
      <c r="AI112" s="114"/>
    </row>
    <row r="113" spans="1:35" ht="16.2">
      <c r="A113" s="53">
        <v>112</v>
      </c>
      <c r="B113" s="118">
        <f t="shared" si="14"/>
        <v>1.3368199999999999</v>
      </c>
      <c r="C113" s="72" t="str">
        <f t="array" ref="C113">INDEX(NPCFName,TRUNC(1+(COUNTA(NPCFName))*(TRUNC(MOD(($B113*1103515245 +12345)/ 65536, 32768),0)/32768),0))</f>
        <v>Ayrie</v>
      </c>
      <c r="D113" s="16" t="str">
        <f t="array" ref="D113">INDEX(NPCLName,TRUNC(1+(COUNTA(NPCLName))*(TRUNC(MOD(($B113*1103515245 +12345)/ 65536, 32768),0)/32768),0))</f>
        <v>Emberhell</v>
      </c>
      <c r="E113" s="16" t="str">
        <f t="array" ref="E113">INDEX(NPCClass,TRUNC(1+(COUNTA(NPCClass))*(TRUNC(MOD(($B113*1103515245 +12345)/ 65536, 32768),0)/32768),0))</f>
        <v>None</v>
      </c>
      <c r="F113" s="76">
        <v>8</v>
      </c>
      <c r="G113" s="153">
        <f ca="1">VLOOKUP($AB$2,'RF Mod'!$A$2:$G$12,2,FALSE)+VLOOKUP($AD$2,'RF Mod'!$I$2:$O$11,2,FALSE)+(TRUNC(6+(24-6)*(TRUNC(MOD(($Z113*1103515245 +12345)/ 65536, 32768),0)/32768),0))</f>
        <v>10</v>
      </c>
      <c r="H113" s="16" t="e">
        <f t="shared" ca="1" si="1"/>
        <v>#NAME?</v>
      </c>
      <c r="I113" s="153">
        <f ca="1">VLOOKUP($AB$2,'RF Mod'!$A$2:$G$12,3,FALSE)+VLOOKUP($AD$2,'RF Mod'!$I$2:$O$11,3,FALSE)+(TRUNC(6+(24-6)*(TRUNC(MOD(($Z113*1103515245 +12345)/ 65536, 32768),0)/32768),0))</f>
        <v>14</v>
      </c>
      <c r="J113" s="16" t="e">
        <f t="shared" ca="1" si="2"/>
        <v>#NAME?</v>
      </c>
      <c r="K113" s="153">
        <f ca="1">VLOOKUP($AB$2,'RF Mod'!$A$2:$G$12,3,FALSE)+VLOOKUP($AD$2,'RF Mod'!$I$2:$O$11,3,FALSE)+(TRUNC(6+(24-6)*(TRUNC(MOD(($Z113*1103515245 +12345)/ 65536, 32768),0)/32768),0))</f>
        <v>14</v>
      </c>
      <c r="L113" s="16" t="e">
        <f t="shared" ca="1" si="3"/>
        <v>#NAME?</v>
      </c>
      <c r="M113" s="153">
        <f ca="1">VLOOKUP($AB$2,'RF Mod'!$A$2:$G$12,4,FALSE)+VLOOKUP($AD$2,'RF Mod'!$I$2:$O$11,4,FALSE)+(TRUNC(6+(24-6)*(TRUNC(MOD(($Z113*1103515245 +12345)/ 65536, 32768),0)/32768),0))</f>
        <v>13</v>
      </c>
      <c r="N113" s="16" t="e">
        <f t="shared" ca="1" si="4"/>
        <v>#NAME?</v>
      </c>
      <c r="O113" s="153">
        <f ca="1">VLOOKUP($AB$2,'RF Mod'!$A$2:$G$12,5,FALSE)+VLOOKUP($AD$2,'RF Mod'!$I$2:$O$11,5,FALSE)+(TRUNC(6+(24-6)*(TRUNC(MOD(($Z113*1103515245 +12345)/ 65536, 32768),0)/32768),0))</f>
        <v>16</v>
      </c>
      <c r="P113" s="16" t="e">
        <f t="shared" ca="1" si="5"/>
        <v>#NAME?</v>
      </c>
      <c r="Q113" s="153">
        <f ca="1">VLOOKUP($AB$2,'RF Mod'!$A$2:$G$12,6,FALSE)+VLOOKUP($AD$2,'RF Mod'!$I$2:$O$11,6,FALSE)+(TRUNC(6+(24-6)*(TRUNC(MOD(($Z113*1103515245 +12345)/ 65536, 32768),0)/32768),0))</f>
        <v>14</v>
      </c>
      <c r="R113" s="16" t="e">
        <f t="shared" ca="1" si="6"/>
        <v>#NAME?</v>
      </c>
      <c r="S113" s="154">
        <f t="shared" ca="1" si="12"/>
        <v>256</v>
      </c>
      <c r="T113" s="154">
        <f t="shared" ca="1" si="7"/>
        <v>212</v>
      </c>
      <c r="U113" s="16" t="str">
        <f t="shared" ca="1" si="8"/>
        <v>Bloody</v>
      </c>
      <c r="V113" s="155">
        <f ca="1">IFERROR(__xludf.DUMMYFUNCTION("if(W113=""Middle Age"",QUERY(NPCVar!$K$2:$N1000, ""Select L where K = '""&amp;AB113&amp;""'""),if(W113=""Old"",QUERY(NPCVar!$K$2:$N1000, ""Select M where K = '""&amp;AB113&amp;""'""),if(W113=""Venerable"",QUERY(NPCVar!$K$2:$N1000, ""Select N where K = '""&amp;AB113&amp;""'""),fa"&amp;"lse)))*X113"),153)</f>
        <v>153</v>
      </c>
      <c r="W113" s="156" t="str">
        <f t="array" ref="W113">INDEX(NPCAgeType,TRUNC(1+(4-1)*(TRUNC(MOD((X113*1103515245 +12345)/ 65536, 32768),0)/32768),0))</f>
        <v>Venerable</v>
      </c>
      <c r="X113" s="117">
        <f t="shared" si="13"/>
        <v>1.7</v>
      </c>
      <c r="Y113" s="157" t="e">
        <f t="array" aca="1" ref="Y113" ca="1">LOOKUP(ABS(MAX(Z113 + MIN(ABS(INDIRECT("Class Jobs!B"&amp;MATCH(E113,'Class Jobs'!$A$1:$A1000,0)&amp;":"&amp;"AF"&amp;MATCH(E113,'Class Jobs'!$A$1:$A1000,0)&amp;"")-$Z113)) * SUM(IF(MIN(ABS(INDIRECT("Class Jobs!B"&amp;MATCH(E113,'Class Jobs'!$A$1:$A1000,0)&amp;":"&amp;"AF"&amp;MATCH(E113,'Class Jobs'!$A$1:$A1000,0)&amp;"")-$Z113))=ABS(INDIRECT("Class Jobs!B"&amp;MATCH(E113,'Class Jobs'!$A$1:$A1000,0)&amp;":"&amp;"AF"&amp;MATCH(E113,'Class Jobs'!$A$1:$A1000,0)&amp;"")-$Z113),SIGN(INDIRECT("Class Jobs!B"&amp;MATCH(E113,'Class Jobs'!$A$1:A1000,0)&amp;":"&amp;"AF"&amp;MATCH(E113,'Class Jobs'!$A$1:$A1000,0)&amp;"")-$Z113),0)),0)),INDIRECT("Class Jobs!B"&amp;MATCH(E113,'Class Jobs'!$A$1:$A1000,0)&amp;":"&amp;"AF"&amp;MATCH(E113,'Class Jobs'!$A$1:$A1000,1)&amp;""),'Class Jobs'!$B$1:$AF$1)</f>
        <v>#REF!</v>
      </c>
      <c r="Z113" s="158">
        <f t="shared" si="10"/>
        <v>0.69</v>
      </c>
      <c r="AA113" s="16" t="str">
        <f t="array" ref="AA113">INDEX(NPCGender,TRUNC(1+(COUNTA(NPCGender))*(TRUNC(MOD(($B113*1103515245 +12345)/ 65536, 32768),0)/32768),0))</f>
        <v>Neutral</v>
      </c>
      <c r="AB113" s="16" t="str">
        <f t="array" ref="AB113">INDEX(NPCRace,TRUNC(1+(COUNTA(NPCRace))*(TRUNC(MOD(($B113*1103515245 +12345)/ 65536, 32768),0)/32768),0))</f>
        <v>Human</v>
      </c>
      <c r="AC113" s="16" t="str">
        <f t="array" ref="AC113">INDEX(NPCAL,TRUNC(1+(COUNTA(NPCAL))*(TRUNC(MOD(($B113*1103515245 +12345)/ 65536, 32768),0)/32768),0))</f>
        <v>LG</v>
      </c>
      <c r="AD113" s="72" t="str">
        <f ca="1">IFERROR(__xludf.DUMMYFUNCTION("if(V113&lt;15,QUERY(NPCVar!C:D,""Select D WHERE C = '""&amp;D113&amp;""'""),if((TRUNC(1+10)*(TRUNC(MOD((ROW(H113)*1103515245 +12345)/ 65536, 32768),0)/32768)/10) &gt; 0.85,INDEX(NPCFaction,TRUNC(1+(counta(NPCFaction)-1)*(TRUNC(MOD(($B113*1103515245 +12345)/ 65536, 3276"&amp;"8),0)/32768),0)),QUERY(NPCVar!C:D,""Select D WHERE C = '""&amp;D113&amp;""'"")))"),"Adventures Guild")</f>
        <v>Adventures Guild</v>
      </c>
      <c r="AE113" s="108" t="e">
        <f t="shared" ca="1" si="11"/>
        <v>#NAME?</v>
      </c>
      <c r="AF113" s="159">
        <f ca="1">IFERROR(__xludf.DUMMYFUNCTION("AE113*(V113 / QUERY(NPCVar!$K$2:$N$12, ""Select N WHERE K='""&amp;AB113&amp;""'""))*TRUNC(1+10)*(TRUNC(MOD(($B113*1103515245 +12345)/ 65536, 32768),0)/32768)"),7.70724426269531)</f>
        <v>7.7072442626953102</v>
      </c>
      <c r="AG113" s="16"/>
      <c r="AH113" s="77"/>
      <c r="AI113" s="114"/>
    </row>
    <row r="114" spans="1:35" ht="16.2">
      <c r="A114" s="53">
        <v>113</v>
      </c>
      <c r="B114" s="118">
        <f t="shared" si="14"/>
        <v>0.33096999999999999</v>
      </c>
      <c r="C114" s="72" t="str">
        <f t="array" ref="C114">INDEX(NPCFName,TRUNC(1+(COUNTA(NPCFName))*(TRUNC(MOD(($B114*1103515245 +12345)/ 65536, 32768),0)/32768),0))</f>
        <v>Lafornon</v>
      </c>
      <c r="D114" s="16" t="str">
        <f t="array" ref="D114">INDEX(NPCLName,TRUNC(1+(COUNTA(NPCLName))*(TRUNC(MOD(($B114*1103515245 +12345)/ 65536, 32768),0)/32768),0))</f>
        <v>Ashcloud</v>
      </c>
      <c r="E114" s="16" t="str">
        <f t="array" ref="E114">INDEX(NPCClass,TRUNC(1+(COUNTA(NPCClass))*(TRUNC(MOD(($B114*1103515245 +12345)/ 65536, 32768),0)/32768),0))</f>
        <v>Druid</v>
      </c>
      <c r="F114" s="76">
        <v>1</v>
      </c>
      <c r="G114" s="153">
        <f ca="1">VLOOKUP($AB$2,'RF Mod'!$A$2:$G$12,2,FALSE)+VLOOKUP($AD$2,'RF Mod'!$I$2:$O$11,2,FALSE)+(TRUNC(6+(24-6)*(TRUNC(MOD(($Z114*1103515245 +12345)/ 65536, 32768),0)/32768),0))</f>
        <v>5</v>
      </c>
      <c r="H114" s="16">
        <f t="shared" ca="1" si="1"/>
        <v>-3</v>
      </c>
      <c r="I114" s="153">
        <f ca="1">VLOOKUP($AB$2,'RF Mod'!$A$2:$G$12,3,FALSE)+VLOOKUP($AD$2,'RF Mod'!$I$2:$O$11,3,FALSE)+(TRUNC(6+(24-6)*(TRUNC(MOD(($Z114*1103515245 +12345)/ 65536, 32768),0)/32768),0))</f>
        <v>9</v>
      </c>
      <c r="J114" s="16">
        <f t="shared" ca="1" si="2"/>
        <v>-1</v>
      </c>
      <c r="K114" s="153">
        <f ca="1">VLOOKUP($AB$2,'RF Mod'!$A$2:$G$12,3,FALSE)+VLOOKUP($AD$2,'RF Mod'!$I$2:$O$11,3,FALSE)+(TRUNC(6+(24-6)*(TRUNC(MOD(($Z114*1103515245 +12345)/ 65536, 32768),0)/32768),0))</f>
        <v>9</v>
      </c>
      <c r="L114" s="16">
        <f t="shared" ca="1" si="3"/>
        <v>-1</v>
      </c>
      <c r="M114" s="153">
        <f ca="1">VLOOKUP($AB$2,'RF Mod'!$A$2:$G$12,4,FALSE)+VLOOKUP($AD$2,'RF Mod'!$I$2:$O$11,4,FALSE)+(TRUNC(6+(24-6)*(TRUNC(MOD(($Z114*1103515245 +12345)/ 65536, 32768),0)/32768),0))</f>
        <v>8</v>
      </c>
      <c r="N114" s="16">
        <f t="shared" ca="1" si="4"/>
        <v>-1</v>
      </c>
      <c r="O114" s="153">
        <f ca="1">VLOOKUP($AB$2,'RF Mod'!$A$2:$G$12,5,FALSE)+VLOOKUP($AD$2,'RF Mod'!$I$2:$O$11,5,FALSE)+(TRUNC(6+(24-6)*(TRUNC(MOD(($Z114*1103515245 +12345)/ 65536, 32768),0)/32768),0))</f>
        <v>11</v>
      </c>
      <c r="P114" s="16" t="e">
        <f t="shared" ca="1" si="5"/>
        <v>#NAME?</v>
      </c>
      <c r="Q114" s="153">
        <f ca="1">VLOOKUP($AB$2,'RF Mod'!$A$2:$G$12,6,FALSE)+VLOOKUP($AD$2,'RF Mod'!$I$2:$O$11,6,FALSE)+(TRUNC(6+(24-6)*(TRUNC(MOD(($Z114*1103515245 +12345)/ 65536, 32768),0)/32768),0))</f>
        <v>9</v>
      </c>
      <c r="R114" s="16">
        <f t="shared" ca="1" si="6"/>
        <v>-1</v>
      </c>
      <c r="S114" s="154">
        <f t="shared" ca="1" si="12"/>
        <v>27</v>
      </c>
      <c r="T114" s="154">
        <f t="shared" ca="1" si="7"/>
        <v>30</v>
      </c>
      <c r="U114" s="16" t="str">
        <f t="shared" ca="1" si="8"/>
        <v>Dead</v>
      </c>
      <c r="V114" s="155">
        <f ca="1">IFERROR(__xludf.DUMMYFUNCTION("if(W114=""Middle Age"",QUERY(NPCVar!$K$2:$N1000, ""Select L where K = '""&amp;AB114&amp;""'""),if(W114=""Old"",QUERY(NPCVar!$K$2:$N1000, ""Select M where K = '""&amp;AB114&amp;""'""),if(W114=""Venerable"",QUERY(NPCVar!$K$2:$N1000, ""Select N where K = '""&amp;AB114&amp;""'""),fa"&amp;"lse)))*X114"),40)</f>
        <v>40</v>
      </c>
      <c r="W114" s="156" t="str">
        <f t="array" ref="W114">INDEX(NPCAgeType,TRUNC(1+(4-1)*(TRUNC(MOD((X114*1103515245 +12345)/ 65536, 32768),0)/32768),0))</f>
        <v>Middle Age</v>
      </c>
      <c r="X114" s="117">
        <f t="shared" si="13"/>
        <v>0.5</v>
      </c>
      <c r="Y114" s="157" t="e">
        <f t="array" aca="1" ref="Y114" ca="1">LOOKUP(ABS(MAX(Z114 + MIN(ABS(INDIRECT("Class Jobs!B"&amp;MATCH(E114,'Class Jobs'!$A$1:$A1000,0)&amp;":"&amp;"AF"&amp;MATCH(E114,'Class Jobs'!$A$1:$A1000,0)&amp;"")-$Z114)) * SUM(IF(MIN(ABS(INDIRECT("Class Jobs!B"&amp;MATCH(E114,'Class Jobs'!$A$1:$A1000,0)&amp;":"&amp;"AF"&amp;MATCH(E114,'Class Jobs'!$A$1:$A1000,0)&amp;"")-$Z114))=ABS(INDIRECT("Class Jobs!B"&amp;MATCH(E114,'Class Jobs'!$A$1:$A1000,0)&amp;":"&amp;"AF"&amp;MATCH(E114,'Class Jobs'!$A$1:$A1000,0)&amp;"")-$Z114),SIGN(INDIRECT("Class Jobs!B"&amp;MATCH(E114,'Class Jobs'!$A$1:A1000,0)&amp;":"&amp;"AF"&amp;MATCH(E114,'Class Jobs'!$A$1:$A1000,0)&amp;"")-$Z114),0)),0)),INDIRECT("Class Jobs!B"&amp;MATCH(E114,'Class Jobs'!$A$1:$A1000,0)&amp;":"&amp;"AF"&amp;MATCH(E114,'Class Jobs'!$A$1:$A1000,1)&amp;""),'Class Jobs'!$B$1:$AF$1)</f>
        <v>#REF!</v>
      </c>
      <c r="Z114" s="158">
        <f t="shared" si="10"/>
        <v>0.17</v>
      </c>
      <c r="AA114" s="16" t="str">
        <f t="array" ref="AA114">INDEX(NPCGender,TRUNC(1+(COUNTA(NPCGender))*(TRUNC(MOD(($B114*1103515245 +12345)/ 65536, 32768),0)/32768),0))</f>
        <v>Male</v>
      </c>
      <c r="AB114" s="16" t="str">
        <f t="array" ref="AB114">INDEX(NPCRace,TRUNC(1+(COUNTA(NPCRace))*(TRUNC(MOD(($B114*1103515245 +12345)/ 65536, 32768),0)/32768),0))</f>
        <v>Dwarf</v>
      </c>
      <c r="AC114" s="16" t="str">
        <f t="array" ref="AC114">INDEX(NPCAL,TRUNC(1+(COUNTA(NPCAL))*(TRUNC(MOD(($B114*1103515245 +12345)/ 65536, 32768),0)/32768),0))</f>
        <v>CE</v>
      </c>
      <c r="AD114" s="72" t="str">
        <f ca="1">IFERROR(__xludf.DUMMYFUNCTION("if(V114&lt;15,QUERY(NPCVar!C:D,""Select D WHERE C = '""&amp;D114&amp;""'""),if((TRUNC(1+10)*(TRUNC(MOD((ROW(H114)*1103515245 +12345)/ 65536, 32768),0)/32768)/10) &gt; 0.85,INDEX(NPCFaction,TRUNC(1+(counta(NPCFaction)-1)*(TRUNC(MOD(($B114*1103515245 +12345)/ 65536, 3276"&amp;"8),0)/32768),0)),QUERY(NPCVar!C:D,""Select D WHERE C = '""&amp;D114&amp;""'"")))"),"Magic Guild")</f>
        <v>Magic Guild</v>
      </c>
      <c r="AE114" s="108" t="e">
        <f t="shared" ca="1" si="11"/>
        <v>#NAME?</v>
      </c>
      <c r="AF114" s="159">
        <f ca="1">IFERROR(__xludf.DUMMYFUNCTION("AE114*(V114 / QUERY(NPCVar!$K$2:$N$12, ""Select N WHERE K='""&amp;AB114&amp;""'""))*TRUNC(1+10)*(TRUNC(MOD(($B114*1103515245 +12345)/ 65536, 32768),0)/32768)"),-0.0467704772949218)</f>
        <v>-4.67704772949218E-2</v>
      </c>
      <c r="AG114" s="16"/>
      <c r="AH114" s="77"/>
      <c r="AI114" s="114"/>
    </row>
    <row r="115" spans="1:35" ht="16.2">
      <c r="A115" s="53">
        <v>114</v>
      </c>
      <c r="B115" s="118">
        <f t="shared" si="14"/>
        <v>1.8250999999999999</v>
      </c>
      <c r="C115" s="72" t="str">
        <f t="array" ref="C115">INDEX(NPCFName,TRUNC(1+(COUNTA(NPCFName))*(TRUNC(MOD(($B115*1103515245 +12345)/ 65536, 32768),0)/32768),0))</f>
        <v>Staph</v>
      </c>
      <c r="D115" s="16" t="str">
        <f t="array" ref="D115">INDEX(NPCLName,TRUNC(1+(COUNTA(NPCLName))*(TRUNC(MOD(($B115*1103515245 +12345)/ 65536, 32768),0)/32768),0))</f>
        <v>Marblearm</v>
      </c>
      <c r="E115" s="16" t="str">
        <f t="array" ref="E115">INDEX(NPCClass,TRUNC(1+(COUNTA(NPCClass))*(TRUNC(MOD(($B115*1103515245 +12345)/ 65536, 32768),0)/32768),0))</f>
        <v>Wizard</v>
      </c>
      <c r="F115" s="76">
        <v>8</v>
      </c>
      <c r="G115" s="153">
        <f ca="1">VLOOKUP($AB$2,'RF Mod'!$A$2:$G$12,2,FALSE)+VLOOKUP($AD$2,'RF Mod'!$I$2:$O$11,2,FALSE)+(TRUNC(6+(24-6)*(TRUNC(MOD(($Z115*1103515245 +12345)/ 65536, 32768),0)/32768),0))</f>
        <v>12</v>
      </c>
      <c r="H115" s="16" t="e">
        <f t="shared" ca="1" si="1"/>
        <v>#NAME?</v>
      </c>
      <c r="I115" s="153">
        <f ca="1">VLOOKUP($AB$2,'RF Mod'!$A$2:$G$12,3,FALSE)+VLOOKUP($AD$2,'RF Mod'!$I$2:$O$11,3,FALSE)+(TRUNC(6+(24-6)*(TRUNC(MOD(($Z115*1103515245 +12345)/ 65536, 32768),0)/32768),0))</f>
        <v>16</v>
      </c>
      <c r="J115" s="16" t="e">
        <f t="shared" ca="1" si="2"/>
        <v>#NAME?</v>
      </c>
      <c r="K115" s="153">
        <f ca="1">VLOOKUP($AB$2,'RF Mod'!$A$2:$G$12,3,FALSE)+VLOOKUP($AD$2,'RF Mod'!$I$2:$O$11,3,FALSE)+(TRUNC(6+(24-6)*(TRUNC(MOD(($Z115*1103515245 +12345)/ 65536, 32768),0)/32768),0))</f>
        <v>16</v>
      </c>
      <c r="L115" s="16" t="e">
        <f t="shared" ca="1" si="3"/>
        <v>#NAME?</v>
      </c>
      <c r="M115" s="153">
        <f ca="1">VLOOKUP($AB$2,'RF Mod'!$A$2:$G$12,4,FALSE)+VLOOKUP($AD$2,'RF Mod'!$I$2:$O$11,4,FALSE)+(TRUNC(6+(24-6)*(TRUNC(MOD(($Z115*1103515245 +12345)/ 65536, 32768),0)/32768),0))</f>
        <v>15</v>
      </c>
      <c r="N115" s="16" t="e">
        <f t="shared" ca="1" si="4"/>
        <v>#NAME?</v>
      </c>
      <c r="O115" s="153">
        <f ca="1">VLOOKUP($AB$2,'RF Mod'!$A$2:$G$12,5,FALSE)+VLOOKUP($AD$2,'RF Mod'!$I$2:$O$11,5,FALSE)+(TRUNC(6+(24-6)*(TRUNC(MOD(($Z115*1103515245 +12345)/ 65536, 32768),0)/32768),0))</f>
        <v>18</v>
      </c>
      <c r="P115" s="16" t="e">
        <f t="shared" ca="1" si="5"/>
        <v>#NAME?</v>
      </c>
      <c r="Q115" s="153">
        <f ca="1">VLOOKUP($AB$2,'RF Mod'!$A$2:$G$12,6,FALSE)+VLOOKUP($AD$2,'RF Mod'!$I$2:$O$11,6,FALSE)+(TRUNC(6+(24-6)*(TRUNC(MOD(($Z115*1103515245 +12345)/ 65536, 32768),0)/32768),0))</f>
        <v>16</v>
      </c>
      <c r="R115" s="16" t="e">
        <f t="shared" ca="1" si="6"/>
        <v>#NAME?</v>
      </c>
      <c r="S115" s="154">
        <f t="shared" ca="1" si="12"/>
        <v>160</v>
      </c>
      <c r="T115" s="154">
        <f t="shared" ca="1" si="7"/>
        <v>11</v>
      </c>
      <c r="U115" s="16" t="str">
        <f t="shared" ca="1" si="8"/>
        <v>Fine</v>
      </c>
      <c r="V115" s="155">
        <f ca="1">IFERROR(__xludf.DUMMYFUNCTION("if(W115=""Middle Age"",QUERY(NPCVar!$K$2:$N1000, ""Select L where K = '""&amp;AB115&amp;""'""),if(W115=""Old"",QUERY(NPCVar!$K$2:$N1000, ""Select M where K = '""&amp;AB115&amp;""'""),if(W115=""Venerable"",QUERY(NPCVar!$K$2:$N1000, ""Select N where K = '""&amp;AB115&amp;""'""),fa"&amp;"lse)))*X115"),69)</f>
        <v>69</v>
      </c>
      <c r="W115" s="156" t="str">
        <f t="array" ref="W115">INDEX(NPCAgeType,TRUNC(1+(4-1)*(TRUNC(MOD((X115*1103515245 +12345)/ 65536, 32768),0)/32768),0))</f>
        <v>Middle Age</v>
      </c>
      <c r="X115" s="117">
        <f t="shared" si="13"/>
        <v>2.2999999999999998</v>
      </c>
      <c r="Y115" s="157" t="e">
        <f t="array" aca="1" ref="Y115" ca="1">LOOKUP(ABS(MAX(Z115 + MIN(ABS(INDIRECT("Class Jobs!B"&amp;MATCH(E115,'Class Jobs'!$A$1:$A1000,0)&amp;":"&amp;"AF"&amp;MATCH(E115,'Class Jobs'!$A$1:$A1000,0)&amp;"")-$Z115)) * SUM(IF(MIN(ABS(INDIRECT("Class Jobs!B"&amp;MATCH(E115,'Class Jobs'!$A$1:$A1000,0)&amp;":"&amp;"AF"&amp;MATCH(E115,'Class Jobs'!$A$1:$A1000,0)&amp;"")-$Z115))=ABS(INDIRECT("Class Jobs!B"&amp;MATCH(E115,'Class Jobs'!$A$1:$A1000,0)&amp;":"&amp;"AF"&amp;MATCH(E115,'Class Jobs'!$A$1:$A1000,0)&amp;"")-$Z115),SIGN(INDIRECT("Class Jobs!B"&amp;MATCH(E115,'Class Jobs'!$A$1:A1000,0)&amp;":"&amp;"AF"&amp;MATCH(E115,'Class Jobs'!$A$1:$A1000,0)&amp;"")-$Z115),0)),0)),INDIRECT("Class Jobs!B"&amp;MATCH(E115,'Class Jobs'!$A$1:$A1000,0)&amp;":"&amp;"AF"&amp;MATCH(E115,'Class Jobs'!$A$1:$A1000,1)&amp;""),'Class Jobs'!$B$1:$AF$1)</f>
        <v>#REF!</v>
      </c>
      <c r="Z115" s="158">
        <f t="shared" si="10"/>
        <v>0.93</v>
      </c>
      <c r="AA115" s="16" t="str">
        <f t="array" ref="AA115">INDEX(NPCGender,TRUNC(1+(COUNTA(NPCGender))*(TRUNC(MOD(($B115*1103515245 +12345)/ 65536, 32768),0)/32768),0))</f>
        <v>Neutral</v>
      </c>
      <c r="AB115" s="16" t="str">
        <f t="array" ref="AB115">INDEX(NPCRace,TRUNC(1+(COUNTA(NPCRace))*(TRUNC(MOD(($B115*1103515245 +12345)/ 65536, 32768),0)/32768),0))</f>
        <v>Goliath</v>
      </c>
      <c r="AC115" s="16" t="str">
        <f t="array" ref="AC115">INDEX(NPCAL,TRUNC(1+(COUNTA(NPCAL))*(TRUNC(MOD(($B115*1103515245 +12345)/ 65536, 32768),0)/32768),0))</f>
        <v>LE</v>
      </c>
      <c r="AD115" s="72" t="str">
        <f ca="1">IFERROR(__xludf.DUMMYFUNCTION("if(V115&lt;15,QUERY(NPCVar!C:D,""Select D WHERE C = '""&amp;D115&amp;""'""),if((TRUNC(1+10)*(TRUNC(MOD((ROW(H115)*1103515245 +12345)/ 65536, 32768),0)/32768)/10) &gt; 0.85,INDEX(NPCFaction,TRUNC(1+(counta(NPCFaction)-1)*(TRUNC(MOD(($B115*1103515245 +12345)/ 65536, 3276"&amp;"8),0)/32768),0)),QUERY(NPCVar!C:D,""Select D WHERE C = '""&amp;D115&amp;""'"")))"),"Thieves Guild")</f>
        <v>Thieves Guild</v>
      </c>
      <c r="AE115" s="108" t="e">
        <f t="shared" ca="1" si="11"/>
        <v>#NAME?</v>
      </c>
      <c r="AF115" s="159">
        <f ca="1">IFERROR(__xludf.DUMMYFUNCTION("AE115*(V115 / QUERY(NPCVar!$K$2:$N$12, ""Select N WHERE K='""&amp;AB115&amp;""'""))*TRUNC(1+10)*(TRUNC(MOD(($B115*1103515245 +12345)/ 65536, 32768),0)/32768)"),4.15226753234863)</f>
        <v>4.1522675323486302</v>
      </c>
      <c r="AG115" s="16"/>
      <c r="AH115" s="77"/>
      <c r="AI115" s="114"/>
    </row>
    <row r="116" spans="1:35" ht="16.2">
      <c r="A116" s="53">
        <v>115</v>
      </c>
      <c r="B116" s="118">
        <f t="shared" si="14"/>
        <v>0.81925000000000003</v>
      </c>
      <c r="C116" s="72" t="str">
        <f t="array" ref="C116">INDEX(NPCFName,TRUNC(1+(COUNTA(NPCFName))*(TRUNC(MOD(($B116*1103515245 +12345)/ 65536, 32768),0)/32768),0))</f>
        <v>Eckard</v>
      </c>
      <c r="D116" s="16" t="str">
        <f t="array" ref="D116">INDEX(NPCLName,TRUNC(1+(COUNTA(NPCLName))*(TRUNC(MOD(($B116*1103515245 +12345)/ 65536, 32768),0)/32768),0))</f>
        <v>Windshade</v>
      </c>
      <c r="E116" s="16" t="str">
        <f t="array" ref="E116">INDEX(NPCClass,TRUNC(1+(COUNTA(NPCClass))*(TRUNC(MOD(($B116*1103515245 +12345)/ 65536, 32768),0)/32768),0))</f>
        <v>Ranger</v>
      </c>
      <c r="F116" s="76">
        <v>6</v>
      </c>
      <c r="G116" s="153">
        <f ca="1">VLOOKUP($AB$2,'RF Mod'!$A$2:$G$12,2,FALSE)+VLOOKUP($AD$2,'RF Mod'!$I$2:$O$11,2,FALSE)+(TRUNC(6+(24-6)*(TRUNC(MOD(($Z116*1103515245 +12345)/ 65536, 32768),0)/32768),0))</f>
        <v>7</v>
      </c>
      <c r="H116" s="16">
        <f t="shared" ca="1" si="1"/>
        <v>-2</v>
      </c>
      <c r="I116" s="153">
        <f ca="1">VLOOKUP($AB$2,'RF Mod'!$A$2:$G$12,3,FALSE)+VLOOKUP($AD$2,'RF Mod'!$I$2:$O$11,3,FALSE)+(TRUNC(6+(24-6)*(TRUNC(MOD(($Z116*1103515245 +12345)/ 65536, 32768),0)/32768),0))</f>
        <v>11</v>
      </c>
      <c r="J116" s="16" t="e">
        <f t="shared" ca="1" si="2"/>
        <v>#NAME?</v>
      </c>
      <c r="K116" s="153">
        <f ca="1">VLOOKUP($AB$2,'RF Mod'!$A$2:$G$12,3,FALSE)+VLOOKUP($AD$2,'RF Mod'!$I$2:$O$11,3,FALSE)+(TRUNC(6+(24-6)*(TRUNC(MOD(($Z116*1103515245 +12345)/ 65536, 32768),0)/32768),0))</f>
        <v>11</v>
      </c>
      <c r="L116" s="16" t="e">
        <f t="shared" ca="1" si="3"/>
        <v>#NAME?</v>
      </c>
      <c r="M116" s="153">
        <f ca="1">VLOOKUP($AB$2,'RF Mod'!$A$2:$G$12,4,FALSE)+VLOOKUP($AD$2,'RF Mod'!$I$2:$O$11,4,FALSE)+(TRUNC(6+(24-6)*(TRUNC(MOD(($Z116*1103515245 +12345)/ 65536, 32768),0)/32768),0))</f>
        <v>10</v>
      </c>
      <c r="N116" s="16" t="e">
        <f t="shared" ca="1" si="4"/>
        <v>#NAME?</v>
      </c>
      <c r="O116" s="153">
        <f ca="1">VLOOKUP($AB$2,'RF Mod'!$A$2:$G$12,5,FALSE)+VLOOKUP($AD$2,'RF Mod'!$I$2:$O$11,5,FALSE)+(TRUNC(6+(24-6)*(TRUNC(MOD(($Z116*1103515245 +12345)/ 65536, 32768),0)/32768),0))</f>
        <v>13</v>
      </c>
      <c r="P116" s="16" t="e">
        <f t="shared" ca="1" si="5"/>
        <v>#NAME?</v>
      </c>
      <c r="Q116" s="153">
        <f ca="1">VLOOKUP($AB$2,'RF Mod'!$A$2:$G$12,6,FALSE)+VLOOKUP($AD$2,'RF Mod'!$I$2:$O$11,6,FALSE)+(TRUNC(6+(24-6)*(TRUNC(MOD(($Z116*1103515245 +12345)/ 65536, 32768),0)/32768),0))</f>
        <v>11</v>
      </c>
      <c r="R116" s="16" t="e">
        <f t="shared" ca="1" si="6"/>
        <v>#NAME?</v>
      </c>
      <c r="S116" s="154">
        <f t="shared" ca="1" si="12"/>
        <v>78</v>
      </c>
      <c r="T116" s="154">
        <f t="shared" ca="1" si="7"/>
        <v>7</v>
      </c>
      <c r="U116" s="16" t="str">
        <f t="shared" ca="1" si="8"/>
        <v>Fine</v>
      </c>
      <c r="V116" s="155">
        <f ca="1">IFERROR(__xludf.DUMMYFUNCTION("if(W116=""Middle Age"",QUERY(NPCVar!$K$2:$N1000, ""Select L where K = '""&amp;AB116&amp;""'""),if(W116=""Old"",QUERY(NPCVar!$K$2:$N1000, ""Select M where K = '""&amp;AB116&amp;""'""),if(W116=""Venerable"",QUERY(NPCVar!$K$2:$N1000, ""Select N where K = '""&amp;AB116&amp;""'""),fa"&amp;"lse)))*X116"),74.25)</f>
        <v>74.25</v>
      </c>
      <c r="W116" s="156" t="str">
        <f t="array" ref="W116">INDEX(NPCAgeType,TRUNC(1+(4-1)*(TRUNC(MOD((X116*1103515245 +12345)/ 65536, 32768),0)/32768),0))</f>
        <v>Old</v>
      </c>
      <c r="X116" s="117">
        <f t="shared" si="13"/>
        <v>1.1000000000000001</v>
      </c>
      <c r="Y116" s="157" t="e">
        <f t="array" aca="1" ref="Y116" ca="1">LOOKUP(ABS(MAX(Z116 + MIN(ABS(INDIRECT("Class Jobs!B"&amp;MATCH(E116,'Class Jobs'!$A$1:$A1000,0)&amp;":"&amp;"AF"&amp;MATCH(E116,'Class Jobs'!$A$1:$A1000,0)&amp;"")-$Z116)) * SUM(IF(MIN(ABS(INDIRECT("Class Jobs!B"&amp;MATCH(E116,'Class Jobs'!$A$1:$A1000,0)&amp;":"&amp;"AF"&amp;MATCH(E116,'Class Jobs'!$A$1:$A1000,0)&amp;"")-$Z116))=ABS(INDIRECT("Class Jobs!B"&amp;MATCH(E116,'Class Jobs'!$A$1:$A1000,0)&amp;":"&amp;"AF"&amp;MATCH(E116,'Class Jobs'!$A$1:$A1000,0)&amp;"")-$Z116),SIGN(INDIRECT("Class Jobs!B"&amp;MATCH(E116,'Class Jobs'!$A$1:A1000,0)&amp;":"&amp;"AF"&amp;MATCH(E116,'Class Jobs'!$A$1:$A1000,0)&amp;"")-$Z116),0)),0)),INDIRECT("Class Jobs!B"&amp;MATCH(E116,'Class Jobs'!$A$1:$A1000,0)&amp;":"&amp;"AF"&amp;MATCH(E116,'Class Jobs'!$A$1:$A1000,1)&amp;""),'Class Jobs'!$B$1:$AF$1)</f>
        <v>#REF!</v>
      </c>
      <c r="Z116" s="158">
        <f t="shared" si="10"/>
        <v>0.42</v>
      </c>
      <c r="AA116" s="16" t="str">
        <f t="array" ref="AA116">INDEX(NPCGender,TRUNC(1+(COUNTA(NPCGender))*(TRUNC(MOD(($B116*1103515245 +12345)/ 65536, 32768),0)/32768),0))</f>
        <v>Female</v>
      </c>
      <c r="AB116" s="16" t="str">
        <f t="array" ref="AB116">INDEX(NPCRace,TRUNC(1+(COUNTA(NPCRace))*(TRUNC(MOD(($B116*1103515245 +12345)/ 65536, 32768),0)/32768),0))</f>
        <v>Half-Elf</v>
      </c>
      <c r="AC116" s="16" t="str">
        <f t="array" ref="AC116">INDEX(NPCAL,TRUNC(1+(COUNTA(NPCAL))*(TRUNC(MOD(($B116*1103515245 +12345)/ 65536, 32768),0)/32768),0))</f>
        <v>NG</v>
      </c>
      <c r="AD116" s="72" t="str">
        <f ca="1">IFERROR(__xludf.DUMMYFUNCTION("if(V116&lt;15,QUERY(NPCVar!C:D,""Select D WHERE C = '""&amp;D116&amp;""'""),if((TRUNC(1+10)*(TRUNC(MOD((ROW(H116)*1103515245 +12345)/ 65536, 32768),0)/32768)/10) &gt; 0.85,INDEX(NPCFaction,TRUNC(1+(counta(NPCFaction)-1)*(TRUNC(MOD(($B116*1103515245 +12345)/ 65536, 3276"&amp;"8),0)/32768),0)),QUERY(NPCVar!C:D,""Select D WHERE C = '""&amp;D116&amp;""'"")))"),"Traders Guild")</f>
        <v>Traders Guild</v>
      </c>
      <c r="AE116" s="108" t="e">
        <f t="shared" ca="1" si="11"/>
        <v>#NAME?</v>
      </c>
      <c r="AF116" s="159">
        <f ca="1">IFERROR(__xludf.DUMMYFUNCTION("AE116*(V116 / QUERY(NPCVar!$K$2:$N$12, ""Select N WHERE K='""&amp;AB116&amp;""'""))*TRUNC(1+10)*(TRUNC(MOD(($B116*1103515245 +12345)/ 65536, 32768),0)/32768)"),0)</f>
        <v>0</v>
      </c>
      <c r="AG116" s="16"/>
      <c r="AH116" s="77"/>
      <c r="AI116" s="114"/>
    </row>
    <row r="117" spans="1:35" ht="16.2">
      <c r="A117" s="53">
        <v>116</v>
      </c>
      <c r="B117" s="118">
        <f t="shared" si="14"/>
        <v>2.31338</v>
      </c>
      <c r="C117" s="72" t="str">
        <f t="array" ref="C117">INDEX(NPCFName,TRUNC(1+(COUNTA(NPCFName))*(TRUNC(MOD(($B117*1103515245 +12345)/ 65536, 32768),0)/32768),0))</f>
        <v>Mellamo</v>
      </c>
      <c r="D117" s="16" t="str">
        <f t="array" ref="D117">INDEX(NPCLName,TRUNC(1+(COUNTA(NPCLName))*(TRUNC(MOD(($B117*1103515245 +12345)/ 65536, 32768),0)/32768),0))</f>
        <v>Ashcloud</v>
      </c>
      <c r="E117" s="16" t="str">
        <f t="array" ref="E117">INDEX(NPCClass,TRUNC(1+(COUNTA(NPCClass))*(TRUNC(MOD(($B117*1103515245 +12345)/ 65536, 32768),0)/32768),0))</f>
        <v>Druid</v>
      </c>
      <c r="F117" s="76">
        <v>1</v>
      </c>
      <c r="G117" s="153">
        <f ca="1">VLOOKUP($AB$2,'RF Mod'!$A$2:$G$12,2,FALSE)+VLOOKUP($AD$2,'RF Mod'!$I$2:$O$11,2,FALSE)+(TRUNC(6+(24-6)*(TRUNC(MOD(($Z117*1103515245 +12345)/ 65536, 32768),0)/32768),0))</f>
        <v>5</v>
      </c>
      <c r="H117" s="16">
        <f t="shared" ca="1" si="1"/>
        <v>-3</v>
      </c>
      <c r="I117" s="153">
        <f ca="1">VLOOKUP($AB$2,'RF Mod'!$A$2:$G$12,3,FALSE)+VLOOKUP($AD$2,'RF Mod'!$I$2:$O$11,3,FALSE)+(TRUNC(6+(24-6)*(TRUNC(MOD(($Z117*1103515245 +12345)/ 65536, 32768),0)/32768),0))</f>
        <v>9</v>
      </c>
      <c r="J117" s="16">
        <f t="shared" ca="1" si="2"/>
        <v>-1</v>
      </c>
      <c r="K117" s="153">
        <f ca="1">VLOOKUP($AB$2,'RF Mod'!$A$2:$G$12,3,FALSE)+VLOOKUP($AD$2,'RF Mod'!$I$2:$O$11,3,FALSE)+(TRUNC(6+(24-6)*(TRUNC(MOD(($Z117*1103515245 +12345)/ 65536, 32768),0)/32768),0))</f>
        <v>9</v>
      </c>
      <c r="L117" s="16">
        <f t="shared" ca="1" si="3"/>
        <v>-1</v>
      </c>
      <c r="M117" s="153">
        <f ca="1">VLOOKUP($AB$2,'RF Mod'!$A$2:$G$12,4,FALSE)+VLOOKUP($AD$2,'RF Mod'!$I$2:$O$11,4,FALSE)+(TRUNC(6+(24-6)*(TRUNC(MOD(($Z117*1103515245 +12345)/ 65536, 32768),0)/32768),0))</f>
        <v>8</v>
      </c>
      <c r="N117" s="16">
        <f t="shared" ca="1" si="4"/>
        <v>-1</v>
      </c>
      <c r="O117" s="153">
        <f ca="1">VLOOKUP($AB$2,'RF Mod'!$A$2:$G$12,5,FALSE)+VLOOKUP($AD$2,'RF Mod'!$I$2:$O$11,5,FALSE)+(TRUNC(6+(24-6)*(TRUNC(MOD(($Z117*1103515245 +12345)/ 65536, 32768),0)/32768),0))</f>
        <v>11</v>
      </c>
      <c r="P117" s="16" t="e">
        <f t="shared" ca="1" si="5"/>
        <v>#NAME?</v>
      </c>
      <c r="Q117" s="153">
        <f ca="1">VLOOKUP($AB$2,'RF Mod'!$A$2:$G$12,6,FALSE)+VLOOKUP($AD$2,'RF Mod'!$I$2:$O$11,6,FALSE)+(TRUNC(6+(24-6)*(TRUNC(MOD(($Z117*1103515245 +12345)/ 65536, 32768),0)/32768),0))</f>
        <v>9</v>
      </c>
      <c r="R117" s="16">
        <f t="shared" ca="1" si="6"/>
        <v>-1</v>
      </c>
      <c r="S117" s="154">
        <f t="shared" ca="1" si="12"/>
        <v>11</v>
      </c>
      <c r="T117" s="154">
        <f t="shared" ca="1" si="7"/>
        <v>4</v>
      </c>
      <c r="U117" s="16" t="str">
        <f t="shared" ca="1" si="8"/>
        <v>Fine</v>
      </c>
      <c r="V117" s="155">
        <f ca="1">IFERROR(__xludf.DUMMYFUNCTION("if(W117=""Middle Age"",QUERY(NPCVar!$K$2:$N1000, ""Select L where K = '""&amp;AB117&amp;""'""),if(W117=""Old"",QUERY(NPCVar!$K$2:$N1000, ""Select M where K = '""&amp;AB117&amp;""'""),if(W117=""Venerable"",QUERY(NPCVar!$K$2:$N1000, ""Select N where K = '""&amp;AB117&amp;""'""),fa"&amp;"lse)))*X117"),93.75)</f>
        <v>93.75</v>
      </c>
      <c r="W117" s="156" t="str">
        <f t="array" ref="W117">INDEX(NPCAgeType,TRUNC(1+(4-1)*(TRUNC(MOD((X117*1103515245 +12345)/ 65536, 32768),0)/32768),0))</f>
        <v>Middle Age</v>
      </c>
      <c r="X117" s="117">
        <f t="shared" si="13"/>
        <v>0.5</v>
      </c>
      <c r="Y117" s="157" t="e">
        <f t="array" aca="1" ref="Y117" ca="1">LOOKUP(ABS(MAX(Z117 + MIN(ABS(INDIRECT("Class Jobs!B"&amp;MATCH(E117,'Class Jobs'!$A$1:$A1000,0)&amp;":"&amp;"AF"&amp;MATCH(E117,'Class Jobs'!$A$1:$A1000,0)&amp;"")-$Z117)) * SUM(IF(MIN(ABS(INDIRECT("Class Jobs!B"&amp;MATCH(E117,'Class Jobs'!$A$1:$A1000,0)&amp;":"&amp;"AF"&amp;MATCH(E117,'Class Jobs'!$A$1:$A1000,0)&amp;"")-$Z117))=ABS(INDIRECT("Class Jobs!B"&amp;MATCH(E117,'Class Jobs'!$A$1:$A1000,0)&amp;":"&amp;"AF"&amp;MATCH(E117,'Class Jobs'!$A$1:$A1000,0)&amp;"")-$Z117),SIGN(INDIRECT("Class Jobs!B"&amp;MATCH(E117,'Class Jobs'!$A$1:A1000,0)&amp;":"&amp;"AF"&amp;MATCH(E117,'Class Jobs'!$A$1:$A1000,0)&amp;"")-$Z117),0)),0)),INDIRECT("Class Jobs!B"&amp;MATCH(E117,'Class Jobs'!$A$1:$A1000,0)&amp;":"&amp;"AF"&amp;MATCH(E117,'Class Jobs'!$A$1:$A1000,1)&amp;""),'Class Jobs'!$B$1:$AF$1)</f>
        <v>#REF!</v>
      </c>
      <c r="Z117" s="158">
        <f t="shared" si="10"/>
        <v>0.19</v>
      </c>
      <c r="AA117" s="16" t="str">
        <f t="array" ref="AA117">INDEX(NPCGender,TRUNC(1+(COUNTA(NPCGender))*(TRUNC(MOD(($B117*1103515245 +12345)/ 65536, 32768),0)/32768),0))</f>
        <v>Male</v>
      </c>
      <c r="AB117" s="16" t="str">
        <f t="array" ref="AB117">INDEX(NPCRace,TRUNC(1+(COUNTA(NPCRace))*(TRUNC(MOD(($B117*1103515245 +12345)/ 65536, 32768),0)/32768),0))</f>
        <v>Elf</v>
      </c>
      <c r="AC117" s="16" t="str">
        <f t="array" ref="AC117">INDEX(NPCAL,TRUNC(1+(COUNTA(NPCAL))*(TRUNC(MOD(($B117*1103515245 +12345)/ 65536, 32768),0)/32768),0))</f>
        <v>CE</v>
      </c>
      <c r="AD117" s="72" t="str">
        <f ca="1">IFERROR(__xludf.DUMMYFUNCTION("if(V117&lt;15,QUERY(NPCVar!C:D,""Select D WHERE C = '""&amp;D117&amp;""'""),if((TRUNC(1+10)*(TRUNC(MOD((ROW(H117)*1103515245 +12345)/ 65536, 32768),0)/32768)/10) &gt; 0.85,INDEX(NPCFaction,TRUNC(1+(counta(NPCFaction)-1)*(TRUNC(MOD(($B117*1103515245 +12345)/ 65536, 3276"&amp;"8),0)/32768),0)),QUERY(NPCVar!C:D,""Select D WHERE C = '""&amp;D117&amp;""'"")))"),"Magic Guild")</f>
        <v>Magic Guild</v>
      </c>
      <c r="AE117" s="108" t="e">
        <f t="shared" ca="1" si="11"/>
        <v>#NAME?</v>
      </c>
      <c r="AF117" s="159">
        <f ca="1">IFERROR(__xludf.DUMMYFUNCTION("AE117*(V117 / QUERY(NPCVar!$K$2:$N$12, ""Select N WHERE K='""&amp;AB117&amp;""'""))*TRUNC(1+10)*(TRUNC(MOD(($B117*1103515245 +12345)/ 65536, 32768),0)/32768)"),0.077859878540039)</f>
        <v>7.7859878540038993E-2</v>
      </c>
      <c r="AG117" s="16"/>
      <c r="AH117" s="77"/>
      <c r="AI117" s="114"/>
    </row>
    <row r="118" spans="1:35" ht="16.2">
      <c r="A118" s="53">
        <v>117</v>
      </c>
      <c r="B118" s="118">
        <f t="shared" si="14"/>
        <v>1.3075300000000001</v>
      </c>
      <c r="C118" s="72" t="str">
        <f t="array" ref="C118">INDEX(NPCFName,TRUNC(1+(COUNTA(NPCFName))*(TRUNC(MOD(($B118*1103515245 +12345)/ 65536, 32768),0)/32768),0))</f>
        <v>Ahalfar</v>
      </c>
      <c r="D118" s="16" t="str">
        <f t="array" ref="D118">INDEX(NPCLName,TRUNC(1+(COUNTA(NPCLName))*(TRUNC(MOD(($B118*1103515245 +12345)/ 65536, 32768),0)/32768),0))</f>
        <v>Emberhell</v>
      </c>
      <c r="E118" s="16" t="str">
        <f t="array" ref="E118">INDEX(NPCClass,TRUNC(1+(COUNTA(NPCClass))*(TRUNC(MOD(($B118*1103515245 +12345)/ 65536, 32768),0)/32768),0))</f>
        <v>None</v>
      </c>
      <c r="F118" s="76">
        <v>8</v>
      </c>
      <c r="G118" s="153">
        <f ca="1">VLOOKUP($AB$2,'RF Mod'!$A$2:$G$12,2,FALSE)+VLOOKUP($AD$2,'RF Mod'!$I$2:$O$11,2,FALSE)+(TRUNC(6+(24-6)*(TRUNC(MOD(($Z118*1103515245 +12345)/ 65536, 32768),0)/32768),0))</f>
        <v>10</v>
      </c>
      <c r="H118" s="16" t="e">
        <f t="shared" ca="1" si="1"/>
        <v>#NAME?</v>
      </c>
      <c r="I118" s="153">
        <f ca="1">VLOOKUP($AB$2,'RF Mod'!$A$2:$G$12,3,FALSE)+VLOOKUP($AD$2,'RF Mod'!$I$2:$O$11,3,FALSE)+(TRUNC(6+(24-6)*(TRUNC(MOD(($Z118*1103515245 +12345)/ 65536, 32768),0)/32768),0))</f>
        <v>14</v>
      </c>
      <c r="J118" s="16" t="e">
        <f t="shared" ca="1" si="2"/>
        <v>#NAME?</v>
      </c>
      <c r="K118" s="153">
        <f ca="1">VLOOKUP($AB$2,'RF Mod'!$A$2:$G$12,3,FALSE)+VLOOKUP($AD$2,'RF Mod'!$I$2:$O$11,3,FALSE)+(TRUNC(6+(24-6)*(TRUNC(MOD(($Z118*1103515245 +12345)/ 65536, 32768),0)/32768),0))</f>
        <v>14</v>
      </c>
      <c r="L118" s="16" t="e">
        <f t="shared" ca="1" si="3"/>
        <v>#NAME?</v>
      </c>
      <c r="M118" s="153">
        <f ca="1">VLOOKUP($AB$2,'RF Mod'!$A$2:$G$12,4,FALSE)+VLOOKUP($AD$2,'RF Mod'!$I$2:$O$11,4,FALSE)+(TRUNC(6+(24-6)*(TRUNC(MOD(($Z118*1103515245 +12345)/ 65536, 32768),0)/32768),0))</f>
        <v>13</v>
      </c>
      <c r="N118" s="16" t="e">
        <f t="shared" ca="1" si="4"/>
        <v>#NAME?</v>
      </c>
      <c r="O118" s="153">
        <f ca="1">VLOOKUP($AB$2,'RF Mod'!$A$2:$G$12,5,FALSE)+VLOOKUP($AD$2,'RF Mod'!$I$2:$O$11,5,FALSE)+(TRUNC(6+(24-6)*(TRUNC(MOD(($Z118*1103515245 +12345)/ 65536, 32768),0)/32768),0))</f>
        <v>16</v>
      </c>
      <c r="P118" s="16" t="e">
        <f t="shared" ca="1" si="5"/>
        <v>#NAME?</v>
      </c>
      <c r="Q118" s="153">
        <f ca="1">VLOOKUP($AB$2,'RF Mod'!$A$2:$G$12,6,FALSE)+VLOOKUP($AD$2,'RF Mod'!$I$2:$O$11,6,FALSE)+(TRUNC(6+(24-6)*(TRUNC(MOD(($Z118*1103515245 +12345)/ 65536, 32768),0)/32768),0))</f>
        <v>14</v>
      </c>
      <c r="R118" s="16" t="e">
        <f t="shared" ca="1" si="6"/>
        <v>#NAME?</v>
      </c>
      <c r="S118" s="154">
        <f t="shared" ca="1" si="12"/>
        <v>256</v>
      </c>
      <c r="T118" s="154">
        <f t="shared" ca="1" si="7"/>
        <v>187</v>
      </c>
      <c r="U118" s="16" t="str">
        <f t="shared" ca="1" si="8"/>
        <v>Bloody</v>
      </c>
      <c r="V118" s="155">
        <f ca="1">IFERROR(__xludf.DUMMYFUNCTION("if(W118=""Middle Age"",QUERY(NPCVar!$K$2:$N1000, ""Select L where K = '""&amp;AB118&amp;""'""),if(W118=""Old"",QUERY(NPCVar!$K$2:$N1000, ""Select M where K = '""&amp;AB118&amp;""'""),if(W118=""Venerable"",QUERY(NPCVar!$K$2:$N1000, ""Select N where K = '""&amp;AB118&amp;""'""),fa"&amp;"lse)))*X118"),153)</f>
        <v>153</v>
      </c>
      <c r="W118" s="156" t="str">
        <f t="array" ref="W118">INDEX(NPCAgeType,TRUNC(1+(4-1)*(TRUNC(MOD((X118*1103515245 +12345)/ 65536, 32768),0)/32768),0))</f>
        <v>Venerable</v>
      </c>
      <c r="X118" s="117">
        <f t="shared" si="13"/>
        <v>1.7</v>
      </c>
      <c r="Y118" s="157" t="e">
        <f t="array" aca="1" ref="Y118" ca="1">LOOKUP(ABS(MAX(Z118 + MIN(ABS(INDIRECT("Class Jobs!B"&amp;MATCH(E118,'Class Jobs'!$A$1:$A1000,0)&amp;":"&amp;"AF"&amp;MATCH(E118,'Class Jobs'!$A$1:$A1000,0)&amp;"")-$Z118)) * SUM(IF(MIN(ABS(INDIRECT("Class Jobs!B"&amp;MATCH(E118,'Class Jobs'!$A$1:$A1000,0)&amp;":"&amp;"AF"&amp;MATCH(E118,'Class Jobs'!$A$1:$A1000,0)&amp;"")-$Z118))=ABS(INDIRECT("Class Jobs!B"&amp;MATCH(E118,'Class Jobs'!$A$1:$A1000,0)&amp;":"&amp;"AF"&amp;MATCH(E118,'Class Jobs'!$A$1:$A1000,0)&amp;"")-$Z118),SIGN(INDIRECT("Class Jobs!B"&amp;MATCH(E118,'Class Jobs'!$A$1:A1000,0)&amp;":"&amp;"AF"&amp;MATCH(E118,'Class Jobs'!$A$1:$A1000,0)&amp;"")-$Z118),0)),0)),INDIRECT("Class Jobs!B"&amp;MATCH(E118,'Class Jobs'!$A$1:$A1000,0)&amp;":"&amp;"AF"&amp;MATCH(E118,'Class Jobs'!$A$1:$A1000,1)&amp;""),'Class Jobs'!$B$1:$AF$1)</f>
        <v>#REF!</v>
      </c>
      <c r="Z118" s="158">
        <f t="shared" si="10"/>
        <v>0.67</v>
      </c>
      <c r="AA118" s="16" t="str">
        <f t="array" ref="AA118">INDEX(NPCGender,TRUNC(1+(COUNTA(NPCGender))*(TRUNC(MOD(($B118*1103515245 +12345)/ 65536, 32768),0)/32768),0))</f>
        <v>Neutral</v>
      </c>
      <c r="AB118" s="16" t="str">
        <f t="array" ref="AB118">INDEX(NPCRace,TRUNC(1+(COUNTA(NPCRace))*(TRUNC(MOD(($B118*1103515245 +12345)/ 65536, 32768),0)/32768),0))</f>
        <v>Human</v>
      </c>
      <c r="AC118" s="16" t="str">
        <f t="array" ref="AC118">INDEX(NPCAL,TRUNC(1+(COUNTA(NPCAL))*(TRUNC(MOD(($B118*1103515245 +12345)/ 65536, 32768),0)/32768),0))</f>
        <v>LG</v>
      </c>
      <c r="AD118" s="72" t="str">
        <f ca="1">IFERROR(__xludf.DUMMYFUNCTION("if(V118&lt;15,QUERY(NPCVar!C:D,""Select D WHERE C = '""&amp;D118&amp;""'""),if((TRUNC(1+10)*(TRUNC(MOD((ROW(H118)*1103515245 +12345)/ 65536, 32768),0)/32768)/10) &gt; 0.85,INDEX(NPCFaction,TRUNC(1+(counta(NPCFaction)-1)*(TRUNC(MOD(($B118*1103515245 +12345)/ 65536, 3276"&amp;"8),0)/32768),0)),QUERY(NPCVar!C:D,""Select D WHERE C = '""&amp;D118&amp;""'"")))"),"Adventures Guild")</f>
        <v>Adventures Guild</v>
      </c>
      <c r="AE118" s="108" t="e">
        <f t="shared" ca="1" si="11"/>
        <v>#NAME?</v>
      </c>
      <c r="AF118" s="159">
        <f ca="1">IFERROR(__xludf.DUMMYFUNCTION("AE118*(V118 / QUERY(NPCVar!$K$2:$N$12, ""Select N WHERE K='""&amp;AB118&amp;""'""))*TRUNC(1+10)*(TRUNC(MOD(($B118*1103515245 +12345)/ 65536, 32768),0)/32768)"),3.76921875)</f>
        <v>3.7692187499999998</v>
      </c>
      <c r="AG118" s="16"/>
      <c r="AH118" s="77"/>
      <c r="AI118" s="114"/>
    </row>
    <row r="119" spans="1:35" ht="16.2">
      <c r="A119" s="53">
        <v>118</v>
      </c>
      <c r="B119" s="118">
        <f t="shared" si="14"/>
        <v>0.30159000000000002</v>
      </c>
      <c r="C119" s="72" t="str">
        <f t="array" ref="C119">INDEX(NPCFName,TRUNC(1+(COUNTA(NPCFName))*(TRUNC(MOD(($B119*1103515245 +12345)/ 65536, 32768),0)/32768),0))</f>
        <v>Jun</v>
      </c>
      <c r="D119" s="16" t="str">
        <f t="array" ref="D119">INDEX(NPCLName,TRUNC(1+(COUNTA(NPCLName))*(TRUNC(MOD(($B119*1103515245 +12345)/ 65536, 32768),0)/32768),0))</f>
        <v>Fistwing</v>
      </c>
      <c r="E119" s="16" t="str">
        <f t="array" ref="E119">INDEX(NPCClass,TRUNC(1+(COUNTA(NPCClass))*(TRUNC(MOD(($B119*1103515245 +12345)/ 65536, 32768),0)/32768),0))</f>
        <v>Bard</v>
      </c>
      <c r="F119" s="76">
        <v>1</v>
      </c>
      <c r="G119" s="153">
        <f ca="1">VLOOKUP($AB$2,'RF Mod'!$A$2:$G$12,2,FALSE)+VLOOKUP($AD$2,'RF Mod'!$I$2:$O$11,2,FALSE)+(TRUNC(6+(24-6)*(TRUNC(MOD(($Z119*1103515245 +12345)/ 65536, 32768),0)/32768),0))</f>
        <v>5</v>
      </c>
      <c r="H119" s="16">
        <f t="shared" ca="1" si="1"/>
        <v>-3</v>
      </c>
      <c r="I119" s="153">
        <f ca="1">VLOOKUP($AB$2,'RF Mod'!$A$2:$G$12,3,FALSE)+VLOOKUP($AD$2,'RF Mod'!$I$2:$O$11,3,FALSE)+(TRUNC(6+(24-6)*(TRUNC(MOD(($Z119*1103515245 +12345)/ 65536, 32768),0)/32768),0))</f>
        <v>9</v>
      </c>
      <c r="J119" s="16">
        <f t="shared" ca="1" si="2"/>
        <v>-1</v>
      </c>
      <c r="K119" s="153">
        <f ca="1">VLOOKUP($AB$2,'RF Mod'!$A$2:$G$12,3,FALSE)+VLOOKUP($AD$2,'RF Mod'!$I$2:$O$11,3,FALSE)+(TRUNC(6+(24-6)*(TRUNC(MOD(($Z119*1103515245 +12345)/ 65536, 32768),0)/32768),0))</f>
        <v>9</v>
      </c>
      <c r="L119" s="16">
        <f t="shared" ca="1" si="3"/>
        <v>-1</v>
      </c>
      <c r="M119" s="153">
        <f ca="1">VLOOKUP($AB$2,'RF Mod'!$A$2:$G$12,4,FALSE)+VLOOKUP($AD$2,'RF Mod'!$I$2:$O$11,4,FALSE)+(TRUNC(6+(24-6)*(TRUNC(MOD(($Z119*1103515245 +12345)/ 65536, 32768),0)/32768),0))</f>
        <v>8</v>
      </c>
      <c r="N119" s="16">
        <f t="shared" ca="1" si="4"/>
        <v>-1</v>
      </c>
      <c r="O119" s="153">
        <f ca="1">VLOOKUP($AB$2,'RF Mod'!$A$2:$G$12,5,FALSE)+VLOOKUP($AD$2,'RF Mod'!$I$2:$O$11,5,FALSE)+(TRUNC(6+(24-6)*(TRUNC(MOD(($Z119*1103515245 +12345)/ 65536, 32768),0)/32768),0))</f>
        <v>11</v>
      </c>
      <c r="P119" s="16" t="e">
        <f t="shared" ca="1" si="5"/>
        <v>#NAME?</v>
      </c>
      <c r="Q119" s="153">
        <f ca="1">VLOOKUP($AB$2,'RF Mod'!$A$2:$G$12,6,FALSE)+VLOOKUP($AD$2,'RF Mod'!$I$2:$O$11,6,FALSE)+(TRUNC(6+(24-6)*(TRUNC(MOD(($Z119*1103515245 +12345)/ 65536, 32768),0)/32768),0))</f>
        <v>9</v>
      </c>
      <c r="R119" s="16">
        <f t="shared" ca="1" si="6"/>
        <v>-1</v>
      </c>
      <c r="S119" s="154">
        <f t="shared" ca="1" si="12"/>
        <v>11</v>
      </c>
      <c r="T119" s="154">
        <f t="shared" ca="1" si="7"/>
        <v>8</v>
      </c>
      <c r="U119" s="16" t="str">
        <f t="shared" ca="1" si="8"/>
        <v>Bloody</v>
      </c>
      <c r="V119" s="155">
        <f ca="1">IFERROR(__xludf.DUMMYFUNCTION("if(W119=""Middle Age"",QUERY(NPCVar!$K$2:$N1000, ""Select L where K = '""&amp;AB119&amp;""'""),if(W119=""Old"",QUERY(NPCVar!$K$2:$N1000, ""Select M where K = '""&amp;AB119&amp;""'""),if(W119=""Venerable"",QUERY(NPCVar!$K$2:$N1000, ""Select N where K = '""&amp;AB119&amp;""'""),fa"&amp;"lse)))*X119"),32)</f>
        <v>32</v>
      </c>
      <c r="W119" s="156" t="str">
        <f t="array" ref="W119">INDEX(NPCAgeType,TRUNC(1+(4-1)*(TRUNC(MOD((X119*1103515245 +12345)/ 65536, 32768),0)/32768),0))</f>
        <v>Middle Age</v>
      </c>
      <c r="X119" s="117">
        <f t="shared" si="13"/>
        <v>0.4</v>
      </c>
      <c r="Y119" s="157" t="e">
        <f t="array" aca="1" ref="Y119" ca="1">LOOKUP(ABS(MAX(Z119 + MIN(ABS(INDIRECT("Class Jobs!B"&amp;MATCH(E119,'Class Jobs'!$A$1:$A1000,0)&amp;":"&amp;"AF"&amp;MATCH(E119,'Class Jobs'!$A$1:$A1000,0)&amp;"")-$Z119)) * SUM(IF(MIN(ABS(INDIRECT("Class Jobs!B"&amp;MATCH(E119,'Class Jobs'!$A$1:$A1000,0)&amp;":"&amp;"AF"&amp;MATCH(E119,'Class Jobs'!$A$1:$A1000,0)&amp;"")-$Z119))=ABS(INDIRECT("Class Jobs!B"&amp;MATCH(E119,'Class Jobs'!$A$1:$A1000,0)&amp;":"&amp;"AF"&amp;MATCH(E119,'Class Jobs'!$A$1:$A1000,0)&amp;"")-$Z119),SIGN(INDIRECT("Class Jobs!B"&amp;MATCH(E119,'Class Jobs'!$A$1:A1000,0)&amp;":"&amp;"AF"&amp;MATCH(E119,'Class Jobs'!$A$1:$A1000,0)&amp;"")-$Z119),0)),0)),INDIRECT("Class Jobs!B"&amp;MATCH(E119,'Class Jobs'!$A$1:$A1000,0)&amp;":"&amp;"AF"&amp;MATCH(E119,'Class Jobs'!$A$1:$A1000,1)&amp;""),'Class Jobs'!$B$1:$AF$1)</f>
        <v>#REF!</v>
      </c>
      <c r="Z119" s="158">
        <f t="shared" si="10"/>
        <v>0.16</v>
      </c>
      <c r="AA119" s="16" t="str">
        <f t="array" ref="AA119">INDEX(NPCGender,TRUNC(1+(COUNTA(NPCGender))*(TRUNC(MOD(($B119*1103515245 +12345)/ 65536, 32768),0)/32768),0))</f>
        <v>Male</v>
      </c>
      <c r="AB119" s="16" t="str">
        <f t="array" ref="AB119">INDEX(NPCRace,TRUNC(1+(COUNTA(NPCRace))*(TRUNC(MOD(($B119*1103515245 +12345)/ 65536, 32768),0)/32768),0))</f>
        <v>Dwarf</v>
      </c>
      <c r="AC119" s="16" t="str">
        <f t="array" ref="AC119">INDEX(NPCAL,TRUNC(1+(COUNTA(NPCAL))*(TRUNC(MOD(($B119*1103515245 +12345)/ 65536, 32768),0)/32768),0))</f>
        <v>CE</v>
      </c>
      <c r="AD119" s="72" t="str">
        <f ca="1">IFERROR(__xludf.DUMMYFUNCTION("if(V119&lt;15,QUERY(NPCVar!C:D,""Select D WHERE C = '""&amp;D119&amp;""'""),if((TRUNC(1+10)*(TRUNC(MOD((ROW(H119)*1103515245 +12345)/ 65536, 32768),0)/32768)/10) &gt; 0.85,INDEX(NPCFaction,TRUNC(1+(counta(NPCFaction)-1)*(TRUNC(MOD(($B119*1103515245 +12345)/ 65536, 3276"&amp;"8),0)/32768),0)),QUERY(NPCVar!C:D,""Select D WHERE C = '""&amp;D119&amp;""'"")))"),"Royalty")</f>
        <v>Royalty</v>
      </c>
      <c r="AE119" s="108" t="e">
        <f t="shared" ca="1" si="11"/>
        <v>#NAME?</v>
      </c>
      <c r="AF119" s="159">
        <f ca="1">IFERROR(__xludf.DUMMYFUNCTION("AE119*(V119 / QUERY(NPCVar!$K$2:$N$12, ""Select N WHERE K='""&amp;AB119&amp;""'""))*TRUNC(1+10)*(TRUNC(MOD(($B119*1103515245 +12345)/ 65536, 32768),0)/32768)"),0.0511395263671874)</f>
        <v>5.1139526367187403E-2</v>
      </c>
      <c r="AG119" s="16"/>
      <c r="AH119" s="77"/>
      <c r="AI119" s="114"/>
    </row>
    <row r="120" spans="1:35" ht="16.2">
      <c r="A120" s="53">
        <v>119</v>
      </c>
      <c r="B120" s="118">
        <f t="shared" si="14"/>
        <v>1.79573</v>
      </c>
      <c r="C120" s="72" t="str">
        <f t="array" ref="C120">INDEX(NPCFName,TRUNC(1+(COUNTA(NPCFName))*(TRUNC(MOD(($B120*1103515245 +12345)/ 65536, 32768),0)/32768),0))</f>
        <v>Safilix</v>
      </c>
      <c r="D120" s="16" t="str">
        <f t="array" ref="D120">INDEX(NPCLName,TRUNC(1+(COUNTA(NPCLName))*(TRUNC(MOD(($B120*1103515245 +12345)/ 65536, 32768),0)/32768),0))</f>
        <v>Stormwolf</v>
      </c>
      <c r="E120" s="16" t="str">
        <f t="array" ref="E120">INDEX(NPCClass,TRUNC(1+(COUNTA(NPCClass))*(TRUNC(MOD(($B120*1103515245 +12345)/ 65536, 32768),0)/32768),0))</f>
        <v>Wizard</v>
      </c>
      <c r="F120" s="76">
        <v>8</v>
      </c>
      <c r="G120" s="153">
        <f ca="1">VLOOKUP($AB$2,'RF Mod'!$A$2:$G$12,2,FALSE)+VLOOKUP($AD$2,'RF Mod'!$I$2:$O$11,2,FALSE)+(TRUNC(6+(24-6)*(TRUNC(MOD(($Z120*1103515245 +12345)/ 65536, 32768),0)/32768),0))</f>
        <v>12</v>
      </c>
      <c r="H120" s="16" t="e">
        <f t="shared" ca="1" si="1"/>
        <v>#NAME?</v>
      </c>
      <c r="I120" s="153">
        <f ca="1">VLOOKUP($AB$2,'RF Mod'!$A$2:$G$12,3,FALSE)+VLOOKUP($AD$2,'RF Mod'!$I$2:$O$11,3,FALSE)+(TRUNC(6+(24-6)*(TRUNC(MOD(($Z120*1103515245 +12345)/ 65536, 32768),0)/32768),0))</f>
        <v>16</v>
      </c>
      <c r="J120" s="16" t="e">
        <f t="shared" ca="1" si="2"/>
        <v>#NAME?</v>
      </c>
      <c r="K120" s="153">
        <f ca="1">VLOOKUP($AB$2,'RF Mod'!$A$2:$G$12,3,FALSE)+VLOOKUP($AD$2,'RF Mod'!$I$2:$O$11,3,FALSE)+(TRUNC(6+(24-6)*(TRUNC(MOD(($Z120*1103515245 +12345)/ 65536, 32768),0)/32768),0))</f>
        <v>16</v>
      </c>
      <c r="L120" s="16" t="e">
        <f t="shared" ca="1" si="3"/>
        <v>#NAME?</v>
      </c>
      <c r="M120" s="153">
        <f ca="1">VLOOKUP($AB$2,'RF Mod'!$A$2:$G$12,4,FALSE)+VLOOKUP($AD$2,'RF Mod'!$I$2:$O$11,4,FALSE)+(TRUNC(6+(24-6)*(TRUNC(MOD(($Z120*1103515245 +12345)/ 65536, 32768),0)/32768),0))</f>
        <v>15</v>
      </c>
      <c r="N120" s="16" t="e">
        <f t="shared" ca="1" si="4"/>
        <v>#NAME?</v>
      </c>
      <c r="O120" s="153">
        <f ca="1">VLOOKUP($AB$2,'RF Mod'!$A$2:$G$12,5,FALSE)+VLOOKUP($AD$2,'RF Mod'!$I$2:$O$11,5,FALSE)+(TRUNC(6+(24-6)*(TRUNC(MOD(($Z120*1103515245 +12345)/ 65536, 32768),0)/32768),0))</f>
        <v>18</v>
      </c>
      <c r="P120" s="16" t="e">
        <f t="shared" ca="1" si="5"/>
        <v>#NAME?</v>
      </c>
      <c r="Q120" s="153">
        <f ca="1">VLOOKUP($AB$2,'RF Mod'!$A$2:$G$12,6,FALSE)+VLOOKUP($AD$2,'RF Mod'!$I$2:$O$11,6,FALSE)+(TRUNC(6+(24-6)*(TRUNC(MOD(($Z120*1103515245 +12345)/ 65536, 32768),0)/32768),0))</f>
        <v>16</v>
      </c>
      <c r="R120" s="16" t="e">
        <f t="shared" ca="1" si="6"/>
        <v>#NAME?</v>
      </c>
      <c r="S120" s="154">
        <f t="shared" ca="1" si="12"/>
        <v>272</v>
      </c>
      <c r="T120" s="154">
        <f t="shared" ca="1" si="7"/>
        <v>156</v>
      </c>
      <c r="U120" s="16" t="str">
        <f t="shared" ca="1" si="8"/>
        <v>Bloody</v>
      </c>
      <c r="V120" s="155">
        <f ca="1">IFERROR(__xludf.DUMMYFUNCTION("if(W120=""Middle Age"",QUERY(NPCVar!$K$2:$N1000, ""Select L where K = '""&amp;AB120&amp;""'""),if(W120=""Old"",QUERY(NPCVar!$K$2:$N1000, ""Select M where K = '""&amp;AB120&amp;""'""),if(W120=""Venerable"",QUERY(NPCVar!$K$2:$N1000, ""Select N where K = '""&amp;AB120&amp;""'""),fa"&amp;"lse)))*X120"),69)</f>
        <v>69</v>
      </c>
      <c r="W120" s="156" t="str">
        <f t="array" ref="W120">INDEX(NPCAgeType,TRUNC(1+(4-1)*(TRUNC(MOD((X120*1103515245 +12345)/ 65536, 32768),0)/32768),0))</f>
        <v>Middle Age</v>
      </c>
      <c r="X120" s="117">
        <f t="shared" si="13"/>
        <v>2.2999999999999998</v>
      </c>
      <c r="Y120" s="157" t="e">
        <f t="array" aca="1" ref="Y120" ca="1">LOOKUP(ABS(MAX(Z120 + MIN(ABS(INDIRECT("Class Jobs!B"&amp;MATCH(E120,'Class Jobs'!$A$1:$A1000,0)&amp;":"&amp;"AF"&amp;MATCH(E120,'Class Jobs'!$A$1:$A1000,0)&amp;"")-$Z120)) * SUM(IF(MIN(ABS(INDIRECT("Class Jobs!B"&amp;MATCH(E120,'Class Jobs'!$A$1:$A1000,0)&amp;":"&amp;"AF"&amp;MATCH(E120,'Class Jobs'!$A$1:$A1000,0)&amp;"")-$Z120))=ABS(INDIRECT("Class Jobs!B"&amp;MATCH(E120,'Class Jobs'!$A$1:$A1000,0)&amp;":"&amp;"AF"&amp;MATCH(E120,'Class Jobs'!$A$1:$A1000,0)&amp;"")-$Z120),SIGN(INDIRECT("Class Jobs!B"&amp;MATCH(E120,'Class Jobs'!$A$1:A1000,0)&amp;":"&amp;"AF"&amp;MATCH(E120,'Class Jobs'!$A$1:$A1000,0)&amp;"")-$Z120),0)),0)),INDIRECT("Class Jobs!B"&amp;MATCH(E120,'Class Jobs'!$A$1:$A1000,0)&amp;":"&amp;"AF"&amp;MATCH(E120,'Class Jobs'!$A$1:$A1000,1)&amp;""),'Class Jobs'!$B$1:$AF$1)</f>
        <v>#REF!</v>
      </c>
      <c r="Z120" s="158">
        <f t="shared" si="10"/>
        <v>0.92</v>
      </c>
      <c r="AA120" s="16" t="str">
        <f t="array" ref="AA120">INDEX(NPCGender,TRUNC(1+(COUNTA(NPCGender))*(TRUNC(MOD(($B120*1103515245 +12345)/ 65536, 32768),0)/32768),0))</f>
        <v>Neutral</v>
      </c>
      <c r="AB120" s="16" t="str">
        <f t="array" ref="AB120">INDEX(NPCRace,TRUNC(1+(COUNTA(NPCRace))*(TRUNC(MOD(($B120*1103515245 +12345)/ 65536, 32768),0)/32768),0))</f>
        <v>Goliath</v>
      </c>
      <c r="AC120" s="16" t="str">
        <f t="array" ref="AC120">INDEX(NPCAL,TRUNC(1+(COUNTA(NPCAL))*(TRUNC(MOD(($B120*1103515245 +12345)/ 65536, 32768),0)/32768),0))</f>
        <v>LE</v>
      </c>
      <c r="AD120" s="72" t="str">
        <f ca="1">IFERROR(__xludf.DUMMYFUNCTION("if(V120&lt;15,QUERY(NPCVar!C:D,""Select D WHERE C = '""&amp;D120&amp;""'""),if((TRUNC(1+10)*(TRUNC(MOD((ROW(H120)*1103515245 +12345)/ 65536, 32768),0)/32768)/10) &gt; 0.85,INDEX(NPCFaction,TRUNC(1+(counta(NPCFaction)-1)*(TRUNC(MOD(($B120*1103515245 +12345)/ 65536, 3276"&amp;"8),0)/32768),0)),QUERY(NPCVar!C:D,""Select D WHERE C = '""&amp;D120&amp;""'"")))"),"Followers of Isis")</f>
        <v>Followers of Isis</v>
      </c>
      <c r="AE120" s="108" t="e">
        <f t="shared" ca="1" si="11"/>
        <v>#NAME?</v>
      </c>
      <c r="AF120" s="159">
        <f ca="1">IFERROR(__xludf.DUMMYFUNCTION("AE120*(V120 / QUERY(NPCVar!$K$2:$N$12, ""Select N WHERE K='""&amp;AB120&amp;""'""))*TRUNC(1+10)*(TRUNC(MOD(($B120*1103515245 +12345)/ 65536, 32768),0)/32768)"),1.75093711853027)</f>
        <v>1.75093711853027</v>
      </c>
      <c r="AG120" s="16"/>
      <c r="AH120" s="77"/>
      <c r="AI120" s="114"/>
    </row>
    <row r="121" spans="1:35" ht="16.2">
      <c r="A121" s="53">
        <v>120</v>
      </c>
      <c r="B121" s="118">
        <f t="shared" si="14"/>
        <v>0.78986999999999996</v>
      </c>
      <c r="C121" s="72" t="str">
        <f t="array" ref="C121">INDEX(NPCFName,TRUNC(1+(COUNTA(NPCFName))*(TRUNC(MOD(($B121*1103515245 +12345)/ 65536, 32768),0)/32768),0))</f>
        <v>Derrin</v>
      </c>
      <c r="D121" s="16" t="str">
        <f t="array" ref="D121">INDEX(NPCLName,TRUNC(1+(COUNTA(NPCLName))*(TRUNC(MOD(($B121*1103515245 +12345)/ 65536, 32768),0)/32768),0))</f>
        <v>Windshade</v>
      </c>
      <c r="E121" s="16" t="str">
        <f t="array" ref="E121">INDEX(NPCClass,TRUNC(1+(COUNTA(NPCClass))*(TRUNC(MOD(($B121*1103515245 +12345)/ 65536, 32768),0)/32768),0))</f>
        <v>Paladin</v>
      </c>
      <c r="F121" s="76">
        <v>1</v>
      </c>
      <c r="G121" s="153">
        <f ca="1">VLOOKUP($AB$2,'RF Mod'!$A$2:$G$12,2,FALSE)+VLOOKUP($AD$2,'RF Mod'!$I$2:$O$11,2,FALSE)+(TRUNC(6+(24-6)*(TRUNC(MOD(($Z121*1103515245 +12345)/ 65536, 32768),0)/32768),0))</f>
        <v>7</v>
      </c>
      <c r="H121" s="16">
        <f t="shared" ca="1" si="1"/>
        <v>-2</v>
      </c>
      <c r="I121" s="153">
        <f ca="1">VLOOKUP($AB$2,'RF Mod'!$A$2:$G$12,3,FALSE)+VLOOKUP($AD$2,'RF Mod'!$I$2:$O$11,3,FALSE)+(TRUNC(6+(24-6)*(TRUNC(MOD(($Z121*1103515245 +12345)/ 65536, 32768),0)/32768),0))</f>
        <v>11</v>
      </c>
      <c r="J121" s="16" t="e">
        <f t="shared" ca="1" si="2"/>
        <v>#NAME?</v>
      </c>
      <c r="K121" s="153">
        <f ca="1">VLOOKUP($AB$2,'RF Mod'!$A$2:$G$12,3,FALSE)+VLOOKUP($AD$2,'RF Mod'!$I$2:$O$11,3,FALSE)+(TRUNC(6+(24-6)*(TRUNC(MOD(($Z121*1103515245 +12345)/ 65536, 32768),0)/32768),0))</f>
        <v>11</v>
      </c>
      <c r="L121" s="16" t="e">
        <f t="shared" ca="1" si="3"/>
        <v>#NAME?</v>
      </c>
      <c r="M121" s="153">
        <f ca="1">VLOOKUP($AB$2,'RF Mod'!$A$2:$G$12,4,FALSE)+VLOOKUP($AD$2,'RF Mod'!$I$2:$O$11,4,FALSE)+(TRUNC(6+(24-6)*(TRUNC(MOD(($Z121*1103515245 +12345)/ 65536, 32768),0)/32768),0))</f>
        <v>10</v>
      </c>
      <c r="N121" s="16" t="e">
        <f t="shared" ca="1" si="4"/>
        <v>#NAME?</v>
      </c>
      <c r="O121" s="153">
        <f ca="1">VLOOKUP($AB$2,'RF Mod'!$A$2:$G$12,5,FALSE)+VLOOKUP($AD$2,'RF Mod'!$I$2:$O$11,5,FALSE)+(TRUNC(6+(24-6)*(TRUNC(MOD(($Z121*1103515245 +12345)/ 65536, 32768),0)/32768),0))</f>
        <v>13</v>
      </c>
      <c r="P121" s="16" t="e">
        <f t="shared" ca="1" si="5"/>
        <v>#NAME?</v>
      </c>
      <c r="Q121" s="153">
        <f ca="1">VLOOKUP($AB$2,'RF Mod'!$A$2:$G$12,6,FALSE)+VLOOKUP($AD$2,'RF Mod'!$I$2:$O$11,6,FALSE)+(TRUNC(6+(24-6)*(TRUNC(MOD(($Z121*1103515245 +12345)/ 65536, 32768),0)/32768),0))</f>
        <v>11</v>
      </c>
      <c r="R121" s="16" t="e">
        <f t="shared" ca="1" si="6"/>
        <v>#NAME?</v>
      </c>
      <c r="S121" s="154">
        <f t="shared" ca="1" si="12"/>
        <v>19</v>
      </c>
      <c r="T121" s="154">
        <f t="shared" ca="1" si="7"/>
        <v>13</v>
      </c>
      <c r="U121" s="16" t="str">
        <f t="shared" ca="1" si="8"/>
        <v>Bloody</v>
      </c>
      <c r="V121" s="155">
        <f ca="1">IFERROR(__xludf.DUMMYFUNCTION("if(W121=""Middle Age"",QUERY(NPCVar!$K$2:$N1000, ""Select L where K = '""&amp;AB121&amp;""'""),if(W121=""Old"",QUERY(NPCVar!$K$2:$N1000, ""Select M where K = '""&amp;AB121&amp;""'""),if(W121=""Venerable"",QUERY(NPCVar!$K$2:$N1000, ""Select N where K = '""&amp;AB121&amp;""'""),fa"&amp;"lse)))*X121"),67.5)</f>
        <v>67.5</v>
      </c>
      <c r="W121" s="156" t="str">
        <f t="array" ref="W121">INDEX(NPCAgeType,TRUNC(1+(4-1)*(TRUNC(MOD((X121*1103515245 +12345)/ 65536, 32768),0)/32768),0))</f>
        <v>Old</v>
      </c>
      <c r="X121" s="117">
        <f t="shared" si="13"/>
        <v>1</v>
      </c>
      <c r="Y121" s="157" t="e">
        <f t="array" aca="1" ref="Y121" ca="1">LOOKUP(ABS(MAX(Z121 + MIN(ABS(INDIRECT("Class Jobs!B"&amp;MATCH(E121,'Class Jobs'!$A$1:$A1000,0)&amp;":"&amp;"AF"&amp;MATCH(E121,'Class Jobs'!$A$1:$A1000,0)&amp;"")-$Z121)) * SUM(IF(MIN(ABS(INDIRECT("Class Jobs!B"&amp;MATCH(E121,'Class Jobs'!$A$1:$A1000,0)&amp;":"&amp;"AF"&amp;MATCH(E121,'Class Jobs'!$A$1:$A1000,0)&amp;"")-$Z121))=ABS(INDIRECT("Class Jobs!B"&amp;MATCH(E121,'Class Jobs'!$A$1:$A1000,0)&amp;":"&amp;"AF"&amp;MATCH(E121,'Class Jobs'!$A$1:$A1000,0)&amp;"")-$Z121),SIGN(INDIRECT("Class Jobs!B"&amp;MATCH(E121,'Class Jobs'!$A$1:A1000,0)&amp;":"&amp;"AF"&amp;MATCH(E121,'Class Jobs'!$A$1:$A1000,0)&amp;"")-$Z121),0)),0)),INDIRECT("Class Jobs!B"&amp;MATCH(E121,'Class Jobs'!$A$1:$A1000,0)&amp;":"&amp;"AF"&amp;MATCH(E121,'Class Jobs'!$A$1:$A1000,1)&amp;""),'Class Jobs'!$B$1:$AF$1)</f>
        <v>#REF!</v>
      </c>
      <c r="Z121" s="158">
        <f t="shared" si="10"/>
        <v>0.41</v>
      </c>
      <c r="AA121" s="16" t="str">
        <f t="array" ref="AA121">INDEX(NPCGender,TRUNC(1+(COUNTA(NPCGender))*(TRUNC(MOD(($B121*1103515245 +12345)/ 65536, 32768),0)/32768),0))</f>
        <v>Female</v>
      </c>
      <c r="AB121" s="16" t="str">
        <f t="array" ref="AB121">INDEX(NPCRace,TRUNC(1+(COUNTA(NPCRace))*(TRUNC(MOD(($B121*1103515245 +12345)/ 65536, 32768),0)/32768),0))</f>
        <v>Half-Elf</v>
      </c>
      <c r="AC121" s="16" t="str">
        <f t="array" ref="AC121">INDEX(NPCAL,TRUNC(1+(COUNTA(NPCAL))*(TRUNC(MOD(($B121*1103515245 +12345)/ 65536, 32768),0)/32768),0))</f>
        <v>NG</v>
      </c>
      <c r="AD121" s="72" t="str">
        <f ca="1">IFERROR(__xludf.DUMMYFUNCTION("if(V121&lt;15,QUERY(NPCVar!C:D,""Select D WHERE C = '""&amp;D121&amp;""'""),if((TRUNC(1+10)*(TRUNC(MOD((ROW(H121)*1103515245 +12345)/ 65536, 32768),0)/32768)/10) &gt; 0.85,INDEX(NPCFaction,TRUNC(1+(counta(NPCFaction)-1)*(TRUNC(MOD(($B121*1103515245 +12345)/ 65536, 3276"&amp;"8),0)/32768),0)),QUERY(NPCVar!C:D,""Select D WHERE C = '""&amp;D121&amp;""'"")))"),"Traders Guild")</f>
        <v>Traders Guild</v>
      </c>
      <c r="AE121" s="108" t="e">
        <f t="shared" ca="1" si="11"/>
        <v>#NAME?</v>
      </c>
      <c r="AF121" s="159">
        <f ca="1">IFERROR(__xludf.DUMMYFUNCTION("AE121*(V121 / QUERY(NPCVar!$K$2:$N$12, ""Select N WHERE K='""&amp;AB121&amp;""'""))*TRUNC(1+10)*(TRUNC(MOD(($B121*1103515245 +12345)/ 65536, 32768),0)/32768)"),0.837135314941406)</f>
        <v>0.83713531494140603</v>
      </c>
      <c r="AG121" s="16"/>
      <c r="AH121" s="77"/>
      <c r="AI121" s="114"/>
    </row>
    <row r="122" spans="1:35" ht="16.2">
      <c r="A122" s="53">
        <v>121</v>
      </c>
      <c r="B122" s="118">
        <f t="shared" si="14"/>
        <v>2.2840099999999999</v>
      </c>
      <c r="C122" s="72" t="str">
        <f t="array" ref="C122">INDEX(NPCFName,TRUNC(1+(COUNTA(NPCFName))*(TRUNC(MOD(($B122*1103515245 +12345)/ 65536, 32768),0)/32768),0))</f>
        <v>Lephidiles</v>
      </c>
      <c r="D122" s="16" t="str">
        <f t="array" ref="D122">INDEX(NPCLName,TRUNC(1+(COUNTA(NPCLName))*(TRUNC(MOD(($B122*1103515245 +12345)/ 65536, 32768),0)/32768),0))</f>
        <v>Ashcloud</v>
      </c>
      <c r="E122" s="16" t="str">
        <f t="array" ref="E122">INDEX(NPCClass,TRUNC(1+(COUNTA(NPCClass))*(TRUNC(MOD(($B122*1103515245 +12345)/ 65536, 32768),0)/32768),0))</f>
        <v>Druid</v>
      </c>
      <c r="F122" s="76">
        <v>1</v>
      </c>
      <c r="G122" s="153">
        <f ca="1">VLOOKUP($AB$2,'RF Mod'!$A$2:$G$12,2,FALSE)+VLOOKUP($AD$2,'RF Mod'!$I$2:$O$11,2,FALSE)+(TRUNC(6+(24-6)*(TRUNC(MOD(($Z122*1103515245 +12345)/ 65536, 32768),0)/32768),0))</f>
        <v>5</v>
      </c>
      <c r="H122" s="16">
        <f t="shared" ca="1" si="1"/>
        <v>-3</v>
      </c>
      <c r="I122" s="153">
        <f ca="1">VLOOKUP($AB$2,'RF Mod'!$A$2:$G$12,3,FALSE)+VLOOKUP($AD$2,'RF Mod'!$I$2:$O$11,3,FALSE)+(TRUNC(6+(24-6)*(TRUNC(MOD(($Z122*1103515245 +12345)/ 65536, 32768),0)/32768),0))</f>
        <v>9</v>
      </c>
      <c r="J122" s="16">
        <f t="shared" ca="1" si="2"/>
        <v>-1</v>
      </c>
      <c r="K122" s="153">
        <f ca="1">VLOOKUP($AB$2,'RF Mod'!$A$2:$G$12,3,FALSE)+VLOOKUP($AD$2,'RF Mod'!$I$2:$O$11,3,FALSE)+(TRUNC(6+(24-6)*(TRUNC(MOD(($Z122*1103515245 +12345)/ 65536, 32768),0)/32768),0))</f>
        <v>9</v>
      </c>
      <c r="L122" s="16">
        <f t="shared" ca="1" si="3"/>
        <v>-1</v>
      </c>
      <c r="M122" s="153">
        <f ca="1">VLOOKUP($AB$2,'RF Mod'!$A$2:$G$12,4,FALSE)+VLOOKUP($AD$2,'RF Mod'!$I$2:$O$11,4,FALSE)+(TRUNC(6+(24-6)*(TRUNC(MOD(($Z122*1103515245 +12345)/ 65536, 32768),0)/32768),0))</f>
        <v>8</v>
      </c>
      <c r="N122" s="16">
        <f t="shared" ca="1" si="4"/>
        <v>-1</v>
      </c>
      <c r="O122" s="153">
        <f ca="1">VLOOKUP($AB$2,'RF Mod'!$A$2:$G$12,5,FALSE)+VLOOKUP($AD$2,'RF Mod'!$I$2:$O$11,5,FALSE)+(TRUNC(6+(24-6)*(TRUNC(MOD(($Z122*1103515245 +12345)/ 65536, 32768),0)/32768),0))</f>
        <v>11</v>
      </c>
      <c r="P122" s="16" t="e">
        <f t="shared" ca="1" si="5"/>
        <v>#NAME?</v>
      </c>
      <c r="Q122" s="153">
        <f ca="1">VLOOKUP($AB$2,'RF Mod'!$A$2:$G$12,6,FALSE)+VLOOKUP($AD$2,'RF Mod'!$I$2:$O$11,6,FALSE)+(TRUNC(6+(24-6)*(TRUNC(MOD(($Z122*1103515245 +12345)/ 65536, 32768),0)/32768),0))</f>
        <v>9</v>
      </c>
      <c r="R122" s="16">
        <f t="shared" ca="1" si="6"/>
        <v>-1</v>
      </c>
      <c r="S122" s="154">
        <f t="shared" ca="1" si="12"/>
        <v>27</v>
      </c>
      <c r="T122" s="154">
        <f t="shared" ca="1" si="7"/>
        <v>30</v>
      </c>
      <c r="U122" s="16" t="str">
        <f t="shared" ca="1" si="8"/>
        <v>Dead</v>
      </c>
      <c r="V122" s="155">
        <f ca="1">IFERROR(__xludf.DUMMYFUNCTION("if(W122=""Middle Age"",QUERY(NPCVar!$K$2:$N1000, ""Select L where K = '""&amp;AB122&amp;""'""),if(W122=""Old"",QUERY(NPCVar!$K$2:$N1000, ""Select M where K = '""&amp;AB122&amp;""'""),if(W122=""Venerable"",QUERY(NPCVar!$K$2:$N1000, ""Select N where K = '""&amp;AB122&amp;""'""),fa"&amp;"lse)))*X122"),40)</f>
        <v>40</v>
      </c>
      <c r="W122" s="156" t="str">
        <f t="array" ref="W122">INDEX(NPCAgeType,TRUNC(1+(4-1)*(TRUNC(MOD((X122*1103515245 +12345)/ 65536, 32768),0)/32768),0))</f>
        <v>Middle Age</v>
      </c>
      <c r="X122" s="117">
        <f t="shared" si="13"/>
        <v>0.5</v>
      </c>
      <c r="Y122" s="157" t="e">
        <f t="array" aca="1" ref="Y122" ca="1">LOOKUP(ABS(MAX(Z122 + MIN(ABS(INDIRECT("Class Jobs!B"&amp;MATCH(E122,'Class Jobs'!$A$1:$A1000,0)&amp;":"&amp;"AF"&amp;MATCH(E122,'Class Jobs'!$A$1:$A1000,0)&amp;"")-$Z122)) * SUM(IF(MIN(ABS(INDIRECT("Class Jobs!B"&amp;MATCH(E122,'Class Jobs'!$A$1:$A1000,0)&amp;":"&amp;"AF"&amp;MATCH(E122,'Class Jobs'!$A$1:$A1000,0)&amp;"")-$Z122))=ABS(INDIRECT("Class Jobs!B"&amp;MATCH(E122,'Class Jobs'!$A$1:$A1000,0)&amp;":"&amp;"AF"&amp;MATCH(E122,'Class Jobs'!$A$1:$A1000,0)&amp;"")-$Z122),SIGN(INDIRECT("Class Jobs!B"&amp;MATCH(E122,'Class Jobs'!$A$1:A1000,0)&amp;":"&amp;"AF"&amp;MATCH(E122,'Class Jobs'!$A$1:$A1000,0)&amp;"")-$Z122),0)),0)),INDIRECT("Class Jobs!B"&amp;MATCH(E122,'Class Jobs'!$A$1:$A1000,0)&amp;":"&amp;"AF"&amp;MATCH(E122,'Class Jobs'!$A$1:$A1000,1)&amp;""),'Class Jobs'!$B$1:$AF$1)</f>
        <v>#REF!</v>
      </c>
      <c r="Z122" s="158">
        <f t="shared" si="10"/>
        <v>0.18</v>
      </c>
      <c r="AA122" s="16" t="str">
        <f t="array" ref="AA122">INDEX(NPCGender,TRUNC(1+(COUNTA(NPCGender))*(TRUNC(MOD(($B122*1103515245 +12345)/ 65536, 32768),0)/32768),0))</f>
        <v>Male</v>
      </c>
      <c r="AB122" s="16" t="str">
        <f t="array" ref="AB122">INDEX(NPCRace,TRUNC(1+(COUNTA(NPCRace))*(TRUNC(MOD(($B122*1103515245 +12345)/ 65536, 32768),0)/32768),0))</f>
        <v>Dwarf</v>
      </c>
      <c r="AC122" s="16" t="str">
        <f t="array" ref="AC122">INDEX(NPCAL,TRUNC(1+(COUNTA(NPCAL))*(TRUNC(MOD(($B122*1103515245 +12345)/ 65536, 32768),0)/32768),0))</f>
        <v>CE</v>
      </c>
      <c r="AD122" s="72" t="str">
        <f ca="1">IFERROR(__xludf.DUMMYFUNCTION("if(V122&lt;15,QUERY(NPCVar!C:D,""Select D WHERE C = '""&amp;D122&amp;""'""),if((TRUNC(1+10)*(TRUNC(MOD((ROW(H122)*1103515245 +12345)/ 65536, 32768),0)/32768)/10) &gt; 0.85,INDEX(NPCFaction,TRUNC(1+(counta(NPCFaction)-1)*(TRUNC(MOD(($B122*1103515245 +12345)/ 65536, 3276"&amp;"8),0)/32768),0)),QUERY(NPCVar!C:D,""Select D WHERE C = '""&amp;D122&amp;""'"")))"),"Magic Guild")</f>
        <v>Magic Guild</v>
      </c>
      <c r="AE122" s="108" t="e">
        <f t="shared" ca="1" si="11"/>
        <v>#NAME?</v>
      </c>
      <c r="AF122" s="159">
        <f ca="1">IFERROR(__xludf.DUMMYFUNCTION("AE122*(V122 / QUERY(NPCVar!$K$2:$N$12, ""Select N WHERE K='""&amp;AB122&amp;""'""))*TRUNC(1+10)*(TRUNC(MOD(($B122*1103515245 +12345)/ 65536, 32768),0)/32768)"),-0.023880386352539)</f>
        <v>-2.3880386352539001E-2</v>
      </c>
      <c r="AG122" s="16"/>
      <c r="AH122" s="77"/>
      <c r="AI122" s="114"/>
    </row>
    <row r="123" spans="1:35" ht="16.2">
      <c r="A123" s="53">
        <v>122</v>
      </c>
      <c r="B123" s="118">
        <f t="shared" si="14"/>
        <v>1.2781499999999999</v>
      </c>
      <c r="C123" s="72" t="str">
        <f t="array" ref="C123">INDEX(NPCFName,TRUNC(1+(COUNTA(NPCFName))*(TRUNC(MOD(($B123*1103515245 +12345)/ 65536, 32768),0)/32768),0))</f>
        <v>Yabaro</v>
      </c>
      <c r="D123" s="16" t="str">
        <f t="array" ref="D123">INDEX(NPCLName,TRUNC(1+(COUNTA(NPCLName))*(TRUNC(MOD(($B123*1103515245 +12345)/ 65536, 32768),0)/32768),0))</f>
        <v>Mourninglash</v>
      </c>
      <c r="E123" s="16" t="str">
        <f t="array" ref="E123">INDEX(NPCClass,TRUNC(1+(COUNTA(NPCClass))*(TRUNC(MOD(($B123*1103515245 +12345)/ 65536, 32768),0)/32768),0))</f>
        <v>Warlock</v>
      </c>
      <c r="F123" s="76">
        <v>8</v>
      </c>
      <c r="G123" s="153">
        <f ca="1">VLOOKUP($AB$2,'RF Mod'!$A$2:$G$12,2,FALSE)+VLOOKUP($AD$2,'RF Mod'!$I$2:$O$11,2,FALSE)+(TRUNC(6+(24-6)*(TRUNC(MOD(($Z123*1103515245 +12345)/ 65536, 32768),0)/32768),0))</f>
        <v>10</v>
      </c>
      <c r="H123" s="16" t="e">
        <f t="shared" ca="1" si="1"/>
        <v>#NAME?</v>
      </c>
      <c r="I123" s="153">
        <f ca="1">VLOOKUP($AB$2,'RF Mod'!$A$2:$G$12,3,FALSE)+VLOOKUP($AD$2,'RF Mod'!$I$2:$O$11,3,FALSE)+(TRUNC(6+(24-6)*(TRUNC(MOD(($Z123*1103515245 +12345)/ 65536, 32768),0)/32768),0))</f>
        <v>14</v>
      </c>
      <c r="J123" s="16" t="e">
        <f t="shared" ca="1" si="2"/>
        <v>#NAME?</v>
      </c>
      <c r="K123" s="153">
        <f ca="1">VLOOKUP($AB$2,'RF Mod'!$A$2:$G$12,3,FALSE)+VLOOKUP($AD$2,'RF Mod'!$I$2:$O$11,3,FALSE)+(TRUNC(6+(24-6)*(TRUNC(MOD(($Z123*1103515245 +12345)/ 65536, 32768),0)/32768),0))</f>
        <v>14</v>
      </c>
      <c r="L123" s="16" t="e">
        <f t="shared" ca="1" si="3"/>
        <v>#NAME?</v>
      </c>
      <c r="M123" s="153">
        <f ca="1">VLOOKUP($AB$2,'RF Mod'!$A$2:$G$12,4,FALSE)+VLOOKUP($AD$2,'RF Mod'!$I$2:$O$11,4,FALSE)+(TRUNC(6+(24-6)*(TRUNC(MOD(($Z123*1103515245 +12345)/ 65536, 32768),0)/32768),0))</f>
        <v>13</v>
      </c>
      <c r="N123" s="16" t="e">
        <f t="shared" ca="1" si="4"/>
        <v>#NAME?</v>
      </c>
      <c r="O123" s="153">
        <f ca="1">VLOOKUP($AB$2,'RF Mod'!$A$2:$G$12,5,FALSE)+VLOOKUP($AD$2,'RF Mod'!$I$2:$O$11,5,FALSE)+(TRUNC(6+(24-6)*(TRUNC(MOD(($Z123*1103515245 +12345)/ 65536, 32768),0)/32768),0))</f>
        <v>16</v>
      </c>
      <c r="P123" s="16" t="e">
        <f t="shared" ca="1" si="5"/>
        <v>#NAME?</v>
      </c>
      <c r="Q123" s="153">
        <f ca="1">VLOOKUP($AB$2,'RF Mod'!$A$2:$G$12,6,FALSE)+VLOOKUP($AD$2,'RF Mod'!$I$2:$O$11,6,FALSE)+(TRUNC(6+(24-6)*(TRUNC(MOD(($Z123*1103515245 +12345)/ 65536, 32768),0)/32768),0))</f>
        <v>14</v>
      </c>
      <c r="R123" s="16" t="e">
        <f t="shared" ca="1" si="6"/>
        <v>#NAME?</v>
      </c>
      <c r="S123" s="154">
        <f t="shared" ca="1" si="12"/>
        <v>224</v>
      </c>
      <c r="T123" s="154">
        <f t="shared" ca="1" si="7"/>
        <v>3</v>
      </c>
      <c r="U123" s="16" t="str">
        <f t="shared" ca="1" si="8"/>
        <v>Fine</v>
      </c>
      <c r="V123" s="155">
        <f ca="1">IFERROR(__xludf.DUMMYFUNCTION("if(W123=""Middle Age"",QUERY(NPCVar!$K$2:$N1000, ""Select L where K = '""&amp;AB123&amp;""'""),if(W123=""Old"",QUERY(NPCVar!$K$2:$N1000, ""Select M where K = '""&amp;AB123&amp;""'""),if(W123=""Venerable"",QUERY(NPCVar!$K$2:$N1000, ""Select N where K = '""&amp;AB123&amp;""'""),fa"&amp;"lse)))*X123"),144)</f>
        <v>144</v>
      </c>
      <c r="W123" s="156" t="str">
        <f t="array" ref="W123">INDEX(NPCAgeType,TRUNC(1+(4-1)*(TRUNC(MOD((X123*1103515245 +12345)/ 65536, 32768),0)/32768),0))</f>
        <v>Venerable</v>
      </c>
      <c r="X123" s="117">
        <f t="shared" si="13"/>
        <v>1.6</v>
      </c>
      <c r="Y123" s="157" t="e">
        <f t="array" aca="1" ref="Y123" ca="1">LOOKUP(ABS(MAX(Z123 + MIN(ABS(INDIRECT("Class Jobs!B"&amp;MATCH(E123,'Class Jobs'!$A$1:$A1000,0)&amp;":"&amp;"AF"&amp;MATCH(E123,'Class Jobs'!$A$1:$A1000,0)&amp;"")-$Z123)) * SUM(IF(MIN(ABS(INDIRECT("Class Jobs!B"&amp;MATCH(E123,'Class Jobs'!$A$1:$A1000,0)&amp;":"&amp;"AF"&amp;MATCH(E123,'Class Jobs'!$A$1:$A1000,0)&amp;"")-$Z123))=ABS(INDIRECT("Class Jobs!B"&amp;MATCH(E123,'Class Jobs'!$A$1:$A1000,0)&amp;":"&amp;"AF"&amp;MATCH(E123,'Class Jobs'!$A$1:$A1000,0)&amp;"")-$Z123),SIGN(INDIRECT("Class Jobs!B"&amp;MATCH(E123,'Class Jobs'!$A$1:A1000,0)&amp;":"&amp;"AF"&amp;MATCH(E123,'Class Jobs'!$A$1:$A1000,0)&amp;"")-$Z123),0)),0)),INDIRECT("Class Jobs!B"&amp;MATCH(E123,'Class Jobs'!$A$1:$A1000,0)&amp;":"&amp;"AF"&amp;MATCH(E123,'Class Jobs'!$A$1:$A1000,1)&amp;""),'Class Jobs'!$B$1:$AF$1)</f>
        <v>#REF!</v>
      </c>
      <c r="Z123" s="158">
        <f t="shared" si="10"/>
        <v>0.66</v>
      </c>
      <c r="AA123" s="16" t="str">
        <f t="array" ref="AA123">INDEX(NPCGender,TRUNC(1+(COUNTA(NPCGender))*(TRUNC(MOD(($B123*1103515245 +12345)/ 65536, 32768),0)/32768),0))</f>
        <v>Female</v>
      </c>
      <c r="AB123" s="16" t="str">
        <f t="array" ref="AB123">INDEX(NPCRace,TRUNC(1+(COUNTA(NPCRace))*(TRUNC(MOD(($B123*1103515245 +12345)/ 65536, 32768),0)/32768),0))</f>
        <v>Human</v>
      </c>
      <c r="AC123" s="16" t="str">
        <f t="array" ref="AC123">INDEX(NPCAL,TRUNC(1+(COUNTA(NPCAL))*(TRUNC(MOD(($B123*1103515245 +12345)/ 65536, 32768),0)/32768),0))</f>
        <v>NE</v>
      </c>
      <c r="AD123" s="72" t="str">
        <f ca="1">IFERROR(__xludf.DUMMYFUNCTION("if(V123&lt;15,QUERY(NPCVar!C:D,""Select D WHERE C = '""&amp;D123&amp;""'""),if((TRUNC(1+10)*(TRUNC(MOD((ROW(H123)*1103515245 +12345)/ 65536, 32768),0)/32768)/10) &gt; 0.85,INDEX(NPCFaction,TRUNC(1+(counta(NPCFaction)-1)*(TRUNC(MOD(($B123*1103515245 +12345)/ 65536, 3276"&amp;"8),0)/32768),0)),QUERY(NPCVar!C:D,""Select D WHERE C = '""&amp;D123&amp;""'"")))"),"Traverlers Guild")</f>
        <v>Traverlers Guild</v>
      </c>
      <c r="AE123" s="108" t="e">
        <f t="shared" ca="1" si="11"/>
        <v>#NAME?</v>
      </c>
      <c r="AF123" s="159">
        <f ca="1">IFERROR(__xludf.DUMMYFUNCTION("AE123*(V123 / QUERY(NPCVar!$K$2:$N$12, ""Select N WHERE K='""&amp;AB123&amp;""'""))*TRUNC(1+10)*(TRUNC(MOD(($B123*1103515245 +12345)/ 65536, 32768),0)/32768)"),9.247734375)</f>
        <v>9.2477343750000003</v>
      </c>
      <c r="AG123" s="16"/>
      <c r="AH123" s="77"/>
      <c r="AI123" s="114"/>
    </row>
    <row r="124" spans="1:35" ht="16.2">
      <c r="A124" s="53">
        <v>123</v>
      </c>
      <c r="B124" s="118">
        <f t="shared" si="14"/>
        <v>0.27229999999999999</v>
      </c>
      <c r="C124" s="72" t="str">
        <f t="array" ref="C124">INDEX(NPCFName,TRUNC(1+(COUNTA(NPCFName))*(TRUNC(MOD(($B124*1103515245 +12345)/ 65536, 32768),0)/32768),0))</f>
        <v>Ieserk</v>
      </c>
      <c r="D124" s="16" t="str">
        <f t="array" ref="D124">INDEX(NPCLName,TRUNC(1+(COUNTA(NPCLName))*(TRUNC(MOD(($B124*1103515245 +12345)/ 65536, 32768),0)/32768),0))</f>
        <v>Fistwing</v>
      </c>
      <c r="E124" s="16" t="str">
        <f t="array" ref="E124">INDEX(NPCClass,TRUNC(1+(COUNTA(NPCClass))*(TRUNC(MOD(($B124*1103515245 +12345)/ 65536, 32768),0)/32768),0))</f>
        <v>Bard</v>
      </c>
      <c r="F124" s="76">
        <v>1</v>
      </c>
      <c r="G124" s="153">
        <f ca="1">VLOOKUP($AB$2,'RF Mod'!$A$2:$G$12,2,FALSE)+VLOOKUP($AD$2,'RF Mod'!$I$2:$O$11,2,FALSE)+(TRUNC(6+(24-6)*(TRUNC(MOD(($Z124*1103515245 +12345)/ 65536, 32768),0)/32768),0))</f>
        <v>5</v>
      </c>
      <c r="H124" s="16">
        <f t="shared" ca="1" si="1"/>
        <v>-3</v>
      </c>
      <c r="I124" s="153">
        <f ca="1">VLOOKUP($AB$2,'RF Mod'!$A$2:$G$12,3,FALSE)+VLOOKUP($AD$2,'RF Mod'!$I$2:$O$11,3,FALSE)+(TRUNC(6+(24-6)*(TRUNC(MOD(($Z124*1103515245 +12345)/ 65536, 32768),0)/32768),0))</f>
        <v>9</v>
      </c>
      <c r="J124" s="16">
        <f t="shared" ca="1" si="2"/>
        <v>-1</v>
      </c>
      <c r="K124" s="153">
        <f ca="1">VLOOKUP($AB$2,'RF Mod'!$A$2:$G$12,3,FALSE)+VLOOKUP($AD$2,'RF Mod'!$I$2:$O$11,3,FALSE)+(TRUNC(6+(24-6)*(TRUNC(MOD(($Z124*1103515245 +12345)/ 65536, 32768),0)/32768),0))</f>
        <v>9</v>
      </c>
      <c r="L124" s="16">
        <f t="shared" ca="1" si="3"/>
        <v>-1</v>
      </c>
      <c r="M124" s="153">
        <f ca="1">VLOOKUP($AB$2,'RF Mod'!$A$2:$G$12,4,FALSE)+VLOOKUP($AD$2,'RF Mod'!$I$2:$O$11,4,FALSE)+(TRUNC(6+(24-6)*(TRUNC(MOD(($Z124*1103515245 +12345)/ 65536, 32768),0)/32768),0))</f>
        <v>8</v>
      </c>
      <c r="N124" s="16">
        <f t="shared" ca="1" si="4"/>
        <v>-1</v>
      </c>
      <c r="O124" s="153">
        <f ca="1">VLOOKUP($AB$2,'RF Mod'!$A$2:$G$12,5,FALSE)+VLOOKUP($AD$2,'RF Mod'!$I$2:$O$11,5,FALSE)+(TRUNC(6+(24-6)*(TRUNC(MOD(($Z124*1103515245 +12345)/ 65536, 32768),0)/32768),0))</f>
        <v>11</v>
      </c>
      <c r="P124" s="16" t="e">
        <f t="shared" ca="1" si="5"/>
        <v>#NAME?</v>
      </c>
      <c r="Q124" s="153">
        <f ca="1">VLOOKUP($AB$2,'RF Mod'!$A$2:$G$12,6,FALSE)+VLOOKUP($AD$2,'RF Mod'!$I$2:$O$11,6,FALSE)+(TRUNC(6+(24-6)*(TRUNC(MOD(($Z124*1103515245 +12345)/ 65536, 32768),0)/32768),0))</f>
        <v>9</v>
      </c>
      <c r="R124" s="16">
        <f t="shared" ca="1" si="6"/>
        <v>-1</v>
      </c>
      <c r="S124" s="154">
        <f t="shared" ca="1" si="12"/>
        <v>27</v>
      </c>
      <c r="T124" s="154">
        <f t="shared" ca="1" si="7"/>
        <v>14</v>
      </c>
      <c r="U124" s="16" t="str">
        <f t="shared" ca="1" si="8"/>
        <v>Bloody</v>
      </c>
      <c r="V124" s="155">
        <f ca="1">IFERROR(__xludf.DUMMYFUNCTION("if(W124=""Middle Age"",QUERY(NPCVar!$K$2:$N1000, ""Select L where K = '""&amp;AB124&amp;""'""),if(W124=""Old"",QUERY(NPCVar!$K$2:$N1000, ""Select M where K = '""&amp;AB124&amp;""'""),if(W124=""Venerable"",QUERY(NPCVar!$K$2:$N1000, ""Select N where K = '""&amp;AB124&amp;""'""),fa"&amp;"lse)))*X124"),32)</f>
        <v>32</v>
      </c>
      <c r="W124" s="156" t="str">
        <f t="array" ref="W124">INDEX(NPCAgeType,TRUNC(1+(4-1)*(TRUNC(MOD((X124*1103515245 +12345)/ 65536, 32768),0)/32768),0))</f>
        <v>Middle Age</v>
      </c>
      <c r="X124" s="117">
        <f t="shared" si="13"/>
        <v>0.4</v>
      </c>
      <c r="Y124" s="157" t="e">
        <f t="array" aca="1" ref="Y124" ca="1">LOOKUP(ABS(MAX(Z124 + MIN(ABS(INDIRECT("Class Jobs!B"&amp;MATCH(E124,'Class Jobs'!$A$1:$A1000,0)&amp;":"&amp;"AF"&amp;MATCH(E124,'Class Jobs'!$A$1:$A1000,0)&amp;"")-$Z124)) * SUM(IF(MIN(ABS(INDIRECT("Class Jobs!B"&amp;MATCH(E124,'Class Jobs'!$A$1:$A1000,0)&amp;":"&amp;"AF"&amp;MATCH(E124,'Class Jobs'!$A$1:$A1000,0)&amp;"")-$Z124))=ABS(INDIRECT("Class Jobs!B"&amp;MATCH(E124,'Class Jobs'!$A$1:$A1000,0)&amp;":"&amp;"AF"&amp;MATCH(E124,'Class Jobs'!$A$1:$A1000,0)&amp;"")-$Z124),SIGN(INDIRECT("Class Jobs!B"&amp;MATCH(E124,'Class Jobs'!$A$1:A1000,0)&amp;":"&amp;"AF"&amp;MATCH(E124,'Class Jobs'!$A$1:$A1000,0)&amp;"")-$Z124),0)),0)),INDIRECT("Class Jobs!B"&amp;MATCH(E124,'Class Jobs'!$A$1:$A1000,0)&amp;":"&amp;"AF"&amp;MATCH(E124,'Class Jobs'!$A$1:$A1000,1)&amp;""),'Class Jobs'!$B$1:$AF$1)</f>
        <v>#REF!</v>
      </c>
      <c r="Z124" s="158">
        <f t="shared" si="10"/>
        <v>0.14000000000000001</v>
      </c>
      <c r="AA124" s="16" t="str">
        <f t="array" ref="AA124">INDEX(NPCGender,TRUNC(1+(COUNTA(NPCGender))*(TRUNC(MOD(($B124*1103515245 +12345)/ 65536, 32768),0)/32768),0))</f>
        <v>Male</v>
      </c>
      <c r="AB124" s="16" t="str">
        <f t="array" ref="AB124">INDEX(NPCRace,TRUNC(1+(COUNTA(NPCRace))*(TRUNC(MOD(($B124*1103515245 +12345)/ 65536, 32768),0)/32768),0))</f>
        <v>Dwarf</v>
      </c>
      <c r="AC124" s="16" t="str">
        <f t="array" ref="AC124">INDEX(NPCAL,TRUNC(1+(COUNTA(NPCAL))*(TRUNC(MOD(($B124*1103515245 +12345)/ 65536, 32768),0)/32768),0))</f>
        <v>CE</v>
      </c>
      <c r="AD124" s="72" t="str">
        <f ca="1">IFERROR(__xludf.DUMMYFUNCTION("if(V124&lt;15,QUERY(NPCVar!C:D,""Select D WHERE C = '""&amp;D124&amp;""'""),if((TRUNC(1+10)*(TRUNC(MOD((ROW(H124)*1103515245 +12345)/ 65536, 32768),0)/32768)/10) &gt; 0.85,INDEX(NPCFaction,TRUNC(1+(counta(NPCFaction)-1)*(TRUNC(MOD(($B124*1103515245 +12345)/ 65536, 3276"&amp;"8),0)/32768),0)),QUERY(NPCVar!C:D,""Select D WHERE C = '""&amp;D124&amp;""'"")))"),"Royalty")</f>
        <v>Royalty</v>
      </c>
      <c r="AE124" s="108" t="e">
        <f t="shared" ca="1" si="11"/>
        <v>#NAME?</v>
      </c>
      <c r="AF124" s="159">
        <f ca="1">IFERROR(__xludf.DUMMYFUNCTION("AE124*(V124 / QUERY(NPCVar!$K$2:$N$12, ""Select N WHERE K='""&amp;AB124&amp;""'""))*TRUNC(1+10)*(TRUNC(MOD(($B124*1103515245 +12345)/ 65536, 32768),0)/32768)"),-0.0153915405273437)</f>
        <v>-1.53915405273437E-2</v>
      </c>
      <c r="AG124" s="16"/>
      <c r="AH124" s="77"/>
      <c r="AI124" s="114"/>
    </row>
    <row r="125" spans="1:35" ht="16.2">
      <c r="A125" s="53">
        <v>124</v>
      </c>
      <c r="B125" s="118">
        <f t="shared" si="14"/>
        <v>1.7664299999999999</v>
      </c>
      <c r="C125" s="72" t="str">
        <f t="array" ref="C125">INDEX(NPCFName,TRUNC(1+(COUNTA(NPCFName))*(TRUNC(MOD(($B125*1103515245 +12345)/ 65536, 32768),0)/32768),0))</f>
        <v>Resboron</v>
      </c>
      <c r="D125" s="16" t="str">
        <f t="array" ref="D125">INDEX(NPCLName,TRUNC(1+(COUNTA(NPCLName))*(TRUNC(MOD(($B125*1103515245 +12345)/ 65536, 32768),0)/32768),0))</f>
        <v>Stormwolf</v>
      </c>
      <c r="E125" s="16" t="str">
        <f t="array" ref="E125">INDEX(NPCClass,TRUNC(1+(COUNTA(NPCClass))*(TRUNC(MOD(($B125*1103515245 +12345)/ 65536, 32768),0)/32768),0))</f>
        <v>Fighter</v>
      </c>
      <c r="F125" s="76">
        <v>8</v>
      </c>
      <c r="G125" s="153">
        <f ca="1">VLOOKUP($AB$2,'RF Mod'!$A$2:$G$12,2,FALSE)+VLOOKUP($AD$2,'RF Mod'!$I$2:$O$11,2,FALSE)+(TRUNC(6+(24-6)*(TRUNC(MOD(($Z125*1103515245 +12345)/ 65536, 32768),0)/32768),0))</f>
        <v>12</v>
      </c>
      <c r="H125" s="16" t="e">
        <f t="shared" ca="1" si="1"/>
        <v>#NAME?</v>
      </c>
      <c r="I125" s="153">
        <f ca="1">VLOOKUP($AB$2,'RF Mod'!$A$2:$G$12,3,FALSE)+VLOOKUP($AD$2,'RF Mod'!$I$2:$O$11,3,FALSE)+(TRUNC(6+(24-6)*(TRUNC(MOD(($Z125*1103515245 +12345)/ 65536, 32768),0)/32768),0))</f>
        <v>16</v>
      </c>
      <c r="J125" s="16" t="e">
        <f t="shared" ca="1" si="2"/>
        <v>#NAME?</v>
      </c>
      <c r="K125" s="153">
        <f ca="1">VLOOKUP($AB$2,'RF Mod'!$A$2:$G$12,3,FALSE)+VLOOKUP($AD$2,'RF Mod'!$I$2:$O$11,3,FALSE)+(TRUNC(6+(24-6)*(TRUNC(MOD(($Z125*1103515245 +12345)/ 65536, 32768),0)/32768),0))</f>
        <v>16</v>
      </c>
      <c r="L125" s="16" t="e">
        <f t="shared" ca="1" si="3"/>
        <v>#NAME?</v>
      </c>
      <c r="M125" s="153">
        <f ca="1">VLOOKUP($AB$2,'RF Mod'!$A$2:$G$12,4,FALSE)+VLOOKUP($AD$2,'RF Mod'!$I$2:$O$11,4,FALSE)+(TRUNC(6+(24-6)*(TRUNC(MOD(($Z125*1103515245 +12345)/ 65536, 32768),0)/32768),0))</f>
        <v>15</v>
      </c>
      <c r="N125" s="16" t="e">
        <f t="shared" ca="1" si="4"/>
        <v>#NAME?</v>
      </c>
      <c r="O125" s="153">
        <f ca="1">VLOOKUP($AB$2,'RF Mod'!$A$2:$G$12,5,FALSE)+VLOOKUP($AD$2,'RF Mod'!$I$2:$O$11,5,FALSE)+(TRUNC(6+(24-6)*(TRUNC(MOD(($Z125*1103515245 +12345)/ 65536, 32768),0)/32768),0))</f>
        <v>18</v>
      </c>
      <c r="P125" s="16" t="e">
        <f t="shared" ca="1" si="5"/>
        <v>#NAME?</v>
      </c>
      <c r="Q125" s="153">
        <f ca="1">VLOOKUP($AB$2,'RF Mod'!$A$2:$G$12,6,FALSE)+VLOOKUP($AD$2,'RF Mod'!$I$2:$O$11,6,FALSE)+(TRUNC(6+(24-6)*(TRUNC(MOD(($Z125*1103515245 +12345)/ 65536, 32768),0)/32768),0))</f>
        <v>16</v>
      </c>
      <c r="R125" s="16" t="e">
        <f t="shared" ca="1" si="6"/>
        <v>#NAME?</v>
      </c>
      <c r="S125" s="154">
        <f t="shared" ca="1" si="12"/>
        <v>176</v>
      </c>
      <c r="T125" s="154">
        <f t="shared" ca="1" si="7"/>
        <v>37</v>
      </c>
      <c r="U125" s="16" t="str">
        <f t="shared" ca="1" si="8"/>
        <v>Fine</v>
      </c>
      <c r="V125" s="155">
        <f ca="1">IFERROR(__xludf.DUMMYFUNCTION("if(W125=""Middle Age"",QUERY(NPCVar!$K$2:$N1000, ""Select L where K = '""&amp;AB125&amp;""'""),if(W125=""Old"",QUERY(NPCVar!$K$2:$N1000, ""Select M where K = '""&amp;AB125&amp;""'""),if(W125=""Venerable"",QUERY(NPCVar!$K$2:$N1000, ""Select N where K = '""&amp;AB125&amp;""'""),fa"&amp;"lse)))*X125"),60.5)</f>
        <v>60.5</v>
      </c>
      <c r="W125" s="156" t="str">
        <f t="array" ref="W125">INDEX(NPCAgeType,TRUNC(1+(4-1)*(TRUNC(MOD((X125*1103515245 +12345)/ 65536, 32768),0)/32768),0))</f>
        <v>Middle Age</v>
      </c>
      <c r="X125" s="117">
        <f t="shared" si="13"/>
        <v>2.2000000000000002</v>
      </c>
      <c r="Y125" s="157" t="e">
        <f t="array" aca="1" ref="Y125" ca="1">LOOKUP(ABS(MAX(Z125 + MIN(ABS(INDIRECT("Class Jobs!B"&amp;MATCH(E125,'Class Jobs'!$A$1:$A1000,0)&amp;":"&amp;"AF"&amp;MATCH(E125,'Class Jobs'!$A$1:$A1000,0)&amp;"")-$Z125)) * SUM(IF(MIN(ABS(INDIRECT("Class Jobs!B"&amp;MATCH(E125,'Class Jobs'!$A$1:$A1000,0)&amp;":"&amp;"AF"&amp;MATCH(E125,'Class Jobs'!$A$1:$A1000,0)&amp;"")-$Z125))=ABS(INDIRECT("Class Jobs!B"&amp;MATCH(E125,'Class Jobs'!$A$1:$A1000,0)&amp;":"&amp;"AF"&amp;MATCH(E125,'Class Jobs'!$A$1:$A1000,0)&amp;"")-$Z125),SIGN(INDIRECT("Class Jobs!B"&amp;MATCH(E125,'Class Jobs'!$A$1:A1000,0)&amp;":"&amp;"AF"&amp;MATCH(E125,'Class Jobs'!$A$1:$A1000,0)&amp;"")-$Z125),0)),0)),INDIRECT("Class Jobs!B"&amp;MATCH(E125,'Class Jobs'!$A$1:$A1000,0)&amp;":"&amp;"AF"&amp;MATCH(E125,'Class Jobs'!$A$1:$A1000,1)&amp;""),'Class Jobs'!$B$1:$AF$1)</f>
        <v>#REF!</v>
      </c>
      <c r="Z125" s="158">
        <f t="shared" si="10"/>
        <v>0.9</v>
      </c>
      <c r="AA125" s="16" t="str">
        <f t="array" ref="AA125">INDEX(NPCGender,TRUNC(1+(COUNTA(NPCGender))*(TRUNC(MOD(($B125*1103515245 +12345)/ 65536, 32768),0)/32768),0))</f>
        <v>Neutral</v>
      </c>
      <c r="AB125" s="16" t="str">
        <f t="array" ref="AB125">INDEX(NPCRace,TRUNC(1+(COUNTA(NPCRace))*(TRUNC(MOD(($B125*1103515245 +12345)/ 65536, 32768),0)/32768),0))</f>
        <v>Genasi</v>
      </c>
      <c r="AC125" s="16" t="str">
        <f t="array" ref="AC125">INDEX(NPCAL,TRUNC(1+(COUNTA(NPCAL))*(TRUNC(MOD(($B125*1103515245 +12345)/ 65536, 32768),0)/32768),0))</f>
        <v>LE</v>
      </c>
      <c r="AD125" s="72" t="str">
        <f ca="1">IFERROR(__xludf.DUMMYFUNCTION("if(V125&lt;15,QUERY(NPCVar!C:D,""Select D WHERE C = '""&amp;D125&amp;""'""),if((TRUNC(1+10)*(TRUNC(MOD((ROW(H125)*1103515245 +12345)/ 65536, 32768),0)/32768)/10) &gt; 0.85,INDEX(NPCFaction,TRUNC(1+(counta(NPCFaction)-1)*(TRUNC(MOD(($B125*1103515245 +12345)/ 65536, 3276"&amp;"8),0)/32768),0)),QUERY(NPCVar!C:D,""Select D WHERE C = '""&amp;D125&amp;""'"")))"),"Followers of Isis")</f>
        <v>Followers of Isis</v>
      </c>
      <c r="AE125" s="108" t="e">
        <f t="shared" ca="1" si="11"/>
        <v>#NAME?</v>
      </c>
      <c r="AF125" s="159">
        <f ca="1">IFERROR(__xludf.DUMMYFUNCTION("AE125*(V125 / QUERY(NPCVar!$K$2:$N$12, ""Select N WHERE K='""&amp;AB125&amp;""'""))*TRUNC(1+10)*(TRUNC(MOD(($B125*1103515245 +12345)/ 65536, 32768),0)/32768)"),4.39319213867187)</f>
        <v>4.3931921386718704</v>
      </c>
      <c r="AG125" s="16"/>
      <c r="AH125" s="77"/>
      <c r="AI125" s="114"/>
    </row>
    <row r="126" spans="1:35" ht="16.2">
      <c r="A126" s="53">
        <v>125</v>
      </c>
      <c r="B126" s="118">
        <f t="shared" si="14"/>
        <v>0.76058000000000003</v>
      </c>
      <c r="C126" s="72" t="str">
        <f t="array" ref="C126">INDEX(NPCFName,TRUNC(1+(COUNTA(NPCFName))*(TRUNC(MOD(($B126*1103515245 +12345)/ 65536, 32768),0)/32768),0))</f>
        <v>Cuparun</v>
      </c>
      <c r="D126" s="16" t="str">
        <f t="array" ref="D126">INDEX(NPCLName,TRUNC(1+(COUNTA(NPCLName))*(TRUNC(MOD(($B126*1103515245 +12345)/ 65536, 32768),0)/32768),0))</f>
        <v>Fistroot</v>
      </c>
      <c r="E126" s="16" t="str">
        <f t="array" ref="E126">INDEX(NPCClass,TRUNC(1+(COUNTA(NPCClass))*(TRUNC(MOD(($B126*1103515245 +12345)/ 65536, 32768),0)/32768),0))</f>
        <v>Paladin</v>
      </c>
      <c r="F126" s="76">
        <v>6</v>
      </c>
      <c r="G126" s="153">
        <f ca="1">VLOOKUP($AB$2,'RF Mod'!$A$2:$G$12,2,FALSE)+VLOOKUP($AD$2,'RF Mod'!$I$2:$O$11,2,FALSE)+(TRUNC(6+(24-6)*(TRUNC(MOD(($Z126*1103515245 +12345)/ 65536, 32768),0)/32768),0))</f>
        <v>7</v>
      </c>
      <c r="H126" s="16">
        <f t="shared" ca="1" si="1"/>
        <v>-2</v>
      </c>
      <c r="I126" s="153">
        <f ca="1">VLOOKUP($AB$2,'RF Mod'!$A$2:$G$12,3,FALSE)+VLOOKUP($AD$2,'RF Mod'!$I$2:$O$11,3,FALSE)+(TRUNC(6+(24-6)*(TRUNC(MOD(($Z126*1103515245 +12345)/ 65536, 32768),0)/32768),0))</f>
        <v>11</v>
      </c>
      <c r="J126" s="16" t="e">
        <f t="shared" ca="1" si="2"/>
        <v>#NAME?</v>
      </c>
      <c r="K126" s="153">
        <f ca="1">VLOOKUP($AB$2,'RF Mod'!$A$2:$G$12,3,FALSE)+VLOOKUP($AD$2,'RF Mod'!$I$2:$O$11,3,FALSE)+(TRUNC(6+(24-6)*(TRUNC(MOD(($Z126*1103515245 +12345)/ 65536, 32768),0)/32768),0))</f>
        <v>11</v>
      </c>
      <c r="L126" s="16" t="e">
        <f t="shared" ca="1" si="3"/>
        <v>#NAME?</v>
      </c>
      <c r="M126" s="153">
        <f ca="1">VLOOKUP($AB$2,'RF Mod'!$A$2:$G$12,4,FALSE)+VLOOKUP($AD$2,'RF Mod'!$I$2:$O$11,4,FALSE)+(TRUNC(6+(24-6)*(TRUNC(MOD(($Z126*1103515245 +12345)/ 65536, 32768),0)/32768),0))</f>
        <v>10</v>
      </c>
      <c r="N126" s="16" t="e">
        <f t="shared" ca="1" si="4"/>
        <v>#NAME?</v>
      </c>
      <c r="O126" s="153">
        <f ca="1">VLOOKUP($AB$2,'RF Mod'!$A$2:$G$12,5,FALSE)+VLOOKUP($AD$2,'RF Mod'!$I$2:$O$11,5,FALSE)+(TRUNC(6+(24-6)*(TRUNC(MOD(($Z126*1103515245 +12345)/ 65536, 32768),0)/32768),0))</f>
        <v>13</v>
      </c>
      <c r="P126" s="16" t="e">
        <f t="shared" ca="1" si="5"/>
        <v>#NAME?</v>
      </c>
      <c r="Q126" s="153">
        <f ca="1">VLOOKUP($AB$2,'RF Mod'!$A$2:$G$12,6,FALSE)+VLOOKUP($AD$2,'RF Mod'!$I$2:$O$11,6,FALSE)+(TRUNC(6+(24-6)*(TRUNC(MOD(($Z126*1103515245 +12345)/ 65536, 32768),0)/32768),0))</f>
        <v>11</v>
      </c>
      <c r="R126" s="16" t="e">
        <f t="shared" ca="1" si="6"/>
        <v>#NAME?</v>
      </c>
      <c r="S126" s="154">
        <f t="shared" ca="1" si="12"/>
        <v>90</v>
      </c>
      <c r="T126" s="154">
        <f t="shared" ca="1" si="7"/>
        <v>107</v>
      </c>
      <c r="U126" s="16" t="str">
        <f t="shared" ca="1" si="8"/>
        <v>Dead</v>
      </c>
      <c r="V126" s="155">
        <f ca="1">IFERROR(__xludf.DUMMYFUNCTION("if(W126=""Middle Age"",QUERY(NPCVar!$K$2:$N1000, ""Select L where K = '""&amp;AB126&amp;""'""),if(W126=""Old"",QUERY(NPCVar!$K$2:$N1000, ""Select M where K = '""&amp;AB126&amp;""'""),if(W126=""Venerable"",QUERY(NPCVar!$K$2:$N1000, ""Select N where K = '""&amp;AB126&amp;""'""),fa"&amp;"lse)))*X126"),67.5)</f>
        <v>67.5</v>
      </c>
      <c r="W126" s="156" t="str">
        <f t="array" ref="W126">INDEX(NPCAgeType,TRUNC(1+(4-1)*(TRUNC(MOD((X126*1103515245 +12345)/ 65536, 32768),0)/32768),0))</f>
        <v>Old</v>
      </c>
      <c r="X126" s="117">
        <f t="shared" si="13"/>
        <v>1</v>
      </c>
      <c r="Y126" s="157" t="e">
        <f t="array" aca="1" ref="Y126" ca="1">LOOKUP(ABS(MAX(Z126 + MIN(ABS(INDIRECT("Class Jobs!B"&amp;MATCH(E126,'Class Jobs'!$A$1:$A1000,0)&amp;":"&amp;"AF"&amp;MATCH(E126,'Class Jobs'!$A$1:$A1000,0)&amp;"")-$Z126)) * SUM(IF(MIN(ABS(INDIRECT("Class Jobs!B"&amp;MATCH(E126,'Class Jobs'!$A$1:$A1000,0)&amp;":"&amp;"AF"&amp;MATCH(E126,'Class Jobs'!$A$1:$A1000,0)&amp;"")-$Z126))=ABS(INDIRECT("Class Jobs!B"&amp;MATCH(E126,'Class Jobs'!$A$1:$A1000,0)&amp;":"&amp;"AF"&amp;MATCH(E126,'Class Jobs'!$A$1:$A1000,0)&amp;"")-$Z126),SIGN(INDIRECT("Class Jobs!B"&amp;MATCH(E126,'Class Jobs'!$A$1:A1000,0)&amp;":"&amp;"AF"&amp;MATCH(E126,'Class Jobs'!$A$1:$A1000,0)&amp;"")-$Z126),0)),0)),INDIRECT("Class Jobs!B"&amp;MATCH(E126,'Class Jobs'!$A$1:$A1000,0)&amp;":"&amp;"AF"&amp;MATCH(E126,'Class Jobs'!$A$1:$A1000,1)&amp;""),'Class Jobs'!$B$1:$AF$1)</f>
        <v>#REF!</v>
      </c>
      <c r="Z126" s="158">
        <f t="shared" si="10"/>
        <v>0.39</v>
      </c>
      <c r="AA126" s="16" t="str">
        <f t="array" ref="AA126">INDEX(NPCGender,TRUNC(1+(COUNTA(NPCGender))*(TRUNC(MOD(($B126*1103515245 +12345)/ 65536, 32768),0)/32768),0))</f>
        <v>Female</v>
      </c>
      <c r="AB126" s="16" t="str">
        <f t="array" ref="AB126">INDEX(NPCRace,TRUNC(1+(COUNTA(NPCRace))*(TRUNC(MOD(($B126*1103515245 +12345)/ 65536, 32768),0)/32768),0))</f>
        <v>Half-Elf</v>
      </c>
      <c r="AC126" s="16" t="str">
        <f t="array" ref="AC126">INDEX(NPCAL,TRUNC(1+(COUNTA(NPCAL))*(TRUNC(MOD(($B126*1103515245 +12345)/ 65536, 32768),0)/32768),0))</f>
        <v>NG</v>
      </c>
      <c r="AD126" s="72" t="str">
        <f ca="1">IFERROR(__xludf.DUMMYFUNCTION("if(V126&lt;15,QUERY(NPCVar!C:D,""Select D WHERE C = '""&amp;D126&amp;""'""),if((TRUNC(1+10)*(TRUNC(MOD((ROW(H126)*1103515245 +12345)/ 65536, 32768),0)/32768)/10) &gt; 0.85,INDEX(NPCFaction,TRUNC(1+(counta(NPCFaction)-1)*(TRUNC(MOD(($B126*1103515245 +12345)/ 65536, 3276"&amp;"8),0)/32768),0)),QUERY(NPCVar!C:D,""Select D WHERE C = '""&amp;D126&amp;""'"")))"),"Magic Guild")</f>
        <v>Magic Guild</v>
      </c>
      <c r="AE126" s="108" t="e">
        <f t="shared" ca="1" si="11"/>
        <v>#NAME?</v>
      </c>
      <c r="AF126" s="159">
        <f ca="1">IFERROR(__xludf.DUMMYFUNCTION("AE126*(V126 / QUERY(NPCVar!$K$2:$N$12, ""Select N WHERE K='""&amp;AB126&amp;""'""))*TRUNC(1+10)*(TRUNC(MOD(($B126*1103515245 +12345)/ 65536, 32768),0)/32768)"),0.322441864013671)</f>
        <v>0.32244186401367098</v>
      </c>
      <c r="AG126" s="16"/>
      <c r="AH126" s="77"/>
      <c r="AI126" s="114"/>
    </row>
    <row r="127" spans="1:35" ht="16.2">
      <c r="A127" s="53">
        <v>126</v>
      </c>
      <c r="B127" s="118">
        <f t="shared" si="14"/>
        <v>2.2546300000000001</v>
      </c>
      <c r="C127" s="72" t="str">
        <f t="array" ref="C127">INDEX(NPCFName,TRUNC(1+(COUNTA(NPCFName))*(TRUNC(MOD(($B127*1103515245 +12345)/ 65536, 32768),0)/32768),0))</f>
        <v>Keran</v>
      </c>
      <c r="D127" s="16" t="str">
        <f t="array" ref="D127">INDEX(NPCLName,TRUNC(1+(COUNTA(NPCLName))*(TRUNC(MOD(($B127*1103515245 +12345)/ 65536, 32768),0)/32768),0))</f>
        <v>Fistwing</v>
      </c>
      <c r="E127" s="16" t="str">
        <f t="array" ref="E127">INDEX(NPCClass,TRUNC(1+(COUNTA(NPCClass))*(TRUNC(MOD(($B127*1103515245 +12345)/ 65536, 32768),0)/32768),0))</f>
        <v>Bard</v>
      </c>
      <c r="F127" s="76">
        <v>1</v>
      </c>
      <c r="G127" s="153">
        <f ca="1">VLOOKUP($AB$2,'RF Mod'!$A$2:$G$12,2,FALSE)+VLOOKUP($AD$2,'RF Mod'!$I$2:$O$11,2,FALSE)+(TRUNC(6+(24-6)*(TRUNC(MOD(($Z127*1103515245 +12345)/ 65536, 32768),0)/32768),0))</f>
        <v>5</v>
      </c>
      <c r="H127" s="16">
        <f t="shared" ca="1" si="1"/>
        <v>-3</v>
      </c>
      <c r="I127" s="153">
        <f ca="1">VLOOKUP($AB$2,'RF Mod'!$A$2:$G$12,3,FALSE)+VLOOKUP($AD$2,'RF Mod'!$I$2:$O$11,3,FALSE)+(TRUNC(6+(24-6)*(TRUNC(MOD(($Z127*1103515245 +12345)/ 65536, 32768),0)/32768),0))</f>
        <v>9</v>
      </c>
      <c r="J127" s="16">
        <f t="shared" ca="1" si="2"/>
        <v>-1</v>
      </c>
      <c r="K127" s="153">
        <f ca="1">VLOOKUP($AB$2,'RF Mod'!$A$2:$G$12,3,FALSE)+VLOOKUP($AD$2,'RF Mod'!$I$2:$O$11,3,FALSE)+(TRUNC(6+(24-6)*(TRUNC(MOD(($Z127*1103515245 +12345)/ 65536, 32768),0)/32768),0))</f>
        <v>9</v>
      </c>
      <c r="L127" s="16">
        <f t="shared" ca="1" si="3"/>
        <v>-1</v>
      </c>
      <c r="M127" s="153">
        <f ca="1">VLOOKUP($AB$2,'RF Mod'!$A$2:$G$12,4,FALSE)+VLOOKUP($AD$2,'RF Mod'!$I$2:$O$11,4,FALSE)+(TRUNC(6+(24-6)*(TRUNC(MOD(($Z127*1103515245 +12345)/ 65536, 32768),0)/32768),0))</f>
        <v>8</v>
      </c>
      <c r="N127" s="16">
        <f t="shared" ca="1" si="4"/>
        <v>-1</v>
      </c>
      <c r="O127" s="153">
        <f ca="1">VLOOKUP($AB$2,'RF Mod'!$A$2:$G$12,5,FALSE)+VLOOKUP($AD$2,'RF Mod'!$I$2:$O$11,5,FALSE)+(TRUNC(6+(24-6)*(TRUNC(MOD(($Z127*1103515245 +12345)/ 65536, 32768),0)/32768),0))</f>
        <v>11</v>
      </c>
      <c r="P127" s="16" t="e">
        <f t="shared" ca="1" si="5"/>
        <v>#NAME?</v>
      </c>
      <c r="Q127" s="153">
        <f ca="1">VLOOKUP($AB$2,'RF Mod'!$A$2:$G$12,6,FALSE)+VLOOKUP($AD$2,'RF Mod'!$I$2:$O$11,6,FALSE)+(TRUNC(6+(24-6)*(TRUNC(MOD(($Z127*1103515245 +12345)/ 65536, 32768),0)/32768),0))</f>
        <v>9</v>
      </c>
      <c r="R127" s="16">
        <f t="shared" ca="1" si="6"/>
        <v>-1</v>
      </c>
      <c r="S127" s="154">
        <f t="shared" ca="1" si="12"/>
        <v>11</v>
      </c>
      <c r="T127" s="154">
        <f t="shared" ca="1" si="7"/>
        <v>5</v>
      </c>
      <c r="U127" s="16" t="str">
        <f t="shared" ca="1" si="8"/>
        <v>Fine</v>
      </c>
      <c r="V127" s="155">
        <f ca="1">IFERROR(__xludf.DUMMYFUNCTION("if(W127=""Middle Age"",QUERY(NPCVar!$K$2:$N1000, ""Select L where K = '""&amp;AB127&amp;""'""),if(W127=""Old"",QUERY(NPCVar!$K$2:$N1000, ""Select M where K = '""&amp;AB127&amp;""'""),if(W127=""Venerable"",QUERY(NPCVar!$K$2:$N1000, ""Select N where K = '""&amp;AB127&amp;""'""),fa"&amp;"lse)))*X127"),32)</f>
        <v>32</v>
      </c>
      <c r="W127" s="156" t="str">
        <f t="array" ref="W127">INDEX(NPCAgeType,TRUNC(1+(4-1)*(TRUNC(MOD((X127*1103515245 +12345)/ 65536, 32768),0)/32768),0))</f>
        <v>Middle Age</v>
      </c>
      <c r="X127" s="117">
        <f t="shared" si="13"/>
        <v>0.4</v>
      </c>
      <c r="Y127" s="157" t="e">
        <f t="array" aca="1" ref="Y127" ca="1">LOOKUP(ABS(MAX(Z127 + MIN(ABS(INDIRECT("Class Jobs!B"&amp;MATCH(E127,'Class Jobs'!$A$1:$A1000,0)&amp;":"&amp;"AF"&amp;MATCH(E127,'Class Jobs'!$A$1:$A1000,0)&amp;"")-$Z127)) * SUM(IF(MIN(ABS(INDIRECT("Class Jobs!B"&amp;MATCH(E127,'Class Jobs'!$A$1:$A1000,0)&amp;":"&amp;"AF"&amp;MATCH(E127,'Class Jobs'!$A$1:$A1000,0)&amp;"")-$Z127))=ABS(INDIRECT("Class Jobs!B"&amp;MATCH(E127,'Class Jobs'!$A$1:$A1000,0)&amp;":"&amp;"AF"&amp;MATCH(E127,'Class Jobs'!$A$1:$A1000,0)&amp;"")-$Z127),SIGN(INDIRECT("Class Jobs!B"&amp;MATCH(E127,'Class Jobs'!$A$1:A1000,0)&amp;":"&amp;"AF"&amp;MATCH(E127,'Class Jobs'!$A$1:$A1000,0)&amp;"")-$Z127),0)),0)),INDIRECT("Class Jobs!B"&amp;MATCH(E127,'Class Jobs'!$A$1:$A1000,0)&amp;":"&amp;"AF"&amp;MATCH(E127,'Class Jobs'!$A$1:$A1000,1)&amp;""),'Class Jobs'!$B$1:$AF$1)</f>
        <v>#REF!</v>
      </c>
      <c r="Z127" s="158">
        <f t="shared" si="10"/>
        <v>0.16</v>
      </c>
      <c r="AA127" s="16" t="str">
        <f t="array" ref="AA127">INDEX(NPCGender,TRUNC(1+(COUNTA(NPCGender))*(TRUNC(MOD(($B127*1103515245 +12345)/ 65536, 32768),0)/32768),0))</f>
        <v>Male</v>
      </c>
      <c r="AB127" s="16" t="str">
        <f t="array" ref="AB127">INDEX(NPCRace,TRUNC(1+(COUNTA(NPCRace))*(TRUNC(MOD(($B127*1103515245 +12345)/ 65536, 32768),0)/32768),0))</f>
        <v>Dwarf</v>
      </c>
      <c r="AC127" s="16" t="str">
        <f t="array" ref="AC127">INDEX(NPCAL,TRUNC(1+(COUNTA(NPCAL))*(TRUNC(MOD(($B127*1103515245 +12345)/ 65536, 32768),0)/32768),0))</f>
        <v>CE</v>
      </c>
      <c r="AD127" s="72" t="str">
        <f ca="1">IFERROR(__xludf.DUMMYFUNCTION("if(V127&lt;15,QUERY(NPCVar!C:D,""Select D WHERE C = '""&amp;D127&amp;""'""),if((TRUNC(1+10)*(TRUNC(MOD((ROW(H127)*1103515245 +12345)/ 65536, 32768),0)/32768)/10) &gt; 0.85,INDEX(NPCFaction,TRUNC(1+(counta(NPCFaction)-1)*(TRUNC(MOD(($B127*1103515245 +12345)/ 65536, 3276"&amp;"8),0)/32768),0)),QUERY(NPCVar!C:D,""Select D WHERE C = '""&amp;D127&amp;""'"")))"),"Royalty")</f>
        <v>Royalty</v>
      </c>
      <c r="AE127" s="108" t="e">
        <f t="shared" ca="1" si="11"/>
        <v>#NAME?</v>
      </c>
      <c r="AF127" s="159">
        <f ca="1">IFERROR(__xludf.DUMMYFUNCTION("AE127*(V127 / QUERY(NPCVar!$K$2:$N$12, ""Select N WHERE K='""&amp;AB127&amp;""'""))*TRUNC(1+10)*(TRUNC(MOD(($B127*1103515245 +12345)/ 65536, 32768),0)/32768)"),0.0697705078125)</f>
        <v>6.9770507812499993E-2</v>
      </c>
      <c r="AG127" s="16"/>
      <c r="AH127" s="77"/>
      <c r="AI127" s="114"/>
    </row>
    <row r="128" spans="1:35" ht="16.2">
      <c r="A128" s="53">
        <v>127</v>
      </c>
      <c r="B128" s="118">
        <f t="shared" si="14"/>
        <v>1.24878</v>
      </c>
      <c r="C128" s="72" t="str">
        <f t="array" ref="C128">INDEX(NPCFName,TRUNC(1+(COUNTA(NPCFName))*(TRUNC(MOD(($B128*1103515245 +12345)/ 65536, 32768),0)/32768),0))</f>
        <v>Vythethi</v>
      </c>
      <c r="D128" s="16" t="str">
        <f t="array" ref="D128">INDEX(NPCLName,TRUNC(1+(COUNTA(NPCLName))*(TRUNC(MOD(($B128*1103515245 +12345)/ 65536, 32768),0)/32768),0))</f>
        <v>Mourninglash</v>
      </c>
      <c r="E128" s="16" t="str">
        <f t="array" ref="E128">INDEX(NPCClass,TRUNC(1+(COUNTA(NPCClass))*(TRUNC(MOD(($B128*1103515245 +12345)/ 65536, 32768),0)/32768),0))</f>
        <v>Warlock</v>
      </c>
      <c r="F128" s="76">
        <v>8</v>
      </c>
      <c r="G128" s="153">
        <f ca="1">VLOOKUP($AB$2,'RF Mod'!$A$2:$G$12,2,FALSE)+VLOOKUP($AD$2,'RF Mod'!$I$2:$O$11,2,FALSE)+(TRUNC(6+(24-6)*(TRUNC(MOD(($Z128*1103515245 +12345)/ 65536, 32768),0)/32768),0))</f>
        <v>9</v>
      </c>
      <c r="H128" s="16">
        <f t="shared" ca="1" si="1"/>
        <v>-1</v>
      </c>
      <c r="I128" s="153">
        <f ca="1">VLOOKUP($AB$2,'RF Mod'!$A$2:$G$12,3,FALSE)+VLOOKUP($AD$2,'RF Mod'!$I$2:$O$11,3,FALSE)+(TRUNC(6+(24-6)*(TRUNC(MOD(($Z128*1103515245 +12345)/ 65536, 32768),0)/32768),0))</f>
        <v>13</v>
      </c>
      <c r="J128" s="16" t="e">
        <f t="shared" ca="1" si="2"/>
        <v>#NAME?</v>
      </c>
      <c r="K128" s="153">
        <f ca="1">VLOOKUP($AB$2,'RF Mod'!$A$2:$G$12,3,FALSE)+VLOOKUP($AD$2,'RF Mod'!$I$2:$O$11,3,FALSE)+(TRUNC(6+(24-6)*(TRUNC(MOD(($Z128*1103515245 +12345)/ 65536, 32768),0)/32768),0))</f>
        <v>13</v>
      </c>
      <c r="L128" s="16" t="e">
        <f t="shared" ca="1" si="3"/>
        <v>#NAME?</v>
      </c>
      <c r="M128" s="153">
        <f ca="1">VLOOKUP($AB$2,'RF Mod'!$A$2:$G$12,4,FALSE)+VLOOKUP($AD$2,'RF Mod'!$I$2:$O$11,4,FALSE)+(TRUNC(6+(24-6)*(TRUNC(MOD(($Z128*1103515245 +12345)/ 65536, 32768),0)/32768),0))</f>
        <v>12</v>
      </c>
      <c r="N128" s="16" t="e">
        <f t="shared" ca="1" si="4"/>
        <v>#NAME?</v>
      </c>
      <c r="O128" s="153">
        <f ca="1">VLOOKUP($AB$2,'RF Mod'!$A$2:$G$12,5,FALSE)+VLOOKUP($AD$2,'RF Mod'!$I$2:$O$11,5,FALSE)+(TRUNC(6+(24-6)*(TRUNC(MOD(($Z128*1103515245 +12345)/ 65536, 32768),0)/32768),0))</f>
        <v>15</v>
      </c>
      <c r="P128" s="16" t="e">
        <f t="shared" ca="1" si="5"/>
        <v>#NAME?</v>
      </c>
      <c r="Q128" s="153">
        <f ca="1">VLOOKUP($AB$2,'RF Mod'!$A$2:$G$12,6,FALSE)+VLOOKUP($AD$2,'RF Mod'!$I$2:$O$11,6,FALSE)+(TRUNC(6+(24-6)*(TRUNC(MOD(($Z128*1103515245 +12345)/ 65536, 32768),0)/32768),0))</f>
        <v>13</v>
      </c>
      <c r="R128" s="16" t="e">
        <f t="shared" ca="1" si="6"/>
        <v>#NAME?</v>
      </c>
      <c r="S128" s="154">
        <f t="shared" ca="1" si="12"/>
        <v>152</v>
      </c>
      <c r="T128" s="154">
        <f t="shared" ca="1" si="7"/>
        <v>179</v>
      </c>
      <c r="U128" s="16" t="str">
        <f t="shared" ca="1" si="8"/>
        <v>Dead</v>
      </c>
      <c r="V128" s="155">
        <f ca="1">IFERROR(__xludf.DUMMYFUNCTION("if(W128=""Middle Age"",QUERY(NPCVar!$K$2:$N1000, ""Select L where K = '""&amp;AB128&amp;""'""),if(W128=""Old"",QUERY(NPCVar!$K$2:$N1000, ""Select M where K = '""&amp;AB128&amp;""'""),if(W128=""Venerable"",QUERY(NPCVar!$K$2:$N1000, ""Select N where K = '""&amp;AB128&amp;""'""),fa"&amp;"lse)))*X128"),144)</f>
        <v>144</v>
      </c>
      <c r="W128" s="156" t="str">
        <f t="array" ref="W128">INDEX(NPCAgeType,TRUNC(1+(4-1)*(TRUNC(MOD((X128*1103515245 +12345)/ 65536, 32768),0)/32768),0))</f>
        <v>Venerable</v>
      </c>
      <c r="X128" s="117">
        <f t="shared" si="13"/>
        <v>1.6</v>
      </c>
      <c r="Y128" s="157" t="e">
        <f t="array" aca="1" ref="Y128" ca="1">LOOKUP(ABS(MAX(Z128 + MIN(ABS(INDIRECT("Class Jobs!B"&amp;MATCH(E128,'Class Jobs'!$A$1:$A1000,0)&amp;":"&amp;"AF"&amp;MATCH(E128,'Class Jobs'!$A$1:$A1000,0)&amp;"")-$Z128)) * SUM(IF(MIN(ABS(INDIRECT("Class Jobs!B"&amp;MATCH(E128,'Class Jobs'!$A$1:$A1000,0)&amp;":"&amp;"AF"&amp;MATCH(E128,'Class Jobs'!$A$1:$A1000,0)&amp;"")-$Z128))=ABS(INDIRECT("Class Jobs!B"&amp;MATCH(E128,'Class Jobs'!$A$1:$A1000,0)&amp;":"&amp;"AF"&amp;MATCH(E128,'Class Jobs'!$A$1:$A1000,0)&amp;"")-$Z128),SIGN(INDIRECT("Class Jobs!B"&amp;MATCH(E128,'Class Jobs'!$A$1:A1000,0)&amp;":"&amp;"AF"&amp;MATCH(E128,'Class Jobs'!$A$1:$A1000,0)&amp;"")-$Z128),0)),0)),INDIRECT("Class Jobs!B"&amp;MATCH(E128,'Class Jobs'!$A$1:$A1000,0)&amp;":"&amp;"AF"&amp;MATCH(E128,'Class Jobs'!$A$1:$A1000,1)&amp;""),'Class Jobs'!$B$1:$AF$1)</f>
        <v>#REF!</v>
      </c>
      <c r="Z128" s="158">
        <f t="shared" si="10"/>
        <v>0.64</v>
      </c>
      <c r="AA128" s="16" t="str">
        <f t="array" ref="AA128">INDEX(NPCGender,TRUNC(1+(COUNTA(NPCGender))*(TRUNC(MOD(($B128*1103515245 +12345)/ 65536, 32768),0)/32768),0))</f>
        <v>Female</v>
      </c>
      <c r="AB128" s="16" t="str">
        <f t="array" ref="AB128">INDEX(NPCRace,TRUNC(1+(COUNTA(NPCRace))*(TRUNC(MOD(($B128*1103515245 +12345)/ 65536, 32768),0)/32768),0))</f>
        <v>Human</v>
      </c>
      <c r="AC128" s="16" t="str">
        <f t="array" ref="AC128">INDEX(NPCAL,TRUNC(1+(COUNTA(NPCAL))*(TRUNC(MOD(($B128*1103515245 +12345)/ 65536, 32768),0)/32768),0))</f>
        <v>NE</v>
      </c>
      <c r="AD128" s="72" t="str">
        <f ca="1">IFERROR(__xludf.DUMMYFUNCTION("if(V128&lt;15,QUERY(NPCVar!C:D,""Select D WHERE C = '""&amp;D128&amp;""'""),if((TRUNC(1+10)*(TRUNC(MOD((ROW(H128)*1103515245 +12345)/ 65536, 32768),0)/32768)/10) &gt; 0.85,INDEX(NPCFaction,TRUNC(1+(counta(NPCFaction)-1)*(TRUNC(MOD(($B128*1103515245 +12345)/ 65536, 3276"&amp;"8),0)/32768),0)),QUERY(NPCVar!C:D,""Select D WHERE C = '""&amp;D128&amp;""'"")))"),"Death Guild")</f>
        <v>Death Guild</v>
      </c>
      <c r="AE128" s="108" t="e">
        <f t="shared" ca="1" si="11"/>
        <v>#NAME?</v>
      </c>
      <c r="AF128" s="159">
        <f ca="1">IFERROR(__xludf.DUMMYFUNCTION("AE128*(V128 / QUERY(NPCVar!$K$2:$N$12, ""Select N WHERE K='""&amp;AB128&amp;""'""))*TRUNC(1+10)*(TRUNC(MOD(($B128*1103515245 +12345)/ 65536, 32768),0)/32768)"),4.51751953125)</f>
        <v>4.5175195312499996</v>
      </c>
      <c r="AG128" s="16"/>
      <c r="AH128" s="77"/>
      <c r="AI128" s="114"/>
    </row>
    <row r="129" spans="1:35" ht="16.2">
      <c r="A129" s="53">
        <v>128</v>
      </c>
      <c r="B129" s="118">
        <f t="shared" si="14"/>
        <v>0.24292</v>
      </c>
      <c r="C129" s="72" t="str">
        <f t="array" ref="C129">INDEX(NPCFName,TRUNC(1+(COUNTA(NPCFName))*(TRUNC(MOD(($B129*1103515245 +12345)/ 65536, 32768),0)/32768),0))</f>
        <v>Gryn</v>
      </c>
      <c r="D129" s="16" t="str">
        <f t="array" ref="D129">INDEX(NPCLName,TRUNC(1+(COUNTA(NPCLName))*(TRUNC(MOD(($B129*1103515245 +12345)/ 65536, 32768),0)/32768),0))</f>
        <v>Distantlash</v>
      </c>
      <c r="E129" s="16" t="str">
        <f t="array" ref="E129">INDEX(NPCClass,TRUNC(1+(COUNTA(NPCClass))*(TRUNC(MOD(($B129*1103515245 +12345)/ 65536, 32768),0)/32768),0))</f>
        <v>Bard</v>
      </c>
      <c r="F129" s="76">
        <v>1</v>
      </c>
      <c r="G129" s="153">
        <f ca="1">VLOOKUP($AB$2,'RF Mod'!$A$2:$G$12,2,FALSE)+VLOOKUP($AD$2,'RF Mod'!$I$2:$O$11,2,FALSE)+(TRUNC(6+(24-6)*(TRUNC(MOD(($Z129*1103515245 +12345)/ 65536, 32768),0)/32768),0))</f>
        <v>5</v>
      </c>
      <c r="H129" s="16">
        <f t="shared" ca="1" si="1"/>
        <v>-3</v>
      </c>
      <c r="I129" s="153">
        <f ca="1">VLOOKUP($AB$2,'RF Mod'!$A$2:$G$12,3,FALSE)+VLOOKUP($AD$2,'RF Mod'!$I$2:$O$11,3,FALSE)+(TRUNC(6+(24-6)*(TRUNC(MOD(($Z129*1103515245 +12345)/ 65536, 32768),0)/32768),0))</f>
        <v>9</v>
      </c>
      <c r="J129" s="16">
        <f t="shared" ca="1" si="2"/>
        <v>-1</v>
      </c>
      <c r="K129" s="153">
        <f ca="1">VLOOKUP($AB$2,'RF Mod'!$A$2:$G$12,3,FALSE)+VLOOKUP($AD$2,'RF Mod'!$I$2:$O$11,3,FALSE)+(TRUNC(6+(24-6)*(TRUNC(MOD(($Z129*1103515245 +12345)/ 65536, 32768),0)/32768),0))</f>
        <v>9</v>
      </c>
      <c r="L129" s="16">
        <f t="shared" ca="1" si="3"/>
        <v>-1</v>
      </c>
      <c r="M129" s="153">
        <f ca="1">VLOOKUP($AB$2,'RF Mod'!$A$2:$G$12,4,FALSE)+VLOOKUP($AD$2,'RF Mod'!$I$2:$O$11,4,FALSE)+(TRUNC(6+(24-6)*(TRUNC(MOD(($Z129*1103515245 +12345)/ 65536, 32768),0)/32768),0))</f>
        <v>8</v>
      </c>
      <c r="N129" s="16">
        <f t="shared" ca="1" si="4"/>
        <v>-1</v>
      </c>
      <c r="O129" s="153">
        <f ca="1">VLOOKUP($AB$2,'RF Mod'!$A$2:$G$12,5,FALSE)+VLOOKUP($AD$2,'RF Mod'!$I$2:$O$11,5,FALSE)+(TRUNC(6+(24-6)*(TRUNC(MOD(($Z129*1103515245 +12345)/ 65536, 32768),0)/32768),0))</f>
        <v>11</v>
      </c>
      <c r="P129" s="16" t="e">
        <f t="shared" ca="1" si="5"/>
        <v>#NAME?</v>
      </c>
      <c r="Q129" s="153">
        <f ca="1">VLOOKUP($AB$2,'RF Mod'!$A$2:$G$12,6,FALSE)+VLOOKUP($AD$2,'RF Mod'!$I$2:$O$11,6,FALSE)+(TRUNC(6+(24-6)*(TRUNC(MOD(($Z129*1103515245 +12345)/ 65536, 32768),0)/32768),0))</f>
        <v>9</v>
      </c>
      <c r="R129" s="16">
        <f t="shared" ca="1" si="6"/>
        <v>-1</v>
      </c>
      <c r="S129" s="154">
        <f t="shared" ca="1" si="12"/>
        <v>11</v>
      </c>
      <c r="T129" s="154">
        <f t="shared" ca="1" si="7"/>
        <v>2</v>
      </c>
      <c r="U129" s="16" t="str">
        <f t="shared" ca="1" si="8"/>
        <v>Fine</v>
      </c>
      <c r="V129" s="155">
        <f ca="1">IFERROR(__xludf.DUMMYFUNCTION("if(W129=""Middle Age"",QUERY(NPCVar!$K$2:$N1000, ""Select L where K = '""&amp;AB129&amp;""'""),if(W129=""Old"",QUERY(NPCVar!$K$2:$N1000, ""Select M where K = '""&amp;AB129&amp;""'""),if(W129=""Venerable"",QUERY(NPCVar!$K$2:$N1000, ""Select N where K = '""&amp;AB129&amp;""'""),fa"&amp;"lse)))*X129"),24)</f>
        <v>24</v>
      </c>
      <c r="W129" s="156" t="str">
        <f t="array" ref="W129">INDEX(NPCAgeType,TRUNC(1+(4-1)*(TRUNC(MOD((X129*1103515245 +12345)/ 65536, 32768),0)/32768),0))</f>
        <v>Middle Age</v>
      </c>
      <c r="X129" s="117">
        <f t="shared" si="13"/>
        <v>0.3</v>
      </c>
      <c r="Y129" s="157" t="e">
        <f t="array" aca="1" ref="Y129" ca="1">LOOKUP(ABS(MAX(Z129 + MIN(ABS(INDIRECT("Class Jobs!B"&amp;MATCH(E129,'Class Jobs'!$A$1:$A1000,0)&amp;":"&amp;"AF"&amp;MATCH(E129,'Class Jobs'!$A$1:$A1000,0)&amp;"")-$Z129)) * SUM(IF(MIN(ABS(INDIRECT("Class Jobs!B"&amp;MATCH(E129,'Class Jobs'!$A$1:$A1000,0)&amp;":"&amp;"AF"&amp;MATCH(E129,'Class Jobs'!$A$1:$A1000,0)&amp;"")-$Z129))=ABS(INDIRECT("Class Jobs!B"&amp;MATCH(E129,'Class Jobs'!$A$1:$A1000,0)&amp;":"&amp;"AF"&amp;MATCH(E129,'Class Jobs'!$A$1:$A1000,0)&amp;"")-$Z129),SIGN(INDIRECT("Class Jobs!B"&amp;MATCH(E129,'Class Jobs'!$A$1:A1000,0)&amp;":"&amp;"AF"&amp;MATCH(E129,'Class Jobs'!$A$1:$A1000,0)&amp;"")-$Z129),0)),0)),INDIRECT("Class Jobs!B"&amp;MATCH(E129,'Class Jobs'!$A$1:$A1000,0)&amp;":"&amp;"AF"&amp;MATCH(E129,'Class Jobs'!$A$1:$A1000,1)&amp;""),'Class Jobs'!$B$1:$AF$1)</f>
        <v>#REF!</v>
      </c>
      <c r="Z129" s="158">
        <f t="shared" si="10"/>
        <v>0.13</v>
      </c>
      <c r="AA129" s="16" t="str">
        <f t="array" ref="AA129">INDEX(NPCGender,TRUNC(1+(COUNTA(NPCGender))*(TRUNC(MOD(($B129*1103515245 +12345)/ 65536, 32768),0)/32768),0))</f>
        <v>Male</v>
      </c>
      <c r="AB129" s="16" t="str">
        <f t="array" ref="AB129">INDEX(NPCRace,TRUNC(1+(COUNTA(NPCRace))*(TRUNC(MOD(($B129*1103515245 +12345)/ 65536, 32768),0)/32768),0))</f>
        <v>Dwarf</v>
      </c>
      <c r="AC129" s="16" t="str">
        <f t="array" ref="AC129">INDEX(NPCAL,TRUNC(1+(COUNTA(NPCAL))*(TRUNC(MOD(($B129*1103515245 +12345)/ 65536, 32768),0)/32768),0))</f>
        <v>CE</v>
      </c>
      <c r="AD129" s="72" t="str">
        <f ca="1">IFERROR(__xludf.DUMMYFUNCTION("if(V129&lt;15,QUERY(NPCVar!C:D,""Select D WHERE C = '""&amp;D129&amp;""'""),if((TRUNC(1+10)*(TRUNC(MOD((ROW(H129)*1103515245 +12345)/ 65536, 32768),0)/32768)/10) &gt; 0.85,INDEX(NPCFaction,TRUNC(1+(counta(NPCFaction)-1)*(TRUNC(MOD(($B129*1103515245 +12345)/ 65536, 3276"&amp;"8),0)/32768),0)),QUERY(NPCVar!C:D,""Select D WHERE C = '""&amp;D129&amp;""'"")))"),"Death Guild")</f>
        <v>Death Guild</v>
      </c>
      <c r="AE129" s="108" t="e">
        <f t="shared" ca="1" si="11"/>
        <v>#NAME?</v>
      </c>
      <c r="AF129" s="159">
        <f ca="1">IFERROR(__xludf.DUMMYFUNCTION("AE129*(V129 / QUERY(NPCVar!$K$2:$N$12, ""Select N WHERE K='""&amp;AB129&amp;""'""))*TRUNC(1+10)*(TRUNC(MOD(($B129*1103515245 +12345)/ 65536, 32768),0)/32768)"),0.0411895751953124)</f>
        <v>4.1189575195312397E-2</v>
      </c>
      <c r="AG129" s="16"/>
      <c r="AH129" s="77"/>
      <c r="AI129" s="114"/>
    </row>
    <row r="130" spans="1:35" ht="16.2">
      <c r="A130" s="53">
        <v>129</v>
      </c>
      <c r="B130" s="118">
        <f t="shared" ref="B130:B193" si="15">(TRUNC(1+(250000-1)*(TRUNC(MOD(((Seed*ROW())*1103515245 +12345)/ 65536, 32768),0)/32768),0))/100000</f>
        <v>1.73706</v>
      </c>
      <c r="C130" s="72" t="str">
        <f t="array" ref="C130">INDEX(NPCFName,TRUNC(1+(COUNTA(NPCFName))*(TRUNC(MOD(($B130*1103515245 +12345)/ 65536, 32768),0)/32768),0))</f>
        <v>Phexides</v>
      </c>
      <c r="D130" s="16" t="str">
        <f t="array" ref="D130">INDEX(NPCLName,TRUNC(1+(COUNTA(NPCLName))*(TRUNC(MOD(($B130*1103515245 +12345)/ 65536, 32768),0)/32768),0))</f>
        <v>Forestbluff</v>
      </c>
      <c r="E130" s="16" t="str">
        <f t="array" ref="E130">INDEX(NPCClass,TRUNC(1+(COUNTA(NPCClass))*(TRUNC(MOD(($B130*1103515245 +12345)/ 65536, 32768),0)/32768),0))</f>
        <v>Fighter</v>
      </c>
      <c r="F130" s="76">
        <v>8</v>
      </c>
      <c r="G130" s="153">
        <f ca="1">VLOOKUP($AB$2,'RF Mod'!$A$2:$G$12,2,FALSE)+VLOOKUP($AD$2,'RF Mod'!$I$2:$O$11,2,FALSE)+(TRUNC(6+(24-6)*(TRUNC(MOD(($Z130*1103515245 +12345)/ 65536, 32768),0)/32768),0))</f>
        <v>12</v>
      </c>
      <c r="H130" s="16" t="e">
        <f t="shared" ca="1" si="1"/>
        <v>#NAME?</v>
      </c>
      <c r="I130" s="153">
        <f ca="1">VLOOKUP($AB$2,'RF Mod'!$A$2:$G$12,3,FALSE)+VLOOKUP($AD$2,'RF Mod'!$I$2:$O$11,3,FALSE)+(TRUNC(6+(24-6)*(TRUNC(MOD(($Z130*1103515245 +12345)/ 65536, 32768),0)/32768),0))</f>
        <v>16</v>
      </c>
      <c r="J130" s="16" t="e">
        <f t="shared" ca="1" si="2"/>
        <v>#NAME?</v>
      </c>
      <c r="K130" s="153">
        <f ca="1">VLOOKUP($AB$2,'RF Mod'!$A$2:$G$12,3,FALSE)+VLOOKUP($AD$2,'RF Mod'!$I$2:$O$11,3,FALSE)+(TRUNC(6+(24-6)*(TRUNC(MOD(($Z130*1103515245 +12345)/ 65536, 32768),0)/32768),0))</f>
        <v>16</v>
      </c>
      <c r="L130" s="16" t="e">
        <f t="shared" ca="1" si="3"/>
        <v>#NAME?</v>
      </c>
      <c r="M130" s="153">
        <f ca="1">VLOOKUP($AB$2,'RF Mod'!$A$2:$G$12,4,FALSE)+VLOOKUP($AD$2,'RF Mod'!$I$2:$O$11,4,FALSE)+(TRUNC(6+(24-6)*(TRUNC(MOD(($Z130*1103515245 +12345)/ 65536, 32768),0)/32768),0))</f>
        <v>15</v>
      </c>
      <c r="N130" s="16" t="e">
        <f t="shared" ca="1" si="4"/>
        <v>#NAME?</v>
      </c>
      <c r="O130" s="153">
        <f ca="1">VLOOKUP($AB$2,'RF Mod'!$A$2:$G$12,5,FALSE)+VLOOKUP($AD$2,'RF Mod'!$I$2:$O$11,5,FALSE)+(TRUNC(6+(24-6)*(TRUNC(MOD(($Z130*1103515245 +12345)/ 65536, 32768),0)/32768),0))</f>
        <v>18</v>
      </c>
      <c r="P130" s="16" t="e">
        <f t="shared" ca="1" si="5"/>
        <v>#NAME?</v>
      </c>
      <c r="Q130" s="153">
        <f ca="1">VLOOKUP($AB$2,'RF Mod'!$A$2:$G$12,6,FALSE)+VLOOKUP($AD$2,'RF Mod'!$I$2:$O$11,6,FALSE)+(TRUNC(6+(24-6)*(TRUNC(MOD(($Z130*1103515245 +12345)/ 65536, 32768),0)/32768),0))</f>
        <v>16</v>
      </c>
      <c r="R130" s="16" t="e">
        <f t="shared" ca="1" si="6"/>
        <v>#NAME?</v>
      </c>
      <c r="S130" s="154">
        <f t="shared" ca="1" si="12"/>
        <v>144</v>
      </c>
      <c r="T130" s="154">
        <f t="shared" ca="1" si="7"/>
        <v>151</v>
      </c>
      <c r="U130" s="16" t="str">
        <f t="shared" ca="1" si="8"/>
        <v>Dead</v>
      </c>
      <c r="V130" s="155">
        <f ca="1">IFERROR(__xludf.DUMMYFUNCTION("if(W130=""Middle Age"",QUERY(NPCVar!$K$2:$N1000, ""Select L where K = '""&amp;AB130&amp;""'""),if(W130=""Old"",QUERY(NPCVar!$K$2:$N1000, ""Select M where K = '""&amp;AB130&amp;""'""),if(W130=""Venerable"",QUERY(NPCVar!$K$2:$N1000, ""Select N where K = '""&amp;AB130&amp;""'""),fa"&amp;"lse)))*X130"),60.5)</f>
        <v>60.5</v>
      </c>
      <c r="W130" s="156" t="str">
        <f t="array" ref="W130">INDEX(NPCAgeType,TRUNC(1+(4-1)*(TRUNC(MOD((X130*1103515245 +12345)/ 65536, 32768),0)/32768),0))</f>
        <v>Middle Age</v>
      </c>
      <c r="X130" s="117">
        <f t="shared" si="13"/>
        <v>2.2000000000000002</v>
      </c>
      <c r="Y130" s="157" t="e">
        <f t="array" aca="1" ref="Y130" ca="1">LOOKUP(ABS(MAX(Z130 + MIN(ABS(INDIRECT("Class Jobs!B"&amp;MATCH(E130,'Class Jobs'!$A$1:$A1000,0)&amp;":"&amp;"AF"&amp;MATCH(E130,'Class Jobs'!$A$1:$A1000,0)&amp;"")-$Z130)) * SUM(IF(MIN(ABS(INDIRECT("Class Jobs!B"&amp;MATCH(E130,'Class Jobs'!$A$1:$A1000,0)&amp;":"&amp;"AF"&amp;MATCH(E130,'Class Jobs'!$A$1:$A1000,0)&amp;"")-$Z130))=ABS(INDIRECT("Class Jobs!B"&amp;MATCH(E130,'Class Jobs'!$A$1:$A1000,0)&amp;":"&amp;"AF"&amp;MATCH(E130,'Class Jobs'!$A$1:$A1000,0)&amp;"")-$Z130),SIGN(INDIRECT("Class Jobs!B"&amp;MATCH(E130,'Class Jobs'!$A$1:A1000,0)&amp;":"&amp;"AF"&amp;MATCH(E130,'Class Jobs'!$A$1:$A1000,0)&amp;"")-$Z130),0)),0)),INDIRECT("Class Jobs!B"&amp;MATCH(E130,'Class Jobs'!$A$1:$A1000,0)&amp;":"&amp;"AF"&amp;MATCH(E130,'Class Jobs'!$A$1:$A1000,1)&amp;""),'Class Jobs'!$B$1:$AF$1)</f>
        <v>#REF!</v>
      </c>
      <c r="Z130" s="158">
        <f t="shared" si="10"/>
        <v>0.89</v>
      </c>
      <c r="AA130" s="16" t="str">
        <f t="array" ref="AA130">INDEX(NPCGender,TRUNC(1+(COUNTA(NPCGender))*(TRUNC(MOD(($B130*1103515245 +12345)/ 65536, 32768),0)/32768),0))</f>
        <v>Neutral</v>
      </c>
      <c r="AB130" s="16" t="str">
        <f t="array" ref="AB130">INDEX(NPCRace,TRUNC(1+(COUNTA(NPCRace))*(TRUNC(MOD(($B130*1103515245 +12345)/ 65536, 32768),0)/32768),0))</f>
        <v>Genasi</v>
      </c>
      <c r="AC130" s="16" t="str">
        <f t="array" ref="AC130">INDEX(NPCAL,TRUNC(1+(COUNTA(NPCAL))*(TRUNC(MOD(($B130*1103515245 +12345)/ 65536, 32768),0)/32768),0))</f>
        <v>LE</v>
      </c>
      <c r="AD130" s="72" t="str">
        <f ca="1">IFERROR(__xludf.DUMMYFUNCTION("if(V130&lt;15,QUERY(NPCVar!C:D,""Select D WHERE C = '""&amp;D130&amp;""'""),if((TRUNC(1+10)*(TRUNC(MOD((ROW(H130)*1103515245 +12345)/ 65536, 32768),0)/32768)/10) &gt; 0.85,INDEX(NPCFaction,TRUNC(1+(counta(NPCFaction)-1)*(TRUNC(MOD(($B130*1103515245 +12345)/ 65536, 3276"&amp;"8),0)/32768),0)),QUERY(NPCVar!C:D,""Select D WHERE C = '""&amp;D130&amp;""'"")))"),"Traverlers Guild")</f>
        <v>Traverlers Guild</v>
      </c>
      <c r="AE130" s="108" t="e">
        <f t="shared" ca="1" si="11"/>
        <v>#NAME?</v>
      </c>
      <c r="AF130" s="159">
        <f ca="1">IFERROR(__xludf.DUMMYFUNCTION("AE130*(V130 / QUERY(NPCVar!$K$2:$N$12, ""Select N WHERE K='""&amp;AB130&amp;""'""))*TRUNC(1+10)*(TRUNC(MOD(($B130*1103515245 +12345)/ 65536, 32768),0)/32768)"),2.16011291503906)</f>
        <v>2.1601129150390599</v>
      </c>
      <c r="AG130" s="16"/>
      <c r="AH130" s="77"/>
      <c r="AI130" s="114"/>
    </row>
    <row r="131" spans="1:35" ht="16.2">
      <c r="A131" s="53">
        <v>130</v>
      </c>
      <c r="B131" s="118">
        <f t="shared" si="15"/>
        <v>0.73119999999999996</v>
      </c>
      <c r="C131" s="72" t="str">
        <f t="array" ref="C131">INDEX(NPCFName,TRUNC(1+(COUNTA(NPCFName))*(TRUNC(MOD(($B131*1103515245 +12345)/ 65536, 32768),0)/32768),0))</f>
        <v>Buthomar</v>
      </c>
      <c r="D131" s="16" t="str">
        <f t="array" ref="D131">INDEX(NPCLName,TRUNC(1+(COUNTA(NPCLName))*(TRUNC(MOD(($B131*1103515245 +12345)/ 65536, 32768),0)/32768),0))</f>
        <v>Fistroot</v>
      </c>
      <c r="E131" s="16" t="str">
        <f t="array" ref="E131">INDEX(NPCClass,TRUNC(1+(COUNTA(NPCClass))*(TRUNC(MOD(($B131*1103515245 +12345)/ 65536, 32768),0)/32768),0))</f>
        <v>Paladin</v>
      </c>
      <c r="F131" s="76">
        <v>1</v>
      </c>
      <c r="G131" s="153">
        <f ca="1">VLOOKUP($AB$2,'RF Mod'!$A$2:$G$12,2,FALSE)+VLOOKUP($AD$2,'RF Mod'!$I$2:$O$11,2,FALSE)+(TRUNC(6+(24-6)*(TRUNC(MOD(($Z131*1103515245 +12345)/ 65536, 32768),0)/32768),0))</f>
        <v>7</v>
      </c>
      <c r="H131" s="16">
        <f t="shared" ca="1" si="1"/>
        <v>-2</v>
      </c>
      <c r="I131" s="153">
        <f ca="1">VLOOKUP($AB$2,'RF Mod'!$A$2:$G$12,3,FALSE)+VLOOKUP($AD$2,'RF Mod'!$I$2:$O$11,3,FALSE)+(TRUNC(6+(24-6)*(TRUNC(MOD(($Z131*1103515245 +12345)/ 65536, 32768),0)/32768),0))</f>
        <v>11</v>
      </c>
      <c r="J131" s="16" t="e">
        <f t="shared" ca="1" si="2"/>
        <v>#NAME?</v>
      </c>
      <c r="K131" s="153">
        <f ca="1">VLOOKUP($AB$2,'RF Mod'!$A$2:$G$12,3,FALSE)+VLOOKUP($AD$2,'RF Mod'!$I$2:$O$11,3,FALSE)+(TRUNC(6+(24-6)*(TRUNC(MOD(($Z131*1103515245 +12345)/ 65536, 32768),0)/32768),0))</f>
        <v>11</v>
      </c>
      <c r="L131" s="16" t="e">
        <f t="shared" ca="1" si="3"/>
        <v>#NAME?</v>
      </c>
      <c r="M131" s="153">
        <f ca="1">VLOOKUP($AB$2,'RF Mod'!$A$2:$G$12,4,FALSE)+VLOOKUP($AD$2,'RF Mod'!$I$2:$O$11,4,FALSE)+(TRUNC(6+(24-6)*(TRUNC(MOD(($Z131*1103515245 +12345)/ 65536, 32768),0)/32768),0))</f>
        <v>10</v>
      </c>
      <c r="N131" s="16" t="e">
        <f t="shared" ca="1" si="4"/>
        <v>#NAME?</v>
      </c>
      <c r="O131" s="153">
        <f ca="1">VLOOKUP($AB$2,'RF Mod'!$A$2:$G$12,5,FALSE)+VLOOKUP($AD$2,'RF Mod'!$I$2:$O$11,5,FALSE)+(TRUNC(6+(24-6)*(TRUNC(MOD(($Z131*1103515245 +12345)/ 65536, 32768),0)/32768),0))</f>
        <v>13</v>
      </c>
      <c r="P131" s="16" t="e">
        <f t="shared" ca="1" si="5"/>
        <v>#NAME?</v>
      </c>
      <c r="Q131" s="153">
        <f ca="1">VLOOKUP($AB$2,'RF Mod'!$A$2:$G$12,6,FALSE)+VLOOKUP($AD$2,'RF Mod'!$I$2:$O$11,6,FALSE)+(TRUNC(6+(24-6)*(TRUNC(MOD(($Z131*1103515245 +12345)/ 65536, 32768),0)/32768),0))</f>
        <v>11</v>
      </c>
      <c r="R131" s="16" t="e">
        <f t="shared" ca="1" si="6"/>
        <v>#NAME?</v>
      </c>
      <c r="S131" s="154">
        <f t="shared" ca="1" si="12"/>
        <v>23</v>
      </c>
      <c r="T131" s="154">
        <f t="shared" ca="1" si="7"/>
        <v>19</v>
      </c>
      <c r="U131" s="16" t="str">
        <f t="shared" ca="1" si="8"/>
        <v>Bloody</v>
      </c>
      <c r="V131" s="155">
        <f ca="1">IFERROR(__xludf.DUMMYFUNCTION("if(W131=""Middle Age"",QUERY(NPCVar!$K$2:$N1000, ""Select L where K = '""&amp;AB131&amp;""'""),if(W131=""Old"",QUERY(NPCVar!$K$2:$N1000, ""Select M where K = '""&amp;AB131&amp;""'""),if(W131=""Venerable"",QUERY(NPCVar!$K$2:$N1000, ""Select N where K = '""&amp;AB131&amp;""'""),fa"&amp;"lse)))*X131"),67.5)</f>
        <v>67.5</v>
      </c>
      <c r="W131" s="156" t="str">
        <f t="array" ref="W131">INDEX(NPCAgeType,TRUNC(1+(4-1)*(TRUNC(MOD((X131*1103515245 +12345)/ 65536, 32768),0)/32768),0))</f>
        <v>Old</v>
      </c>
      <c r="X131" s="117">
        <f t="shared" si="13"/>
        <v>1</v>
      </c>
      <c r="Y131" s="157" t="e">
        <f t="array" aca="1" ref="Y131" ca="1">LOOKUP(ABS(MAX(Z131 + MIN(ABS(INDIRECT("Class Jobs!B"&amp;MATCH(E131,'Class Jobs'!$A$1:$A1000,0)&amp;":"&amp;"AF"&amp;MATCH(E131,'Class Jobs'!$A$1:$A1000,0)&amp;"")-$Z131)) * SUM(IF(MIN(ABS(INDIRECT("Class Jobs!B"&amp;MATCH(E131,'Class Jobs'!$A$1:$A1000,0)&amp;":"&amp;"AF"&amp;MATCH(E131,'Class Jobs'!$A$1:$A1000,0)&amp;"")-$Z131))=ABS(INDIRECT("Class Jobs!B"&amp;MATCH(E131,'Class Jobs'!$A$1:$A1000,0)&amp;":"&amp;"AF"&amp;MATCH(E131,'Class Jobs'!$A$1:$A1000,0)&amp;"")-$Z131),SIGN(INDIRECT("Class Jobs!B"&amp;MATCH(E131,'Class Jobs'!$A$1:A1000,0)&amp;":"&amp;"AF"&amp;MATCH(E131,'Class Jobs'!$A$1:$A1000,0)&amp;"")-$Z131),0)),0)),INDIRECT("Class Jobs!B"&amp;MATCH(E131,'Class Jobs'!$A$1:$A1000,0)&amp;":"&amp;"AF"&amp;MATCH(E131,'Class Jobs'!$A$1:$A1000,1)&amp;""),'Class Jobs'!$B$1:$AF$1)</f>
        <v>#REF!</v>
      </c>
      <c r="Z131" s="158">
        <f t="shared" si="10"/>
        <v>0.38</v>
      </c>
      <c r="AA131" s="16" t="str">
        <f t="array" ref="AA131">INDEX(NPCGender,TRUNC(1+(COUNTA(NPCGender))*(TRUNC(MOD(($B131*1103515245 +12345)/ 65536, 32768),0)/32768),0))</f>
        <v>Female</v>
      </c>
      <c r="AB131" s="16" t="str">
        <f t="array" ref="AB131">INDEX(NPCRace,TRUNC(1+(COUNTA(NPCRace))*(TRUNC(MOD(($B131*1103515245 +12345)/ 65536, 32768),0)/32768),0))</f>
        <v>Half-Elf</v>
      </c>
      <c r="AC131" s="16" t="str">
        <f t="array" ref="AC131">INDEX(NPCAL,TRUNC(1+(COUNTA(NPCAL))*(TRUNC(MOD(($B131*1103515245 +12345)/ 65536, 32768),0)/32768),0))</f>
        <v>NG</v>
      </c>
      <c r="AD131" s="72" t="str">
        <f ca="1">IFERROR(__xludf.DUMMYFUNCTION("if(V131&lt;15,QUERY(NPCVar!C:D,""Select D WHERE C = '""&amp;D131&amp;""'""),if((TRUNC(1+10)*(TRUNC(MOD((ROW(H131)*1103515245 +12345)/ 65536, 32768),0)/32768)/10) &gt; 0.85,INDEX(NPCFaction,TRUNC(1+(counta(NPCFaction)-1)*(TRUNC(MOD(($B131*1103515245 +12345)/ 65536, 3276"&amp;"8),0)/32768),0)),QUERY(NPCVar!C:D,""Select D WHERE C = '""&amp;D131&amp;""'"")))"),"Magic Guild")</f>
        <v>Magic Guild</v>
      </c>
      <c r="AE131" s="108" t="e">
        <f t="shared" ca="1" si="11"/>
        <v>#NAME?</v>
      </c>
      <c r="AF131" s="159">
        <f ca="1">IFERROR(__xludf.DUMMYFUNCTION("AE131*(V131 / QUERY(NPCVar!$K$2:$N$12, ""Select N WHERE K='""&amp;AB131&amp;""'""))*TRUNC(1+10)*(TRUNC(MOD(($B131*1103515245 +12345)/ 65536, 32768),0)/32768)"),1.08492736816406)</f>
        <v>1.0849273681640601</v>
      </c>
      <c r="AG131" s="16"/>
      <c r="AH131" s="77"/>
      <c r="AI131" s="114"/>
    </row>
    <row r="132" spans="1:35" ht="16.2">
      <c r="A132" s="53">
        <v>131</v>
      </c>
      <c r="B132" s="118">
        <f t="shared" si="15"/>
        <v>2.2253400000000001</v>
      </c>
      <c r="C132" s="72" t="str">
        <f t="array" ref="C132">INDEX(NPCFName,TRUNC(1+(COUNTA(NPCFName))*(TRUNC(MOD(($B132*1103515245 +12345)/ 65536, 32768),0)/32768),0))</f>
        <v>Ipedorn</v>
      </c>
      <c r="D132" s="16" t="str">
        <f t="array" ref="D132">INDEX(NPCLName,TRUNC(1+(COUNTA(NPCLName))*(TRUNC(MOD(($B132*1103515245 +12345)/ 65536, 32768),0)/32768),0))</f>
        <v>Fistwing</v>
      </c>
      <c r="E132" s="16" t="str">
        <f t="array" ref="E132">INDEX(NPCClass,TRUNC(1+(COUNTA(NPCClass))*(TRUNC(MOD(($B132*1103515245 +12345)/ 65536, 32768),0)/32768),0))</f>
        <v>Bard</v>
      </c>
      <c r="F132" s="76">
        <v>1</v>
      </c>
      <c r="G132" s="153">
        <f ca="1">VLOOKUP($AB$2,'RF Mod'!$A$2:$G$12,2,FALSE)+VLOOKUP($AD$2,'RF Mod'!$I$2:$O$11,2,FALSE)+(TRUNC(6+(24-6)*(TRUNC(MOD(($Z132*1103515245 +12345)/ 65536, 32768),0)/32768),0))</f>
        <v>5</v>
      </c>
      <c r="H132" s="16">
        <f t="shared" ca="1" si="1"/>
        <v>-3</v>
      </c>
      <c r="I132" s="153">
        <f ca="1">VLOOKUP($AB$2,'RF Mod'!$A$2:$G$12,3,FALSE)+VLOOKUP($AD$2,'RF Mod'!$I$2:$O$11,3,FALSE)+(TRUNC(6+(24-6)*(TRUNC(MOD(($Z132*1103515245 +12345)/ 65536, 32768),0)/32768),0))</f>
        <v>9</v>
      </c>
      <c r="J132" s="16">
        <f t="shared" ca="1" si="2"/>
        <v>-1</v>
      </c>
      <c r="K132" s="153">
        <f ca="1">VLOOKUP($AB$2,'RF Mod'!$A$2:$G$12,3,FALSE)+VLOOKUP($AD$2,'RF Mod'!$I$2:$O$11,3,FALSE)+(TRUNC(6+(24-6)*(TRUNC(MOD(($Z132*1103515245 +12345)/ 65536, 32768),0)/32768),0))</f>
        <v>9</v>
      </c>
      <c r="L132" s="16">
        <f t="shared" ca="1" si="3"/>
        <v>-1</v>
      </c>
      <c r="M132" s="153">
        <f ca="1">VLOOKUP($AB$2,'RF Mod'!$A$2:$G$12,4,FALSE)+VLOOKUP($AD$2,'RF Mod'!$I$2:$O$11,4,FALSE)+(TRUNC(6+(24-6)*(TRUNC(MOD(($Z132*1103515245 +12345)/ 65536, 32768),0)/32768),0))</f>
        <v>8</v>
      </c>
      <c r="N132" s="16">
        <f t="shared" ca="1" si="4"/>
        <v>-1</v>
      </c>
      <c r="O132" s="153">
        <f ca="1">VLOOKUP($AB$2,'RF Mod'!$A$2:$G$12,5,FALSE)+VLOOKUP($AD$2,'RF Mod'!$I$2:$O$11,5,FALSE)+(TRUNC(6+(24-6)*(TRUNC(MOD(($Z132*1103515245 +12345)/ 65536, 32768),0)/32768),0))</f>
        <v>11</v>
      </c>
      <c r="P132" s="16" t="e">
        <f t="shared" ca="1" si="5"/>
        <v>#NAME?</v>
      </c>
      <c r="Q132" s="153">
        <f ca="1">VLOOKUP($AB$2,'RF Mod'!$A$2:$G$12,6,FALSE)+VLOOKUP($AD$2,'RF Mod'!$I$2:$O$11,6,FALSE)+(TRUNC(6+(24-6)*(TRUNC(MOD(($Z132*1103515245 +12345)/ 65536, 32768),0)/32768),0))</f>
        <v>9</v>
      </c>
      <c r="R132" s="16">
        <f t="shared" ca="1" si="6"/>
        <v>-1</v>
      </c>
      <c r="S132" s="154">
        <f t="shared" ca="1" si="12"/>
        <v>11</v>
      </c>
      <c r="T132" s="154">
        <f t="shared" ca="1" si="7"/>
        <v>5</v>
      </c>
      <c r="U132" s="16" t="str">
        <f t="shared" ca="1" si="8"/>
        <v>Fine</v>
      </c>
      <c r="V132" s="155">
        <f ca="1">IFERROR(__xludf.DUMMYFUNCTION("if(W132=""Middle Age"",QUERY(NPCVar!$K$2:$N1000, ""Select L where K = '""&amp;AB132&amp;""'""),if(W132=""Old"",QUERY(NPCVar!$K$2:$N1000, ""Select M where K = '""&amp;AB132&amp;""'""),if(W132=""Venerable"",QUERY(NPCVar!$K$2:$N1000, ""Select N where K = '""&amp;AB132&amp;""'""),fa"&amp;"lse)))*X132"),32)</f>
        <v>32</v>
      </c>
      <c r="W132" s="156" t="str">
        <f t="array" ref="W132">INDEX(NPCAgeType,TRUNC(1+(4-1)*(TRUNC(MOD((X132*1103515245 +12345)/ 65536, 32768),0)/32768),0))</f>
        <v>Middle Age</v>
      </c>
      <c r="X132" s="117">
        <f t="shared" si="13"/>
        <v>0.4</v>
      </c>
      <c r="Y132" s="157" t="e">
        <f t="array" aca="1" ref="Y132" ca="1">LOOKUP(ABS(MAX(Z132 + MIN(ABS(INDIRECT("Class Jobs!B"&amp;MATCH(E132,'Class Jobs'!$A$1:$A1000,0)&amp;":"&amp;"AF"&amp;MATCH(E132,'Class Jobs'!$A$1:$A1000,0)&amp;"")-$Z132)) * SUM(IF(MIN(ABS(INDIRECT("Class Jobs!B"&amp;MATCH(E132,'Class Jobs'!$A$1:$A1000,0)&amp;":"&amp;"AF"&amp;MATCH(E132,'Class Jobs'!$A$1:$A1000,0)&amp;"")-$Z132))=ABS(INDIRECT("Class Jobs!B"&amp;MATCH(E132,'Class Jobs'!$A$1:$A1000,0)&amp;":"&amp;"AF"&amp;MATCH(E132,'Class Jobs'!$A$1:$A1000,0)&amp;"")-$Z132),SIGN(INDIRECT("Class Jobs!B"&amp;MATCH(E132,'Class Jobs'!$A$1:A1000,0)&amp;":"&amp;"AF"&amp;MATCH(E132,'Class Jobs'!$A$1:$A1000,0)&amp;"")-$Z132),0)),0)),INDIRECT("Class Jobs!B"&amp;MATCH(E132,'Class Jobs'!$A$1:$A1000,0)&amp;":"&amp;"AF"&amp;MATCH(E132,'Class Jobs'!$A$1:$A1000,1)&amp;""),'Class Jobs'!$B$1:$AF$1)</f>
        <v>#REF!</v>
      </c>
      <c r="Z132" s="158">
        <f t="shared" si="10"/>
        <v>0.15</v>
      </c>
      <c r="AA132" s="16" t="str">
        <f t="array" ref="AA132">INDEX(NPCGender,TRUNC(1+(COUNTA(NPCGender))*(TRUNC(MOD(($B132*1103515245 +12345)/ 65536, 32768),0)/32768),0))</f>
        <v>Male</v>
      </c>
      <c r="AB132" s="16" t="str">
        <f t="array" ref="AB132">INDEX(NPCRace,TRUNC(1+(COUNTA(NPCRace))*(TRUNC(MOD(($B132*1103515245 +12345)/ 65536, 32768),0)/32768),0))</f>
        <v>Dwarf</v>
      </c>
      <c r="AC132" s="16" t="str">
        <f t="array" ref="AC132">INDEX(NPCAL,TRUNC(1+(COUNTA(NPCAL))*(TRUNC(MOD(($B132*1103515245 +12345)/ 65536, 32768),0)/32768),0))</f>
        <v>CE</v>
      </c>
      <c r="AD132" s="72" t="str">
        <f ca="1">IFERROR(__xludf.DUMMYFUNCTION("if(V132&lt;15,QUERY(NPCVar!C:D,""Select D WHERE C = '""&amp;D132&amp;""'""),if((TRUNC(1+10)*(TRUNC(MOD((ROW(H132)*1103515245 +12345)/ 65536, 32768),0)/32768)/10) &gt; 0.85,INDEX(NPCFaction,TRUNC(1+(counta(NPCFaction)-1)*(TRUNC(MOD(($B132*1103515245 +12345)/ 65536, 3276"&amp;"8),0)/32768),0)),QUERY(NPCVar!C:D,""Select D WHERE C = '""&amp;D132&amp;""'"")))"),"Necromancer")</f>
        <v>Necromancer</v>
      </c>
      <c r="AE132" s="108" t="e">
        <f t="shared" ca="1" si="11"/>
        <v>#NAME?</v>
      </c>
      <c r="AF132" s="159">
        <f ca="1">IFERROR(__xludf.DUMMYFUNCTION("AE132*(V132 / QUERY(NPCVar!$K$2:$N$12, ""Select N WHERE K='""&amp;AB132&amp;""'""))*TRUNC(1+10)*(TRUNC(MOD(($B132*1103515245 +12345)/ 65536, 32768),0)/32768)"),0)</f>
        <v>0</v>
      </c>
      <c r="AG132" s="16"/>
      <c r="AH132" s="77"/>
      <c r="AI132" s="114"/>
    </row>
    <row r="133" spans="1:35" ht="16.2">
      <c r="A133" s="53">
        <v>132</v>
      </c>
      <c r="B133" s="118">
        <f t="shared" si="15"/>
        <v>1.2194799999999999</v>
      </c>
      <c r="C133" s="72" t="str">
        <f t="array" ref="C133">INDEX(NPCFName,TRUNC(1+(COUNTA(NPCFName))*(TRUNC(MOD(($B133*1103515245 +12345)/ 65536, 32768),0)/32768),0))</f>
        <v>Tyden</v>
      </c>
      <c r="D133" s="16" t="str">
        <f t="array" ref="D133">INDEX(NPCLName,TRUNC(1+(COUNTA(NPCLName))*(TRUNC(MOD(($B133*1103515245 +12345)/ 65536, 32768),0)/32768),0))</f>
        <v>Gloomrage</v>
      </c>
      <c r="E133" s="16" t="str">
        <f t="array" ref="E133">INDEX(NPCClass,TRUNC(1+(COUNTA(NPCClass))*(TRUNC(MOD(($B133*1103515245 +12345)/ 65536, 32768),0)/32768),0))</f>
        <v>Warlock</v>
      </c>
      <c r="F133" s="76">
        <v>8</v>
      </c>
      <c r="G133" s="153">
        <f ca="1">VLOOKUP($AB$2,'RF Mod'!$A$2:$G$12,2,FALSE)+VLOOKUP($AD$2,'RF Mod'!$I$2:$O$11,2,FALSE)+(TRUNC(6+(24-6)*(TRUNC(MOD(($Z133*1103515245 +12345)/ 65536, 32768),0)/32768),0))</f>
        <v>9</v>
      </c>
      <c r="H133" s="16">
        <f t="shared" ca="1" si="1"/>
        <v>-1</v>
      </c>
      <c r="I133" s="153">
        <f ca="1">VLOOKUP($AB$2,'RF Mod'!$A$2:$G$12,3,FALSE)+VLOOKUP($AD$2,'RF Mod'!$I$2:$O$11,3,FALSE)+(TRUNC(6+(24-6)*(TRUNC(MOD(($Z133*1103515245 +12345)/ 65536, 32768),0)/32768),0))</f>
        <v>13</v>
      </c>
      <c r="J133" s="16" t="e">
        <f t="shared" ca="1" si="2"/>
        <v>#NAME?</v>
      </c>
      <c r="K133" s="153">
        <f ca="1">VLOOKUP($AB$2,'RF Mod'!$A$2:$G$12,3,FALSE)+VLOOKUP($AD$2,'RF Mod'!$I$2:$O$11,3,FALSE)+(TRUNC(6+(24-6)*(TRUNC(MOD(($Z133*1103515245 +12345)/ 65536, 32768),0)/32768),0))</f>
        <v>13</v>
      </c>
      <c r="L133" s="16" t="e">
        <f t="shared" ca="1" si="3"/>
        <v>#NAME?</v>
      </c>
      <c r="M133" s="153">
        <f ca="1">VLOOKUP($AB$2,'RF Mod'!$A$2:$G$12,4,FALSE)+VLOOKUP($AD$2,'RF Mod'!$I$2:$O$11,4,FALSE)+(TRUNC(6+(24-6)*(TRUNC(MOD(($Z133*1103515245 +12345)/ 65536, 32768),0)/32768),0))</f>
        <v>12</v>
      </c>
      <c r="N133" s="16" t="e">
        <f t="shared" ca="1" si="4"/>
        <v>#NAME?</v>
      </c>
      <c r="O133" s="153">
        <f ca="1">VLOOKUP($AB$2,'RF Mod'!$A$2:$G$12,5,FALSE)+VLOOKUP($AD$2,'RF Mod'!$I$2:$O$11,5,FALSE)+(TRUNC(6+(24-6)*(TRUNC(MOD(($Z133*1103515245 +12345)/ 65536, 32768),0)/32768),0))</f>
        <v>15</v>
      </c>
      <c r="P133" s="16" t="e">
        <f t="shared" ca="1" si="5"/>
        <v>#NAME?</v>
      </c>
      <c r="Q133" s="153">
        <f ca="1">VLOOKUP($AB$2,'RF Mod'!$A$2:$G$12,6,FALSE)+VLOOKUP($AD$2,'RF Mod'!$I$2:$O$11,6,FALSE)+(TRUNC(6+(24-6)*(TRUNC(MOD(($Z133*1103515245 +12345)/ 65536, 32768),0)/32768),0))</f>
        <v>13</v>
      </c>
      <c r="R133" s="16" t="e">
        <f t="shared" ca="1" si="6"/>
        <v>#NAME?</v>
      </c>
      <c r="S133" s="154">
        <f t="shared" ca="1" si="12"/>
        <v>120</v>
      </c>
      <c r="T133" s="154">
        <f t="shared" ca="1" si="7"/>
        <v>122</v>
      </c>
      <c r="U133" s="16" t="str">
        <f t="shared" ca="1" si="8"/>
        <v>Dead</v>
      </c>
      <c r="V133" s="155">
        <f ca="1">IFERROR(__xludf.DUMMYFUNCTION("if(W133=""Middle Age"",QUERY(NPCVar!$K$2:$N1000, ""Select L where K = '""&amp;AB133&amp;""'""),if(W133=""Old"",QUERY(NPCVar!$K$2:$N1000, ""Select M where K = '""&amp;AB133&amp;""'""),if(W133=""Venerable"",QUERY(NPCVar!$K$2:$N1000, ""Select N where K = '""&amp;AB133&amp;""'""),fa"&amp;"lse)))*X133"),320)</f>
        <v>320</v>
      </c>
      <c r="W133" s="156" t="str">
        <f t="array" ref="W133">INDEX(NPCAgeType,TRUNC(1+(4-1)*(TRUNC(MOD((X133*1103515245 +12345)/ 65536, 32768),0)/32768),0))</f>
        <v>Venerable</v>
      </c>
      <c r="X133" s="117">
        <f t="shared" si="13"/>
        <v>1.6</v>
      </c>
      <c r="Y133" s="157" t="e">
        <f t="array" aca="1" ref="Y133" ca="1">LOOKUP(ABS(MAX(Z133 + MIN(ABS(INDIRECT("Class Jobs!B"&amp;MATCH(E133,'Class Jobs'!$A$1:$A1000,0)&amp;":"&amp;"AF"&amp;MATCH(E133,'Class Jobs'!$A$1:$A1000,0)&amp;"")-$Z133)) * SUM(IF(MIN(ABS(INDIRECT("Class Jobs!B"&amp;MATCH(E133,'Class Jobs'!$A$1:$A1000,0)&amp;":"&amp;"AF"&amp;MATCH(E133,'Class Jobs'!$A$1:$A1000,0)&amp;"")-$Z133))=ABS(INDIRECT("Class Jobs!B"&amp;MATCH(E133,'Class Jobs'!$A$1:$A1000,0)&amp;":"&amp;"AF"&amp;MATCH(E133,'Class Jobs'!$A$1:$A1000,0)&amp;"")-$Z133),SIGN(INDIRECT("Class Jobs!B"&amp;MATCH(E133,'Class Jobs'!$A$1:A1000,0)&amp;":"&amp;"AF"&amp;MATCH(E133,'Class Jobs'!$A$1:$A1000,0)&amp;"")-$Z133),0)),0)),INDIRECT("Class Jobs!B"&amp;MATCH(E133,'Class Jobs'!$A$1:$A1000,0)&amp;":"&amp;"AF"&amp;MATCH(E133,'Class Jobs'!$A$1:$A1000,1)&amp;""),'Class Jobs'!$B$1:$AF$1)</f>
        <v>#REF!</v>
      </c>
      <c r="Z133" s="158">
        <f t="shared" si="10"/>
        <v>0.63</v>
      </c>
      <c r="AA133" s="16" t="str">
        <f t="array" ref="AA133">INDEX(NPCGender,TRUNC(1+(COUNTA(NPCGender))*(TRUNC(MOD(($B133*1103515245 +12345)/ 65536, 32768),0)/32768),0))</f>
        <v>Female</v>
      </c>
      <c r="AB133" s="16" t="str">
        <f t="array" ref="AB133">INDEX(NPCRace,TRUNC(1+(COUNTA(NPCRace))*(TRUNC(MOD(($B133*1103515245 +12345)/ 65536, 32768),0)/32768),0))</f>
        <v>Halfling</v>
      </c>
      <c r="AC133" s="16" t="str">
        <f t="array" ref="AC133">INDEX(NPCAL,TRUNC(1+(COUNTA(NPCAL))*(TRUNC(MOD(($B133*1103515245 +12345)/ 65536, 32768),0)/32768),0))</f>
        <v>NE</v>
      </c>
      <c r="AD133" s="72" t="str">
        <f ca="1">IFERROR(__xludf.DUMMYFUNCTION("if(V133&lt;15,QUERY(NPCVar!C:D,""Select D WHERE C = '""&amp;D133&amp;""'""),if((TRUNC(1+10)*(TRUNC(MOD((ROW(H133)*1103515245 +12345)/ 65536, 32768),0)/32768)/10) &gt; 0.85,INDEX(NPCFaction,TRUNC(1+(counta(NPCFaction)-1)*(TRUNC(MOD(($B133*1103515245 +12345)/ 65536, 3276"&amp;"8),0)/32768),0)),QUERY(NPCVar!C:D,""Select D WHERE C = '""&amp;D133&amp;""'"")))"),"Traders Guild")</f>
        <v>Traders Guild</v>
      </c>
      <c r="AE133" s="108" t="e">
        <f t="shared" ca="1" si="11"/>
        <v>#NAME?</v>
      </c>
      <c r="AF133" s="159">
        <f ca="1">IFERROR(__xludf.DUMMYFUNCTION("AE133*(V133 / QUERY(NPCVar!$K$2:$N$12, ""Select N WHERE K='""&amp;AB133&amp;""'""))*TRUNC(1+10)*(TRUNC(MOD(($B133*1103515245 +12345)/ 65536, 32768),0)/32768)"),9.926103515625)</f>
        <v>9.9261035156249999</v>
      </c>
      <c r="AG133" s="16"/>
      <c r="AH133" s="77"/>
      <c r="AI133" s="114"/>
    </row>
    <row r="134" spans="1:35" ht="16.2">
      <c r="A134" s="53">
        <v>133</v>
      </c>
      <c r="B134" s="118">
        <f t="shared" si="15"/>
        <v>0.21362999999999999</v>
      </c>
      <c r="C134" s="72" t="str">
        <f t="array" ref="C134">INDEX(NPCFName,TRUNC(1+(COUNTA(NPCFName))*(TRUNC(MOD(($B134*1103515245 +12345)/ 65536, 32768),0)/32768),0))</f>
        <v>Firedorn</v>
      </c>
      <c r="D134" s="16" t="str">
        <f t="array" ref="D134">INDEX(NPCLName,TRUNC(1+(COUNTA(NPCLName))*(TRUNC(MOD(($B134*1103515245 +12345)/ 65536, 32768),0)/32768),0))</f>
        <v>Distantlash</v>
      </c>
      <c r="E134" s="16" t="str">
        <f t="array" ref="E134">INDEX(NPCClass,TRUNC(1+(COUNTA(NPCClass))*(TRUNC(MOD(($B134*1103515245 +12345)/ 65536, 32768),0)/32768),0))</f>
        <v>Bard</v>
      </c>
      <c r="F134" s="76">
        <v>1</v>
      </c>
      <c r="G134" s="153">
        <f ca="1">VLOOKUP($AB$2,'RF Mod'!$A$2:$G$12,2,FALSE)+VLOOKUP($AD$2,'RF Mod'!$I$2:$O$11,2,FALSE)+(TRUNC(6+(24-6)*(TRUNC(MOD(($Z134*1103515245 +12345)/ 65536, 32768),0)/32768),0))</f>
        <v>5</v>
      </c>
      <c r="H134" s="16">
        <f t="shared" ca="1" si="1"/>
        <v>-3</v>
      </c>
      <c r="I134" s="153">
        <f ca="1">VLOOKUP($AB$2,'RF Mod'!$A$2:$G$12,3,FALSE)+VLOOKUP($AD$2,'RF Mod'!$I$2:$O$11,3,FALSE)+(TRUNC(6+(24-6)*(TRUNC(MOD(($Z134*1103515245 +12345)/ 65536, 32768),0)/32768),0))</f>
        <v>9</v>
      </c>
      <c r="J134" s="16">
        <f t="shared" ca="1" si="2"/>
        <v>-1</v>
      </c>
      <c r="K134" s="153">
        <f ca="1">VLOOKUP($AB$2,'RF Mod'!$A$2:$G$12,3,FALSE)+VLOOKUP($AD$2,'RF Mod'!$I$2:$O$11,3,FALSE)+(TRUNC(6+(24-6)*(TRUNC(MOD(($Z134*1103515245 +12345)/ 65536, 32768),0)/32768),0))</f>
        <v>9</v>
      </c>
      <c r="L134" s="16">
        <f t="shared" ca="1" si="3"/>
        <v>-1</v>
      </c>
      <c r="M134" s="153">
        <f ca="1">VLOOKUP($AB$2,'RF Mod'!$A$2:$G$12,4,FALSE)+VLOOKUP($AD$2,'RF Mod'!$I$2:$O$11,4,FALSE)+(TRUNC(6+(24-6)*(TRUNC(MOD(($Z134*1103515245 +12345)/ 65536, 32768),0)/32768),0))</f>
        <v>8</v>
      </c>
      <c r="N134" s="16">
        <f t="shared" ca="1" si="4"/>
        <v>-1</v>
      </c>
      <c r="O134" s="153">
        <f ca="1">VLOOKUP($AB$2,'RF Mod'!$A$2:$G$12,5,FALSE)+VLOOKUP($AD$2,'RF Mod'!$I$2:$O$11,5,FALSE)+(TRUNC(6+(24-6)*(TRUNC(MOD(($Z134*1103515245 +12345)/ 65536, 32768),0)/32768),0))</f>
        <v>11</v>
      </c>
      <c r="P134" s="16" t="e">
        <f t="shared" ca="1" si="5"/>
        <v>#NAME?</v>
      </c>
      <c r="Q134" s="153">
        <f ca="1">VLOOKUP($AB$2,'RF Mod'!$A$2:$G$12,6,FALSE)+VLOOKUP($AD$2,'RF Mod'!$I$2:$O$11,6,FALSE)+(TRUNC(6+(24-6)*(TRUNC(MOD(($Z134*1103515245 +12345)/ 65536, 32768),0)/32768),0))</f>
        <v>9</v>
      </c>
      <c r="R134" s="16">
        <f t="shared" ca="1" si="6"/>
        <v>-1</v>
      </c>
      <c r="S134" s="154">
        <f t="shared" ca="1" si="12"/>
        <v>11</v>
      </c>
      <c r="T134" s="154">
        <f t="shared" ca="1" si="7"/>
        <v>2</v>
      </c>
      <c r="U134" s="16" t="str">
        <f t="shared" ca="1" si="8"/>
        <v>Fine</v>
      </c>
      <c r="V134" s="155">
        <f ca="1">IFERROR(__xludf.DUMMYFUNCTION("if(W134=""Middle Age"",QUERY(NPCVar!$K$2:$N1000, ""Select L where K = '""&amp;AB134&amp;""'""),if(W134=""Old"",QUERY(NPCVar!$K$2:$N1000, ""Select M where K = '""&amp;AB134&amp;""'""),if(W134=""Venerable"",QUERY(NPCVar!$K$2:$N1000, ""Select N where K = '""&amp;AB134&amp;""'""),fa"&amp;"lse)))*X134"),24)</f>
        <v>24</v>
      </c>
      <c r="W134" s="156" t="str">
        <f t="array" ref="W134">INDEX(NPCAgeType,TRUNC(1+(4-1)*(TRUNC(MOD((X134*1103515245 +12345)/ 65536, 32768),0)/32768),0))</f>
        <v>Middle Age</v>
      </c>
      <c r="X134" s="117">
        <f t="shared" si="13"/>
        <v>0.3</v>
      </c>
      <c r="Y134" s="157" t="e">
        <f t="array" aca="1" ref="Y134" ca="1">LOOKUP(ABS(MAX(Z134 + MIN(ABS(INDIRECT("Class Jobs!B"&amp;MATCH(E134,'Class Jobs'!$A$1:$A1000,0)&amp;":"&amp;"AF"&amp;MATCH(E134,'Class Jobs'!$A$1:$A1000,0)&amp;"")-$Z134)) * SUM(IF(MIN(ABS(INDIRECT("Class Jobs!B"&amp;MATCH(E134,'Class Jobs'!$A$1:$A1000,0)&amp;":"&amp;"AF"&amp;MATCH(E134,'Class Jobs'!$A$1:$A1000,0)&amp;"")-$Z134))=ABS(INDIRECT("Class Jobs!B"&amp;MATCH(E134,'Class Jobs'!$A$1:$A1000,0)&amp;":"&amp;"AF"&amp;MATCH(E134,'Class Jobs'!$A$1:$A1000,0)&amp;"")-$Z134),SIGN(INDIRECT("Class Jobs!B"&amp;MATCH(E134,'Class Jobs'!$A$1:A1000,0)&amp;":"&amp;"AF"&amp;MATCH(E134,'Class Jobs'!$A$1:$A1000,0)&amp;"")-$Z134),0)),0)),INDIRECT("Class Jobs!B"&amp;MATCH(E134,'Class Jobs'!$A$1:$A1000,0)&amp;":"&amp;"AF"&amp;MATCH(E134,'Class Jobs'!$A$1:$A1000,1)&amp;""),'Class Jobs'!$B$1:$AF$1)</f>
        <v>#REF!</v>
      </c>
      <c r="Z134" s="158">
        <f t="shared" si="10"/>
        <v>0.11</v>
      </c>
      <c r="AA134" s="16" t="str">
        <f t="array" ref="AA134">INDEX(NPCGender,TRUNC(1+(COUNTA(NPCGender))*(TRUNC(MOD(($B134*1103515245 +12345)/ 65536, 32768),0)/32768),0))</f>
        <v>Male</v>
      </c>
      <c r="AB134" s="16" t="str">
        <f t="array" ref="AB134">INDEX(NPCRace,TRUNC(1+(COUNTA(NPCRace))*(TRUNC(MOD(($B134*1103515245 +12345)/ 65536, 32768),0)/32768),0))</f>
        <v>Dwarf</v>
      </c>
      <c r="AC134" s="16" t="str">
        <f t="array" ref="AC134">INDEX(NPCAL,TRUNC(1+(COUNTA(NPCAL))*(TRUNC(MOD(($B134*1103515245 +12345)/ 65536, 32768),0)/32768),0))</f>
        <v>CN</v>
      </c>
      <c r="AD134" s="72" t="str">
        <f ca="1">IFERROR(__xludf.DUMMYFUNCTION("if(V134&lt;15,QUERY(NPCVar!C:D,""Select D WHERE C = '""&amp;D134&amp;""'""),if((TRUNC(1+10)*(TRUNC(MOD((ROW(H134)*1103515245 +12345)/ 65536, 32768),0)/32768)/10) &gt; 0.85,INDEX(NPCFaction,TRUNC(1+(counta(NPCFaction)-1)*(TRUNC(MOD(($B134*1103515245 +12345)/ 65536, 3276"&amp;"8),0)/32768),0)),QUERY(NPCVar!C:D,""Select D WHERE C = '""&amp;D134&amp;""'"")))"),"Royalty")</f>
        <v>Royalty</v>
      </c>
      <c r="AE134" s="108" t="e">
        <f t="shared" ca="1" si="11"/>
        <v>#NAME?</v>
      </c>
      <c r="AF134" s="159">
        <f ca="1">IFERROR(__xludf.DUMMYFUNCTION("AE134*(V134 / QUERY(NPCVar!$K$2:$N$12, ""Select N WHERE K='""&amp;AB134&amp;""'""))*TRUNC(1+10)*(TRUNC(MOD(($B134*1103515245 +12345)/ 65536, 32768),0)/32768)"),0.00905616760253906)</f>
        <v>9.0561676025390607E-3</v>
      </c>
      <c r="AG134" s="16"/>
      <c r="AH134" s="77"/>
      <c r="AI134" s="114"/>
    </row>
    <row r="135" spans="1:35" ht="16.2">
      <c r="A135" s="53">
        <v>134</v>
      </c>
      <c r="B135" s="118">
        <f t="shared" si="15"/>
        <v>1.7077599999999999</v>
      </c>
      <c r="C135" s="72" t="str">
        <f t="array" ref="C135">INDEX(NPCFName,TRUNC(1+(COUNTA(NPCFName))*(TRUNC(MOD(($B135*1103515245 +12345)/ 65536, 32768),0)/32768),0))</f>
        <v>Nythil</v>
      </c>
      <c r="D135" s="16" t="str">
        <f t="array" ref="D135">INDEX(NPCLName,TRUNC(1+(COUNTA(NPCLName))*(TRUNC(MOD(($B135*1103515245 +12345)/ 65536, 32768),0)/32768),0))</f>
        <v>Forestbluff</v>
      </c>
      <c r="E135" s="16" t="str">
        <f t="array" ref="E135">INDEX(NPCClass,TRUNC(1+(COUNTA(NPCClass))*(TRUNC(MOD(($B135*1103515245 +12345)/ 65536, 32768),0)/32768),0))</f>
        <v>Fighter</v>
      </c>
      <c r="F135" s="76">
        <v>8</v>
      </c>
      <c r="G135" s="153">
        <f ca="1">VLOOKUP($AB$2,'RF Mod'!$A$2:$G$12,2,FALSE)+VLOOKUP($AD$2,'RF Mod'!$I$2:$O$11,2,FALSE)+(TRUNC(6+(24-6)*(TRUNC(MOD(($Z135*1103515245 +12345)/ 65536, 32768),0)/32768),0))</f>
        <v>12</v>
      </c>
      <c r="H135" s="16" t="e">
        <f t="shared" ca="1" si="1"/>
        <v>#NAME?</v>
      </c>
      <c r="I135" s="153">
        <f ca="1">VLOOKUP($AB$2,'RF Mod'!$A$2:$G$12,3,FALSE)+VLOOKUP($AD$2,'RF Mod'!$I$2:$O$11,3,FALSE)+(TRUNC(6+(24-6)*(TRUNC(MOD(($Z135*1103515245 +12345)/ 65536, 32768),0)/32768),0))</f>
        <v>16</v>
      </c>
      <c r="J135" s="16" t="e">
        <f t="shared" ca="1" si="2"/>
        <v>#NAME?</v>
      </c>
      <c r="K135" s="153">
        <f ca="1">VLOOKUP($AB$2,'RF Mod'!$A$2:$G$12,3,FALSE)+VLOOKUP($AD$2,'RF Mod'!$I$2:$O$11,3,FALSE)+(TRUNC(6+(24-6)*(TRUNC(MOD(($Z135*1103515245 +12345)/ 65536, 32768),0)/32768),0))</f>
        <v>16</v>
      </c>
      <c r="L135" s="16" t="e">
        <f t="shared" ca="1" si="3"/>
        <v>#NAME?</v>
      </c>
      <c r="M135" s="153">
        <f ca="1">VLOOKUP($AB$2,'RF Mod'!$A$2:$G$12,4,FALSE)+VLOOKUP($AD$2,'RF Mod'!$I$2:$O$11,4,FALSE)+(TRUNC(6+(24-6)*(TRUNC(MOD(($Z135*1103515245 +12345)/ 65536, 32768),0)/32768),0))</f>
        <v>15</v>
      </c>
      <c r="N135" s="16" t="e">
        <f t="shared" ca="1" si="4"/>
        <v>#NAME?</v>
      </c>
      <c r="O135" s="153">
        <f ca="1">VLOOKUP($AB$2,'RF Mod'!$A$2:$G$12,5,FALSE)+VLOOKUP($AD$2,'RF Mod'!$I$2:$O$11,5,FALSE)+(TRUNC(6+(24-6)*(TRUNC(MOD(($Z135*1103515245 +12345)/ 65536, 32768),0)/32768),0))</f>
        <v>18</v>
      </c>
      <c r="P135" s="16" t="e">
        <f t="shared" ca="1" si="5"/>
        <v>#NAME?</v>
      </c>
      <c r="Q135" s="153">
        <f ca="1">VLOOKUP($AB$2,'RF Mod'!$A$2:$G$12,6,FALSE)+VLOOKUP($AD$2,'RF Mod'!$I$2:$O$11,6,FALSE)+(TRUNC(6+(24-6)*(TRUNC(MOD(($Z135*1103515245 +12345)/ 65536, 32768),0)/32768),0))</f>
        <v>16</v>
      </c>
      <c r="R135" s="16" t="e">
        <f t="shared" ca="1" si="6"/>
        <v>#NAME?</v>
      </c>
      <c r="S135" s="154">
        <f t="shared" ca="1" si="12"/>
        <v>208</v>
      </c>
      <c r="T135" s="154">
        <f t="shared" ca="1" si="7"/>
        <v>210</v>
      </c>
      <c r="U135" s="16" t="str">
        <f t="shared" ca="1" si="8"/>
        <v>Dead</v>
      </c>
      <c r="V135" s="155">
        <f ca="1">IFERROR(__xludf.DUMMYFUNCTION("if(W135=""Middle Age"",QUERY(NPCVar!$K$2:$N1000, ""Select L where K = '""&amp;AB135&amp;""'""),if(W135=""Old"",QUERY(NPCVar!$K$2:$N1000, ""Select M where K = '""&amp;AB135&amp;""'""),if(W135=""Venerable"",QUERY(NPCVar!$K$2:$N1000, ""Select N where K = '""&amp;AB135&amp;""'""),fa"&amp;"lse)))*X135"),60.5)</f>
        <v>60.5</v>
      </c>
      <c r="W135" s="156" t="str">
        <f t="array" ref="W135">INDEX(NPCAgeType,TRUNC(1+(4-1)*(TRUNC(MOD((X135*1103515245 +12345)/ 65536, 32768),0)/32768),0))</f>
        <v>Middle Age</v>
      </c>
      <c r="X135" s="117">
        <f t="shared" si="13"/>
        <v>2.2000000000000002</v>
      </c>
      <c r="Y135" s="157" t="e">
        <f t="array" aca="1" ref="Y135" ca="1">LOOKUP(ABS(MAX(Z135 + MIN(ABS(INDIRECT("Class Jobs!B"&amp;MATCH(E135,'Class Jobs'!$A$1:$A1000,0)&amp;":"&amp;"AF"&amp;MATCH(E135,'Class Jobs'!$A$1:$A1000,0)&amp;"")-$Z135)) * SUM(IF(MIN(ABS(INDIRECT("Class Jobs!B"&amp;MATCH(E135,'Class Jobs'!$A$1:$A1000,0)&amp;":"&amp;"AF"&amp;MATCH(E135,'Class Jobs'!$A$1:$A1000,0)&amp;"")-$Z135))=ABS(INDIRECT("Class Jobs!B"&amp;MATCH(E135,'Class Jobs'!$A$1:$A1000,0)&amp;":"&amp;"AF"&amp;MATCH(E135,'Class Jobs'!$A$1:$A1000,0)&amp;"")-$Z135),SIGN(INDIRECT("Class Jobs!B"&amp;MATCH(E135,'Class Jobs'!$A$1:A1000,0)&amp;":"&amp;"AF"&amp;MATCH(E135,'Class Jobs'!$A$1:$A1000,0)&amp;"")-$Z135),0)),0)),INDIRECT("Class Jobs!B"&amp;MATCH(E135,'Class Jobs'!$A$1:$A1000,0)&amp;":"&amp;"AF"&amp;MATCH(E135,'Class Jobs'!$A$1:$A1000,1)&amp;""),'Class Jobs'!$B$1:$AF$1)</f>
        <v>#REF!</v>
      </c>
      <c r="Z135" s="158">
        <f t="shared" si="10"/>
        <v>0.87</v>
      </c>
      <c r="AA135" s="16" t="str">
        <f t="array" ref="AA135">INDEX(NPCGender,TRUNC(1+(COUNTA(NPCGender))*(TRUNC(MOD(($B135*1103515245 +12345)/ 65536, 32768),0)/32768),0))</f>
        <v>Neutral</v>
      </c>
      <c r="AB135" s="16" t="str">
        <f t="array" ref="AB135">INDEX(NPCRace,TRUNC(1+(COUNTA(NPCRace))*(TRUNC(MOD(($B135*1103515245 +12345)/ 65536, 32768),0)/32768),0))</f>
        <v>Genasi</v>
      </c>
      <c r="AC135" s="16" t="str">
        <f t="array" ref="AC135">INDEX(NPCAL,TRUNC(1+(COUNTA(NPCAL))*(TRUNC(MOD(($B135*1103515245 +12345)/ 65536, 32768),0)/32768),0))</f>
        <v>LN</v>
      </c>
      <c r="AD135" s="72" t="str">
        <f ca="1">IFERROR(__xludf.DUMMYFUNCTION("if(V135&lt;15,QUERY(NPCVar!C:D,""Select D WHERE C = '""&amp;D135&amp;""'""),if((TRUNC(1+10)*(TRUNC(MOD((ROW(H135)*1103515245 +12345)/ 65536, 32768),0)/32768)/10) &gt; 0.85,INDEX(NPCFaction,TRUNC(1+(counta(NPCFaction)-1)*(TRUNC(MOD(($B135*1103515245 +12345)/ 65536, 3276"&amp;"8),0)/32768),0)),QUERY(NPCVar!C:D,""Select D WHERE C = '""&amp;D135&amp;""'"")))"),"Thieves Guild")</f>
        <v>Thieves Guild</v>
      </c>
      <c r="AE135" s="108" t="e">
        <f t="shared" ca="1" si="11"/>
        <v>#NAME?</v>
      </c>
      <c r="AF135" s="159">
        <f ca="1">IFERROR(__xludf.DUMMYFUNCTION("AE135*(V135 / QUERY(NPCVar!$K$2:$N$12, ""Select N WHERE K='""&amp;AB135&amp;""'""))*TRUNC(1+10)*(TRUNC(MOD(($B135*1103515245 +12345)/ 65536, 32768),0)/32768)"),4.77816696166992)</f>
        <v>4.7781669616699203</v>
      </c>
      <c r="AG135" s="16"/>
      <c r="AH135" s="77"/>
      <c r="AI135" s="114"/>
    </row>
    <row r="136" spans="1:35" ht="16.2">
      <c r="A136" s="53">
        <v>135</v>
      </c>
      <c r="B136" s="118">
        <f t="shared" si="15"/>
        <v>0.70182999999999995</v>
      </c>
      <c r="C136" s="72" t="str">
        <f t="array" ref="C136">INDEX(NPCFName,TRUNC(1+(COUNTA(NPCFName))*(TRUNC(MOD(($B136*1103515245 +12345)/ 65536, 32768),0)/32768),0))</f>
        <v>Bayde</v>
      </c>
      <c r="D136" s="16" t="str">
        <f t="array" ref="D136">INDEX(NPCLName,TRUNC(1+(COUNTA(NPCLName))*(TRUNC(MOD(($B136*1103515245 +12345)/ 65536, 32768),0)/32768),0))</f>
        <v>Leafblight</v>
      </c>
      <c r="E136" s="16" t="str">
        <f t="array" ref="E136">INDEX(NPCClass,TRUNC(1+(COUNTA(NPCClass))*(TRUNC(MOD(($B136*1103515245 +12345)/ 65536, 32768),0)/32768),0))</f>
        <v>Paladin</v>
      </c>
      <c r="F136" s="76">
        <v>3</v>
      </c>
      <c r="G136" s="153">
        <f ca="1">VLOOKUP($AB$2,'RF Mod'!$A$2:$G$12,2,FALSE)+VLOOKUP($AD$2,'RF Mod'!$I$2:$O$11,2,FALSE)+(TRUNC(6+(24-6)*(TRUNC(MOD(($Z136*1103515245 +12345)/ 65536, 32768),0)/32768),0))</f>
        <v>7</v>
      </c>
      <c r="H136" s="16">
        <f t="shared" ca="1" si="1"/>
        <v>-2</v>
      </c>
      <c r="I136" s="153">
        <f ca="1">VLOOKUP($AB$2,'RF Mod'!$A$2:$G$12,3,FALSE)+VLOOKUP($AD$2,'RF Mod'!$I$2:$O$11,3,FALSE)+(TRUNC(6+(24-6)*(TRUNC(MOD(($Z136*1103515245 +12345)/ 65536, 32768),0)/32768),0))</f>
        <v>11</v>
      </c>
      <c r="J136" s="16" t="e">
        <f t="shared" ca="1" si="2"/>
        <v>#NAME?</v>
      </c>
      <c r="K136" s="153">
        <f ca="1">VLOOKUP($AB$2,'RF Mod'!$A$2:$G$12,3,FALSE)+VLOOKUP($AD$2,'RF Mod'!$I$2:$O$11,3,FALSE)+(TRUNC(6+(24-6)*(TRUNC(MOD(($Z136*1103515245 +12345)/ 65536, 32768),0)/32768),0))</f>
        <v>11</v>
      </c>
      <c r="L136" s="16" t="e">
        <f t="shared" ca="1" si="3"/>
        <v>#NAME?</v>
      </c>
      <c r="M136" s="153">
        <f ca="1">VLOOKUP($AB$2,'RF Mod'!$A$2:$G$12,4,FALSE)+VLOOKUP($AD$2,'RF Mod'!$I$2:$O$11,4,FALSE)+(TRUNC(6+(24-6)*(TRUNC(MOD(($Z136*1103515245 +12345)/ 65536, 32768),0)/32768),0))</f>
        <v>10</v>
      </c>
      <c r="N136" s="16" t="e">
        <f t="shared" ca="1" si="4"/>
        <v>#NAME?</v>
      </c>
      <c r="O136" s="153">
        <f ca="1">VLOOKUP($AB$2,'RF Mod'!$A$2:$G$12,5,FALSE)+VLOOKUP($AD$2,'RF Mod'!$I$2:$O$11,5,FALSE)+(TRUNC(6+(24-6)*(TRUNC(MOD(($Z136*1103515245 +12345)/ 65536, 32768),0)/32768),0))</f>
        <v>13</v>
      </c>
      <c r="P136" s="16" t="e">
        <f t="shared" ca="1" si="5"/>
        <v>#NAME?</v>
      </c>
      <c r="Q136" s="153">
        <f ca="1">VLOOKUP($AB$2,'RF Mod'!$A$2:$G$12,6,FALSE)+VLOOKUP($AD$2,'RF Mod'!$I$2:$O$11,6,FALSE)+(TRUNC(6+(24-6)*(TRUNC(MOD(($Z136*1103515245 +12345)/ 65536, 32768),0)/32768),0))</f>
        <v>11</v>
      </c>
      <c r="R136" s="16" t="e">
        <f t="shared" ca="1" si="6"/>
        <v>#NAME?</v>
      </c>
      <c r="S136" s="154">
        <f t="shared" ca="1" si="12"/>
        <v>45</v>
      </c>
      <c r="T136" s="154">
        <f t="shared" ca="1" si="7"/>
        <v>18</v>
      </c>
      <c r="U136" s="16" t="str">
        <f t="shared" ca="1" si="8"/>
        <v>Fine</v>
      </c>
      <c r="V136" s="155">
        <f ca="1">IFERROR(__xludf.DUMMYFUNCTION("if(W136=""Middle Age"",QUERY(NPCVar!$K$2:$N1000, ""Select L where K = '""&amp;AB136&amp;""'""),if(W136=""Old"",QUERY(NPCVar!$K$2:$N1000, ""Select M where K = '""&amp;AB136&amp;""'""),if(W136=""Venerable"",QUERY(NPCVar!$K$2:$N1000, ""Select N where K = '""&amp;AB136&amp;""'""),fa"&amp;"lse)))*X136"),151.875)</f>
        <v>151.875</v>
      </c>
      <c r="W136" s="156" t="str">
        <f t="array" ref="W136">INDEX(NPCAgeType,TRUNC(1+(4-1)*(TRUNC(MOD((X136*1103515245 +12345)/ 65536, 32768),0)/32768),0))</f>
        <v>Old</v>
      </c>
      <c r="X136" s="117">
        <f t="shared" si="13"/>
        <v>0.9</v>
      </c>
      <c r="Y136" s="157" t="e">
        <f t="array" aca="1" ref="Y136" ca="1">LOOKUP(ABS(MAX(Z136 + MIN(ABS(INDIRECT("Class Jobs!B"&amp;MATCH(E136,'Class Jobs'!$A$1:$A1000,0)&amp;":"&amp;"AF"&amp;MATCH(E136,'Class Jobs'!$A$1:$A1000,0)&amp;"")-$Z136)) * SUM(IF(MIN(ABS(INDIRECT("Class Jobs!B"&amp;MATCH(E136,'Class Jobs'!$A$1:$A1000,0)&amp;":"&amp;"AF"&amp;MATCH(E136,'Class Jobs'!$A$1:$A1000,0)&amp;"")-$Z136))=ABS(INDIRECT("Class Jobs!B"&amp;MATCH(E136,'Class Jobs'!$A$1:$A1000,0)&amp;":"&amp;"AF"&amp;MATCH(E136,'Class Jobs'!$A$1:$A1000,0)&amp;"")-$Z136),SIGN(INDIRECT("Class Jobs!B"&amp;MATCH(E136,'Class Jobs'!$A$1:A1000,0)&amp;":"&amp;"AF"&amp;MATCH(E136,'Class Jobs'!$A$1:$A1000,0)&amp;"")-$Z136),0)),0)),INDIRECT("Class Jobs!B"&amp;MATCH(E136,'Class Jobs'!$A$1:$A1000,0)&amp;":"&amp;"AF"&amp;MATCH(E136,'Class Jobs'!$A$1:$A1000,1)&amp;""),'Class Jobs'!$B$1:$AF$1)</f>
        <v>#REF!</v>
      </c>
      <c r="Z136" s="158">
        <f t="shared" si="10"/>
        <v>0.36</v>
      </c>
      <c r="AA136" s="16" t="str">
        <f t="array" ref="AA136">INDEX(NPCGender,TRUNC(1+(COUNTA(NPCGender))*(TRUNC(MOD(($B136*1103515245 +12345)/ 65536, 32768),0)/32768),0))</f>
        <v>Female</v>
      </c>
      <c r="AB136" s="16" t="str">
        <f t="array" ref="AB136">INDEX(NPCRace,TRUNC(1+(COUNTA(NPCRace))*(TRUNC(MOD(($B136*1103515245 +12345)/ 65536, 32768),0)/32768),0))</f>
        <v>Gnome</v>
      </c>
      <c r="AC136" s="16" t="str">
        <f t="array" ref="AC136">INDEX(NPCAL,TRUNC(1+(COUNTA(NPCAL))*(TRUNC(MOD(($B136*1103515245 +12345)/ 65536, 32768),0)/32768),0))</f>
        <v>NG</v>
      </c>
      <c r="AD136" s="72" t="str">
        <f ca="1">IFERROR(__xludf.DUMMYFUNCTION("if(V136&lt;15,QUERY(NPCVar!C:D,""Select D WHERE C = '""&amp;D136&amp;""'""),if((TRUNC(1+10)*(TRUNC(MOD((ROW(H136)*1103515245 +12345)/ 65536, 32768),0)/32768)/10) &gt; 0.85,INDEX(NPCFaction,TRUNC(1+(counta(NPCFaction)-1)*(TRUNC(MOD(($B136*1103515245 +12345)/ 65536, 3276"&amp;"8),0)/32768),0)),QUERY(NPCVar!C:D,""Select D WHERE C = '""&amp;D136&amp;""'"")))"),"Adventures Guild")</f>
        <v>Adventures Guild</v>
      </c>
      <c r="AE136" s="108" t="e">
        <f t="shared" ca="1" si="11"/>
        <v>#NAME?</v>
      </c>
      <c r="AF136" s="159">
        <f ca="1">IFERROR(__xludf.DUMMYFUNCTION("AE136*(V136 / QUERY(NPCVar!$K$2:$N$12, ""Select N WHERE K='""&amp;AB136&amp;""'""))*TRUNC(1+10)*(TRUNC(MOD(($B136*1103515245 +12345)/ 65536, 32768),0)/32768)"),0.401647453308105)</f>
        <v>0.40164745330810497</v>
      </c>
      <c r="AG136" s="16"/>
      <c r="AH136" s="77"/>
      <c r="AI136" s="114"/>
    </row>
    <row r="137" spans="1:35" ht="16.2">
      <c r="A137" s="53">
        <v>136</v>
      </c>
      <c r="B137" s="118">
        <f t="shared" si="15"/>
        <v>2.1959599999999999</v>
      </c>
      <c r="C137" s="72" t="str">
        <f t="array" ref="C137">INDEX(NPCFName,TRUNC(1+(COUNTA(NPCFName))*(TRUNC(MOD(($B137*1103515245 +12345)/ 65536, 32768),0)/32768),0))</f>
        <v>Gyin</v>
      </c>
      <c r="D137" s="16" t="str">
        <f t="array" ref="D137">INDEX(NPCLName,TRUNC(1+(COUNTA(NPCLName))*(TRUNC(MOD(($B137*1103515245 +12345)/ 65536, 32768),0)/32768),0))</f>
        <v>Distantlash</v>
      </c>
      <c r="E137" s="16" t="str">
        <f t="array" ref="E137">INDEX(NPCClass,TRUNC(1+(COUNTA(NPCClass))*(TRUNC(MOD(($B137*1103515245 +12345)/ 65536, 32768),0)/32768),0))</f>
        <v>Bard</v>
      </c>
      <c r="F137" s="76">
        <v>1</v>
      </c>
      <c r="G137" s="153">
        <f ca="1">VLOOKUP($AB$2,'RF Mod'!$A$2:$G$12,2,FALSE)+VLOOKUP($AD$2,'RF Mod'!$I$2:$O$11,2,FALSE)+(TRUNC(6+(24-6)*(TRUNC(MOD(($Z137*1103515245 +12345)/ 65536, 32768),0)/32768),0))</f>
        <v>5</v>
      </c>
      <c r="H137" s="16">
        <f t="shared" ca="1" si="1"/>
        <v>-3</v>
      </c>
      <c r="I137" s="153">
        <f ca="1">VLOOKUP($AB$2,'RF Mod'!$A$2:$G$12,3,FALSE)+VLOOKUP($AD$2,'RF Mod'!$I$2:$O$11,3,FALSE)+(TRUNC(6+(24-6)*(TRUNC(MOD(($Z137*1103515245 +12345)/ 65536, 32768),0)/32768),0))</f>
        <v>9</v>
      </c>
      <c r="J137" s="16">
        <f t="shared" ca="1" si="2"/>
        <v>-1</v>
      </c>
      <c r="K137" s="153">
        <f ca="1">VLOOKUP($AB$2,'RF Mod'!$A$2:$G$12,3,FALSE)+VLOOKUP($AD$2,'RF Mod'!$I$2:$O$11,3,FALSE)+(TRUNC(6+(24-6)*(TRUNC(MOD(($Z137*1103515245 +12345)/ 65536, 32768),0)/32768),0))</f>
        <v>9</v>
      </c>
      <c r="L137" s="16">
        <f t="shared" ca="1" si="3"/>
        <v>-1</v>
      </c>
      <c r="M137" s="153">
        <f ca="1">VLOOKUP($AB$2,'RF Mod'!$A$2:$G$12,4,FALSE)+VLOOKUP($AD$2,'RF Mod'!$I$2:$O$11,4,FALSE)+(TRUNC(6+(24-6)*(TRUNC(MOD(($Z137*1103515245 +12345)/ 65536, 32768),0)/32768),0))</f>
        <v>8</v>
      </c>
      <c r="N137" s="16">
        <f t="shared" ca="1" si="4"/>
        <v>-1</v>
      </c>
      <c r="O137" s="153">
        <f ca="1">VLOOKUP($AB$2,'RF Mod'!$A$2:$G$12,5,FALSE)+VLOOKUP($AD$2,'RF Mod'!$I$2:$O$11,5,FALSE)+(TRUNC(6+(24-6)*(TRUNC(MOD(($Z137*1103515245 +12345)/ 65536, 32768),0)/32768),0))</f>
        <v>11</v>
      </c>
      <c r="P137" s="16" t="e">
        <f t="shared" ca="1" si="5"/>
        <v>#NAME?</v>
      </c>
      <c r="Q137" s="153">
        <f ca="1">VLOOKUP($AB$2,'RF Mod'!$A$2:$G$12,6,FALSE)+VLOOKUP($AD$2,'RF Mod'!$I$2:$O$11,6,FALSE)+(TRUNC(6+(24-6)*(TRUNC(MOD(($Z137*1103515245 +12345)/ 65536, 32768),0)/32768),0))</f>
        <v>9</v>
      </c>
      <c r="R137" s="16">
        <f t="shared" ca="1" si="6"/>
        <v>-1</v>
      </c>
      <c r="S137" s="154">
        <f t="shared" ca="1" si="12"/>
        <v>11</v>
      </c>
      <c r="T137" s="154">
        <f t="shared" ca="1" si="7"/>
        <v>5</v>
      </c>
      <c r="U137" s="16" t="str">
        <f t="shared" ca="1" si="8"/>
        <v>Fine</v>
      </c>
      <c r="V137" s="155">
        <f ca="1">IFERROR(__xludf.DUMMYFUNCTION("if(W137=""Middle Age"",QUERY(NPCVar!$K$2:$N1000, ""Select L where K = '""&amp;AB137&amp;""'""),if(W137=""Old"",QUERY(NPCVar!$K$2:$N1000, ""Select M where K = '""&amp;AB137&amp;""'""),if(W137=""Venerable"",QUERY(NPCVar!$K$2:$N1000, ""Select N where K = '""&amp;AB137&amp;""'""),fa"&amp;"lse)))*X137"),32)</f>
        <v>32</v>
      </c>
      <c r="W137" s="156" t="str">
        <f t="array" ref="W137">INDEX(NPCAgeType,TRUNC(1+(4-1)*(TRUNC(MOD((X137*1103515245 +12345)/ 65536, 32768),0)/32768),0))</f>
        <v>Middle Age</v>
      </c>
      <c r="X137" s="117">
        <f t="shared" si="13"/>
        <v>0.4</v>
      </c>
      <c r="Y137" s="157" t="e">
        <f t="array" aca="1" ref="Y137" ca="1">LOOKUP(ABS(MAX(Z137 + MIN(ABS(INDIRECT("Class Jobs!B"&amp;MATCH(E137,'Class Jobs'!$A$1:$A1000,0)&amp;":"&amp;"AF"&amp;MATCH(E137,'Class Jobs'!$A$1:$A1000,0)&amp;"")-$Z137)) * SUM(IF(MIN(ABS(INDIRECT("Class Jobs!B"&amp;MATCH(E137,'Class Jobs'!$A$1:$A1000,0)&amp;":"&amp;"AF"&amp;MATCH(E137,'Class Jobs'!$A$1:$A1000,0)&amp;"")-$Z137))=ABS(INDIRECT("Class Jobs!B"&amp;MATCH(E137,'Class Jobs'!$A$1:$A1000,0)&amp;":"&amp;"AF"&amp;MATCH(E137,'Class Jobs'!$A$1:$A1000,0)&amp;"")-$Z137),SIGN(INDIRECT("Class Jobs!B"&amp;MATCH(E137,'Class Jobs'!$A$1:A1000,0)&amp;":"&amp;"AF"&amp;MATCH(E137,'Class Jobs'!$A$1:$A1000,0)&amp;"")-$Z137),0)),0)),INDIRECT("Class Jobs!B"&amp;MATCH(E137,'Class Jobs'!$A$1:$A1000,0)&amp;":"&amp;"AF"&amp;MATCH(E137,'Class Jobs'!$A$1:$A1000,1)&amp;""),'Class Jobs'!$B$1:$AF$1)</f>
        <v>#REF!</v>
      </c>
      <c r="Z137" s="158">
        <f t="shared" si="10"/>
        <v>0.13</v>
      </c>
      <c r="AA137" s="16" t="str">
        <f t="array" ref="AA137">INDEX(NPCGender,TRUNC(1+(COUNTA(NPCGender))*(TRUNC(MOD(($B137*1103515245 +12345)/ 65536, 32768),0)/32768),0))</f>
        <v>Male</v>
      </c>
      <c r="AB137" s="16" t="str">
        <f t="array" ref="AB137">INDEX(NPCRace,TRUNC(1+(COUNTA(NPCRace))*(TRUNC(MOD(($B137*1103515245 +12345)/ 65536, 32768),0)/32768),0))</f>
        <v>Dwarf</v>
      </c>
      <c r="AC137" s="16" t="str">
        <f t="array" ref="AC137">INDEX(NPCAL,TRUNC(1+(COUNTA(NPCAL))*(TRUNC(MOD(($B137*1103515245 +12345)/ 65536, 32768),0)/32768),0))</f>
        <v>CE</v>
      </c>
      <c r="AD137" s="72" t="str">
        <f ca="1">IFERROR(__xludf.DUMMYFUNCTION("if(V137&lt;15,QUERY(NPCVar!C:D,""Select D WHERE C = '""&amp;D137&amp;""'""),if((TRUNC(1+10)*(TRUNC(MOD((ROW(H137)*1103515245 +12345)/ 65536, 32768),0)/32768)/10) &gt; 0.85,INDEX(NPCFaction,TRUNC(1+(counta(NPCFaction)-1)*(TRUNC(MOD(($B137*1103515245 +12345)/ 65536, 3276"&amp;"8),0)/32768),0)),QUERY(NPCVar!C:D,""Select D WHERE C = '""&amp;D137&amp;""'"")))"),"Death Guild")</f>
        <v>Death Guild</v>
      </c>
      <c r="AE137" s="108" t="e">
        <f t="shared" ca="1" si="11"/>
        <v>#NAME?</v>
      </c>
      <c r="AF137" s="159">
        <f ca="1">IFERROR(__xludf.DUMMYFUNCTION("AE137*(V137 / QUERY(NPCVar!$K$2:$N$12, ""Select N WHERE K='""&amp;AB137&amp;""'""))*TRUNC(1+10)*(TRUNC(MOD(($B137*1103515245 +12345)/ 65536, 32768),0)/32768)"),0.0706298828125)</f>
        <v>7.0629882812500003E-2</v>
      </c>
      <c r="AG137" s="16"/>
      <c r="AH137" s="77"/>
      <c r="AI137" s="114"/>
    </row>
    <row r="138" spans="1:35" ht="16.2">
      <c r="A138" s="53">
        <v>137</v>
      </c>
      <c r="B138" s="118">
        <f t="shared" si="15"/>
        <v>1.19011</v>
      </c>
      <c r="C138" s="72" t="str">
        <f t="array" ref="C138">INDEX(NPCFName,TRUNC(1+(COUNTA(NPCFName))*(TRUNC(MOD(($B138*1103515245 +12345)/ 65536, 32768),0)/32768),0))</f>
        <v>Telpur</v>
      </c>
      <c r="D138" s="16" t="str">
        <f t="array" ref="D138">INDEX(NPCLName,TRUNC(1+(COUNTA(NPCLName))*(TRUNC(MOD(($B138*1103515245 +12345)/ 65536, 32768),0)/32768),0))</f>
        <v>Gloomrage</v>
      </c>
      <c r="E138" s="16" t="str">
        <f t="array" ref="E138">INDEX(NPCClass,TRUNC(1+(COUNTA(NPCClass))*(TRUNC(MOD(($B138*1103515245 +12345)/ 65536, 32768),0)/32768),0))</f>
        <v>Warlock</v>
      </c>
      <c r="F138" s="76">
        <v>8</v>
      </c>
      <c r="G138" s="153">
        <f ca="1">VLOOKUP($AB$2,'RF Mod'!$A$2:$G$12,2,FALSE)+VLOOKUP($AD$2,'RF Mod'!$I$2:$O$11,2,FALSE)+(TRUNC(6+(24-6)*(TRUNC(MOD(($Z138*1103515245 +12345)/ 65536, 32768),0)/32768),0))</f>
        <v>9</v>
      </c>
      <c r="H138" s="16">
        <f t="shared" ca="1" si="1"/>
        <v>-1</v>
      </c>
      <c r="I138" s="153">
        <f ca="1">VLOOKUP($AB$2,'RF Mod'!$A$2:$G$12,3,FALSE)+VLOOKUP($AD$2,'RF Mod'!$I$2:$O$11,3,FALSE)+(TRUNC(6+(24-6)*(TRUNC(MOD(($Z138*1103515245 +12345)/ 65536, 32768),0)/32768),0))</f>
        <v>13</v>
      </c>
      <c r="J138" s="16" t="e">
        <f t="shared" ca="1" si="2"/>
        <v>#NAME?</v>
      </c>
      <c r="K138" s="153">
        <f ca="1">VLOOKUP($AB$2,'RF Mod'!$A$2:$G$12,3,FALSE)+VLOOKUP($AD$2,'RF Mod'!$I$2:$O$11,3,FALSE)+(TRUNC(6+(24-6)*(TRUNC(MOD(($Z138*1103515245 +12345)/ 65536, 32768),0)/32768),0))</f>
        <v>13</v>
      </c>
      <c r="L138" s="16" t="e">
        <f t="shared" ca="1" si="3"/>
        <v>#NAME?</v>
      </c>
      <c r="M138" s="153">
        <f ca="1">VLOOKUP($AB$2,'RF Mod'!$A$2:$G$12,4,FALSE)+VLOOKUP($AD$2,'RF Mod'!$I$2:$O$11,4,FALSE)+(TRUNC(6+(24-6)*(TRUNC(MOD(($Z138*1103515245 +12345)/ 65536, 32768),0)/32768),0))</f>
        <v>12</v>
      </c>
      <c r="N138" s="16" t="e">
        <f t="shared" ca="1" si="4"/>
        <v>#NAME?</v>
      </c>
      <c r="O138" s="153">
        <f ca="1">VLOOKUP($AB$2,'RF Mod'!$A$2:$G$12,5,FALSE)+VLOOKUP($AD$2,'RF Mod'!$I$2:$O$11,5,FALSE)+(TRUNC(6+(24-6)*(TRUNC(MOD(($Z138*1103515245 +12345)/ 65536, 32768),0)/32768),0))</f>
        <v>15</v>
      </c>
      <c r="P138" s="16" t="e">
        <f t="shared" ca="1" si="5"/>
        <v>#NAME?</v>
      </c>
      <c r="Q138" s="153">
        <f ca="1">VLOOKUP($AB$2,'RF Mod'!$A$2:$G$12,6,FALSE)+VLOOKUP($AD$2,'RF Mod'!$I$2:$O$11,6,FALSE)+(TRUNC(6+(24-6)*(TRUNC(MOD(($Z138*1103515245 +12345)/ 65536, 32768),0)/32768),0))</f>
        <v>13</v>
      </c>
      <c r="R138" s="16" t="e">
        <f t="shared" ca="1" si="6"/>
        <v>#NAME?</v>
      </c>
      <c r="S138" s="154">
        <f t="shared" ca="1" si="12"/>
        <v>200</v>
      </c>
      <c r="T138" s="154">
        <f t="shared" ca="1" si="7"/>
        <v>169</v>
      </c>
      <c r="U138" s="16" t="str">
        <f t="shared" ca="1" si="8"/>
        <v>Bloody</v>
      </c>
      <c r="V138" s="155">
        <f ca="1">IFERROR(__xludf.DUMMYFUNCTION("if(W138=""Middle Age"",QUERY(NPCVar!$K$2:$N1000, ""Select L where K = '""&amp;AB138&amp;""'""),if(W138=""Old"",QUERY(NPCVar!$K$2:$N1000, ""Select M where K = '""&amp;AB138&amp;""'""),if(W138=""Venerable"",QUERY(NPCVar!$K$2:$N1000, ""Select N where K = '""&amp;AB138&amp;""'""),fa"&amp;"lse)))*X138"),300)</f>
        <v>300</v>
      </c>
      <c r="W138" s="156" t="str">
        <f t="array" ref="W138">INDEX(NPCAgeType,TRUNC(1+(4-1)*(TRUNC(MOD((X138*1103515245 +12345)/ 65536, 32768),0)/32768),0))</f>
        <v>Venerable</v>
      </c>
      <c r="X138" s="117">
        <f t="shared" si="13"/>
        <v>1.5</v>
      </c>
      <c r="Y138" s="157" t="e">
        <f t="array" aca="1" ref="Y138" ca="1">LOOKUP(ABS(MAX(Z138 + MIN(ABS(INDIRECT("Class Jobs!B"&amp;MATCH(E138,'Class Jobs'!$A$1:$A1000,0)&amp;":"&amp;"AF"&amp;MATCH(E138,'Class Jobs'!$A$1:$A1000,0)&amp;"")-$Z138)) * SUM(IF(MIN(ABS(INDIRECT("Class Jobs!B"&amp;MATCH(E138,'Class Jobs'!$A$1:$A1000,0)&amp;":"&amp;"AF"&amp;MATCH(E138,'Class Jobs'!$A$1:$A1000,0)&amp;"")-$Z138))=ABS(INDIRECT("Class Jobs!B"&amp;MATCH(E138,'Class Jobs'!$A$1:$A1000,0)&amp;":"&amp;"AF"&amp;MATCH(E138,'Class Jobs'!$A$1:$A1000,0)&amp;"")-$Z138),SIGN(INDIRECT("Class Jobs!B"&amp;MATCH(E138,'Class Jobs'!$A$1:A1000,0)&amp;":"&amp;"AF"&amp;MATCH(E138,'Class Jobs'!$A$1:$A1000,0)&amp;"")-$Z138),0)),0)),INDIRECT("Class Jobs!B"&amp;MATCH(E138,'Class Jobs'!$A$1:$A1000,0)&amp;":"&amp;"AF"&amp;MATCH(E138,'Class Jobs'!$A$1:$A1000,1)&amp;""),'Class Jobs'!$B$1:$AF$1)</f>
        <v>#REF!</v>
      </c>
      <c r="Z138" s="158">
        <f t="shared" si="10"/>
        <v>0.61</v>
      </c>
      <c r="AA138" s="16" t="str">
        <f t="array" ref="AA138">INDEX(NPCGender,TRUNC(1+(COUNTA(NPCGender))*(TRUNC(MOD(($B138*1103515245 +12345)/ 65536, 32768),0)/32768),0))</f>
        <v>Female</v>
      </c>
      <c r="AB138" s="16" t="str">
        <f t="array" ref="AB138">INDEX(NPCRace,TRUNC(1+(COUNTA(NPCRace))*(TRUNC(MOD(($B138*1103515245 +12345)/ 65536, 32768),0)/32768),0))</f>
        <v>Halfling</v>
      </c>
      <c r="AC138" s="16" t="str">
        <f t="array" ref="AC138">INDEX(NPCAL,TRUNC(1+(COUNTA(NPCAL))*(TRUNC(MOD(($B138*1103515245 +12345)/ 65536, 32768),0)/32768),0))</f>
        <v>NE</v>
      </c>
      <c r="AD138" s="72" t="str">
        <f ca="1">IFERROR(__xludf.DUMMYFUNCTION("if(V138&lt;15,QUERY(NPCVar!C:D,""Select D WHERE C = '""&amp;D138&amp;""'""),if((TRUNC(1+10)*(TRUNC(MOD((ROW(H138)*1103515245 +12345)/ 65536, 32768),0)/32768)/10) &gt; 0.85,INDEX(NPCFaction,TRUNC(1+(counta(NPCFaction)-1)*(TRUNC(MOD(($B138*1103515245 +12345)/ 65536, 3276"&amp;"8),0)/32768),0)),QUERY(NPCVar!C:D,""Select D WHERE C = '""&amp;D138&amp;""'"")))"),"Death Guild")</f>
        <v>Death Guild</v>
      </c>
      <c r="AE138" s="108" t="e">
        <f t="shared" ca="1" si="11"/>
        <v>#NAME?</v>
      </c>
      <c r="AF138" s="159">
        <f ca="1">IFERROR(__xludf.DUMMYFUNCTION("AE138*(V138 / QUERY(NPCVar!$K$2:$N$12, ""Select N WHERE K='""&amp;AB138&amp;""'""))*TRUNC(1+10)*(TRUNC(MOD(($B138*1103515245 +12345)/ 65536, 32768),0)/32768)"),5.04521942138671)</f>
        <v>5.0452194213867099</v>
      </c>
      <c r="AG138" s="16"/>
      <c r="AH138" s="77"/>
      <c r="AI138" s="114"/>
    </row>
    <row r="139" spans="1:35" ht="16.2">
      <c r="A139" s="53">
        <v>138</v>
      </c>
      <c r="B139" s="118">
        <f t="shared" si="15"/>
        <v>0.18425</v>
      </c>
      <c r="C139" s="72" t="str">
        <f t="array" ref="C139">INDEX(NPCFName,TRUNC(1+(COUNTA(NPCFName))*(TRUNC(MOD(($B139*1103515245 +12345)/ 65536, 32768),0)/32768),0))</f>
        <v>Endor</v>
      </c>
      <c r="D139" s="16" t="str">
        <f t="array" ref="D139">INDEX(NPCLName,TRUNC(1+(COUNTA(NPCLName))*(TRUNC(MOD(($B139*1103515245 +12345)/ 65536, 32768),0)/32768),0))</f>
        <v>Autumnorb</v>
      </c>
      <c r="E139" s="16" t="str">
        <f t="array" ref="E139">INDEX(NPCClass,TRUNC(1+(COUNTA(NPCClass))*(TRUNC(MOD(($B139*1103515245 +12345)/ 65536, 32768),0)/32768),0))</f>
        <v>Bard</v>
      </c>
      <c r="F139" s="76">
        <v>1</v>
      </c>
      <c r="G139" s="153">
        <f ca="1">VLOOKUP($AB$2,'RF Mod'!$A$2:$G$12,2,FALSE)+VLOOKUP($AD$2,'RF Mod'!$I$2:$O$11,2,FALSE)+(TRUNC(6+(24-6)*(TRUNC(MOD(($Z139*1103515245 +12345)/ 65536, 32768),0)/32768),0))</f>
        <v>4</v>
      </c>
      <c r="H139" s="16">
        <f t="shared" ca="1" si="1"/>
        <v>-3</v>
      </c>
      <c r="I139" s="153">
        <f ca="1">VLOOKUP($AB$2,'RF Mod'!$A$2:$G$12,3,FALSE)+VLOOKUP($AD$2,'RF Mod'!$I$2:$O$11,3,FALSE)+(TRUNC(6+(24-6)*(TRUNC(MOD(($Z139*1103515245 +12345)/ 65536, 32768),0)/32768),0))</f>
        <v>8</v>
      </c>
      <c r="J139" s="16">
        <f t="shared" ca="1" si="2"/>
        <v>-1</v>
      </c>
      <c r="K139" s="153">
        <f ca="1">VLOOKUP($AB$2,'RF Mod'!$A$2:$G$12,3,FALSE)+VLOOKUP($AD$2,'RF Mod'!$I$2:$O$11,3,FALSE)+(TRUNC(6+(24-6)*(TRUNC(MOD(($Z139*1103515245 +12345)/ 65536, 32768),0)/32768),0))</f>
        <v>8</v>
      </c>
      <c r="L139" s="16">
        <f t="shared" ca="1" si="3"/>
        <v>-1</v>
      </c>
      <c r="M139" s="153">
        <f ca="1">VLOOKUP($AB$2,'RF Mod'!$A$2:$G$12,4,FALSE)+VLOOKUP($AD$2,'RF Mod'!$I$2:$O$11,4,FALSE)+(TRUNC(6+(24-6)*(TRUNC(MOD(($Z139*1103515245 +12345)/ 65536, 32768),0)/32768),0))</f>
        <v>7</v>
      </c>
      <c r="N139" s="16">
        <f t="shared" ca="1" si="4"/>
        <v>-2</v>
      </c>
      <c r="O139" s="153">
        <f ca="1">VLOOKUP($AB$2,'RF Mod'!$A$2:$G$12,5,FALSE)+VLOOKUP($AD$2,'RF Mod'!$I$2:$O$11,5,FALSE)+(TRUNC(6+(24-6)*(TRUNC(MOD(($Z139*1103515245 +12345)/ 65536, 32768),0)/32768),0))</f>
        <v>10</v>
      </c>
      <c r="P139" s="16" t="e">
        <f t="shared" ca="1" si="5"/>
        <v>#NAME?</v>
      </c>
      <c r="Q139" s="153">
        <f ca="1">VLOOKUP($AB$2,'RF Mod'!$A$2:$G$12,6,FALSE)+VLOOKUP($AD$2,'RF Mod'!$I$2:$O$11,6,FALSE)+(TRUNC(6+(24-6)*(TRUNC(MOD(($Z139*1103515245 +12345)/ 65536, 32768),0)/32768),0))</f>
        <v>8</v>
      </c>
      <c r="R139" s="16">
        <f t="shared" ca="1" si="6"/>
        <v>-1</v>
      </c>
      <c r="S139" s="154">
        <f t="shared" ca="1" si="12"/>
        <v>10</v>
      </c>
      <c r="T139" s="154">
        <f t="shared" ca="1" si="7"/>
        <v>6</v>
      </c>
      <c r="U139" s="16" t="str">
        <f t="shared" ca="1" si="8"/>
        <v>Bloody</v>
      </c>
      <c r="V139" s="155">
        <f ca="1">IFERROR(__xludf.DUMMYFUNCTION("if(W139=""Middle Age"",QUERY(NPCVar!$K$2:$N1000, ""Select L where K = '""&amp;AB139&amp;""'""),if(W139=""Old"",QUERY(NPCVar!$K$2:$N1000, ""Select M where K = '""&amp;AB139&amp;""'""),if(W139=""Venerable"",QUERY(NPCVar!$K$2:$N1000, ""Select N where K = '""&amp;AB139&amp;""'""),fa"&amp;"lse)))*X139"),24)</f>
        <v>24</v>
      </c>
      <c r="W139" s="156" t="str">
        <f t="array" ref="W139">INDEX(NPCAgeType,TRUNC(1+(4-1)*(TRUNC(MOD((X139*1103515245 +12345)/ 65536, 32768),0)/32768),0))</f>
        <v>Middle Age</v>
      </c>
      <c r="X139" s="117">
        <f t="shared" si="13"/>
        <v>0.3</v>
      </c>
      <c r="Y139" s="157" t="e">
        <f t="array" aca="1" ref="Y139" ca="1">LOOKUP(ABS(MAX(Z139 + MIN(ABS(INDIRECT("Class Jobs!B"&amp;MATCH(E139,'Class Jobs'!$A$1:$A1000,0)&amp;":"&amp;"AF"&amp;MATCH(E139,'Class Jobs'!$A$1:$A1000,0)&amp;"")-$Z139)) * SUM(IF(MIN(ABS(INDIRECT("Class Jobs!B"&amp;MATCH(E139,'Class Jobs'!$A$1:$A1000,0)&amp;":"&amp;"AF"&amp;MATCH(E139,'Class Jobs'!$A$1:$A1000,0)&amp;"")-$Z139))=ABS(INDIRECT("Class Jobs!B"&amp;MATCH(E139,'Class Jobs'!$A$1:$A1000,0)&amp;":"&amp;"AF"&amp;MATCH(E139,'Class Jobs'!$A$1:$A1000,0)&amp;"")-$Z139),SIGN(INDIRECT("Class Jobs!B"&amp;MATCH(E139,'Class Jobs'!$A$1:A1000,0)&amp;":"&amp;"AF"&amp;MATCH(E139,'Class Jobs'!$A$1:$A1000,0)&amp;"")-$Z139),0)),0)),INDIRECT("Class Jobs!B"&amp;MATCH(E139,'Class Jobs'!$A$1:$A1000,0)&amp;":"&amp;"AF"&amp;MATCH(E139,'Class Jobs'!$A$1:$A1000,1)&amp;""),'Class Jobs'!$B$1:$AF$1)</f>
        <v>#REF!</v>
      </c>
      <c r="Z139" s="158">
        <f t="shared" si="10"/>
        <v>0.1</v>
      </c>
      <c r="AA139" s="16" t="str">
        <f t="array" ref="AA139">INDEX(NPCGender,TRUNC(1+(COUNTA(NPCGender))*(TRUNC(MOD(($B139*1103515245 +12345)/ 65536, 32768),0)/32768),0))</f>
        <v>Male</v>
      </c>
      <c r="AB139" s="16" t="str">
        <f t="array" ref="AB139">INDEX(NPCRace,TRUNC(1+(COUNTA(NPCRace))*(TRUNC(MOD(($B139*1103515245 +12345)/ 65536, 32768),0)/32768),0))</f>
        <v>Dwarf</v>
      </c>
      <c r="AC139" s="16" t="str">
        <f t="array" ref="AC139">INDEX(NPCAL,TRUNC(1+(COUNTA(NPCAL))*(TRUNC(MOD(($B139*1103515245 +12345)/ 65536, 32768),0)/32768),0))</f>
        <v>CN</v>
      </c>
      <c r="AD139" s="72" t="str">
        <f ca="1">IFERROR(__xludf.DUMMYFUNCTION("if(V139&lt;15,QUERY(NPCVar!C:D,""Select D WHERE C = '""&amp;D139&amp;""'""),if((TRUNC(1+10)*(TRUNC(MOD((ROW(H139)*1103515245 +12345)/ 65536, 32768),0)/32768)/10) &gt; 0.85,INDEX(NPCFaction,TRUNC(1+(counta(NPCFaction)-1)*(TRUNC(MOD(($B139*1103515245 +12345)/ 65536, 3276"&amp;"8),0)/32768),0)),QUERY(NPCVar!C:D,""Select D WHERE C = '""&amp;D139&amp;""'"")))"),"Royalty")</f>
        <v>Royalty</v>
      </c>
      <c r="AE139" s="108" t="e">
        <f t="shared" ca="1" si="11"/>
        <v>#NAME?</v>
      </c>
      <c r="AF139" s="159">
        <f ca="1">IFERROR(__xludf.DUMMYFUNCTION("AE139*(V139 / QUERY(NPCVar!$K$2:$N$12, ""Select N WHERE K='""&amp;AB139&amp;""'""))*TRUNC(1+10)*(TRUNC(MOD(($B139*1103515245 +12345)/ 65536, 32768),0)/32768)"),0.0468594360351562)</f>
        <v>4.6859436035156202E-2</v>
      </c>
      <c r="AG139" s="16"/>
      <c r="AH139" s="77"/>
      <c r="AI139" s="114"/>
    </row>
    <row r="140" spans="1:35" ht="16.2">
      <c r="A140" s="53">
        <v>139</v>
      </c>
      <c r="B140" s="118">
        <f t="shared" si="15"/>
        <v>1.67839</v>
      </c>
      <c r="C140" s="72" t="str">
        <f t="array" ref="C140">INDEX(NPCFName,TRUNC(1+(COUNTA(NPCFName))*(TRUNC(MOD(($B140*1103515245 +12345)/ 65536, 32768),0)/32768),0))</f>
        <v>Mitar</v>
      </c>
      <c r="D140" s="16" t="str">
        <f t="array" ref="D140">INDEX(NPCLName,TRUNC(1+(COUNTA(NPCLName))*(TRUNC(MOD(($B140*1103515245 +12345)/ 65536, 32768),0)/32768),0))</f>
        <v>Springgust</v>
      </c>
      <c r="E140" s="16" t="str">
        <f t="array" ref="E140">INDEX(NPCClass,TRUNC(1+(COUNTA(NPCClass))*(TRUNC(MOD(($B140*1103515245 +12345)/ 65536, 32768),0)/32768),0))</f>
        <v>Fighter</v>
      </c>
      <c r="F140" s="76">
        <v>8</v>
      </c>
      <c r="G140" s="153">
        <f ca="1">VLOOKUP($AB$2,'RF Mod'!$A$2:$G$12,2,FALSE)+VLOOKUP($AD$2,'RF Mod'!$I$2:$O$11,2,FALSE)+(TRUNC(6+(24-6)*(TRUNC(MOD(($Z140*1103515245 +12345)/ 65536, 32768),0)/32768),0))</f>
        <v>11</v>
      </c>
      <c r="H140" s="16" t="e">
        <f t="shared" ca="1" si="1"/>
        <v>#NAME?</v>
      </c>
      <c r="I140" s="153">
        <f ca="1">VLOOKUP($AB$2,'RF Mod'!$A$2:$G$12,3,FALSE)+VLOOKUP($AD$2,'RF Mod'!$I$2:$O$11,3,FALSE)+(TRUNC(6+(24-6)*(TRUNC(MOD(($Z140*1103515245 +12345)/ 65536, 32768),0)/32768),0))</f>
        <v>15</v>
      </c>
      <c r="J140" s="16" t="e">
        <f t="shared" ca="1" si="2"/>
        <v>#NAME?</v>
      </c>
      <c r="K140" s="153">
        <f ca="1">VLOOKUP($AB$2,'RF Mod'!$A$2:$G$12,3,FALSE)+VLOOKUP($AD$2,'RF Mod'!$I$2:$O$11,3,FALSE)+(TRUNC(6+(24-6)*(TRUNC(MOD(($Z140*1103515245 +12345)/ 65536, 32768),0)/32768),0))</f>
        <v>15</v>
      </c>
      <c r="L140" s="16" t="e">
        <f t="shared" ca="1" si="3"/>
        <v>#NAME?</v>
      </c>
      <c r="M140" s="153">
        <f ca="1">VLOOKUP($AB$2,'RF Mod'!$A$2:$G$12,4,FALSE)+VLOOKUP($AD$2,'RF Mod'!$I$2:$O$11,4,FALSE)+(TRUNC(6+(24-6)*(TRUNC(MOD(($Z140*1103515245 +12345)/ 65536, 32768),0)/32768),0))</f>
        <v>14</v>
      </c>
      <c r="N140" s="16" t="e">
        <f t="shared" ca="1" si="4"/>
        <v>#NAME?</v>
      </c>
      <c r="O140" s="153">
        <f ca="1">VLOOKUP($AB$2,'RF Mod'!$A$2:$G$12,5,FALSE)+VLOOKUP($AD$2,'RF Mod'!$I$2:$O$11,5,FALSE)+(TRUNC(6+(24-6)*(TRUNC(MOD(($Z140*1103515245 +12345)/ 65536, 32768),0)/32768),0))</f>
        <v>17</v>
      </c>
      <c r="P140" s="16" t="e">
        <f t="shared" ca="1" si="5"/>
        <v>#NAME?</v>
      </c>
      <c r="Q140" s="153">
        <f ca="1">VLOOKUP($AB$2,'RF Mod'!$A$2:$G$12,6,FALSE)+VLOOKUP($AD$2,'RF Mod'!$I$2:$O$11,6,FALSE)+(TRUNC(6+(24-6)*(TRUNC(MOD(($Z140*1103515245 +12345)/ 65536, 32768),0)/32768),0))</f>
        <v>15</v>
      </c>
      <c r="R140" s="16" t="e">
        <f t="shared" ca="1" si="6"/>
        <v>#NAME?</v>
      </c>
      <c r="S140" s="154">
        <f t="shared" ca="1" si="12"/>
        <v>168</v>
      </c>
      <c r="T140" s="154">
        <f t="shared" ca="1" si="7"/>
        <v>199</v>
      </c>
      <c r="U140" s="16" t="str">
        <f t="shared" ca="1" si="8"/>
        <v>Dead</v>
      </c>
      <c r="V140" s="155">
        <f ca="1">IFERROR(__xludf.DUMMYFUNCTION("if(W140=""Middle Age"",QUERY(NPCVar!$K$2:$N1000, ""Select L where K = '""&amp;AB140&amp;""'""),if(W140=""Old"",QUERY(NPCVar!$K$2:$N1000, ""Select M where K = '""&amp;AB140&amp;""'""),if(W140=""Venerable"",QUERY(NPCVar!$K$2:$N1000, ""Select N where K = '""&amp;AB140&amp;""'""),fa"&amp;"lse)))*X140"),57.75)</f>
        <v>57.75</v>
      </c>
      <c r="W140" s="156" t="str">
        <f t="array" ref="W140">INDEX(NPCAgeType,TRUNC(1+(4-1)*(TRUNC(MOD((X140*1103515245 +12345)/ 65536, 32768),0)/32768),0))</f>
        <v>Middle Age</v>
      </c>
      <c r="X140" s="117">
        <f t="shared" si="13"/>
        <v>2.1</v>
      </c>
      <c r="Y140" s="157" t="e">
        <f t="array" aca="1" ref="Y140" ca="1">LOOKUP(ABS(MAX(Z140 + MIN(ABS(INDIRECT("Class Jobs!B"&amp;MATCH(E140,'Class Jobs'!$A$1:$A1000,0)&amp;":"&amp;"AF"&amp;MATCH(E140,'Class Jobs'!$A$1:$A1000,0)&amp;"")-$Z140)) * SUM(IF(MIN(ABS(INDIRECT("Class Jobs!B"&amp;MATCH(E140,'Class Jobs'!$A$1:$A1000,0)&amp;":"&amp;"AF"&amp;MATCH(E140,'Class Jobs'!$A$1:$A1000,0)&amp;"")-$Z140))=ABS(INDIRECT("Class Jobs!B"&amp;MATCH(E140,'Class Jobs'!$A$1:$A1000,0)&amp;":"&amp;"AF"&amp;MATCH(E140,'Class Jobs'!$A$1:$A1000,0)&amp;"")-$Z140),SIGN(INDIRECT("Class Jobs!B"&amp;MATCH(E140,'Class Jobs'!$A$1:A1000,0)&amp;":"&amp;"AF"&amp;MATCH(E140,'Class Jobs'!$A$1:$A1000,0)&amp;"")-$Z140),0)),0)),INDIRECT("Class Jobs!B"&amp;MATCH(E140,'Class Jobs'!$A$1:$A1000,0)&amp;":"&amp;"AF"&amp;MATCH(E140,'Class Jobs'!$A$1:$A1000,1)&amp;""),'Class Jobs'!$B$1:$AF$1)</f>
        <v>#REF!</v>
      </c>
      <c r="Z140" s="158">
        <f t="shared" si="10"/>
        <v>0.86</v>
      </c>
      <c r="AA140" s="16" t="str">
        <f t="array" ref="AA140">INDEX(NPCGender,TRUNC(1+(COUNTA(NPCGender))*(TRUNC(MOD(($B140*1103515245 +12345)/ 65536, 32768),0)/32768),0))</f>
        <v>Neutral</v>
      </c>
      <c r="AB140" s="16" t="str">
        <f t="array" ref="AB140">INDEX(NPCRace,TRUNC(1+(COUNTA(NPCRace))*(TRUNC(MOD(($B140*1103515245 +12345)/ 65536, 32768),0)/32768),0))</f>
        <v>Genasi</v>
      </c>
      <c r="AC140" s="16" t="str">
        <f t="array" ref="AC140">INDEX(NPCAL,TRUNC(1+(COUNTA(NPCAL))*(TRUNC(MOD(($B140*1103515245 +12345)/ 65536, 32768),0)/32768),0))</f>
        <v>LN</v>
      </c>
      <c r="AD140" s="72" t="str">
        <f ca="1">IFERROR(__xludf.DUMMYFUNCTION("if(V140&lt;15,QUERY(NPCVar!C:D,""Select D WHERE C = '""&amp;D140&amp;""'""),if((TRUNC(1+10)*(TRUNC(MOD((ROW(H140)*1103515245 +12345)/ 65536, 32768),0)/32768)/10) &gt; 0.85,INDEX(NPCFaction,TRUNC(1+(counta(NPCFaction)-1)*(TRUNC(MOD(($B140*1103515245 +12345)/ 65536, 3276"&amp;"8),0)/32768),0)),QUERY(NPCVar!C:D,""Select D WHERE C = '""&amp;D140&amp;""'"")))"),"Farmers Guild")</f>
        <v>Farmers Guild</v>
      </c>
      <c r="AE140" s="108" t="e">
        <f t="shared" ca="1" si="11"/>
        <v>#NAME?</v>
      </c>
      <c r="AF140" s="159">
        <f ca="1">IFERROR(__xludf.DUMMYFUNCTION("AE140*(V140 / QUERY(NPCVar!$K$2:$N$12, ""Select N WHERE K='""&amp;AB140&amp;""'""))*TRUNC(1+10)*(TRUNC(MOD(($B140*1103515245 +12345)/ 65536, 32768),0)/32768)"),2.49034538269043)</f>
        <v>2.49034538269043</v>
      </c>
      <c r="AG140" s="16"/>
      <c r="AH140" s="77"/>
      <c r="AI140" s="114"/>
    </row>
    <row r="141" spans="1:35" ht="16.2">
      <c r="A141" s="53">
        <v>140</v>
      </c>
      <c r="B141" s="118">
        <f t="shared" si="15"/>
        <v>0.67252999999999996</v>
      </c>
      <c r="C141" s="72" t="str">
        <f t="array" ref="C141">INDEX(NPCFName,TRUNC(1+(COUNTA(NPCFName))*(TRUNC(MOD(($B141*1103515245 +12345)/ 65536, 32768),0)/32768),0))</f>
        <v>Allso</v>
      </c>
      <c r="D141" s="16" t="str">
        <f t="array" ref="D141">INDEX(NPCLName,TRUNC(1+(COUNTA(NPCLName))*(TRUNC(MOD(($B141*1103515245 +12345)/ 65536, 32768),0)/32768),0))</f>
        <v>Leafblight</v>
      </c>
      <c r="E141" s="16" t="str">
        <f t="array" ref="E141">INDEX(NPCClass,TRUNC(1+(COUNTA(NPCClass))*(TRUNC(MOD(($B141*1103515245 +12345)/ 65536, 32768),0)/32768),0))</f>
        <v>Paladin</v>
      </c>
      <c r="F141" s="76">
        <v>6</v>
      </c>
      <c r="G141" s="153">
        <f ca="1">VLOOKUP($AB$2,'RF Mod'!$A$2:$G$12,2,FALSE)+VLOOKUP($AD$2,'RF Mod'!$I$2:$O$11,2,FALSE)+(TRUNC(6+(24-6)*(TRUNC(MOD(($Z141*1103515245 +12345)/ 65536, 32768),0)/32768),0))</f>
        <v>7</v>
      </c>
      <c r="H141" s="16">
        <f t="shared" ca="1" si="1"/>
        <v>-2</v>
      </c>
      <c r="I141" s="153">
        <f ca="1">VLOOKUP($AB$2,'RF Mod'!$A$2:$G$12,3,FALSE)+VLOOKUP($AD$2,'RF Mod'!$I$2:$O$11,3,FALSE)+(TRUNC(6+(24-6)*(TRUNC(MOD(($Z141*1103515245 +12345)/ 65536, 32768),0)/32768),0))</f>
        <v>11</v>
      </c>
      <c r="J141" s="16" t="e">
        <f t="shared" ca="1" si="2"/>
        <v>#NAME?</v>
      </c>
      <c r="K141" s="153">
        <f ca="1">VLOOKUP($AB$2,'RF Mod'!$A$2:$G$12,3,FALSE)+VLOOKUP($AD$2,'RF Mod'!$I$2:$O$11,3,FALSE)+(TRUNC(6+(24-6)*(TRUNC(MOD(($Z141*1103515245 +12345)/ 65536, 32768),0)/32768),0))</f>
        <v>11</v>
      </c>
      <c r="L141" s="16" t="e">
        <f t="shared" ca="1" si="3"/>
        <v>#NAME?</v>
      </c>
      <c r="M141" s="153">
        <f ca="1">VLOOKUP($AB$2,'RF Mod'!$A$2:$G$12,4,FALSE)+VLOOKUP($AD$2,'RF Mod'!$I$2:$O$11,4,FALSE)+(TRUNC(6+(24-6)*(TRUNC(MOD(($Z141*1103515245 +12345)/ 65536, 32768),0)/32768),0))</f>
        <v>10</v>
      </c>
      <c r="N141" s="16" t="e">
        <f t="shared" ca="1" si="4"/>
        <v>#NAME?</v>
      </c>
      <c r="O141" s="153">
        <f ca="1">VLOOKUP($AB$2,'RF Mod'!$A$2:$G$12,5,FALSE)+VLOOKUP($AD$2,'RF Mod'!$I$2:$O$11,5,FALSE)+(TRUNC(6+(24-6)*(TRUNC(MOD(($Z141*1103515245 +12345)/ 65536, 32768),0)/32768),0))</f>
        <v>13</v>
      </c>
      <c r="P141" s="16" t="e">
        <f t="shared" ca="1" si="5"/>
        <v>#NAME?</v>
      </c>
      <c r="Q141" s="153">
        <f ca="1">VLOOKUP($AB$2,'RF Mod'!$A$2:$G$12,6,FALSE)+VLOOKUP($AD$2,'RF Mod'!$I$2:$O$11,6,FALSE)+(TRUNC(6+(24-6)*(TRUNC(MOD(($Z141*1103515245 +12345)/ 65536, 32768),0)/32768),0))</f>
        <v>11</v>
      </c>
      <c r="R141" s="16" t="e">
        <f t="shared" ca="1" si="6"/>
        <v>#NAME?</v>
      </c>
      <c r="S141" s="154">
        <f t="shared" ca="1" si="12"/>
        <v>126</v>
      </c>
      <c r="T141" s="154">
        <f t="shared" ca="1" si="7"/>
        <v>78</v>
      </c>
      <c r="U141" s="16" t="str">
        <f t="shared" ca="1" si="8"/>
        <v>Bloody</v>
      </c>
      <c r="V141" s="155">
        <f ca="1">IFERROR(__xludf.DUMMYFUNCTION("if(W141=""Middle Age"",QUERY(NPCVar!$K$2:$N1000, ""Select L where K = '""&amp;AB141&amp;""'""),if(W141=""Old"",QUERY(NPCVar!$K$2:$N1000, ""Select M where K = '""&amp;AB141&amp;""'""),if(W141=""Venerable"",QUERY(NPCVar!$K$2:$N1000, ""Select N where K = '""&amp;AB141&amp;""'""),fa"&amp;"lse)))*X141"),151.875)</f>
        <v>151.875</v>
      </c>
      <c r="W141" s="156" t="str">
        <f t="array" ref="W141">INDEX(NPCAgeType,TRUNC(1+(4-1)*(TRUNC(MOD((X141*1103515245 +12345)/ 65536, 32768),0)/32768),0))</f>
        <v>Old</v>
      </c>
      <c r="X141" s="117">
        <f t="shared" si="13"/>
        <v>0.9</v>
      </c>
      <c r="Y141" s="157" t="e">
        <f t="array" aca="1" ref="Y141" ca="1">LOOKUP(ABS(MAX(Z141 + MIN(ABS(INDIRECT("Class Jobs!B"&amp;MATCH(E141,'Class Jobs'!$A$1:$A1000,0)&amp;":"&amp;"AF"&amp;MATCH(E141,'Class Jobs'!$A$1:$A1000,0)&amp;"")-$Z141)) * SUM(IF(MIN(ABS(INDIRECT("Class Jobs!B"&amp;MATCH(E141,'Class Jobs'!$A$1:$A1000,0)&amp;":"&amp;"AF"&amp;MATCH(E141,'Class Jobs'!$A$1:$A1000,0)&amp;"")-$Z141))=ABS(INDIRECT("Class Jobs!B"&amp;MATCH(E141,'Class Jobs'!$A$1:$A1000,0)&amp;":"&amp;"AF"&amp;MATCH(E141,'Class Jobs'!$A$1:$A1000,0)&amp;"")-$Z141),SIGN(INDIRECT("Class Jobs!B"&amp;MATCH(E141,'Class Jobs'!$A$1:A1000,0)&amp;":"&amp;"AF"&amp;MATCH(E141,'Class Jobs'!$A$1:$A1000,0)&amp;"")-$Z141),0)),0)),INDIRECT("Class Jobs!B"&amp;MATCH(E141,'Class Jobs'!$A$1:$A1000,0)&amp;":"&amp;"AF"&amp;MATCH(E141,'Class Jobs'!$A$1:$A1000,1)&amp;""),'Class Jobs'!$B$1:$AF$1)</f>
        <v>#REF!</v>
      </c>
      <c r="Z141" s="158">
        <f t="shared" si="10"/>
        <v>0.35</v>
      </c>
      <c r="AA141" s="16" t="str">
        <f t="array" ref="AA141">INDEX(NPCGender,TRUNC(1+(COUNTA(NPCGender))*(TRUNC(MOD(($B141*1103515245 +12345)/ 65536, 32768),0)/32768),0))</f>
        <v>Female</v>
      </c>
      <c r="AB141" s="16" t="str">
        <f t="array" ref="AB141">INDEX(NPCRace,TRUNC(1+(COUNTA(NPCRace))*(TRUNC(MOD(($B141*1103515245 +12345)/ 65536, 32768),0)/32768),0))</f>
        <v>Gnome</v>
      </c>
      <c r="AC141" s="16" t="str">
        <f t="array" ref="AC141">INDEX(NPCAL,TRUNC(1+(COUNTA(NPCAL))*(TRUNC(MOD(($B141*1103515245 +12345)/ 65536, 32768),0)/32768),0))</f>
        <v>NG</v>
      </c>
      <c r="AD141" s="72" t="str">
        <f ca="1">IFERROR(__xludf.DUMMYFUNCTION("if(V141&lt;15,QUERY(NPCVar!C:D,""Select D WHERE C = '""&amp;D141&amp;""'""),if((TRUNC(1+10)*(TRUNC(MOD((ROW(H141)*1103515245 +12345)/ 65536, 32768),0)/32768)/10) &gt; 0.85,INDEX(NPCFaction,TRUNC(1+(counta(NPCFaction)-1)*(TRUNC(MOD(($B141*1103515245 +12345)/ 65536, 3276"&amp;"8),0)/32768),0)),QUERY(NPCVar!C:D,""Select D WHERE C = '""&amp;D141&amp;""'"")))"),"Necromancer")</f>
        <v>Necromancer</v>
      </c>
      <c r="AE141" s="108" t="e">
        <f t="shared" ca="1" si="11"/>
        <v>#NAME?</v>
      </c>
      <c r="AF141" s="159">
        <f ca="1">IFERROR(__xludf.DUMMYFUNCTION("AE141*(V141 / QUERY(NPCVar!$K$2:$N$12, ""Select N WHERE K='""&amp;AB141&amp;""'""))*TRUNC(1+10)*(TRUNC(MOD(($B141*1103515245 +12345)/ 65536, 32768),0)/32768)"),1.02637573242187)</f>
        <v>1.0263757324218701</v>
      </c>
      <c r="AG141" s="16"/>
      <c r="AH141" s="77"/>
      <c r="AI141" s="114"/>
    </row>
    <row r="142" spans="1:35" ht="16.2">
      <c r="A142" s="53">
        <v>141</v>
      </c>
      <c r="B142" s="118">
        <f t="shared" si="15"/>
        <v>2.1666699999999999</v>
      </c>
      <c r="C142" s="72" t="str">
        <f t="array" ref="C142">INDEX(NPCFName,TRUNC(1+(COUNTA(NPCFName))*(TRUNC(MOD(($B142*1103515245 +12345)/ 65536, 32768),0)/32768),0))</f>
        <v>Gafolern</v>
      </c>
      <c r="D142" s="16" t="str">
        <f t="array" ref="D142">INDEX(NPCLName,TRUNC(1+(COUNTA(NPCLName))*(TRUNC(MOD(($B142*1103515245 +12345)/ 65536, 32768),0)/32768),0))</f>
        <v>Distantlash</v>
      </c>
      <c r="E142" s="16" t="str">
        <f t="array" ref="E142">INDEX(NPCClass,TRUNC(1+(COUNTA(NPCClass))*(TRUNC(MOD(($B142*1103515245 +12345)/ 65536, 32768),0)/32768),0))</f>
        <v>Bard</v>
      </c>
      <c r="F142" s="76">
        <v>1</v>
      </c>
      <c r="G142" s="153">
        <f ca="1">VLOOKUP($AB$2,'RF Mod'!$A$2:$G$12,2,FALSE)+VLOOKUP($AD$2,'RF Mod'!$I$2:$O$11,2,FALSE)+(TRUNC(6+(24-6)*(TRUNC(MOD(($Z142*1103515245 +12345)/ 65536, 32768),0)/32768),0))</f>
        <v>5</v>
      </c>
      <c r="H142" s="16">
        <f t="shared" ca="1" si="1"/>
        <v>-3</v>
      </c>
      <c r="I142" s="153">
        <f ca="1">VLOOKUP($AB$2,'RF Mod'!$A$2:$G$12,3,FALSE)+VLOOKUP($AD$2,'RF Mod'!$I$2:$O$11,3,FALSE)+(TRUNC(6+(24-6)*(TRUNC(MOD(($Z142*1103515245 +12345)/ 65536, 32768),0)/32768),0))</f>
        <v>9</v>
      </c>
      <c r="J142" s="16">
        <f t="shared" ca="1" si="2"/>
        <v>-1</v>
      </c>
      <c r="K142" s="153">
        <f ca="1">VLOOKUP($AB$2,'RF Mod'!$A$2:$G$12,3,FALSE)+VLOOKUP($AD$2,'RF Mod'!$I$2:$O$11,3,FALSE)+(TRUNC(6+(24-6)*(TRUNC(MOD(($Z142*1103515245 +12345)/ 65536, 32768),0)/32768),0))</f>
        <v>9</v>
      </c>
      <c r="L142" s="16">
        <f t="shared" ca="1" si="3"/>
        <v>-1</v>
      </c>
      <c r="M142" s="153">
        <f ca="1">VLOOKUP($AB$2,'RF Mod'!$A$2:$G$12,4,FALSE)+VLOOKUP($AD$2,'RF Mod'!$I$2:$O$11,4,FALSE)+(TRUNC(6+(24-6)*(TRUNC(MOD(($Z142*1103515245 +12345)/ 65536, 32768),0)/32768),0))</f>
        <v>8</v>
      </c>
      <c r="N142" s="16">
        <f t="shared" ca="1" si="4"/>
        <v>-1</v>
      </c>
      <c r="O142" s="153">
        <f ca="1">VLOOKUP($AB$2,'RF Mod'!$A$2:$G$12,5,FALSE)+VLOOKUP($AD$2,'RF Mod'!$I$2:$O$11,5,FALSE)+(TRUNC(6+(24-6)*(TRUNC(MOD(($Z142*1103515245 +12345)/ 65536, 32768),0)/32768),0))</f>
        <v>11</v>
      </c>
      <c r="P142" s="16" t="e">
        <f t="shared" ca="1" si="5"/>
        <v>#NAME?</v>
      </c>
      <c r="Q142" s="153">
        <f ca="1">VLOOKUP($AB$2,'RF Mod'!$A$2:$G$12,6,FALSE)+VLOOKUP($AD$2,'RF Mod'!$I$2:$O$11,6,FALSE)+(TRUNC(6+(24-6)*(TRUNC(MOD(($Z142*1103515245 +12345)/ 65536, 32768),0)/32768),0))</f>
        <v>9</v>
      </c>
      <c r="R142" s="16">
        <f t="shared" ca="1" si="6"/>
        <v>-1</v>
      </c>
      <c r="S142" s="154">
        <f t="shared" ca="1" si="12"/>
        <v>11</v>
      </c>
      <c r="T142" s="154">
        <f t="shared" ca="1" si="7"/>
        <v>1</v>
      </c>
      <c r="U142" s="16" t="str">
        <f t="shared" ca="1" si="8"/>
        <v>Fine</v>
      </c>
      <c r="V142" s="155">
        <f ca="1">IFERROR(__xludf.DUMMYFUNCTION("if(W142=""Middle Age"",QUERY(NPCVar!$K$2:$N1000, ""Select L where K = '""&amp;AB142&amp;""'""),if(W142=""Old"",QUERY(NPCVar!$K$2:$N1000, ""Select M where K = '""&amp;AB142&amp;""'""),if(W142=""Venerable"",QUERY(NPCVar!$K$2:$N1000, ""Select N where K = '""&amp;AB142&amp;""'""),fa"&amp;"lse)))*X142"),24)</f>
        <v>24</v>
      </c>
      <c r="W142" s="156" t="str">
        <f t="array" ref="W142">INDEX(NPCAgeType,TRUNC(1+(4-1)*(TRUNC(MOD((X142*1103515245 +12345)/ 65536, 32768),0)/32768),0))</f>
        <v>Middle Age</v>
      </c>
      <c r="X142" s="117">
        <f t="shared" si="13"/>
        <v>0.3</v>
      </c>
      <c r="Y142" s="157" t="e">
        <f t="array" aca="1" ref="Y142" ca="1">LOOKUP(ABS(MAX(Z142 + MIN(ABS(INDIRECT("Class Jobs!B"&amp;MATCH(E142,'Class Jobs'!$A$1:$A1000,0)&amp;":"&amp;"AF"&amp;MATCH(E142,'Class Jobs'!$A$1:$A1000,0)&amp;"")-$Z142)) * SUM(IF(MIN(ABS(INDIRECT("Class Jobs!B"&amp;MATCH(E142,'Class Jobs'!$A$1:$A1000,0)&amp;":"&amp;"AF"&amp;MATCH(E142,'Class Jobs'!$A$1:$A1000,0)&amp;"")-$Z142))=ABS(INDIRECT("Class Jobs!B"&amp;MATCH(E142,'Class Jobs'!$A$1:$A1000,0)&amp;":"&amp;"AF"&amp;MATCH(E142,'Class Jobs'!$A$1:$A1000,0)&amp;"")-$Z142),SIGN(INDIRECT("Class Jobs!B"&amp;MATCH(E142,'Class Jobs'!$A$1:A1000,0)&amp;":"&amp;"AF"&amp;MATCH(E142,'Class Jobs'!$A$1:$A1000,0)&amp;"")-$Z142),0)),0)),INDIRECT("Class Jobs!B"&amp;MATCH(E142,'Class Jobs'!$A$1:$A1000,0)&amp;":"&amp;"AF"&amp;MATCH(E142,'Class Jobs'!$A$1:$A1000,1)&amp;""),'Class Jobs'!$B$1:$AF$1)</f>
        <v>#REF!</v>
      </c>
      <c r="Z142" s="158">
        <f t="shared" si="10"/>
        <v>0.12</v>
      </c>
      <c r="AA142" s="16" t="str">
        <f t="array" ref="AA142">INDEX(NPCGender,TRUNC(1+(COUNTA(NPCGender))*(TRUNC(MOD(($B142*1103515245 +12345)/ 65536, 32768),0)/32768),0))</f>
        <v>Male</v>
      </c>
      <c r="AB142" s="16" t="str">
        <f t="array" ref="AB142">INDEX(NPCRace,TRUNC(1+(COUNTA(NPCRace))*(TRUNC(MOD(($B142*1103515245 +12345)/ 65536, 32768),0)/32768),0))</f>
        <v>Dwarf</v>
      </c>
      <c r="AC142" s="16" t="str">
        <f t="array" ref="AC142">INDEX(NPCAL,TRUNC(1+(COUNTA(NPCAL))*(TRUNC(MOD(($B142*1103515245 +12345)/ 65536, 32768),0)/32768),0))</f>
        <v>CE</v>
      </c>
      <c r="AD142" s="72" t="str">
        <f ca="1">IFERROR(__xludf.DUMMYFUNCTION("if(V142&lt;15,QUERY(NPCVar!C:D,""Select D WHERE C = '""&amp;D142&amp;""'""),if((TRUNC(1+10)*(TRUNC(MOD((ROW(H142)*1103515245 +12345)/ 65536, 32768),0)/32768)/10) &gt; 0.85,INDEX(NPCFaction,TRUNC(1+(counta(NPCFaction)-1)*(TRUNC(MOD(($B142*1103515245 +12345)/ 65536, 3276"&amp;"8),0)/32768),0)),QUERY(NPCVar!C:D,""Select D WHERE C = '""&amp;D142&amp;""'"")))"),"Necromancer")</f>
        <v>Necromancer</v>
      </c>
      <c r="AE142" s="108" t="e">
        <f t="shared" ca="1" si="11"/>
        <v>#NAME?</v>
      </c>
      <c r="AF142" s="159">
        <f ca="1">IFERROR(__xludf.DUMMYFUNCTION("AE142*(V142 / QUERY(NPCVar!$K$2:$N$12, ""Select N WHERE K='""&amp;AB142&amp;""'""))*TRUNC(1+10)*(TRUNC(MOD(($B142*1103515245 +12345)/ 65536, 32768),0)/32768)"),0.0187065124511718)</f>
        <v>1.8706512451171799E-2</v>
      </c>
      <c r="AG142" s="16"/>
      <c r="AH142" s="77"/>
      <c r="AI142" s="114"/>
    </row>
    <row r="143" spans="1:35" ht="16.2">
      <c r="A143" s="53">
        <v>142</v>
      </c>
      <c r="B143" s="118">
        <f t="shared" si="15"/>
        <v>1.1608099999999999</v>
      </c>
      <c r="C143" s="72" t="str">
        <f t="array" ref="C143">INDEX(NPCFName,TRUNC(1+(COUNTA(NPCFName))*(TRUNC(MOD(($B143*1103515245 +12345)/ 65536, 32768),0)/32768),0))</f>
        <v>Sesmidat</v>
      </c>
      <c r="D143" s="16" t="str">
        <f t="array" ref="D143">INDEX(NPCLName,TRUNC(1+(COUNTA(NPCLName))*(TRUNC(MOD(($B143*1103515245 +12345)/ 65536, 32768),0)/32768),0))</f>
        <v>Chestaxe</v>
      </c>
      <c r="E143" s="16" t="str">
        <f t="array" ref="E143">INDEX(NPCClass,TRUNC(1+(COUNTA(NPCClass))*(TRUNC(MOD(($B143*1103515245 +12345)/ 65536, 32768),0)/32768),0))</f>
        <v>Warlock</v>
      </c>
      <c r="F143" s="76">
        <v>8</v>
      </c>
      <c r="G143" s="153">
        <f ca="1">VLOOKUP($AB$2,'RF Mod'!$A$2:$G$12,2,FALSE)+VLOOKUP($AD$2,'RF Mod'!$I$2:$O$11,2,FALSE)+(TRUNC(6+(24-6)*(TRUNC(MOD(($Z143*1103515245 +12345)/ 65536, 32768),0)/32768),0))</f>
        <v>9</v>
      </c>
      <c r="H143" s="16">
        <f t="shared" ca="1" si="1"/>
        <v>-1</v>
      </c>
      <c r="I143" s="153">
        <f ca="1">VLOOKUP($AB$2,'RF Mod'!$A$2:$G$12,3,FALSE)+VLOOKUP($AD$2,'RF Mod'!$I$2:$O$11,3,FALSE)+(TRUNC(6+(24-6)*(TRUNC(MOD(($Z143*1103515245 +12345)/ 65536, 32768),0)/32768),0))</f>
        <v>13</v>
      </c>
      <c r="J143" s="16" t="e">
        <f t="shared" ca="1" si="2"/>
        <v>#NAME?</v>
      </c>
      <c r="K143" s="153">
        <f ca="1">VLOOKUP($AB$2,'RF Mod'!$A$2:$G$12,3,FALSE)+VLOOKUP($AD$2,'RF Mod'!$I$2:$O$11,3,FALSE)+(TRUNC(6+(24-6)*(TRUNC(MOD(($Z143*1103515245 +12345)/ 65536, 32768),0)/32768),0))</f>
        <v>13</v>
      </c>
      <c r="L143" s="16" t="e">
        <f t="shared" ca="1" si="3"/>
        <v>#NAME?</v>
      </c>
      <c r="M143" s="153">
        <f ca="1">VLOOKUP($AB$2,'RF Mod'!$A$2:$G$12,4,FALSE)+VLOOKUP($AD$2,'RF Mod'!$I$2:$O$11,4,FALSE)+(TRUNC(6+(24-6)*(TRUNC(MOD(($Z143*1103515245 +12345)/ 65536, 32768),0)/32768),0))</f>
        <v>12</v>
      </c>
      <c r="N143" s="16" t="e">
        <f t="shared" ca="1" si="4"/>
        <v>#NAME?</v>
      </c>
      <c r="O143" s="153">
        <f ca="1">VLOOKUP($AB$2,'RF Mod'!$A$2:$G$12,5,FALSE)+VLOOKUP($AD$2,'RF Mod'!$I$2:$O$11,5,FALSE)+(TRUNC(6+(24-6)*(TRUNC(MOD(($Z143*1103515245 +12345)/ 65536, 32768),0)/32768),0))</f>
        <v>15</v>
      </c>
      <c r="P143" s="16" t="e">
        <f t="shared" ca="1" si="5"/>
        <v>#NAME?</v>
      </c>
      <c r="Q143" s="153">
        <f ca="1">VLOOKUP($AB$2,'RF Mod'!$A$2:$G$12,6,FALSE)+VLOOKUP($AD$2,'RF Mod'!$I$2:$O$11,6,FALSE)+(TRUNC(6+(24-6)*(TRUNC(MOD(($Z143*1103515245 +12345)/ 65536, 32768),0)/32768),0))</f>
        <v>13</v>
      </c>
      <c r="R143" s="16" t="e">
        <f t="shared" ca="1" si="6"/>
        <v>#NAME?</v>
      </c>
      <c r="S143" s="154">
        <f t="shared" ca="1" si="12"/>
        <v>120</v>
      </c>
      <c r="T143" s="154">
        <f t="shared" ca="1" si="7"/>
        <v>21</v>
      </c>
      <c r="U143" s="16" t="str">
        <f t="shared" ca="1" si="8"/>
        <v>Fine</v>
      </c>
      <c r="V143" s="155">
        <f ca="1">IFERROR(__xludf.DUMMYFUNCTION("if(W143=""Middle Age"",QUERY(NPCVar!$K$2:$N1000, ""Select L where K = '""&amp;AB143&amp;""'""),if(W143=""Old"",QUERY(NPCVar!$K$2:$N1000, ""Select M where K = '""&amp;AB143&amp;""'""),if(W143=""Venerable"",QUERY(NPCVar!$K$2:$N1000, ""Select N where K = '""&amp;AB143&amp;""'""),fa"&amp;"lse)))*X143"),300)</f>
        <v>300</v>
      </c>
      <c r="W143" s="156" t="str">
        <f t="array" ref="W143">INDEX(NPCAgeType,TRUNC(1+(4-1)*(TRUNC(MOD((X143*1103515245 +12345)/ 65536, 32768),0)/32768),0))</f>
        <v>Venerable</v>
      </c>
      <c r="X143" s="117">
        <f t="shared" si="13"/>
        <v>1.5</v>
      </c>
      <c r="Y143" s="157" t="e">
        <f t="array" aca="1" ref="Y143" ca="1">LOOKUP(ABS(MAX(Z143 + MIN(ABS(INDIRECT("Class Jobs!B"&amp;MATCH(E143,'Class Jobs'!$A$1:$A1000,0)&amp;":"&amp;"AF"&amp;MATCH(E143,'Class Jobs'!$A$1:$A1000,0)&amp;"")-$Z143)) * SUM(IF(MIN(ABS(INDIRECT("Class Jobs!B"&amp;MATCH(E143,'Class Jobs'!$A$1:$A1000,0)&amp;":"&amp;"AF"&amp;MATCH(E143,'Class Jobs'!$A$1:$A1000,0)&amp;"")-$Z143))=ABS(INDIRECT("Class Jobs!B"&amp;MATCH(E143,'Class Jobs'!$A$1:$A1000,0)&amp;":"&amp;"AF"&amp;MATCH(E143,'Class Jobs'!$A$1:$A1000,0)&amp;"")-$Z143),SIGN(INDIRECT("Class Jobs!B"&amp;MATCH(E143,'Class Jobs'!$A$1:A1000,0)&amp;":"&amp;"AF"&amp;MATCH(E143,'Class Jobs'!$A$1:$A1000,0)&amp;"")-$Z143),0)),0)),INDIRECT("Class Jobs!B"&amp;MATCH(E143,'Class Jobs'!$A$1:$A1000,0)&amp;":"&amp;"AF"&amp;MATCH(E143,'Class Jobs'!$A$1:$A1000,1)&amp;""),'Class Jobs'!$B$1:$AF$1)</f>
        <v>#REF!</v>
      </c>
      <c r="Z143" s="158">
        <f t="shared" si="10"/>
        <v>0.6</v>
      </c>
      <c r="AA143" s="16" t="str">
        <f t="array" ref="AA143">INDEX(NPCGender,TRUNC(1+(COUNTA(NPCGender))*(TRUNC(MOD(($B143*1103515245 +12345)/ 65536, 32768),0)/32768),0))</f>
        <v>Female</v>
      </c>
      <c r="AB143" s="16" t="str">
        <f t="array" ref="AB143">INDEX(NPCRace,TRUNC(1+(COUNTA(NPCRace))*(TRUNC(MOD(($B143*1103515245 +12345)/ 65536, 32768),0)/32768),0))</f>
        <v>Halfling</v>
      </c>
      <c r="AC143" s="16" t="str">
        <f t="array" ref="AC143">INDEX(NPCAL,TRUNC(1+(COUNTA(NPCAL))*(TRUNC(MOD(($B143*1103515245 +12345)/ 65536, 32768),0)/32768),0))</f>
        <v>NE</v>
      </c>
      <c r="AD143" s="72" t="str">
        <f ca="1">IFERROR(__xludf.DUMMYFUNCTION("if(V143&lt;15,QUERY(NPCVar!C:D,""Select D WHERE C = '""&amp;D143&amp;""'""),if((TRUNC(1+10)*(TRUNC(MOD((ROW(H143)*1103515245 +12345)/ 65536, 32768),0)/32768)/10) &gt; 0.85,INDEX(NPCFaction,TRUNC(1+(counta(NPCFaction)-1)*(TRUNC(MOD(($B143*1103515245 +12345)/ 65536, 3276"&amp;"8),0)/32768),0)),QUERY(NPCVar!C:D,""Select D WHERE C = '""&amp;D143&amp;""'"")))"),"Farmers Guild")</f>
        <v>Farmers Guild</v>
      </c>
      <c r="AE143" s="108" t="e">
        <f t="shared" ca="1" si="11"/>
        <v>#NAME?</v>
      </c>
      <c r="AF143" s="159">
        <f ca="1">IFERROR(__xludf.DUMMYFUNCTION("AE143*(V143 / QUERY(NPCVar!$K$2:$N$12, ""Select N WHERE K='""&amp;AB143&amp;""'""))*TRUNC(1+10)*(TRUNC(MOD(($B143*1103515245 +12345)/ 65536, 32768),0)/32768)"),9.84219360351562)</f>
        <v>9.8421936035156197</v>
      </c>
      <c r="AG143" s="16"/>
      <c r="AH143" s="77"/>
      <c r="AI143" s="114"/>
    </row>
    <row r="144" spans="1:35" ht="16.2">
      <c r="A144" s="53">
        <v>143</v>
      </c>
      <c r="B144" s="118">
        <f t="shared" si="15"/>
        <v>0.15487999999999999</v>
      </c>
      <c r="C144" s="72" t="str">
        <f t="array" ref="C144">INDEX(NPCFName,TRUNC(1+(COUNTA(NPCFName))*(TRUNC(MOD(($B144*1103515245 +12345)/ 65536, 32768),0)/32768),0))</f>
        <v>Drakone</v>
      </c>
      <c r="D144" s="16" t="str">
        <f t="array" ref="D144">INDEX(NPCLName,TRUNC(1+(COUNTA(NPCLName))*(TRUNC(MOD(($B144*1103515245 +12345)/ 65536, 32768),0)/32768),0))</f>
        <v>Autumnorb</v>
      </c>
      <c r="E144" s="16" t="str">
        <f t="array" ref="E144">INDEX(NPCClass,TRUNC(1+(COUNTA(NPCClass))*(TRUNC(MOD(($B144*1103515245 +12345)/ 65536, 32768),0)/32768),0))</f>
        <v>Barbarian</v>
      </c>
      <c r="F144" s="76">
        <v>1</v>
      </c>
      <c r="G144" s="153">
        <f ca="1">VLOOKUP($AB$2,'RF Mod'!$A$2:$G$12,2,FALSE)+VLOOKUP($AD$2,'RF Mod'!$I$2:$O$11,2,FALSE)+(TRUNC(6+(24-6)*(TRUNC(MOD(($Z144*1103515245 +12345)/ 65536, 32768),0)/32768),0))</f>
        <v>4</v>
      </c>
      <c r="H144" s="16">
        <f t="shared" ca="1" si="1"/>
        <v>-3</v>
      </c>
      <c r="I144" s="153">
        <f ca="1">VLOOKUP($AB$2,'RF Mod'!$A$2:$G$12,3,FALSE)+VLOOKUP($AD$2,'RF Mod'!$I$2:$O$11,3,FALSE)+(TRUNC(6+(24-6)*(TRUNC(MOD(($Z144*1103515245 +12345)/ 65536, 32768),0)/32768),0))</f>
        <v>8</v>
      </c>
      <c r="J144" s="16">
        <f t="shared" ca="1" si="2"/>
        <v>-1</v>
      </c>
      <c r="K144" s="153">
        <f ca="1">VLOOKUP($AB$2,'RF Mod'!$A$2:$G$12,3,FALSE)+VLOOKUP($AD$2,'RF Mod'!$I$2:$O$11,3,FALSE)+(TRUNC(6+(24-6)*(TRUNC(MOD(($Z144*1103515245 +12345)/ 65536, 32768),0)/32768),0))</f>
        <v>8</v>
      </c>
      <c r="L144" s="16">
        <f t="shared" ca="1" si="3"/>
        <v>-1</v>
      </c>
      <c r="M144" s="153">
        <f ca="1">VLOOKUP($AB$2,'RF Mod'!$A$2:$G$12,4,FALSE)+VLOOKUP($AD$2,'RF Mod'!$I$2:$O$11,4,FALSE)+(TRUNC(6+(24-6)*(TRUNC(MOD(($Z144*1103515245 +12345)/ 65536, 32768),0)/32768),0))</f>
        <v>7</v>
      </c>
      <c r="N144" s="16">
        <f t="shared" ca="1" si="4"/>
        <v>-2</v>
      </c>
      <c r="O144" s="153">
        <f ca="1">VLOOKUP($AB$2,'RF Mod'!$A$2:$G$12,5,FALSE)+VLOOKUP($AD$2,'RF Mod'!$I$2:$O$11,5,FALSE)+(TRUNC(6+(24-6)*(TRUNC(MOD(($Z144*1103515245 +12345)/ 65536, 32768),0)/32768),0))</f>
        <v>10</v>
      </c>
      <c r="P144" s="16" t="e">
        <f t="shared" ca="1" si="5"/>
        <v>#NAME?</v>
      </c>
      <c r="Q144" s="153">
        <f ca="1">VLOOKUP($AB$2,'RF Mod'!$A$2:$G$12,6,FALSE)+VLOOKUP($AD$2,'RF Mod'!$I$2:$O$11,6,FALSE)+(TRUNC(6+(24-6)*(TRUNC(MOD(($Z144*1103515245 +12345)/ 65536, 32768),0)/32768),0))</f>
        <v>8</v>
      </c>
      <c r="R144" s="16">
        <f t="shared" ca="1" si="6"/>
        <v>-1</v>
      </c>
      <c r="S144" s="154">
        <f t="shared" ca="1" si="12"/>
        <v>10</v>
      </c>
      <c r="T144" s="154">
        <f t="shared" ca="1" si="7"/>
        <v>1</v>
      </c>
      <c r="U144" s="16" t="str">
        <f t="shared" ca="1" si="8"/>
        <v>Fine</v>
      </c>
      <c r="V144" s="155">
        <f ca="1">IFERROR(__xludf.DUMMYFUNCTION("if(W144=""Middle Age"",QUERY(NPCVar!$K$2:$N1000, ""Select L where K = '""&amp;AB144&amp;""'""),if(W144=""Old"",QUERY(NPCVar!$K$2:$N1000, ""Select M where K = '""&amp;AB144&amp;""'""),if(W144=""Venerable"",QUERY(NPCVar!$K$2:$N1000, ""Select N where K = '""&amp;AB144&amp;""'""),fa"&amp;"lse)))*X144"),4)</f>
        <v>4</v>
      </c>
      <c r="W144" s="156" t="str">
        <f t="array" ref="W144">INDEX(NPCAgeType,TRUNC(1+(4-1)*(TRUNC(MOD((X144*1103515245 +12345)/ 65536, 32768),0)/32768),0))</f>
        <v>Middle Age</v>
      </c>
      <c r="X144" s="117">
        <f t="shared" si="13"/>
        <v>0.2</v>
      </c>
      <c r="Y144" s="157" t="e">
        <f t="array" aca="1" ref="Y144" ca="1">LOOKUP(ABS(MAX(Z144 + MIN(ABS(INDIRECT("Class Jobs!B"&amp;MATCH(E144,'Class Jobs'!$A$1:$A1000,0)&amp;":"&amp;"AF"&amp;MATCH(E144,'Class Jobs'!$A$1:$A1000,0)&amp;"")-$Z144)) * SUM(IF(MIN(ABS(INDIRECT("Class Jobs!B"&amp;MATCH(E144,'Class Jobs'!$A$1:$A1000,0)&amp;":"&amp;"AF"&amp;MATCH(E144,'Class Jobs'!$A$1:$A1000,0)&amp;"")-$Z144))=ABS(INDIRECT("Class Jobs!B"&amp;MATCH(E144,'Class Jobs'!$A$1:$A1000,0)&amp;":"&amp;"AF"&amp;MATCH(E144,'Class Jobs'!$A$1:$A1000,0)&amp;"")-$Z144),SIGN(INDIRECT("Class Jobs!B"&amp;MATCH(E144,'Class Jobs'!$A$1:A1000,0)&amp;":"&amp;"AF"&amp;MATCH(E144,'Class Jobs'!$A$1:$A1000,0)&amp;"")-$Z144),0)),0)),INDIRECT("Class Jobs!B"&amp;MATCH(E144,'Class Jobs'!$A$1:$A1000,0)&amp;":"&amp;"AF"&amp;MATCH(E144,'Class Jobs'!$A$1:$A1000,1)&amp;""),'Class Jobs'!$B$1:$AF$1)</f>
        <v>#REF!</v>
      </c>
      <c r="Z144" s="158">
        <f t="shared" si="10"/>
        <v>0.08</v>
      </c>
      <c r="AA144" s="16" t="str">
        <f t="array" ref="AA144">INDEX(NPCGender,TRUNC(1+(COUNTA(NPCGender))*(TRUNC(MOD(($B144*1103515245 +12345)/ 65536, 32768),0)/32768),0))</f>
        <v>Male</v>
      </c>
      <c r="AB144" s="16" t="str">
        <f t="array" ref="AB144">INDEX(NPCRace,TRUNC(1+(COUNTA(NPCRace))*(TRUNC(MOD(($B144*1103515245 +12345)/ 65536, 32768),0)/32768),0))</f>
        <v>Dragonborn</v>
      </c>
      <c r="AC144" s="16" t="str">
        <f t="array" ref="AC144">INDEX(NPCAL,TRUNC(1+(COUNTA(NPCAL))*(TRUNC(MOD(($B144*1103515245 +12345)/ 65536, 32768),0)/32768),0))</f>
        <v>CN</v>
      </c>
      <c r="AD144" s="72" t="str">
        <f ca="1">IFERROR(__xludf.DUMMYFUNCTION("if(V144&lt;15,QUERY(NPCVar!C:D,""Select D WHERE C = '""&amp;D144&amp;""'""),if((TRUNC(1+10)*(TRUNC(MOD((ROW(H144)*1103515245 +12345)/ 65536, 32768),0)/32768)/10) &gt; 0.85,INDEX(NPCFaction,TRUNC(1+(counta(NPCFaction)-1)*(TRUNC(MOD(($B144*1103515245 +12345)/ 65536, 3276"&amp;"8),0)/32768),0)),QUERY(NPCVar!C:D,""Select D WHERE C = '""&amp;D144&amp;""'"")))"),"Royalty")</f>
        <v>Royalty</v>
      </c>
      <c r="AE144" s="108" t="e">
        <f t="shared" ca="1" si="11"/>
        <v>#NAME?</v>
      </c>
      <c r="AF144" s="159">
        <f ca="1">IFERROR(__xludf.DUMMYFUNCTION("AE144*(V144 / QUERY(NPCVar!$K$2:$N$12, ""Select N WHERE K='""&amp;AB144&amp;""'""))*TRUNC(1+10)*(TRUNC(MOD(($B144*1103515245 +12345)/ 65536, 32768),0)/32768)"),0.0087548828125)</f>
        <v>8.7548828124999999E-3</v>
      </c>
      <c r="AG144" s="16"/>
      <c r="AH144" s="77"/>
      <c r="AI144" s="114"/>
    </row>
    <row r="145" spans="1:35" ht="16.2">
      <c r="A145" s="53">
        <v>144</v>
      </c>
      <c r="B145" s="118">
        <f t="shared" si="15"/>
        <v>1.6490199999999999</v>
      </c>
      <c r="C145" s="72" t="str">
        <f t="array" ref="C145">INDEX(NPCFName,TRUNC(1+(COUNTA(NPCFName))*(TRUNC(MOD(($B145*1103515245 +12345)/ 65536, 32768),0)/32768),0))</f>
        <v>Mafar</v>
      </c>
      <c r="D145" s="16" t="str">
        <f t="array" ref="D145">INDEX(NPCLName,TRUNC(1+(COUNTA(NPCLName))*(TRUNC(MOD(($B145*1103515245 +12345)/ 65536, 32768),0)/32768),0))</f>
        <v>Springgust</v>
      </c>
      <c r="E145" s="16" t="str">
        <f t="array" ref="E145">INDEX(NPCClass,TRUNC(1+(COUNTA(NPCClass))*(TRUNC(MOD(($B145*1103515245 +12345)/ 65536, 32768),0)/32768),0))</f>
        <v>Fighter</v>
      </c>
      <c r="F145" s="76">
        <v>8</v>
      </c>
      <c r="G145" s="153">
        <f ca="1">VLOOKUP($AB$2,'RF Mod'!$A$2:$G$12,2,FALSE)+VLOOKUP($AD$2,'RF Mod'!$I$2:$O$11,2,FALSE)+(TRUNC(6+(24-6)*(TRUNC(MOD(($Z145*1103515245 +12345)/ 65536, 32768),0)/32768),0))</f>
        <v>11</v>
      </c>
      <c r="H145" s="16" t="e">
        <f t="shared" ca="1" si="1"/>
        <v>#NAME?</v>
      </c>
      <c r="I145" s="153">
        <f ca="1">VLOOKUP($AB$2,'RF Mod'!$A$2:$G$12,3,FALSE)+VLOOKUP($AD$2,'RF Mod'!$I$2:$O$11,3,FALSE)+(TRUNC(6+(24-6)*(TRUNC(MOD(($Z145*1103515245 +12345)/ 65536, 32768),0)/32768),0))</f>
        <v>15</v>
      </c>
      <c r="J145" s="16" t="e">
        <f t="shared" ca="1" si="2"/>
        <v>#NAME?</v>
      </c>
      <c r="K145" s="153">
        <f ca="1">VLOOKUP($AB$2,'RF Mod'!$A$2:$G$12,3,FALSE)+VLOOKUP($AD$2,'RF Mod'!$I$2:$O$11,3,FALSE)+(TRUNC(6+(24-6)*(TRUNC(MOD(($Z145*1103515245 +12345)/ 65536, 32768),0)/32768),0))</f>
        <v>15</v>
      </c>
      <c r="L145" s="16" t="e">
        <f t="shared" ca="1" si="3"/>
        <v>#NAME?</v>
      </c>
      <c r="M145" s="153">
        <f ca="1">VLOOKUP($AB$2,'RF Mod'!$A$2:$G$12,4,FALSE)+VLOOKUP($AD$2,'RF Mod'!$I$2:$O$11,4,FALSE)+(TRUNC(6+(24-6)*(TRUNC(MOD(($Z145*1103515245 +12345)/ 65536, 32768),0)/32768),0))</f>
        <v>14</v>
      </c>
      <c r="N145" s="16" t="e">
        <f t="shared" ca="1" si="4"/>
        <v>#NAME?</v>
      </c>
      <c r="O145" s="153">
        <f ca="1">VLOOKUP($AB$2,'RF Mod'!$A$2:$G$12,5,FALSE)+VLOOKUP($AD$2,'RF Mod'!$I$2:$O$11,5,FALSE)+(TRUNC(6+(24-6)*(TRUNC(MOD(($Z145*1103515245 +12345)/ 65536, 32768),0)/32768),0))</f>
        <v>17</v>
      </c>
      <c r="P145" s="16" t="e">
        <f t="shared" ca="1" si="5"/>
        <v>#NAME?</v>
      </c>
      <c r="Q145" s="153">
        <f ca="1">VLOOKUP($AB$2,'RF Mod'!$A$2:$G$12,6,FALSE)+VLOOKUP($AD$2,'RF Mod'!$I$2:$O$11,6,FALSE)+(TRUNC(6+(24-6)*(TRUNC(MOD(($Z145*1103515245 +12345)/ 65536, 32768),0)/32768),0))</f>
        <v>15</v>
      </c>
      <c r="R145" s="16" t="e">
        <f t="shared" ca="1" si="6"/>
        <v>#NAME?</v>
      </c>
      <c r="S145" s="154">
        <f t="shared" ca="1" si="12"/>
        <v>200</v>
      </c>
      <c r="T145" s="154">
        <f t="shared" ca="1" si="7"/>
        <v>126</v>
      </c>
      <c r="U145" s="16" t="str">
        <f t="shared" ca="1" si="8"/>
        <v>Bloody</v>
      </c>
      <c r="V145" s="155">
        <f ca="1">IFERROR(__xludf.DUMMYFUNCTION("if(W145=""Middle Age"",QUERY(NPCVar!$K$2:$N1000, ""Select L where K = '""&amp;AB145&amp;""'""),if(W145=""Old"",QUERY(NPCVar!$K$2:$N1000, ""Select M where K = '""&amp;AB145&amp;""'""),if(W145=""Venerable"",QUERY(NPCVar!$K$2:$N1000, ""Select N where K = '""&amp;AB145&amp;""'""),fa"&amp;"lse)))*X145"),57.75)</f>
        <v>57.75</v>
      </c>
      <c r="W145" s="156" t="str">
        <f t="array" ref="W145">INDEX(NPCAgeType,TRUNC(1+(4-1)*(TRUNC(MOD((X145*1103515245 +12345)/ 65536, 32768),0)/32768),0))</f>
        <v>Middle Age</v>
      </c>
      <c r="X145" s="117">
        <f t="shared" si="13"/>
        <v>2.1</v>
      </c>
      <c r="Y145" s="157" t="e">
        <f t="array" aca="1" ref="Y145" ca="1">LOOKUP(ABS(MAX(Z145 + MIN(ABS(INDIRECT("Class Jobs!B"&amp;MATCH(E145,'Class Jobs'!$A$1:$A1000,0)&amp;":"&amp;"AF"&amp;MATCH(E145,'Class Jobs'!$A$1:$A1000,0)&amp;"")-$Z145)) * SUM(IF(MIN(ABS(INDIRECT("Class Jobs!B"&amp;MATCH(E145,'Class Jobs'!$A$1:$A1000,0)&amp;":"&amp;"AF"&amp;MATCH(E145,'Class Jobs'!$A$1:$A1000,0)&amp;"")-$Z145))=ABS(INDIRECT("Class Jobs!B"&amp;MATCH(E145,'Class Jobs'!$A$1:$A1000,0)&amp;":"&amp;"AF"&amp;MATCH(E145,'Class Jobs'!$A$1:$A1000,0)&amp;"")-$Z145),SIGN(INDIRECT("Class Jobs!B"&amp;MATCH(E145,'Class Jobs'!$A$1:A1000,0)&amp;":"&amp;"AF"&amp;MATCH(E145,'Class Jobs'!$A$1:$A1000,0)&amp;"")-$Z145),0)),0)),INDIRECT("Class Jobs!B"&amp;MATCH(E145,'Class Jobs'!$A$1:$A1000,0)&amp;":"&amp;"AF"&amp;MATCH(E145,'Class Jobs'!$A$1:$A1000,1)&amp;""),'Class Jobs'!$B$1:$AF$1)</f>
        <v>#REF!</v>
      </c>
      <c r="Z145" s="158">
        <f t="shared" si="10"/>
        <v>0.84</v>
      </c>
      <c r="AA145" s="16" t="str">
        <f t="array" ref="AA145">INDEX(NPCGender,TRUNC(1+(COUNTA(NPCGender))*(TRUNC(MOD(($B145*1103515245 +12345)/ 65536, 32768),0)/32768),0))</f>
        <v>Neutral</v>
      </c>
      <c r="AB145" s="16" t="str">
        <f t="array" ref="AB145">INDEX(NPCRace,TRUNC(1+(COUNTA(NPCRace))*(TRUNC(MOD(($B145*1103515245 +12345)/ 65536, 32768),0)/32768),0))</f>
        <v>Genasi</v>
      </c>
      <c r="AC145" s="16" t="str">
        <f t="array" ref="AC145">INDEX(NPCAL,TRUNC(1+(COUNTA(NPCAL))*(TRUNC(MOD(($B145*1103515245 +12345)/ 65536, 32768),0)/32768),0))</f>
        <v>LN</v>
      </c>
      <c r="AD145" s="72" t="str">
        <f ca="1">IFERROR(__xludf.DUMMYFUNCTION("if(V145&lt;15,QUERY(NPCVar!C:D,""Select D WHERE C = '""&amp;D145&amp;""'""),if((TRUNC(1+10)*(TRUNC(MOD((ROW(H145)*1103515245 +12345)/ 65536, 32768),0)/32768)/10) &gt; 0.85,INDEX(NPCFaction,TRUNC(1+(counta(NPCFaction)-1)*(TRUNC(MOD(($B145*1103515245 +12345)/ 65536, 3276"&amp;"8),0)/32768),0)),QUERY(NPCVar!C:D,""Select D WHERE C = '""&amp;D145&amp;""'"")))"),"Traverlers Guild")</f>
        <v>Traverlers Guild</v>
      </c>
      <c r="AE145" s="108" t="e">
        <f t="shared" ca="1" si="11"/>
        <v>#NAME?</v>
      </c>
      <c r="AF145" s="159">
        <f ca="1">IFERROR(__xludf.DUMMYFUNCTION("AE145*(V145 / QUERY(NPCVar!$K$2:$N$12, ""Select N WHERE K='""&amp;AB145&amp;""'""))*TRUNC(1+10)*(TRUNC(MOD(($B145*1103515245 +12345)/ 65536, 32768),0)/32768)"),4.89345245361328)</f>
        <v>4.8934524536132802</v>
      </c>
      <c r="AG145" s="16"/>
      <c r="AH145" s="77"/>
      <c r="AI145" s="114"/>
    </row>
    <row r="146" spans="1:35" ht="16.2">
      <c r="A146" s="53">
        <v>145</v>
      </c>
      <c r="B146" s="118">
        <f t="shared" si="15"/>
        <v>0.64315999999999995</v>
      </c>
      <c r="C146" s="72" t="str">
        <f t="array" ref="C146">INDEX(NPCFName,TRUNC(1+(COUNTA(NPCFName))*(TRUNC(MOD(($B146*1103515245 +12345)/ 65536, 32768),0)/32768),0))</f>
        <v>Zilocke</v>
      </c>
      <c r="D146" s="16" t="str">
        <f t="array" ref="D146">INDEX(NPCLName,TRUNC(1+(COUNTA(NPCLName))*(TRUNC(MOD(($B146*1103515245 +12345)/ 65536, 32768),0)/32768),0))</f>
        <v>Stormdew</v>
      </c>
      <c r="E146" s="16" t="str">
        <f t="array" ref="E146">INDEX(NPCClass,TRUNC(1+(COUNTA(NPCClass))*(TRUNC(MOD(($B146*1103515245 +12345)/ 65536, 32768),0)/32768),0))</f>
        <v>Monk</v>
      </c>
      <c r="F146" s="76">
        <v>1</v>
      </c>
      <c r="G146" s="153">
        <f ca="1">VLOOKUP($AB$2,'RF Mod'!$A$2:$G$12,2,FALSE)+VLOOKUP($AD$2,'RF Mod'!$I$2:$O$11,2,FALSE)+(TRUNC(6+(24-6)*(TRUNC(MOD(($Z146*1103515245 +12345)/ 65536, 32768),0)/32768),0))</f>
        <v>7</v>
      </c>
      <c r="H146" s="16">
        <f t="shared" ca="1" si="1"/>
        <v>-2</v>
      </c>
      <c r="I146" s="153">
        <f ca="1">VLOOKUP($AB$2,'RF Mod'!$A$2:$G$12,3,FALSE)+VLOOKUP($AD$2,'RF Mod'!$I$2:$O$11,3,FALSE)+(TRUNC(6+(24-6)*(TRUNC(MOD(($Z146*1103515245 +12345)/ 65536, 32768),0)/32768),0))</f>
        <v>11</v>
      </c>
      <c r="J146" s="16" t="e">
        <f t="shared" ca="1" si="2"/>
        <v>#NAME?</v>
      </c>
      <c r="K146" s="153">
        <f ca="1">VLOOKUP($AB$2,'RF Mod'!$A$2:$G$12,3,FALSE)+VLOOKUP($AD$2,'RF Mod'!$I$2:$O$11,3,FALSE)+(TRUNC(6+(24-6)*(TRUNC(MOD(($Z146*1103515245 +12345)/ 65536, 32768),0)/32768),0))</f>
        <v>11</v>
      </c>
      <c r="L146" s="16" t="e">
        <f t="shared" ca="1" si="3"/>
        <v>#NAME?</v>
      </c>
      <c r="M146" s="153">
        <f ca="1">VLOOKUP($AB$2,'RF Mod'!$A$2:$G$12,4,FALSE)+VLOOKUP($AD$2,'RF Mod'!$I$2:$O$11,4,FALSE)+(TRUNC(6+(24-6)*(TRUNC(MOD(($Z146*1103515245 +12345)/ 65536, 32768),0)/32768),0))</f>
        <v>10</v>
      </c>
      <c r="N146" s="16" t="e">
        <f t="shared" ca="1" si="4"/>
        <v>#NAME?</v>
      </c>
      <c r="O146" s="153">
        <f ca="1">VLOOKUP($AB$2,'RF Mod'!$A$2:$G$12,5,FALSE)+VLOOKUP($AD$2,'RF Mod'!$I$2:$O$11,5,FALSE)+(TRUNC(6+(24-6)*(TRUNC(MOD(($Z146*1103515245 +12345)/ 65536, 32768),0)/32768),0))</f>
        <v>13</v>
      </c>
      <c r="P146" s="16" t="e">
        <f t="shared" ca="1" si="5"/>
        <v>#NAME?</v>
      </c>
      <c r="Q146" s="153">
        <f ca="1">VLOOKUP($AB$2,'RF Mod'!$A$2:$G$12,6,FALSE)+VLOOKUP($AD$2,'RF Mod'!$I$2:$O$11,6,FALSE)+(TRUNC(6+(24-6)*(TRUNC(MOD(($Z146*1103515245 +12345)/ 65536, 32768),0)/32768),0))</f>
        <v>11</v>
      </c>
      <c r="R146" s="16" t="e">
        <f t="shared" ca="1" si="6"/>
        <v>#NAME?</v>
      </c>
      <c r="S146" s="154">
        <f t="shared" ca="1" si="12"/>
        <v>17</v>
      </c>
      <c r="T146" s="154">
        <f t="shared" ca="1" si="7"/>
        <v>13</v>
      </c>
      <c r="U146" s="16" t="str">
        <f t="shared" ca="1" si="8"/>
        <v>Bloody</v>
      </c>
      <c r="V146" s="155">
        <f ca="1">IFERROR(__xludf.DUMMYFUNCTION("if(W146=""Middle Age"",QUERY(NPCVar!$K$2:$N1000, ""Select L where K = '""&amp;AB146&amp;""'""),if(W146=""Old"",QUERY(NPCVar!$K$2:$N1000, ""Select M where K = '""&amp;AB146&amp;""'""),if(W146=""Venerable"",QUERY(NPCVar!$K$2:$N1000, ""Select N where K = '""&amp;AB146&amp;""'""),fa"&amp;"lse)))*X146"),135)</f>
        <v>135</v>
      </c>
      <c r="W146" s="156" t="str">
        <f t="array" ref="W146">INDEX(NPCAgeType,TRUNC(1+(4-1)*(TRUNC(MOD((X146*1103515245 +12345)/ 65536, 32768),0)/32768),0))</f>
        <v>Old</v>
      </c>
      <c r="X146" s="117">
        <f t="shared" si="13"/>
        <v>0.8</v>
      </c>
      <c r="Y146" s="157" t="e">
        <f t="array" aca="1" ref="Y146" ca="1">LOOKUP(ABS(MAX(Z146 + MIN(ABS(INDIRECT("Class Jobs!B"&amp;MATCH(E146,'Class Jobs'!$A$1:$A1000,0)&amp;":"&amp;"AF"&amp;MATCH(E146,'Class Jobs'!$A$1:$A1000,0)&amp;"")-$Z146)) * SUM(IF(MIN(ABS(INDIRECT("Class Jobs!B"&amp;MATCH(E146,'Class Jobs'!$A$1:$A1000,0)&amp;":"&amp;"AF"&amp;MATCH(E146,'Class Jobs'!$A$1:$A1000,0)&amp;"")-$Z146))=ABS(INDIRECT("Class Jobs!B"&amp;MATCH(E146,'Class Jobs'!$A$1:$A1000,0)&amp;":"&amp;"AF"&amp;MATCH(E146,'Class Jobs'!$A$1:$A1000,0)&amp;"")-$Z146),SIGN(INDIRECT("Class Jobs!B"&amp;MATCH(E146,'Class Jobs'!$A$1:A1000,0)&amp;":"&amp;"AF"&amp;MATCH(E146,'Class Jobs'!$A$1:$A1000,0)&amp;"")-$Z146),0)),0)),INDIRECT("Class Jobs!B"&amp;MATCH(E146,'Class Jobs'!$A$1:$A1000,0)&amp;":"&amp;"AF"&amp;MATCH(E146,'Class Jobs'!$A$1:$A1000,1)&amp;""),'Class Jobs'!$B$1:$AF$1)</f>
        <v>#REF!</v>
      </c>
      <c r="Z146" s="158">
        <f t="shared" si="10"/>
        <v>0.33</v>
      </c>
      <c r="AA146" s="16" t="str">
        <f t="array" ref="AA146">INDEX(NPCGender,TRUNC(1+(COUNTA(NPCGender))*(TRUNC(MOD(($B146*1103515245 +12345)/ 65536, 32768),0)/32768),0))</f>
        <v>Male</v>
      </c>
      <c r="AB146" s="16" t="str">
        <f t="array" ref="AB146">INDEX(NPCRace,TRUNC(1+(COUNTA(NPCRace))*(TRUNC(MOD(($B146*1103515245 +12345)/ 65536, 32768),0)/32768),0))</f>
        <v>Gnome</v>
      </c>
      <c r="AC146" s="16" t="str">
        <f t="array" ref="AC146">INDEX(NPCAL,TRUNC(1+(COUNTA(NPCAL))*(TRUNC(MOD(($B146*1103515245 +12345)/ 65536, 32768),0)/32768),0))</f>
        <v>CG</v>
      </c>
      <c r="AD146" s="72" t="str">
        <f ca="1">IFERROR(__xludf.DUMMYFUNCTION("if(V146&lt;15,QUERY(NPCVar!C:D,""Select D WHERE C = '""&amp;D146&amp;""'""),if((TRUNC(1+10)*(TRUNC(MOD((ROW(H146)*1103515245 +12345)/ 65536, 32768),0)/32768)/10) &gt; 0.85,INDEX(NPCFaction,TRUNC(1+(counta(NPCFaction)-1)*(TRUNC(MOD(($B146*1103515245 +12345)/ 65536, 3276"&amp;"8),0)/32768),0)),QUERY(NPCVar!C:D,""Select D WHERE C = '""&amp;D146&amp;""'"")))"),"Magic Guild")</f>
        <v>Magic Guild</v>
      </c>
      <c r="AE146" s="108" t="e">
        <f t="shared" ca="1" si="11"/>
        <v>#NAME?</v>
      </c>
      <c r="AF146" s="159">
        <f ca="1">IFERROR(__xludf.DUMMYFUNCTION("AE146*(V146 / QUERY(NPCVar!$K$2:$N$12, ""Select N WHERE K='""&amp;AB146&amp;""'""))*TRUNC(1+10)*(TRUNC(MOD(($B146*1103515245 +12345)/ 65536, 32768),0)/32768)"),0.436226806640624)</f>
        <v>0.43622680664062402</v>
      </c>
      <c r="AG146" s="16"/>
      <c r="AH146" s="77"/>
      <c r="AI146" s="114"/>
    </row>
    <row r="147" spans="1:35" ht="16.2">
      <c r="A147" s="53">
        <v>146</v>
      </c>
      <c r="B147" s="118">
        <f t="shared" si="15"/>
        <v>2.1373000000000002</v>
      </c>
      <c r="C147" s="72" t="str">
        <f t="array" ref="C147">INDEX(NPCFName,TRUNC(1+(COUNTA(NPCFName))*(TRUNC(MOD(($B147*1103515245 +12345)/ 65536, 32768),0)/32768),0))</f>
        <v>Eritai</v>
      </c>
      <c r="D147" s="16" t="str">
        <f t="array" ref="D147">INDEX(NPCLName,TRUNC(1+(COUNTA(NPCLName))*(TRUNC(MOD(($B147*1103515245 +12345)/ 65536, 32768),0)/32768),0))</f>
        <v>Autumnorb</v>
      </c>
      <c r="E147" s="16" t="str">
        <f t="array" ref="E147">INDEX(NPCClass,TRUNC(1+(COUNTA(NPCClass))*(TRUNC(MOD(($B147*1103515245 +12345)/ 65536, 32768),0)/32768),0))</f>
        <v>Bard</v>
      </c>
      <c r="F147" s="76">
        <v>1</v>
      </c>
      <c r="G147" s="153">
        <f ca="1">VLOOKUP($AB$2,'RF Mod'!$A$2:$G$12,2,FALSE)+VLOOKUP($AD$2,'RF Mod'!$I$2:$O$11,2,FALSE)+(TRUNC(6+(24-6)*(TRUNC(MOD(($Z147*1103515245 +12345)/ 65536, 32768),0)/32768),0))</f>
        <v>4</v>
      </c>
      <c r="H147" s="16">
        <f t="shared" ca="1" si="1"/>
        <v>-3</v>
      </c>
      <c r="I147" s="153">
        <f ca="1">VLOOKUP($AB$2,'RF Mod'!$A$2:$G$12,3,FALSE)+VLOOKUP($AD$2,'RF Mod'!$I$2:$O$11,3,FALSE)+(TRUNC(6+(24-6)*(TRUNC(MOD(($Z147*1103515245 +12345)/ 65536, 32768),0)/32768),0))</f>
        <v>8</v>
      </c>
      <c r="J147" s="16">
        <f t="shared" ca="1" si="2"/>
        <v>-1</v>
      </c>
      <c r="K147" s="153">
        <f ca="1">VLOOKUP($AB$2,'RF Mod'!$A$2:$G$12,3,FALSE)+VLOOKUP($AD$2,'RF Mod'!$I$2:$O$11,3,FALSE)+(TRUNC(6+(24-6)*(TRUNC(MOD(($Z147*1103515245 +12345)/ 65536, 32768),0)/32768),0))</f>
        <v>8</v>
      </c>
      <c r="L147" s="16">
        <f t="shared" ca="1" si="3"/>
        <v>-1</v>
      </c>
      <c r="M147" s="153">
        <f ca="1">VLOOKUP($AB$2,'RF Mod'!$A$2:$G$12,4,FALSE)+VLOOKUP($AD$2,'RF Mod'!$I$2:$O$11,4,FALSE)+(TRUNC(6+(24-6)*(TRUNC(MOD(($Z147*1103515245 +12345)/ 65536, 32768),0)/32768),0))</f>
        <v>7</v>
      </c>
      <c r="N147" s="16">
        <f t="shared" ca="1" si="4"/>
        <v>-2</v>
      </c>
      <c r="O147" s="153">
        <f ca="1">VLOOKUP($AB$2,'RF Mod'!$A$2:$G$12,5,FALSE)+VLOOKUP($AD$2,'RF Mod'!$I$2:$O$11,5,FALSE)+(TRUNC(6+(24-6)*(TRUNC(MOD(($Z147*1103515245 +12345)/ 65536, 32768),0)/32768),0))</f>
        <v>10</v>
      </c>
      <c r="P147" s="16" t="e">
        <f t="shared" ca="1" si="5"/>
        <v>#NAME?</v>
      </c>
      <c r="Q147" s="153">
        <f ca="1">VLOOKUP($AB$2,'RF Mod'!$A$2:$G$12,6,FALSE)+VLOOKUP($AD$2,'RF Mod'!$I$2:$O$11,6,FALSE)+(TRUNC(6+(24-6)*(TRUNC(MOD(($Z147*1103515245 +12345)/ 65536, 32768),0)/32768),0))</f>
        <v>8</v>
      </c>
      <c r="R147" s="16">
        <f t="shared" ca="1" si="6"/>
        <v>-1</v>
      </c>
      <c r="S147" s="154">
        <f t="shared" ca="1" si="12"/>
        <v>26</v>
      </c>
      <c r="T147" s="154">
        <f t="shared" ca="1" si="7"/>
        <v>4</v>
      </c>
      <c r="U147" s="16" t="str">
        <f t="shared" ca="1" si="8"/>
        <v>Fine</v>
      </c>
      <c r="V147" s="155">
        <f ca="1">IFERROR(__xludf.DUMMYFUNCTION("if(W147=""Middle Age"",QUERY(NPCVar!$K$2:$N1000, ""Select L where K = '""&amp;AB147&amp;""'""),if(W147=""Old"",QUERY(NPCVar!$K$2:$N1000, ""Select M where K = '""&amp;AB147&amp;""'""),if(W147=""Venerable"",QUERY(NPCVar!$K$2:$N1000, ""Select N where K = '""&amp;AB147&amp;""'""),fa"&amp;"lse)))*X147"),24)</f>
        <v>24</v>
      </c>
      <c r="W147" s="156" t="str">
        <f t="array" ref="W147">INDEX(NPCAgeType,TRUNC(1+(4-1)*(TRUNC(MOD((X147*1103515245 +12345)/ 65536, 32768),0)/32768),0))</f>
        <v>Middle Age</v>
      </c>
      <c r="X147" s="117">
        <f t="shared" si="13"/>
        <v>0.3</v>
      </c>
      <c r="Y147" s="157" t="e">
        <f t="array" aca="1" ref="Y147" ca="1">LOOKUP(ABS(MAX(Z147 + MIN(ABS(INDIRECT("Class Jobs!B"&amp;MATCH(E147,'Class Jobs'!$A$1:$A1000,0)&amp;":"&amp;"AF"&amp;MATCH(E147,'Class Jobs'!$A$1:$A1000,0)&amp;"")-$Z147)) * SUM(IF(MIN(ABS(INDIRECT("Class Jobs!B"&amp;MATCH(E147,'Class Jobs'!$A$1:$A1000,0)&amp;":"&amp;"AF"&amp;MATCH(E147,'Class Jobs'!$A$1:$A1000,0)&amp;"")-$Z147))=ABS(INDIRECT("Class Jobs!B"&amp;MATCH(E147,'Class Jobs'!$A$1:$A1000,0)&amp;":"&amp;"AF"&amp;MATCH(E147,'Class Jobs'!$A$1:$A1000,0)&amp;"")-$Z147),SIGN(INDIRECT("Class Jobs!B"&amp;MATCH(E147,'Class Jobs'!$A$1:A1000,0)&amp;":"&amp;"AF"&amp;MATCH(E147,'Class Jobs'!$A$1:$A1000,0)&amp;"")-$Z147),0)),0)),INDIRECT("Class Jobs!B"&amp;MATCH(E147,'Class Jobs'!$A$1:$A1000,0)&amp;":"&amp;"AF"&amp;MATCH(E147,'Class Jobs'!$A$1:$A1000,1)&amp;""),'Class Jobs'!$B$1:$AF$1)</f>
        <v>#REF!</v>
      </c>
      <c r="Z147" s="158">
        <f t="shared" si="10"/>
        <v>0.1</v>
      </c>
      <c r="AA147" s="16" t="str">
        <f t="array" ref="AA147">INDEX(NPCGender,TRUNC(1+(COUNTA(NPCGender))*(TRUNC(MOD(($B147*1103515245 +12345)/ 65536, 32768),0)/32768),0))</f>
        <v>Male</v>
      </c>
      <c r="AB147" s="16" t="str">
        <f t="array" ref="AB147">INDEX(NPCRace,TRUNC(1+(COUNTA(NPCRace))*(TRUNC(MOD(($B147*1103515245 +12345)/ 65536, 32768),0)/32768),0))</f>
        <v>Dwarf</v>
      </c>
      <c r="AC147" s="16" t="str">
        <f t="array" ref="AC147">INDEX(NPCAL,TRUNC(1+(COUNTA(NPCAL))*(TRUNC(MOD(($B147*1103515245 +12345)/ 65536, 32768),0)/32768),0))</f>
        <v>CN</v>
      </c>
      <c r="AD147" s="72" t="str">
        <f ca="1">IFERROR(__xludf.DUMMYFUNCTION("if(V147&lt;15,QUERY(NPCVar!C:D,""Select D WHERE C = '""&amp;D147&amp;""'""),if((TRUNC(1+10)*(TRUNC(MOD((ROW(H147)*1103515245 +12345)/ 65536, 32768),0)/32768)/10) &gt; 0.85,INDEX(NPCFaction,TRUNC(1+(counta(NPCFaction)-1)*(TRUNC(MOD(($B147*1103515245 +12345)/ 65536, 3276"&amp;"8),0)/32768),0)),QUERY(NPCVar!C:D,""Select D WHERE C = '""&amp;D147&amp;""'"")))"),"Royalty")</f>
        <v>Royalty</v>
      </c>
      <c r="AE147" s="108" t="e">
        <f t="shared" ca="1" si="11"/>
        <v>#NAME?</v>
      </c>
      <c r="AF147" s="159">
        <f ca="1">IFERROR(__xludf.DUMMYFUNCTION("AE147*(V147 / QUERY(NPCVar!$K$2:$N$12, ""Select N WHERE K='""&amp;AB147&amp;""'""))*TRUNC(1+10)*(TRUNC(MOD(($B147*1103515245 +12345)/ 65536, 32768),0)/32768)"),-0.0162139892578125)</f>
        <v>-1.6213989257812499E-2</v>
      </c>
      <c r="AG147" s="16"/>
      <c r="AH147" s="77"/>
      <c r="AI147" s="114"/>
    </row>
    <row r="148" spans="1:35" ht="16.2">
      <c r="A148" s="53">
        <v>147</v>
      </c>
      <c r="B148" s="118">
        <f t="shared" si="15"/>
        <v>1.13144</v>
      </c>
      <c r="C148" s="72" t="str">
        <f t="array" ref="C148">INDEX(NPCFName,TRUNC(1+(COUNTA(NPCFName))*(TRUNC(MOD(($B148*1103515245 +12345)/ 65536, 32768),0)/32768),0))</f>
        <v>Rophan</v>
      </c>
      <c r="D148" s="16" t="str">
        <f t="array" ref="D148">INDEX(NPCLName,TRUNC(1+(COUNTA(NPCLName))*(TRUNC(MOD(($B148*1103515245 +12345)/ 65536, 32768),0)/32768),0))</f>
        <v>Chestaxe</v>
      </c>
      <c r="E148" s="16" t="str">
        <f t="array" ref="E148">INDEX(NPCClass,TRUNC(1+(COUNTA(NPCClass))*(TRUNC(MOD(($B148*1103515245 +12345)/ 65536, 32768),0)/32768),0))</f>
        <v>Sorcerer</v>
      </c>
      <c r="F148" s="76">
        <v>8</v>
      </c>
      <c r="G148" s="153">
        <f ca="1">VLOOKUP($AB$2,'RF Mod'!$A$2:$G$12,2,FALSE)+VLOOKUP($AD$2,'RF Mod'!$I$2:$O$11,2,FALSE)+(TRUNC(6+(24-6)*(TRUNC(MOD(($Z148*1103515245 +12345)/ 65536, 32768),0)/32768),0))</f>
        <v>9</v>
      </c>
      <c r="H148" s="16">
        <f t="shared" ca="1" si="1"/>
        <v>-1</v>
      </c>
      <c r="I148" s="153">
        <f ca="1">VLOOKUP($AB$2,'RF Mod'!$A$2:$G$12,3,FALSE)+VLOOKUP($AD$2,'RF Mod'!$I$2:$O$11,3,FALSE)+(TRUNC(6+(24-6)*(TRUNC(MOD(($Z148*1103515245 +12345)/ 65536, 32768),0)/32768),0))</f>
        <v>13</v>
      </c>
      <c r="J148" s="16" t="e">
        <f t="shared" ca="1" si="2"/>
        <v>#NAME?</v>
      </c>
      <c r="K148" s="153">
        <f ca="1">VLOOKUP($AB$2,'RF Mod'!$A$2:$G$12,3,FALSE)+VLOOKUP($AD$2,'RF Mod'!$I$2:$O$11,3,FALSE)+(TRUNC(6+(24-6)*(TRUNC(MOD(($Z148*1103515245 +12345)/ 65536, 32768),0)/32768),0))</f>
        <v>13</v>
      </c>
      <c r="L148" s="16" t="e">
        <f t="shared" ca="1" si="3"/>
        <v>#NAME?</v>
      </c>
      <c r="M148" s="153">
        <f ca="1">VLOOKUP($AB$2,'RF Mod'!$A$2:$G$12,4,FALSE)+VLOOKUP($AD$2,'RF Mod'!$I$2:$O$11,4,FALSE)+(TRUNC(6+(24-6)*(TRUNC(MOD(($Z148*1103515245 +12345)/ 65536, 32768),0)/32768),0))</f>
        <v>12</v>
      </c>
      <c r="N148" s="16" t="e">
        <f t="shared" ca="1" si="4"/>
        <v>#NAME?</v>
      </c>
      <c r="O148" s="153">
        <f ca="1">VLOOKUP($AB$2,'RF Mod'!$A$2:$G$12,5,FALSE)+VLOOKUP($AD$2,'RF Mod'!$I$2:$O$11,5,FALSE)+(TRUNC(6+(24-6)*(TRUNC(MOD(($Z148*1103515245 +12345)/ 65536, 32768),0)/32768),0))</f>
        <v>15</v>
      </c>
      <c r="P148" s="16" t="e">
        <f t="shared" ca="1" si="5"/>
        <v>#NAME?</v>
      </c>
      <c r="Q148" s="153">
        <f ca="1">VLOOKUP($AB$2,'RF Mod'!$A$2:$G$12,6,FALSE)+VLOOKUP($AD$2,'RF Mod'!$I$2:$O$11,6,FALSE)+(TRUNC(6+(24-6)*(TRUNC(MOD(($Z148*1103515245 +12345)/ 65536, 32768),0)/32768),0))</f>
        <v>13</v>
      </c>
      <c r="R148" s="16" t="e">
        <f t="shared" ca="1" si="6"/>
        <v>#NAME?</v>
      </c>
      <c r="S148" s="154">
        <f t="shared" ca="1" si="12"/>
        <v>216</v>
      </c>
      <c r="T148" s="154">
        <f t="shared" ca="1" si="7"/>
        <v>69</v>
      </c>
      <c r="U148" s="16" t="str">
        <f t="shared" ca="1" si="8"/>
        <v>Fine</v>
      </c>
      <c r="V148" s="155">
        <f ca="1">IFERROR(__xludf.DUMMYFUNCTION("if(W148=""Middle Age"",QUERY(NPCVar!$K$2:$N1000, ""Select L where K = '""&amp;AB148&amp;""'""),if(W148=""Old"",QUERY(NPCVar!$K$2:$N1000, ""Select M where K = '""&amp;AB148&amp;""'""),if(W148=""Venerable"",QUERY(NPCVar!$K$2:$N1000, ""Select N where K = '""&amp;AB148&amp;""'""),fa"&amp;"lse)))*X148"),280)</f>
        <v>280</v>
      </c>
      <c r="W148" s="156" t="str">
        <f t="array" ref="W148">INDEX(NPCAgeType,TRUNC(1+(4-1)*(TRUNC(MOD((X148*1103515245 +12345)/ 65536, 32768),0)/32768),0))</f>
        <v>Venerable</v>
      </c>
      <c r="X148" s="117">
        <f t="shared" si="13"/>
        <v>1.4</v>
      </c>
      <c r="Y148" s="157" t="e">
        <f t="array" aca="1" ref="Y148" ca="1">LOOKUP(ABS(MAX(Z148 + MIN(ABS(INDIRECT("Class Jobs!B"&amp;MATCH(E148,'Class Jobs'!$A$1:$A1000,0)&amp;":"&amp;"AF"&amp;MATCH(E148,'Class Jobs'!$A$1:$A1000,0)&amp;"")-$Z148)) * SUM(IF(MIN(ABS(INDIRECT("Class Jobs!B"&amp;MATCH(E148,'Class Jobs'!$A$1:$A1000,0)&amp;":"&amp;"AF"&amp;MATCH(E148,'Class Jobs'!$A$1:$A1000,0)&amp;"")-$Z148))=ABS(INDIRECT("Class Jobs!B"&amp;MATCH(E148,'Class Jobs'!$A$1:$A1000,0)&amp;":"&amp;"AF"&amp;MATCH(E148,'Class Jobs'!$A$1:$A1000,0)&amp;"")-$Z148),SIGN(INDIRECT("Class Jobs!B"&amp;MATCH(E148,'Class Jobs'!$A$1:A1000,0)&amp;":"&amp;"AF"&amp;MATCH(E148,'Class Jobs'!$A$1:$A1000,0)&amp;"")-$Z148),0)),0)),INDIRECT("Class Jobs!B"&amp;MATCH(E148,'Class Jobs'!$A$1:$A1000,0)&amp;":"&amp;"AF"&amp;MATCH(E148,'Class Jobs'!$A$1:$A1000,1)&amp;""),'Class Jobs'!$B$1:$AF$1)</f>
        <v>#REF!</v>
      </c>
      <c r="Z148" s="158">
        <f t="shared" si="10"/>
        <v>0.57999999999999996</v>
      </c>
      <c r="AA148" s="16" t="str">
        <f t="array" ref="AA148">INDEX(NPCGender,TRUNC(1+(COUNTA(NPCGender))*(TRUNC(MOD(($B148*1103515245 +12345)/ 65536, 32768),0)/32768),0))</f>
        <v>Female</v>
      </c>
      <c r="AB148" s="16" t="str">
        <f t="array" ref="AB148">INDEX(NPCRace,TRUNC(1+(COUNTA(NPCRace))*(TRUNC(MOD(($B148*1103515245 +12345)/ 65536, 32768),0)/32768),0))</f>
        <v>Halfling</v>
      </c>
      <c r="AC148" s="16" t="str">
        <f t="array" ref="AC148">INDEX(NPCAL,TRUNC(1+(COUNTA(NPCAL))*(TRUNC(MOD(($B148*1103515245 +12345)/ 65536, 32768),0)/32768),0))</f>
        <v>NE</v>
      </c>
      <c r="AD148" s="72" t="str">
        <f ca="1">IFERROR(__xludf.DUMMYFUNCTION("if(V148&lt;15,QUERY(NPCVar!C:D,""Select D WHERE C = '""&amp;D148&amp;""'""),if((TRUNC(1+10)*(TRUNC(MOD((ROW(H148)*1103515245 +12345)/ 65536, 32768),0)/32768)/10) &gt; 0.85,INDEX(NPCFaction,TRUNC(1+(counta(NPCFaction)-1)*(TRUNC(MOD(($B148*1103515245 +12345)/ 65536, 3276"&amp;"8),0)/32768),0)),QUERY(NPCVar!C:D,""Select D WHERE C = '""&amp;D148&amp;""'"")))"),"Farmers Guild")</f>
        <v>Farmers Guild</v>
      </c>
      <c r="AE148" s="108" t="e">
        <f t="shared" ca="1" si="11"/>
        <v>#NAME?</v>
      </c>
      <c r="AF148" s="159">
        <f ca="1">IFERROR(__xludf.DUMMYFUNCTION("AE148*(V148 / QUERY(NPCVar!$K$2:$N$12, ""Select N WHERE K='""&amp;AB148&amp;""'""))*TRUNC(1+10)*(TRUNC(MOD(($B148*1103515245 +12345)/ 65536, 32768),0)/32768)"),5.37204711914062)</f>
        <v>5.3720471191406203</v>
      </c>
      <c r="AG148" s="16"/>
      <c r="AH148" s="77"/>
      <c r="AI148" s="114"/>
    </row>
    <row r="149" spans="1:35" ht="16.2">
      <c r="A149" s="53">
        <v>148</v>
      </c>
      <c r="B149" s="118">
        <f t="shared" si="15"/>
        <v>0.12558</v>
      </c>
      <c r="C149" s="72" t="str">
        <f t="array" ref="C149">INDEX(NPCFName,TRUNC(1+(COUNTA(NPCFName))*(TRUNC(MOD(($B149*1103515245 +12345)/ 65536, 32768),0)/32768),0))</f>
        <v>Dakamon</v>
      </c>
      <c r="D149" s="16" t="str">
        <f t="array" ref="D149">INDEX(NPCLName,TRUNC(1+(COUNTA(NPCLName))*(TRUNC(MOD(($B149*1103515245 +12345)/ 65536, 32768),0)/32768),0))</f>
        <v>Crystalgazer</v>
      </c>
      <c r="E149" s="16" t="str">
        <f t="array" ref="E149">INDEX(NPCClass,TRUNC(1+(COUNTA(NPCClass))*(TRUNC(MOD(($B149*1103515245 +12345)/ 65536, 32768),0)/32768),0))</f>
        <v>Barbarian</v>
      </c>
      <c r="F149" s="76">
        <v>1</v>
      </c>
      <c r="G149" s="153">
        <f ca="1">VLOOKUP($AB$2,'RF Mod'!$A$2:$G$12,2,FALSE)+VLOOKUP($AD$2,'RF Mod'!$I$2:$O$11,2,FALSE)+(TRUNC(6+(24-6)*(TRUNC(MOD(($Z149*1103515245 +12345)/ 65536, 32768),0)/32768),0))</f>
        <v>4</v>
      </c>
      <c r="H149" s="16">
        <f t="shared" ca="1" si="1"/>
        <v>-3</v>
      </c>
      <c r="I149" s="153">
        <f ca="1">VLOOKUP($AB$2,'RF Mod'!$A$2:$G$12,3,FALSE)+VLOOKUP($AD$2,'RF Mod'!$I$2:$O$11,3,FALSE)+(TRUNC(6+(24-6)*(TRUNC(MOD(($Z149*1103515245 +12345)/ 65536, 32768),0)/32768),0))</f>
        <v>8</v>
      </c>
      <c r="J149" s="16">
        <f t="shared" ca="1" si="2"/>
        <v>-1</v>
      </c>
      <c r="K149" s="153">
        <f ca="1">VLOOKUP($AB$2,'RF Mod'!$A$2:$G$12,3,FALSE)+VLOOKUP($AD$2,'RF Mod'!$I$2:$O$11,3,FALSE)+(TRUNC(6+(24-6)*(TRUNC(MOD(($Z149*1103515245 +12345)/ 65536, 32768),0)/32768),0))</f>
        <v>8</v>
      </c>
      <c r="L149" s="16">
        <f t="shared" ca="1" si="3"/>
        <v>-1</v>
      </c>
      <c r="M149" s="153">
        <f ca="1">VLOOKUP($AB$2,'RF Mod'!$A$2:$G$12,4,FALSE)+VLOOKUP($AD$2,'RF Mod'!$I$2:$O$11,4,FALSE)+(TRUNC(6+(24-6)*(TRUNC(MOD(($Z149*1103515245 +12345)/ 65536, 32768),0)/32768),0))</f>
        <v>7</v>
      </c>
      <c r="N149" s="16">
        <f t="shared" ca="1" si="4"/>
        <v>-2</v>
      </c>
      <c r="O149" s="153">
        <f ca="1">VLOOKUP($AB$2,'RF Mod'!$A$2:$G$12,5,FALSE)+VLOOKUP($AD$2,'RF Mod'!$I$2:$O$11,5,FALSE)+(TRUNC(6+(24-6)*(TRUNC(MOD(($Z149*1103515245 +12345)/ 65536, 32768),0)/32768),0))</f>
        <v>10</v>
      </c>
      <c r="P149" s="16" t="e">
        <f t="shared" ca="1" si="5"/>
        <v>#NAME?</v>
      </c>
      <c r="Q149" s="153">
        <f ca="1">VLOOKUP($AB$2,'RF Mod'!$A$2:$G$12,6,FALSE)+VLOOKUP($AD$2,'RF Mod'!$I$2:$O$11,6,FALSE)+(TRUNC(6+(24-6)*(TRUNC(MOD(($Z149*1103515245 +12345)/ 65536, 32768),0)/32768),0))</f>
        <v>8</v>
      </c>
      <c r="R149" s="16">
        <f t="shared" ca="1" si="6"/>
        <v>-1</v>
      </c>
      <c r="S149" s="154">
        <f t="shared" ca="1" si="12"/>
        <v>26</v>
      </c>
      <c r="T149" s="154">
        <f t="shared" ca="1" si="7"/>
        <v>25</v>
      </c>
      <c r="U149" s="16" t="str">
        <f t="shared" ca="1" si="8"/>
        <v>Bloody</v>
      </c>
      <c r="V149" s="155">
        <f ca="1">IFERROR(__xludf.DUMMYFUNCTION("if(W149=""Middle Age"",QUERY(NPCVar!$K$2:$N1000, ""Select L where K = '""&amp;AB149&amp;""'""),if(W149=""Old"",QUERY(NPCVar!$K$2:$N1000, ""Select M where K = '""&amp;AB149&amp;""'""),if(W149=""Venerable"",QUERY(NPCVar!$K$2:$N1000, ""Select N where K = '""&amp;AB149&amp;""'""),fa"&amp;"lse)))*X149"),4)</f>
        <v>4</v>
      </c>
      <c r="W149" s="156" t="str">
        <f t="array" ref="W149">INDEX(NPCAgeType,TRUNC(1+(4-1)*(TRUNC(MOD((X149*1103515245 +12345)/ 65536, 32768),0)/32768),0))</f>
        <v>Middle Age</v>
      </c>
      <c r="X149" s="117">
        <f t="shared" si="13"/>
        <v>0.2</v>
      </c>
      <c r="Y149" s="157" t="e">
        <f t="array" aca="1" ref="Y149" ca="1">LOOKUP(ABS(MAX(Z149 + MIN(ABS(INDIRECT("Class Jobs!B"&amp;MATCH(E149,'Class Jobs'!$A$1:$A1000,0)&amp;":"&amp;"AF"&amp;MATCH(E149,'Class Jobs'!$A$1:$A1000,0)&amp;"")-$Z149)) * SUM(IF(MIN(ABS(INDIRECT("Class Jobs!B"&amp;MATCH(E149,'Class Jobs'!$A$1:$A1000,0)&amp;":"&amp;"AF"&amp;MATCH(E149,'Class Jobs'!$A$1:$A1000,0)&amp;"")-$Z149))=ABS(INDIRECT("Class Jobs!B"&amp;MATCH(E149,'Class Jobs'!$A$1:$A1000,0)&amp;":"&amp;"AF"&amp;MATCH(E149,'Class Jobs'!$A$1:$A1000,0)&amp;"")-$Z149),SIGN(INDIRECT("Class Jobs!B"&amp;MATCH(E149,'Class Jobs'!$A$1:A1000,0)&amp;":"&amp;"AF"&amp;MATCH(E149,'Class Jobs'!$A$1:$A1000,0)&amp;"")-$Z149),0)),0)),INDIRECT("Class Jobs!B"&amp;MATCH(E149,'Class Jobs'!$A$1:$A1000,0)&amp;":"&amp;"AF"&amp;MATCH(E149,'Class Jobs'!$A$1:$A1000,1)&amp;""),'Class Jobs'!$B$1:$AF$1)</f>
        <v>#REF!</v>
      </c>
      <c r="Z149" s="158">
        <f t="shared" si="10"/>
        <v>7.0000000000000007E-2</v>
      </c>
      <c r="AA149" s="16" t="str">
        <f t="array" ref="AA149">INDEX(NPCGender,TRUNC(1+(COUNTA(NPCGender))*(TRUNC(MOD(($B149*1103515245 +12345)/ 65536, 32768),0)/32768),0))</f>
        <v>Male</v>
      </c>
      <c r="AB149" s="16" t="str">
        <f t="array" ref="AB149">INDEX(NPCRace,TRUNC(1+(COUNTA(NPCRace))*(TRUNC(MOD(($B149*1103515245 +12345)/ 65536, 32768),0)/32768),0))</f>
        <v>Dragonborn</v>
      </c>
      <c r="AC149" s="16" t="str">
        <f t="array" ref="AC149">INDEX(NPCAL,TRUNC(1+(COUNTA(NPCAL))*(TRUNC(MOD(($B149*1103515245 +12345)/ 65536, 32768),0)/32768),0))</f>
        <v>CN</v>
      </c>
      <c r="AD149" s="72" t="str">
        <f ca="1">IFERROR(__xludf.DUMMYFUNCTION("if(V149&lt;15,QUERY(NPCVar!C:D,""Select D WHERE C = '""&amp;D149&amp;""'""),if((TRUNC(1+10)*(TRUNC(MOD((ROW(H149)*1103515245 +12345)/ 65536, 32768),0)/32768)/10) &gt; 0.85,INDEX(NPCFaction,TRUNC(1+(counta(NPCFaction)-1)*(TRUNC(MOD(($B149*1103515245 +12345)/ 65536, 3276"&amp;"8),0)/32768),0)),QUERY(NPCVar!C:D,""Select D WHERE C = '""&amp;D149&amp;""'"")))"),"Death Guild")</f>
        <v>Death Guild</v>
      </c>
      <c r="AE149" s="108" t="e">
        <f t="shared" ca="1" si="11"/>
        <v>#NAME?</v>
      </c>
      <c r="AF149" s="159">
        <f ca="1">IFERROR(__xludf.DUMMYFUNCTION("AE149*(V149 / QUERY(NPCVar!$K$2:$N$12, ""Select N WHERE K='""&amp;AB149&amp;""'""))*TRUNC(1+10)*(TRUNC(MOD(($B149*1103515245 +12345)/ 65536, 32768),0)/32768)"),-0.0070965576171875)</f>
        <v>-7.0965576171874998E-3</v>
      </c>
      <c r="AG149" s="16"/>
      <c r="AH149" s="77"/>
      <c r="AI149" s="114"/>
    </row>
    <row r="150" spans="1:35" ht="16.2">
      <c r="A150" s="53">
        <v>149</v>
      </c>
      <c r="B150" s="118">
        <f t="shared" si="15"/>
        <v>1.61972</v>
      </c>
      <c r="C150" s="72" t="str">
        <f t="array" ref="C150">INDEX(NPCFName,TRUNC(1+(COUNTA(NPCFName))*(TRUNC(MOD(($B150*1103515245 +12345)/ 65536, 32768),0)/32768),0))</f>
        <v>Kodof</v>
      </c>
      <c r="D150" s="16" t="str">
        <f t="array" ref="D150">INDEX(NPCLName,TRUNC(1+(COUNTA(NPCLName))*(TRUNC(MOD(($B150*1103515245 +12345)/ 65536, 32768),0)/32768),0))</f>
        <v>Deepcrest</v>
      </c>
      <c r="E150" s="16" t="str">
        <f t="array" ref="E150">INDEX(NPCClass,TRUNC(1+(COUNTA(NPCClass))*(TRUNC(MOD(($B150*1103515245 +12345)/ 65536, 32768),0)/32768),0))</f>
        <v>Cleric</v>
      </c>
      <c r="F150" s="76">
        <v>8</v>
      </c>
      <c r="G150" s="153">
        <f ca="1">VLOOKUP($AB$2,'RF Mod'!$A$2:$G$12,2,FALSE)+VLOOKUP($AD$2,'RF Mod'!$I$2:$O$11,2,FALSE)+(TRUNC(6+(24-6)*(TRUNC(MOD(($Z150*1103515245 +12345)/ 65536, 32768),0)/32768),0))</f>
        <v>11</v>
      </c>
      <c r="H150" s="16" t="e">
        <f t="shared" ca="1" si="1"/>
        <v>#NAME?</v>
      </c>
      <c r="I150" s="153">
        <f ca="1">VLOOKUP($AB$2,'RF Mod'!$A$2:$G$12,3,FALSE)+VLOOKUP($AD$2,'RF Mod'!$I$2:$O$11,3,FALSE)+(TRUNC(6+(24-6)*(TRUNC(MOD(($Z150*1103515245 +12345)/ 65536, 32768),0)/32768),0))</f>
        <v>15</v>
      </c>
      <c r="J150" s="16" t="e">
        <f t="shared" ca="1" si="2"/>
        <v>#NAME?</v>
      </c>
      <c r="K150" s="153">
        <f ca="1">VLOOKUP($AB$2,'RF Mod'!$A$2:$G$12,3,FALSE)+VLOOKUP($AD$2,'RF Mod'!$I$2:$O$11,3,FALSE)+(TRUNC(6+(24-6)*(TRUNC(MOD(($Z150*1103515245 +12345)/ 65536, 32768),0)/32768),0))</f>
        <v>15</v>
      </c>
      <c r="L150" s="16" t="e">
        <f t="shared" ca="1" si="3"/>
        <v>#NAME?</v>
      </c>
      <c r="M150" s="153">
        <f ca="1">VLOOKUP($AB$2,'RF Mod'!$A$2:$G$12,4,FALSE)+VLOOKUP($AD$2,'RF Mod'!$I$2:$O$11,4,FALSE)+(TRUNC(6+(24-6)*(TRUNC(MOD(($Z150*1103515245 +12345)/ 65536, 32768),0)/32768),0))</f>
        <v>14</v>
      </c>
      <c r="N150" s="16" t="e">
        <f t="shared" ca="1" si="4"/>
        <v>#NAME?</v>
      </c>
      <c r="O150" s="153">
        <f ca="1">VLOOKUP($AB$2,'RF Mod'!$A$2:$G$12,5,FALSE)+VLOOKUP($AD$2,'RF Mod'!$I$2:$O$11,5,FALSE)+(TRUNC(6+(24-6)*(TRUNC(MOD(($Z150*1103515245 +12345)/ 65536, 32768),0)/32768),0))</f>
        <v>17</v>
      </c>
      <c r="P150" s="16" t="e">
        <f t="shared" ca="1" si="5"/>
        <v>#NAME?</v>
      </c>
      <c r="Q150" s="153">
        <f ca="1">VLOOKUP($AB$2,'RF Mod'!$A$2:$G$12,6,FALSE)+VLOOKUP($AD$2,'RF Mod'!$I$2:$O$11,6,FALSE)+(TRUNC(6+(24-6)*(TRUNC(MOD(($Z150*1103515245 +12345)/ 65536, 32768),0)/32768),0))</f>
        <v>15</v>
      </c>
      <c r="R150" s="16" t="e">
        <f t="shared" ca="1" si="6"/>
        <v>#NAME?</v>
      </c>
      <c r="S150" s="154">
        <f t="shared" ca="1" si="12"/>
        <v>216</v>
      </c>
      <c r="T150" s="154">
        <f t="shared" ca="1" si="7"/>
        <v>28</v>
      </c>
      <c r="U150" s="16" t="str">
        <f t="shared" ca="1" si="8"/>
        <v>Fine</v>
      </c>
      <c r="V150" s="155">
        <f ca="1">IFERROR(__xludf.DUMMYFUNCTION("if(W150=""Middle Age"",QUERY(NPCVar!$K$2:$N1000, ""Select L where K = '""&amp;AB150&amp;""'""),if(W150=""Old"",QUERY(NPCVar!$K$2:$N1000, ""Select M where K = '""&amp;AB150&amp;""'""),if(W150=""Venerable"",QUERY(NPCVar!$K$2:$N1000, ""Select N where K = '""&amp;AB150&amp;""'""),fa"&amp;"lse)))*X150"),55)</f>
        <v>55</v>
      </c>
      <c r="W150" s="156" t="str">
        <f t="array" ref="W150">INDEX(NPCAgeType,TRUNC(1+(4-1)*(TRUNC(MOD((X150*1103515245 +12345)/ 65536, 32768),0)/32768),0))</f>
        <v>Middle Age</v>
      </c>
      <c r="X150" s="117">
        <f t="shared" si="13"/>
        <v>2</v>
      </c>
      <c r="Y150" s="157" t="e">
        <f t="array" aca="1" ref="Y150" ca="1">LOOKUP(ABS(MAX(Z150 + MIN(ABS(INDIRECT("Class Jobs!B"&amp;MATCH(E150,'Class Jobs'!$A$1:$A1000,0)&amp;":"&amp;"AF"&amp;MATCH(E150,'Class Jobs'!$A$1:$A1000,0)&amp;"")-$Z150)) * SUM(IF(MIN(ABS(INDIRECT("Class Jobs!B"&amp;MATCH(E150,'Class Jobs'!$A$1:$A1000,0)&amp;":"&amp;"AF"&amp;MATCH(E150,'Class Jobs'!$A$1:$A1000,0)&amp;"")-$Z150))=ABS(INDIRECT("Class Jobs!B"&amp;MATCH(E150,'Class Jobs'!$A$1:$A1000,0)&amp;":"&amp;"AF"&amp;MATCH(E150,'Class Jobs'!$A$1:$A1000,0)&amp;"")-$Z150),SIGN(INDIRECT("Class Jobs!B"&amp;MATCH(E150,'Class Jobs'!$A$1:A1000,0)&amp;":"&amp;"AF"&amp;MATCH(E150,'Class Jobs'!$A$1:$A1000,0)&amp;"")-$Z150),0)),0)),INDIRECT("Class Jobs!B"&amp;MATCH(E150,'Class Jobs'!$A$1:$A1000,0)&amp;":"&amp;"AF"&amp;MATCH(E150,'Class Jobs'!$A$1:$A1000,1)&amp;""),'Class Jobs'!$B$1:$AF$1)</f>
        <v>#REF!</v>
      </c>
      <c r="Z150" s="158">
        <f t="shared" si="10"/>
        <v>0.83</v>
      </c>
      <c r="AA150" s="16" t="str">
        <f t="array" ref="AA150">INDEX(NPCGender,TRUNC(1+(COUNTA(NPCGender))*(TRUNC(MOD(($B150*1103515245 +12345)/ 65536, 32768),0)/32768),0))</f>
        <v>Neutral</v>
      </c>
      <c r="AB150" s="16" t="str">
        <f t="array" ref="AB150">INDEX(NPCRace,TRUNC(1+(COUNTA(NPCRace))*(TRUNC(MOD(($B150*1103515245 +12345)/ 65536, 32768),0)/32768),0))</f>
        <v>Genasi</v>
      </c>
      <c r="AC150" s="16" t="str">
        <f t="array" ref="AC150">INDEX(NPCAL,TRUNC(1+(COUNTA(NPCAL))*(TRUNC(MOD(($B150*1103515245 +12345)/ 65536, 32768),0)/32768),0))</f>
        <v>LN</v>
      </c>
      <c r="AD150" s="72" t="str">
        <f ca="1">IFERROR(__xludf.DUMMYFUNCTION("if(V150&lt;15,QUERY(NPCVar!C:D,""Select D WHERE C = '""&amp;D150&amp;""'""),if((TRUNC(1+10)*(TRUNC(MOD((ROW(H150)*1103515245 +12345)/ 65536, 32768),0)/32768)/10) &gt; 0.85,INDEX(NPCFaction,TRUNC(1+(counta(NPCFaction)-1)*(TRUNC(MOD(($B150*1103515245 +12345)/ 65536, 3276"&amp;"8),0)/32768),0)),QUERY(NPCVar!C:D,""Select D WHERE C = '""&amp;D150&amp;""'"")))"),"Adventures Guild")</f>
        <v>Adventures Guild</v>
      </c>
      <c r="AE150" s="108" t="e">
        <f t="shared" ca="1" si="11"/>
        <v>#NAME?</v>
      </c>
      <c r="AF150" s="159">
        <f ca="1">IFERROR(__xludf.DUMMYFUNCTION("AE150*(V150 / QUERY(NPCVar!$K$2:$N$12, ""Select N WHERE K='""&amp;AB150&amp;""'""))*TRUNC(1+10)*(TRUNC(MOD(($B150*1103515245 +12345)/ 65536, 32768),0)/32768)"),3.20437774658203)</f>
        <v>3.20437774658203</v>
      </c>
      <c r="AG150" s="16"/>
      <c r="AH150" s="77"/>
      <c r="AI150" s="114"/>
    </row>
    <row r="151" spans="1:35" ht="16.2">
      <c r="A151" s="53">
        <v>150</v>
      </c>
      <c r="B151" s="118">
        <f t="shared" si="15"/>
        <v>0.61385999999999996</v>
      </c>
      <c r="C151" s="72" t="str">
        <f t="array" ref="C151">INDEX(NPCFName,TRUNC(1+(COUNTA(NPCFName))*(TRUNC(MOD(($B151*1103515245 +12345)/ 65536, 32768),0)/32768),0))</f>
        <v>Wrathran</v>
      </c>
      <c r="D151" s="16" t="str">
        <f t="array" ref="D151">INDEX(NPCLName,TRUNC(1+(COUNTA(NPCLName))*(TRUNC(MOD(($B151*1103515245 +12345)/ 65536, 32768),0)/32768),0))</f>
        <v>Stormdew</v>
      </c>
      <c r="E151" s="16" t="str">
        <f t="array" ref="E151">INDEX(NPCClass,TRUNC(1+(COUNTA(NPCClass))*(TRUNC(MOD(($B151*1103515245 +12345)/ 65536, 32768),0)/32768),0))</f>
        <v>Monk</v>
      </c>
      <c r="F151" s="76">
        <v>4</v>
      </c>
      <c r="G151" s="153">
        <f ca="1">VLOOKUP($AB$2,'RF Mod'!$A$2:$G$12,2,FALSE)+VLOOKUP($AD$2,'RF Mod'!$I$2:$O$11,2,FALSE)+(TRUNC(6+(24-6)*(TRUNC(MOD(($Z151*1103515245 +12345)/ 65536, 32768),0)/32768),0))</f>
        <v>6</v>
      </c>
      <c r="H151" s="16">
        <f t="shared" ca="1" si="1"/>
        <v>-2</v>
      </c>
      <c r="I151" s="153">
        <f ca="1">VLOOKUP($AB$2,'RF Mod'!$A$2:$G$12,3,FALSE)+VLOOKUP($AD$2,'RF Mod'!$I$2:$O$11,3,FALSE)+(TRUNC(6+(24-6)*(TRUNC(MOD(($Z151*1103515245 +12345)/ 65536, 32768),0)/32768),0))</f>
        <v>10</v>
      </c>
      <c r="J151" s="16" t="e">
        <f t="shared" ca="1" si="2"/>
        <v>#NAME?</v>
      </c>
      <c r="K151" s="153">
        <f ca="1">VLOOKUP($AB$2,'RF Mod'!$A$2:$G$12,3,FALSE)+VLOOKUP($AD$2,'RF Mod'!$I$2:$O$11,3,FALSE)+(TRUNC(6+(24-6)*(TRUNC(MOD(($Z151*1103515245 +12345)/ 65536, 32768),0)/32768),0))</f>
        <v>10</v>
      </c>
      <c r="L151" s="16" t="e">
        <f t="shared" ca="1" si="3"/>
        <v>#NAME?</v>
      </c>
      <c r="M151" s="153">
        <f ca="1">VLOOKUP($AB$2,'RF Mod'!$A$2:$G$12,4,FALSE)+VLOOKUP($AD$2,'RF Mod'!$I$2:$O$11,4,FALSE)+(TRUNC(6+(24-6)*(TRUNC(MOD(($Z151*1103515245 +12345)/ 65536, 32768),0)/32768),0))</f>
        <v>9</v>
      </c>
      <c r="N151" s="16">
        <f t="shared" ca="1" si="4"/>
        <v>-1</v>
      </c>
      <c r="O151" s="153">
        <f ca="1">VLOOKUP($AB$2,'RF Mod'!$A$2:$G$12,5,FALSE)+VLOOKUP($AD$2,'RF Mod'!$I$2:$O$11,5,FALSE)+(TRUNC(6+(24-6)*(TRUNC(MOD(($Z151*1103515245 +12345)/ 65536, 32768),0)/32768),0))</f>
        <v>12</v>
      </c>
      <c r="P151" s="16" t="e">
        <f t="shared" ca="1" si="5"/>
        <v>#NAME?</v>
      </c>
      <c r="Q151" s="153">
        <f ca="1">VLOOKUP($AB$2,'RF Mod'!$A$2:$G$12,6,FALSE)+VLOOKUP($AD$2,'RF Mod'!$I$2:$O$11,6,FALSE)+(TRUNC(6+(24-6)*(TRUNC(MOD(($Z151*1103515245 +12345)/ 65536, 32768),0)/32768),0))</f>
        <v>10</v>
      </c>
      <c r="R151" s="16" t="e">
        <f t="shared" ca="1" si="6"/>
        <v>#NAME?</v>
      </c>
      <c r="S151" s="154">
        <f t="shared" ca="1" si="12"/>
        <v>112</v>
      </c>
      <c r="T151" s="154">
        <f t="shared" ca="1" si="7"/>
        <v>10</v>
      </c>
      <c r="U151" s="16" t="str">
        <f t="shared" ca="1" si="8"/>
        <v>Fine</v>
      </c>
      <c r="V151" s="155">
        <f ca="1">IFERROR(__xludf.DUMMYFUNCTION("if(W151=""Middle Age"",QUERY(NPCVar!$K$2:$N1000, ""Select L where K = '""&amp;AB151&amp;""'""),if(W151=""Old"",QUERY(NPCVar!$K$2:$N1000, ""Select M where K = '""&amp;AB151&amp;""'""),if(W151=""Venerable"",QUERY(NPCVar!$K$2:$N1000, ""Select N where K = '""&amp;AB151&amp;""'""),fa"&amp;"lse)))*X151"),135)</f>
        <v>135</v>
      </c>
      <c r="W151" s="156" t="str">
        <f t="array" ref="W151">INDEX(NPCAgeType,TRUNC(1+(4-1)*(TRUNC(MOD((X151*1103515245 +12345)/ 65536, 32768),0)/32768),0))</f>
        <v>Old</v>
      </c>
      <c r="X151" s="117">
        <f t="shared" si="13"/>
        <v>0.8</v>
      </c>
      <c r="Y151" s="157" t="e">
        <f t="array" aca="1" ref="Y151" ca="1">LOOKUP(ABS(MAX(Z151 + MIN(ABS(INDIRECT("Class Jobs!B"&amp;MATCH(E151,'Class Jobs'!$A$1:$A1000,0)&amp;":"&amp;"AF"&amp;MATCH(E151,'Class Jobs'!$A$1:$A1000,0)&amp;"")-$Z151)) * SUM(IF(MIN(ABS(INDIRECT("Class Jobs!B"&amp;MATCH(E151,'Class Jobs'!$A$1:$A1000,0)&amp;":"&amp;"AF"&amp;MATCH(E151,'Class Jobs'!$A$1:$A1000,0)&amp;"")-$Z151))=ABS(INDIRECT("Class Jobs!B"&amp;MATCH(E151,'Class Jobs'!$A$1:$A1000,0)&amp;":"&amp;"AF"&amp;MATCH(E151,'Class Jobs'!$A$1:$A1000,0)&amp;"")-$Z151),SIGN(INDIRECT("Class Jobs!B"&amp;MATCH(E151,'Class Jobs'!$A$1:A1000,0)&amp;":"&amp;"AF"&amp;MATCH(E151,'Class Jobs'!$A$1:$A1000,0)&amp;"")-$Z151),0)),0)),INDIRECT("Class Jobs!B"&amp;MATCH(E151,'Class Jobs'!$A$1:$A1000,0)&amp;":"&amp;"AF"&amp;MATCH(E151,'Class Jobs'!$A$1:$A1000,1)&amp;""),'Class Jobs'!$B$1:$AF$1)</f>
        <v>#REF!</v>
      </c>
      <c r="Z151" s="158">
        <f t="shared" si="10"/>
        <v>0.32</v>
      </c>
      <c r="AA151" s="16" t="str">
        <f t="array" ref="AA151">INDEX(NPCGender,TRUNC(1+(COUNTA(NPCGender))*(TRUNC(MOD(($B151*1103515245 +12345)/ 65536, 32768),0)/32768),0))</f>
        <v>Male</v>
      </c>
      <c r="AB151" s="16" t="str">
        <f t="array" ref="AB151">INDEX(NPCRace,TRUNC(1+(COUNTA(NPCRace))*(TRUNC(MOD(($B151*1103515245 +12345)/ 65536, 32768),0)/32768),0))</f>
        <v>Gnome</v>
      </c>
      <c r="AC151" s="16" t="str">
        <f t="array" ref="AC151">INDEX(NPCAL,TRUNC(1+(COUNTA(NPCAL))*(TRUNC(MOD(($B151*1103515245 +12345)/ 65536, 32768),0)/32768),0))</f>
        <v>CG</v>
      </c>
      <c r="AD151" s="72" t="str">
        <f ca="1">IFERROR(__xludf.DUMMYFUNCTION("if(V151&lt;15,QUERY(NPCVar!C:D,""Select D WHERE C = '""&amp;D151&amp;""'""),if((TRUNC(1+10)*(TRUNC(MOD((ROW(H151)*1103515245 +12345)/ 65536, 32768),0)/32768)/10) &gt; 0.85,INDEX(NPCFaction,TRUNC(1+(counta(NPCFaction)-1)*(TRUNC(MOD(($B151*1103515245 +12345)/ 65536, 3276"&amp;"8),0)/32768),0)),QUERY(NPCVar!C:D,""Select D WHERE C = '""&amp;D151&amp;""'"")))"),"Magic Guild")</f>
        <v>Magic Guild</v>
      </c>
      <c r="AE151" s="108" t="e">
        <f t="shared" ca="1" si="11"/>
        <v>#NAME?</v>
      </c>
      <c r="AF151" s="159">
        <f ca="1">IFERROR(__xludf.DUMMYFUNCTION("AE151*(V151 / QUERY(NPCVar!$K$2:$N$12, ""Select N WHERE K='""&amp;AB151&amp;""'""))*TRUNC(1+10)*(TRUNC(MOD(($B151*1103515245 +12345)/ 65536, 32768),0)/32768)"),-0.104091796874999)</f>
        <v>-0.104091796874999</v>
      </c>
      <c r="AG151" s="16"/>
      <c r="AH151" s="77"/>
      <c r="AI151" s="114"/>
    </row>
    <row r="152" spans="1:35" ht="16.2">
      <c r="A152" s="53">
        <v>151</v>
      </c>
      <c r="B152" s="118">
        <f t="shared" si="15"/>
        <v>2.10792</v>
      </c>
      <c r="C152" s="72" t="str">
        <f t="array" ref="C152">INDEX(NPCFName,TRUNC(1+(COUNTA(NPCFName))*(TRUNC(MOD(($B152*1103515245 +12345)/ 65536, 32768),0)/32768),0))</f>
        <v>Dryn</v>
      </c>
      <c r="D152" s="16" t="str">
        <f t="array" ref="D152">INDEX(NPCLName,TRUNC(1+(COUNTA(NPCLName))*(TRUNC(MOD(($B152*1103515245 +12345)/ 65536, 32768),0)/32768),0))</f>
        <v>Autumnorb</v>
      </c>
      <c r="E152" s="16" t="str">
        <f t="array" ref="E152">INDEX(NPCClass,TRUNC(1+(COUNTA(NPCClass))*(TRUNC(MOD(($B152*1103515245 +12345)/ 65536, 32768),0)/32768),0))</f>
        <v>Barbarian</v>
      </c>
      <c r="F152" s="76">
        <v>1</v>
      </c>
      <c r="G152" s="153">
        <f ca="1">VLOOKUP($AB$2,'RF Mod'!$A$2:$G$12,2,FALSE)+VLOOKUP($AD$2,'RF Mod'!$I$2:$O$11,2,FALSE)+(TRUNC(6+(24-6)*(TRUNC(MOD(($Z152*1103515245 +12345)/ 65536, 32768),0)/32768),0))</f>
        <v>4</v>
      </c>
      <c r="H152" s="16">
        <f t="shared" ca="1" si="1"/>
        <v>-3</v>
      </c>
      <c r="I152" s="153">
        <f ca="1">VLOOKUP($AB$2,'RF Mod'!$A$2:$G$12,3,FALSE)+VLOOKUP($AD$2,'RF Mod'!$I$2:$O$11,3,FALSE)+(TRUNC(6+(24-6)*(TRUNC(MOD(($Z152*1103515245 +12345)/ 65536, 32768),0)/32768),0))</f>
        <v>8</v>
      </c>
      <c r="J152" s="16">
        <f t="shared" ca="1" si="2"/>
        <v>-1</v>
      </c>
      <c r="K152" s="153">
        <f ca="1">VLOOKUP($AB$2,'RF Mod'!$A$2:$G$12,3,FALSE)+VLOOKUP($AD$2,'RF Mod'!$I$2:$O$11,3,FALSE)+(TRUNC(6+(24-6)*(TRUNC(MOD(($Z152*1103515245 +12345)/ 65536, 32768),0)/32768),0))</f>
        <v>8</v>
      </c>
      <c r="L152" s="16">
        <f t="shared" ca="1" si="3"/>
        <v>-1</v>
      </c>
      <c r="M152" s="153">
        <f ca="1">VLOOKUP($AB$2,'RF Mod'!$A$2:$G$12,4,FALSE)+VLOOKUP($AD$2,'RF Mod'!$I$2:$O$11,4,FALSE)+(TRUNC(6+(24-6)*(TRUNC(MOD(($Z152*1103515245 +12345)/ 65536, 32768),0)/32768),0))</f>
        <v>7</v>
      </c>
      <c r="N152" s="16">
        <f t="shared" ca="1" si="4"/>
        <v>-2</v>
      </c>
      <c r="O152" s="153">
        <f ca="1">VLOOKUP($AB$2,'RF Mod'!$A$2:$G$12,5,FALSE)+VLOOKUP($AD$2,'RF Mod'!$I$2:$O$11,5,FALSE)+(TRUNC(6+(24-6)*(TRUNC(MOD(($Z152*1103515245 +12345)/ 65536, 32768),0)/32768),0))</f>
        <v>10</v>
      </c>
      <c r="P152" s="16" t="e">
        <f t="shared" ca="1" si="5"/>
        <v>#NAME?</v>
      </c>
      <c r="Q152" s="153">
        <f ca="1">VLOOKUP($AB$2,'RF Mod'!$A$2:$G$12,6,FALSE)+VLOOKUP($AD$2,'RF Mod'!$I$2:$O$11,6,FALSE)+(TRUNC(6+(24-6)*(TRUNC(MOD(($Z152*1103515245 +12345)/ 65536, 32768),0)/32768),0))</f>
        <v>8</v>
      </c>
      <c r="R152" s="16">
        <f t="shared" ca="1" si="6"/>
        <v>-1</v>
      </c>
      <c r="S152" s="154">
        <f t="shared" ca="1" si="12"/>
        <v>10</v>
      </c>
      <c r="T152" s="154">
        <f t="shared" ca="1" si="7"/>
        <v>7</v>
      </c>
      <c r="U152" s="16" t="str">
        <f t="shared" ca="1" si="8"/>
        <v>Bloody</v>
      </c>
      <c r="V152" s="155">
        <f ca="1">IFERROR(__xludf.DUMMYFUNCTION("if(W152=""Middle Age"",QUERY(NPCVar!$K$2:$N1000, ""Select L where K = '""&amp;AB152&amp;""'""),if(W152=""Old"",QUERY(NPCVar!$K$2:$N1000, ""Select M where K = '""&amp;AB152&amp;""'""),if(W152=""Venerable"",QUERY(NPCVar!$K$2:$N1000, ""Select N where K = '""&amp;AB152&amp;""'""),fa"&amp;"lse)))*X152"),4)</f>
        <v>4</v>
      </c>
      <c r="W152" s="156" t="str">
        <f t="array" ref="W152">INDEX(NPCAgeType,TRUNC(1+(4-1)*(TRUNC(MOD((X152*1103515245 +12345)/ 65536, 32768),0)/32768),0))</f>
        <v>Middle Age</v>
      </c>
      <c r="X152" s="117">
        <f t="shared" si="13"/>
        <v>0.2</v>
      </c>
      <c r="Y152" s="157" t="e">
        <f t="array" aca="1" ref="Y152" ca="1">LOOKUP(ABS(MAX(Z152 + MIN(ABS(INDIRECT("Class Jobs!B"&amp;MATCH(E152,'Class Jobs'!$A$1:$A1000,0)&amp;":"&amp;"AF"&amp;MATCH(E152,'Class Jobs'!$A$1:$A1000,0)&amp;"")-$Z152)) * SUM(IF(MIN(ABS(INDIRECT("Class Jobs!B"&amp;MATCH(E152,'Class Jobs'!$A$1:$A1000,0)&amp;":"&amp;"AF"&amp;MATCH(E152,'Class Jobs'!$A$1:$A1000,0)&amp;"")-$Z152))=ABS(INDIRECT("Class Jobs!B"&amp;MATCH(E152,'Class Jobs'!$A$1:$A1000,0)&amp;":"&amp;"AF"&amp;MATCH(E152,'Class Jobs'!$A$1:$A1000,0)&amp;"")-$Z152),SIGN(INDIRECT("Class Jobs!B"&amp;MATCH(E152,'Class Jobs'!$A$1:A1000,0)&amp;":"&amp;"AF"&amp;MATCH(E152,'Class Jobs'!$A$1:$A1000,0)&amp;"")-$Z152),0)),0)),INDIRECT("Class Jobs!B"&amp;MATCH(E152,'Class Jobs'!$A$1:$A1000,0)&amp;":"&amp;"AF"&amp;MATCH(E152,'Class Jobs'!$A$1:$A1000,1)&amp;""),'Class Jobs'!$B$1:$AF$1)</f>
        <v>#REF!</v>
      </c>
      <c r="Z152" s="158">
        <f t="shared" si="10"/>
        <v>0.09</v>
      </c>
      <c r="AA152" s="16" t="str">
        <f t="array" ref="AA152">INDEX(NPCGender,TRUNC(1+(COUNTA(NPCGender))*(TRUNC(MOD(($B152*1103515245 +12345)/ 65536, 32768),0)/32768),0))</f>
        <v>Male</v>
      </c>
      <c r="AB152" s="16" t="str">
        <f t="array" ref="AB152">INDEX(NPCRace,TRUNC(1+(COUNTA(NPCRace))*(TRUNC(MOD(($B152*1103515245 +12345)/ 65536, 32768),0)/32768),0))</f>
        <v>Dragonborn</v>
      </c>
      <c r="AC152" s="16" t="str">
        <f t="array" ref="AC152">INDEX(NPCAL,TRUNC(1+(COUNTA(NPCAL))*(TRUNC(MOD(($B152*1103515245 +12345)/ 65536, 32768),0)/32768),0))</f>
        <v>CN</v>
      </c>
      <c r="AD152" s="72" t="str">
        <f ca="1">IFERROR(__xludf.DUMMYFUNCTION("if(V152&lt;15,QUERY(NPCVar!C:D,""Select D WHERE C = '""&amp;D152&amp;""'""),if((TRUNC(1+10)*(TRUNC(MOD((ROW(H152)*1103515245 +12345)/ 65536, 32768),0)/32768)/10) &gt; 0.85,INDEX(NPCFaction,TRUNC(1+(counta(NPCFaction)-1)*(TRUNC(MOD(($B152*1103515245 +12345)/ 65536, 3276"&amp;"8),0)/32768),0)),QUERY(NPCVar!C:D,""Select D WHERE C = '""&amp;D152&amp;""'"")))"),"Royalty")</f>
        <v>Royalty</v>
      </c>
      <c r="AE152" s="108" t="e">
        <f t="shared" ca="1" si="11"/>
        <v>#NAME?</v>
      </c>
      <c r="AF152" s="159">
        <f ca="1">IFERROR(__xludf.DUMMYFUNCTION("AE152*(V152 / QUERY(NPCVar!$K$2:$N$12, ""Select N WHERE K='""&amp;AB152&amp;""'""))*TRUNC(1+10)*(TRUNC(MOD(($B152*1103515245 +12345)/ 65536, 32768),0)/32768)"),0.0137214660644531)</f>
        <v>1.3721466064453101E-2</v>
      </c>
      <c r="AG152" s="16"/>
      <c r="AH152" s="77"/>
      <c r="AI152" s="114"/>
    </row>
    <row r="153" spans="1:35" ht="16.2">
      <c r="A153" s="53">
        <v>152</v>
      </c>
      <c r="B153" s="118">
        <f t="shared" si="15"/>
        <v>1.1020700000000001</v>
      </c>
      <c r="C153" s="72" t="str">
        <f t="array" ref="C153">INDEX(NPCFName,TRUNC(1+(COUNTA(NPCFName))*(TRUNC(MOD(($B153*1103515245 +12345)/ 65536, 32768),0)/32768),0))</f>
        <v>Puthor</v>
      </c>
      <c r="D153" s="16" t="str">
        <f t="array" ref="D153">INDEX(NPCLName,TRUNC(1+(COUNTA(NPCLName))*(TRUNC(MOD(($B153*1103515245 +12345)/ 65536, 32768),0)/32768),0))</f>
        <v>Plainspirit</v>
      </c>
      <c r="E153" s="16" t="str">
        <f t="array" ref="E153">INDEX(NPCClass,TRUNC(1+(COUNTA(NPCClass))*(TRUNC(MOD(($B153*1103515245 +12345)/ 65536, 32768),0)/32768),0))</f>
        <v>Sorcerer</v>
      </c>
      <c r="F153" s="76">
        <v>8</v>
      </c>
      <c r="G153" s="153">
        <f ca="1">VLOOKUP($AB$2,'RF Mod'!$A$2:$G$12,2,FALSE)+VLOOKUP($AD$2,'RF Mod'!$I$2:$O$11,2,FALSE)+(TRUNC(6+(24-6)*(TRUNC(MOD(($Z153*1103515245 +12345)/ 65536, 32768),0)/32768),0))</f>
        <v>9</v>
      </c>
      <c r="H153" s="16">
        <f t="shared" ca="1" si="1"/>
        <v>-1</v>
      </c>
      <c r="I153" s="153">
        <f ca="1">VLOOKUP($AB$2,'RF Mod'!$A$2:$G$12,3,FALSE)+VLOOKUP($AD$2,'RF Mod'!$I$2:$O$11,3,FALSE)+(TRUNC(6+(24-6)*(TRUNC(MOD(($Z153*1103515245 +12345)/ 65536, 32768),0)/32768),0))</f>
        <v>13</v>
      </c>
      <c r="J153" s="16" t="e">
        <f t="shared" ca="1" si="2"/>
        <v>#NAME?</v>
      </c>
      <c r="K153" s="153">
        <f ca="1">VLOOKUP($AB$2,'RF Mod'!$A$2:$G$12,3,FALSE)+VLOOKUP($AD$2,'RF Mod'!$I$2:$O$11,3,FALSE)+(TRUNC(6+(24-6)*(TRUNC(MOD(($Z153*1103515245 +12345)/ 65536, 32768),0)/32768),0))</f>
        <v>13</v>
      </c>
      <c r="L153" s="16" t="e">
        <f t="shared" ca="1" si="3"/>
        <v>#NAME?</v>
      </c>
      <c r="M153" s="153">
        <f ca="1">VLOOKUP($AB$2,'RF Mod'!$A$2:$G$12,4,FALSE)+VLOOKUP($AD$2,'RF Mod'!$I$2:$O$11,4,FALSE)+(TRUNC(6+(24-6)*(TRUNC(MOD(($Z153*1103515245 +12345)/ 65536, 32768),0)/32768),0))</f>
        <v>12</v>
      </c>
      <c r="N153" s="16" t="e">
        <f t="shared" ca="1" si="4"/>
        <v>#NAME?</v>
      </c>
      <c r="O153" s="153">
        <f ca="1">VLOOKUP($AB$2,'RF Mod'!$A$2:$G$12,5,FALSE)+VLOOKUP($AD$2,'RF Mod'!$I$2:$O$11,5,FALSE)+(TRUNC(6+(24-6)*(TRUNC(MOD(($Z153*1103515245 +12345)/ 65536, 32768),0)/32768),0))</f>
        <v>15</v>
      </c>
      <c r="P153" s="16" t="e">
        <f t="shared" ca="1" si="5"/>
        <v>#NAME?</v>
      </c>
      <c r="Q153" s="153">
        <f ca="1">VLOOKUP($AB$2,'RF Mod'!$A$2:$G$12,6,FALSE)+VLOOKUP($AD$2,'RF Mod'!$I$2:$O$11,6,FALSE)+(TRUNC(6+(24-6)*(TRUNC(MOD(($Z153*1103515245 +12345)/ 65536, 32768),0)/32768),0))</f>
        <v>13</v>
      </c>
      <c r="R153" s="16" t="e">
        <f t="shared" ca="1" si="6"/>
        <v>#NAME?</v>
      </c>
      <c r="S153" s="154">
        <f t="shared" ca="1" si="12"/>
        <v>248</v>
      </c>
      <c r="T153" s="154">
        <f t="shared" ca="1" si="7"/>
        <v>43</v>
      </c>
      <c r="U153" s="16" t="str">
        <f t="shared" ca="1" si="8"/>
        <v>Fine</v>
      </c>
      <c r="V153" s="155">
        <f ca="1">IFERROR(__xludf.DUMMYFUNCTION("if(W153=""Middle Age"",QUERY(NPCVar!$K$2:$N1000, ""Select L where K = '""&amp;AB153&amp;""'""),if(W153=""Old"",QUERY(NPCVar!$K$2:$N1000, ""Select M where K = '""&amp;AB153&amp;""'""),if(W153=""Venerable"",QUERY(NPCVar!$K$2:$N1000, ""Select N where K = '""&amp;AB153&amp;""'""),fa"&amp;"lse)))*X153"),280)</f>
        <v>280</v>
      </c>
      <c r="W153" s="156" t="str">
        <f t="array" ref="W153">INDEX(NPCAgeType,TRUNC(1+(4-1)*(TRUNC(MOD((X153*1103515245 +12345)/ 65536, 32768),0)/32768),0))</f>
        <v>Venerable</v>
      </c>
      <c r="X153" s="117">
        <f t="shared" si="13"/>
        <v>1.4</v>
      </c>
      <c r="Y153" s="157" t="e">
        <f t="array" aca="1" ref="Y153" ca="1">LOOKUP(ABS(MAX(Z153 + MIN(ABS(INDIRECT("Class Jobs!B"&amp;MATCH(E153,'Class Jobs'!$A$1:$A1000,0)&amp;":"&amp;"AF"&amp;MATCH(E153,'Class Jobs'!$A$1:$A1000,0)&amp;"")-$Z153)) * SUM(IF(MIN(ABS(INDIRECT("Class Jobs!B"&amp;MATCH(E153,'Class Jobs'!$A$1:$A1000,0)&amp;":"&amp;"AF"&amp;MATCH(E153,'Class Jobs'!$A$1:$A1000,0)&amp;"")-$Z153))=ABS(INDIRECT("Class Jobs!B"&amp;MATCH(E153,'Class Jobs'!$A$1:$A1000,0)&amp;":"&amp;"AF"&amp;MATCH(E153,'Class Jobs'!$A$1:$A1000,0)&amp;"")-$Z153),SIGN(INDIRECT("Class Jobs!B"&amp;MATCH(E153,'Class Jobs'!$A$1:A1000,0)&amp;":"&amp;"AF"&amp;MATCH(E153,'Class Jobs'!$A$1:$A1000,0)&amp;"")-$Z153),0)),0)),INDIRECT("Class Jobs!B"&amp;MATCH(E153,'Class Jobs'!$A$1:$A1000,0)&amp;":"&amp;"AF"&amp;MATCH(E153,'Class Jobs'!$A$1:$A1000,1)&amp;""),'Class Jobs'!$B$1:$AF$1)</f>
        <v>#REF!</v>
      </c>
      <c r="Z153" s="158">
        <f t="shared" si="10"/>
        <v>0.56999999999999995</v>
      </c>
      <c r="AA153" s="16" t="str">
        <f t="array" ref="AA153">INDEX(NPCGender,TRUNC(1+(COUNTA(NPCGender))*(TRUNC(MOD(($B153*1103515245 +12345)/ 65536, 32768),0)/32768),0))</f>
        <v>Female</v>
      </c>
      <c r="AB153" s="16" t="str">
        <f t="array" ref="AB153">INDEX(NPCRace,TRUNC(1+(COUNTA(NPCRace))*(TRUNC(MOD(($B153*1103515245 +12345)/ 65536, 32768),0)/32768),0))</f>
        <v>Halfling</v>
      </c>
      <c r="AC153" s="16" t="str">
        <f t="array" ref="AC153">INDEX(NPCAL,TRUNC(1+(COUNTA(NPCAL))*(TRUNC(MOD(($B153*1103515245 +12345)/ 65536, 32768),0)/32768),0))</f>
        <v>NE</v>
      </c>
      <c r="AD153" s="72" t="str">
        <f ca="1">IFERROR(__xludf.DUMMYFUNCTION("if(V153&lt;15,QUERY(NPCVar!C:D,""Select D WHERE C = '""&amp;D153&amp;""'""),if((TRUNC(1+10)*(TRUNC(MOD((ROW(H153)*1103515245 +12345)/ 65536, 32768),0)/32768)/10) &gt; 0.85,INDEX(NPCFaction,TRUNC(1+(counta(NPCFaction)-1)*(TRUNC(MOD(($B153*1103515245 +12345)/ 65536, 3276"&amp;"8),0)/32768),0)),QUERY(NPCVar!C:D,""Select D WHERE C = '""&amp;D153&amp;""'"")))"),"Traders Guild")</f>
        <v>Traders Guild</v>
      </c>
      <c r="AE153" s="108" t="e">
        <f t="shared" ca="1" si="11"/>
        <v>#NAME?</v>
      </c>
      <c r="AF153" s="159">
        <f ca="1">IFERROR(__xludf.DUMMYFUNCTION("AE153*(V153 / QUERY(NPCVar!$K$2:$N$12, ""Select N WHERE K='""&amp;AB153&amp;""'""))*TRUNC(1+10)*(TRUNC(MOD(($B153*1103515245 +12345)/ 65536, 32768),0)/32768)"),1.74424926757812)</f>
        <v>1.74424926757812</v>
      </c>
      <c r="AG153" s="16"/>
      <c r="AH153" s="77"/>
      <c r="AI153" s="114"/>
    </row>
    <row r="154" spans="1:35" ht="16.2">
      <c r="A154" s="53">
        <v>153</v>
      </c>
      <c r="B154" s="118">
        <f t="shared" si="15"/>
        <v>9.6210000000000004E-2</v>
      </c>
      <c r="C154" s="72" t="str">
        <f t="array" ref="C154">INDEX(NPCFName,TRUNC(1+(COUNTA(NPCFName))*(TRUNC(MOD(($B154*1103515245 +12345)/ 65536, 32768),0)/32768),0))</f>
        <v>Cerdern</v>
      </c>
      <c r="D154" s="16" t="str">
        <f t="array" ref="D154">INDEX(NPCLName,TRUNC(1+(COUNTA(NPCLName))*(TRUNC(MOD(($B154*1103515245 +12345)/ 65536, 32768),0)/32768),0))</f>
        <v>Crystalgazer</v>
      </c>
      <c r="E154" s="16" t="str">
        <f t="array" ref="E154">INDEX(NPCClass,TRUNC(1+(COUNTA(NPCClass))*(TRUNC(MOD(($B154*1103515245 +12345)/ 65536, 32768),0)/32768),0))</f>
        <v>Barbarian</v>
      </c>
      <c r="F154" s="76">
        <v>1</v>
      </c>
      <c r="G154" s="153">
        <f ca="1">VLOOKUP($AB$2,'RF Mod'!$A$2:$G$12,2,FALSE)+VLOOKUP($AD$2,'RF Mod'!$I$2:$O$11,2,FALSE)+(TRUNC(6+(24-6)*(TRUNC(MOD(($Z154*1103515245 +12345)/ 65536, 32768),0)/32768),0))</f>
        <v>4</v>
      </c>
      <c r="H154" s="16">
        <f t="shared" ca="1" si="1"/>
        <v>-3</v>
      </c>
      <c r="I154" s="153">
        <f ca="1">VLOOKUP($AB$2,'RF Mod'!$A$2:$G$12,3,FALSE)+VLOOKUP($AD$2,'RF Mod'!$I$2:$O$11,3,FALSE)+(TRUNC(6+(24-6)*(TRUNC(MOD(($Z154*1103515245 +12345)/ 65536, 32768),0)/32768),0))</f>
        <v>8</v>
      </c>
      <c r="J154" s="16">
        <f t="shared" ca="1" si="2"/>
        <v>-1</v>
      </c>
      <c r="K154" s="153">
        <f ca="1">VLOOKUP($AB$2,'RF Mod'!$A$2:$G$12,3,FALSE)+VLOOKUP($AD$2,'RF Mod'!$I$2:$O$11,3,FALSE)+(TRUNC(6+(24-6)*(TRUNC(MOD(($Z154*1103515245 +12345)/ 65536, 32768),0)/32768),0))</f>
        <v>8</v>
      </c>
      <c r="L154" s="16">
        <f t="shared" ca="1" si="3"/>
        <v>-1</v>
      </c>
      <c r="M154" s="153">
        <f ca="1">VLOOKUP($AB$2,'RF Mod'!$A$2:$G$12,4,FALSE)+VLOOKUP($AD$2,'RF Mod'!$I$2:$O$11,4,FALSE)+(TRUNC(6+(24-6)*(TRUNC(MOD(($Z154*1103515245 +12345)/ 65536, 32768),0)/32768),0))</f>
        <v>7</v>
      </c>
      <c r="N154" s="16">
        <f t="shared" ca="1" si="4"/>
        <v>-2</v>
      </c>
      <c r="O154" s="153">
        <f ca="1">VLOOKUP($AB$2,'RF Mod'!$A$2:$G$12,5,FALSE)+VLOOKUP($AD$2,'RF Mod'!$I$2:$O$11,5,FALSE)+(TRUNC(6+(24-6)*(TRUNC(MOD(($Z154*1103515245 +12345)/ 65536, 32768),0)/32768),0))</f>
        <v>10</v>
      </c>
      <c r="P154" s="16" t="e">
        <f t="shared" ca="1" si="5"/>
        <v>#NAME?</v>
      </c>
      <c r="Q154" s="153">
        <f ca="1">VLOOKUP($AB$2,'RF Mod'!$A$2:$G$12,6,FALSE)+VLOOKUP($AD$2,'RF Mod'!$I$2:$O$11,6,FALSE)+(TRUNC(6+(24-6)*(TRUNC(MOD(($Z154*1103515245 +12345)/ 65536, 32768),0)/32768),0))</f>
        <v>8</v>
      </c>
      <c r="R154" s="16">
        <f t="shared" ca="1" si="6"/>
        <v>-1</v>
      </c>
      <c r="S154" s="154">
        <f t="shared" ca="1" si="12"/>
        <v>10</v>
      </c>
      <c r="T154" s="154">
        <f t="shared" ca="1" si="7"/>
        <v>12</v>
      </c>
      <c r="U154" s="16" t="str">
        <f t="shared" ca="1" si="8"/>
        <v>Dead</v>
      </c>
      <c r="V154" s="155">
        <f ca="1">IFERROR(__xludf.DUMMYFUNCTION("if(W154=""Middle Age"",QUERY(NPCVar!$K$2:$N1000, ""Select L where K = '""&amp;AB154&amp;""'""),if(W154=""Old"",QUERY(NPCVar!$K$2:$N1000, ""Select M where K = '""&amp;AB154&amp;""'""),if(W154=""Venerable"",QUERY(NPCVar!$K$2:$N1000, ""Select N where K = '""&amp;AB154&amp;""'""),fa"&amp;"lse)))*X154"),4)</f>
        <v>4</v>
      </c>
      <c r="W154" s="156" t="str">
        <f t="array" ref="W154">INDEX(NPCAgeType,TRUNC(1+(4-1)*(TRUNC(MOD((X154*1103515245 +12345)/ 65536, 32768),0)/32768),0))</f>
        <v>Middle Age</v>
      </c>
      <c r="X154" s="117">
        <f t="shared" si="13"/>
        <v>0.2</v>
      </c>
      <c r="Y154" s="157" t="e">
        <f t="array" aca="1" ref="Y154" ca="1">LOOKUP(ABS(MAX(Z154 + MIN(ABS(INDIRECT("Class Jobs!B"&amp;MATCH(E154,'Class Jobs'!$A$1:$A1000,0)&amp;":"&amp;"AF"&amp;MATCH(E154,'Class Jobs'!$A$1:$A1000,0)&amp;"")-$Z154)) * SUM(IF(MIN(ABS(INDIRECT("Class Jobs!B"&amp;MATCH(E154,'Class Jobs'!$A$1:$A1000,0)&amp;":"&amp;"AF"&amp;MATCH(E154,'Class Jobs'!$A$1:$A1000,0)&amp;"")-$Z154))=ABS(INDIRECT("Class Jobs!B"&amp;MATCH(E154,'Class Jobs'!$A$1:$A1000,0)&amp;":"&amp;"AF"&amp;MATCH(E154,'Class Jobs'!$A$1:$A1000,0)&amp;"")-$Z154),SIGN(INDIRECT("Class Jobs!B"&amp;MATCH(E154,'Class Jobs'!$A$1:A1000,0)&amp;":"&amp;"AF"&amp;MATCH(E154,'Class Jobs'!$A$1:$A1000,0)&amp;"")-$Z154),0)),0)),INDIRECT("Class Jobs!B"&amp;MATCH(E154,'Class Jobs'!$A$1:$A1000,0)&amp;":"&amp;"AF"&amp;MATCH(E154,'Class Jobs'!$A$1:$A1000,1)&amp;""),'Class Jobs'!$B$1:$AF$1)</f>
        <v>#REF!</v>
      </c>
      <c r="Z154" s="158">
        <f t="shared" si="10"/>
        <v>0.05</v>
      </c>
      <c r="AA154" s="16" t="str">
        <f t="array" ref="AA154">INDEX(NPCGender,TRUNC(1+(COUNTA(NPCGender))*(TRUNC(MOD(($B154*1103515245 +12345)/ 65536, 32768),0)/32768),0))</f>
        <v>Male</v>
      </c>
      <c r="AB154" s="16" t="str">
        <f t="array" ref="AB154">INDEX(NPCRace,TRUNC(1+(COUNTA(NPCRace))*(TRUNC(MOD(($B154*1103515245 +12345)/ 65536, 32768),0)/32768),0))</f>
        <v>Dragonborn</v>
      </c>
      <c r="AC154" s="16" t="str">
        <f t="array" ref="AC154">INDEX(NPCAL,TRUNC(1+(COUNTA(NPCAL))*(TRUNC(MOD(($B154*1103515245 +12345)/ 65536, 32768),0)/32768),0))</f>
        <v>CN</v>
      </c>
      <c r="AD154" s="72" t="str">
        <f ca="1">IFERROR(__xludf.DUMMYFUNCTION("if(V154&lt;15,QUERY(NPCVar!C:D,""Select D WHERE C = '""&amp;D154&amp;""'""),if((TRUNC(1+10)*(TRUNC(MOD((ROW(H154)*1103515245 +12345)/ 65536, 32768),0)/32768)/10) &gt; 0.85,INDEX(NPCFaction,TRUNC(1+(counta(NPCFaction)-1)*(TRUNC(MOD(($B154*1103515245 +12345)/ 65536, 3276"&amp;"8),0)/32768),0)),QUERY(NPCVar!C:D,""Select D WHERE C = '""&amp;D154&amp;""'"")))"),"Death Guild")</f>
        <v>Death Guild</v>
      </c>
      <c r="AE154" s="108" t="e">
        <f t="shared" ca="1" si="11"/>
        <v>#NAME?</v>
      </c>
      <c r="AF154" s="159">
        <f ca="1">IFERROR(__xludf.DUMMYFUNCTION("AE154*(V154 / QUERY(NPCVar!$K$2:$N$12, ""Select N WHERE K='""&amp;AB154&amp;""'""))*TRUNC(1+10)*(TRUNC(MOD(($B154*1103515245 +12345)/ 65536, 32768),0)/32768)"),0.00815734863281249)</f>
        <v>8.1573486328124899E-3</v>
      </c>
      <c r="AG154" s="16"/>
      <c r="AH154" s="77"/>
      <c r="AI154" s="114"/>
    </row>
    <row r="155" spans="1:35" ht="16.2">
      <c r="A155" s="53">
        <v>154</v>
      </c>
      <c r="B155" s="118">
        <f t="shared" si="15"/>
        <v>1.5903499999999999</v>
      </c>
      <c r="C155" s="72" t="str">
        <f t="array" ref="C155">INDEX(NPCFName,TRUNC(1+(COUNTA(NPCFName))*(TRUNC(MOD(($B155*1103515245 +12345)/ 65536, 32768),0)/32768),0))</f>
        <v>Jethil</v>
      </c>
      <c r="D155" s="16" t="str">
        <f t="array" ref="D155">INDEX(NPCLName,TRUNC(1+(COUNTA(NPCLName))*(TRUNC(MOD(($B155*1103515245 +12345)/ 65536, 32768),0)/32768),0))</f>
        <v>Deepcrest</v>
      </c>
      <c r="E155" s="16" t="str">
        <f t="array" ref="E155">INDEX(NPCClass,TRUNC(1+(COUNTA(NPCClass))*(TRUNC(MOD(($B155*1103515245 +12345)/ 65536, 32768),0)/32768),0))</f>
        <v>Cleric</v>
      </c>
      <c r="F155" s="76">
        <v>8</v>
      </c>
      <c r="G155" s="153">
        <f ca="1">VLOOKUP($AB$2,'RF Mod'!$A$2:$G$12,2,FALSE)+VLOOKUP($AD$2,'RF Mod'!$I$2:$O$11,2,FALSE)+(TRUNC(6+(24-6)*(TRUNC(MOD(($Z155*1103515245 +12345)/ 65536, 32768),0)/32768),0))</f>
        <v>11</v>
      </c>
      <c r="H155" s="16" t="e">
        <f t="shared" ca="1" si="1"/>
        <v>#NAME?</v>
      </c>
      <c r="I155" s="153">
        <f ca="1">VLOOKUP($AB$2,'RF Mod'!$A$2:$G$12,3,FALSE)+VLOOKUP($AD$2,'RF Mod'!$I$2:$O$11,3,FALSE)+(TRUNC(6+(24-6)*(TRUNC(MOD(($Z155*1103515245 +12345)/ 65536, 32768),0)/32768),0))</f>
        <v>15</v>
      </c>
      <c r="J155" s="16" t="e">
        <f t="shared" ca="1" si="2"/>
        <v>#NAME?</v>
      </c>
      <c r="K155" s="153">
        <f ca="1">VLOOKUP($AB$2,'RF Mod'!$A$2:$G$12,3,FALSE)+VLOOKUP($AD$2,'RF Mod'!$I$2:$O$11,3,FALSE)+(TRUNC(6+(24-6)*(TRUNC(MOD(($Z155*1103515245 +12345)/ 65536, 32768),0)/32768),0))</f>
        <v>15</v>
      </c>
      <c r="L155" s="16" t="e">
        <f t="shared" ca="1" si="3"/>
        <v>#NAME?</v>
      </c>
      <c r="M155" s="153">
        <f ca="1">VLOOKUP($AB$2,'RF Mod'!$A$2:$G$12,4,FALSE)+VLOOKUP($AD$2,'RF Mod'!$I$2:$O$11,4,FALSE)+(TRUNC(6+(24-6)*(TRUNC(MOD(($Z155*1103515245 +12345)/ 65536, 32768),0)/32768),0))</f>
        <v>14</v>
      </c>
      <c r="N155" s="16" t="e">
        <f t="shared" ca="1" si="4"/>
        <v>#NAME?</v>
      </c>
      <c r="O155" s="153">
        <f ca="1">VLOOKUP($AB$2,'RF Mod'!$A$2:$G$12,5,FALSE)+VLOOKUP($AD$2,'RF Mod'!$I$2:$O$11,5,FALSE)+(TRUNC(6+(24-6)*(TRUNC(MOD(($Z155*1103515245 +12345)/ 65536, 32768),0)/32768),0))</f>
        <v>17</v>
      </c>
      <c r="P155" s="16" t="e">
        <f t="shared" ca="1" si="5"/>
        <v>#NAME?</v>
      </c>
      <c r="Q155" s="153">
        <f ca="1">VLOOKUP($AB$2,'RF Mod'!$A$2:$G$12,6,FALSE)+VLOOKUP($AD$2,'RF Mod'!$I$2:$O$11,6,FALSE)+(TRUNC(6+(24-6)*(TRUNC(MOD(($Z155*1103515245 +12345)/ 65536, 32768),0)/32768),0))</f>
        <v>15</v>
      </c>
      <c r="R155" s="16" t="e">
        <f t="shared" ca="1" si="6"/>
        <v>#NAME?</v>
      </c>
      <c r="S155" s="154">
        <f t="shared" ca="1" si="12"/>
        <v>232</v>
      </c>
      <c r="T155" s="154">
        <f t="shared" ca="1" si="7"/>
        <v>177</v>
      </c>
      <c r="U155" s="16" t="str">
        <f t="shared" ca="1" si="8"/>
        <v>Bloody</v>
      </c>
      <c r="V155" s="155">
        <f ca="1">IFERROR(__xludf.DUMMYFUNCTION("if(W155=""Middle Age"",QUERY(NPCVar!$K$2:$N1000, ""Select L where K = '""&amp;AB155&amp;""'""),if(W155=""Old"",QUERY(NPCVar!$K$2:$N1000, ""Select M where K = '""&amp;AB155&amp;""'""),if(W155=""Venerable"",QUERY(NPCVar!$K$2:$N1000, ""Select N where K = '""&amp;AB155&amp;""'""),fa"&amp;"lse)))*X155"),50)</f>
        <v>50</v>
      </c>
      <c r="W155" s="156" t="str">
        <f t="array" ref="W155">INDEX(NPCAgeType,TRUNC(1+(4-1)*(TRUNC(MOD((X155*1103515245 +12345)/ 65536, 32768),0)/32768),0))</f>
        <v>Middle Age</v>
      </c>
      <c r="X155" s="117">
        <f t="shared" si="13"/>
        <v>2</v>
      </c>
      <c r="Y155" s="157" t="e">
        <f t="array" aca="1" ref="Y155" ca="1">LOOKUP(ABS(MAX(Z155 + MIN(ABS(INDIRECT("Class Jobs!B"&amp;MATCH(E155,'Class Jobs'!$A$1:$A1000,0)&amp;":"&amp;"AF"&amp;MATCH(E155,'Class Jobs'!$A$1:$A1000,0)&amp;"")-$Z155)) * SUM(IF(MIN(ABS(INDIRECT("Class Jobs!B"&amp;MATCH(E155,'Class Jobs'!$A$1:$A1000,0)&amp;":"&amp;"AF"&amp;MATCH(E155,'Class Jobs'!$A$1:$A1000,0)&amp;"")-$Z155))=ABS(INDIRECT("Class Jobs!B"&amp;MATCH(E155,'Class Jobs'!$A$1:$A1000,0)&amp;":"&amp;"AF"&amp;MATCH(E155,'Class Jobs'!$A$1:$A1000,0)&amp;"")-$Z155),SIGN(INDIRECT("Class Jobs!B"&amp;MATCH(E155,'Class Jobs'!$A$1:A1000,0)&amp;":"&amp;"AF"&amp;MATCH(E155,'Class Jobs'!$A$1:$A1000,0)&amp;"")-$Z155),0)),0)),INDIRECT("Class Jobs!B"&amp;MATCH(E155,'Class Jobs'!$A$1:$A1000,0)&amp;":"&amp;"AF"&amp;MATCH(E155,'Class Jobs'!$A$1:$A1000,1)&amp;""),'Class Jobs'!$B$1:$AF$1)</f>
        <v>#REF!</v>
      </c>
      <c r="Z155" s="158">
        <f t="shared" si="10"/>
        <v>0.81</v>
      </c>
      <c r="AA155" s="16" t="str">
        <f t="array" ref="AA155">INDEX(NPCGender,TRUNC(1+(COUNTA(NPCGender))*(TRUNC(MOD(($B155*1103515245 +12345)/ 65536, 32768),0)/32768),0))</f>
        <v>Neutral</v>
      </c>
      <c r="AB155" s="16" t="str">
        <f t="array" ref="AB155">INDEX(NPCRace,TRUNC(1+(COUNTA(NPCRace))*(TRUNC(MOD(($B155*1103515245 +12345)/ 65536, 32768),0)/32768),0))</f>
        <v>Tiefling</v>
      </c>
      <c r="AC155" s="16" t="str">
        <f t="array" ref="AC155">INDEX(NPCAL,TRUNC(1+(COUNTA(NPCAL))*(TRUNC(MOD(($B155*1103515245 +12345)/ 65536, 32768),0)/32768),0))</f>
        <v>LN</v>
      </c>
      <c r="AD155" s="72" t="str">
        <f ca="1">IFERROR(__xludf.DUMMYFUNCTION("if(V155&lt;15,QUERY(NPCVar!C:D,""Select D WHERE C = '""&amp;D155&amp;""'""),if((TRUNC(1+10)*(TRUNC(MOD((ROW(H155)*1103515245 +12345)/ 65536, 32768),0)/32768)/10) &gt; 0.85,INDEX(NPCFaction,TRUNC(1+(counta(NPCFaction)-1)*(TRUNC(MOD(($B155*1103515245 +12345)/ 65536, 3276"&amp;"8),0)/32768),0)),QUERY(NPCVar!C:D,""Select D WHERE C = '""&amp;D155&amp;""'"")))"),"Adventures Guild")</f>
        <v>Adventures Guild</v>
      </c>
      <c r="AE155" s="108" t="e">
        <f t="shared" ca="1" si="11"/>
        <v>#NAME?</v>
      </c>
      <c r="AF155" s="159">
        <f ca="1">IFERROR(__xludf.DUMMYFUNCTION("AE155*(V155 / QUERY(NPCVar!$K$2:$N$12, ""Select N WHERE K='""&amp;AB155&amp;""'""))*TRUNC(1+10)*(TRUNC(MOD(($B155*1103515245 +12345)/ 65536, 32768),0)/32768)"),1.34837951660156)</f>
        <v>1.34837951660156</v>
      </c>
      <c r="AG155" s="16"/>
      <c r="AH155" s="77"/>
      <c r="AI155" s="114"/>
    </row>
    <row r="156" spans="1:35" ht="16.2">
      <c r="A156" s="53">
        <v>155</v>
      </c>
      <c r="B156" s="118">
        <f t="shared" si="15"/>
        <v>0.58448999999999995</v>
      </c>
      <c r="C156" s="72" t="str">
        <f t="array" ref="C156">INDEX(NPCFName,TRUNC(1+(COUNTA(NPCFName))*(TRUNC(MOD(($B156*1103515245 +12345)/ 65536, 32768),0)/32768),0))</f>
        <v>Valynard</v>
      </c>
      <c r="D156" s="16" t="str">
        <f t="array" ref="D156">INDEX(NPCLName,TRUNC(1+(COUNTA(NPCLName))*(TRUNC(MOD(($B156*1103515245 +12345)/ 65536, 32768),0)/32768),0))</f>
        <v>Stormdew</v>
      </c>
      <c r="E156" s="16" t="str">
        <f t="array" ref="E156">INDEX(NPCClass,TRUNC(1+(COUNTA(NPCClass))*(TRUNC(MOD(($B156*1103515245 +12345)/ 65536, 32768),0)/32768),0))</f>
        <v>Monk</v>
      </c>
      <c r="F156" s="76">
        <v>1</v>
      </c>
      <c r="G156" s="153">
        <f ca="1">VLOOKUP($AB$2,'RF Mod'!$A$2:$G$12,2,FALSE)+VLOOKUP($AD$2,'RF Mod'!$I$2:$O$11,2,FALSE)+(TRUNC(6+(24-6)*(TRUNC(MOD(($Z156*1103515245 +12345)/ 65536, 32768),0)/32768),0))</f>
        <v>6</v>
      </c>
      <c r="H156" s="16">
        <f t="shared" ca="1" si="1"/>
        <v>-2</v>
      </c>
      <c r="I156" s="153">
        <f ca="1">VLOOKUP($AB$2,'RF Mod'!$A$2:$G$12,3,FALSE)+VLOOKUP($AD$2,'RF Mod'!$I$2:$O$11,3,FALSE)+(TRUNC(6+(24-6)*(TRUNC(MOD(($Z156*1103515245 +12345)/ 65536, 32768),0)/32768),0))</f>
        <v>10</v>
      </c>
      <c r="J156" s="16" t="e">
        <f t="shared" ca="1" si="2"/>
        <v>#NAME?</v>
      </c>
      <c r="K156" s="153">
        <f ca="1">VLOOKUP($AB$2,'RF Mod'!$A$2:$G$12,3,FALSE)+VLOOKUP($AD$2,'RF Mod'!$I$2:$O$11,3,FALSE)+(TRUNC(6+(24-6)*(TRUNC(MOD(($Z156*1103515245 +12345)/ 65536, 32768),0)/32768),0))</f>
        <v>10</v>
      </c>
      <c r="L156" s="16" t="e">
        <f t="shared" ca="1" si="3"/>
        <v>#NAME?</v>
      </c>
      <c r="M156" s="153">
        <f ca="1">VLOOKUP($AB$2,'RF Mod'!$A$2:$G$12,4,FALSE)+VLOOKUP($AD$2,'RF Mod'!$I$2:$O$11,4,FALSE)+(TRUNC(6+(24-6)*(TRUNC(MOD(($Z156*1103515245 +12345)/ 65536, 32768),0)/32768),0))</f>
        <v>9</v>
      </c>
      <c r="N156" s="16">
        <f t="shared" ca="1" si="4"/>
        <v>-1</v>
      </c>
      <c r="O156" s="153">
        <f ca="1">VLOOKUP($AB$2,'RF Mod'!$A$2:$G$12,5,FALSE)+VLOOKUP($AD$2,'RF Mod'!$I$2:$O$11,5,FALSE)+(TRUNC(6+(24-6)*(TRUNC(MOD(($Z156*1103515245 +12345)/ 65536, 32768),0)/32768),0))</f>
        <v>12</v>
      </c>
      <c r="P156" s="16" t="e">
        <f t="shared" ca="1" si="5"/>
        <v>#NAME?</v>
      </c>
      <c r="Q156" s="153">
        <f ca="1">VLOOKUP($AB$2,'RF Mod'!$A$2:$G$12,6,FALSE)+VLOOKUP($AD$2,'RF Mod'!$I$2:$O$11,6,FALSE)+(TRUNC(6+(24-6)*(TRUNC(MOD(($Z156*1103515245 +12345)/ 65536, 32768),0)/32768),0))</f>
        <v>10</v>
      </c>
      <c r="R156" s="16" t="e">
        <f t="shared" ca="1" si="6"/>
        <v>#NAME?</v>
      </c>
      <c r="S156" s="154">
        <f t="shared" ca="1" si="12"/>
        <v>14</v>
      </c>
      <c r="T156" s="154">
        <f t="shared" ca="1" si="7"/>
        <v>16</v>
      </c>
      <c r="U156" s="16" t="str">
        <f t="shared" ca="1" si="8"/>
        <v>Dead</v>
      </c>
      <c r="V156" s="155">
        <f ca="1">IFERROR(__xludf.DUMMYFUNCTION("if(W156=""Middle Age"",QUERY(NPCVar!$K$2:$N1000, ""Select L where K = '""&amp;AB156&amp;""'""),if(W156=""Old"",QUERY(NPCVar!$K$2:$N1000, ""Select M where K = '""&amp;AB156&amp;""'""),if(W156=""Venerable"",QUERY(NPCVar!$K$2:$N1000, ""Select N where K = '""&amp;AB156&amp;""'""),fa"&amp;"lse)))*X156"),135)</f>
        <v>135</v>
      </c>
      <c r="W156" s="156" t="str">
        <f t="array" ref="W156">INDEX(NPCAgeType,TRUNC(1+(4-1)*(TRUNC(MOD((X156*1103515245 +12345)/ 65536, 32768),0)/32768),0))</f>
        <v>Old</v>
      </c>
      <c r="X156" s="117">
        <f t="shared" si="13"/>
        <v>0.8</v>
      </c>
      <c r="Y156" s="157" t="e">
        <f t="array" aca="1" ref="Y156" ca="1">LOOKUP(ABS(MAX(Z156 + MIN(ABS(INDIRECT("Class Jobs!B"&amp;MATCH(E156,'Class Jobs'!$A$1:$A1000,0)&amp;":"&amp;"AF"&amp;MATCH(E156,'Class Jobs'!$A$1:$A1000,0)&amp;"")-$Z156)) * SUM(IF(MIN(ABS(INDIRECT("Class Jobs!B"&amp;MATCH(E156,'Class Jobs'!$A$1:$A1000,0)&amp;":"&amp;"AF"&amp;MATCH(E156,'Class Jobs'!$A$1:$A1000,0)&amp;"")-$Z156))=ABS(INDIRECT("Class Jobs!B"&amp;MATCH(E156,'Class Jobs'!$A$1:$A1000,0)&amp;":"&amp;"AF"&amp;MATCH(E156,'Class Jobs'!$A$1:$A1000,0)&amp;"")-$Z156),SIGN(INDIRECT("Class Jobs!B"&amp;MATCH(E156,'Class Jobs'!$A$1:A1000,0)&amp;":"&amp;"AF"&amp;MATCH(E156,'Class Jobs'!$A$1:$A1000,0)&amp;"")-$Z156),0)),0)),INDIRECT("Class Jobs!B"&amp;MATCH(E156,'Class Jobs'!$A$1:$A1000,0)&amp;":"&amp;"AF"&amp;MATCH(E156,'Class Jobs'!$A$1:$A1000,1)&amp;""),'Class Jobs'!$B$1:$AF$1)</f>
        <v>#REF!</v>
      </c>
      <c r="Z156" s="158">
        <f t="shared" si="10"/>
        <v>0.3</v>
      </c>
      <c r="AA156" s="16" t="str">
        <f t="array" ref="AA156">INDEX(NPCGender,TRUNC(1+(COUNTA(NPCGender))*(TRUNC(MOD(($B156*1103515245 +12345)/ 65536, 32768),0)/32768),0))</f>
        <v>Male</v>
      </c>
      <c r="AB156" s="16" t="str">
        <f t="array" ref="AB156">INDEX(NPCRace,TRUNC(1+(COUNTA(NPCRace))*(TRUNC(MOD(($B156*1103515245 +12345)/ 65536, 32768),0)/32768),0))</f>
        <v>Gnome</v>
      </c>
      <c r="AC156" s="16" t="str">
        <f t="array" ref="AC156">INDEX(NPCAL,TRUNC(1+(COUNTA(NPCAL))*(TRUNC(MOD(($B156*1103515245 +12345)/ 65536, 32768),0)/32768),0))</f>
        <v>CG</v>
      </c>
      <c r="AD156" s="72" t="str">
        <f ca="1">IFERROR(__xludf.DUMMYFUNCTION("if(V156&lt;15,QUERY(NPCVar!C:D,""Select D WHERE C = '""&amp;D156&amp;""'""),if((TRUNC(1+10)*(TRUNC(MOD((ROW(H156)*1103515245 +12345)/ 65536, 32768),0)/32768)/10) &gt; 0.85,INDEX(NPCFaction,TRUNC(1+(counta(NPCFaction)-1)*(TRUNC(MOD(($B156*1103515245 +12345)/ 65536, 3276"&amp;"8),0)/32768),0)),QUERY(NPCVar!C:D,""Select D WHERE C = '""&amp;D156&amp;""'"")))"),"Magic Guild")</f>
        <v>Magic Guild</v>
      </c>
      <c r="AE156" s="108" t="e">
        <f t="shared" ca="1" si="11"/>
        <v>#NAME?</v>
      </c>
      <c r="AF156" s="159">
        <f ca="1">IFERROR(__xludf.DUMMYFUNCTION("AE156*(V156 / QUERY(NPCVar!$K$2:$N$12, ""Select N WHERE K='""&amp;AB156&amp;""'""))*TRUNC(1+10)*(TRUNC(MOD(($B156*1103515245 +12345)/ 65536, 32768),0)/32768)"),0.396467285156249)</f>
        <v>0.39646728515624902</v>
      </c>
      <c r="AG156" s="16"/>
      <c r="AH156" s="77"/>
      <c r="AI156" s="114"/>
    </row>
    <row r="157" spans="1:35" ht="16.2">
      <c r="A157" s="53">
        <v>156</v>
      </c>
      <c r="B157" s="118">
        <f t="shared" si="15"/>
        <v>2.07863</v>
      </c>
      <c r="C157" s="72" t="str">
        <f t="array" ref="C157">INDEX(NPCFName,TRUNC(1+(COUNTA(NPCFName))*(TRUNC(MOD(($B157*1103515245 +12345)/ 65536, 32768),0)/32768),0))</f>
        <v>Darkkon</v>
      </c>
      <c r="D157" s="16" t="str">
        <f t="array" ref="D157">INDEX(NPCLName,TRUNC(1+(COUNTA(NPCLName))*(TRUNC(MOD(($B157*1103515245 +12345)/ 65536, 32768),0)/32768),0))</f>
        <v>Autumnorb</v>
      </c>
      <c r="E157" s="16" t="str">
        <f t="array" ref="E157">INDEX(NPCClass,TRUNC(1+(COUNTA(NPCClass))*(TRUNC(MOD(($B157*1103515245 +12345)/ 65536, 32768),0)/32768),0))</f>
        <v>Barbarian</v>
      </c>
      <c r="F157" s="76">
        <v>1</v>
      </c>
      <c r="G157" s="153">
        <f ca="1">VLOOKUP($AB$2,'RF Mod'!$A$2:$G$12,2,FALSE)+VLOOKUP($AD$2,'RF Mod'!$I$2:$O$11,2,FALSE)+(TRUNC(6+(24-6)*(TRUNC(MOD(($Z157*1103515245 +12345)/ 65536, 32768),0)/32768),0))</f>
        <v>4</v>
      </c>
      <c r="H157" s="16">
        <f t="shared" ca="1" si="1"/>
        <v>-3</v>
      </c>
      <c r="I157" s="153">
        <f ca="1">VLOOKUP($AB$2,'RF Mod'!$A$2:$G$12,3,FALSE)+VLOOKUP($AD$2,'RF Mod'!$I$2:$O$11,3,FALSE)+(TRUNC(6+(24-6)*(TRUNC(MOD(($Z157*1103515245 +12345)/ 65536, 32768),0)/32768),0))</f>
        <v>8</v>
      </c>
      <c r="J157" s="16">
        <f t="shared" ca="1" si="2"/>
        <v>-1</v>
      </c>
      <c r="K157" s="153">
        <f ca="1">VLOOKUP($AB$2,'RF Mod'!$A$2:$G$12,3,FALSE)+VLOOKUP($AD$2,'RF Mod'!$I$2:$O$11,3,FALSE)+(TRUNC(6+(24-6)*(TRUNC(MOD(($Z157*1103515245 +12345)/ 65536, 32768),0)/32768),0))</f>
        <v>8</v>
      </c>
      <c r="L157" s="16">
        <f t="shared" ca="1" si="3"/>
        <v>-1</v>
      </c>
      <c r="M157" s="153">
        <f ca="1">VLOOKUP($AB$2,'RF Mod'!$A$2:$G$12,4,FALSE)+VLOOKUP($AD$2,'RF Mod'!$I$2:$O$11,4,FALSE)+(TRUNC(6+(24-6)*(TRUNC(MOD(($Z157*1103515245 +12345)/ 65536, 32768),0)/32768),0))</f>
        <v>7</v>
      </c>
      <c r="N157" s="16">
        <f t="shared" ca="1" si="4"/>
        <v>-2</v>
      </c>
      <c r="O157" s="153">
        <f ca="1">VLOOKUP($AB$2,'RF Mod'!$A$2:$G$12,5,FALSE)+VLOOKUP($AD$2,'RF Mod'!$I$2:$O$11,5,FALSE)+(TRUNC(6+(24-6)*(TRUNC(MOD(($Z157*1103515245 +12345)/ 65536, 32768),0)/32768),0))</f>
        <v>10</v>
      </c>
      <c r="P157" s="16" t="e">
        <f t="shared" ca="1" si="5"/>
        <v>#NAME?</v>
      </c>
      <c r="Q157" s="153">
        <f ca="1">VLOOKUP($AB$2,'RF Mod'!$A$2:$G$12,6,FALSE)+VLOOKUP($AD$2,'RF Mod'!$I$2:$O$11,6,FALSE)+(TRUNC(6+(24-6)*(TRUNC(MOD(($Z157*1103515245 +12345)/ 65536, 32768),0)/32768),0))</f>
        <v>8</v>
      </c>
      <c r="R157" s="16">
        <f t="shared" ca="1" si="6"/>
        <v>-1</v>
      </c>
      <c r="S157" s="154">
        <f t="shared" ca="1" si="12"/>
        <v>26</v>
      </c>
      <c r="T157" s="154">
        <f t="shared" ca="1" si="7"/>
        <v>7</v>
      </c>
      <c r="U157" s="16" t="str">
        <f t="shared" ca="1" si="8"/>
        <v>Fine</v>
      </c>
      <c r="V157" s="155">
        <f ca="1">IFERROR(__xludf.DUMMYFUNCTION("if(W157=""Middle Age"",QUERY(NPCVar!$K$2:$N1000, ""Select L where K = '""&amp;AB157&amp;""'""),if(W157=""Old"",QUERY(NPCVar!$K$2:$N1000, ""Select M where K = '""&amp;AB157&amp;""'""),if(W157=""Venerable"",QUERY(NPCVar!$K$2:$N1000, ""Select N where K = '""&amp;AB157&amp;""'""),fa"&amp;"lse)))*X157"),4)</f>
        <v>4</v>
      </c>
      <c r="W157" s="156" t="str">
        <f t="array" ref="W157">INDEX(NPCAgeType,TRUNC(1+(4-1)*(TRUNC(MOD((X157*1103515245 +12345)/ 65536, 32768),0)/32768),0))</f>
        <v>Middle Age</v>
      </c>
      <c r="X157" s="117">
        <f t="shared" si="13"/>
        <v>0.2</v>
      </c>
      <c r="Y157" s="157" t="e">
        <f t="array" aca="1" ref="Y157" ca="1">LOOKUP(ABS(MAX(Z157 + MIN(ABS(INDIRECT("Class Jobs!B"&amp;MATCH(E157,'Class Jobs'!$A$1:$A1000,0)&amp;":"&amp;"AF"&amp;MATCH(E157,'Class Jobs'!$A$1:$A1000,0)&amp;"")-$Z157)) * SUM(IF(MIN(ABS(INDIRECT("Class Jobs!B"&amp;MATCH(E157,'Class Jobs'!$A$1:$A1000,0)&amp;":"&amp;"AF"&amp;MATCH(E157,'Class Jobs'!$A$1:$A1000,0)&amp;"")-$Z157))=ABS(INDIRECT("Class Jobs!B"&amp;MATCH(E157,'Class Jobs'!$A$1:$A1000,0)&amp;":"&amp;"AF"&amp;MATCH(E157,'Class Jobs'!$A$1:$A1000,0)&amp;"")-$Z157),SIGN(INDIRECT("Class Jobs!B"&amp;MATCH(E157,'Class Jobs'!$A$1:A1000,0)&amp;":"&amp;"AF"&amp;MATCH(E157,'Class Jobs'!$A$1:$A1000,0)&amp;"")-$Z157),0)),0)),INDIRECT("Class Jobs!B"&amp;MATCH(E157,'Class Jobs'!$A$1:$A1000,0)&amp;":"&amp;"AF"&amp;MATCH(E157,'Class Jobs'!$A$1:$A1000,1)&amp;""),'Class Jobs'!$B$1:$AF$1)</f>
        <v>#REF!</v>
      </c>
      <c r="Z157" s="158">
        <f t="shared" si="10"/>
        <v>7.0000000000000007E-2</v>
      </c>
      <c r="AA157" s="16" t="str">
        <f t="array" ref="AA157">INDEX(NPCGender,TRUNC(1+(COUNTA(NPCGender))*(TRUNC(MOD(($B157*1103515245 +12345)/ 65536, 32768),0)/32768),0))</f>
        <v>Male</v>
      </c>
      <c r="AB157" s="16" t="str">
        <f t="array" ref="AB157">INDEX(NPCRace,TRUNC(1+(COUNTA(NPCRace))*(TRUNC(MOD(($B157*1103515245 +12345)/ 65536, 32768),0)/32768),0))</f>
        <v>Dragonborn</v>
      </c>
      <c r="AC157" s="16" t="str">
        <f t="array" ref="AC157">INDEX(NPCAL,TRUNC(1+(COUNTA(NPCAL))*(TRUNC(MOD(($B157*1103515245 +12345)/ 65536, 32768),0)/32768),0))</f>
        <v>CN</v>
      </c>
      <c r="AD157" s="72" t="str">
        <f ca="1">IFERROR(__xludf.DUMMYFUNCTION("if(V157&lt;15,QUERY(NPCVar!C:D,""Select D WHERE C = '""&amp;D157&amp;""'""),if((TRUNC(1+10)*(TRUNC(MOD((ROW(H157)*1103515245 +12345)/ 65536, 32768),0)/32768)/10) &gt; 0.85,INDEX(NPCFaction,TRUNC(1+(counta(NPCFaction)-1)*(TRUNC(MOD(($B157*1103515245 +12345)/ 65536, 3276"&amp;"8),0)/32768),0)),QUERY(NPCVar!C:D,""Select D WHERE C = '""&amp;D157&amp;""'"")))"),"Royalty")</f>
        <v>Royalty</v>
      </c>
      <c r="AE157" s="108" t="e">
        <f t="shared" ca="1" si="11"/>
        <v>#NAME?</v>
      </c>
      <c r="AF157" s="159">
        <f ca="1">IFERROR(__xludf.DUMMYFUNCTION("AE157*(V157 / QUERY(NPCVar!$K$2:$N$12, ""Select N WHERE K='""&amp;AB157&amp;""'""))*TRUNC(1+10)*(TRUNC(MOD(($B157*1103515245 +12345)/ 65536, 32768),0)/32768)"),-0.00374633789062499)</f>
        <v>-3.7463378906249902E-3</v>
      </c>
      <c r="AG157" s="16"/>
      <c r="AH157" s="77"/>
      <c r="AI157" s="114"/>
    </row>
    <row r="158" spans="1:35" ht="16.2">
      <c r="A158" s="53">
        <v>157</v>
      </c>
      <c r="B158" s="118">
        <f t="shared" si="15"/>
        <v>1.07277</v>
      </c>
      <c r="C158" s="72" t="str">
        <f t="array" ref="C158">INDEX(NPCFName,TRUNC(1+(COUNTA(NPCFName))*(TRUNC(MOD(($B158*1103515245 +12345)/ 65536, 32768),0)/32768),0))</f>
        <v>Orin</v>
      </c>
      <c r="D158" s="16" t="str">
        <f t="array" ref="D158">INDEX(NPCLName,TRUNC(1+(COUNTA(NPCLName))*(TRUNC(MOD(($B158*1103515245 +12345)/ 65536, 32768),0)/32768),0))</f>
        <v>Plainspirit</v>
      </c>
      <c r="E158" s="16" t="str">
        <f t="array" ref="E158">INDEX(NPCClass,TRUNC(1+(COUNTA(NPCClass))*(TRUNC(MOD(($B158*1103515245 +12345)/ 65536, 32768),0)/32768),0))</f>
        <v>Sorcerer</v>
      </c>
      <c r="F158" s="76">
        <v>7</v>
      </c>
      <c r="G158" s="153">
        <f ca="1">VLOOKUP($AB$2,'RF Mod'!$A$2:$G$12,2,FALSE)+VLOOKUP($AD$2,'RF Mod'!$I$2:$O$11,2,FALSE)+(TRUNC(6+(24-6)*(TRUNC(MOD(($Z158*1103515245 +12345)/ 65536, 32768),0)/32768),0))</f>
        <v>9</v>
      </c>
      <c r="H158" s="16">
        <f t="shared" ca="1" si="1"/>
        <v>-1</v>
      </c>
      <c r="I158" s="153">
        <f ca="1">VLOOKUP($AB$2,'RF Mod'!$A$2:$G$12,3,FALSE)+VLOOKUP($AD$2,'RF Mod'!$I$2:$O$11,3,FALSE)+(TRUNC(6+(24-6)*(TRUNC(MOD(($Z158*1103515245 +12345)/ 65536, 32768),0)/32768),0))</f>
        <v>13</v>
      </c>
      <c r="J158" s="16" t="e">
        <f t="shared" ca="1" si="2"/>
        <v>#NAME?</v>
      </c>
      <c r="K158" s="153">
        <f ca="1">VLOOKUP($AB$2,'RF Mod'!$A$2:$G$12,3,FALSE)+VLOOKUP($AD$2,'RF Mod'!$I$2:$O$11,3,FALSE)+(TRUNC(6+(24-6)*(TRUNC(MOD(($Z158*1103515245 +12345)/ 65536, 32768),0)/32768),0))</f>
        <v>13</v>
      </c>
      <c r="L158" s="16" t="e">
        <f t="shared" ca="1" si="3"/>
        <v>#NAME?</v>
      </c>
      <c r="M158" s="153">
        <f ca="1">VLOOKUP($AB$2,'RF Mod'!$A$2:$G$12,4,FALSE)+VLOOKUP($AD$2,'RF Mod'!$I$2:$O$11,4,FALSE)+(TRUNC(6+(24-6)*(TRUNC(MOD(($Z158*1103515245 +12345)/ 65536, 32768),0)/32768),0))</f>
        <v>12</v>
      </c>
      <c r="N158" s="16" t="e">
        <f t="shared" ca="1" si="4"/>
        <v>#NAME?</v>
      </c>
      <c r="O158" s="153">
        <f ca="1">VLOOKUP($AB$2,'RF Mod'!$A$2:$G$12,5,FALSE)+VLOOKUP($AD$2,'RF Mod'!$I$2:$O$11,5,FALSE)+(TRUNC(6+(24-6)*(TRUNC(MOD(($Z158*1103515245 +12345)/ 65536, 32768),0)/32768),0))</f>
        <v>15</v>
      </c>
      <c r="P158" s="16" t="e">
        <f t="shared" ca="1" si="5"/>
        <v>#NAME?</v>
      </c>
      <c r="Q158" s="153">
        <f ca="1">VLOOKUP($AB$2,'RF Mod'!$A$2:$G$12,6,FALSE)+VLOOKUP($AD$2,'RF Mod'!$I$2:$O$11,6,FALSE)+(TRUNC(6+(24-6)*(TRUNC(MOD(($Z158*1103515245 +12345)/ 65536, 32768),0)/32768),0))</f>
        <v>13</v>
      </c>
      <c r="R158" s="16" t="e">
        <f t="shared" ca="1" si="6"/>
        <v>#NAME?</v>
      </c>
      <c r="S158" s="154">
        <f t="shared" ca="1" si="12"/>
        <v>161</v>
      </c>
      <c r="T158" s="154">
        <f t="shared" ca="1" si="7"/>
        <v>101</v>
      </c>
      <c r="U158" s="16" t="str">
        <f t="shared" ca="1" si="8"/>
        <v>Bloody</v>
      </c>
      <c r="V158" s="155">
        <f ca="1">IFERROR(__xludf.DUMMYFUNCTION("if(W158=""Middle Age"",QUERY(NPCVar!$K$2:$N1000, ""Select L where K = '""&amp;AB158&amp;""'""),if(W158=""Old"",QUERY(NPCVar!$K$2:$N1000, ""Select M where K = '""&amp;AB158&amp;""'""),if(W158=""Venerable"",QUERY(NPCVar!$K$2:$N1000, ""Select N where K = '""&amp;AB158&amp;""'""),fa"&amp;"lse)))*X158"),280)</f>
        <v>280</v>
      </c>
      <c r="W158" s="156" t="str">
        <f t="array" ref="W158">INDEX(NPCAgeType,TRUNC(1+(4-1)*(TRUNC(MOD((X158*1103515245 +12345)/ 65536, 32768),0)/32768),0))</f>
        <v>Venerable</v>
      </c>
      <c r="X158" s="117">
        <f t="shared" si="13"/>
        <v>1.4</v>
      </c>
      <c r="Y158" s="157" t="e">
        <f t="array" aca="1" ref="Y158" ca="1">LOOKUP(ABS(MAX(Z158 + MIN(ABS(INDIRECT("Class Jobs!B"&amp;MATCH(E158,'Class Jobs'!$A$1:$A1000,0)&amp;":"&amp;"AF"&amp;MATCH(E158,'Class Jobs'!$A$1:$A1000,0)&amp;"")-$Z158)) * SUM(IF(MIN(ABS(INDIRECT("Class Jobs!B"&amp;MATCH(E158,'Class Jobs'!$A$1:$A1000,0)&amp;":"&amp;"AF"&amp;MATCH(E158,'Class Jobs'!$A$1:$A1000,0)&amp;"")-$Z158))=ABS(INDIRECT("Class Jobs!B"&amp;MATCH(E158,'Class Jobs'!$A$1:$A1000,0)&amp;":"&amp;"AF"&amp;MATCH(E158,'Class Jobs'!$A$1:$A1000,0)&amp;"")-$Z158),SIGN(INDIRECT("Class Jobs!B"&amp;MATCH(E158,'Class Jobs'!$A$1:A1000,0)&amp;":"&amp;"AF"&amp;MATCH(E158,'Class Jobs'!$A$1:$A1000,0)&amp;"")-$Z158),0)),0)),INDIRECT("Class Jobs!B"&amp;MATCH(E158,'Class Jobs'!$A$1:$A1000,0)&amp;":"&amp;"AF"&amp;MATCH(E158,'Class Jobs'!$A$1:$A1000,1)&amp;""),'Class Jobs'!$B$1:$AF$1)</f>
        <v>#REF!</v>
      </c>
      <c r="Z158" s="158">
        <f t="shared" si="10"/>
        <v>0.55000000000000004</v>
      </c>
      <c r="AA158" s="16" t="str">
        <f t="array" ref="AA158">INDEX(NPCGender,TRUNC(1+(COUNTA(NPCGender))*(TRUNC(MOD(($B158*1103515245 +12345)/ 65536, 32768),0)/32768),0))</f>
        <v>Female</v>
      </c>
      <c r="AB158" s="16" t="str">
        <f t="array" ref="AB158">INDEX(NPCRace,TRUNC(1+(COUNTA(NPCRace))*(TRUNC(MOD(($B158*1103515245 +12345)/ 65536, 32768),0)/32768),0))</f>
        <v>Halfling</v>
      </c>
      <c r="AC158" s="16" t="str">
        <f t="array" ref="AC158">INDEX(NPCAL,TRUNC(1+(COUNTA(NPCAL))*(TRUNC(MOD(($B158*1103515245 +12345)/ 65536, 32768),0)/32768),0))</f>
        <v>NN</v>
      </c>
      <c r="AD158" s="72" t="str">
        <f ca="1">IFERROR(__xludf.DUMMYFUNCTION("if(V158&lt;15,QUERY(NPCVar!C:D,""Select D WHERE C = '""&amp;D158&amp;""'""),if((TRUNC(1+10)*(TRUNC(MOD((ROW(H158)*1103515245 +12345)/ 65536, 32768),0)/32768)/10) &gt; 0.85,INDEX(NPCFaction,TRUNC(1+(counta(NPCFaction)-1)*(TRUNC(MOD(($B158*1103515245 +12345)/ 65536, 3276"&amp;"8),0)/32768),0)),QUERY(NPCVar!C:D,""Select D WHERE C = '""&amp;D158&amp;""'"")))"),"Traders Guild")</f>
        <v>Traders Guild</v>
      </c>
      <c r="AE158" s="108" t="e">
        <f t="shared" ca="1" si="11"/>
        <v>#NAME?</v>
      </c>
      <c r="AF158" s="159">
        <f ca="1">IFERROR(__xludf.DUMMYFUNCTION("AE158*(V158 / QUERY(NPCVar!$K$2:$N$12, ""Select N WHERE K='""&amp;AB158&amp;""'""))*TRUNC(1+10)*(TRUNC(MOD(($B158*1103515245 +12345)/ 65536, 32768),0)/32768)"),6.79126464843749)</f>
        <v>6.7912646484374903</v>
      </c>
      <c r="AG158" s="16"/>
      <c r="AH158" s="77"/>
      <c r="AI158" s="114"/>
    </row>
    <row r="159" spans="1:35" ht="16.2">
      <c r="A159" s="53">
        <v>158</v>
      </c>
      <c r="B159" s="118">
        <f t="shared" si="15"/>
        <v>6.6909999999999997E-2</v>
      </c>
      <c r="C159" s="72" t="str">
        <f t="array" ref="C159">INDEX(NPCFName,TRUNC(1+(COUNTA(NPCFName))*(TRUNC(MOD(($B159*1103515245 +12345)/ 65536, 32768),0)/32768),0))</f>
        <v>Biston</v>
      </c>
      <c r="D159" s="16" t="str">
        <f t="array" ref="D159">INDEX(NPCLName,TRUNC(1+(COUNTA(NPCLName))*(TRUNC(MOD(($B159*1103515245 +12345)/ 65536, 32768),0)/32768),0))</f>
        <v>Crystalgazer</v>
      </c>
      <c r="E159" s="16" t="str">
        <f t="array" ref="E159">INDEX(NPCClass,TRUNC(1+(COUNTA(NPCClass))*(TRUNC(MOD(($B159*1103515245 +12345)/ 65536, 32768),0)/32768),0))</f>
        <v>Barbarian</v>
      </c>
      <c r="F159" s="76">
        <v>1</v>
      </c>
      <c r="G159" s="153">
        <f ca="1">VLOOKUP($AB$2,'RF Mod'!$A$2:$G$12,2,FALSE)+VLOOKUP($AD$2,'RF Mod'!$I$2:$O$11,2,FALSE)+(TRUNC(6+(24-6)*(TRUNC(MOD(($Z159*1103515245 +12345)/ 65536, 32768),0)/32768),0))</f>
        <v>4</v>
      </c>
      <c r="H159" s="16">
        <f t="shared" ca="1" si="1"/>
        <v>-3</v>
      </c>
      <c r="I159" s="153">
        <f ca="1">VLOOKUP($AB$2,'RF Mod'!$A$2:$G$12,3,FALSE)+VLOOKUP($AD$2,'RF Mod'!$I$2:$O$11,3,FALSE)+(TRUNC(6+(24-6)*(TRUNC(MOD(($Z159*1103515245 +12345)/ 65536, 32768),0)/32768),0))</f>
        <v>8</v>
      </c>
      <c r="J159" s="16">
        <f t="shared" ca="1" si="2"/>
        <v>-1</v>
      </c>
      <c r="K159" s="153">
        <f ca="1">VLOOKUP($AB$2,'RF Mod'!$A$2:$G$12,3,FALSE)+VLOOKUP($AD$2,'RF Mod'!$I$2:$O$11,3,FALSE)+(TRUNC(6+(24-6)*(TRUNC(MOD(($Z159*1103515245 +12345)/ 65536, 32768),0)/32768),0))</f>
        <v>8</v>
      </c>
      <c r="L159" s="16">
        <f t="shared" ca="1" si="3"/>
        <v>-1</v>
      </c>
      <c r="M159" s="153">
        <f ca="1">VLOOKUP($AB$2,'RF Mod'!$A$2:$G$12,4,FALSE)+VLOOKUP($AD$2,'RF Mod'!$I$2:$O$11,4,FALSE)+(TRUNC(6+(24-6)*(TRUNC(MOD(($Z159*1103515245 +12345)/ 65536, 32768),0)/32768),0))</f>
        <v>7</v>
      </c>
      <c r="N159" s="16">
        <f t="shared" ca="1" si="4"/>
        <v>-2</v>
      </c>
      <c r="O159" s="153">
        <f ca="1">VLOOKUP($AB$2,'RF Mod'!$A$2:$G$12,5,FALSE)+VLOOKUP($AD$2,'RF Mod'!$I$2:$O$11,5,FALSE)+(TRUNC(6+(24-6)*(TRUNC(MOD(($Z159*1103515245 +12345)/ 65536, 32768),0)/32768),0))</f>
        <v>10</v>
      </c>
      <c r="P159" s="16" t="e">
        <f t="shared" ca="1" si="5"/>
        <v>#NAME?</v>
      </c>
      <c r="Q159" s="153">
        <f ca="1">VLOOKUP($AB$2,'RF Mod'!$A$2:$G$12,6,FALSE)+VLOOKUP($AD$2,'RF Mod'!$I$2:$O$11,6,FALSE)+(TRUNC(6+(24-6)*(TRUNC(MOD(($Z159*1103515245 +12345)/ 65536, 32768),0)/32768),0))</f>
        <v>8</v>
      </c>
      <c r="R159" s="16">
        <f t="shared" ca="1" si="6"/>
        <v>-1</v>
      </c>
      <c r="S159" s="154">
        <f t="shared" ca="1" si="12"/>
        <v>26</v>
      </c>
      <c r="T159" s="154">
        <f t="shared" ca="1" si="7"/>
        <v>20</v>
      </c>
      <c r="U159" s="16" t="str">
        <f t="shared" ca="1" si="8"/>
        <v>Bloody</v>
      </c>
      <c r="V159" s="155">
        <f ca="1">IFERROR(__xludf.DUMMYFUNCTION("if(W159=""Middle Age"",QUERY(NPCVar!$K$2:$N1000, ""Select L where K = '""&amp;AB159&amp;""'""),if(W159=""Old"",QUERY(NPCVar!$K$2:$N1000, ""Select M where K = '""&amp;AB159&amp;""'""),if(W159=""Venerable"",QUERY(NPCVar!$K$2:$N1000, ""Select N where K = '""&amp;AB159&amp;""'""),fa"&amp;"lse)))*X159"),2)</f>
        <v>2</v>
      </c>
      <c r="W159" s="156" t="str">
        <f t="array" ref="W159">INDEX(NPCAgeType,TRUNC(1+(4-1)*(TRUNC(MOD((X159*1103515245 +12345)/ 65536, 32768),0)/32768),0))</f>
        <v>Middle Age</v>
      </c>
      <c r="X159" s="117">
        <f t="shared" si="13"/>
        <v>0.1</v>
      </c>
      <c r="Y159" s="157" t="e">
        <f t="array" aca="1" ref="Y159" ca="1">LOOKUP(ABS(MAX(Z159 + MIN(ABS(INDIRECT("Class Jobs!B"&amp;MATCH(E159,'Class Jobs'!$A$1:$A1000,0)&amp;":"&amp;"AF"&amp;MATCH(E159,'Class Jobs'!$A$1:$A1000,0)&amp;"")-$Z159)) * SUM(IF(MIN(ABS(INDIRECT("Class Jobs!B"&amp;MATCH(E159,'Class Jobs'!$A$1:$A1000,0)&amp;":"&amp;"AF"&amp;MATCH(E159,'Class Jobs'!$A$1:$A1000,0)&amp;"")-$Z159))=ABS(INDIRECT("Class Jobs!B"&amp;MATCH(E159,'Class Jobs'!$A$1:$A1000,0)&amp;":"&amp;"AF"&amp;MATCH(E159,'Class Jobs'!$A$1:$A1000,0)&amp;"")-$Z159),SIGN(INDIRECT("Class Jobs!B"&amp;MATCH(E159,'Class Jobs'!$A$1:A1000,0)&amp;":"&amp;"AF"&amp;MATCH(E159,'Class Jobs'!$A$1:$A1000,0)&amp;"")-$Z159),0)),0)),INDIRECT("Class Jobs!B"&amp;MATCH(E159,'Class Jobs'!$A$1:$A1000,0)&amp;":"&amp;"AF"&amp;MATCH(E159,'Class Jobs'!$A$1:$A1000,1)&amp;""),'Class Jobs'!$B$1:$AF$1)</f>
        <v>#REF!</v>
      </c>
      <c r="Z159" s="158">
        <f t="shared" si="10"/>
        <v>0.04</v>
      </c>
      <c r="AA159" s="16" t="str">
        <f t="array" ref="AA159">INDEX(NPCGender,TRUNC(1+(COUNTA(NPCGender))*(TRUNC(MOD(($B159*1103515245 +12345)/ 65536, 32768),0)/32768),0))</f>
        <v>Male</v>
      </c>
      <c r="AB159" s="16" t="str">
        <f t="array" ref="AB159">INDEX(NPCRace,TRUNC(1+(COUNTA(NPCRace))*(TRUNC(MOD(($B159*1103515245 +12345)/ 65536, 32768),0)/32768),0))</f>
        <v>Dragonborn</v>
      </c>
      <c r="AC159" s="16" t="str">
        <f t="array" ref="AC159">INDEX(NPCAL,TRUNC(1+(COUNTA(NPCAL))*(TRUNC(MOD(($B159*1103515245 +12345)/ 65536, 32768),0)/32768),0))</f>
        <v>CN</v>
      </c>
      <c r="AD159" s="72" t="str">
        <f ca="1">IFERROR(__xludf.DUMMYFUNCTION("if(V159&lt;15,QUERY(NPCVar!C:D,""Select D WHERE C = '""&amp;D159&amp;""'""),if((TRUNC(1+10)*(TRUNC(MOD((ROW(H159)*1103515245 +12345)/ 65536, 32768),0)/32768)/10) &gt; 0.85,INDEX(NPCFaction,TRUNC(1+(counta(NPCFaction)-1)*(TRUNC(MOD(($B159*1103515245 +12345)/ 65536, 3276"&amp;"8),0)/32768),0)),QUERY(NPCVar!C:D,""Select D WHERE C = '""&amp;D159&amp;""'"")))"),"Death Guild")</f>
        <v>Death Guild</v>
      </c>
      <c r="AE159" s="108" t="e">
        <f t="shared" ca="1" si="11"/>
        <v>#NAME?</v>
      </c>
      <c r="AF159" s="159">
        <f ca="1">IFERROR(__xludf.DUMMYFUNCTION("AE159*(V159 / QUERY(NPCVar!$K$2:$N$12, ""Select N WHERE K='""&amp;AB159&amp;""'""))*TRUNC(1+10)*(TRUNC(MOD(($B159*1103515245 +12345)/ 65536, 32768),0)/32768)"),-0.000944976806640624)</f>
        <v>-9.4497680664062402E-4</v>
      </c>
      <c r="AG159" s="16"/>
      <c r="AH159" s="77"/>
      <c r="AI159" s="114"/>
    </row>
    <row r="160" spans="1:35" ht="16.2">
      <c r="A160" s="53">
        <v>159</v>
      </c>
      <c r="B160" s="118">
        <f t="shared" si="15"/>
        <v>1.56105</v>
      </c>
      <c r="C160" s="72" t="str">
        <f t="array" ref="C160">INDEX(NPCFName,TRUNC(1+(COUNTA(NPCFName))*(TRUNC(MOD(($B160*1103515245 +12345)/ 65536, 32768),0)/32768),0))</f>
        <v>Hileict</v>
      </c>
      <c r="D160" s="16" t="str">
        <f t="array" ref="D160">INDEX(NPCLName,TRUNC(1+(COUNTA(NPCLName))*(TRUNC(MOD(($B160*1103515245 +12345)/ 65536, 32768),0)/32768),0))</f>
        <v>Deepcrest</v>
      </c>
      <c r="E160" s="16" t="str">
        <f t="array" ref="E160">INDEX(NPCClass,TRUNC(1+(COUNTA(NPCClass))*(TRUNC(MOD(($B160*1103515245 +12345)/ 65536, 32768),0)/32768),0))</f>
        <v>Cleric</v>
      </c>
      <c r="F160" s="76">
        <v>8</v>
      </c>
      <c r="G160" s="153">
        <f ca="1">VLOOKUP($AB$2,'RF Mod'!$A$2:$G$12,2,FALSE)+VLOOKUP($AD$2,'RF Mod'!$I$2:$O$11,2,FALSE)+(TRUNC(6+(24-6)*(TRUNC(MOD(($Z160*1103515245 +12345)/ 65536, 32768),0)/32768),0))</f>
        <v>11</v>
      </c>
      <c r="H160" s="16" t="e">
        <f t="shared" ca="1" si="1"/>
        <v>#NAME?</v>
      </c>
      <c r="I160" s="153">
        <f ca="1">VLOOKUP($AB$2,'RF Mod'!$A$2:$G$12,3,FALSE)+VLOOKUP($AD$2,'RF Mod'!$I$2:$O$11,3,FALSE)+(TRUNC(6+(24-6)*(TRUNC(MOD(($Z160*1103515245 +12345)/ 65536, 32768),0)/32768),0))</f>
        <v>15</v>
      </c>
      <c r="J160" s="16" t="e">
        <f t="shared" ca="1" si="2"/>
        <v>#NAME?</v>
      </c>
      <c r="K160" s="153">
        <f ca="1">VLOOKUP($AB$2,'RF Mod'!$A$2:$G$12,3,FALSE)+VLOOKUP($AD$2,'RF Mod'!$I$2:$O$11,3,FALSE)+(TRUNC(6+(24-6)*(TRUNC(MOD(($Z160*1103515245 +12345)/ 65536, 32768),0)/32768),0))</f>
        <v>15</v>
      </c>
      <c r="L160" s="16" t="e">
        <f t="shared" ca="1" si="3"/>
        <v>#NAME?</v>
      </c>
      <c r="M160" s="153">
        <f ca="1">VLOOKUP($AB$2,'RF Mod'!$A$2:$G$12,4,FALSE)+VLOOKUP($AD$2,'RF Mod'!$I$2:$O$11,4,FALSE)+(TRUNC(6+(24-6)*(TRUNC(MOD(($Z160*1103515245 +12345)/ 65536, 32768),0)/32768),0))</f>
        <v>14</v>
      </c>
      <c r="N160" s="16" t="e">
        <f t="shared" ca="1" si="4"/>
        <v>#NAME?</v>
      </c>
      <c r="O160" s="153">
        <f ca="1">VLOOKUP($AB$2,'RF Mod'!$A$2:$G$12,5,FALSE)+VLOOKUP($AD$2,'RF Mod'!$I$2:$O$11,5,FALSE)+(TRUNC(6+(24-6)*(TRUNC(MOD(($Z160*1103515245 +12345)/ 65536, 32768),0)/32768),0))</f>
        <v>17</v>
      </c>
      <c r="P160" s="16" t="e">
        <f t="shared" ca="1" si="5"/>
        <v>#NAME?</v>
      </c>
      <c r="Q160" s="153">
        <f ca="1">VLOOKUP($AB$2,'RF Mod'!$A$2:$G$12,6,FALSE)+VLOOKUP($AD$2,'RF Mod'!$I$2:$O$11,6,FALSE)+(TRUNC(6+(24-6)*(TRUNC(MOD(($Z160*1103515245 +12345)/ 65536, 32768),0)/32768),0))</f>
        <v>15</v>
      </c>
      <c r="R160" s="16" t="e">
        <f t="shared" ca="1" si="6"/>
        <v>#NAME?</v>
      </c>
      <c r="S160" s="154">
        <f t="shared" ca="1" si="12"/>
        <v>248</v>
      </c>
      <c r="T160" s="154">
        <f t="shared" ca="1" si="7"/>
        <v>228</v>
      </c>
      <c r="U160" s="16" t="str">
        <f t="shared" ca="1" si="8"/>
        <v>Bloody</v>
      </c>
      <c r="V160" s="155">
        <f ca="1">IFERROR(__xludf.DUMMYFUNCTION("if(W160=""Middle Age"",QUERY(NPCVar!$K$2:$N1000, ""Select L where K = '""&amp;AB160&amp;""'""),if(W160=""Old"",QUERY(NPCVar!$K$2:$N1000, ""Select M where K = '""&amp;AB160&amp;""'""),if(W160=""Venerable"",QUERY(NPCVar!$K$2:$N1000, ""Select N where K = '""&amp;AB160&amp;""'""),fa"&amp;"lse)))*X160"),50)</f>
        <v>50</v>
      </c>
      <c r="W160" s="156" t="str">
        <f t="array" ref="W160">INDEX(NPCAgeType,TRUNC(1+(4-1)*(TRUNC(MOD((X160*1103515245 +12345)/ 65536, 32768),0)/32768),0))</f>
        <v>Middle Age</v>
      </c>
      <c r="X160" s="117">
        <f t="shared" si="13"/>
        <v>2</v>
      </c>
      <c r="Y160" s="157" t="e">
        <f t="array" aca="1" ref="Y160" ca="1">LOOKUP(ABS(MAX(Z160 + MIN(ABS(INDIRECT("Class Jobs!B"&amp;MATCH(E160,'Class Jobs'!$A$1:$A1000,0)&amp;":"&amp;"AF"&amp;MATCH(E160,'Class Jobs'!$A$1:$A1000,0)&amp;"")-$Z160)) * SUM(IF(MIN(ABS(INDIRECT("Class Jobs!B"&amp;MATCH(E160,'Class Jobs'!$A$1:$A1000,0)&amp;":"&amp;"AF"&amp;MATCH(E160,'Class Jobs'!$A$1:$A1000,0)&amp;"")-$Z160))=ABS(INDIRECT("Class Jobs!B"&amp;MATCH(E160,'Class Jobs'!$A$1:$A1000,0)&amp;":"&amp;"AF"&amp;MATCH(E160,'Class Jobs'!$A$1:$A1000,0)&amp;"")-$Z160),SIGN(INDIRECT("Class Jobs!B"&amp;MATCH(E160,'Class Jobs'!$A$1:A1000,0)&amp;":"&amp;"AF"&amp;MATCH(E160,'Class Jobs'!$A$1:$A1000,0)&amp;"")-$Z160),0)),0)),INDIRECT("Class Jobs!B"&amp;MATCH(E160,'Class Jobs'!$A$1:$A1000,0)&amp;":"&amp;"AF"&amp;MATCH(E160,'Class Jobs'!$A$1:$A1000,1)&amp;""),'Class Jobs'!$B$1:$AF$1)</f>
        <v>#REF!</v>
      </c>
      <c r="Z160" s="158">
        <f t="shared" si="10"/>
        <v>0.8</v>
      </c>
      <c r="AA160" s="16" t="str">
        <f t="array" ref="AA160">INDEX(NPCGender,TRUNC(1+(COUNTA(NPCGender))*(TRUNC(MOD(($B160*1103515245 +12345)/ 65536, 32768),0)/32768),0))</f>
        <v>Neutral</v>
      </c>
      <c r="AB160" s="16" t="str">
        <f t="array" ref="AB160">INDEX(NPCRace,TRUNC(1+(COUNTA(NPCRace))*(TRUNC(MOD(($B160*1103515245 +12345)/ 65536, 32768),0)/32768),0))</f>
        <v>Tiefling</v>
      </c>
      <c r="AC160" s="16" t="str">
        <f t="array" ref="AC160">INDEX(NPCAL,TRUNC(1+(COUNTA(NPCAL))*(TRUNC(MOD(($B160*1103515245 +12345)/ 65536, 32768),0)/32768),0))</f>
        <v>LN</v>
      </c>
      <c r="AD160" s="72" t="str">
        <f ca="1">IFERROR(__xludf.DUMMYFUNCTION("if(V160&lt;15,QUERY(NPCVar!C:D,""Select D WHERE C = '""&amp;D160&amp;""'""),if((TRUNC(1+10)*(TRUNC(MOD((ROW(H160)*1103515245 +12345)/ 65536, 32768),0)/32768)/10) &gt; 0.85,INDEX(NPCFaction,TRUNC(1+(counta(NPCFaction)-1)*(TRUNC(MOD(($B160*1103515245 +12345)/ 65536, 3276"&amp;"8),0)/32768),0)),QUERY(NPCVar!C:D,""Select D WHERE C = '""&amp;D160&amp;""'"")))"),"Adventures Guild")</f>
        <v>Adventures Guild</v>
      </c>
      <c r="AE160" s="108" t="e">
        <f t="shared" ca="1" si="11"/>
        <v>#NAME?</v>
      </c>
      <c r="AF160" s="159">
        <f ca="1">IFERROR(__xludf.DUMMYFUNCTION("AE160*(V160 / QUERY(NPCVar!$K$2:$N$12, ""Select N WHERE K='""&amp;AB160&amp;""'""))*TRUNC(1+10)*(TRUNC(MOD(($B160*1103515245 +12345)/ 65536, 32768),0)/32768)"),3.52947998046874)</f>
        <v>3.5294799804687398</v>
      </c>
      <c r="AG160" s="16"/>
      <c r="AH160" s="77"/>
      <c r="AI160" s="114"/>
    </row>
    <row r="161" spans="1:35" ht="16.2">
      <c r="A161" s="53">
        <v>160</v>
      </c>
      <c r="B161" s="118">
        <f t="shared" si="15"/>
        <v>0.55511999999999995</v>
      </c>
      <c r="C161" s="72" t="str">
        <f t="array" ref="C161">INDEX(NPCFName,TRUNC(1+(COUNTA(NPCFName))*(TRUNC(MOD(($B161*1103515245 +12345)/ 65536, 32768),0)/32768),0))</f>
        <v>Tibolt</v>
      </c>
      <c r="D161" s="16" t="str">
        <f t="array" ref="D161">INDEX(NPCLName,TRUNC(1+(COUNTA(NPCLName))*(TRUNC(MOD(($B161*1103515245 +12345)/ 65536, 32768),0)/32768),0))</f>
        <v>Commonscream</v>
      </c>
      <c r="E161" s="16" t="str">
        <f t="array" ref="E161">INDEX(NPCClass,TRUNC(1+(COUNTA(NPCClass))*(TRUNC(MOD(($B161*1103515245 +12345)/ 65536, 32768),0)/32768),0))</f>
        <v>Monk</v>
      </c>
      <c r="F161" s="76">
        <v>2</v>
      </c>
      <c r="G161" s="153">
        <f ca="1">VLOOKUP($AB$2,'RF Mod'!$A$2:$G$12,2,FALSE)+VLOOKUP($AD$2,'RF Mod'!$I$2:$O$11,2,FALSE)+(TRUNC(6+(24-6)*(TRUNC(MOD(($Z161*1103515245 +12345)/ 65536, 32768),0)/32768),0))</f>
        <v>6</v>
      </c>
      <c r="H161" s="16">
        <f t="shared" ca="1" si="1"/>
        <v>-2</v>
      </c>
      <c r="I161" s="153">
        <f ca="1">VLOOKUP($AB$2,'RF Mod'!$A$2:$G$12,3,FALSE)+VLOOKUP($AD$2,'RF Mod'!$I$2:$O$11,3,FALSE)+(TRUNC(6+(24-6)*(TRUNC(MOD(($Z161*1103515245 +12345)/ 65536, 32768),0)/32768),0))</f>
        <v>10</v>
      </c>
      <c r="J161" s="16" t="e">
        <f t="shared" ca="1" si="2"/>
        <v>#NAME?</v>
      </c>
      <c r="K161" s="153">
        <f ca="1">VLOOKUP($AB$2,'RF Mod'!$A$2:$G$12,3,FALSE)+VLOOKUP($AD$2,'RF Mod'!$I$2:$O$11,3,FALSE)+(TRUNC(6+(24-6)*(TRUNC(MOD(($Z161*1103515245 +12345)/ 65536, 32768),0)/32768),0))</f>
        <v>10</v>
      </c>
      <c r="L161" s="16" t="e">
        <f t="shared" ca="1" si="3"/>
        <v>#NAME?</v>
      </c>
      <c r="M161" s="153">
        <f ca="1">VLOOKUP($AB$2,'RF Mod'!$A$2:$G$12,4,FALSE)+VLOOKUP($AD$2,'RF Mod'!$I$2:$O$11,4,FALSE)+(TRUNC(6+(24-6)*(TRUNC(MOD(($Z161*1103515245 +12345)/ 65536, 32768),0)/32768),0))</f>
        <v>9</v>
      </c>
      <c r="N161" s="16">
        <f t="shared" ca="1" si="4"/>
        <v>-1</v>
      </c>
      <c r="O161" s="153">
        <f ca="1">VLOOKUP($AB$2,'RF Mod'!$A$2:$G$12,5,FALSE)+VLOOKUP($AD$2,'RF Mod'!$I$2:$O$11,5,FALSE)+(TRUNC(6+(24-6)*(TRUNC(MOD(($Z161*1103515245 +12345)/ 65536, 32768),0)/32768),0))</f>
        <v>12</v>
      </c>
      <c r="P161" s="16" t="e">
        <f t="shared" ca="1" si="5"/>
        <v>#NAME?</v>
      </c>
      <c r="Q161" s="153">
        <f ca="1">VLOOKUP($AB$2,'RF Mod'!$A$2:$G$12,6,FALSE)+VLOOKUP($AD$2,'RF Mod'!$I$2:$O$11,6,FALSE)+(TRUNC(6+(24-6)*(TRUNC(MOD(($Z161*1103515245 +12345)/ 65536, 32768),0)/32768),0))</f>
        <v>10</v>
      </c>
      <c r="R161" s="16" t="e">
        <f t="shared" ca="1" si="6"/>
        <v>#NAME?</v>
      </c>
      <c r="S161" s="154">
        <f t="shared" ca="1" si="12"/>
        <v>24</v>
      </c>
      <c r="T161" s="154">
        <f t="shared" ca="1" si="7"/>
        <v>21</v>
      </c>
      <c r="U161" s="16" t="str">
        <f t="shared" ca="1" si="8"/>
        <v>Bloody</v>
      </c>
      <c r="V161" s="155">
        <f ca="1">IFERROR(__xludf.DUMMYFUNCTION("if(W161=""Middle Age"",QUERY(NPCVar!$K$2:$N1000, ""Select L where K = '""&amp;AB161&amp;""'""),if(W161=""Old"",QUERY(NPCVar!$K$2:$N1000, ""Select M where K = '""&amp;AB161&amp;""'""),if(W161=""Venerable"",QUERY(NPCVar!$K$2:$N1000, ""Select N where K = '""&amp;AB161&amp;""'""),fa"&amp;"lse)))*X161"),118.124999999999)</f>
        <v>118.12499999999901</v>
      </c>
      <c r="W161" s="156" t="str">
        <f t="array" ref="W161">INDEX(NPCAgeType,TRUNC(1+(4-1)*(TRUNC(MOD((X161*1103515245 +12345)/ 65536, 32768),0)/32768),0))</f>
        <v>Old</v>
      </c>
      <c r="X161" s="117">
        <f t="shared" si="13"/>
        <v>0.7</v>
      </c>
      <c r="Y161" s="157" t="e">
        <f t="array" aca="1" ref="Y161" ca="1">LOOKUP(ABS(MAX(Z161 + MIN(ABS(INDIRECT("Class Jobs!B"&amp;MATCH(E161,'Class Jobs'!$A$1:$A1000,0)&amp;":"&amp;"AF"&amp;MATCH(E161,'Class Jobs'!$A$1:$A1000,0)&amp;"")-$Z161)) * SUM(IF(MIN(ABS(INDIRECT("Class Jobs!B"&amp;MATCH(E161,'Class Jobs'!$A$1:$A1000,0)&amp;":"&amp;"AF"&amp;MATCH(E161,'Class Jobs'!$A$1:$A1000,0)&amp;"")-$Z161))=ABS(INDIRECT("Class Jobs!B"&amp;MATCH(E161,'Class Jobs'!$A$1:$A1000,0)&amp;":"&amp;"AF"&amp;MATCH(E161,'Class Jobs'!$A$1:$A1000,0)&amp;"")-$Z161),SIGN(INDIRECT("Class Jobs!B"&amp;MATCH(E161,'Class Jobs'!$A$1:A1000,0)&amp;":"&amp;"AF"&amp;MATCH(E161,'Class Jobs'!$A$1:$A1000,0)&amp;"")-$Z161),0)),0)),INDIRECT("Class Jobs!B"&amp;MATCH(E161,'Class Jobs'!$A$1:$A1000,0)&amp;":"&amp;"AF"&amp;MATCH(E161,'Class Jobs'!$A$1:$A1000,1)&amp;""),'Class Jobs'!$B$1:$AF$1)</f>
        <v>#REF!</v>
      </c>
      <c r="Z161" s="158">
        <f t="shared" si="10"/>
        <v>0.28999999999999998</v>
      </c>
      <c r="AA161" s="16" t="str">
        <f t="array" ref="AA161">INDEX(NPCGender,TRUNC(1+(COUNTA(NPCGender))*(TRUNC(MOD(($B161*1103515245 +12345)/ 65536, 32768),0)/32768),0))</f>
        <v>Male</v>
      </c>
      <c r="AB161" s="16" t="str">
        <f t="array" ref="AB161">INDEX(NPCRace,TRUNC(1+(COUNTA(NPCRace))*(TRUNC(MOD(($B161*1103515245 +12345)/ 65536, 32768),0)/32768),0))</f>
        <v>Gnome</v>
      </c>
      <c r="AC161" s="16" t="str">
        <f t="array" ref="AC161">INDEX(NPCAL,TRUNC(1+(COUNTA(NPCAL))*(TRUNC(MOD(($B161*1103515245 +12345)/ 65536, 32768),0)/32768),0))</f>
        <v>CG</v>
      </c>
      <c r="AD161" s="72" t="str">
        <f ca="1">IFERROR(__xludf.DUMMYFUNCTION("if(V161&lt;15,QUERY(NPCVar!C:D,""Select D WHERE C = '""&amp;D161&amp;""'""),if((TRUNC(1+10)*(TRUNC(MOD((ROW(H161)*1103515245 +12345)/ 65536, 32768),0)/32768)/10) &gt; 0.85,INDEX(NPCFaction,TRUNC(1+(counta(NPCFaction)-1)*(TRUNC(MOD(($B161*1103515245 +12345)/ 65536, 3276"&amp;"8),0)/32768),0)),QUERY(NPCVar!C:D,""Select D WHERE C = '""&amp;D161&amp;""'"")))"),"Necromancer")</f>
        <v>Necromancer</v>
      </c>
      <c r="AE161" s="108" t="e">
        <f t="shared" ca="1" si="11"/>
        <v>#NAME?</v>
      </c>
      <c r="AF161" s="159">
        <f ca="1">IFERROR(__xludf.DUMMYFUNCTION("AE161*(V161 / QUERY(NPCVar!$K$2:$N$12, ""Select N WHERE K='""&amp;AB161&amp;""'""))*TRUNC(1+10)*(TRUNC(MOD(($B161*1103515245 +12345)/ 65536, 32768),0)/32768)"),0)</f>
        <v>0</v>
      </c>
      <c r="AG161" s="16"/>
      <c r="AH161" s="77"/>
      <c r="AI161" s="114"/>
    </row>
    <row r="162" spans="1:35" ht="16.2">
      <c r="A162" s="53">
        <v>161</v>
      </c>
      <c r="B162" s="118">
        <f t="shared" si="15"/>
        <v>2.0492499999999998</v>
      </c>
      <c r="C162" s="72" t="str">
        <f t="array" ref="C162">INDEX(NPCFName,TRUNC(1+(COUNTA(NPCFName))*(TRUNC(MOD(($B162*1103515245 +12345)/ 65536, 32768),0)/32768),0))</f>
        <v>Chidak</v>
      </c>
      <c r="D162" s="16" t="str">
        <f t="array" ref="D162">INDEX(NPCLName,TRUNC(1+(COUNTA(NPCLName))*(TRUNC(MOD(($B162*1103515245 +12345)/ 65536, 32768),0)/32768),0))</f>
        <v>Crystalgazer</v>
      </c>
      <c r="E162" s="16" t="str">
        <f t="array" ref="E162">INDEX(NPCClass,TRUNC(1+(COUNTA(NPCClass))*(TRUNC(MOD(($B162*1103515245 +12345)/ 65536, 32768),0)/32768),0))</f>
        <v>Barbarian</v>
      </c>
      <c r="F162" s="76">
        <v>1</v>
      </c>
      <c r="G162" s="153">
        <f ca="1">VLOOKUP($AB$2,'RF Mod'!$A$2:$G$12,2,FALSE)+VLOOKUP($AD$2,'RF Mod'!$I$2:$O$11,2,FALSE)+(TRUNC(6+(24-6)*(TRUNC(MOD(($Z162*1103515245 +12345)/ 65536, 32768),0)/32768),0))</f>
        <v>4</v>
      </c>
      <c r="H162" s="16">
        <f t="shared" ca="1" si="1"/>
        <v>-3</v>
      </c>
      <c r="I162" s="153">
        <f ca="1">VLOOKUP($AB$2,'RF Mod'!$A$2:$G$12,3,FALSE)+VLOOKUP($AD$2,'RF Mod'!$I$2:$O$11,3,FALSE)+(TRUNC(6+(24-6)*(TRUNC(MOD(($Z162*1103515245 +12345)/ 65536, 32768),0)/32768),0))</f>
        <v>8</v>
      </c>
      <c r="J162" s="16">
        <f t="shared" ca="1" si="2"/>
        <v>-1</v>
      </c>
      <c r="K162" s="153">
        <f ca="1">VLOOKUP($AB$2,'RF Mod'!$A$2:$G$12,3,FALSE)+VLOOKUP($AD$2,'RF Mod'!$I$2:$O$11,3,FALSE)+(TRUNC(6+(24-6)*(TRUNC(MOD(($Z162*1103515245 +12345)/ 65536, 32768),0)/32768),0))</f>
        <v>8</v>
      </c>
      <c r="L162" s="16">
        <f t="shared" ca="1" si="3"/>
        <v>-1</v>
      </c>
      <c r="M162" s="153">
        <f ca="1">VLOOKUP($AB$2,'RF Mod'!$A$2:$G$12,4,FALSE)+VLOOKUP($AD$2,'RF Mod'!$I$2:$O$11,4,FALSE)+(TRUNC(6+(24-6)*(TRUNC(MOD(($Z162*1103515245 +12345)/ 65536, 32768),0)/32768),0))</f>
        <v>7</v>
      </c>
      <c r="N162" s="16">
        <f t="shared" ca="1" si="4"/>
        <v>-2</v>
      </c>
      <c r="O162" s="153">
        <f ca="1">VLOOKUP($AB$2,'RF Mod'!$A$2:$G$12,5,FALSE)+VLOOKUP($AD$2,'RF Mod'!$I$2:$O$11,5,FALSE)+(TRUNC(6+(24-6)*(TRUNC(MOD(($Z162*1103515245 +12345)/ 65536, 32768),0)/32768),0))</f>
        <v>10</v>
      </c>
      <c r="P162" s="16" t="e">
        <f t="shared" ca="1" si="5"/>
        <v>#NAME?</v>
      </c>
      <c r="Q162" s="153">
        <f ca="1">VLOOKUP($AB$2,'RF Mod'!$A$2:$G$12,6,FALSE)+VLOOKUP($AD$2,'RF Mod'!$I$2:$O$11,6,FALSE)+(TRUNC(6+(24-6)*(TRUNC(MOD(($Z162*1103515245 +12345)/ 65536, 32768),0)/32768),0))</f>
        <v>8</v>
      </c>
      <c r="R162" s="16">
        <f t="shared" ca="1" si="6"/>
        <v>-1</v>
      </c>
      <c r="S162" s="154">
        <f t="shared" ca="1" si="12"/>
        <v>10</v>
      </c>
      <c r="T162" s="154">
        <f t="shared" ca="1" si="7"/>
        <v>12</v>
      </c>
      <c r="U162" s="16" t="str">
        <f t="shared" ca="1" si="8"/>
        <v>Dead</v>
      </c>
      <c r="V162" s="155">
        <f ca="1">IFERROR(__xludf.DUMMYFUNCTION("if(W162=""Middle Age"",QUERY(NPCVar!$K$2:$N1000, ""Select L where K = '""&amp;AB162&amp;""'""),if(W162=""Old"",QUERY(NPCVar!$K$2:$N1000, ""Select M where K = '""&amp;AB162&amp;""'""),if(W162=""Venerable"",QUERY(NPCVar!$K$2:$N1000, ""Select N where K = '""&amp;AB162&amp;""'""),fa"&amp;"lse)))*X162"),4)</f>
        <v>4</v>
      </c>
      <c r="W162" s="156" t="str">
        <f t="array" ref="W162">INDEX(NPCAgeType,TRUNC(1+(4-1)*(TRUNC(MOD((X162*1103515245 +12345)/ 65536, 32768),0)/32768),0))</f>
        <v>Middle Age</v>
      </c>
      <c r="X162" s="117">
        <f t="shared" si="13"/>
        <v>0.2</v>
      </c>
      <c r="Y162" s="157" t="e">
        <f t="array" aca="1" ref="Y162" ca="1">LOOKUP(ABS(MAX(Z162 + MIN(ABS(INDIRECT("Class Jobs!B"&amp;MATCH(E162,'Class Jobs'!$A$1:$A1000,0)&amp;":"&amp;"AF"&amp;MATCH(E162,'Class Jobs'!$A$1:$A1000,0)&amp;"")-$Z162)) * SUM(IF(MIN(ABS(INDIRECT("Class Jobs!B"&amp;MATCH(E162,'Class Jobs'!$A$1:$A1000,0)&amp;":"&amp;"AF"&amp;MATCH(E162,'Class Jobs'!$A$1:$A1000,0)&amp;"")-$Z162))=ABS(INDIRECT("Class Jobs!B"&amp;MATCH(E162,'Class Jobs'!$A$1:$A1000,0)&amp;":"&amp;"AF"&amp;MATCH(E162,'Class Jobs'!$A$1:$A1000,0)&amp;"")-$Z162),SIGN(INDIRECT("Class Jobs!B"&amp;MATCH(E162,'Class Jobs'!$A$1:A1000,0)&amp;":"&amp;"AF"&amp;MATCH(E162,'Class Jobs'!$A$1:$A1000,0)&amp;"")-$Z162),0)),0)),INDIRECT("Class Jobs!B"&amp;MATCH(E162,'Class Jobs'!$A$1:$A1000,0)&amp;":"&amp;"AF"&amp;MATCH(E162,'Class Jobs'!$A$1:$A1000,1)&amp;""),'Class Jobs'!$B$1:$AF$1)</f>
        <v>#REF!</v>
      </c>
      <c r="Z162" s="158">
        <f t="shared" si="10"/>
        <v>0.06</v>
      </c>
      <c r="AA162" s="16" t="str">
        <f t="array" ref="AA162">INDEX(NPCGender,TRUNC(1+(COUNTA(NPCGender))*(TRUNC(MOD(($B162*1103515245 +12345)/ 65536, 32768),0)/32768),0))</f>
        <v>Male</v>
      </c>
      <c r="AB162" s="16" t="str">
        <f t="array" ref="AB162">INDEX(NPCRace,TRUNC(1+(COUNTA(NPCRace))*(TRUNC(MOD(($B162*1103515245 +12345)/ 65536, 32768),0)/32768),0))</f>
        <v>Dragonborn</v>
      </c>
      <c r="AC162" s="16" t="str">
        <f t="array" ref="AC162">INDEX(NPCAL,TRUNC(1+(COUNTA(NPCAL))*(TRUNC(MOD(($B162*1103515245 +12345)/ 65536, 32768),0)/32768),0))</f>
        <v>CN</v>
      </c>
      <c r="AD162" s="72" t="str">
        <f ca="1">IFERROR(__xludf.DUMMYFUNCTION("if(V162&lt;15,QUERY(NPCVar!C:D,""Select D WHERE C = '""&amp;D162&amp;""'""),if((TRUNC(1+10)*(TRUNC(MOD((ROW(H162)*1103515245 +12345)/ 65536, 32768),0)/32768)/10) &gt; 0.85,INDEX(NPCFaction,TRUNC(1+(counta(NPCFaction)-1)*(TRUNC(MOD(($B162*1103515245 +12345)/ 65536, 3276"&amp;"8),0)/32768),0)),QUERY(NPCVar!C:D,""Select D WHERE C = '""&amp;D162&amp;""'"")))"),"Death Guild")</f>
        <v>Death Guild</v>
      </c>
      <c r="AE162" s="108" t="e">
        <f t="shared" ca="1" si="11"/>
        <v>#NAME?</v>
      </c>
      <c r="AF162" s="159">
        <f ca="1">IFERROR(__xludf.DUMMYFUNCTION("AE162*(V162 / QUERY(NPCVar!$K$2:$N$12, ""Select N WHERE K='""&amp;AB162&amp;""'""))*TRUNC(1+10)*(TRUNC(MOD(($B162*1103515245 +12345)/ 65536, 32768),0)/32768)"),0.011668701171875)</f>
        <v>1.1668701171875E-2</v>
      </c>
      <c r="AG162" s="16"/>
      <c r="AH162" s="77"/>
      <c r="AI162" s="114"/>
    </row>
    <row r="163" spans="1:35" ht="16.2">
      <c r="A163" s="53">
        <v>162</v>
      </c>
      <c r="B163" s="118">
        <f t="shared" si="15"/>
        <v>1.0434000000000001</v>
      </c>
      <c r="C163" s="72" t="str">
        <f t="array" ref="C163">INDEX(NPCFName,TRUNC(1+(COUNTA(NPCFName))*(TRUNC(MOD(($B163*1103515245 +12345)/ 65536, 32768),0)/32768),0))</f>
        <v>Nalfar</v>
      </c>
      <c r="D163" s="16" t="str">
        <f t="array" ref="D163">INDEX(NPCLName,TRUNC(1+(COUNTA(NPCLName))*(TRUNC(MOD(($B163*1103515245 +12345)/ 65536, 32768),0)/32768),0))</f>
        <v>Plainspirit</v>
      </c>
      <c r="E163" s="16" t="str">
        <f t="array" ref="E163">INDEX(NPCClass,TRUNC(1+(COUNTA(NPCClass))*(TRUNC(MOD(($B163*1103515245 +12345)/ 65536, 32768),0)/32768),0))</f>
        <v>Sorcerer</v>
      </c>
      <c r="F163" s="76">
        <v>8</v>
      </c>
      <c r="G163" s="153">
        <f ca="1">VLOOKUP($AB$2,'RF Mod'!$A$2:$G$12,2,FALSE)+VLOOKUP($AD$2,'RF Mod'!$I$2:$O$11,2,FALSE)+(TRUNC(6+(24-6)*(TRUNC(MOD(($Z163*1103515245 +12345)/ 65536, 32768),0)/32768),0))</f>
        <v>8</v>
      </c>
      <c r="H163" s="16">
        <f t="shared" ca="1" si="1"/>
        <v>-1</v>
      </c>
      <c r="I163" s="153">
        <f ca="1">VLOOKUP($AB$2,'RF Mod'!$A$2:$G$12,3,FALSE)+VLOOKUP($AD$2,'RF Mod'!$I$2:$O$11,3,FALSE)+(TRUNC(6+(24-6)*(TRUNC(MOD(($Z163*1103515245 +12345)/ 65536, 32768),0)/32768),0))</f>
        <v>12</v>
      </c>
      <c r="J163" s="16" t="e">
        <f t="shared" ca="1" si="2"/>
        <v>#NAME?</v>
      </c>
      <c r="K163" s="153">
        <f ca="1">VLOOKUP($AB$2,'RF Mod'!$A$2:$G$12,3,FALSE)+VLOOKUP($AD$2,'RF Mod'!$I$2:$O$11,3,FALSE)+(TRUNC(6+(24-6)*(TRUNC(MOD(($Z163*1103515245 +12345)/ 65536, 32768),0)/32768),0))</f>
        <v>12</v>
      </c>
      <c r="L163" s="16" t="e">
        <f t="shared" ca="1" si="3"/>
        <v>#NAME?</v>
      </c>
      <c r="M163" s="153">
        <f ca="1">VLOOKUP($AB$2,'RF Mod'!$A$2:$G$12,4,FALSE)+VLOOKUP($AD$2,'RF Mod'!$I$2:$O$11,4,FALSE)+(TRUNC(6+(24-6)*(TRUNC(MOD(($Z163*1103515245 +12345)/ 65536, 32768),0)/32768),0))</f>
        <v>11</v>
      </c>
      <c r="N163" s="16" t="e">
        <f t="shared" ca="1" si="4"/>
        <v>#NAME?</v>
      </c>
      <c r="O163" s="153">
        <f ca="1">VLOOKUP($AB$2,'RF Mod'!$A$2:$G$12,5,FALSE)+VLOOKUP($AD$2,'RF Mod'!$I$2:$O$11,5,FALSE)+(TRUNC(6+(24-6)*(TRUNC(MOD(($Z163*1103515245 +12345)/ 65536, 32768),0)/32768),0))</f>
        <v>14</v>
      </c>
      <c r="P163" s="16" t="e">
        <f t="shared" ca="1" si="5"/>
        <v>#NAME?</v>
      </c>
      <c r="Q163" s="153">
        <f ca="1">VLOOKUP($AB$2,'RF Mod'!$A$2:$G$12,6,FALSE)+VLOOKUP($AD$2,'RF Mod'!$I$2:$O$11,6,FALSE)+(TRUNC(6+(24-6)*(TRUNC(MOD(($Z163*1103515245 +12345)/ 65536, 32768),0)/32768),0))</f>
        <v>12</v>
      </c>
      <c r="R163" s="16" t="e">
        <f t="shared" ca="1" si="6"/>
        <v>#NAME?</v>
      </c>
      <c r="S163" s="154">
        <f t="shared" ca="1" si="12"/>
        <v>192</v>
      </c>
      <c r="T163" s="154">
        <f t="shared" ca="1" si="7"/>
        <v>116</v>
      </c>
      <c r="U163" s="16" t="str">
        <f t="shared" ca="1" si="8"/>
        <v>Bloody</v>
      </c>
      <c r="V163" s="155">
        <f ca="1">IFERROR(__xludf.DUMMYFUNCTION("if(W163=""Middle Age"",QUERY(NPCVar!$K$2:$N1000, ""Select L where K = '""&amp;AB163&amp;""'""),if(W163=""Old"",QUERY(NPCVar!$K$2:$N1000, ""Select M where K = '""&amp;AB163&amp;""'""),if(W163=""Venerable"",QUERY(NPCVar!$K$2:$N1000, ""Select N where K = '""&amp;AB163&amp;""'""),fa"&amp;"lse)))*X163"),91)</f>
        <v>91</v>
      </c>
      <c r="W163" s="156" t="str">
        <f t="array" ref="W163">INDEX(NPCAgeType,TRUNC(1+(4-1)*(TRUNC(MOD((X163*1103515245 +12345)/ 65536, 32768),0)/32768),0))</f>
        <v>Venerable</v>
      </c>
      <c r="X163" s="117">
        <f t="shared" si="13"/>
        <v>1.3</v>
      </c>
      <c r="Y163" s="157" t="e">
        <f t="array" aca="1" ref="Y163" ca="1">LOOKUP(ABS(MAX(Z163 + MIN(ABS(INDIRECT("Class Jobs!B"&amp;MATCH(E163,'Class Jobs'!$A$1:$A1000,0)&amp;":"&amp;"AF"&amp;MATCH(E163,'Class Jobs'!$A$1:$A1000,0)&amp;"")-$Z163)) * SUM(IF(MIN(ABS(INDIRECT("Class Jobs!B"&amp;MATCH(E163,'Class Jobs'!$A$1:$A1000,0)&amp;":"&amp;"AF"&amp;MATCH(E163,'Class Jobs'!$A$1:$A1000,0)&amp;"")-$Z163))=ABS(INDIRECT("Class Jobs!B"&amp;MATCH(E163,'Class Jobs'!$A$1:$A1000,0)&amp;":"&amp;"AF"&amp;MATCH(E163,'Class Jobs'!$A$1:$A1000,0)&amp;"")-$Z163),SIGN(INDIRECT("Class Jobs!B"&amp;MATCH(E163,'Class Jobs'!$A$1:A1000,0)&amp;":"&amp;"AF"&amp;MATCH(E163,'Class Jobs'!$A$1:$A1000,0)&amp;"")-$Z163),0)),0)),INDIRECT("Class Jobs!B"&amp;MATCH(E163,'Class Jobs'!$A$1:$A1000,0)&amp;":"&amp;"AF"&amp;MATCH(E163,'Class Jobs'!$A$1:$A1000,1)&amp;""),'Class Jobs'!$B$1:$AF$1)</f>
        <v>#REF!</v>
      </c>
      <c r="Z163" s="158">
        <f t="shared" si="10"/>
        <v>0.54</v>
      </c>
      <c r="AA163" s="16" t="str">
        <f t="array" ref="AA163">INDEX(NPCGender,TRUNC(1+(COUNTA(NPCGender))*(TRUNC(MOD(($B163*1103515245 +12345)/ 65536, 32768),0)/32768),0))</f>
        <v>Female</v>
      </c>
      <c r="AB163" s="16" t="str">
        <f t="array" ref="AB163">INDEX(NPCRace,TRUNC(1+(COUNTA(NPCRace))*(TRUNC(MOD(($B163*1103515245 +12345)/ 65536, 32768),0)/32768),0))</f>
        <v>Half-Orc</v>
      </c>
      <c r="AC163" s="16" t="str">
        <f t="array" ref="AC163">INDEX(NPCAL,TRUNC(1+(COUNTA(NPCAL))*(TRUNC(MOD(($B163*1103515245 +12345)/ 65536, 32768),0)/32768),0))</f>
        <v>NN</v>
      </c>
      <c r="AD163" s="72" t="str">
        <f ca="1">IFERROR(__xludf.DUMMYFUNCTION("if(V163&lt;15,QUERY(NPCVar!C:D,""Select D WHERE C = '""&amp;D163&amp;""'""),if((TRUNC(1+10)*(TRUNC(MOD((ROW(H163)*1103515245 +12345)/ 65536, 32768),0)/32768)/10) &gt; 0.85,INDEX(NPCFaction,TRUNC(1+(counta(NPCFaction)-1)*(TRUNC(MOD(($B163*1103515245 +12345)/ 65536, 3276"&amp;"8),0)/32768),0)),QUERY(NPCVar!C:D,""Select D WHERE C = '""&amp;D163&amp;""'"")))"),"Traders Guild")</f>
        <v>Traders Guild</v>
      </c>
      <c r="AE163" s="108" t="e">
        <f t="shared" ca="1" si="11"/>
        <v>#NAME?</v>
      </c>
      <c r="AF163" s="159">
        <f ca="1">IFERROR(__xludf.DUMMYFUNCTION("AE163*(V163 / QUERY(NPCVar!$K$2:$N$12, ""Select N WHERE K='""&amp;AB163&amp;""'""))*TRUNC(1+10)*(TRUNC(MOD(($B163*1103515245 +12345)/ 65536, 32768),0)/32768)"),3.06685424804687)</f>
        <v>3.0668542480468699</v>
      </c>
      <c r="AG163" s="16"/>
      <c r="AH163" s="77"/>
      <c r="AI163" s="114"/>
    </row>
    <row r="164" spans="1:35" ht="16.2">
      <c r="A164" s="53">
        <v>163</v>
      </c>
      <c r="B164" s="118">
        <f t="shared" si="15"/>
        <v>3.7539999999999997E-2</v>
      </c>
      <c r="C164" s="72" t="str">
        <f t="array" ref="C164">INDEX(NPCFName,TRUNC(1+(COUNTA(NPCFName))*(TRUNC(MOD(($B164*1103515245 +12345)/ 65536, 32768),0)/32768),0))</f>
        <v>Atgur</v>
      </c>
      <c r="D164" s="16" t="str">
        <f t="array" ref="D164">INDEX(NPCLName,TRUNC(1+(COUNTA(NPCLName))*(TRUNC(MOD(($B164*1103515245 +12345)/ 65536, 32768),0)/32768),0))</f>
        <v>Stagfang</v>
      </c>
      <c r="E164" s="16" t="str">
        <f t="array" ref="E164">INDEX(NPCClass,TRUNC(1+(COUNTA(NPCClass))*(TRUNC(MOD(($B164*1103515245 +12345)/ 65536, 32768),0)/32768),0))</f>
        <v>Barbarian</v>
      </c>
      <c r="F164" s="76">
        <v>1</v>
      </c>
      <c r="G164" s="153">
        <f ca="1">VLOOKUP($AB$2,'RF Mod'!$A$2:$G$12,2,FALSE)+VLOOKUP($AD$2,'RF Mod'!$I$2:$O$11,2,FALSE)+(TRUNC(6+(24-6)*(TRUNC(MOD(($Z164*1103515245 +12345)/ 65536, 32768),0)/32768),0))</f>
        <v>4</v>
      </c>
      <c r="H164" s="16">
        <f t="shared" ca="1" si="1"/>
        <v>-3</v>
      </c>
      <c r="I164" s="153">
        <f ca="1">VLOOKUP($AB$2,'RF Mod'!$A$2:$G$12,3,FALSE)+VLOOKUP($AD$2,'RF Mod'!$I$2:$O$11,3,FALSE)+(TRUNC(6+(24-6)*(TRUNC(MOD(($Z164*1103515245 +12345)/ 65536, 32768),0)/32768),0))</f>
        <v>8</v>
      </c>
      <c r="J164" s="16">
        <f t="shared" ca="1" si="2"/>
        <v>-1</v>
      </c>
      <c r="K164" s="153">
        <f ca="1">VLOOKUP($AB$2,'RF Mod'!$A$2:$G$12,3,FALSE)+VLOOKUP($AD$2,'RF Mod'!$I$2:$O$11,3,FALSE)+(TRUNC(6+(24-6)*(TRUNC(MOD(($Z164*1103515245 +12345)/ 65536, 32768),0)/32768),0))</f>
        <v>8</v>
      </c>
      <c r="L164" s="16">
        <f t="shared" ca="1" si="3"/>
        <v>-1</v>
      </c>
      <c r="M164" s="153">
        <f ca="1">VLOOKUP($AB$2,'RF Mod'!$A$2:$G$12,4,FALSE)+VLOOKUP($AD$2,'RF Mod'!$I$2:$O$11,4,FALSE)+(TRUNC(6+(24-6)*(TRUNC(MOD(($Z164*1103515245 +12345)/ 65536, 32768),0)/32768),0))</f>
        <v>7</v>
      </c>
      <c r="N164" s="16">
        <f t="shared" ca="1" si="4"/>
        <v>-2</v>
      </c>
      <c r="O164" s="153">
        <f ca="1">VLOOKUP($AB$2,'RF Mod'!$A$2:$G$12,5,FALSE)+VLOOKUP($AD$2,'RF Mod'!$I$2:$O$11,5,FALSE)+(TRUNC(6+(24-6)*(TRUNC(MOD(($Z164*1103515245 +12345)/ 65536, 32768),0)/32768),0))</f>
        <v>10</v>
      </c>
      <c r="P164" s="16" t="e">
        <f t="shared" ca="1" si="5"/>
        <v>#NAME?</v>
      </c>
      <c r="Q164" s="153">
        <f ca="1">VLOOKUP($AB$2,'RF Mod'!$A$2:$G$12,6,FALSE)+VLOOKUP($AD$2,'RF Mod'!$I$2:$O$11,6,FALSE)+(TRUNC(6+(24-6)*(TRUNC(MOD(($Z164*1103515245 +12345)/ 65536, 32768),0)/32768),0))</f>
        <v>8</v>
      </c>
      <c r="R164" s="16">
        <f t="shared" ca="1" si="6"/>
        <v>-1</v>
      </c>
      <c r="S164" s="154">
        <f t="shared" ca="1" si="12"/>
        <v>10</v>
      </c>
      <c r="T164" s="154">
        <f t="shared" ca="1" si="7"/>
        <v>7</v>
      </c>
      <c r="U164" s="16" t="str">
        <f t="shared" ca="1" si="8"/>
        <v>Bloody</v>
      </c>
      <c r="V164" s="155">
        <f ca="1">IFERROR(__xludf.DUMMYFUNCTION("if(W164=""Middle Age"",QUERY(NPCVar!$K$2:$N1000, ""Select L where K = '""&amp;AB164&amp;""'""),if(W164=""Old"",QUERY(NPCVar!$K$2:$N1000, ""Select M where K = '""&amp;AB164&amp;""'""),if(W164=""Venerable"",QUERY(NPCVar!$K$2:$N1000, ""Select N where K = '""&amp;AB164&amp;""'""),fa"&amp;"lse)))*X164"),2)</f>
        <v>2</v>
      </c>
      <c r="W164" s="156" t="str">
        <f t="array" ref="W164">INDEX(NPCAgeType,TRUNC(1+(4-1)*(TRUNC(MOD((X164*1103515245 +12345)/ 65536, 32768),0)/32768),0))</f>
        <v>Middle Age</v>
      </c>
      <c r="X164" s="117">
        <f t="shared" si="13"/>
        <v>0.1</v>
      </c>
      <c r="Y164" s="157" t="e">
        <f t="array" aca="1" ref="Y164" ca="1">LOOKUP(ABS(MAX(Z164 + MIN(ABS(INDIRECT("Class Jobs!B"&amp;MATCH(E164,'Class Jobs'!$A$1:$A1000,0)&amp;":"&amp;"AF"&amp;MATCH(E164,'Class Jobs'!$A$1:$A1000,0)&amp;"")-$Z164)) * SUM(IF(MIN(ABS(INDIRECT("Class Jobs!B"&amp;MATCH(E164,'Class Jobs'!$A$1:$A1000,0)&amp;":"&amp;"AF"&amp;MATCH(E164,'Class Jobs'!$A$1:$A1000,0)&amp;"")-$Z164))=ABS(INDIRECT("Class Jobs!B"&amp;MATCH(E164,'Class Jobs'!$A$1:$A1000,0)&amp;":"&amp;"AF"&amp;MATCH(E164,'Class Jobs'!$A$1:$A1000,0)&amp;"")-$Z164),SIGN(INDIRECT("Class Jobs!B"&amp;MATCH(E164,'Class Jobs'!$A$1:A1000,0)&amp;":"&amp;"AF"&amp;MATCH(E164,'Class Jobs'!$A$1:$A1000,0)&amp;"")-$Z164),0)),0)),INDIRECT("Class Jobs!B"&amp;MATCH(E164,'Class Jobs'!$A$1:$A1000,0)&amp;":"&amp;"AF"&amp;MATCH(E164,'Class Jobs'!$A$1:$A1000,1)&amp;""),'Class Jobs'!$B$1:$AF$1)</f>
        <v>#REF!</v>
      </c>
      <c r="Z164" s="158">
        <f t="shared" si="10"/>
        <v>0.02</v>
      </c>
      <c r="AA164" s="16" t="str">
        <f t="array" ref="AA164">INDEX(NPCGender,TRUNC(1+(COUNTA(NPCGender))*(TRUNC(MOD(($B164*1103515245 +12345)/ 65536, 32768),0)/32768),0))</f>
        <v>Male</v>
      </c>
      <c r="AB164" s="16" t="str">
        <f t="array" ref="AB164">INDEX(NPCRace,TRUNC(1+(COUNTA(NPCRace))*(TRUNC(MOD(($B164*1103515245 +12345)/ 65536, 32768),0)/32768),0))</f>
        <v>Dragonborn</v>
      </c>
      <c r="AC164" s="16" t="str">
        <f t="array" ref="AC164">INDEX(NPCAL,TRUNC(1+(COUNTA(NPCAL))*(TRUNC(MOD(($B164*1103515245 +12345)/ 65536, 32768),0)/32768),0))</f>
        <v>CN</v>
      </c>
      <c r="AD164" s="72" t="str">
        <f ca="1">IFERROR(__xludf.DUMMYFUNCTION("if(V164&lt;15,QUERY(NPCVar!C:D,""Select D WHERE C = '""&amp;D164&amp;""'""),if((TRUNC(1+10)*(TRUNC(MOD((ROW(H164)*1103515245 +12345)/ 65536, 32768),0)/32768)/10) &gt; 0.85,INDEX(NPCFaction,TRUNC(1+(counta(NPCFaction)-1)*(TRUNC(MOD(($B164*1103515245 +12345)/ 65536, 3276"&amp;"8),0)/32768),0)),QUERY(NPCVar!C:D,""Select D WHERE C = '""&amp;D164&amp;""'"")))"),"Royalty")</f>
        <v>Royalty</v>
      </c>
      <c r="AE164" s="108" t="e">
        <f t="shared" ca="1" si="11"/>
        <v>#NAME?</v>
      </c>
      <c r="AF164" s="159">
        <f ca="1">IFERROR(__xludf.DUMMYFUNCTION("AE164*(V164 / QUERY(NPCVar!$K$2:$N$12, ""Select N WHERE K='""&amp;AB164&amp;""'""))*TRUNC(1+10)*(TRUNC(MOD(($B164*1103515245 +12345)/ 65536, 32768),0)/32768)"),0.00212158203125)</f>
        <v>2.1215820312499999E-3</v>
      </c>
      <c r="AG164" s="16"/>
      <c r="AH164" s="77"/>
      <c r="AI164" s="114"/>
    </row>
    <row r="165" spans="1:35" ht="16.2">
      <c r="A165" s="53">
        <v>164</v>
      </c>
      <c r="B165" s="118">
        <f t="shared" si="15"/>
        <v>1.5316799999999999</v>
      </c>
      <c r="C165" s="72" t="str">
        <f t="array" ref="C165">INDEX(NPCFName,TRUNC(1+(COUNTA(NPCFName))*(TRUNC(MOD(($B165*1103515245 +12345)/ 65536, 32768),0)/32768),0))</f>
        <v>Gith</v>
      </c>
      <c r="D165" s="16" t="str">
        <f t="array" ref="D165">INDEX(NPCLName,TRUNC(1+(COUNTA(NPCLName))*(TRUNC(MOD(($B165*1103515245 +12345)/ 65536, 32768),0)/32768),0))</f>
        <v>Truthdoom</v>
      </c>
      <c r="E165" s="16" t="str">
        <f t="array" ref="E165">INDEX(NPCClass,TRUNC(1+(COUNTA(NPCClass))*(TRUNC(MOD(($B165*1103515245 +12345)/ 65536, 32768),0)/32768),0))</f>
        <v>Cleric</v>
      </c>
      <c r="F165" s="76">
        <v>8</v>
      </c>
      <c r="G165" s="153">
        <f ca="1">VLOOKUP($AB$2,'RF Mod'!$A$2:$G$12,2,FALSE)+VLOOKUP($AD$2,'RF Mod'!$I$2:$O$11,2,FALSE)+(TRUNC(6+(24-6)*(TRUNC(MOD(($Z165*1103515245 +12345)/ 65536, 32768),0)/32768),0))</f>
        <v>11</v>
      </c>
      <c r="H165" s="16" t="e">
        <f t="shared" ca="1" si="1"/>
        <v>#NAME?</v>
      </c>
      <c r="I165" s="153">
        <f ca="1">VLOOKUP($AB$2,'RF Mod'!$A$2:$G$12,3,FALSE)+VLOOKUP($AD$2,'RF Mod'!$I$2:$O$11,3,FALSE)+(TRUNC(6+(24-6)*(TRUNC(MOD(($Z165*1103515245 +12345)/ 65536, 32768),0)/32768),0))</f>
        <v>15</v>
      </c>
      <c r="J165" s="16" t="e">
        <f t="shared" ca="1" si="2"/>
        <v>#NAME?</v>
      </c>
      <c r="K165" s="153">
        <f ca="1">VLOOKUP($AB$2,'RF Mod'!$A$2:$G$12,3,FALSE)+VLOOKUP($AD$2,'RF Mod'!$I$2:$O$11,3,FALSE)+(TRUNC(6+(24-6)*(TRUNC(MOD(($Z165*1103515245 +12345)/ 65536, 32768),0)/32768),0))</f>
        <v>15</v>
      </c>
      <c r="L165" s="16" t="e">
        <f t="shared" ca="1" si="3"/>
        <v>#NAME?</v>
      </c>
      <c r="M165" s="153">
        <f ca="1">VLOOKUP($AB$2,'RF Mod'!$A$2:$G$12,4,FALSE)+VLOOKUP($AD$2,'RF Mod'!$I$2:$O$11,4,FALSE)+(TRUNC(6+(24-6)*(TRUNC(MOD(($Z165*1103515245 +12345)/ 65536, 32768),0)/32768),0))</f>
        <v>14</v>
      </c>
      <c r="N165" s="16" t="e">
        <f t="shared" ca="1" si="4"/>
        <v>#NAME?</v>
      </c>
      <c r="O165" s="153">
        <f ca="1">VLOOKUP($AB$2,'RF Mod'!$A$2:$G$12,5,FALSE)+VLOOKUP($AD$2,'RF Mod'!$I$2:$O$11,5,FALSE)+(TRUNC(6+(24-6)*(TRUNC(MOD(($Z165*1103515245 +12345)/ 65536, 32768),0)/32768),0))</f>
        <v>17</v>
      </c>
      <c r="P165" s="16" t="e">
        <f t="shared" ca="1" si="5"/>
        <v>#NAME?</v>
      </c>
      <c r="Q165" s="153">
        <f ca="1">VLOOKUP($AB$2,'RF Mod'!$A$2:$G$12,6,FALSE)+VLOOKUP($AD$2,'RF Mod'!$I$2:$O$11,6,FALSE)+(TRUNC(6+(24-6)*(TRUNC(MOD(($Z165*1103515245 +12345)/ 65536, 32768),0)/32768),0))</f>
        <v>15</v>
      </c>
      <c r="R165" s="16" t="e">
        <f t="shared" ca="1" si="6"/>
        <v>#NAME?</v>
      </c>
      <c r="S165" s="154">
        <f t="shared" ca="1" si="12"/>
        <v>184</v>
      </c>
      <c r="T165" s="154">
        <f t="shared" ca="1" si="7"/>
        <v>214</v>
      </c>
      <c r="U165" s="16" t="str">
        <f t="shared" ca="1" si="8"/>
        <v>Dead</v>
      </c>
      <c r="V165" s="155">
        <f ca="1">IFERROR(__xludf.DUMMYFUNCTION("if(W165=""Middle Age"",QUERY(NPCVar!$K$2:$N1000, ""Select L where K = '""&amp;AB165&amp;""'""),if(W165=""Old"",QUERY(NPCVar!$K$2:$N1000, ""Select M where K = '""&amp;AB165&amp;""'""),if(W165=""Venerable"",QUERY(NPCVar!$K$2:$N1000, ""Select N where K = '""&amp;AB165&amp;""'""),fa"&amp;"lse)))*X165"),190)</f>
        <v>190</v>
      </c>
      <c r="W165" s="156" t="str">
        <f t="array" ref="W165">INDEX(NPCAgeType,TRUNC(1+(4-1)*(TRUNC(MOD((X165*1103515245 +12345)/ 65536, 32768),0)/32768),0))</f>
        <v>Venerable</v>
      </c>
      <c r="X165" s="117">
        <f t="shared" si="13"/>
        <v>1.9</v>
      </c>
      <c r="Y165" s="157" t="e">
        <f t="array" aca="1" ref="Y165" ca="1">LOOKUP(ABS(MAX(Z165 + MIN(ABS(INDIRECT("Class Jobs!B"&amp;MATCH(E165,'Class Jobs'!$A$1:$A1000,0)&amp;":"&amp;"AF"&amp;MATCH(E165,'Class Jobs'!$A$1:$A1000,0)&amp;"")-$Z165)) * SUM(IF(MIN(ABS(INDIRECT("Class Jobs!B"&amp;MATCH(E165,'Class Jobs'!$A$1:$A1000,0)&amp;":"&amp;"AF"&amp;MATCH(E165,'Class Jobs'!$A$1:$A1000,0)&amp;"")-$Z165))=ABS(INDIRECT("Class Jobs!B"&amp;MATCH(E165,'Class Jobs'!$A$1:$A1000,0)&amp;":"&amp;"AF"&amp;MATCH(E165,'Class Jobs'!$A$1:$A1000,0)&amp;"")-$Z165),SIGN(INDIRECT("Class Jobs!B"&amp;MATCH(E165,'Class Jobs'!$A$1:A1000,0)&amp;":"&amp;"AF"&amp;MATCH(E165,'Class Jobs'!$A$1:$A1000,0)&amp;"")-$Z165),0)),0)),INDIRECT("Class Jobs!B"&amp;MATCH(E165,'Class Jobs'!$A$1:$A1000,0)&amp;":"&amp;"AF"&amp;MATCH(E165,'Class Jobs'!$A$1:$A1000,1)&amp;""),'Class Jobs'!$B$1:$AF$1)</f>
        <v>#REF!</v>
      </c>
      <c r="Z165" s="158">
        <f t="shared" si="10"/>
        <v>0.78</v>
      </c>
      <c r="AA165" s="16" t="str">
        <f t="array" ref="AA165">INDEX(NPCGender,TRUNC(1+(COUNTA(NPCGender))*(TRUNC(MOD(($B165*1103515245 +12345)/ 65536, 32768),0)/32768),0))</f>
        <v>Neutral</v>
      </c>
      <c r="AB165" s="16" t="str">
        <f t="array" ref="AB165">INDEX(NPCRace,TRUNC(1+(COUNTA(NPCRace))*(TRUNC(MOD(($B165*1103515245 +12345)/ 65536, 32768),0)/32768),0))</f>
        <v>Tiefling</v>
      </c>
      <c r="AC165" s="16" t="str">
        <f t="array" ref="AC165">INDEX(NPCAL,TRUNC(1+(COUNTA(NPCAL))*(TRUNC(MOD(($B165*1103515245 +12345)/ 65536, 32768),0)/32768),0))</f>
        <v>LN</v>
      </c>
      <c r="AD165" s="72" t="str">
        <f ca="1">IFERROR(__xludf.DUMMYFUNCTION("if(V165&lt;15,QUERY(NPCVar!C:D,""Select D WHERE C = '""&amp;D165&amp;""'""),if((TRUNC(1+10)*(TRUNC(MOD((ROW(H165)*1103515245 +12345)/ 65536, 32768),0)/32768)/10) &gt; 0.85,INDEX(NPCFaction,TRUNC(1+(counta(NPCFaction)-1)*(TRUNC(MOD(($B165*1103515245 +12345)/ 65536, 3276"&amp;"8),0)/32768),0)),QUERY(NPCVar!C:D,""Select D WHERE C = '""&amp;D165&amp;""'"")))"),"Farmers Guild")</f>
        <v>Farmers Guild</v>
      </c>
      <c r="AE165" s="108" t="e">
        <f t="shared" ca="1" si="11"/>
        <v>#NAME?</v>
      </c>
      <c r="AF165" s="159">
        <f ca="1">IFERROR(__xludf.DUMMYFUNCTION("AE165*(V165 / QUERY(NPCVar!$K$2:$N$12, ""Select N WHERE K='""&amp;AB165&amp;""'""))*TRUNC(1+10)*(TRUNC(MOD(($B165*1103515245 +12345)/ 65536, 32768),0)/32768)"),6.57997924804687)</f>
        <v>6.57997924804687</v>
      </c>
      <c r="AG165" s="16"/>
      <c r="AH165" s="77"/>
      <c r="AI165" s="114"/>
    </row>
    <row r="166" spans="1:35" ht="16.2">
      <c r="A166" s="53">
        <v>165</v>
      </c>
      <c r="B166" s="118">
        <f t="shared" si="15"/>
        <v>0.52581999999999995</v>
      </c>
      <c r="C166" s="72" t="str">
        <f t="array" ref="C166">INDEX(NPCFName,TRUNC(1+(COUNTA(NPCFName))*(TRUNC(MOD(($B166*1103515245 +12345)/ 65536, 32768),0)/32768),0))</f>
        <v>Sil'forrin</v>
      </c>
      <c r="D166" s="16" t="str">
        <f t="array" ref="D166">INDEX(NPCLName,TRUNC(1+(COUNTA(NPCLName))*(TRUNC(MOD(($B166*1103515245 +12345)/ 65536, 32768),0)/32768),0))</f>
        <v>Commonscream</v>
      </c>
      <c r="E166" s="16" t="str">
        <f t="array" ref="E166">INDEX(NPCClass,TRUNC(1+(COUNTA(NPCClass))*(TRUNC(MOD(($B166*1103515245 +12345)/ 65536, 32768),0)/32768),0))</f>
        <v>Monk</v>
      </c>
      <c r="F166" s="76">
        <v>1</v>
      </c>
      <c r="G166" s="153">
        <f ca="1">VLOOKUP($AB$2,'RF Mod'!$A$2:$G$12,2,FALSE)+VLOOKUP($AD$2,'RF Mod'!$I$2:$O$11,2,FALSE)+(TRUNC(6+(24-6)*(TRUNC(MOD(($Z166*1103515245 +12345)/ 65536, 32768),0)/32768),0))</f>
        <v>6</v>
      </c>
      <c r="H166" s="16">
        <f t="shared" ca="1" si="1"/>
        <v>-2</v>
      </c>
      <c r="I166" s="153">
        <f ca="1">VLOOKUP($AB$2,'RF Mod'!$A$2:$G$12,3,FALSE)+VLOOKUP($AD$2,'RF Mod'!$I$2:$O$11,3,FALSE)+(TRUNC(6+(24-6)*(TRUNC(MOD(($Z166*1103515245 +12345)/ 65536, 32768),0)/32768),0))</f>
        <v>10</v>
      </c>
      <c r="J166" s="16" t="e">
        <f t="shared" ca="1" si="2"/>
        <v>#NAME?</v>
      </c>
      <c r="K166" s="153">
        <f ca="1">VLOOKUP($AB$2,'RF Mod'!$A$2:$G$12,3,FALSE)+VLOOKUP($AD$2,'RF Mod'!$I$2:$O$11,3,FALSE)+(TRUNC(6+(24-6)*(TRUNC(MOD(($Z166*1103515245 +12345)/ 65536, 32768),0)/32768),0))</f>
        <v>10</v>
      </c>
      <c r="L166" s="16" t="e">
        <f t="shared" ca="1" si="3"/>
        <v>#NAME?</v>
      </c>
      <c r="M166" s="153">
        <f ca="1">VLOOKUP($AB$2,'RF Mod'!$A$2:$G$12,4,FALSE)+VLOOKUP($AD$2,'RF Mod'!$I$2:$O$11,4,FALSE)+(TRUNC(6+(24-6)*(TRUNC(MOD(($Z166*1103515245 +12345)/ 65536, 32768),0)/32768),0))</f>
        <v>9</v>
      </c>
      <c r="N166" s="16">
        <f t="shared" ca="1" si="4"/>
        <v>-1</v>
      </c>
      <c r="O166" s="153">
        <f ca="1">VLOOKUP($AB$2,'RF Mod'!$A$2:$G$12,5,FALSE)+VLOOKUP($AD$2,'RF Mod'!$I$2:$O$11,5,FALSE)+(TRUNC(6+(24-6)*(TRUNC(MOD(($Z166*1103515245 +12345)/ 65536, 32768),0)/32768),0))</f>
        <v>12</v>
      </c>
      <c r="P166" s="16" t="e">
        <f t="shared" ca="1" si="5"/>
        <v>#NAME?</v>
      </c>
      <c r="Q166" s="153">
        <f ca="1">VLOOKUP($AB$2,'RF Mod'!$A$2:$G$12,6,FALSE)+VLOOKUP($AD$2,'RF Mod'!$I$2:$O$11,6,FALSE)+(TRUNC(6+(24-6)*(TRUNC(MOD(($Z166*1103515245 +12345)/ 65536, 32768),0)/32768),0))</f>
        <v>10</v>
      </c>
      <c r="R166" s="16" t="e">
        <f t="shared" ca="1" si="6"/>
        <v>#NAME?</v>
      </c>
      <c r="S166" s="154">
        <f t="shared" ca="1" si="12"/>
        <v>16</v>
      </c>
      <c r="T166" s="154">
        <f t="shared" ca="1" si="7"/>
        <v>19</v>
      </c>
      <c r="U166" s="16" t="str">
        <f t="shared" ca="1" si="8"/>
        <v>Dead</v>
      </c>
      <c r="V166" s="155">
        <f ca="1">IFERROR(__xludf.DUMMYFUNCTION("if(W166=""Middle Age"",QUERY(NPCVar!$K$2:$N1000, ""Select L where K = '""&amp;AB166&amp;""'""),if(W166=""Old"",QUERY(NPCVar!$K$2:$N1000, ""Select M where K = '""&amp;AB166&amp;""'""),if(W166=""Venerable"",QUERY(NPCVar!$K$2:$N1000, ""Select N where K = '""&amp;AB166&amp;""'""),fa"&amp;"lse)))*X166"),196.875)</f>
        <v>196.875</v>
      </c>
      <c r="W166" s="156" t="str">
        <f t="array" ref="W166">INDEX(NPCAgeType,TRUNC(1+(4-1)*(TRUNC(MOD((X166*1103515245 +12345)/ 65536, 32768),0)/32768),0))</f>
        <v>Old</v>
      </c>
      <c r="X166" s="117">
        <f t="shared" si="13"/>
        <v>0.7</v>
      </c>
      <c r="Y166" s="157" t="e">
        <f t="array" aca="1" ref="Y166" ca="1">LOOKUP(ABS(MAX(Z166 + MIN(ABS(INDIRECT("Class Jobs!B"&amp;MATCH(E166,'Class Jobs'!$A$1:$A1000,0)&amp;":"&amp;"AF"&amp;MATCH(E166,'Class Jobs'!$A$1:$A1000,0)&amp;"")-$Z166)) * SUM(IF(MIN(ABS(INDIRECT("Class Jobs!B"&amp;MATCH(E166,'Class Jobs'!$A$1:$A1000,0)&amp;":"&amp;"AF"&amp;MATCH(E166,'Class Jobs'!$A$1:$A1000,0)&amp;"")-$Z166))=ABS(INDIRECT("Class Jobs!B"&amp;MATCH(E166,'Class Jobs'!$A$1:$A1000,0)&amp;":"&amp;"AF"&amp;MATCH(E166,'Class Jobs'!$A$1:$A1000,0)&amp;"")-$Z166),SIGN(INDIRECT("Class Jobs!B"&amp;MATCH(E166,'Class Jobs'!$A$1:A1000,0)&amp;":"&amp;"AF"&amp;MATCH(E166,'Class Jobs'!$A$1:$A1000,0)&amp;"")-$Z166),0)),0)),INDIRECT("Class Jobs!B"&amp;MATCH(E166,'Class Jobs'!$A$1:$A1000,0)&amp;":"&amp;"AF"&amp;MATCH(E166,'Class Jobs'!$A$1:$A1000,1)&amp;""),'Class Jobs'!$B$1:$AF$1)</f>
        <v>#REF!</v>
      </c>
      <c r="Z166" s="158">
        <f t="shared" si="10"/>
        <v>0.27</v>
      </c>
      <c r="AA166" s="16" t="str">
        <f t="array" ref="AA166">INDEX(NPCGender,TRUNC(1+(COUNTA(NPCGender))*(TRUNC(MOD(($B166*1103515245 +12345)/ 65536, 32768),0)/32768),0))</f>
        <v>Male</v>
      </c>
      <c r="AB166" s="16" t="str">
        <f t="array" ref="AB166">INDEX(NPCRace,TRUNC(1+(COUNTA(NPCRace))*(TRUNC(MOD(($B166*1103515245 +12345)/ 65536, 32768),0)/32768),0))</f>
        <v>Elf</v>
      </c>
      <c r="AC166" s="16" t="str">
        <f t="array" ref="AC166">INDEX(NPCAL,TRUNC(1+(COUNTA(NPCAL))*(TRUNC(MOD(($B166*1103515245 +12345)/ 65536, 32768),0)/32768),0))</f>
        <v>CG</v>
      </c>
      <c r="AD166" s="72" t="str">
        <f ca="1">IFERROR(__xludf.DUMMYFUNCTION("if(V166&lt;15,QUERY(NPCVar!C:D,""Select D WHERE C = '""&amp;D166&amp;""'""),if((TRUNC(1+10)*(TRUNC(MOD((ROW(H166)*1103515245 +12345)/ 65536, 32768),0)/32768)/10) &gt; 0.85,INDEX(NPCFaction,TRUNC(1+(counta(NPCFaction)-1)*(TRUNC(MOD(($B166*1103515245 +12345)/ 65536, 3276"&amp;"8),0)/32768),0)),QUERY(NPCVar!C:D,""Select D WHERE C = '""&amp;D166&amp;""'"")))"),"Necromancer")</f>
        <v>Necromancer</v>
      </c>
      <c r="AE166" s="108" t="e">
        <f t="shared" ca="1" si="11"/>
        <v>#NAME?</v>
      </c>
      <c r="AF166" s="159">
        <f ca="1">IFERROR(__xludf.DUMMYFUNCTION("AE166*(V166 / QUERY(NPCVar!$K$2:$N$12, ""Select N WHERE K='""&amp;AB166&amp;""'""))*TRUNC(1+10)*(TRUNC(MOD(($B166*1103515245 +12345)/ 65536, 32768),0)/32768)"),0.468126068115234)</f>
        <v>0.468126068115234</v>
      </c>
      <c r="AG166" s="16"/>
      <c r="AH166" s="77"/>
      <c r="AI166" s="114"/>
    </row>
    <row r="167" spans="1:35" ht="16.2">
      <c r="A167" s="53">
        <v>166</v>
      </c>
      <c r="B167" s="118">
        <f t="shared" si="15"/>
        <v>2.0199600000000002</v>
      </c>
      <c r="C167" s="72" t="str">
        <f t="array" ref="C167">INDEX(NPCFName,TRUNC(1+(COUNTA(NPCFName))*(TRUNC(MOD(($B167*1103515245 +12345)/ 65536, 32768),0)/32768),0))</f>
        <v>Bredock</v>
      </c>
      <c r="D167" s="16" t="str">
        <f t="array" ref="D167">INDEX(NPCLName,TRUNC(1+(COUNTA(NPCLName))*(TRUNC(MOD(($B167*1103515245 +12345)/ 65536, 32768),0)/32768),0))</f>
        <v>Crystalgazer</v>
      </c>
      <c r="E167" s="16" t="str">
        <f t="array" ref="E167">INDEX(NPCClass,TRUNC(1+(COUNTA(NPCClass))*(TRUNC(MOD(($B167*1103515245 +12345)/ 65536, 32768),0)/32768),0))</f>
        <v>Barbarian</v>
      </c>
      <c r="F167" s="76">
        <v>1</v>
      </c>
      <c r="G167" s="153">
        <f ca="1">VLOOKUP($AB$2,'RF Mod'!$A$2:$G$12,2,FALSE)+VLOOKUP($AD$2,'RF Mod'!$I$2:$O$11,2,FALSE)+(TRUNC(6+(24-6)*(TRUNC(MOD(($Z167*1103515245 +12345)/ 65536, 32768),0)/32768),0))</f>
        <v>4</v>
      </c>
      <c r="H167" s="16">
        <f t="shared" ca="1" si="1"/>
        <v>-3</v>
      </c>
      <c r="I167" s="153">
        <f ca="1">VLOOKUP($AB$2,'RF Mod'!$A$2:$G$12,3,FALSE)+VLOOKUP($AD$2,'RF Mod'!$I$2:$O$11,3,FALSE)+(TRUNC(6+(24-6)*(TRUNC(MOD(($Z167*1103515245 +12345)/ 65536, 32768),0)/32768),0))</f>
        <v>8</v>
      </c>
      <c r="J167" s="16">
        <f t="shared" ca="1" si="2"/>
        <v>-1</v>
      </c>
      <c r="K167" s="153">
        <f ca="1">VLOOKUP($AB$2,'RF Mod'!$A$2:$G$12,3,FALSE)+VLOOKUP($AD$2,'RF Mod'!$I$2:$O$11,3,FALSE)+(TRUNC(6+(24-6)*(TRUNC(MOD(($Z167*1103515245 +12345)/ 65536, 32768),0)/32768),0))</f>
        <v>8</v>
      </c>
      <c r="L167" s="16">
        <f t="shared" ca="1" si="3"/>
        <v>-1</v>
      </c>
      <c r="M167" s="153">
        <f ca="1">VLOOKUP($AB$2,'RF Mod'!$A$2:$G$12,4,FALSE)+VLOOKUP($AD$2,'RF Mod'!$I$2:$O$11,4,FALSE)+(TRUNC(6+(24-6)*(TRUNC(MOD(($Z167*1103515245 +12345)/ 65536, 32768),0)/32768),0))</f>
        <v>7</v>
      </c>
      <c r="N167" s="16">
        <f t="shared" ca="1" si="4"/>
        <v>-2</v>
      </c>
      <c r="O167" s="153">
        <f ca="1">VLOOKUP($AB$2,'RF Mod'!$A$2:$G$12,5,FALSE)+VLOOKUP($AD$2,'RF Mod'!$I$2:$O$11,5,FALSE)+(TRUNC(6+(24-6)*(TRUNC(MOD(($Z167*1103515245 +12345)/ 65536, 32768),0)/32768),0))</f>
        <v>10</v>
      </c>
      <c r="P167" s="16" t="e">
        <f t="shared" ca="1" si="5"/>
        <v>#NAME?</v>
      </c>
      <c r="Q167" s="153">
        <f ca="1">VLOOKUP($AB$2,'RF Mod'!$A$2:$G$12,6,FALSE)+VLOOKUP($AD$2,'RF Mod'!$I$2:$O$11,6,FALSE)+(TRUNC(6+(24-6)*(TRUNC(MOD(($Z167*1103515245 +12345)/ 65536, 32768),0)/32768),0))</f>
        <v>8</v>
      </c>
      <c r="R167" s="16">
        <f t="shared" ca="1" si="6"/>
        <v>-1</v>
      </c>
      <c r="S167" s="154">
        <f t="shared" ca="1" si="12"/>
        <v>10</v>
      </c>
      <c r="T167" s="154">
        <f t="shared" ca="1" si="7"/>
        <v>6</v>
      </c>
      <c r="U167" s="16" t="str">
        <f t="shared" ca="1" si="8"/>
        <v>Bloody</v>
      </c>
      <c r="V167" s="155">
        <f ca="1">IFERROR(__xludf.DUMMYFUNCTION("if(W167=""Middle Age"",QUERY(NPCVar!$K$2:$N1000, ""Select L where K = '""&amp;AB167&amp;""'""),if(W167=""Old"",QUERY(NPCVar!$K$2:$N1000, ""Select M where K = '""&amp;AB167&amp;""'""),if(W167=""Venerable"",QUERY(NPCVar!$K$2:$N1000, ""Select N where K = '""&amp;AB167&amp;""'""),fa"&amp;"lse)))*X167"),2)</f>
        <v>2</v>
      </c>
      <c r="W167" s="156" t="str">
        <f t="array" ref="W167">INDEX(NPCAgeType,TRUNC(1+(4-1)*(TRUNC(MOD((X167*1103515245 +12345)/ 65536, 32768),0)/32768),0))</f>
        <v>Middle Age</v>
      </c>
      <c r="X167" s="117">
        <f t="shared" si="13"/>
        <v>0.1</v>
      </c>
      <c r="Y167" s="157" t="e">
        <f t="array" aca="1" ref="Y167" ca="1">LOOKUP(ABS(MAX(Z167 + MIN(ABS(INDIRECT("Class Jobs!B"&amp;MATCH(E167,'Class Jobs'!$A$1:$A1000,0)&amp;":"&amp;"AF"&amp;MATCH(E167,'Class Jobs'!$A$1:$A1000,0)&amp;"")-$Z167)) * SUM(IF(MIN(ABS(INDIRECT("Class Jobs!B"&amp;MATCH(E167,'Class Jobs'!$A$1:$A1000,0)&amp;":"&amp;"AF"&amp;MATCH(E167,'Class Jobs'!$A$1:$A1000,0)&amp;"")-$Z167))=ABS(INDIRECT("Class Jobs!B"&amp;MATCH(E167,'Class Jobs'!$A$1:$A1000,0)&amp;":"&amp;"AF"&amp;MATCH(E167,'Class Jobs'!$A$1:$A1000,0)&amp;"")-$Z167),SIGN(INDIRECT("Class Jobs!B"&amp;MATCH(E167,'Class Jobs'!$A$1:A1000,0)&amp;":"&amp;"AF"&amp;MATCH(E167,'Class Jobs'!$A$1:$A1000,0)&amp;"")-$Z167),0)),0)),INDIRECT("Class Jobs!B"&amp;MATCH(E167,'Class Jobs'!$A$1:$A1000,0)&amp;":"&amp;"AF"&amp;MATCH(E167,'Class Jobs'!$A$1:$A1000,1)&amp;""),'Class Jobs'!$B$1:$AF$1)</f>
        <v>#REF!</v>
      </c>
      <c r="Z167" s="158">
        <f t="shared" si="10"/>
        <v>0.04</v>
      </c>
      <c r="AA167" s="16" t="str">
        <f t="array" ref="AA167">INDEX(NPCGender,TRUNC(1+(COUNTA(NPCGender))*(TRUNC(MOD(($B167*1103515245 +12345)/ 65536, 32768),0)/32768),0))</f>
        <v>Male</v>
      </c>
      <c r="AB167" s="16" t="str">
        <f t="array" ref="AB167">INDEX(NPCRace,TRUNC(1+(COUNTA(NPCRace))*(TRUNC(MOD(($B167*1103515245 +12345)/ 65536, 32768),0)/32768),0))</f>
        <v>Dragonborn</v>
      </c>
      <c r="AC167" s="16" t="str">
        <f t="array" ref="AC167">INDEX(NPCAL,TRUNC(1+(COUNTA(NPCAL))*(TRUNC(MOD(($B167*1103515245 +12345)/ 65536, 32768),0)/32768),0))</f>
        <v>CN</v>
      </c>
      <c r="AD167" s="72" t="str">
        <f ca="1">IFERROR(__xludf.DUMMYFUNCTION("if(V167&lt;15,QUERY(NPCVar!C:D,""Select D WHERE C = '""&amp;D167&amp;""'""),if((TRUNC(1+10)*(TRUNC(MOD((ROW(H167)*1103515245 +12345)/ 65536, 32768),0)/32768)/10) &gt; 0.85,INDEX(NPCFaction,TRUNC(1+(counta(NPCFaction)-1)*(TRUNC(MOD(($B167*1103515245 +12345)/ 65536, 3276"&amp;"8),0)/32768),0)),QUERY(NPCVar!C:D,""Select D WHERE C = '""&amp;D167&amp;""'"")))"),"Death Guild")</f>
        <v>Death Guild</v>
      </c>
      <c r="AE167" s="108" t="e">
        <f t="shared" ca="1" si="11"/>
        <v>#NAME?</v>
      </c>
      <c r="AF167" s="159">
        <f ca="1">IFERROR(__xludf.DUMMYFUNCTION("AE167*(V167 / QUERY(NPCVar!$K$2:$N$12, ""Select N WHERE K='""&amp;AB167&amp;""'""))*TRUNC(1+10)*(TRUNC(MOD(($B167*1103515245 +12345)/ 65536, 32768),0)/32768)"),0)</f>
        <v>0</v>
      </c>
      <c r="AG167" s="16"/>
      <c r="AH167" s="77"/>
      <c r="AI167" s="114"/>
    </row>
    <row r="168" spans="1:35" ht="16.2">
      <c r="A168" s="53">
        <v>167</v>
      </c>
      <c r="B168" s="118">
        <f t="shared" si="15"/>
        <v>1.0141</v>
      </c>
      <c r="C168" s="72" t="str">
        <f t="array" ref="C168">INDEX(NPCFName,TRUNC(1+(COUNTA(NPCFName))*(TRUNC(MOD(($B168*1103515245 +12345)/ 65536, 32768),0)/32768),0))</f>
        <v>Meowol</v>
      </c>
      <c r="D168" s="16" t="str">
        <f t="array" ref="D168">INDEX(NPCLName,TRUNC(1+(COUNTA(NPCLName))*(TRUNC(MOD(($B168*1103515245 +12345)/ 65536, 32768),0)/32768),0))</f>
        <v>Staghammer</v>
      </c>
      <c r="E168" s="16" t="str">
        <f t="array" ref="E168">INDEX(NPCClass,TRUNC(1+(COUNTA(NPCClass))*(TRUNC(MOD(($B168*1103515245 +12345)/ 65536, 32768),0)/32768),0))</f>
        <v>Sorcerer</v>
      </c>
      <c r="F168" s="76">
        <v>5</v>
      </c>
      <c r="G168" s="153">
        <f ca="1">VLOOKUP($AB$2,'RF Mod'!$A$2:$G$12,2,FALSE)+VLOOKUP($AD$2,'RF Mod'!$I$2:$O$11,2,FALSE)+(TRUNC(6+(24-6)*(TRUNC(MOD(($Z168*1103515245 +12345)/ 65536, 32768),0)/32768),0))</f>
        <v>8</v>
      </c>
      <c r="H168" s="16">
        <f t="shared" ca="1" si="1"/>
        <v>-1</v>
      </c>
      <c r="I168" s="153">
        <f ca="1">VLOOKUP($AB$2,'RF Mod'!$A$2:$G$12,3,FALSE)+VLOOKUP($AD$2,'RF Mod'!$I$2:$O$11,3,FALSE)+(TRUNC(6+(24-6)*(TRUNC(MOD(($Z168*1103515245 +12345)/ 65536, 32768),0)/32768),0))</f>
        <v>12</v>
      </c>
      <c r="J168" s="16" t="e">
        <f t="shared" ca="1" si="2"/>
        <v>#NAME?</v>
      </c>
      <c r="K168" s="153">
        <f ca="1">VLOOKUP($AB$2,'RF Mod'!$A$2:$G$12,3,FALSE)+VLOOKUP($AD$2,'RF Mod'!$I$2:$O$11,3,FALSE)+(TRUNC(6+(24-6)*(TRUNC(MOD(($Z168*1103515245 +12345)/ 65536, 32768),0)/32768),0))</f>
        <v>12</v>
      </c>
      <c r="L168" s="16" t="e">
        <f t="shared" ca="1" si="3"/>
        <v>#NAME?</v>
      </c>
      <c r="M168" s="153">
        <f ca="1">VLOOKUP($AB$2,'RF Mod'!$A$2:$G$12,4,FALSE)+VLOOKUP($AD$2,'RF Mod'!$I$2:$O$11,4,FALSE)+(TRUNC(6+(24-6)*(TRUNC(MOD(($Z168*1103515245 +12345)/ 65536, 32768),0)/32768),0))</f>
        <v>11</v>
      </c>
      <c r="N168" s="16" t="e">
        <f t="shared" ca="1" si="4"/>
        <v>#NAME?</v>
      </c>
      <c r="O168" s="153">
        <f ca="1">VLOOKUP($AB$2,'RF Mod'!$A$2:$G$12,5,FALSE)+VLOOKUP($AD$2,'RF Mod'!$I$2:$O$11,5,FALSE)+(TRUNC(6+(24-6)*(TRUNC(MOD(($Z168*1103515245 +12345)/ 65536, 32768),0)/32768),0))</f>
        <v>14</v>
      </c>
      <c r="P168" s="16" t="e">
        <f t="shared" ca="1" si="5"/>
        <v>#NAME?</v>
      </c>
      <c r="Q168" s="153">
        <f ca="1">VLOOKUP($AB$2,'RF Mod'!$A$2:$G$12,6,FALSE)+VLOOKUP($AD$2,'RF Mod'!$I$2:$O$11,6,FALSE)+(TRUNC(6+(24-6)*(TRUNC(MOD(($Z168*1103515245 +12345)/ 65536, 32768),0)/32768),0))</f>
        <v>12</v>
      </c>
      <c r="R168" s="16" t="e">
        <f t="shared" ca="1" si="6"/>
        <v>#NAME?</v>
      </c>
      <c r="S168" s="154">
        <f t="shared" ca="1" si="12"/>
        <v>110</v>
      </c>
      <c r="T168" s="154">
        <f t="shared" ca="1" si="7"/>
        <v>45</v>
      </c>
      <c r="U168" s="16" t="str">
        <f t="shared" ca="1" si="8"/>
        <v>Fine</v>
      </c>
      <c r="V168" s="155">
        <f ca="1">IFERROR(__xludf.DUMMYFUNCTION("if(W168=""Middle Age"",QUERY(NPCVar!$K$2:$N1000, ""Select L where K = '""&amp;AB168&amp;""'""),if(W168=""Old"",QUERY(NPCVar!$K$2:$N1000, ""Select M where K = '""&amp;AB168&amp;""'""),if(W168=""Venerable"",QUERY(NPCVar!$K$2:$N1000, ""Select N where K = '""&amp;AB168&amp;""'""),fa"&amp;"lse)))*X168"),91)</f>
        <v>91</v>
      </c>
      <c r="W168" s="156" t="str">
        <f t="array" ref="W168">INDEX(NPCAgeType,TRUNC(1+(4-1)*(TRUNC(MOD((X168*1103515245 +12345)/ 65536, 32768),0)/32768),0))</f>
        <v>Venerable</v>
      </c>
      <c r="X168" s="117">
        <f t="shared" si="13"/>
        <v>1.3</v>
      </c>
      <c r="Y168" s="157" t="e">
        <f t="array" aca="1" ref="Y168" ca="1">LOOKUP(ABS(MAX(Z168 + MIN(ABS(INDIRECT("Class Jobs!B"&amp;MATCH(E168,'Class Jobs'!$A$1:$A1000,0)&amp;":"&amp;"AF"&amp;MATCH(E168,'Class Jobs'!$A$1:$A1000,0)&amp;"")-$Z168)) * SUM(IF(MIN(ABS(INDIRECT("Class Jobs!B"&amp;MATCH(E168,'Class Jobs'!$A$1:$A1000,0)&amp;":"&amp;"AF"&amp;MATCH(E168,'Class Jobs'!$A$1:$A1000,0)&amp;"")-$Z168))=ABS(INDIRECT("Class Jobs!B"&amp;MATCH(E168,'Class Jobs'!$A$1:$A1000,0)&amp;":"&amp;"AF"&amp;MATCH(E168,'Class Jobs'!$A$1:$A1000,0)&amp;"")-$Z168),SIGN(INDIRECT("Class Jobs!B"&amp;MATCH(E168,'Class Jobs'!$A$1:A1000,0)&amp;":"&amp;"AF"&amp;MATCH(E168,'Class Jobs'!$A$1:$A1000,0)&amp;"")-$Z168),0)),0)),INDIRECT("Class Jobs!B"&amp;MATCH(E168,'Class Jobs'!$A$1:$A1000,0)&amp;":"&amp;"AF"&amp;MATCH(E168,'Class Jobs'!$A$1:$A1000,1)&amp;""),'Class Jobs'!$B$1:$AF$1)</f>
        <v>#REF!</v>
      </c>
      <c r="Z168" s="158">
        <f t="shared" si="10"/>
        <v>0.52</v>
      </c>
      <c r="AA168" s="16" t="str">
        <f t="array" ref="AA168">INDEX(NPCGender,TRUNC(1+(COUNTA(NPCGender))*(TRUNC(MOD(($B168*1103515245 +12345)/ 65536, 32768),0)/32768),0))</f>
        <v>Female</v>
      </c>
      <c r="AB168" s="16" t="str">
        <f t="array" ref="AB168">INDEX(NPCRace,TRUNC(1+(COUNTA(NPCRace))*(TRUNC(MOD(($B168*1103515245 +12345)/ 65536, 32768),0)/32768),0))</f>
        <v>Half-Orc</v>
      </c>
      <c r="AC168" s="16" t="str">
        <f t="array" ref="AC168">INDEX(NPCAL,TRUNC(1+(COUNTA(NPCAL))*(TRUNC(MOD(($B168*1103515245 +12345)/ 65536, 32768),0)/32768),0))</f>
        <v>NN</v>
      </c>
      <c r="AD168" s="72" t="str">
        <f ca="1">IFERROR(__xludf.DUMMYFUNCTION("if(V168&lt;15,QUERY(NPCVar!C:D,""Select D WHERE C = '""&amp;D168&amp;""'""),if((TRUNC(1+10)*(TRUNC(MOD((ROW(H168)*1103515245 +12345)/ 65536, 32768),0)/32768)/10) &gt; 0.85,INDEX(NPCFaction,TRUNC(1+(counta(NPCFaction)-1)*(TRUNC(MOD(($B168*1103515245 +12345)/ 65536, 3276"&amp;"8),0)/32768),0)),QUERY(NPCVar!C:D,""Select D WHERE C = '""&amp;D168&amp;""'"")))"),"Farmers Guild")</f>
        <v>Farmers Guild</v>
      </c>
      <c r="AE168" s="108" t="e">
        <f t="shared" ca="1" si="11"/>
        <v>#NAME?</v>
      </c>
      <c r="AF168" s="159">
        <f ca="1">IFERROR(__xludf.DUMMYFUNCTION("AE168*(V168 / QUERY(NPCVar!$K$2:$N$12, ""Select N WHERE K='""&amp;AB168&amp;""'""))*TRUNC(1+10)*(TRUNC(MOD(($B168*1103515245 +12345)/ 65536, 32768),0)/32768)"),6.7063980102539)</f>
        <v>6.7063980102539</v>
      </c>
      <c r="AG168" s="16"/>
      <c r="AH168" s="77"/>
      <c r="AI168" s="114"/>
    </row>
    <row r="169" spans="1:35" ht="16.2">
      <c r="A169" s="53">
        <v>168</v>
      </c>
      <c r="B169" s="118">
        <f t="shared" si="15"/>
        <v>8.1700000000000002E-3</v>
      </c>
      <c r="C169" s="72" t="str">
        <f t="array" ref="C169">INDEX(NPCFName,TRUNC(1+(COUNTA(NPCFName))*(TRUNC(MOD(($B169*1103515245 +12345)/ 65536, 32768),0)/32768),0))</f>
        <v>Adeen</v>
      </c>
      <c r="D169" s="16" t="str">
        <f t="array" ref="D169">INDEX(NPCLName,TRUNC(1+(COUNTA(NPCLName))*(TRUNC(MOD(($B169*1103515245 +12345)/ 65536, 32768),0)/32768),0))</f>
        <v>Stagfang</v>
      </c>
      <c r="E169" s="16" t="str">
        <f t="array" ref="E169">INDEX(NPCClass,TRUNC(1+(COUNTA(NPCClass))*(TRUNC(MOD(($B169*1103515245 +12345)/ 65536, 32768),0)/32768),0))</f>
        <v>Barbarian</v>
      </c>
      <c r="F169" s="76">
        <v>1</v>
      </c>
      <c r="G169" s="153">
        <f ca="1">VLOOKUP($AB$2,'RF Mod'!$A$2:$G$12,2,FALSE)+VLOOKUP($AD$2,'RF Mod'!$I$2:$O$11,2,FALSE)+(TRUNC(6+(24-6)*(TRUNC(MOD(($Z169*1103515245 +12345)/ 65536, 32768),0)/32768),0))</f>
        <v>4</v>
      </c>
      <c r="H169" s="16">
        <f t="shared" ca="1" si="1"/>
        <v>-3</v>
      </c>
      <c r="I169" s="153">
        <f ca="1">VLOOKUP($AB$2,'RF Mod'!$A$2:$G$12,3,FALSE)+VLOOKUP($AD$2,'RF Mod'!$I$2:$O$11,3,FALSE)+(TRUNC(6+(24-6)*(TRUNC(MOD(($Z169*1103515245 +12345)/ 65536, 32768),0)/32768),0))</f>
        <v>8</v>
      </c>
      <c r="J169" s="16">
        <f t="shared" ca="1" si="2"/>
        <v>-1</v>
      </c>
      <c r="K169" s="153">
        <f ca="1">VLOOKUP($AB$2,'RF Mod'!$A$2:$G$12,3,FALSE)+VLOOKUP($AD$2,'RF Mod'!$I$2:$O$11,3,FALSE)+(TRUNC(6+(24-6)*(TRUNC(MOD(($Z169*1103515245 +12345)/ 65536, 32768),0)/32768),0))</f>
        <v>8</v>
      </c>
      <c r="L169" s="16">
        <f t="shared" ca="1" si="3"/>
        <v>-1</v>
      </c>
      <c r="M169" s="153">
        <f ca="1">VLOOKUP($AB$2,'RF Mod'!$A$2:$G$12,4,FALSE)+VLOOKUP($AD$2,'RF Mod'!$I$2:$O$11,4,FALSE)+(TRUNC(6+(24-6)*(TRUNC(MOD(($Z169*1103515245 +12345)/ 65536, 32768),0)/32768),0))</f>
        <v>7</v>
      </c>
      <c r="N169" s="16">
        <f t="shared" ca="1" si="4"/>
        <v>-2</v>
      </c>
      <c r="O169" s="153">
        <f ca="1">VLOOKUP($AB$2,'RF Mod'!$A$2:$G$12,5,FALSE)+VLOOKUP($AD$2,'RF Mod'!$I$2:$O$11,5,FALSE)+(TRUNC(6+(24-6)*(TRUNC(MOD(($Z169*1103515245 +12345)/ 65536, 32768),0)/32768),0))</f>
        <v>10</v>
      </c>
      <c r="P169" s="16" t="e">
        <f t="shared" ca="1" si="5"/>
        <v>#NAME?</v>
      </c>
      <c r="Q169" s="153">
        <f ca="1">VLOOKUP($AB$2,'RF Mod'!$A$2:$G$12,6,FALSE)+VLOOKUP($AD$2,'RF Mod'!$I$2:$O$11,6,FALSE)+(TRUNC(6+(24-6)*(TRUNC(MOD(($Z169*1103515245 +12345)/ 65536, 32768),0)/32768),0))</f>
        <v>8</v>
      </c>
      <c r="R169" s="16">
        <f t="shared" ca="1" si="6"/>
        <v>-1</v>
      </c>
      <c r="S169" s="154">
        <f t="shared" ca="1" si="12"/>
        <v>10</v>
      </c>
      <c r="T169" s="154">
        <f t="shared" ca="1" si="7"/>
        <v>4</v>
      </c>
      <c r="U169" s="16" t="str">
        <f t="shared" ca="1" si="8"/>
        <v>Fine</v>
      </c>
      <c r="V169" s="155">
        <f ca="1">IFERROR(__xludf.DUMMYFUNCTION("if(W169=""Middle Age"",QUERY(NPCVar!$K$2:$N1000, ""Select L where K = '""&amp;AB169&amp;""'""),if(W169=""Old"",QUERY(NPCVar!$K$2:$N1000, ""Select M where K = '""&amp;AB169&amp;""'""),if(W169=""Venerable"",QUERY(NPCVar!$K$2:$N1000, ""Select N where K = '""&amp;AB169&amp;""'""),fa"&amp;"lse)))*X169"),2)</f>
        <v>2</v>
      </c>
      <c r="W169" s="156" t="str">
        <f t="array" ref="W169">INDEX(NPCAgeType,TRUNC(1+(4-1)*(TRUNC(MOD((X169*1103515245 +12345)/ 65536, 32768),0)/32768),0))</f>
        <v>Middle Age</v>
      </c>
      <c r="X169" s="117">
        <f t="shared" si="13"/>
        <v>0.1</v>
      </c>
      <c r="Y169" s="157" t="e">
        <f t="array" aca="1" ref="Y169" ca="1">LOOKUP(ABS(MAX(Z169 + MIN(ABS(INDIRECT("Class Jobs!B"&amp;MATCH(E169,'Class Jobs'!$A$1:$A1000,0)&amp;":"&amp;"AF"&amp;MATCH(E169,'Class Jobs'!$A$1:$A1000,0)&amp;"")-$Z169)) * SUM(IF(MIN(ABS(INDIRECT("Class Jobs!B"&amp;MATCH(E169,'Class Jobs'!$A$1:$A1000,0)&amp;":"&amp;"AF"&amp;MATCH(E169,'Class Jobs'!$A$1:$A1000,0)&amp;"")-$Z169))=ABS(INDIRECT("Class Jobs!B"&amp;MATCH(E169,'Class Jobs'!$A$1:$A1000,0)&amp;":"&amp;"AF"&amp;MATCH(E169,'Class Jobs'!$A$1:$A1000,0)&amp;"")-$Z169),SIGN(INDIRECT("Class Jobs!B"&amp;MATCH(E169,'Class Jobs'!$A$1:A1000,0)&amp;":"&amp;"AF"&amp;MATCH(E169,'Class Jobs'!$A$1:$A1000,0)&amp;"")-$Z169),0)),0)),INDIRECT("Class Jobs!B"&amp;MATCH(E169,'Class Jobs'!$A$1:$A1000,0)&amp;":"&amp;"AF"&amp;MATCH(E169,'Class Jobs'!$A$1:$A1000,1)&amp;""),'Class Jobs'!$B$1:$AF$1)</f>
        <v>#REF!</v>
      </c>
      <c r="Z169" s="158">
        <f t="shared" si="10"/>
        <v>0.01</v>
      </c>
      <c r="AA169" s="16" t="str">
        <f t="array" ref="AA169">INDEX(NPCGender,TRUNC(1+(COUNTA(NPCGender))*(TRUNC(MOD(($B169*1103515245 +12345)/ 65536, 32768),0)/32768),0))</f>
        <v>Male</v>
      </c>
      <c r="AB169" s="16" t="str">
        <f t="array" ref="AB169">INDEX(NPCRace,TRUNC(1+(COUNTA(NPCRace))*(TRUNC(MOD(($B169*1103515245 +12345)/ 65536, 32768),0)/32768),0))</f>
        <v>Dragonborn</v>
      </c>
      <c r="AC169" s="16" t="str">
        <f t="array" ref="AC169">INDEX(NPCAL,TRUNC(1+(COUNTA(NPCAL))*(TRUNC(MOD(($B169*1103515245 +12345)/ 65536, 32768),0)/32768),0))</f>
        <v>CN</v>
      </c>
      <c r="AD169" s="72" t="str">
        <f ca="1">IFERROR(__xludf.DUMMYFUNCTION("if(V169&lt;15,QUERY(NPCVar!C:D,""Select D WHERE C = '""&amp;D169&amp;""'""),if((TRUNC(1+10)*(TRUNC(MOD((ROW(H169)*1103515245 +12345)/ 65536, 32768),0)/32768)/10) &gt; 0.85,INDEX(NPCFaction,TRUNC(1+(counta(NPCFaction)-1)*(TRUNC(MOD(($B169*1103515245 +12345)/ 65536, 3276"&amp;"8),0)/32768),0)),QUERY(NPCVar!C:D,""Select D WHERE C = '""&amp;D169&amp;""'"")))"),"Royalty")</f>
        <v>Royalty</v>
      </c>
      <c r="AE169" s="108" t="e">
        <f t="shared" ca="1" si="11"/>
        <v>#NAME?</v>
      </c>
      <c r="AF169" s="159">
        <f ca="1">IFERROR(__xludf.DUMMYFUNCTION("AE169*(V169 / QUERY(NPCVar!$K$2:$N$12, ""Select N WHERE K='""&amp;AB169&amp;""'""))*TRUNC(1+10)*(TRUNC(MOD(($B169*1103515245 +12345)/ 65536, 32768),0)/32768)"),0)</f>
        <v>0</v>
      </c>
      <c r="AG169" s="16"/>
      <c r="AH169" s="77"/>
      <c r="AI169" s="114"/>
    </row>
    <row r="170" spans="1:35" ht="16.2">
      <c r="A170" s="53">
        <v>169</v>
      </c>
      <c r="B170" s="118">
        <f t="shared" si="15"/>
        <v>1.5023</v>
      </c>
      <c r="C170" s="72" t="str">
        <f t="array" ref="C170">INDEX(NPCFName,TRUNC(1+(COUNTA(NPCFName))*(TRUNC(MOD(($B170*1103515245 +12345)/ 65536, 32768),0)/32768),0))</f>
        <v>Feturn</v>
      </c>
      <c r="D170" s="16" t="str">
        <f t="array" ref="D170">INDEX(NPCLName,TRUNC(1+(COUNTA(NPCLName))*(TRUNC(MOD(($B170*1103515245 +12345)/ 65536, 32768),0)/32768),0))</f>
        <v>Truthdoom</v>
      </c>
      <c r="E170" s="16" t="str">
        <f t="array" ref="E170">INDEX(NPCClass,TRUNC(1+(COUNTA(NPCClass))*(TRUNC(MOD(($B170*1103515245 +12345)/ 65536, 32768),0)/32768),0))</f>
        <v>Cleric</v>
      </c>
      <c r="F170" s="76">
        <v>8</v>
      </c>
      <c r="G170" s="153">
        <f ca="1">VLOOKUP($AB$2,'RF Mod'!$A$2:$G$12,2,FALSE)+VLOOKUP($AD$2,'RF Mod'!$I$2:$O$11,2,FALSE)+(TRUNC(6+(24-6)*(TRUNC(MOD(($Z170*1103515245 +12345)/ 65536, 32768),0)/32768),0))</f>
        <v>11</v>
      </c>
      <c r="H170" s="16" t="e">
        <f t="shared" ca="1" si="1"/>
        <v>#NAME?</v>
      </c>
      <c r="I170" s="153">
        <f ca="1">VLOOKUP($AB$2,'RF Mod'!$A$2:$G$12,3,FALSE)+VLOOKUP($AD$2,'RF Mod'!$I$2:$O$11,3,FALSE)+(TRUNC(6+(24-6)*(TRUNC(MOD(($Z170*1103515245 +12345)/ 65536, 32768),0)/32768),0))</f>
        <v>15</v>
      </c>
      <c r="J170" s="16" t="e">
        <f t="shared" ca="1" si="2"/>
        <v>#NAME?</v>
      </c>
      <c r="K170" s="153">
        <f ca="1">VLOOKUP($AB$2,'RF Mod'!$A$2:$G$12,3,FALSE)+VLOOKUP($AD$2,'RF Mod'!$I$2:$O$11,3,FALSE)+(TRUNC(6+(24-6)*(TRUNC(MOD(($Z170*1103515245 +12345)/ 65536, 32768),0)/32768),0))</f>
        <v>15</v>
      </c>
      <c r="L170" s="16" t="e">
        <f t="shared" ca="1" si="3"/>
        <v>#NAME?</v>
      </c>
      <c r="M170" s="153">
        <f ca="1">VLOOKUP($AB$2,'RF Mod'!$A$2:$G$12,4,FALSE)+VLOOKUP($AD$2,'RF Mod'!$I$2:$O$11,4,FALSE)+(TRUNC(6+(24-6)*(TRUNC(MOD(($Z170*1103515245 +12345)/ 65536, 32768),0)/32768),0))</f>
        <v>14</v>
      </c>
      <c r="N170" s="16" t="e">
        <f t="shared" ca="1" si="4"/>
        <v>#NAME?</v>
      </c>
      <c r="O170" s="153">
        <f ca="1">VLOOKUP($AB$2,'RF Mod'!$A$2:$G$12,5,FALSE)+VLOOKUP($AD$2,'RF Mod'!$I$2:$O$11,5,FALSE)+(TRUNC(6+(24-6)*(TRUNC(MOD(($Z170*1103515245 +12345)/ 65536, 32768),0)/32768),0))</f>
        <v>17</v>
      </c>
      <c r="P170" s="16" t="e">
        <f t="shared" ca="1" si="5"/>
        <v>#NAME?</v>
      </c>
      <c r="Q170" s="153">
        <f ca="1">VLOOKUP($AB$2,'RF Mod'!$A$2:$G$12,6,FALSE)+VLOOKUP($AD$2,'RF Mod'!$I$2:$O$11,6,FALSE)+(TRUNC(6+(24-6)*(TRUNC(MOD(($Z170*1103515245 +12345)/ 65536, 32768),0)/32768),0))</f>
        <v>15</v>
      </c>
      <c r="R170" s="16" t="e">
        <f t="shared" ca="1" si="6"/>
        <v>#NAME?</v>
      </c>
      <c r="S170" s="154">
        <f t="shared" ca="1" si="12"/>
        <v>200</v>
      </c>
      <c r="T170" s="154">
        <f t="shared" ca="1" si="7"/>
        <v>130</v>
      </c>
      <c r="U170" s="16" t="str">
        <f t="shared" ca="1" si="8"/>
        <v>Bloody</v>
      </c>
      <c r="V170" s="155">
        <f ca="1">IFERROR(__xludf.DUMMYFUNCTION("if(W170=""Middle Age"",QUERY(NPCVar!$K$2:$N1000, ""Select L where K = '""&amp;AB170&amp;""'""),if(W170=""Old"",QUERY(NPCVar!$K$2:$N1000, ""Select M where K = '""&amp;AB170&amp;""'""),if(W170=""Venerable"",QUERY(NPCVar!$K$2:$N1000, ""Select N where K = '""&amp;AB170&amp;""'""),fa"&amp;"lse)))*X170"),190)</f>
        <v>190</v>
      </c>
      <c r="W170" s="156" t="str">
        <f t="array" ref="W170">INDEX(NPCAgeType,TRUNC(1+(4-1)*(TRUNC(MOD((X170*1103515245 +12345)/ 65536, 32768),0)/32768),0))</f>
        <v>Venerable</v>
      </c>
      <c r="X170" s="117">
        <f t="shared" si="13"/>
        <v>1.9</v>
      </c>
      <c r="Y170" s="157" t="e">
        <f t="array" aca="1" ref="Y170" ca="1">LOOKUP(ABS(MAX(Z170 + MIN(ABS(INDIRECT("Class Jobs!B"&amp;MATCH(E170,'Class Jobs'!$A$1:$A1000,0)&amp;":"&amp;"AF"&amp;MATCH(E170,'Class Jobs'!$A$1:$A1000,0)&amp;"")-$Z170)) * SUM(IF(MIN(ABS(INDIRECT("Class Jobs!B"&amp;MATCH(E170,'Class Jobs'!$A$1:$A1000,0)&amp;":"&amp;"AF"&amp;MATCH(E170,'Class Jobs'!$A$1:$A1000,0)&amp;"")-$Z170))=ABS(INDIRECT("Class Jobs!B"&amp;MATCH(E170,'Class Jobs'!$A$1:$A1000,0)&amp;":"&amp;"AF"&amp;MATCH(E170,'Class Jobs'!$A$1:$A1000,0)&amp;"")-$Z170),SIGN(INDIRECT("Class Jobs!B"&amp;MATCH(E170,'Class Jobs'!$A$1:A1000,0)&amp;":"&amp;"AF"&amp;MATCH(E170,'Class Jobs'!$A$1:$A1000,0)&amp;"")-$Z170),0)),0)),INDIRECT("Class Jobs!B"&amp;MATCH(E170,'Class Jobs'!$A$1:$A1000,0)&amp;":"&amp;"AF"&amp;MATCH(E170,'Class Jobs'!$A$1:$A1000,1)&amp;""),'Class Jobs'!$B$1:$AF$1)</f>
        <v>#REF!</v>
      </c>
      <c r="Z170" s="158">
        <f t="shared" si="10"/>
        <v>0.77</v>
      </c>
      <c r="AA170" s="16" t="str">
        <f t="array" ref="AA170">INDEX(NPCGender,TRUNC(1+(COUNTA(NPCGender))*(TRUNC(MOD(($B170*1103515245 +12345)/ 65536, 32768),0)/32768),0))</f>
        <v>Neutral</v>
      </c>
      <c r="AB170" s="16" t="str">
        <f t="array" ref="AB170">INDEX(NPCRace,TRUNC(1+(COUNTA(NPCRace))*(TRUNC(MOD(($B170*1103515245 +12345)/ 65536, 32768),0)/32768),0))</f>
        <v>Tiefling</v>
      </c>
      <c r="AC170" s="16" t="str">
        <f t="array" ref="AC170">INDEX(NPCAL,TRUNC(1+(COUNTA(NPCAL))*(TRUNC(MOD(($B170*1103515245 +12345)/ 65536, 32768),0)/32768),0))</f>
        <v>LG</v>
      </c>
      <c r="AD170" s="72" t="str">
        <f ca="1">IFERROR(__xludf.DUMMYFUNCTION("if(V170&lt;15,QUERY(NPCVar!C:D,""Select D WHERE C = '""&amp;D170&amp;""'""),if((TRUNC(1+10)*(TRUNC(MOD((ROW(H170)*1103515245 +12345)/ 65536, 32768),0)/32768)/10) &gt; 0.85,INDEX(NPCFaction,TRUNC(1+(counta(NPCFaction)-1)*(TRUNC(MOD(($B170*1103515245 +12345)/ 65536, 3276"&amp;"8),0)/32768),0)),QUERY(NPCVar!C:D,""Select D WHERE C = '""&amp;D170&amp;""'"")))"),"Traverlers Guild")</f>
        <v>Traverlers Guild</v>
      </c>
      <c r="AE170" s="108" t="e">
        <f t="shared" ca="1" si="11"/>
        <v>#NAME?</v>
      </c>
      <c r="AF170" s="159">
        <f ca="1">IFERROR(__xludf.DUMMYFUNCTION("AE170*(V170 / QUERY(NPCVar!$K$2:$N$12, ""Select N WHERE K='""&amp;AB170&amp;""'""))*TRUNC(1+10)*(TRUNC(MOD(($B170*1103515245 +12345)/ 65536, 32768),0)/32768)"),14.5208056640624)</f>
        <v>14.520805664062401</v>
      </c>
      <c r="AG170" s="16"/>
      <c r="AH170" s="77"/>
      <c r="AI170" s="114"/>
    </row>
    <row r="171" spans="1:35" ht="16.2">
      <c r="A171" s="53">
        <v>170</v>
      </c>
      <c r="B171" s="118">
        <f t="shared" si="15"/>
        <v>0.49645</v>
      </c>
      <c r="C171" s="72" t="str">
        <f t="array" ref="C171">INDEX(NPCFName,TRUNC(1+(COUNTA(NPCFName))*(TRUNC(MOD(($B171*1103515245 +12345)/ 65536, 32768),0)/32768),0))</f>
        <v>Sabal</v>
      </c>
      <c r="D171" s="16" t="str">
        <f t="array" ref="D171">INDEX(NPCLName,TRUNC(1+(COUNTA(NPCLName))*(TRUNC(MOD(($B171*1103515245 +12345)/ 65536, 32768),0)/32768),0))</f>
        <v>Tuskleaf</v>
      </c>
      <c r="E171" s="16" t="str">
        <f t="array" ref="E171">INDEX(NPCClass,TRUNC(1+(COUNTA(NPCClass))*(TRUNC(MOD(($B171*1103515245 +12345)/ 65536, 32768),0)/32768),0))</f>
        <v>Monk</v>
      </c>
      <c r="F171" s="76">
        <v>1</v>
      </c>
      <c r="G171" s="153">
        <f ca="1">VLOOKUP($AB$2,'RF Mod'!$A$2:$G$12,2,FALSE)+VLOOKUP($AD$2,'RF Mod'!$I$2:$O$11,2,FALSE)+(TRUNC(6+(24-6)*(TRUNC(MOD(($Z171*1103515245 +12345)/ 65536, 32768),0)/32768),0))</f>
        <v>6</v>
      </c>
      <c r="H171" s="16">
        <f t="shared" ca="1" si="1"/>
        <v>-2</v>
      </c>
      <c r="I171" s="153">
        <f ca="1">VLOOKUP($AB$2,'RF Mod'!$A$2:$G$12,3,FALSE)+VLOOKUP($AD$2,'RF Mod'!$I$2:$O$11,3,FALSE)+(TRUNC(6+(24-6)*(TRUNC(MOD(($Z171*1103515245 +12345)/ 65536, 32768),0)/32768),0))</f>
        <v>10</v>
      </c>
      <c r="J171" s="16" t="e">
        <f t="shared" ca="1" si="2"/>
        <v>#NAME?</v>
      </c>
      <c r="K171" s="153">
        <f ca="1">VLOOKUP($AB$2,'RF Mod'!$A$2:$G$12,3,FALSE)+VLOOKUP($AD$2,'RF Mod'!$I$2:$O$11,3,FALSE)+(TRUNC(6+(24-6)*(TRUNC(MOD(($Z171*1103515245 +12345)/ 65536, 32768),0)/32768),0))</f>
        <v>10</v>
      </c>
      <c r="L171" s="16" t="e">
        <f t="shared" ca="1" si="3"/>
        <v>#NAME?</v>
      </c>
      <c r="M171" s="153">
        <f ca="1">VLOOKUP($AB$2,'RF Mod'!$A$2:$G$12,4,FALSE)+VLOOKUP($AD$2,'RF Mod'!$I$2:$O$11,4,FALSE)+(TRUNC(6+(24-6)*(TRUNC(MOD(($Z171*1103515245 +12345)/ 65536, 32768),0)/32768),0))</f>
        <v>9</v>
      </c>
      <c r="N171" s="16">
        <f t="shared" ca="1" si="4"/>
        <v>-1</v>
      </c>
      <c r="O171" s="153">
        <f ca="1">VLOOKUP($AB$2,'RF Mod'!$A$2:$G$12,5,FALSE)+VLOOKUP($AD$2,'RF Mod'!$I$2:$O$11,5,FALSE)+(TRUNC(6+(24-6)*(TRUNC(MOD(($Z171*1103515245 +12345)/ 65536, 32768),0)/32768),0))</f>
        <v>12</v>
      </c>
      <c r="P171" s="16" t="e">
        <f t="shared" ca="1" si="5"/>
        <v>#NAME?</v>
      </c>
      <c r="Q171" s="153">
        <f ca="1">VLOOKUP($AB$2,'RF Mod'!$A$2:$G$12,6,FALSE)+VLOOKUP($AD$2,'RF Mod'!$I$2:$O$11,6,FALSE)+(TRUNC(6+(24-6)*(TRUNC(MOD(($Z171*1103515245 +12345)/ 65536, 32768),0)/32768),0))</f>
        <v>10</v>
      </c>
      <c r="R171" s="16" t="e">
        <f t="shared" ca="1" si="6"/>
        <v>#NAME?</v>
      </c>
      <c r="S171" s="154">
        <f t="shared" ca="1" si="12"/>
        <v>12</v>
      </c>
      <c r="T171" s="154">
        <f t="shared" ca="1" si="7"/>
        <v>14</v>
      </c>
      <c r="U171" s="16" t="str">
        <f t="shared" ca="1" si="8"/>
        <v>Dead</v>
      </c>
      <c r="V171" s="155">
        <f ca="1">IFERROR(__xludf.DUMMYFUNCTION("if(W171=""Middle Age"",QUERY(NPCVar!$K$2:$N1000, ""Select L where K = '""&amp;AB171&amp;""'""),if(W171=""Old"",QUERY(NPCVar!$K$2:$N1000, ""Select M where K = '""&amp;AB171&amp;""'""),if(W171=""Venerable"",QUERY(NPCVar!$K$2:$N1000, ""Select N where K = '""&amp;AB171&amp;""'""),fa"&amp;"lse)))*X171"),196.875)</f>
        <v>196.875</v>
      </c>
      <c r="W171" s="156" t="str">
        <f t="array" ref="W171">INDEX(NPCAgeType,TRUNC(1+(4-1)*(TRUNC(MOD((X171*1103515245 +12345)/ 65536, 32768),0)/32768),0))</f>
        <v>Old</v>
      </c>
      <c r="X171" s="117">
        <f t="shared" si="13"/>
        <v>0.7</v>
      </c>
      <c r="Y171" s="157" t="e">
        <f t="array" aca="1" ref="Y171" ca="1">LOOKUP(ABS(MAX(Z171 + MIN(ABS(INDIRECT("Class Jobs!B"&amp;MATCH(E171,'Class Jobs'!$A$1:$A1000,0)&amp;":"&amp;"AF"&amp;MATCH(E171,'Class Jobs'!$A$1:$A1000,0)&amp;"")-$Z171)) * SUM(IF(MIN(ABS(INDIRECT("Class Jobs!B"&amp;MATCH(E171,'Class Jobs'!$A$1:$A1000,0)&amp;":"&amp;"AF"&amp;MATCH(E171,'Class Jobs'!$A$1:$A1000,0)&amp;"")-$Z171))=ABS(INDIRECT("Class Jobs!B"&amp;MATCH(E171,'Class Jobs'!$A$1:$A1000,0)&amp;":"&amp;"AF"&amp;MATCH(E171,'Class Jobs'!$A$1:$A1000,0)&amp;"")-$Z171),SIGN(INDIRECT("Class Jobs!B"&amp;MATCH(E171,'Class Jobs'!$A$1:A1000,0)&amp;":"&amp;"AF"&amp;MATCH(E171,'Class Jobs'!$A$1:$A1000,0)&amp;"")-$Z171),0)),0)),INDIRECT("Class Jobs!B"&amp;MATCH(E171,'Class Jobs'!$A$1:$A1000,0)&amp;":"&amp;"AF"&amp;MATCH(E171,'Class Jobs'!$A$1:$A1000,1)&amp;""),'Class Jobs'!$B$1:$AF$1)</f>
        <v>#REF!</v>
      </c>
      <c r="Z171" s="158">
        <f t="shared" si="10"/>
        <v>0.26</v>
      </c>
      <c r="AA171" s="16" t="str">
        <f t="array" ref="AA171">INDEX(NPCGender,TRUNC(1+(COUNTA(NPCGender))*(TRUNC(MOD(($B171*1103515245 +12345)/ 65536, 32768),0)/32768),0))</f>
        <v>Male</v>
      </c>
      <c r="AB171" s="16" t="str">
        <f t="array" ref="AB171">INDEX(NPCRace,TRUNC(1+(COUNTA(NPCRace))*(TRUNC(MOD(($B171*1103515245 +12345)/ 65536, 32768),0)/32768),0))</f>
        <v>Elf</v>
      </c>
      <c r="AC171" s="16" t="str">
        <f t="array" ref="AC171">INDEX(NPCAL,TRUNC(1+(COUNTA(NPCAL))*(TRUNC(MOD(($B171*1103515245 +12345)/ 65536, 32768),0)/32768),0))</f>
        <v>CG</v>
      </c>
      <c r="AD171" s="72" t="str">
        <f ca="1">IFERROR(__xludf.DUMMYFUNCTION("if(V171&lt;15,QUERY(NPCVar!C:D,""Select D WHERE C = '""&amp;D171&amp;""'""),if((TRUNC(1+10)*(TRUNC(MOD((ROW(H171)*1103515245 +12345)/ 65536, 32768),0)/32768)/10) &gt; 0.85,INDEX(NPCFaction,TRUNC(1+(counta(NPCFaction)-1)*(TRUNC(MOD(($B171*1103515245 +12345)/ 65536, 3276"&amp;"8),0)/32768),0)),QUERY(NPCVar!C:D,""Select D WHERE C = '""&amp;D171&amp;""'"")))"),"Traders Guild")</f>
        <v>Traders Guild</v>
      </c>
      <c r="AE171" s="108" t="e">
        <f t="shared" ca="1" si="11"/>
        <v>#NAME?</v>
      </c>
      <c r="AF171" s="159">
        <f ca="1">IFERROR(__xludf.DUMMYFUNCTION("AE171*(V171 / QUERY(NPCVar!$K$2:$N$12, ""Select N WHERE K='""&amp;AB171&amp;""'""))*TRUNC(1+10)*(TRUNC(MOD(($B171*1103515245 +12345)/ 65536, 32768),0)/32768)"),0.14731819152832)</f>
        <v>0.14731819152832001</v>
      </c>
      <c r="AG171" s="16"/>
      <c r="AH171" s="77"/>
      <c r="AI171" s="114"/>
    </row>
    <row r="172" spans="1:35" ht="16.2">
      <c r="A172" s="53">
        <v>171</v>
      </c>
      <c r="B172" s="118">
        <f t="shared" si="15"/>
        <v>1.99058</v>
      </c>
      <c r="C172" s="72" t="str">
        <f t="array" ref="C172">INDEX(NPCFName,TRUNC(1+(COUNTA(NPCFName))*(TRUNC(MOD(($B172*1103515245 +12345)/ 65536, 32768),0)/32768),0))</f>
        <v>Aysen</v>
      </c>
      <c r="D172" s="16" t="str">
        <f t="array" ref="D172">INDEX(NPCLName,TRUNC(1+(COUNTA(NPCLName))*(TRUNC(MOD(($B172*1103515245 +12345)/ 65536, 32768),0)/32768),0))</f>
        <v>Stagfang</v>
      </c>
      <c r="E172" s="16" t="str">
        <f t="array" ref="E172">INDEX(NPCClass,TRUNC(1+(COUNTA(NPCClass))*(TRUNC(MOD(($B172*1103515245 +12345)/ 65536, 32768),0)/32768),0))</f>
        <v>Barbarian</v>
      </c>
      <c r="F172" s="76">
        <v>1</v>
      </c>
      <c r="G172" s="153">
        <f ca="1">VLOOKUP($AB$2,'RF Mod'!$A$2:$G$12,2,FALSE)+VLOOKUP($AD$2,'RF Mod'!$I$2:$O$11,2,FALSE)+(TRUNC(6+(24-6)*(TRUNC(MOD(($Z172*1103515245 +12345)/ 65536, 32768),0)/32768),0))</f>
        <v>4</v>
      </c>
      <c r="H172" s="16">
        <f t="shared" ca="1" si="1"/>
        <v>-3</v>
      </c>
      <c r="I172" s="153">
        <f ca="1">VLOOKUP($AB$2,'RF Mod'!$A$2:$G$12,3,FALSE)+VLOOKUP($AD$2,'RF Mod'!$I$2:$O$11,3,FALSE)+(TRUNC(6+(24-6)*(TRUNC(MOD(($Z172*1103515245 +12345)/ 65536, 32768),0)/32768),0))</f>
        <v>8</v>
      </c>
      <c r="J172" s="16">
        <f t="shared" ca="1" si="2"/>
        <v>-1</v>
      </c>
      <c r="K172" s="153">
        <f ca="1">VLOOKUP($AB$2,'RF Mod'!$A$2:$G$12,3,FALSE)+VLOOKUP($AD$2,'RF Mod'!$I$2:$O$11,3,FALSE)+(TRUNC(6+(24-6)*(TRUNC(MOD(($Z172*1103515245 +12345)/ 65536, 32768),0)/32768),0))</f>
        <v>8</v>
      </c>
      <c r="L172" s="16">
        <f t="shared" ca="1" si="3"/>
        <v>-1</v>
      </c>
      <c r="M172" s="153">
        <f ca="1">VLOOKUP($AB$2,'RF Mod'!$A$2:$G$12,4,FALSE)+VLOOKUP($AD$2,'RF Mod'!$I$2:$O$11,4,FALSE)+(TRUNC(6+(24-6)*(TRUNC(MOD(($Z172*1103515245 +12345)/ 65536, 32768),0)/32768),0))</f>
        <v>7</v>
      </c>
      <c r="N172" s="16">
        <f t="shared" ca="1" si="4"/>
        <v>-2</v>
      </c>
      <c r="O172" s="153">
        <f ca="1">VLOOKUP($AB$2,'RF Mod'!$A$2:$G$12,5,FALSE)+VLOOKUP($AD$2,'RF Mod'!$I$2:$O$11,5,FALSE)+(TRUNC(6+(24-6)*(TRUNC(MOD(($Z172*1103515245 +12345)/ 65536, 32768),0)/32768),0))</f>
        <v>10</v>
      </c>
      <c r="P172" s="16" t="e">
        <f t="shared" ca="1" si="5"/>
        <v>#NAME?</v>
      </c>
      <c r="Q172" s="153">
        <f ca="1">VLOOKUP($AB$2,'RF Mod'!$A$2:$G$12,6,FALSE)+VLOOKUP($AD$2,'RF Mod'!$I$2:$O$11,6,FALSE)+(TRUNC(6+(24-6)*(TRUNC(MOD(($Z172*1103515245 +12345)/ 65536, 32768),0)/32768),0))</f>
        <v>8</v>
      </c>
      <c r="R172" s="16">
        <f t="shared" ca="1" si="6"/>
        <v>-1</v>
      </c>
      <c r="S172" s="154">
        <f t="shared" ca="1" si="12"/>
        <v>10</v>
      </c>
      <c r="T172" s="154">
        <f t="shared" ca="1" si="7"/>
        <v>6</v>
      </c>
      <c r="U172" s="16" t="str">
        <f t="shared" ca="1" si="8"/>
        <v>Bloody</v>
      </c>
      <c r="V172" s="155">
        <f ca="1">IFERROR(__xludf.DUMMYFUNCTION("if(W172=""Middle Age"",QUERY(NPCVar!$K$2:$N1000, ""Select L where K = '""&amp;AB172&amp;""'""),if(W172=""Old"",QUERY(NPCVar!$K$2:$N1000, ""Select M where K = '""&amp;AB172&amp;""'""),if(W172=""Venerable"",QUERY(NPCVar!$K$2:$N1000, ""Select N where K = '""&amp;AB172&amp;""'""),fa"&amp;"lse)))*X172"),2)</f>
        <v>2</v>
      </c>
      <c r="W172" s="156" t="str">
        <f t="array" ref="W172">INDEX(NPCAgeType,TRUNC(1+(4-1)*(TRUNC(MOD((X172*1103515245 +12345)/ 65536, 32768),0)/32768),0))</f>
        <v>Middle Age</v>
      </c>
      <c r="X172" s="117">
        <f t="shared" si="13"/>
        <v>0.1</v>
      </c>
      <c r="Y172" s="157" t="e">
        <f t="array" aca="1" ref="Y172" ca="1">LOOKUP(ABS(MAX(Z172 + MIN(ABS(INDIRECT("Class Jobs!B"&amp;MATCH(E172,'Class Jobs'!$A$1:$A1000,0)&amp;":"&amp;"AF"&amp;MATCH(E172,'Class Jobs'!$A$1:$A1000,0)&amp;"")-$Z172)) * SUM(IF(MIN(ABS(INDIRECT("Class Jobs!B"&amp;MATCH(E172,'Class Jobs'!$A$1:$A1000,0)&amp;":"&amp;"AF"&amp;MATCH(E172,'Class Jobs'!$A$1:$A1000,0)&amp;"")-$Z172))=ABS(INDIRECT("Class Jobs!B"&amp;MATCH(E172,'Class Jobs'!$A$1:$A1000,0)&amp;":"&amp;"AF"&amp;MATCH(E172,'Class Jobs'!$A$1:$A1000,0)&amp;"")-$Z172),SIGN(INDIRECT("Class Jobs!B"&amp;MATCH(E172,'Class Jobs'!$A$1:A1000,0)&amp;":"&amp;"AF"&amp;MATCH(E172,'Class Jobs'!$A$1:$A1000,0)&amp;"")-$Z172),0)),0)),INDIRECT("Class Jobs!B"&amp;MATCH(E172,'Class Jobs'!$A$1:$A1000,0)&amp;":"&amp;"AF"&amp;MATCH(E172,'Class Jobs'!$A$1:$A1000,1)&amp;""),'Class Jobs'!$B$1:$AF$1)</f>
        <v>#REF!</v>
      </c>
      <c r="Z172" s="158">
        <f t="shared" si="10"/>
        <v>0.03</v>
      </c>
      <c r="AA172" s="16" t="str">
        <f t="array" ref="AA172">INDEX(NPCGender,TRUNC(1+(COUNTA(NPCGender))*(TRUNC(MOD(($B172*1103515245 +12345)/ 65536, 32768),0)/32768),0))</f>
        <v>Male</v>
      </c>
      <c r="AB172" s="16" t="str">
        <f t="array" ref="AB172">INDEX(NPCRace,TRUNC(1+(COUNTA(NPCRace))*(TRUNC(MOD(($B172*1103515245 +12345)/ 65536, 32768),0)/32768),0))</f>
        <v>Dragonborn</v>
      </c>
      <c r="AC172" s="16" t="str">
        <f t="array" ref="AC172">INDEX(NPCAL,TRUNC(1+(COUNTA(NPCAL))*(TRUNC(MOD(($B172*1103515245 +12345)/ 65536, 32768),0)/32768),0))</f>
        <v>CN</v>
      </c>
      <c r="AD172" s="72" t="str">
        <f ca="1">IFERROR(__xludf.DUMMYFUNCTION("if(V172&lt;15,QUERY(NPCVar!C:D,""Select D WHERE C = '""&amp;D172&amp;""'""),if((TRUNC(1+10)*(TRUNC(MOD((ROW(H172)*1103515245 +12345)/ 65536, 32768),0)/32768)/10) &gt; 0.85,INDEX(NPCFaction,TRUNC(1+(counta(NPCFaction)-1)*(TRUNC(MOD(($B172*1103515245 +12345)/ 65536, 3276"&amp;"8),0)/32768),0)),QUERY(NPCVar!C:D,""Select D WHERE C = '""&amp;D172&amp;""'"")))"),"Royalty")</f>
        <v>Royalty</v>
      </c>
      <c r="AE172" s="108" t="e">
        <f t="shared" ca="1" si="11"/>
        <v>#NAME?</v>
      </c>
      <c r="AF172" s="159">
        <f ca="1">IFERROR(__xludf.DUMMYFUNCTION("AE172*(V172 / QUERY(NPCVar!$K$2:$N$12, ""Select N WHERE K='""&amp;AB172&amp;""'""))*TRUNC(1+10)*(TRUNC(MOD(($B172*1103515245 +12345)/ 65536, 32768),0)/32768)"),0.00314712524414062)</f>
        <v>3.1471252441406198E-3</v>
      </c>
      <c r="AG172" s="16"/>
      <c r="AH172" s="77"/>
      <c r="AI172" s="114"/>
    </row>
    <row r="173" spans="1:35" ht="16.2">
      <c r="A173" s="53">
        <v>172</v>
      </c>
      <c r="B173" s="118">
        <f t="shared" si="15"/>
        <v>0.98472999999999999</v>
      </c>
      <c r="C173" s="72" t="str">
        <f t="array" ref="C173">INDEX(NPCFName,TRUNC(1+(COUNTA(NPCFName))*(TRUNC(MOD(($B173*1103515245 +12345)/ 65536, 32768),0)/32768),0))</f>
        <v>Lerin</v>
      </c>
      <c r="D173" s="16" t="str">
        <f t="array" ref="D173">INDEX(NPCLName,TRUNC(1+(COUNTA(NPCLName))*(TRUNC(MOD(($B173*1103515245 +12345)/ 65536, 32768),0)/32768),0))</f>
        <v>Staghammer</v>
      </c>
      <c r="E173" s="16" t="str">
        <f t="array" ref="E173">INDEX(NPCClass,TRUNC(1+(COUNTA(NPCClass))*(TRUNC(MOD(($B173*1103515245 +12345)/ 65536, 32768),0)/32768),0))</f>
        <v>Sorcerer</v>
      </c>
      <c r="F173" s="76">
        <v>8</v>
      </c>
      <c r="G173" s="153">
        <f ca="1">VLOOKUP($AB$2,'RF Mod'!$A$2:$G$12,2,FALSE)+VLOOKUP($AD$2,'RF Mod'!$I$2:$O$11,2,FALSE)+(TRUNC(6+(24-6)*(TRUNC(MOD(($Z173*1103515245 +12345)/ 65536, 32768),0)/32768),0))</f>
        <v>8</v>
      </c>
      <c r="H173" s="16">
        <f t="shared" ca="1" si="1"/>
        <v>-1</v>
      </c>
      <c r="I173" s="153">
        <f ca="1">VLOOKUP($AB$2,'RF Mod'!$A$2:$G$12,3,FALSE)+VLOOKUP($AD$2,'RF Mod'!$I$2:$O$11,3,FALSE)+(TRUNC(6+(24-6)*(TRUNC(MOD(($Z173*1103515245 +12345)/ 65536, 32768),0)/32768),0))</f>
        <v>12</v>
      </c>
      <c r="J173" s="16" t="e">
        <f t="shared" ca="1" si="2"/>
        <v>#NAME?</v>
      </c>
      <c r="K173" s="153">
        <f ca="1">VLOOKUP($AB$2,'RF Mod'!$A$2:$G$12,3,FALSE)+VLOOKUP($AD$2,'RF Mod'!$I$2:$O$11,3,FALSE)+(TRUNC(6+(24-6)*(TRUNC(MOD(($Z173*1103515245 +12345)/ 65536, 32768),0)/32768),0))</f>
        <v>12</v>
      </c>
      <c r="L173" s="16" t="e">
        <f t="shared" ca="1" si="3"/>
        <v>#NAME?</v>
      </c>
      <c r="M173" s="153">
        <f ca="1">VLOOKUP($AB$2,'RF Mod'!$A$2:$G$12,4,FALSE)+VLOOKUP($AD$2,'RF Mod'!$I$2:$O$11,4,FALSE)+(TRUNC(6+(24-6)*(TRUNC(MOD(($Z173*1103515245 +12345)/ 65536, 32768),0)/32768),0))</f>
        <v>11</v>
      </c>
      <c r="N173" s="16" t="e">
        <f t="shared" ca="1" si="4"/>
        <v>#NAME?</v>
      </c>
      <c r="O173" s="153">
        <f ca="1">VLOOKUP($AB$2,'RF Mod'!$A$2:$G$12,5,FALSE)+VLOOKUP($AD$2,'RF Mod'!$I$2:$O$11,5,FALSE)+(TRUNC(6+(24-6)*(TRUNC(MOD(($Z173*1103515245 +12345)/ 65536, 32768),0)/32768),0))</f>
        <v>14</v>
      </c>
      <c r="P173" s="16" t="e">
        <f t="shared" ca="1" si="5"/>
        <v>#NAME?</v>
      </c>
      <c r="Q173" s="153">
        <f ca="1">VLOOKUP($AB$2,'RF Mod'!$A$2:$G$12,6,FALSE)+VLOOKUP($AD$2,'RF Mod'!$I$2:$O$11,6,FALSE)+(TRUNC(6+(24-6)*(TRUNC(MOD(($Z173*1103515245 +12345)/ 65536, 32768),0)/32768),0))</f>
        <v>12</v>
      </c>
      <c r="R173" s="16" t="e">
        <f t="shared" ca="1" si="6"/>
        <v>#NAME?</v>
      </c>
      <c r="S173" s="154">
        <f t="shared" ca="1" si="12"/>
        <v>224</v>
      </c>
      <c r="T173" s="154">
        <f t="shared" ca="1" si="7"/>
        <v>84</v>
      </c>
      <c r="U173" s="16" t="str">
        <f t="shared" ca="1" si="8"/>
        <v>Fine</v>
      </c>
      <c r="V173" s="155">
        <f ca="1">IFERROR(__xludf.DUMMYFUNCTION("if(W173=""Middle Age"",QUERY(NPCVar!$K$2:$N1000, ""Select L where K = '""&amp;AB173&amp;""'""),if(W173=""Old"",QUERY(NPCVar!$K$2:$N1000, ""Select M where K = '""&amp;AB173&amp;""'""),if(W173=""Venerable"",QUERY(NPCVar!$K$2:$N1000, ""Select N where K = '""&amp;AB173&amp;""'""),fa"&amp;"lse)))*X173"),91)</f>
        <v>91</v>
      </c>
      <c r="W173" s="156" t="str">
        <f t="array" ref="W173">INDEX(NPCAgeType,TRUNC(1+(4-1)*(TRUNC(MOD((X173*1103515245 +12345)/ 65536, 32768),0)/32768),0))</f>
        <v>Venerable</v>
      </c>
      <c r="X173" s="117">
        <f t="shared" si="13"/>
        <v>1.3</v>
      </c>
      <c r="Y173" s="157" t="e">
        <f t="array" aca="1" ref="Y173" ca="1">LOOKUP(ABS(MAX(Z173 + MIN(ABS(INDIRECT("Class Jobs!B"&amp;MATCH(E173,'Class Jobs'!$A$1:$A1000,0)&amp;":"&amp;"AF"&amp;MATCH(E173,'Class Jobs'!$A$1:$A1000,0)&amp;"")-$Z173)) * SUM(IF(MIN(ABS(INDIRECT("Class Jobs!B"&amp;MATCH(E173,'Class Jobs'!$A$1:$A1000,0)&amp;":"&amp;"AF"&amp;MATCH(E173,'Class Jobs'!$A$1:$A1000,0)&amp;"")-$Z173))=ABS(INDIRECT("Class Jobs!B"&amp;MATCH(E173,'Class Jobs'!$A$1:$A1000,0)&amp;":"&amp;"AF"&amp;MATCH(E173,'Class Jobs'!$A$1:$A1000,0)&amp;"")-$Z173),SIGN(INDIRECT("Class Jobs!B"&amp;MATCH(E173,'Class Jobs'!$A$1:A1000,0)&amp;":"&amp;"AF"&amp;MATCH(E173,'Class Jobs'!$A$1:$A1000,0)&amp;"")-$Z173),0)),0)),INDIRECT("Class Jobs!B"&amp;MATCH(E173,'Class Jobs'!$A$1:$A1000,0)&amp;":"&amp;"AF"&amp;MATCH(E173,'Class Jobs'!$A$1:$A1000,1)&amp;""),'Class Jobs'!$B$1:$AF$1)</f>
        <v>#REF!</v>
      </c>
      <c r="Z173" s="158">
        <f t="shared" si="10"/>
        <v>0.51</v>
      </c>
      <c r="AA173" s="16" t="str">
        <f t="array" ref="AA173">INDEX(NPCGender,TRUNC(1+(COUNTA(NPCGender))*(TRUNC(MOD(($B173*1103515245 +12345)/ 65536, 32768),0)/32768),0))</f>
        <v>Female</v>
      </c>
      <c r="AB173" s="16" t="str">
        <f t="array" ref="AB173">INDEX(NPCRace,TRUNC(1+(COUNTA(NPCRace))*(TRUNC(MOD(($B173*1103515245 +12345)/ 65536, 32768),0)/32768),0))</f>
        <v>Half-Orc</v>
      </c>
      <c r="AC173" s="16" t="str">
        <f t="array" ref="AC173">INDEX(NPCAL,TRUNC(1+(COUNTA(NPCAL))*(TRUNC(MOD(($B173*1103515245 +12345)/ 65536, 32768),0)/32768),0))</f>
        <v>NN</v>
      </c>
      <c r="AD173" s="72" t="str">
        <f ca="1">IFERROR(__xludf.DUMMYFUNCTION("if(V173&lt;15,QUERY(NPCVar!C:D,""Select D WHERE C = '""&amp;D173&amp;""'""),if((TRUNC(1+10)*(TRUNC(MOD((ROW(H173)*1103515245 +12345)/ 65536, 32768),0)/32768)/10) &gt; 0.85,INDEX(NPCFaction,TRUNC(1+(counta(NPCFaction)-1)*(TRUNC(MOD(($B173*1103515245 +12345)/ 65536, 3276"&amp;"8),0)/32768),0)),QUERY(NPCVar!C:D,""Select D WHERE C = '""&amp;D173&amp;""'"")))"),"Thieves Guild")</f>
        <v>Thieves Guild</v>
      </c>
      <c r="AE173" s="108" t="e">
        <f t="shared" ca="1" si="11"/>
        <v>#NAME?</v>
      </c>
      <c r="AF173" s="159">
        <f ca="1">IFERROR(__xludf.DUMMYFUNCTION("AE173*(V173 / QUERY(NPCVar!$K$2:$N$12, ""Select N WHERE K='""&amp;AB173&amp;""'""))*TRUNC(1+10)*(TRUNC(MOD(($B173*1103515245 +12345)/ 65536, 32768),0)/32768)"),3.61798553466796)</f>
        <v>3.6179855346679601</v>
      </c>
      <c r="AG173" s="16"/>
      <c r="AH173" s="77"/>
      <c r="AI173" s="114"/>
    </row>
    <row r="174" spans="1:35" ht="16.2">
      <c r="A174" s="53">
        <v>173</v>
      </c>
      <c r="B174" s="118">
        <f t="shared" si="15"/>
        <v>2.4788600000000001</v>
      </c>
      <c r="C174" s="72" t="str">
        <f t="array" ref="C174">INDEX(NPCFName,TRUNC(1+(COUNTA(NPCFName))*(TRUNC(MOD(($B174*1103515245 +12345)/ 65536, 32768),0)/32768),0))</f>
        <v>Stenwulf</v>
      </c>
      <c r="D174" s="16" t="str">
        <f t="array" ref="D174">INDEX(NPCLName,TRUNC(1+(COUNTA(NPCLName))*(TRUNC(MOD(($B174*1103515245 +12345)/ 65536, 32768),0)/32768),0))</f>
        <v>Commonscream</v>
      </c>
      <c r="E174" s="16" t="str">
        <f t="array" ref="E174">INDEX(NPCClass,TRUNC(1+(COUNTA(NPCClass))*(TRUNC(MOD(($B174*1103515245 +12345)/ 65536, 32768),0)/32768),0))</f>
        <v>Monk</v>
      </c>
      <c r="F174" s="76">
        <v>5</v>
      </c>
      <c r="G174" s="153">
        <f ca="1">VLOOKUP($AB$2,'RF Mod'!$A$2:$G$12,2,FALSE)+VLOOKUP($AD$2,'RF Mod'!$I$2:$O$11,2,FALSE)+(TRUNC(6+(24-6)*(TRUNC(MOD(($Z174*1103515245 +12345)/ 65536, 32768),0)/32768),0))</f>
        <v>6</v>
      </c>
      <c r="H174" s="16">
        <f t="shared" ca="1" si="1"/>
        <v>-2</v>
      </c>
      <c r="I174" s="153">
        <f ca="1">VLOOKUP($AB$2,'RF Mod'!$A$2:$G$12,3,FALSE)+VLOOKUP($AD$2,'RF Mod'!$I$2:$O$11,3,FALSE)+(TRUNC(6+(24-6)*(TRUNC(MOD(($Z174*1103515245 +12345)/ 65536, 32768),0)/32768),0))</f>
        <v>10</v>
      </c>
      <c r="J174" s="16" t="e">
        <f t="shared" ca="1" si="2"/>
        <v>#NAME?</v>
      </c>
      <c r="K174" s="153">
        <f ca="1">VLOOKUP($AB$2,'RF Mod'!$A$2:$G$12,3,FALSE)+VLOOKUP($AD$2,'RF Mod'!$I$2:$O$11,3,FALSE)+(TRUNC(6+(24-6)*(TRUNC(MOD(($Z174*1103515245 +12345)/ 65536, 32768),0)/32768),0))</f>
        <v>10</v>
      </c>
      <c r="L174" s="16" t="e">
        <f t="shared" ca="1" si="3"/>
        <v>#NAME?</v>
      </c>
      <c r="M174" s="153">
        <f ca="1">VLOOKUP($AB$2,'RF Mod'!$A$2:$G$12,4,FALSE)+VLOOKUP($AD$2,'RF Mod'!$I$2:$O$11,4,FALSE)+(TRUNC(6+(24-6)*(TRUNC(MOD(($Z174*1103515245 +12345)/ 65536, 32768),0)/32768),0))</f>
        <v>9</v>
      </c>
      <c r="N174" s="16">
        <f t="shared" ca="1" si="4"/>
        <v>-1</v>
      </c>
      <c r="O174" s="153">
        <f ca="1">VLOOKUP($AB$2,'RF Mod'!$A$2:$G$12,5,FALSE)+VLOOKUP($AD$2,'RF Mod'!$I$2:$O$11,5,FALSE)+(TRUNC(6+(24-6)*(TRUNC(MOD(($Z174*1103515245 +12345)/ 65536, 32768),0)/32768),0))</f>
        <v>12</v>
      </c>
      <c r="P174" s="16" t="e">
        <f t="shared" ca="1" si="5"/>
        <v>#NAME?</v>
      </c>
      <c r="Q174" s="153">
        <f ca="1">VLOOKUP($AB$2,'RF Mod'!$A$2:$G$12,6,FALSE)+VLOOKUP($AD$2,'RF Mod'!$I$2:$O$11,6,FALSE)+(TRUNC(6+(24-6)*(TRUNC(MOD(($Z174*1103515245 +12345)/ 65536, 32768),0)/32768),0))</f>
        <v>10</v>
      </c>
      <c r="R174" s="16" t="e">
        <f t="shared" ca="1" si="6"/>
        <v>#NAME?</v>
      </c>
      <c r="S174" s="154">
        <f t="shared" ca="1" si="12"/>
        <v>80</v>
      </c>
      <c r="T174" s="154">
        <f t="shared" ca="1" si="7"/>
        <v>72</v>
      </c>
      <c r="U174" s="16" t="str">
        <f t="shared" ca="1" si="8"/>
        <v>Bloody</v>
      </c>
      <c r="V174" s="155">
        <f ca="1">IFERROR(__xludf.DUMMYFUNCTION("if(W174=""Middle Age"",QUERY(NPCVar!$K$2:$N1000, ""Select L where K = '""&amp;AB174&amp;""'""),if(W174=""Old"",QUERY(NPCVar!$K$2:$N1000, ""Select M where K = '""&amp;AB174&amp;""'""),if(W174=""Venerable"",QUERY(NPCVar!$K$2:$N1000, ""Select N where K = '""&amp;AB174&amp;""'""),fa"&amp;"lse)))*X174"),118.124999999999)</f>
        <v>118.12499999999901</v>
      </c>
      <c r="W174" s="156" t="str">
        <f t="array" ref="W174">INDEX(NPCAgeType,TRUNC(1+(4-1)*(TRUNC(MOD((X174*1103515245 +12345)/ 65536, 32768),0)/32768),0))</f>
        <v>Old</v>
      </c>
      <c r="X174" s="117">
        <f t="shared" si="13"/>
        <v>0.7</v>
      </c>
      <c r="Y174" s="157" t="e">
        <f t="array" aca="1" ref="Y174" ca="1">LOOKUP(ABS(MAX(Z174 + MIN(ABS(INDIRECT("Class Jobs!B"&amp;MATCH(E174,'Class Jobs'!$A$1:$A1000,0)&amp;":"&amp;"AF"&amp;MATCH(E174,'Class Jobs'!$A$1:$A1000,0)&amp;"")-$Z174)) * SUM(IF(MIN(ABS(INDIRECT("Class Jobs!B"&amp;MATCH(E174,'Class Jobs'!$A$1:$A1000,0)&amp;":"&amp;"AF"&amp;MATCH(E174,'Class Jobs'!$A$1:$A1000,0)&amp;"")-$Z174))=ABS(INDIRECT("Class Jobs!B"&amp;MATCH(E174,'Class Jobs'!$A$1:$A1000,0)&amp;":"&amp;"AF"&amp;MATCH(E174,'Class Jobs'!$A$1:$A1000,0)&amp;"")-$Z174),SIGN(INDIRECT("Class Jobs!B"&amp;MATCH(E174,'Class Jobs'!$A$1:A1000,0)&amp;":"&amp;"AF"&amp;MATCH(E174,'Class Jobs'!$A$1:$A1000,0)&amp;"")-$Z174),0)),0)),INDIRECT("Class Jobs!B"&amp;MATCH(E174,'Class Jobs'!$A$1:$A1000,0)&amp;":"&amp;"AF"&amp;MATCH(E174,'Class Jobs'!$A$1:$A1000,1)&amp;""),'Class Jobs'!$B$1:$AF$1)</f>
        <v>#REF!</v>
      </c>
      <c r="Z174" s="158">
        <f t="shared" si="10"/>
        <v>0.28000000000000003</v>
      </c>
      <c r="AA174" s="16" t="str">
        <f t="array" ref="AA174">INDEX(NPCGender,TRUNC(1+(COUNTA(NPCGender))*(TRUNC(MOD(($B174*1103515245 +12345)/ 65536, 32768),0)/32768),0))</f>
        <v>Male</v>
      </c>
      <c r="AB174" s="16" t="str">
        <f t="array" ref="AB174">INDEX(NPCRace,TRUNC(1+(COUNTA(NPCRace))*(TRUNC(MOD(($B174*1103515245 +12345)/ 65536, 32768),0)/32768),0))</f>
        <v>Gnome</v>
      </c>
      <c r="AC174" s="16" t="str">
        <f t="array" ref="AC174">INDEX(NPCAL,TRUNC(1+(COUNTA(NPCAL))*(TRUNC(MOD(($B174*1103515245 +12345)/ 65536, 32768),0)/32768),0))</f>
        <v>CG</v>
      </c>
      <c r="AD174" s="72" t="str">
        <f ca="1">IFERROR(__xludf.DUMMYFUNCTION("if(V174&lt;15,QUERY(NPCVar!C:D,""Select D WHERE C = '""&amp;D174&amp;""'""),if((TRUNC(1+10)*(TRUNC(MOD((ROW(H174)*1103515245 +12345)/ 65536, 32768),0)/32768)/10) &gt; 0.85,INDEX(NPCFaction,TRUNC(1+(counta(NPCFaction)-1)*(TRUNC(MOD(($B174*1103515245 +12345)/ 65536, 3276"&amp;"8),0)/32768),0)),QUERY(NPCVar!C:D,""Select D WHERE C = '""&amp;D174&amp;""'"")))"),"Necromancer")</f>
        <v>Necromancer</v>
      </c>
      <c r="AE174" s="108" t="e">
        <f t="shared" ca="1" si="11"/>
        <v>#NAME?</v>
      </c>
      <c r="AF174" s="159">
        <f ca="1">IFERROR(__xludf.DUMMYFUNCTION("AE174*(V174 / QUERY(NPCVar!$K$2:$N$12, ""Select N WHERE K='""&amp;AB174&amp;""'""))*TRUNC(1+10)*(TRUNC(MOD(($B174*1103515245 +12345)/ 65536, 32768),0)/32768)"),0.553364067077636)</f>
        <v>0.55336406707763597</v>
      </c>
      <c r="AG174" s="16"/>
      <c r="AH174" s="77"/>
      <c r="AI174" s="114"/>
    </row>
    <row r="175" spans="1:35" ht="16.2">
      <c r="A175" s="53">
        <v>174</v>
      </c>
      <c r="B175" s="118">
        <f t="shared" si="15"/>
        <v>1.4730099999999999</v>
      </c>
      <c r="C175" s="72" t="str">
        <f t="array" ref="C175">INDEX(NPCFName,TRUNC(1+(COUNTA(NPCFName))*(TRUNC(MOD(($B175*1103515245 +12345)/ 65536, 32768),0)/32768),0))</f>
        <v>Eiridan</v>
      </c>
      <c r="D175" s="16" t="str">
        <f t="array" ref="D175">INDEX(NPCLName,TRUNC(1+(COUNTA(NPCLName))*(TRUNC(MOD(($B175*1103515245 +12345)/ 65536, 32768),0)/32768),0))</f>
        <v>Sacredgloom</v>
      </c>
      <c r="E175" s="16" t="str">
        <f t="array" ref="E175">INDEX(NPCClass,TRUNC(1+(COUNTA(NPCClass))*(TRUNC(MOD(($B175*1103515245 +12345)/ 65536, 32768),0)/32768),0))</f>
        <v>Cleric</v>
      </c>
      <c r="F175" s="76">
        <v>8</v>
      </c>
      <c r="G175" s="153">
        <f ca="1">VLOOKUP($AB$2,'RF Mod'!$A$2:$G$12,2,FALSE)+VLOOKUP($AD$2,'RF Mod'!$I$2:$O$11,2,FALSE)+(TRUNC(6+(24-6)*(TRUNC(MOD(($Z175*1103515245 +12345)/ 65536, 32768),0)/32768),0))</f>
        <v>10</v>
      </c>
      <c r="H175" s="16" t="e">
        <f t="shared" ca="1" si="1"/>
        <v>#NAME?</v>
      </c>
      <c r="I175" s="153">
        <f ca="1">VLOOKUP($AB$2,'RF Mod'!$A$2:$G$12,3,FALSE)+VLOOKUP($AD$2,'RF Mod'!$I$2:$O$11,3,FALSE)+(TRUNC(6+(24-6)*(TRUNC(MOD(($Z175*1103515245 +12345)/ 65536, 32768),0)/32768),0))</f>
        <v>14</v>
      </c>
      <c r="J175" s="16" t="e">
        <f t="shared" ca="1" si="2"/>
        <v>#NAME?</v>
      </c>
      <c r="K175" s="153">
        <f ca="1">VLOOKUP($AB$2,'RF Mod'!$A$2:$G$12,3,FALSE)+VLOOKUP($AD$2,'RF Mod'!$I$2:$O$11,3,FALSE)+(TRUNC(6+(24-6)*(TRUNC(MOD(($Z175*1103515245 +12345)/ 65536, 32768),0)/32768),0))</f>
        <v>14</v>
      </c>
      <c r="L175" s="16" t="e">
        <f t="shared" ca="1" si="3"/>
        <v>#NAME?</v>
      </c>
      <c r="M175" s="153">
        <f ca="1">VLOOKUP($AB$2,'RF Mod'!$A$2:$G$12,4,FALSE)+VLOOKUP($AD$2,'RF Mod'!$I$2:$O$11,4,FALSE)+(TRUNC(6+(24-6)*(TRUNC(MOD(($Z175*1103515245 +12345)/ 65536, 32768),0)/32768),0))</f>
        <v>13</v>
      </c>
      <c r="N175" s="16" t="e">
        <f t="shared" ca="1" si="4"/>
        <v>#NAME?</v>
      </c>
      <c r="O175" s="153">
        <f ca="1">VLOOKUP($AB$2,'RF Mod'!$A$2:$G$12,5,FALSE)+VLOOKUP($AD$2,'RF Mod'!$I$2:$O$11,5,FALSE)+(TRUNC(6+(24-6)*(TRUNC(MOD(($Z175*1103515245 +12345)/ 65536, 32768),0)/32768),0))</f>
        <v>16</v>
      </c>
      <c r="P175" s="16" t="e">
        <f t="shared" ca="1" si="5"/>
        <v>#NAME?</v>
      </c>
      <c r="Q175" s="153">
        <f ca="1">VLOOKUP($AB$2,'RF Mod'!$A$2:$G$12,6,FALSE)+VLOOKUP($AD$2,'RF Mod'!$I$2:$O$11,6,FALSE)+(TRUNC(6+(24-6)*(TRUNC(MOD(($Z175*1103515245 +12345)/ 65536, 32768),0)/32768),0))</f>
        <v>14</v>
      </c>
      <c r="R175" s="16" t="e">
        <f t="shared" ca="1" si="6"/>
        <v>#NAME?</v>
      </c>
      <c r="S175" s="154">
        <f t="shared" ca="1" si="12"/>
        <v>128</v>
      </c>
      <c r="T175" s="154">
        <f t="shared" ca="1" si="7"/>
        <v>51</v>
      </c>
      <c r="U175" s="16" t="str">
        <f t="shared" ca="1" si="8"/>
        <v>Fine</v>
      </c>
      <c r="V175" s="155">
        <f ca="1">IFERROR(__xludf.DUMMYFUNCTION("if(W175=""Middle Age"",QUERY(NPCVar!$K$2:$N1000, ""Select L where K = '""&amp;AB175&amp;""'""),if(W175=""Old"",QUERY(NPCVar!$K$2:$N1000, ""Select M where K = '""&amp;AB175&amp;""'""),if(W175=""Venerable"",QUERY(NPCVar!$K$2:$N1000, ""Select N where K = '""&amp;AB175&amp;""'""),fa"&amp;"lse)))*X175"),190)</f>
        <v>190</v>
      </c>
      <c r="W175" s="156" t="str">
        <f t="array" ref="W175">INDEX(NPCAgeType,TRUNC(1+(4-1)*(TRUNC(MOD((X175*1103515245 +12345)/ 65536, 32768),0)/32768),0))</f>
        <v>Venerable</v>
      </c>
      <c r="X175" s="117">
        <f t="shared" si="13"/>
        <v>1.9</v>
      </c>
      <c r="Y175" s="157" t="e">
        <f t="array" aca="1" ref="Y175" ca="1">LOOKUP(ABS(MAX(Z175 + MIN(ABS(INDIRECT("Class Jobs!B"&amp;MATCH(E175,'Class Jobs'!$A$1:$A1000,0)&amp;":"&amp;"AF"&amp;MATCH(E175,'Class Jobs'!$A$1:$A1000,0)&amp;"")-$Z175)) * SUM(IF(MIN(ABS(INDIRECT("Class Jobs!B"&amp;MATCH(E175,'Class Jobs'!$A$1:$A1000,0)&amp;":"&amp;"AF"&amp;MATCH(E175,'Class Jobs'!$A$1:$A1000,0)&amp;"")-$Z175))=ABS(INDIRECT("Class Jobs!B"&amp;MATCH(E175,'Class Jobs'!$A$1:$A1000,0)&amp;":"&amp;"AF"&amp;MATCH(E175,'Class Jobs'!$A$1:$A1000,0)&amp;"")-$Z175),SIGN(INDIRECT("Class Jobs!B"&amp;MATCH(E175,'Class Jobs'!$A$1:A1000,0)&amp;":"&amp;"AF"&amp;MATCH(E175,'Class Jobs'!$A$1:$A1000,0)&amp;"")-$Z175),0)),0)),INDIRECT("Class Jobs!B"&amp;MATCH(E175,'Class Jobs'!$A$1:$A1000,0)&amp;":"&amp;"AF"&amp;MATCH(E175,'Class Jobs'!$A$1:$A1000,1)&amp;""),'Class Jobs'!$B$1:$AF$1)</f>
        <v>#REF!</v>
      </c>
      <c r="Z175" s="158">
        <f t="shared" si="10"/>
        <v>0.75</v>
      </c>
      <c r="AA175" s="16" t="str">
        <f t="array" ref="AA175">INDEX(NPCGender,TRUNC(1+(COUNTA(NPCGender))*(TRUNC(MOD(($B175*1103515245 +12345)/ 65536, 32768),0)/32768),0))</f>
        <v>Neutral</v>
      </c>
      <c r="AB175" s="16" t="str">
        <f t="array" ref="AB175">INDEX(NPCRace,TRUNC(1+(COUNTA(NPCRace))*(TRUNC(MOD(($B175*1103515245 +12345)/ 65536, 32768),0)/32768),0))</f>
        <v>Tiefling</v>
      </c>
      <c r="AC175" s="16" t="str">
        <f t="array" ref="AC175">INDEX(NPCAL,TRUNC(1+(COUNTA(NPCAL))*(TRUNC(MOD(($B175*1103515245 +12345)/ 65536, 32768),0)/32768),0))</f>
        <v>LG</v>
      </c>
      <c r="AD175" s="72" t="str">
        <f ca="1">IFERROR(__xludf.DUMMYFUNCTION("if(V175&lt;15,QUERY(NPCVar!C:D,""Select D WHERE C = '""&amp;D175&amp;""'""),if((TRUNC(1+10)*(TRUNC(MOD((ROW(H175)*1103515245 +12345)/ 65536, 32768),0)/32768)/10) &gt; 0.85,INDEX(NPCFaction,TRUNC(1+(counta(NPCFaction)-1)*(TRUNC(MOD(($B175*1103515245 +12345)/ 65536, 3276"&amp;"8),0)/32768),0)),QUERY(NPCVar!C:D,""Select D WHERE C = '""&amp;D175&amp;""'"")))"),"Magic Guild")</f>
        <v>Magic Guild</v>
      </c>
      <c r="AE175" s="108" t="e">
        <f t="shared" ca="1" si="11"/>
        <v>#NAME?</v>
      </c>
      <c r="AF175" s="159">
        <f ca="1">IFERROR(__xludf.DUMMYFUNCTION("AE175*(V175 / QUERY(NPCVar!$K$2:$N$12, ""Select N WHERE K='""&amp;AB175&amp;""'""))*TRUNC(1+10)*(TRUNC(MOD(($B175*1103515245 +12345)/ 65536, 32768),0)/32768)"),7.90989227294921)</f>
        <v>7.90989227294921</v>
      </c>
      <c r="AG175" s="16"/>
      <c r="AH175" s="77"/>
      <c r="AI175" s="114"/>
    </row>
    <row r="176" spans="1:35" ht="16.2">
      <c r="A176" s="53">
        <v>175</v>
      </c>
      <c r="B176" s="118">
        <f t="shared" si="15"/>
        <v>0.46715000000000001</v>
      </c>
      <c r="C176" s="72" t="str">
        <f t="array" ref="C176">INDEX(NPCFName,TRUNC(1+(COUNTA(NPCFName))*(TRUNC(MOD(($B176*1103515245 +12345)/ 65536, 32768),0)/32768),0))</f>
        <v>Rayth</v>
      </c>
      <c r="D176" s="16" t="str">
        <f t="array" ref="D176">INDEX(NPCLName,TRUNC(1+(COUNTA(NPCLName))*(TRUNC(MOD(($B176*1103515245 +12345)/ 65536, 32768),0)/32768),0))</f>
        <v>Tuskleaf</v>
      </c>
      <c r="E176" s="16" t="str">
        <f t="array" ref="E176">INDEX(NPCClass,TRUNC(1+(COUNTA(NPCClass))*(TRUNC(MOD(($B176*1103515245 +12345)/ 65536, 32768),0)/32768),0))</f>
        <v>Druid</v>
      </c>
      <c r="F176" s="76">
        <v>4</v>
      </c>
      <c r="G176" s="153">
        <f ca="1">VLOOKUP($AB$2,'RF Mod'!$A$2:$G$12,2,FALSE)+VLOOKUP($AD$2,'RF Mod'!$I$2:$O$11,2,FALSE)+(TRUNC(6+(24-6)*(TRUNC(MOD(($Z176*1103515245 +12345)/ 65536, 32768),0)/32768),0))</f>
        <v>6</v>
      </c>
      <c r="H176" s="16">
        <f t="shared" ca="1" si="1"/>
        <v>-2</v>
      </c>
      <c r="I176" s="153">
        <f ca="1">VLOOKUP($AB$2,'RF Mod'!$A$2:$G$12,3,FALSE)+VLOOKUP($AD$2,'RF Mod'!$I$2:$O$11,3,FALSE)+(TRUNC(6+(24-6)*(TRUNC(MOD(($Z176*1103515245 +12345)/ 65536, 32768),0)/32768),0))</f>
        <v>10</v>
      </c>
      <c r="J176" s="16" t="e">
        <f t="shared" ca="1" si="2"/>
        <v>#NAME?</v>
      </c>
      <c r="K176" s="153">
        <f ca="1">VLOOKUP($AB$2,'RF Mod'!$A$2:$G$12,3,FALSE)+VLOOKUP($AD$2,'RF Mod'!$I$2:$O$11,3,FALSE)+(TRUNC(6+(24-6)*(TRUNC(MOD(($Z176*1103515245 +12345)/ 65536, 32768),0)/32768),0))</f>
        <v>10</v>
      </c>
      <c r="L176" s="16" t="e">
        <f t="shared" ca="1" si="3"/>
        <v>#NAME?</v>
      </c>
      <c r="M176" s="153">
        <f ca="1">VLOOKUP($AB$2,'RF Mod'!$A$2:$G$12,4,FALSE)+VLOOKUP($AD$2,'RF Mod'!$I$2:$O$11,4,FALSE)+(TRUNC(6+(24-6)*(TRUNC(MOD(($Z176*1103515245 +12345)/ 65536, 32768),0)/32768),0))</f>
        <v>9</v>
      </c>
      <c r="N176" s="16">
        <f t="shared" ca="1" si="4"/>
        <v>-1</v>
      </c>
      <c r="O176" s="153">
        <f ca="1">VLOOKUP($AB$2,'RF Mod'!$A$2:$G$12,5,FALSE)+VLOOKUP($AD$2,'RF Mod'!$I$2:$O$11,5,FALSE)+(TRUNC(6+(24-6)*(TRUNC(MOD(($Z176*1103515245 +12345)/ 65536, 32768),0)/32768),0))</f>
        <v>12</v>
      </c>
      <c r="P176" s="16" t="e">
        <f t="shared" ca="1" si="5"/>
        <v>#NAME?</v>
      </c>
      <c r="Q176" s="153">
        <f ca="1">VLOOKUP($AB$2,'RF Mod'!$A$2:$G$12,6,FALSE)+VLOOKUP($AD$2,'RF Mod'!$I$2:$O$11,6,FALSE)+(TRUNC(6+(24-6)*(TRUNC(MOD(($Z176*1103515245 +12345)/ 65536, 32768),0)/32768),0))</f>
        <v>10</v>
      </c>
      <c r="R176" s="16" t="e">
        <f t="shared" ca="1" si="6"/>
        <v>#NAME?</v>
      </c>
      <c r="S176" s="154">
        <f t="shared" ca="1" si="12"/>
        <v>56</v>
      </c>
      <c r="T176" s="154">
        <f t="shared" ca="1" si="7"/>
        <v>18</v>
      </c>
      <c r="U176" s="16" t="str">
        <f t="shared" ca="1" si="8"/>
        <v>Fine</v>
      </c>
      <c r="V176" s="155">
        <f ca="1">IFERROR(__xludf.DUMMYFUNCTION("if(W176=""Middle Age"",QUERY(NPCVar!$K$2:$N1000, ""Select L where K = '""&amp;AB176&amp;""'""),if(W176=""Old"",QUERY(NPCVar!$K$2:$N1000, ""Select M where K = '""&amp;AB176&amp;""'""),if(W176=""Venerable"",QUERY(NPCVar!$K$2:$N1000, ""Select N where K = '""&amp;AB176&amp;""'""),fa"&amp;"lse)))*X176"),112.5)</f>
        <v>112.5</v>
      </c>
      <c r="W176" s="156" t="str">
        <f t="array" ref="W176">INDEX(NPCAgeType,TRUNC(1+(4-1)*(TRUNC(MOD((X176*1103515245 +12345)/ 65536, 32768),0)/32768),0))</f>
        <v>Middle Age</v>
      </c>
      <c r="X176" s="117">
        <f t="shared" si="13"/>
        <v>0.6</v>
      </c>
      <c r="Y176" s="157" t="e">
        <f t="array" aca="1" ref="Y176" ca="1">LOOKUP(ABS(MAX(Z176 + MIN(ABS(INDIRECT("Class Jobs!B"&amp;MATCH(E176,'Class Jobs'!$A$1:$A1000,0)&amp;":"&amp;"AF"&amp;MATCH(E176,'Class Jobs'!$A$1:$A1000,0)&amp;"")-$Z176)) * SUM(IF(MIN(ABS(INDIRECT("Class Jobs!B"&amp;MATCH(E176,'Class Jobs'!$A$1:$A1000,0)&amp;":"&amp;"AF"&amp;MATCH(E176,'Class Jobs'!$A$1:$A1000,0)&amp;"")-$Z176))=ABS(INDIRECT("Class Jobs!B"&amp;MATCH(E176,'Class Jobs'!$A$1:$A1000,0)&amp;":"&amp;"AF"&amp;MATCH(E176,'Class Jobs'!$A$1:$A1000,0)&amp;"")-$Z176),SIGN(INDIRECT("Class Jobs!B"&amp;MATCH(E176,'Class Jobs'!$A$1:A1000,0)&amp;":"&amp;"AF"&amp;MATCH(E176,'Class Jobs'!$A$1:$A1000,0)&amp;"")-$Z176),0)),0)),INDIRECT("Class Jobs!B"&amp;MATCH(E176,'Class Jobs'!$A$1:$A1000,0)&amp;":"&amp;"AF"&amp;MATCH(E176,'Class Jobs'!$A$1:$A1000,1)&amp;""),'Class Jobs'!$B$1:$AF$1)</f>
        <v>#REF!</v>
      </c>
      <c r="Z176" s="158">
        <f t="shared" si="10"/>
        <v>0.24</v>
      </c>
      <c r="AA176" s="16" t="str">
        <f t="array" ref="AA176">INDEX(NPCGender,TRUNC(1+(COUNTA(NPCGender))*(TRUNC(MOD(($B176*1103515245 +12345)/ 65536, 32768),0)/32768),0))</f>
        <v>Male</v>
      </c>
      <c r="AB176" s="16" t="str">
        <f t="array" ref="AB176">INDEX(NPCRace,TRUNC(1+(COUNTA(NPCRace))*(TRUNC(MOD(($B176*1103515245 +12345)/ 65536, 32768),0)/32768),0))</f>
        <v>Elf</v>
      </c>
      <c r="AC176" s="16" t="str">
        <f t="array" ref="AC176">INDEX(NPCAL,TRUNC(1+(COUNTA(NPCAL))*(TRUNC(MOD(($B176*1103515245 +12345)/ 65536, 32768),0)/32768),0))</f>
        <v>CG</v>
      </c>
      <c r="AD176" s="72" t="str">
        <f ca="1">IFERROR(__xludf.DUMMYFUNCTION("if(V176&lt;15,QUERY(NPCVar!C:D,""Select D WHERE C = '""&amp;D176&amp;""'""),if((TRUNC(1+10)*(TRUNC(MOD((ROW(H176)*1103515245 +12345)/ 65536, 32768),0)/32768)/10) &gt; 0.85,INDEX(NPCFaction,TRUNC(1+(counta(NPCFaction)-1)*(TRUNC(MOD(($B176*1103515245 +12345)/ 65536, 3276"&amp;"8),0)/32768),0)),QUERY(NPCVar!C:D,""Select D WHERE C = '""&amp;D176&amp;""'"")))"),"Magic Guild")</f>
        <v>Magic Guild</v>
      </c>
      <c r="AE176" s="108" t="e">
        <f t="shared" ca="1" si="11"/>
        <v>#NAME?</v>
      </c>
      <c r="AF176" s="159">
        <f ca="1">IFERROR(__xludf.DUMMYFUNCTION("AE176*(V176 / QUERY(NPCVar!$K$2:$N$12, ""Select N WHERE K='""&amp;AB176&amp;""'""))*TRUNC(1+10)*(TRUNC(MOD(($B176*1103515245 +12345)/ 65536, 32768),0)/32768)"),0.277259216308593)</f>
        <v>0.27725921630859302</v>
      </c>
      <c r="AG176" s="16"/>
      <c r="AH176" s="77"/>
      <c r="AI176" s="114"/>
    </row>
    <row r="177" spans="1:35" ht="16.2">
      <c r="A177" s="53">
        <v>176</v>
      </c>
      <c r="B177" s="118">
        <f t="shared" si="15"/>
        <v>1.9612099999999999</v>
      </c>
      <c r="C177" s="72" t="str">
        <f t="array" ref="C177">INDEX(NPCFName,TRUNC(1+(COUNTA(NPCFName))*(TRUNC(MOD(($B177*1103515245 +12345)/ 65536, 32768),0)/32768),0))</f>
        <v>Ahburn</v>
      </c>
      <c r="D177" s="16" t="str">
        <f t="array" ref="D177">INDEX(NPCLName,TRUNC(1+(COUNTA(NPCLName))*(TRUNC(MOD(($B177*1103515245 +12345)/ 65536, 32768),0)/32768),0))</f>
        <v>Stagfang</v>
      </c>
      <c r="E177" s="16" t="str">
        <f t="array" ref="E177">INDEX(NPCClass,TRUNC(1+(COUNTA(NPCClass))*(TRUNC(MOD(($B177*1103515245 +12345)/ 65536, 32768),0)/32768),0))</f>
        <v>Barbarian</v>
      </c>
      <c r="F177" s="76">
        <v>1</v>
      </c>
      <c r="G177" s="153">
        <f ca="1">VLOOKUP($AB$2,'RF Mod'!$A$2:$G$12,2,FALSE)+VLOOKUP($AD$2,'RF Mod'!$I$2:$O$11,2,FALSE)+(TRUNC(6+(24-6)*(TRUNC(MOD(($Z177*1103515245 +12345)/ 65536, 32768),0)/32768),0))</f>
        <v>4</v>
      </c>
      <c r="H177" s="16">
        <f t="shared" ca="1" si="1"/>
        <v>-3</v>
      </c>
      <c r="I177" s="153">
        <f ca="1">VLOOKUP($AB$2,'RF Mod'!$A$2:$G$12,3,FALSE)+VLOOKUP($AD$2,'RF Mod'!$I$2:$O$11,3,FALSE)+(TRUNC(6+(24-6)*(TRUNC(MOD(($Z177*1103515245 +12345)/ 65536, 32768),0)/32768),0))</f>
        <v>8</v>
      </c>
      <c r="J177" s="16">
        <f t="shared" ca="1" si="2"/>
        <v>-1</v>
      </c>
      <c r="K177" s="153">
        <f ca="1">VLOOKUP($AB$2,'RF Mod'!$A$2:$G$12,3,FALSE)+VLOOKUP($AD$2,'RF Mod'!$I$2:$O$11,3,FALSE)+(TRUNC(6+(24-6)*(TRUNC(MOD(($Z177*1103515245 +12345)/ 65536, 32768),0)/32768),0))</f>
        <v>8</v>
      </c>
      <c r="L177" s="16">
        <f t="shared" ca="1" si="3"/>
        <v>-1</v>
      </c>
      <c r="M177" s="153">
        <f ca="1">VLOOKUP($AB$2,'RF Mod'!$A$2:$G$12,4,FALSE)+VLOOKUP($AD$2,'RF Mod'!$I$2:$O$11,4,FALSE)+(TRUNC(6+(24-6)*(TRUNC(MOD(($Z177*1103515245 +12345)/ 65536, 32768),0)/32768),0))</f>
        <v>7</v>
      </c>
      <c r="N177" s="16">
        <f t="shared" ca="1" si="4"/>
        <v>-2</v>
      </c>
      <c r="O177" s="153">
        <f ca="1">VLOOKUP($AB$2,'RF Mod'!$A$2:$G$12,5,FALSE)+VLOOKUP($AD$2,'RF Mod'!$I$2:$O$11,5,FALSE)+(TRUNC(6+(24-6)*(TRUNC(MOD(($Z177*1103515245 +12345)/ 65536, 32768),0)/32768),0))</f>
        <v>10</v>
      </c>
      <c r="P177" s="16" t="e">
        <f t="shared" ca="1" si="5"/>
        <v>#NAME?</v>
      </c>
      <c r="Q177" s="153">
        <f ca="1">VLOOKUP($AB$2,'RF Mod'!$A$2:$G$12,6,FALSE)+VLOOKUP($AD$2,'RF Mod'!$I$2:$O$11,6,FALSE)+(TRUNC(6+(24-6)*(TRUNC(MOD(($Z177*1103515245 +12345)/ 65536, 32768),0)/32768),0))</f>
        <v>8</v>
      </c>
      <c r="R177" s="16">
        <f t="shared" ca="1" si="6"/>
        <v>-1</v>
      </c>
      <c r="S177" s="154">
        <f t="shared" ca="1" si="12"/>
        <v>10</v>
      </c>
      <c r="T177" s="154">
        <f t="shared" ca="1" si="7"/>
        <v>7</v>
      </c>
      <c r="U177" s="16" t="str">
        <f t="shared" ca="1" si="8"/>
        <v>Bloody</v>
      </c>
      <c r="V177" s="155">
        <f ca="1">IFERROR(__xludf.DUMMYFUNCTION("if(W177=""Middle Age"",QUERY(NPCVar!$K$2:$N1000, ""Select L where K = '""&amp;AB177&amp;""'""),if(W177=""Old"",QUERY(NPCVar!$K$2:$N1000, ""Select M where K = '""&amp;AB177&amp;""'""),if(W177=""Venerable"",QUERY(NPCVar!$K$2:$N1000, ""Select N where K = '""&amp;AB177&amp;""'""),fa"&amp;"lse)))*X177"),2)</f>
        <v>2</v>
      </c>
      <c r="W177" s="156" t="str">
        <f t="array" ref="W177">INDEX(NPCAgeType,TRUNC(1+(4-1)*(TRUNC(MOD((X177*1103515245 +12345)/ 65536, 32768),0)/32768),0))</f>
        <v>Middle Age</v>
      </c>
      <c r="X177" s="117">
        <f t="shared" si="13"/>
        <v>0.1</v>
      </c>
      <c r="Y177" s="157" t="e">
        <f t="array" aca="1" ref="Y177" ca="1">LOOKUP(ABS(MAX(Z177 + MIN(ABS(INDIRECT("Class Jobs!B"&amp;MATCH(E177,'Class Jobs'!$A$1:$A1000,0)&amp;":"&amp;"AF"&amp;MATCH(E177,'Class Jobs'!$A$1:$A1000,0)&amp;"")-$Z177)) * SUM(IF(MIN(ABS(INDIRECT("Class Jobs!B"&amp;MATCH(E177,'Class Jobs'!$A$1:$A1000,0)&amp;":"&amp;"AF"&amp;MATCH(E177,'Class Jobs'!$A$1:$A1000,0)&amp;"")-$Z177))=ABS(INDIRECT("Class Jobs!B"&amp;MATCH(E177,'Class Jobs'!$A$1:$A1000,0)&amp;":"&amp;"AF"&amp;MATCH(E177,'Class Jobs'!$A$1:$A1000,0)&amp;"")-$Z177),SIGN(INDIRECT("Class Jobs!B"&amp;MATCH(E177,'Class Jobs'!$A$1:A1000,0)&amp;":"&amp;"AF"&amp;MATCH(E177,'Class Jobs'!$A$1:$A1000,0)&amp;"")-$Z177),0)),0)),INDIRECT("Class Jobs!B"&amp;MATCH(E177,'Class Jobs'!$A$1:$A1000,0)&amp;":"&amp;"AF"&amp;MATCH(E177,'Class Jobs'!$A$1:$A1000,1)&amp;""),'Class Jobs'!$B$1:$AF$1)</f>
        <v>#REF!</v>
      </c>
      <c r="Z177" s="158">
        <f t="shared" si="10"/>
        <v>0.01</v>
      </c>
      <c r="AA177" s="16" t="str">
        <f t="array" ref="AA177">INDEX(NPCGender,TRUNC(1+(COUNTA(NPCGender))*(TRUNC(MOD(($B177*1103515245 +12345)/ 65536, 32768),0)/32768),0))</f>
        <v>Male</v>
      </c>
      <c r="AB177" s="16" t="str">
        <f t="array" ref="AB177">INDEX(NPCRace,TRUNC(1+(COUNTA(NPCRace))*(TRUNC(MOD(($B177*1103515245 +12345)/ 65536, 32768),0)/32768),0))</f>
        <v>Dragonborn</v>
      </c>
      <c r="AC177" s="16" t="str">
        <f t="array" ref="AC177">INDEX(NPCAL,TRUNC(1+(COUNTA(NPCAL))*(TRUNC(MOD(($B177*1103515245 +12345)/ 65536, 32768),0)/32768),0))</f>
        <v>CN</v>
      </c>
      <c r="AD177" s="72" t="str">
        <f ca="1">IFERROR(__xludf.DUMMYFUNCTION("if(V177&lt;15,QUERY(NPCVar!C:D,""Select D WHERE C = '""&amp;D177&amp;""'""),if((TRUNC(1+10)*(TRUNC(MOD((ROW(H177)*1103515245 +12345)/ 65536, 32768),0)/32768)/10) &gt; 0.85,INDEX(NPCFaction,TRUNC(1+(counta(NPCFaction)-1)*(TRUNC(MOD(($B177*1103515245 +12345)/ 65536, 3276"&amp;"8),0)/32768),0)),QUERY(NPCVar!C:D,""Select D WHERE C = '""&amp;D177&amp;""'"")))"),"Royalty")</f>
        <v>Royalty</v>
      </c>
      <c r="AE177" s="108" t="e">
        <f t="shared" ca="1" si="11"/>
        <v>#NAME?</v>
      </c>
      <c r="AF177" s="159">
        <f ca="1">IFERROR(__xludf.DUMMYFUNCTION("AE177*(V177 / QUERY(NPCVar!$K$2:$N$12, ""Select N WHERE K='""&amp;AB177&amp;""'""))*TRUNC(1+10)*(TRUNC(MOD(($B177*1103515245 +12345)/ 65536, 32768),0)/32768)"),0.000214004516601562)</f>
        <v>2.1400451660156199E-4</v>
      </c>
      <c r="AG177" s="16"/>
      <c r="AH177" s="77"/>
      <c r="AI177" s="114"/>
    </row>
    <row r="178" spans="1:35" ht="16.2">
      <c r="A178" s="53">
        <v>177</v>
      </c>
      <c r="B178" s="118">
        <f t="shared" si="15"/>
        <v>0.95535000000000003</v>
      </c>
      <c r="C178" s="72" t="str">
        <f t="array" ref="C178">INDEX(NPCFName,TRUNC(1+(COUNTA(NPCFName))*(TRUNC(MOD(($B178*1103515245 +12345)/ 65536, 32768),0)/32768),0))</f>
        <v>Kaldar</v>
      </c>
      <c r="D178" s="16" t="str">
        <f t="array" ref="D178">INDEX(NPCLName,TRUNC(1+(COUNTA(NPCLName))*(TRUNC(MOD(($B178*1103515245 +12345)/ 65536, 32768),0)/32768),0))</f>
        <v>Autumnglow</v>
      </c>
      <c r="E178" s="16" t="str">
        <f t="array" ref="E178">INDEX(NPCClass,TRUNC(1+(COUNTA(NPCClass))*(TRUNC(MOD(($B178*1103515245 +12345)/ 65536, 32768),0)/32768),0))</f>
        <v>Ranger</v>
      </c>
      <c r="F178" s="76">
        <v>8</v>
      </c>
      <c r="G178" s="153">
        <f ca="1">VLOOKUP($AB$2,'RF Mod'!$A$2:$G$12,2,FALSE)+VLOOKUP($AD$2,'RF Mod'!$I$2:$O$11,2,FALSE)+(TRUNC(6+(24-6)*(TRUNC(MOD(($Z178*1103515245 +12345)/ 65536, 32768),0)/32768),0))</f>
        <v>8</v>
      </c>
      <c r="H178" s="16">
        <f t="shared" ca="1" si="1"/>
        <v>-1</v>
      </c>
      <c r="I178" s="153">
        <f ca="1">VLOOKUP($AB$2,'RF Mod'!$A$2:$G$12,3,FALSE)+VLOOKUP($AD$2,'RF Mod'!$I$2:$O$11,3,FALSE)+(TRUNC(6+(24-6)*(TRUNC(MOD(($Z178*1103515245 +12345)/ 65536, 32768),0)/32768),0))</f>
        <v>12</v>
      </c>
      <c r="J178" s="16" t="e">
        <f t="shared" ca="1" si="2"/>
        <v>#NAME?</v>
      </c>
      <c r="K178" s="153">
        <f ca="1">VLOOKUP($AB$2,'RF Mod'!$A$2:$G$12,3,FALSE)+VLOOKUP($AD$2,'RF Mod'!$I$2:$O$11,3,FALSE)+(TRUNC(6+(24-6)*(TRUNC(MOD(($Z178*1103515245 +12345)/ 65536, 32768),0)/32768),0))</f>
        <v>12</v>
      </c>
      <c r="L178" s="16" t="e">
        <f t="shared" ca="1" si="3"/>
        <v>#NAME?</v>
      </c>
      <c r="M178" s="153">
        <f ca="1">VLOOKUP($AB$2,'RF Mod'!$A$2:$G$12,4,FALSE)+VLOOKUP($AD$2,'RF Mod'!$I$2:$O$11,4,FALSE)+(TRUNC(6+(24-6)*(TRUNC(MOD(($Z178*1103515245 +12345)/ 65536, 32768),0)/32768),0))</f>
        <v>11</v>
      </c>
      <c r="N178" s="16" t="e">
        <f t="shared" ca="1" si="4"/>
        <v>#NAME?</v>
      </c>
      <c r="O178" s="153">
        <f ca="1">VLOOKUP($AB$2,'RF Mod'!$A$2:$G$12,5,FALSE)+VLOOKUP($AD$2,'RF Mod'!$I$2:$O$11,5,FALSE)+(TRUNC(6+(24-6)*(TRUNC(MOD(($Z178*1103515245 +12345)/ 65536, 32768),0)/32768),0))</f>
        <v>14</v>
      </c>
      <c r="P178" s="16" t="e">
        <f t="shared" ca="1" si="5"/>
        <v>#NAME?</v>
      </c>
      <c r="Q178" s="153">
        <f ca="1">VLOOKUP($AB$2,'RF Mod'!$A$2:$G$12,6,FALSE)+VLOOKUP($AD$2,'RF Mod'!$I$2:$O$11,6,FALSE)+(TRUNC(6+(24-6)*(TRUNC(MOD(($Z178*1103515245 +12345)/ 65536, 32768),0)/32768),0))</f>
        <v>12</v>
      </c>
      <c r="R178" s="16" t="e">
        <f t="shared" ca="1" si="6"/>
        <v>#NAME?</v>
      </c>
      <c r="S178" s="154">
        <f t="shared" ca="1" si="12"/>
        <v>144</v>
      </c>
      <c r="T178" s="154">
        <f t="shared" ca="1" si="7"/>
        <v>91</v>
      </c>
      <c r="U178" s="16" t="str">
        <f t="shared" ca="1" si="8"/>
        <v>Bloody</v>
      </c>
      <c r="V178" s="155">
        <f ca="1">IFERROR(__xludf.DUMMYFUNCTION("if(W178=""Middle Age"",QUERY(NPCVar!$K$2:$N1000, ""Select L where K = '""&amp;AB178&amp;""'""),if(W178=""Old"",QUERY(NPCVar!$K$2:$N1000, ""Select M where K = '""&amp;AB178&amp;""'""),if(W178=""Venerable"",QUERY(NPCVar!$K$2:$N1000, ""Select N where K = '""&amp;AB178&amp;""'""),fa"&amp;"lse)))*X178"),31.5)</f>
        <v>31.5</v>
      </c>
      <c r="W178" s="156" t="str">
        <f t="array" ref="W178">INDEX(NPCAgeType,TRUNC(1+(4-1)*(TRUNC(MOD((X178*1103515245 +12345)/ 65536, 32768),0)/32768),0))</f>
        <v>Old</v>
      </c>
      <c r="X178" s="117">
        <f t="shared" si="13"/>
        <v>1.2</v>
      </c>
      <c r="Y178" s="157" t="e">
        <f t="array" aca="1" ref="Y178" ca="1">LOOKUP(ABS(MAX(Z178 + MIN(ABS(INDIRECT("Class Jobs!B"&amp;MATCH(E178,'Class Jobs'!$A$1:$A1000,0)&amp;":"&amp;"AF"&amp;MATCH(E178,'Class Jobs'!$A$1:$A1000,0)&amp;"")-$Z178)) * SUM(IF(MIN(ABS(INDIRECT("Class Jobs!B"&amp;MATCH(E178,'Class Jobs'!$A$1:$A1000,0)&amp;":"&amp;"AF"&amp;MATCH(E178,'Class Jobs'!$A$1:$A1000,0)&amp;"")-$Z178))=ABS(INDIRECT("Class Jobs!B"&amp;MATCH(E178,'Class Jobs'!$A$1:$A1000,0)&amp;":"&amp;"AF"&amp;MATCH(E178,'Class Jobs'!$A$1:$A1000,0)&amp;"")-$Z178),SIGN(INDIRECT("Class Jobs!B"&amp;MATCH(E178,'Class Jobs'!$A$1:A1000,0)&amp;":"&amp;"AF"&amp;MATCH(E178,'Class Jobs'!$A$1:$A1000,0)&amp;"")-$Z178),0)),0)),INDIRECT("Class Jobs!B"&amp;MATCH(E178,'Class Jobs'!$A$1:$A1000,0)&amp;":"&amp;"AF"&amp;MATCH(E178,'Class Jobs'!$A$1:$A1000,1)&amp;""),'Class Jobs'!$B$1:$AF$1)</f>
        <v>#REF!</v>
      </c>
      <c r="Z178" s="158">
        <f t="shared" si="10"/>
        <v>0.49</v>
      </c>
      <c r="AA178" s="16" t="str">
        <f t="array" ref="AA178">INDEX(NPCGender,TRUNC(1+(COUNTA(NPCGender))*(TRUNC(MOD(($B178*1103515245 +12345)/ 65536, 32768),0)/32768),0))</f>
        <v>Female</v>
      </c>
      <c r="AB178" s="16" t="str">
        <f t="array" ref="AB178">INDEX(NPCRace,TRUNC(1+(COUNTA(NPCRace))*(TRUNC(MOD(($B178*1103515245 +12345)/ 65536, 32768),0)/32768),0))</f>
        <v>Half-Orc</v>
      </c>
      <c r="AC178" s="16" t="str">
        <f t="array" ref="AC178">INDEX(NPCAL,TRUNC(1+(COUNTA(NPCAL))*(TRUNC(MOD(($B178*1103515245 +12345)/ 65536, 32768),0)/32768),0))</f>
        <v>NN</v>
      </c>
      <c r="AD178" s="72" t="str">
        <f ca="1">IFERROR(__xludf.DUMMYFUNCTION("if(V178&lt;15,QUERY(NPCVar!C:D,""Select D WHERE C = '""&amp;D178&amp;""'""),if((TRUNC(1+10)*(TRUNC(MOD((ROW(H178)*1103515245 +12345)/ 65536, 32768),0)/32768)/10) &gt; 0.85,INDEX(NPCFaction,TRUNC(1+(counta(NPCFaction)-1)*(TRUNC(MOD(($B178*1103515245 +12345)/ 65536, 3276"&amp;"8),0)/32768),0)),QUERY(NPCVar!C:D,""Select D WHERE C = '""&amp;D178&amp;""'"")))"),"Traders Guild")</f>
        <v>Traders Guild</v>
      </c>
      <c r="AE178" s="108" t="e">
        <f t="shared" ca="1" si="11"/>
        <v>#NAME?</v>
      </c>
      <c r="AF178" s="159">
        <f ca="1">IFERROR(__xludf.DUMMYFUNCTION("AE178*(V178 / QUERY(NPCVar!$K$2:$N$12, ""Select N WHERE K='""&amp;AB178&amp;""'""))*TRUNC(1+10)*(TRUNC(MOD(($B178*1103515245 +12345)/ 65536, 32768),0)/32768)"),2.42998352050781)</f>
        <v>2.4299835205078102</v>
      </c>
      <c r="AG178" s="16"/>
      <c r="AH178" s="77"/>
      <c r="AI178" s="114"/>
    </row>
    <row r="179" spans="1:35" ht="16.2">
      <c r="A179" s="53">
        <v>178</v>
      </c>
      <c r="B179" s="118">
        <f t="shared" si="15"/>
        <v>2.4494899999999999</v>
      </c>
      <c r="C179" s="72" t="str">
        <f t="array" ref="C179">INDEX(NPCFName,TRUNC(1+(COUNTA(NPCFName))*(TRUNC(MOD(($B179*1103515245 +12345)/ 65536, 32768),0)/32768),0))</f>
        <v>Scoth</v>
      </c>
      <c r="D179" s="16" t="str">
        <f t="array" ref="D179">INDEX(NPCLName,TRUNC(1+(COUNTA(NPCLName))*(TRUNC(MOD(($B179*1103515245 +12345)/ 65536, 32768),0)/32768),0))</f>
        <v>Tuskleaf</v>
      </c>
      <c r="E179" s="16" t="str">
        <f t="array" ref="E179">INDEX(NPCClass,TRUNC(1+(COUNTA(NPCClass))*(TRUNC(MOD(($B179*1103515245 +12345)/ 65536, 32768),0)/32768),0))</f>
        <v>Monk</v>
      </c>
      <c r="F179" s="76">
        <v>1</v>
      </c>
      <c r="G179" s="153">
        <f ca="1">VLOOKUP($AB$2,'RF Mod'!$A$2:$G$12,2,FALSE)+VLOOKUP($AD$2,'RF Mod'!$I$2:$O$11,2,FALSE)+(TRUNC(6+(24-6)*(TRUNC(MOD(($Z179*1103515245 +12345)/ 65536, 32768),0)/32768),0))</f>
        <v>6</v>
      </c>
      <c r="H179" s="16">
        <f t="shared" ca="1" si="1"/>
        <v>-2</v>
      </c>
      <c r="I179" s="153">
        <f ca="1">VLOOKUP($AB$2,'RF Mod'!$A$2:$G$12,3,FALSE)+VLOOKUP($AD$2,'RF Mod'!$I$2:$O$11,3,FALSE)+(TRUNC(6+(24-6)*(TRUNC(MOD(($Z179*1103515245 +12345)/ 65536, 32768),0)/32768),0))</f>
        <v>10</v>
      </c>
      <c r="J179" s="16" t="e">
        <f t="shared" ca="1" si="2"/>
        <v>#NAME?</v>
      </c>
      <c r="K179" s="153">
        <f ca="1">VLOOKUP($AB$2,'RF Mod'!$A$2:$G$12,3,FALSE)+VLOOKUP($AD$2,'RF Mod'!$I$2:$O$11,3,FALSE)+(TRUNC(6+(24-6)*(TRUNC(MOD(($Z179*1103515245 +12345)/ 65536, 32768),0)/32768),0))</f>
        <v>10</v>
      </c>
      <c r="L179" s="16" t="e">
        <f t="shared" ca="1" si="3"/>
        <v>#NAME?</v>
      </c>
      <c r="M179" s="153">
        <f ca="1">VLOOKUP($AB$2,'RF Mod'!$A$2:$G$12,4,FALSE)+VLOOKUP($AD$2,'RF Mod'!$I$2:$O$11,4,FALSE)+(TRUNC(6+(24-6)*(TRUNC(MOD(($Z179*1103515245 +12345)/ 65536, 32768),0)/32768),0))</f>
        <v>9</v>
      </c>
      <c r="N179" s="16">
        <f t="shared" ca="1" si="4"/>
        <v>-1</v>
      </c>
      <c r="O179" s="153">
        <f ca="1">VLOOKUP($AB$2,'RF Mod'!$A$2:$G$12,5,FALSE)+VLOOKUP($AD$2,'RF Mod'!$I$2:$O$11,5,FALSE)+(TRUNC(6+(24-6)*(TRUNC(MOD(($Z179*1103515245 +12345)/ 65536, 32768),0)/32768),0))</f>
        <v>12</v>
      </c>
      <c r="P179" s="16" t="e">
        <f t="shared" ca="1" si="5"/>
        <v>#NAME?</v>
      </c>
      <c r="Q179" s="153">
        <f ca="1">VLOOKUP($AB$2,'RF Mod'!$A$2:$G$12,6,FALSE)+VLOOKUP($AD$2,'RF Mod'!$I$2:$O$11,6,FALSE)+(TRUNC(6+(24-6)*(TRUNC(MOD(($Z179*1103515245 +12345)/ 65536, 32768),0)/32768),0))</f>
        <v>10</v>
      </c>
      <c r="R179" s="16" t="e">
        <f t="shared" ca="1" si="6"/>
        <v>#NAME?</v>
      </c>
      <c r="S179" s="154">
        <f t="shared" ca="1" si="12"/>
        <v>14</v>
      </c>
      <c r="T179" s="154">
        <f t="shared" ca="1" si="7"/>
        <v>5</v>
      </c>
      <c r="U179" s="16" t="str">
        <f t="shared" ca="1" si="8"/>
        <v>Fine</v>
      </c>
      <c r="V179" s="155">
        <f ca="1">IFERROR(__xludf.DUMMYFUNCTION("if(W179=""Middle Age"",QUERY(NPCVar!$K$2:$N1000, ""Select L where K = '""&amp;AB179&amp;""'""),if(W179=""Old"",QUERY(NPCVar!$K$2:$N1000, ""Select M where K = '""&amp;AB179&amp;""'""),if(W179=""Venerable"",QUERY(NPCVar!$K$2:$N1000, ""Select N where K = '""&amp;AB179&amp;""'""),fa"&amp;"lse)))*X179"),196.875)</f>
        <v>196.875</v>
      </c>
      <c r="W179" s="156" t="str">
        <f t="array" ref="W179">INDEX(NPCAgeType,TRUNC(1+(4-1)*(TRUNC(MOD((X179*1103515245 +12345)/ 65536, 32768),0)/32768),0))</f>
        <v>Old</v>
      </c>
      <c r="X179" s="117">
        <f t="shared" si="13"/>
        <v>0.7</v>
      </c>
      <c r="Y179" s="157" t="e">
        <f t="array" aca="1" ref="Y179" ca="1">LOOKUP(ABS(MAX(Z179 + MIN(ABS(INDIRECT("Class Jobs!B"&amp;MATCH(E179,'Class Jobs'!$A$1:$A1000,0)&amp;":"&amp;"AF"&amp;MATCH(E179,'Class Jobs'!$A$1:$A1000,0)&amp;"")-$Z179)) * SUM(IF(MIN(ABS(INDIRECT("Class Jobs!B"&amp;MATCH(E179,'Class Jobs'!$A$1:$A1000,0)&amp;":"&amp;"AF"&amp;MATCH(E179,'Class Jobs'!$A$1:$A1000,0)&amp;"")-$Z179))=ABS(INDIRECT("Class Jobs!B"&amp;MATCH(E179,'Class Jobs'!$A$1:$A1000,0)&amp;":"&amp;"AF"&amp;MATCH(E179,'Class Jobs'!$A$1:$A1000,0)&amp;"")-$Z179),SIGN(INDIRECT("Class Jobs!B"&amp;MATCH(E179,'Class Jobs'!$A$1:A1000,0)&amp;":"&amp;"AF"&amp;MATCH(E179,'Class Jobs'!$A$1:$A1000,0)&amp;"")-$Z179),0)),0)),INDIRECT("Class Jobs!B"&amp;MATCH(E179,'Class Jobs'!$A$1:$A1000,0)&amp;":"&amp;"AF"&amp;MATCH(E179,'Class Jobs'!$A$1:$A1000,1)&amp;""),'Class Jobs'!$B$1:$AF$1)</f>
        <v>#REF!</v>
      </c>
      <c r="Z179" s="158">
        <f t="shared" si="10"/>
        <v>0.26</v>
      </c>
      <c r="AA179" s="16" t="str">
        <f t="array" ref="AA179">INDEX(NPCGender,TRUNC(1+(COUNTA(NPCGender))*(TRUNC(MOD(($B179*1103515245 +12345)/ 65536, 32768),0)/32768),0))</f>
        <v>Male</v>
      </c>
      <c r="AB179" s="16" t="str">
        <f t="array" ref="AB179">INDEX(NPCRace,TRUNC(1+(COUNTA(NPCRace))*(TRUNC(MOD(($B179*1103515245 +12345)/ 65536, 32768),0)/32768),0))</f>
        <v>Elf</v>
      </c>
      <c r="AC179" s="16" t="str">
        <f t="array" ref="AC179">INDEX(NPCAL,TRUNC(1+(COUNTA(NPCAL))*(TRUNC(MOD(($B179*1103515245 +12345)/ 65536, 32768),0)/32768),0))</f>
        <v>CG</v>
      </c>
      <c r="AD179" s="72" t="str">
        <f ca="1">IFERROR(__xludf.DUMMYFUNCTION("if(V179&lt;15,QUERY(NPCVar!C:D,""Select D WHERE C = '""&amp;D179&amp;""'""),if((TRUNC(1+10)*(TRUNC(MOD((ROW(H179)*1103515245 +12345)/ 65536, 32768),0)/32768)/10) &gt; 0.85,INDEX(NPCFaction,TRUNC(1+(counta(NPCFaction)-1)*(TRUNC(MOD(($B179*1103515245 +12345)/ 65536, 3276"&amp;"8),0)/32768),0)),QUERY(NPCVar!C:D,""Select D WHERE C = '""&amp;D179&amp;""'"")))"),"Traders Guild")</f>
        <v>Traders Guild</v>
      </c>
      <c r="AE179" s="108" t="e">
        <f t="shared" ca="1" si="11"/>
        <v>#NAME?</v>
      </c>
      <c r="AF179" s="159">
        <f ca="1">IFERROR(__xludf.DUMMYFUNCTION("AE179*(V179 / QUERY(NPCVar!$K$2:$N$12, ""Select N WHERE K='""&amp;AB179&amp;""'""))*TRUNC(1+10)*(TRUNC(MOD(($B179*1103515245 +12345)/ 65536, 32768),0)/32768)"),0.224096717834472)</f>
        <v>0.22409671783447199</v>
      </c>
      <c r="AG179" s="16"/>
      <c r="AH179" s="77"/>
      <c r="AI179" s="114"/>
    </row>
    <row r="180" spans="1:35" ht="16.2">
      <c r="A180" s="53">
        <v>179</v>
      </c>
      <c r="B180" s="118">
        <f t="shared" si="15"/>
        <v>1.44363</v>
      </c>
      <c r="C180" s="72" t="str">
        <f t="array" ref="C180">INDEX(NPCFName,TRUNC(1+(COUNTA(NPCFName))*(TRUNC(MOD(($B180*1103515245 +12345)/ 65536, 32768),0)/32768),0))</f>
        <v>Dismer</v>
      </c>
      <c r="D180" s="16" t="str">
        <f t="array" ref="D180">INDEX(NPCLName,TRUNC(1+(COUNTA(NPCLName))*(TRUNC(MOD(($B180*1103515245 +12345)/ 65536, 32768),0)/32768),0))</f>
        <v>Sacredgloom</v>
      </c>
      <c r="E180" s="16" t="str">
        <f t="array" ref="E180">INDEX(NPCClass,TRUNC(1+(COUNTA(NPCClass))*(TRUNC(MOD(($B180*1103515245 +12345)/ 65536, 32768),0)/32768),0))</f>
        <v>None</v>
      </c>
      <c r="F180" s="76">
        <v>8</v>
      </c>
      <c r="G180" s="153">
        <f ca="1">VLOOKUP($AB$2,'RF Mod'!$A$2:$G$12,2,FALSE)+VLOOKUP($AD$2,'RF Mod'!$I$2:$O$11,2,FALSE)+(TRUNC(6+(24-6)*(TRUNC(MOD(($Z180*1103515245 +12345)/ 65536, 32768),0)/32768),0))</f>
        <v>10</v>
      </c>
      <c r="H180" s="16" t="e">
        <f t="shared" ca="1" si="1"/>
        <v>#NAME?</v>
      </c>
      <c r="I180" s="153">
        <f ca="1">VLOOKUP($AB$2,'RF Mod'!$A$2:$G$12,3,FALSE)+VLOOKUP($AD$2,'RF Mod'!$I$2:$O$11,3,FALSE)+(TRUNC(6+(24-6)*(TRUNC(MOD(($Z180*1103515245 +12345)/ 65536, 32768),0)/32768),0))</f>
        <v>14</v>
      </c>
      <c r="J180" s="16" t="e">
        <f t="shared" ca="1" si="2"/>
        <v>#NAME?</v>
      </c>
      <c r="K180" s="153">
        <f ca="1">VLOOKUP($AB$2,'RF Mod'!$A$2:$G$12,3,FALSE)+VLOOKUP($AD$2,'RF Mod'!$I$2:$O$11,3,FALSE)+(TRUNC(6+(24-6)*(TRUNC(MOD(($Z180*1103515245 +12345)/ 65536, 32768),0)/32768),0))</f>
        <v>14</v>
      </c>
      <c r="L180" s="16" t="e">
        <f t="shared" ca="1" si="3"/>
        <v>#NAME?</v>
      </c>
      <c r="M180" s="153">
        <f ca="1">VLOOKUP($AB$2,'RF Mod'!$A$2:$G$12,4,FALSE)+VLOOKUP($AD$2,'RF Mod'!$I$2:$O$11,4,FALSE)+(TRUNC(6+(24-6)*(TRUNC(MOD(($Z180*1103515245 +12345)/ 65536, 32768),0)/32768),0))</f>
        <v>13</v>
      </c>
      <c r="N180" s="16" t="e">
        <f t="shared" ca="1" si="4"/>
        <v>#NAME?</v>
      </c>
      <c r="O180" s="153">
        <f ca="1">VLOOKUP($AB$2,'RF Mod'!$A$2:$G$12,5,FALSE)+VLOOKUP($AD$2,'RF Mod'!$I$2:$O$11,5,FALSE)+(TRUNC(6+(24-6)*(TRUNC(MOD(($Z180*1103515245 +12345)/ 65536, 32768),0)/32768),0))</f>
        <v>16</v>
      </c>
      <c r="P180" s="16" t="e">
        <f t="shared" ca="1" si="5"/>
        <v>#NAME?</v>
      </c>
      <c r="Q180" s="153">
        <f ca="1">VLOOKUP($AB$2,'RF Mod'!$A$2:$G$12,6,FALSE)+VLOOKUP($AD$2,'RF Mod'!$I$2:$O$11,6,FALSE)+(TRUNC(6+(24-6)*(TRUNC(MOD(($Z180*1103515245 +12345)/ 65536, 32768),0)/32768),0))</f>
        <v>14</v>
      </c>
      <c r="R180" s="16" t="e">
        <f t="shared" ca="1" si="6"/>
        <v>#NAME?</v>
      </c>
      <c r="S180" s="154">
        <f t="shared" ca="1" si="12"/>
        <v>192</v>
      </c>
      <c r="T180" s="154">
        <f t="shared" ca="1" si="7"/>
        <v>11</v>
      </c>
      <c r="U180" s="16" t="str">
        <f t="shared" ca="1" si="8"/>
        <v>Fine</v>
      </c>
      <c r="V180" s="155">
        <f ca="1">IFERROR(__xludf.DUMMYFUNCTION("if(W180=""Middle Age"",QUERY(NPCVar!$K$2:$N1000, ""Select L where K = '""&amp;AB180&amp;""'""),if(W180=""Old"",QUERY(NPCVar!$K$2:$N1000, ""Select M where K = '""&amp;AB180&amp;""'""),if(W180=""Venerable"",QUERY(NPCVar!$K$2:$N1000, ""Select N where K = '""&amp;AB180&amp;""'""),fa"&amp;"lse)))*X180"),180)</f>
        <v>180</v>
      </c>
      <c r="W180" s="156" t="str">
        <f t="array" ref="W180">INDEX(NPCAgeType,TRUNC(1+(4-1)*(TRUNC(MOD((X180*1103515245 +12345)/ 65536, 32768),0)/32768),0))</f>
        <v>Venerable</v>
      </c>
      <c r="X180" s="117">
        <f t="shared" si="13"/>
        <v>1.8</v>
      </c>
      <c r="Y180" s="157" t="e">
        <f t="array" aca="1" ref="Y180" ca="1">LOOKUP(ABS(MAX(Z180 + MIN(ABS(INDIRECT("Class Jobs!B"&amp;MATCH(E180,'Class Jobs'!$A$1:$A1000,0)&amp;":"&amp;"AF"&amp;MATCH(E180,'Class Jobs'!$A$1:$A1000,0)&amp;"")-$Z180)) * SUM(IF(MIN(ABS(INDIRECT("Class Jobs!B"&amp;MATCH(E180,'Class Jobs'!$A$1:$A1000,0)&amp;":"&amp;"AF"&amp;MATCH(E180,'Class Jobs'!$A$1:$A1000,0)&amp;"")-$Z180))=ABS(INDIRECT("Class Jobs!B"&amp;MATCH(E180,'Class Jobs'!$A$1:$A1000,0)&amp;":"&amp;"AF"&amp;MATCH(E180,'Class Jobs'!$A$1:$A1000,0)&amp;"")-$Z180),SIGN(INDIRECT("Class Jobs!B"&amp;MATCH(E180,'Class Jobs'!$A$1:A1000,0)&amp;":"&amp;"AF"&amp;MATCH(E180,'Class Jobs'!$A$1:$A1000,0)&amp;"")-$Z180),0)),0)),INDIRECT("Class Jobs!B"&amp;MATCH(E180,'Class Jobs'!$A$1:$A1000,0)&amp;":"&amp;"AF"&amp;MATCH(E180,'Class Jobs'!$A$1:$A1000,1)&amp;""),'Class Jobs'!$B$1:$AF$1)</f>
        <v>#REF!</v>
      </c>
      <c r="Z180" s="158">
        <f t="shared" si="10"/>
        <v>0.74</v>
      </c>
      <c r="AA180" s="16" t="str">
        <f t="array" ref="AA180">INDEX(NPCGender,TRUNC(1+(COUNTA(NPCGender))*(TRUNC(MOD(($B180*1103515245 +12345)/ 65536, 32768),0)/32768),0))</f>
        <v>Neutral</v>
      </c>
      <c r="AB180" s="16" t="str">
        <f t="array" ref="AB180">INDEX(NPCRace,TRUNC(1+(COUNTA(NPCRace))*(TRUNC(MOD(($B180*1103515245 +12345)/ 65536, 32768),0)/32768),0))</f>
        <v>Tiefling</v>
      </c>
      <c r="AC180" s="16" t="str">
        <f t="array" ref="AC180">INDEX(NPCAL,TRUNC(1+(COUNTA(NPCAL))*(TRUNC(MOD(($B180*1103515245 +12345)/ 65536, 32768),0)/32768),0))</f>
        <v>LG</v>
      </c>
      <c r="AD180" s="72" t="str">
        <f ca="1">IFERROR(__xludf.DUMMYFUNCTION("if(V180&lt;15,QUERY(NPCVar!C:D,""Select D WHERE C = '""&amp;D180&amp;""'""),if((TRUNC(1+10)*(TRUNC(MOD((ROW(H180)*1103515245 +12345)/ 65536, 32768),0)/32768)/10) &gt; 0.85,INDEX(NPCFaction,TRUNC(1+(counta(NPCFaction)-1)*(TRUNC(MOD(($B180*1103515245 +12345)/ 65536, 3276"&amp;"8),0)/32768),0)),QUERY(NPCVar!C:D,""Select D WHERE C = '""&amp;D180&amp;""'"")))"),"Adventures Guild")</f>
        <v>Adventures Guild</v>
      </c>
      <c r="AE180" s="108" t="e">
        <f t="shared" ca="1" si="11"/>
        <v>#NAME?</v>
      </c>
      <c r="AF180" s="159">
        <f ca="1">IFERROR(__xludf.DUMMYFUNCTION("AE180*(V180 / QUERY(NPCVar!$K$2:$N$12, ""Select N WHERE K='""&amp;AB180&amp;""'""))*TRUNC(1+10)*(TRUNC(MOD(($B180*1103515245 +12345)/ 65536, 32768),0)/32768)"),14.6880615234375)</f>
        <v>14.688061523437501</v>
      </c>
      <c r="AG180" s="16"/>
      <c r="AH180" s="77"/>
      <c r="AI180" s="114"/>
    </row>
    <row r="181" spans="1:35" ht="16.2">
      <c r="A181" s="53">
        <v>180</v>
      </c>
      <c r="B181" s="118">
        <f t="shared" si="15"/>
        <v>0.43778</v>
      </c>
      <c r="C181" s="72" t="str">
        <f t="array" ref="C181">INDEX(NPCFName,TRUNC(1+(COUNTA(NPCFName))*(TRUNC(MOD(($B181*1103515245 +12345)/ 65536, 32768),0)/32768),0))</f>
        <v>Pendus</v>
      </c>
      <c r="D181" s="16" t="str">
        <f t="array" ref="D181">INDEX(NPCLName,TRUNC(1+(COUNTA(NPCLName))*(TRUNC(MOD(($B181*1103515245 +12345)/ 65536, 32768),0)/32768),0))</f>
        <v>Stillsun</v>
      </c>
      <c r="E181" s="16" t="str">
        <f t="array" ref="E181">INDEX(NPCClass,TRUNC(1+(COUNTA(NPCClass))*(TRUNC(MOD(($B181*1103515245 +12345)/ 65536, 32768),0)/32768),0))</f>
        <v>Druid</v>
      </c>
      <c r="F181" s="76">
        <v>1</v>
      </c>
      <c r="G181" s="153">
        <f ca="1">VLOOKUP($AB$2,'RF Mod'!$A$2:$G$12,2,FALSE)+VLOOKUP($AD$2,'RF Mod'!$I$2:$O$11,2,FALSE)+(TRUNC(6+(24-6)*(TRUNC(MOD(($Z181*1103515245 +12345)/ 65536, 32768),0)/32768),0))</f>
        <v>6</v>
      </c>
      <c r="H181" s="16">
        <f t="shared" ca="1" si="1"/>
        <v>-2</v>
      </c>
      <c r="I181" s="153">
        <f ca="1">VLOOKUP($AB$2,'RF Mod'!$A$2:$G$12,3,FALSE)+VLOOKUP($AD$2,'RF Mod'!$I$2:$O$11,3,FALSE)+(TRUNC(6+(24-6)*(TRUNC(MOD(($Z181*1103515245 +12345)/ 65536, 32768),0)/32768),0))</f>
        <v>10</v>
      </c>
      <c r="J181" s="16" t="e">
        <f t="shared" ca="1" si="2"/>
        <v>#NAME?</v>
      </c>
      <c r="K181" s="153">
        <f ca="1">VLOOKUP($AB$2,'RF Mod'!$A$2:$G$12,3,FALSE)+VLOOKUP($AD$2,'RF Mod'!$I$2:$O$11,3,FALSE)+(TRUNC(6+(24-6)*(TRUNC(MOD(($Z181*1103515245 +12345)/ 65536, 32768),0)/32768),0))</f>
        <v>10</v>
      </c>
      <c r="L181" s="16" t="e">
        <f t="shared" ca="1" si="3"/>
        <v>#NAME?</v>
      </c>
      <c r="M181" s="153">
        <f ca="1">VLOOKUP($AB$2,'RF Mod'!$A$2:$G$12,4,FALSE)+VLOOKUP($AD$2,'RF Mod'!$I$2:$O$11,4,FALSE)+(TRUNC(6+(24-6)*(TRUNC(MOD(($Z181*1103515245 +12345)/ 65536, 32768),0)/32768),0))</f>
        <v>9</v>
      </c>
      <c r="N181" s="16">
        <f t="shared" ca="1" si="4"/>
        <v>-1</v>
      </c>
      <c r="O181" s="153">
        <f ca="1">VLOOKUP($AB$2,'RF Mod'!$A$2:$G$12,5,FALSE)+VLOOKUP($AD$2,'RF Mod'!$I$2:$O$11,5,FALSE)+(TRUNC(6+(24-6)*(TRUNC(MOD(($Z181*1103515245 +12345)/ 65536, 32768),0)/32768),0))</f>
        <v>12</v>
      </c>
      <c r="P181" s="16" t="e">
        <f t="shared" ca="1" si="5"/>
        <v>#NAME?</v>
      </c>
      <c r="Q181" s="153">
        <f ca="1">VLOOKUP($AB$2,'RF Mod'!$A$2:$G$12,6,FALSE)+VLOOKUP($AD$2,'RF Mod'!$I$2:$O$11,6,FALSE)+(TRUNC(6+(24-6)*(TRUNC(MOD(($Z181*1103515245 +12345)/ 65536, 32768),0)/32768),0))</f>
        <v>10</v>
      </c>
      <c r="R181" s="16" t="e">
        <f t="shared" ca="1" si="6"/>
        <v>#NAME?</v>
      </c>
      <c r="S181" s="154">
        <f t="shared" ca="1" si="12"/>
        <v>12</v>
      </c>
      <c r="T181" s="154">
        <f t="shared" ca="1" si="7"/>
        <v>10</v>
      </c>
      <c r="U181" s="16" t="str">
        <f t="shared" ca="1" si="8"/>
        <v>Bloody</v>
      </c>
      <c r="V181" s="155">
        <f ca="1">IFERROR(__xludf.DUMMYFUNCTION("if(W181=""Middle Age"",QUERY(NPCVar!$K$2:$N1000, ""Select L where K = '""&amp;AB181&amp;""'""),if(W181=""Old"",QUERY(NPCVar!$K$2:$N1000, ""Select M where K = '""&amp;AB181&amp;""'""),if(W181=""Venerable"",QUERY(NPCVar!$K$2:$N1000, ""Select N where K = '""&amp;AB181&amp;""'""),fa"&amp;"lse)))*X181"),112.5)</f>
        <v>112.5</v>
      </c>
      <c r="W181" s="156" t="str">
        <f t="array" ref="W181">INDEX(NPCAgeType,TRUNC(1+(4-1)*(TRUNC(MOD((X181*1103515245 +12345)/ 65536, 32768),0)/32768),0))</f>
        <v>Middle Age</v>
      </c>
      <c r="X181" s="117">
        <f t="shared" si="13"/>
        <v>0.6</v>
      </c>
      <c r="Y181" s="157" t="e">
        <f t="array" aca="1" ref="Y181" ca="1">LOOKUP(ABS(MAX(Z181 + MIN(ABS(INDIRECT("Class Jobs!B"&amp;MATCH(E181,'Class Jobs'!$A$1:$A1000,0)&amp;":"&amp;"AF"&amp;MATCH(E181,'Class Jobs'!$A$1:$A1000,0)&amp;"")-$Z181)) * SUM(IF(MIN(ABS(INDIRECT("Class Jobs!B"&amp;MATCH(E181,'Class Jobs'!$A$1:$A1000,0)&amp;":"&amp;"AF"&amp;MATCH(E181,'Class Jobs'!$A$1:$A1000,0)&amp;"")-$Z181))=ABS(INDIRECT("Class Jobs!B"&amp;MATCH(E181,'Class Jobs'!$A$1:$A1000,0)&amp;":"&amp;"AF"&amp;MATCH(E181,'Class Jobs'!$A$1:$A1000,0)&amp;"")-$Z181),SIGN(INDIRECT("Class Jobs!B"&amp;MATCH(E181,'Class Jobs'!$A$1:A1000,0)&amp;":"&amp;"AF"&amp;MATCH(E181,'Class Jobs'!$A$1:$A1000,0)&amp;"")-$Z181),0)),0)),INDIRECT("Class Jobs!B"&amp;MATCH(E181,'Class Jobs'!$A$1:$A1000,0)&amp;":"&amp;"AF"&amp;MATCH(E181,'Class Jobs'!$A$1:$A1000,1)&amp;""),'Class Jobs'!$B$1:$AF$1)</f>
        <v>#REF!</v>
      </c>
      <c r="Z181" s="158">
        <f t="shared" si="10"/>
        <v>0.23</v>
      </c>
      <c r="AA181" s="16" t="str">
        <f t="array" ref="AA181">INDEX(NPCGender,TRUNC(1+(COUNTA(NPCGender))*(TRUNC(MOD(($B181*1103515245 +12345)/ 65536, 32768),0)/32768),0))</f>
        <v>Male</v>
      </c>
      <c r="AB181" s="16" t="str">
        <f t="array" ref="AB181">INDEX(NPCRace,TRUNC(1+(COUNTA(NPCRace))*(TRUNC(MOD(($B181*1103515245 +12345)/ 65536, 32768),0)/32768),0))</f>
        <v>Elf</v>
      </c>
      <c r="AC181" s="16" t="str">
        <f t="array" ref="AC181">INDEX(NPCAL,TRUNC(1+(COUNTA(NPCAL))*(TRUNC(MOD(($B181*1103515245 +12345)/ 65536, 32768),0)/32768),0))</f>
        <v>CG</v>
      </c>
      <c r="AD181" s="72" t="str">
        <f ca="1">IFERROR(__xludf.DUMMYFUNCTION("if(V181&lt;15,QUERY(NPCVar!C:D,""Select D WHERE C = '""&amp;D181&amp;""'""),if((TRUNC(1+10)*(TRUNC(MOD((ROW(H181)*1103515245 +12345)/ 65536, 32768),0)/32768)/10) &gt; 0.85,INDEX(NPCFaction,TRUNC(1+(counta(NPCFaction)-1)*(TRUNC(MOD(($B181*1103515245 +12345)/ 65536, 3276"&amp;"8),0)/32768),0)),QUERY(NPCVar!C:D,""Select D WHERE C = '""&amp;D181&amp;""'"")))"),"Necromancer")</f>
        <v>Necromancer</v>
      </c>
      <c r="AE181" s="108" t="e">
        <f t="shared" ca="1" si="11"/>
        <v>#NAME?</v>
      </c>
      <c r="AF181" s="159">
        <f ca="1">IFERROR(__xludf.DUMMYFUNCTION("AE181*(V181 / QUERY(NPCVar!$K$2:$N$12, ""Select N WHERE K='""&amp;AB181&amp;""'""))*TRUNC(1+10)*(TRUNC(MOD(($B181*1103515245 +12345)/ 65536, 32768),0)/32768)"),0.11134780883789)</f>
        <v>0.11134780883789</v>
      </c>
      <c r="AG181" s="16"/>
      <c r="AH181" s="77"/>
      <c r="AI181" s="114"/>
    </row>
    <row r="182" spans="1:35" ht="16.2">
      <c r="A182" s="53">
        <v>181</v>
      </c>
      <c r="B182" s="118">
        <f t="shared" si="15"/>
        <v>1.93191</v>
      </c>
      <c r="C182" s="72" t="str">
        <f t="array" ref="C182">INDEX(NPCFName,TRUNC(1+(COUNTA(NPCFName))*(TRUNC(MOD(($B182*1103515245 +12345)/ 65536, 32768),0)/32768),0))</f>
        <v>Zecane</v>
      </c>
      <c r="D182" s="16" t="str">
        <f t="array" ref="D182">INDEX(NPCLName,TRUNC(1+(COUNTA(NPCLName))*(TRUNC(MOD(($B182*1103515245 +12345)/ 65536, 32768),0)/32768),0))</f>
        <v>Stillspell</v>
      </c>
      <c r="E182" s="16" t="str">
        <f t="array" ref="E182">INDEX(NPCClass,TRUNC(1+(COUNTA(NPCClass))*(TRUNC(MOD(($B182*1103515245 +12345)/ 65536, 32768),0)/32768),0))</f>
        <v>Wizard</v>
      </c>
      <c r="F182" s="76">
        <v>8</v>
      </c>
      <c r="G182" s="153">
        <f ca="1">VLOOKUP($AB$2,'RF Mod'!$A$2:$G$12,2,FALSE)+VLOOKUP($AD$2,'RF Mod'!$I$2:$O$11,2,FALSE)+(TRUNC(6+(24-6)*(TRUNC(MOD(($Z182*1103515245 +12345)/ 65536, 32768),0)/32768),0))</f>
        <v>13</v>
      </c>
      <c r="H182" s="16" t="e">
        <f t="shared" ca="1" si="1"/>
        <v>#NAME?</v>
      </c>
      <c r="I182" s="153">
        <f ca="1">VLOOKUP($AB$2,'RF Mod'!$A$2:$G$12,3,FALSE)+VLOOKUP($AD$2,'RF Mod'!$I$2:$O$11,3,FALSE)+(TRUNC(6+(24-6)*(TRUNC(MOD(($Z182*1103515245 +12345)/ 65536, 32768),0)/32768),0))</f>
        <v>17</v>
      </c>
      <c r="J182" s="16" t="e">
        <f t="shared" ca="1" si="2"/>
        <v>#NAME?</v>
      </c>
      <c r="K182" s="153">
        <f ca="1">VLOOKUP($AB$2,'RF Mod'!$A$2:$G$12,3,FALSE)+VLOOKUP($AD$2,'RF Mod'!$I$2:$O$11,3,FALSE)+(TRUNC(6+(24-6)*(TRUNC(MOD(($Z182*1103515245 +12345)/ 65536, 32768),0)/32768),0))</f>
        <v>17</v>
      </c>
      <c r="L182" s="16" t="e">
        <f t="shared" ca="1" si="3"/>
        <v>#NAME?</v>
      </c>
      <c r="M182" s="153">
        <f ca="1">VLOOKUP($AB$2,'RF Mod'!$A$2:$G$12,4,FALSE)+VLOOKUP($AD$2,'RF Mod'!$I$2:$O$11,4,FALSE)+(TRUNC(6+(24-6)*(TRUNC(MOD(($Z182*1103515245 +12345)/ 65536, 32768),0)/32768),0))</f>
        <v>16</v>
      </c>
      <c r="N182" s="16" t="e">
        <f t="shared" ca="1" si="4"/>
        <v>#NAME?</v>
      </c>
      <c r="O182" s="153">
        <f ca="1">VLOOKUP($AB$2,'RF Mod'!$A$2:$G$12,5,FALSE)+VLOOKUP($AD$2,'RF Mod'!$I$2:$O$11,5,FALSE)+(TRUNC(6+(24-6)*(TRUNC(MOD(($Z182*1103515245 +12345)/ 65536, 32768),0)/32768),0))</f>
        <v>19</v>
      </c>
      <c r="P182" s="16" t="e">
        <f t="shared" ca="1" si="5"/>
        <v>#NAME?</v>
      </c>
      <c r="Q182" s="153">
        <f ca="1">VLOOKUP($AB$2,'RF Mod'!$A$2:$G$12,6,FALSE)+VLOOKUP($AD$2,'RF Mod'!$I$2:$O$11,6,FALSE)+(TRUNC(6+(24-6)*(TRUNC(MOD(($Z182*1103515245 +12345)/ 65536, 32768),0)/32768),0))</f>
        <v>17</v>
      </c>
      <c r="R182" s="16" t="e">
        <f t="shared" ca="1" si="6"/>
        <v>#NAME?</v>
      </c>
      <c r="S182" s="154">
        <f t="shared" ca="1" si="12"/>
        <v>248</v>
      </c>
      <c r="T182" s="154">
        <f t="shared" ca="1" si="7"/>
        <v>275</v>
      </c>
      <c r="U182" s="16" t="str">
        <f t="shared" ca="1" si="8"/>
        <v>Dead</v>
      </c>
      <c r="V182" s="155">
        <f ca="1">IFERROR(__xludf.DUMMYFUNCTION("if(W182=""Middle Age"",QUERY(NPCVar!$K$2:$N1000, ""Select L where K = '""&amp;AB182&amp;""'""),if(W182=""Old"",QUERY(NPCVar!$K$2:$N1000, ""Select M where K = '""&amp;AB182&amp;""'""),if(W182=""Venerable"",QUERY(NPCVar!$K$2:$N1000, ""Select N where K = '""&amp;AB182&amp;""'""),fa"&amp;"lse)))*X182"),72)</f>
        <v>72</v>
      </c>
      <c r="W182" s="156" t="str">
        <f t="array" ref="W182">INDEX(NPCAgeType,TRUNC(1+(4-1)*(TRUNC(MOD((X182*1103515245 +12345)/ 65536, 32768),0)/32768),0))</f>
        <v>Middle Age</v>
      </c>
      <c r="X182" s="117">
        <f t="shared" si="13"/>
        <v>2.4</v>
      </c>
      <c r="Y182" s="157" t="e">
        <f t="array" aca="1" ref="Y182" ca="1">LOOKUP(ABS(MAX(Z182 + MIN(ABS(INDIRECT("Class Jobs!B"&amp;MATCH(E182,'Class Jobs'!$A$1:$A1000,0)&amp;":"&amp;"AF"&amp;MATCH(E182,'Class Jobs'!$A$1:$A1000,0)&amp;"")-$Z182)) * SUM(IF(MIN(ABS(INDIRECT("Class Jobs!B"&amp;MATCH(E182,'Class Jobs'!$A$1:$A1000,0)&amp;":"&amp;"AF"&amp;MATCH(E182,'Class Jobs'!$A$1:$A1000,0)&amp;"")-$Z182))=ABS(INDIRECT("Class Jobs!B"&amp;MATCH(E182,'Class Jobs'!$A$1:$A1000,0)&amp;":"&amp;"AF"&amp;MATCH(E182,'Class Jobs'!$A$1:$A1000,0)&amp;"")-$Z182),SIGN(INDIRECT("Class Jobs!B"&amp;MATCH(E182,'Class Jobs'!$A$1:A1000,0)&amp;":"&amp;"AF"&amp;MATCH(E182,'Class Jobs'!$A$1:$A1000,0)&amp;"")-$Z182),0)),0)),INDIRECT("Class Jobs!B"&amp;MATCH(E182,'Class Jobs'!$A$1:$A1000,0)&amp;":"&amp;"AF"&amp;MATCH(E182,'Class Jobs'!$A$1:$A1000,1)&amp;""),'Class Jobs'!$B$1:$AF$1)</f>
        <v>#REF!</v>
      </c>
      <c r="Z182" s="158">
        <f t="shared" si="10"/>
        <v>0.99</v>
      </c>
      <c r="AA182" s="16" t="str">
        <f t="array" ref="AA182">INDEX(NPCGender,TRUNC(1+(COUNTA(NPCGender))*(TRUNC(MOD(($B182*1103515245 +12345)/ 65536, 32768),0)/32768),0))</f>
        <v>Neutral</v>
      </c>
      <c r="AB182" s="16" t="str">
        <f t="array" ref="AB182">INDEX(NPCRace,TRUNC(1+(COUNTA(NPCRace))*(TRUNC(MOD(($B182*1103515245 +12345)/ 65536, 32768),0)/32768),0))</f>
        <v>Goliath</v>
      </c>
      <c r="AC182" s="16" t="str">
        <f t="array" ref="AC182">INDEX(NPCAL,TRUNC(1+(COUNTA(NPCAL))*(TRUNC(MOD(($B182*1103515245 +12345)/ 65536, 32768),0)/32768),0))</f>
        <v>LE</v>
      </c>
      <c r="AD182" s="72" t="str">
        <f ca="1">IFERROR(__xludf.DUMMYFUNCTION("if(V182&lt;15,QUERY(NPCVar!C:D,""Select D WHERE C = '""&amp;D182&amp;""'""),if((TRUNC(1+10)*(TRUNC(MOD((ROW(H182)*1103515245 +12345)/ 65536, 32768),0)/32768)/10) &gt; 0.85,INDEX(NPCFaction,TRUNC(1+(counta(NPCFaction)-1)*(TRUNC(MOD(($B182*1103515245 +12345)/ 65536, 3276"&amp;"8),0)/32768),0)),QUERY(NPCVar!C:D,""Select D WHERE C = '""&amp;D182&amp;""'"")))"),"Followers of Isis")</f>
        <v>Followers of Isis</v>
      </c>
      <c r="AE182" s="108" t="e">
        <f t="shared" ca="1" si="11"/>
        <v>#NAME?</v>
      </c>
      <c r="AF182" s="159">
        <f ca="1">IFERROR(__xludf.DUMMYFUNCTION("AE182*(V182 / QUERY(NPCVar!$K$2:$N$12, ""Select N WHERE K='""&amp;AB182&amp;""'""))*TRUNC(1+10)*(TRUNC(MOD(($B182*1103515245 +12345)/ 65536, 32768),0)/32768)"),1.31041259765624)</f>
        <v>1.31041259765624</v>
      </c>
      <c r="AG182" s="16"/>
      <c r="AH182" s="77"/>
      <c r="AI182" s="114"/>
    </row>
    <row r="183" spans="1:35" ht="16.2">
      <c r="A183" s="53">
        <v>182</v>
      </c>
      <c r="B183" s="118">
        <f t="shared" si="15"/>
        <v>0.92605999999999999</v>
      </c>
      <c r="C183" s="72" t="str">
        <f t="array" ref="C183">INDEX(NPCFName,TRUNC(1+(COUNTA(NPCFName))*(TRUNC(MOD(($B183*1103515245 +12345)/ 65536, 32768),0)/32768),0))</f>
        <v>Illium</v>
      </c>
      <c r="D183" s="16" t="str">
        <f t="array" ref="D183">INDEX(NPCLName,TRUNC(1+(COUNTA(NPCLName))*(TRUNC(MOD(($B183*1103515245 +12345)/ 65536, 32768),0)/32768),0))</f>
        <v>Autumnglow</v>
      </c>
      <c r="E183" s="16" t="str">
        <f t="array" ref="E183">INDEX(NPCClass,TRUNC(1+(COUNTA(NPCClass))*(TRUNC(MOD(($B183*1103515245 +12345)/ 65536, 32768),0)/32768),0))</f>
        <v>Ranger</v>
      </c>
      <c r="F183" s="76">
        <v>7</v>
      </c>
      <c r="G183" s="153">
        <f ca="1">VLOOKUP($AB$2,'RF Mod'!$A$2:$G$12,2,FALSE)+VLOOKUP($AD$2,'RF Mod'!$I$2:$O$11,2,FALSE)+(TRUNC(6+(24-6)*(TRUNC(MOD(($Z183*1103515245 +12345)/ 65536, 32768),0)/32768),0))</f>
        <v>8</v>
      </c>
      <c r="H183" s="16">
        <f t="shared" ca="1" si="1"/>
        <v>-1</v>
      </c>
      <c r="I183" s="153">
        <f ca="1">VLOOKUP($AB$2,'RF Mod'!$A$2:$G$12,3,FALSE)+VLOOKUP($AD$2,'RF Mod'!$I$2:$O$11,3,FALSE)+(TRUNC(6+(24-6)*(TRUNC(MOD(($Z183*1103515245 +12345)/ 65536, 32768),0)/32768),0))</f>
        <v>12</v>
      </c>
      <c r="J183" s="16" t="e">
        <f t="shared" ca="1" si="2"/>
        <v>#NAME?</v>
      </c>
      <c r="K183" s="153">
        <f ca="1">VLOOKUP($AB$2,'RF Mod'!$A$2:$G$12,3,FALSE)+VLOOKUP($AD$2,'RF Mod'!$I$2:$O$11,3,FALSE)+(TRUNC(6+(24-6)*(TRUNC(MOD(($Z183*1103515245 +12345)/ 65536, 32768),0)/32768),0))</f>
        <v>12</v>
      </c>
      <c r="L183" s="16" t="e">
        <f t="shared" ca="1" si="3"/>
        <v>#NAME?</v>
      </c>
      <c r="M183" s="153">
        <f ca="1">VLOOKUP($AB$2,'RF Mod'!$A$2:$G$12,4,FALSE)+VLOOKUP($AD$2,'RF Mod'!$I$2:$O$11,4,FALSE)+(TRUNC(6+(24-6)*(TRUNC(MOD(($Z183*1103515245 +12345)/ 65536, 32768),0)/32768),0))</f>
        <v>11</v>
      </c>
      <c r="N183" s="16" t="e">
        <f t="shared" ca="1" si="4"/>
        <v>#NAME?</v>
      </c>
      <c r="O183" s="153">
        <f ca="1">VLOOKUP($AB$2,'RF Mod'!$A$2:$G$12,5,FALSE)+VLOOKUP($AD$2,'RF Mod'!$I$2:$O$11,5,FALSE)+(TRUNC(6+(24-6)*(TRUNC(MOD(($Z183*1103515245 +12345)/ 65536, 32768),0)/32768),0))</f>
        <v>14</v>
      </c>
      <c r="P183" s="16" t="e">
        <f t="shared" ca="1" si="5"/>
        <v>#NAME?</v>
      </c>
      <c r="Q183" s="153">
        <f ca="1">VLOOKUP($AB$2,'RF Mod'!$A$2:$G$12,6,FALSE)+VLOOKUP($AD$2,'RF Mod'!$I$2:$O$11,6,FALSE)+(TRUNC(6+(24-6)*(TRUNC(MOD(($Z183*1103515245 +12345)/ 65536, 32768),0)/32768),0))</f>
        <v>12</v>
      </c>
      <c r="R183" s="16" t="e">
        <f t="shared" ca="1" si="6"/>
        <v>#NAME?</v>
      </c>
      <c r="S183" s="154">
        <f t="shared" ca="1" si="12"/>
        <v>182</v>
      </c>
      <c r="T183" s="154">
        <f t="shared" ca="1" si="7"/>
        <v>204</v>
      </c>
      <c r="U183" s="16" t="str">
        <f t="shared" ca="1" si="8"/>
        <v>Dead</v>
      </c>
      <c r="V183" s="155">
        <f ca="1">IFERROR(__xludf.DUMMYFUNCTION("if(W183=""Middle Age"",QUERY(NPCVar!$K$2:$N1000, ""Select L where K = '""&amp;AB183&amp;""'""),if(W183=""Old"",QUERY(NPCVar!$K$2:$N1000, ""Select M where K = '""&amp;AB183&amp;""'""),if(W183=""Venerable"",QUERY(NPCVar!$K$2:$N1000, ""Select N where K = '""&amp;AB183&amp;""'""),fa"&amp;"lse)))*X183"),31.5)</f>
        <v>31.5</v>
      </c>
      <c r="W183" s="156" t="str">
        <f t="array" ref="W183">INDEX(NPCAgeType,TRUNC(1+(4-1)*(TRUNC(MOD((X183*1103515245 +12345)/ 65536, 32768),0)/32768),0))</f>
        <v>Old</v>
      </c>
      <c r="X183" s="117">
        <f t="shared" si="13"/>
        <v>1.2</v>
      </c>
      <c r="Y183" s="157" t="e">
        <f t="array" aca="1" ref="Y183" ca="1">LOOKUP(ABS(MAX(Z183 + MIN(ABS(INDIRECT("Class Jobs!B"&amp;MATCH(E183,'Class Jobs'!$A$1:$A1000,0)&amp;":"&amp;"AF"&amp;MATCH(E183,'Class Jobs'!$A$1:$A1000,0)&amp;"")-$Z183)) * SUM(IF(MIN(ABS(INDIRECT("Class Jobs!B"&amp;MATCH(E183,'Class Jobs'!$A$1:$A1000,0)&amp;":"&amp;"AF"&amp;MATCH(E183,'Class Jobs'!$A$1:$A1000,0)&amp;"")-$Z183))=ABS(INDIRECT("Class Jobs!B"&amp;MATCH(E183,'Class Jobs'!$A$1:$A1000,0)&amp;":"&amp;"AF"&amp;MATCH(E183,'Class Jobs'!$A$1:$A1000,0)&amp;"")-$Z183),SIGN(INDIRECT("Class Jobs!B"&amp;MATCH(E183,'Class Jobs'!$A$1:A1000,0)&amp;":"&amp;"AF"&amp;MATCH(E183,'Class Jobs'!$A$1:$A1000,0)&amp;"")-$Z183),0)),0)),INDIRECT("Class Jobs!B"&amp;MATCH(E183,'Class Jobs'!$A$1:$A1000,0)&amp;":"&amp;"AF"&amp;MATCH(E183,'Class Jobs'!$A$1:$A1000,1)&amp;""),'Class Jobs'!$B$1:$AF$1)</f>
        <v>#REF!</v>
      </c>
      <c r="Z183" s="158">
        <f t="shared" si="10"/>
        <v>0.48</v>
      </c>
      <c r="AA183" s="16" t="str">
        <f t="array" ref="AA183">INDEX(NPCGender,TRUNC(1+(COUNTA(NPCGender))*(TRUNC(MOD(($B183*1103515245 +12345)/ 65536, 32768),0)/32768),0))</f>
        <v>Female</v>
      </c>
      <c r="AB183" s="16" t="str">
        <f t="array" ref="AB183">INDEX(NPCRace,TRUNC(1+(COUNTA(NPCRace))*(TRUNC(MOD(($B183*1103515245 +12345)/ 65536, 32768),0)/32768),0))</f>
        <v>Half-Orc</v>
      </c>
      <c r="AC183" s="16" t="str">
        <f t="array" ref="AC183">INDEX(NPCAL,TRUNC(1+(COUNTA(NPCAL))*(TRUNC(MOD(($B183*1103515245 +12345)/ 65536, 32768),0)/32768),0))</f>
        <v>NN</v>
      </c>
      <c r="AD183" s="72" t="str">
        <f ca="1">IFERROR(__xludf.DUMMYFUNCTION("if(V183&lt;15,QUERY(NPCVar!C:D,""Select D WHERE C = '""&amp;D183&amp;""'""),if((TRUNC(1+10)*(TRUNC(MOD((ROW(H183)*1103515245 +12345)/ 65536, 32768),0)/32768)/10) &gt; 0.85,INDEX(NPCFaction,TRUNC(1+(counta(NPCFaction)-1)*(TRUNC(MOD(($B183*1103515245 +12345)/ 65536, 3276"&amp;"8),0)/32768),0)),QUERY(NPCVar!C:D,""Select D WHERE C = '""&amp;D183&amp;""'"")))"),"Traders Guild")</f>
        <v>Traders Guild</v>
      </c>
      <c r="AE183" s="108" t="e">
        <f t="shared" ca="1" si="11"/>
        <v>#NAME?</v>
      </c>
      <c r="AF183" s="159">
        <f ca="1">IFERROR(__xludf.DUMMYFUNCTION("AE183*(V183 / QUERY(NPCVar!$K$2:$N$12, ""Select N WHERE K='""&amp;AB183&amp;""'""))*TRUNC(1+10)*(TRUNC(MOD(($B183*1103515245 +12345)/ 65536, 32768),0)/32768)"),1.41330596923828)</f>
        <v>1.4133059692382799</v>
      </c>
      <c r="AG183" s="16"/>
      <c r="AH183" s="77"/>
      <c r="AI183" s="114"/>
    </row>
    <row r="184" spans="1:35" ht="16.2">
      <c r="A184" s="53">
        <v>183</v>
      </c>
      <c r="B184" s="118">
        <f t="shared" si="15"/>
        <v>2.4201899999999998</v>
      </c>
      <c r="C184" s="72" t="str">
        <f t="array" ref="C184">INDEX(NPCFName,TRUNC(1+(COUNTA(NPCFName))*(TRUNC(MOD(($B184*1103515245 +12345)/ 65536, 32768),0)/32768),0))</f>
        <v>Rhithin</v>
      </c>
      <c r="D184" s="16" t="str">
        <f t="array" ref="D184">INDEX(NPCLName,TRUNC(1+(COUNTA(NPCLName))*(TRUNC(MOD(($B184*1103515245 +12345)/ 65536, 32768),0)/32768),0))</f>
        <v>Tuskleaf</v>
      </c>
      <c r="E184" s="16" t="str">
        <f t="array" ref="E184">INDEX(NPCClass,TRUNC(1+(COUNTA(NPCClass))*(TRUNC(MOD(($B184*1103515245 +12345)/ 65536, 32768),0)/32768),0))</f>
        <v>Druid</v>
      </c>
      <c r="F184" s="76">
        <v>3</v>
      </c>
      <c r="G184" s="153">
        <f ca="1">VLOOKUP($AB$2,'RF Mod'!$A$2:$G$12,2,FALSE)+VLOOKUP($AD$2,'RF Mod'!$I$2:$O$11,2,FALSE)+(TRUNC(6+(24-6)*(TRUNC(MOD(($Z184*1103515245 +12345)/ 65536, 32768),0)/32768),0))</f>
        <v>6</v>
      </c>
      <c r="H184" s="16">
        <f t="shared" ca="1" si="1"/>
        <v>-2</v>
      </c>
      <c r="I184" s="153">
        <f ca="1">VLOOKUP($AB$2,'RF Mod'!$A$2:$G$12,3,FALSE)+VLOOKUP($AD$2,'RF Mod'!$I$2:$O$11,3,FALSE)+(TRUNC(6+(24-6)*(TRUNC(MOD(($Z184*1103515245 +12345)/ 65536, 32768),0)/32768),0))</f>
        <v>10</v>
      </c>
      <c r="J184" s="16" t="e">
        <f t="shared" ca="1" si="2"/>
        <v>#NAME?</v>
      </c>
      <c r="K184" s="153">
        <f ca="1">VLOOKUP($AB$2,'RF Mod'!$A$2:$G$12,3,FALSE)+VLOOKUP($AD$2,'RF Mod'!$I$2:$O$11,3,FALSE)+(TRUNC(6+(24-6)*(TRUNC(MOD(($Z184*1103515245 +12345)/ 65536, 32768),0)/32768),0))</f>
        <v>10</v>
      </c>
      <c r="L184" s="16" t="e">
        <f t="shared" ca="1" si="3"/>
        <v>#NAME?</v>
      </c>
      <c r="M184" s="153">
        <f ca="1">VLOOKUP($AB$2,'RF Mod'!$A$2:$G$12,4,FALSE)+VLOOKUP($AD$2,'RF Mod'!$I$2:$O$11,4,FALSE)+(TRUNC(6+(24-6)*(TRUNC(MOD(($Z184*1103515245 +12345)/ 65536, 32768),0)/32768),0))</f>
        <v>9</v>
      </c>
      <c r="N184" s="16">
        <f t="shared" ca="1" si="4"/>
        <v>-1</v>
      </c>
      <c r="O184" s="153">
        <f ca="1">VLOOKUP($AB$2,'RF Mod'!$A$2:$G$12,5,FALSE)+VLOOKUP($AD$2,'RF Mod'!$I$2:$O$11,5,FALSE)+(TRUNC(6+(24-6)*(TRUNC(MOD(($Z184*1103515245 +12345)/ 65536, 32768),0)/32768),0))</f>
        <v>12</v>
      </c>
      <c r="P184" s="16" t="e">
        <f t="shared" ca="1" si="5"/>
        <v>#NAME?</v>
      </c>
      <c r="Q184" s="153">
        <f ca="1">VLOOKUP($AB$2,'RF Mod'!$A$2:$G$12,6,FALSE)+VLOOKUP($AD$2,'RF Mod'!$I$2:$O$11,6,FALSE)+(TRUNC(6+(24-6)*(TRUNC(MOD(($Z184*1103515245 +12345)/ 65536, 32768),0)/32768),0))</f>
        <v>10</v>
      </c>
      <c r="R184" s="16" t="e">
        <f t="shared" ca="1" si="6"/>
        <v>#NAME?</v>
      </c>
      <c r="S184" s="154">
        <f t="shared" ca="1" si="12"/>
        <v>84</v>
      </c>
      <c r="T184" s="154">
        <f t="shared" ca="1" si="7"/>
        <v>60</v>
      </c>
      <c r="U184" s="16" t="str">
        <f t="shared" ca="1" si="8"/>
        <v>Bloody</v>
      </c>
      <c r="V184" s="155">
        <f ca="1">IFERROR(__xludf.DUMMYFUNCTION("if(W184=""Middle Age"",QUERY(NPCVar!$K$2:$N1000, ""Select L where K = '""&amp;AB184&amp;""'""),if(W184=""Old"",QUERY(NPCVar!$K$2:$N1000, ""Select M where K = '""&amp;AB184&amp;""'""),if(W184=""Venerable"",QUERY(NPCVar!$K$2:$N1000, ""Select N where K = '""&amp;AB184&amp;""'""),fa"&amp;"lse)))*X184"),112.5)</f>
        <v>112.5</v>
      </c>
      <c r="W184" s="156" t="str">
        <f t="array" ref="W184">INDEX(NPCAgeType,TRUNC(1+(4-1)*(TRUNC(MOD((X184*1103515245 +12345)/ 65536, 32768),0)/32768),0))</f>
        <v>Middle Age</v>
      </c>
      <c r="X184" s="117">
        <f t="shared" si="13"/>
        <v>0.6</v>
      </c>
      <c r="Y184" s="157" t="e">
        <f t="array" aca="1" ref="Y184" ca="1">LOOKUP(ABS(MAX(Z184 + MIN(ABS(INDIRECT("Class Jobs!B"&amp;MATCH(E184,'Class Jobs'!$A$1:$A1000,0)&amp;":"&amp;"AF"&amp;MATCH(E184,'Class Jobs'!$A$1:$A1000,0)&amp;"")-$Z184)) * SUM(IF(MIN(ABS(INDIRECT("Class Jobs!B"&amp;MATCH(E184,'Class Jobs'!$A$1:$A1000,0)&amp;":"&amp;"AF"&amp;MATCH(E184,'Class Jobs'!$A$1:$A1000,0)&amp;"")-$Z184))=ABS(INDIRECT("Class Jobs!B"&amp;MATCH(E184,'Class Jobs'!$A$1:$A1000,0)&amp;":"&amp;"AF"&amp;MATCH(E184,'Class Jobs'!$A$1:$A1000,0)&amp;"")-$Z184),SIGN(INDIRECT("Class Jobs!B"&amp;MATCH(E184,'Class Jobs'!$A$1:A1000,0)&amp;":"&amp;"AF"&amp;MATCH(E184,'Class Jobs'!$A$1:$A1000,0)&amp;"")-$Z184),0)),0)),INDIRECT("Class Jobs!B"&amp;MATCH(E184,'Class Jobs'!$A$1:$A1000,0)&amp;":"&amp;"AF"&amp;MATCH(E184,'Class Jobs'!$A$1:$A1000,1)&amp;""),'Class Jobs'!$B$1:$AF$1)</f>
        <v>#REF!</v>
      </c>
      <c r="Z184" s="158">
        <f t="shared" si="10"/>
        <v>0.25</v>
      </c>
      <c r="AA184" s="16" t="str">
        <f t="array" ref="AA184">INDEX(NPCGender,TRUNC(1+(COUNTA(NPCGender))*(TRUNC(MOD(($B184*1103515245 +12345)/ 65536, 32768),0)/32768),0))</f>
        <v>Male</v>
      </c>
      <c r="AB184" s="16" t="str">
        <f t="array" ref="AB184">INDEX(NPCRace,TRUNC(1+(COUNTA(NPCRace))*(TRUNC(MOD(($B184*1103515245 +12345)/ 65536, 32768),0)/32768),0))</f>
        <v>Elf</v>
      </c>
      <c r="AC184" s="16" t="str">
        <f t="array" ref="AC184">INDEX(NPCAL,TRUNC(1+(COUNTA(NPCAL))*(TRUNC(MOD(($B184*1103515245 +12345)/ 65536, 32768),0)/32768),0))</f>
        <v>CG</v>
      </c>
      <c r="AD184" s="72" t="str">
        <f ca="1">IFERROR(__xludf.DUMMYFUNCTION("if(V184&lt;15,QUERY(NPCVar!C:D,""Select D WHERE C = '""&amp;D184&amp;""'""),if((TRUNC(1+10)*(TRUNC(MOD((ROW(H184)*1103515245 +12345)/ 65536, 32768),0)/32768)/10) &gt; 0.85,INDEX(NPCFaction,TRUNC(1+(counta(NPCFaction)-1)*(TRUNC(MOD(($B184*1103515245 +12345)/ 65536, 3276"&amp;"8),0)/32768),0)),QUERY(NPCVar!C:D,""Select D WHERE C = '""&amp;D184&amp;""'"")))"),"Magic Guild")</f>
        <v>Magic Guild</v>
      </c>
      <c r="AE184" s="108" t="e">
        <f t="shared" ca="1" si="11"/>
        <v>#NAME?</v>
      </c>
      <c r="AF184" s="159">
        <f ca="1">IFERROR(__xludf.DUMMYFUNCTION("AE184*(V184 / QUERY(NPCVar!$K$2:$N$12, ""Select N WHERE K='""&amp;AB184&amp;""'""))*TRUNC(1+10)*(TRUNC(MOD(($B184*1103515245 +12345)/ 65536, 32768),0)/32768)"),-0.04020263671875)</f>
        <v>-4.0202636718749997E-2</v>
      </c>
      <c r="AG184" s="16"/>
      <c r="AH184" s="77"/>
      <c r="AI184" s="114"/>
    </row>
    <row r="185" spans="1:35" ht="16.2">
      <c r="A185" s="53">
        <v>184</v>
      </c>
      <c r="B185" s="118">
        <f t="shared" si="15"/>
        <v>1.4143399999999999</v>
      </c>
      <c r="C185" s="72" t="str">
        <f t="array" ref="C185">INDEX(NPCFName,TRUNC(1+(COUNTA(NPCFName))*(TRUNC(MOD(($B185*1103515245 +12345)/ 65536, 32768),0)/32768),0))</f>
        <v>Cythnar</v>
      </c>
      <c r="D185" s="16" t="str">
        <f t="array" ref="D185">INDEX(NPCLName,TRUNC(1+(COUNTA(NPCLName))*(TRUNC(MOD(($B185*1103515245 +12345)/ 65536, 32768),0)/32768),0))</f>
        <v>Rockspell</v>
      </c>
      <c r="E185" s="16" t="str">
        <f t="array" ref="E185">INDEX(NPCClass,TRUNC(1+(COUNTA(NPCClass))*(TRUNC(MOD(($B185*1103515245 +12345)/ 65536, 32768),0)/32768),0))</f>
        <v>None</v>
      </c>
      <c r="F185" s="76">
        <v>8</v>
      </c>
      <c r="G185" s="153">
        <f ca="1">VLOOKUP($AB$2,'RF Mod'!$A$2:$G$12,2,FALSE)+VLOOKUP($AD$2,'RF Mod'!$I$2:$O$11,2,FALSE)+(TRUNC(6+(24-6)*(TRUNC(MOD(($Z185*1103515245 +12345)/ 65536, 32768),0)/32768),0))</f>
        <v>10</v>
      </c>
      <c r="H185" s="16" t="e">
        <f t="shared" ca="1" si="1"/>
        <v>#NAME?</v>
      </c>
      <c r="I185" s="153">
        <f ca="1">VLOOKUP($AB$2,'RF Mod'!$A$2:$G$12,3,FALSE)+VLOOKUP($AD$2,'RF Mod'!$I$2:$O$11,3,FALSE)+(TRUNC(6+(24-6)*(TRUNC(MOD(($Z185*1103515245 +12345)/ 65536, 32768),0)/32768),0))</f>
        <v>14</v>
      </c>
      <c r="J185" s="16" t="e">
        <f t="shared" ca="1" si="2"/>
        <v>#NAME?</v>
      </c>
      <c r="K185" s="153">
        <f ca="1">VLOOKUP($AB$2,'RF Mod'!$A$2:$G$12,3,FALSE)+VLOOKUP($AD$2,'RF Mod'!$I$2:$O$11,3,FALSE)+(TRUNC(6+(24-6)*(TRUNC(MOD(($Z185*1103515245 +12345)/ 65536, 32768),0)/32768),0))</f>
        <v>14</v>
      </c>
      <c r="L185" s="16" t="e">
        <f t="shared" ca="1" si="3"/>
        <v>#NAME?</v>
      </c>
      <c r="M185" s="153">
        <f ca="1">VLOOKUP($AB$2,'RF Mod'!$A$2:$G$12,4,FALSE)+VLOOKUP($AD$2,'RF Mod'!$I$2:$O$11,4,FALSE)+(TRUNC(6+(24-6)*(TRUNC(MOD(($Z185*1103515245 +12345)/ 65536, 32768),0)/32768),0))</f>
        <v>13</v>
      </c>
      <c r="N185" s="16" t="e">
        <f t="shared" ca="1" si="4"/>
        <v>#NAME?</v>
      </c>
      <c r="O185" s="153">
        <f ca="1">VLOOKUP($AB$2,'RF Mod'!$A$2:$G$12,5,FALSE)+VLOOKUP($AD$2,'RF Mod'!$I$2:$O$11,5,FALSE)+(TRUNC(6+(24-6)*(TRUNC(MOD(($Z185*1103515245 +12345)/ 65536, 32768),0)/32768),0))</f>
        <v>16</v>
      </c>
      <c r="P185" s="16" t="e">
        <f t="shared" ca="1" si="5"/>
        <v>#NAME?</v>
      </c>
      <c r="Q185" s="153">
        <f ca="1">VLOOKUP($AB$2,'RF Mod'!$A$2:$G$12,6,FALSE)+VLOOKUP($AD$2,'RF Mod'!$I$2:$O$11,6,FALSE)+(TRUNC(6+(24-6)*(TRUNC(MOD(($Z185*1103515245 +12345)/ 65536, 32768),0)/32768),0))</f>
        <v>14</v>
      </c>
      <c r="R185" s="16" t="e">
        <f t="shared" ca="1" si="6"/>
        <v>#NAME?</v>
      </c>
      <c r="S185" s="154">
        <f t="shared" ca="1" si="12"/>
        <v>176</v>
      </c>
      <c r="T185" s="154">
        <f t="shared" ca="1" si="7"/>
        <v>132</v>
      </c>
      <c r="U185" s="16" t="str">
        <f t="shared" ca="1" si="8"/>
        <v>Bloody</v>
      </c>
      <c r="V185" s="155">
        <f ca="1">IFERROR(__xludf.DUMMYFUNCTION("if(W185=""Middle Age"",QUERY(NPCVar!$K$2:$N1000, ""Select L where K = '""&amp;AB185&amp;""'""),if(W185=""Old"",QUERY(NPCVar!$K$2:$N1000, ""Select M where K = '""&amp;AB185&amp;""'""),if(W185=""Venerable"",QUERY(NPCVar!$K$2:$N1000, ""Select N where K = '""&amp;AB185&amp;""'""),fa"&amp;"lse)))*X185"),162)</f>
        <v>162</v>
      </c>
      <c r="W185" s="156" t="str">
        <f t="array" ref="W185">INDEX(NPCAgeType,TRUNC(1+(4-1)*(TRUNC(MOD((X185*1103515245 +12345)/ 65536, 32768),0)/32768),0))</f>
        <v>Venerable</v>
      </c>
      <c r="X185" s="117">
        <f t="shared" si="13"/>
        <v>1.8</v>
      </c>
      <c r="Y185" s="157" t="e">
        <f t="array" aca="1" ref="Y185" ca="1">LOOKUP(ABS(MAX(Z185 + MIN(ABS(INDIRECT("Class Jobs!B"&amp;MATCH(E185,'Class Jobs'!$A$1:$A1000,0)&amp;":"&amp;"AF"&amp;MATCH(E185,'Class Jobs'!$A$1:$A1000,0)&amp;"")-$Z185)) * SUM(IF(MIN(ABS(INDIRECT("Class Jobs!B"&amp;MATCH(E185,'Class Jobs'!$A$1:$A1000,0)&amp;":"&amp;"AF"&amp;MATCH(E185,'Class Jobs'!$A$1:$A1000,0)&amp;"")-$Z185))=ABS(INDIRECT("Class Jobs!B"&amp;MATCH(E185,'Class Jobs'!$A$1:$A1000,0)&amp;":"&amp;"AF"&amp;MATCH(E185,'Class Jobs'!$A$1:$A1000,0)&amp;"")-$Z185),SIGN(INDIRECT("Class Jobs!B"&amp;MATCH(E185,'Class Jobs'!$A$1:A1000,0)&amp;":"&amp;"AF"&amp;MATCH(E185,'Class Jobs'!$A$1:$A1000,0)&amp;"")-$Z185),0)),0)),INDIRECT("Class Jobs!B"&amp;MATCH(E185,'Class Jobs'!$A$1:$A1000,0)&amp;":"&amp;"AF"&amp;MATCH(E185,'Class Jobs'!$A$1:$A1000,1)&amp;""),'Class Jobs'!$B$1:$AF$1)</f>
        <v>#REF!</v>
      </c>
      <c r="Z185" s="158">
        <f t="shared" si="10"/>
        <v>0.72</v>
      </c>
      <c r="AA185" s="16" t="str">
        <f t="array" ref="AA185">INDEX(NPCGender,TRUNC(1+(COUNTA(NPCGender))*(TRUNC(MOD(($B185*1103515245 +12345)/ 65536, 32768),0)/32768),0))</f>
        <v>Neutral</v>
      </c>
      <c r="AB185" s="16" t="str">
        <f t="array" ref="AB185">INDEX(NPCRace,TRUNC(1+(COUNTA(NPCRace))*(TRUNC(MOD(($B185*1103515245 +12345)/ 65536, 32768),0)/32768),0))</f>
        <v>Human</v>
      </c>
      <c r="AC185" s="16" t="str">
        <f t="array" ref="AC185">INDEX(NPCAL,TRUNC(1+(COUNTA(NPCAL))*(TRUNC(MOD(($B185*1103515245 +12345)/ 65536, 32768),0)/32768),0))</f>
        <v>LG</v>
      </c>
      <c r="AD185" s="72" t="str">
        <f ca="1">IFERROR(__xludf.DUMMYFUNCTION("if(V185&lt;15,QUERY(NPCVar!C:D,""Select D WHERE C = '""&amp;D185&amp;""'""),if((TRUNC(1+10)*(TRUNC(MOD((ROW(H185)*1103515245 +12345)/ 65536, 32768),0)/32768)/10) &gt; 0.85,INDEX(NPCFaction,TRUNC(1+(counta(NPCFaction)-1)*(TRUNC(MOD(($B185*1103515245 +12345)/ 65536, 3276"&amp;"8),0)/32768),0)),QUERY(NPCVar!C:D,""Select D WHERE C = '""&amp;D185&amp;""'"")))"),"Traverlers Guild")</f>
        <v>Traverlers Guild</v>
      </c>
      <c r="AE185" s="108" t="e">
        <f t="shared" ca="1" si="11"/>
        <v>#NAME?</v>
      </c>
      <c r="AF185" s="159">
        <f ca="1">IFERROR(__xludf.DUMMYFUNCTION("AE185*(V185 / QUERY(NPCVar!$K$2:$N$12, ""Select N WHERE K='""&amp;AB185&amp;""'""))*TRUNC(1+10)*(TRUNC(MOD(($B185*1103515245 +12345)/ 65536, 32768),0)/32768)"),8.63410034179687)</f>
        <v>8.63410034179687</v>
      </c>
      <c r="AG185" s="16"/>
      <c r="AH185" s="77"/>
      <c r="AI185" s="114"/>
    </row>
    <row r="186" spans="1:35" ht="16.2">
      <c r="A186" s="53">
        <v>185</v>
      </c>
      <c r="B186" s="118">
        <f t="shared" si="15"/>
        <v>0.40839999999999999</v>
      </c>
      <c r="C186" s="72" t="str">
        <f t="array" ref="C186">INDEX(NPCFName,TRUNC(1+(COUNTA(NPCFName))*(TRUNC(MOD(($B186*1103515245 +12345)/ 65536, 32768),0)/32768),0))</f>
        <v>Nuthor</v>
      </c>
      <c r="D186" s="16" t="str">
        <f t="array" ref="D186">INDEX(NPCLName,TRUNC(1+(COUNTA(NPCLName))*(TRUNC(MOD(($B186*1103515245 +12345)/ 65536, 32768),0)/32768),0))</f>
        <v>Stillsun</v>
      </c>
      <c r="E186" s="16" t="str">
        <f t="array" ref="E186">INDEX(NPCClass,TRUNC(1+(COUNTA(NPCClass))*(TRUNC(MOD(($B186*1103515245 +12345)/ 65536, 32768),0)/32768),0))</f>
        <v>Druid</v>
      </c>
      <c r="F186" s="76">
        <v>1</v>
      </c>
      <c r="G186" s="153">
        <f ca="1">VLOOKUP($AB$2,'RF Mod'!$A$2:$G$12,2,FALSE)+VLOOKUP($AD$2,'RF Mod'!$I$2:$O$11,2,FALSE)+(TRUNC(6+(24-6)*(TRUNC(MOD(($Z186*1103515245 +12345)/ 65536, 32768),0)/32768),0))</f>
        <v>5</v>
      </c>
      <c r="H186" s="16">
        <f t="shared" ca="1" si="1"/>
        <v>-3</v>
      </c>
      <c r="I186" s="153">
        <f ca="1">VLOOKUP($AB$2,'RF Mod'!$A$2:$G$12,3,FALSE)+VLOOKUP($AD$2,'RF Mod'!$I$2:$O$11,3,FALSE)+(TRUNC(6+(24-6)*(TRUNC(MOD(($Z186*1103515245 +12345)/ 65536, 32768),0)/32768),0))</f>
        <v>9</v>
      </c>
      <c r="J186" s="16">
        <f t="shared" ca="1" si="2"/>
        <v>-1</v>
      </c>
      <c r="K186" s="153">
        <f ca="1">VLOOKUP($AB$2,'RF Mod'!$A$2:$G$12,3,FALSE)+VLOOKUP($AD$2,'RF Mod'!$I$2:$O$11,3,FALSE)+(TRUNC(6+(24-6)*(TRUNC(MOD(($Z186*1103515245 +12345)/ 65536, 32768),0)/32768),0))</f>
        <v>9</v>
      </c>
      <c r="L186" s="16">
        <f t="shared" ca="1" si="3"/>
        <v>-1</v>
      </c>
      <c r="M186" s="153">
        <f ca="1">VLOOKUP($AB$2,'RF Mod'!$A$2:$G$12,4,FALSE)+VLOOKUP($AD$2,'RF Mod'!$I$2:$O$11,4,FALSE)+(TRUNC(6+(24-6)*(TRUNC(MOD(($Z186*1103515245 +12345)/ 65536, 32768),0)/32768),0))</f>
        <v>8</v>
      </c>
      <c r="N186" s="16">
        <f t="shared" ca="1" si="4"/>
        <v>-1</v>
      </c>
      <c r="O186" s="153">
        <f ca="1">VLOOKUP($AB$2,'RF Mod'!$A$2:$G$12,5,FALSE)+VLOOKUP($AD$2,'RF Mod'!$I$2:$O$11,5,FALSE)+(TRUNC(6+(24-6)*(TRUNC(MOD(($Z186*1103515245 +12345)/ 65536, 32768),0)/32768),0))</f>
        <v>11</v>
      </c>
      <c r="P186" s="16" t="e">
        <f t="shared" ca="1" si="5"/>
        <v>#NAME?</v>
      </c>
      <c r="Q186" s="153">
        <f ca="1">VLOOKUP($AB$2,'RF Mod'!$A$2:$G$12,6,FALSE)+VLOOKUP($AD$2,'RF Mod'!$I$2:$O$11,6,FALSE)+(TRUNC(6+(24-6)*(TRUNC(MOD(($Z186*1103515245 +12345)/ 65536, 32768),0)/32768),0))</f>
        <v>9</v>
      </c>
      <c r="R186" s="16">
        <f t="shared" ca="1" si="6"/>
        <v>-1</v>
      </c>
      <c r="S186" s="154">
        <f t="shared" ca="1" si="12"/>
        <v>27</v>
      </c>
      <c r="T186" s="154">
        <f t="shared" ca="1" si="7"/>
        <v>7</v>
      </c>
      <c r="U186" s="16" t="str">
        <f t="shared" ca="1" si="8"/>
        <v>Fine</v>
      </c>
      <c r="V186" s="155">
        <f ca="1">IFERROR(__xludf.DUMMYFUNCTION("if(W186=""Middle Age"",QUERY(NPCVar!$K$2:$N1000, ""Select L where K = '""&amp;AB186&amp;""'""),if(W186=""Old"",QUERY(NPCVar!$K$2:$N1000, ""Select M where K = '""&amp;AB186&amp;""'""),if(W186=""Venerable"",QUERY(NPCVar!$K$2:$N1000, ""Select N where K = '""&amp;AB186&amp;""'""),fa"&amp;"lse)))*X186"),112.5)</f>
        <v>112.5</v>
      </c>
      <c r="W186" s="156" t="str">
        <f t="array" ref="W186">INDEX(NPCAgeType,TRUNC(1+(4-1)*(TRUNC(MOD((X186*1103515245 +12345)/ 65536, 32768),0)/32768),0))</f>
        <v>Middle Age</v>
      </c>
      <c r="X186" s="117">
        <f t="shared" si="13"/>
        <v>0.6</v>
      </c>
      <c r="Y186" s="157" t="e">
        <f t="array" aca="1" ref="Y186" ca="1">LOOKUP(ABS(MAX(Z186 + MIN(ABS(INDIRECT("Class Jobs!B"&amp;MATCH(E186,'Class Jobs'!$A$1:$A1000,0)&amp;":"&amp;"AF"&amp;MATCH(E186,'Class Jobs'!$A$1:$A1000,0)&amp;"")-$Z186)) * SUM(IF(MIN(ABS(INDIRECT("Class Jobs!B"&amp;MATCH(E186,'Class Jobs'!$A$1:$A1000,0)&amp;":"&amp;"AF"&amp;MATCH(E186,'Class Jobs'!$A$1:$A1000,0)&amp;"")-$Z186))=ABS(INDIRECT("Class Jobs!B"&amp;MATCH(E186,'Class Jobs'!$A$1:$A1000,0)&amp;":"&amp;"AF"&amp;MATCH(E186,'Class Jobs'!$A$1:$A1000,0)&amp;"")-$Z186),SIGN(INDIRECT("Class Jobs!B"&amp;MATCH(E186,'Class Jobs'!$A$1:A1000,0)&amp;":"&amp;"AF"&amp;MATCH(E186,'Class Jobs'!$A$1:$A1000,0)&amp;"")-$Z186),0)),0)),INDIRECT("Class Jobs!B"&amp;MATCH(E186,'Class Jobs'!$A$1:$A1000,0)&amp;":"&amp;"AF"&amp;MATCH(E186,'Class Jobs'!$A$1:$A1000,1)&amp;""),'Class Jobs'!$B$1:$AF$1)</f>
        <v>#REF!</v>
      </c>
      <c r="Z186" s="158">
        <f t="shared" si="10"/>
        <v>0.21</v>
      </c>
      <c r="AA186" s="16" t="str">
        <f t="array" ref="AA186">INDEX(NPCGender,TRUNC(1+(COUNTA(NPCGender))*(TRUNC(MOD(($B186*1103515245 +12345)/ 65536, 32768),0)/32768),0))</f>
        <v>Male</v>
      </c>
      <c r="AB186" s="16" t="str">
        <f t="array" ref="AB186">INDEX(NPCRace,TRUNC(1+(COUNTA(NPCRace))*(TRUNC(MOD(($B186*1103515245 +12345)/ 65536, 32768),0)/32768),0))</f>
        <v>Elf</v>
      </c>
      <c r="AC186" s="16" t="str">
        <f t="array" ref="AC186">INDEX(NPCAL,TRUNC(1+(COUNTA(NPCAL))*(TRUNC(MOD(($B186*1103515245 +12345)/ 65536, 32768),0)/32768),0))</f>
        <v>CE</v>
      </c>
      <c r="AD186" s="72" t="str">
        <f ca="1">IFERROR(__xludf.DUMMYFUNCTION("if(V186&lt;15,QUERY(NPCVar!C:D,""Select D WHERE C = '""&amp;D186&amp;""'""),if((TRUNC(1+10)*(TRUNC(MOD((ROW(H186)*1103515245 +12345)/ 65536, 32768),0)/32768)/10) &gt; 0.85,INDEX(NPCFaction,TRUNC(1+(counta(NPCFaction)-1)*(TRUNC(MOD(($B186*1103515245 +12345)/ 65536, 3276"&amp;"8),0)/32768),0)),QUERY(NPCVar!C:D,""Select D WHERE C = '""&amp;D186&amp;""'"")))"),"Necromancer")</f>
        <v>Necromancer</v>
      </c>
      <c r="AE186" s="108" t="e">
        <f t="shared" ca="1" si="11"/>
        <v>#NAME?</v>
      </c>
      <c r="AF186" s="159">
        <f ca="1">IFERROR(__xludf.DUMMYFUNCTION("AE186*(V186 / QUERY(NPCVar!$K$2:$N$12, ""Select N WHERE K='""&amp;AB186&amp;""'""))*TRUNC(1+10)*(TRUNC(MOD(($B186*1103515245 +12345)/ 65536, 32768),0)/32768)"),-0.069246826171875)</f>
        <v>-6.9246826171874998E-2</v>
      </c>
      <c r="AG186" s="16"/>
      <c r="AH186" s="77"/>
      <c r="AI186" s="114"/>
    </row>
    <row r="187" spans="1:35" ht="16.2">
      <c r="A187" s="53">
        <v>186</v>
      </c>
      <c r="B187" s="118">
        <f t="shared" si="15"/>
        <v>1.9025399999999999</v>
      </c>
      <c r="C187" s="72" t="str">
        <f t="array" ref="C187">INDEX(NPCFName,TRUNC(1+(COUNTA(NPCFName))*(TRUNC(MOD(($B187*1103515245 +12345)/ 65536, 32768),0)/32768),0))</f>
        <v>Weshin</v>
      </c>
      <c r="D187" s="16" t="str">
        <f t="array" ref="D187">INDEX(NPCLName,TRUNC(1+(COUNTA(NPCLName))*(TRUNC(MOD(($B187*1103515245 +12345)/ 65536, 32768),0)/32768),0))</f>
        <v>Stillspell</v>
      </c>
      <c r="E187" s="16" t="str">
        <f t="array" ref="E187">INDEX(NPCClass,TRUNC(1+(COUNTA(NPCClass))*(TRUNC(MOD(($B187*1103515245 +12345)/ 65536, 32768),0)/32768),0))</f>
        <v>Wizard</v>
      </c>
      <c r="F187" s="76">
        <v>8</v>
      </c>
      <c r="G187" s="153">
        <f ca="1">VLOOKUP($AB$2,'RF Mod'!$A$2:$G$12,2,FALSE)+VLOOKUP($AD$2,'RF Mod'!$I$2:$O$11,2,FALSE)+(TRUNC(6+(24-6)*(TRUNC(MOD(($Z187*1103515245 +12345)/ 65536, 32768),0)/32768),0))</f>
        <v>12</v>
      </c>
      <c r="H187" s="16" t="e">
        <f t="shared" ca="1" si="1"/>
        <v>#NAME?</v>
      </c>
      <c r="I187" s="153">
        <f ca="1">VLOOKUP($AB$2,'RF Mod'!$A$2:$G$12,3,FALSE)+VLOOKUP($AD$2,'RF Mod'!$I$2:$O$11,3,FALSE)+(TRUNC(6+(24-6)*(TRUNC(MOD(($Z187*1103515245 +12345)/ 65536, 32768),0)/32768),0))</f>
        <v>16</v>
      </c>
      <c r="J187" s="16" t="e">
        <f t="shared" ca="1" si="2"/>
        <v>#NAME?</v>
      </c>
      <c r="K187" s="153">
        <f ca="1">VLOOKUP($AB$2,'RF Mod'!$A$2:$G$12,3,FALSE)+VLOOKUP($AD$2,'RF Mod'!$I$2:$O$11,3,FALSE)+(TRUNC(6+(24-6)*(TRUNC(MOD(($Z187*1103515245 +12345)/ 65536, 32768),0)/32768),0))</f>
        <v>16</v>
      </c>
      <c r="L187" s="16" t="e">
        <f t="shared" ca="1" si="3"/>
        <v>#NAME?</v>
      </c>
      <c r="M187" s="153">
        <f ca="1">VLOOKUP($AB$2,'RF Mod'!$A$2:$G$12,4,FALSE)+VLOOKUP($AD$2,'RF Mod'!$I$2:$O$11,4,FALSE)+(TRUNC(6+(24-6)*(TRUNC(MOD(($Z187*1103515245 +12345)/ 65536, 32768),0)/32768),0))</f>
        <v>15</v>
      </c>
      <c r="N187" s="16" t="e">
        <f t="shared" ca="1" si="4"/>
        <v>#NAME?</v>
      </c>
      <c r="O187" s="153">
        <f ca="1">VLOOKUP($AB$2,'RF Mod'!$A$2:$G$12,5,FALSE)+VLOOKUP($AD$2,'RF Mod'!$I$2:$O$11,5,FALSE)+(TRUNC(6+(24-6)*(TRUNC(MOD(($Z187*1103515245 +12345)/ 65536, 32768),0)/32768),0))</f>
        <v>18</v>
      </c>
      <c r="P187" s="16" t="e">
        <f t="shared" ca="1" si="5"/>
        <v>#NAME?</v>
      </c>
      <c r="Q187" s="153">
        <f ca="1">VLOOKUP($AB$2,'RF Mod'!$A$2:$G$12,6,FALSE)+VLOOKUP($AD$2,'RF Mod'!$I$2:$O$11,6,FALSE)+(TRUNC(6+(24-6)*(TRUNC(MOD(($Z187*1103515245 +12345)/ 65536, 32768),0)/32768),0))</f>
        <v>16</v>
      </c>
      <c r="R187" s="16" t="e">
        <f t="shared" ca="1" si="6"/>
        <v>#NAME?</v>
      </c>
      <c r="S187" s="154">
        <f t="shared" ca="1" si="12"/>
        <v>176</v>
      </c>
      <c r="T187" s="154">
        <f t="shared" ca="1" si="7"/>
        <v>87</v>
      </c>
      <c r="U187" s="16" t="str">
        <f t="shared" ca="1" si="8"/>
        <v>Fine</v>
      </c>
      <c r="V187" s="155">
        <f ca="1">IFERROR(__xludf.DUMMYFUNCTION("if(W187=""Middle Age"",QUERY(NPCVar!$K$2:$N1000, ""Select L where K = '""&amp;AB187&amp;""'""),if(W187=""Old"",QUERY(NPCVar!$K$2:$N1000, ""Select M where K = '""&amp;AB187&amp;""'""),if(W187=""Venerable"",QUERY(NPCVar!$K$2:$N1000, ""Select N where K = '""&amp;AB187&amp;""'""),fa"&amp;"lse)))*X187"),72)</f>
        <v>72</v>
      </c>
      <c r="W187" s="156" t="str">
        <f t="array" ref="W187">INDEX(NPCAgeType,TRUNC(1+(4-1)*(TRUNC(MOD((X187*1103515245 +12345)/ 65536, 32768),0)/32768),0))</f>
        <v>Middle Age</v>
      </c>
      <c r="X187" s="117">
        <f t="shared" si="13"/>
        <v>2.4</v>
      </c>
      <c r="Y187" s="157" t="e">
        <f t="array" aca="1" ref="Y187" ca="1">LOOKUP(ABS(MAX(Z187 + MIN(ABS(INDIRECT("Class Jobs!B"&amp;MATCH(E187,'Class Jobs'!$A$1:$A1000,0)&amp;":"&amp;"AF"&amp;MATCH(E187,'Class Jobs'!$A$1:$A1000,0)&amp;"")-$Z187)) * SUM(IF(MIN(ABS(INDIRECT("Class Jobs!B"&amp;MATCH(E187,'Class Jobs'!$A$1:$A1000,0)&amp;":"&amp;"AF"&amp;MATCH(E187,'Class Jobs'!$A$1:$A1000,0)&amp;"")-$Z187))=ABS(INDIRECT("Class Jobs!B"&amp;MATCH(E187,'Class Jobs'!$A$1:$A1000,0)&amp;":"&amp;"AF"&amp;MATCH(E187,'Class Jobs'!$A$1:$A1000,0)&amp;"")-$Z187),SIGN(INDIRECT("Class Jobs!B"&amp;MATCH(E187,'Class Jobs'!$A$1:A1000,0)&amp;":"&amp;"AF"&amp;MATCH(E187,'Class Jobs'!$A$1:$A1000,0)&amp;"")-$Z187),0)),0)),INDIRECT("Class Jobs!B"&amp;MATCH(E187,'Class Jobs'!$A$1:$A1000,0)&amp;":"&amp;"AF"&amp;MATCH(E187,'Class Jobs'!$A$1:$A1000,1)&amp;""),'Class Jobs'!$B$1:$AF$1)</f>
        <v>#REF!</v>
      </c>
      <c r="Z187" s="158">
        <f t="shared" si="10"/>
        <v>0.97</v>
      </c>
      <c r="AA187" s="16" t="str">
        <f t="array" ref="AA187">INDEX(NPCGender,TRUNC(1+(COUNTA(NPCGender))*(TRUNC(MOD(($B187*1103515245 +12345)/ 65536, 32768),0)/32768),0))</f>
        <v>Neutral</v>
      </c>
      <c r="AB187" s="16" t="str">
        <f t="array" ref="AB187">INDEX(NPCRace,TRUNC(1+(COUNTA(NPCRace))*(TRUNC(MOD(($B187*1103515245 +12345)/ 65536, 32768),0)/32768),0))</f>
        <v>Goliath</v>
      </c>
      <c r="AC187" s="16" t="str">
        <f t="array" ref="AC187">INDEX(NPCAL,TRUNC(1+(COUNTA(NPCAL))*(TRUNC(MOD(($B187*1103515245 +12345)/ 65536, 32768),0)/32768),0))</f>
        <v>LE</v>
      </c>
      <c r="AD187" s="72" t="str">
        <f ca="1">IFERROR(__xludf.DUMMYFUNCTION("if(V187&lt;15,QUERY(NPCVar!C:D,""Select D WHERE C = '""&amp;D187&amp;""'""),if((TRUNC(1+10)*(TRUNC(MOD((ROW(H187)*1103515245 +12345)/ 65536, 32768),0)/32768)/10) &gt; 0.85,INDEX(NPCFaction,TRUNC(1+(counta(NPCFaction)-1)*(TRUNC(MOD(($B187*1103515245 +12345)/ 65536, 3276"&amp;"8),0)/32768),0)),QUERY(NPCVar!C:D,""Select D WHERE C = '""&amp;D187&amp;""'"")))"),"Followers of Isis")</f>
        <v>Followers of Isis</v>
      </c>
      <c r="AE187" s="108" t="e">
        <f t="shared" ca="1" si="11"/>
        <v>#NAME?</v>
      </c>
      <c r="AF187" s="159">
        <f ca="1">IFERROR(__xludf.DUMMYFUNCTION("AE187*(V187 / QUERY(NPCVar!$K$2:$N$12, ""Select N WHERE K='""&amp;AB187&amp;""'""))*TRUNC(1+10)*(TRUNC(MOD(($B187*1103515245 +12345)/ 65536, 32768),0)/32768)"),4.51665344238281)</f>
        <v>4.5166534423828102</v>
      </c>
      <c r="AG187" s="16"/>
      <c r="AH187" s="77"/>
      <c r="AI187" s="114"/>
    </row>
    <row r="188" spans="1:35" ht="16.2">
      <c r="A188" s="53">
        <v>187</v>
      </c>
      <c r="B188" s="118">
        <f t="shared" si="15"/>
        <v>0.89668000000000003</v>
      </c>
      <c r="C188" s="72" t="str">
        <f t="array" ref="C188">INDEX(NPCFName,TRUNC(1+(COUNTA(NPCFName))*(TRUNC(MOD(($B188*1103515245 +12345)/ 65536, 32768),0)/32768),0))</f>
        <v>Gybol</v>
      </c>
      <c r="D188" s="16" t="str">
        <f t="array" ref="D188">INDEX(NPCLName,TRUNC(1+(COUNTA(NPCLName))*(TRUNC(MOD(($B188*1103515245 +12345)/ 65536, 32768),0)/32768),0))</f>
        <v>Saurflame</v>
      </c>
      <c r="E188" s="16" t="str">
        <f t="array" ref="E188">INDEX(NPCClass,TRUNC(1+(COUNTA(NPCClass))*(TRUNC(MOD(($B188*1103515245 +12345)/ 65536, 32768),0)/32768),0))</f>
        <v>Ranger</v>
      </c>
      <c r="F188" s="76">
        <v>8</v>
      </c>
      <c r="G188" s="153">
        <f ca="1">VLOOKUP($AB$2,'RF Mod'!$A$2:$G$12,2,FALSE)+VLOOKUP($AD$2,'RF Mod'!$I$2:$O$11,2,FALSE)+(TRUNC(6+(24-6)*(TRUNC(MOD(($Z188*1103515245 +12345)/ 65536, 32768),0)/32768),0))</f>
        <v>8</v>
      </c>
      <c r="H188" s="16">
        <f t="shared" ca="1" si="1"/>
        <v>-1</v>
      </c>
      <c r="I188" s="153">
        <f ca="1">VLOOKUP($AB$2,'RF Mod'!$A$2:$G$12,3,FALSE)+VLOOKUP($AD$2,'RF Mod'!$I$2:$O$11,3,FALSE)+(TRUNC(6+(24-6)*(TRUNC(MOD(($Z188*1103515245 +12345)/ 65536, 32768),0)/32768),0))</f>
        <v>12</v>
      </c>
      <c r="J188" s="16" t="e">
        <f t="shared" ca="1" si="2"/>
        <v>#NAME?</v>
      </c>
      <c r="K188" s="153">
        <f ca="1">VLOOKUP($AB$2,'RF Mod'!$A$2:$G$12,3,FALSE)+VLOOKUP($AD$2,'RF Mod'!$I$2:$O$11,3,FALSE)+(TRUNC(6+(24-6)*(TRUNC(MOD(($Z188*1103515245 +12345)/ 65536, 32768),0)/32768),0))</f>
        <v>12</v>
      </c>
      <c r="L188" s="16" t="e">
        <f t="shared" ca="1" si="3"/>
        <v>#NAME?</v>
      </c>
      <c r="M188" s="153">
        <f ca="1">VLOOKUP($AB$2,'RF Mod'!$A$2:$G$12,4,FALSE)+VLOOKUP($AD$2,'RF Mod'!$I$2:$O$11,4,FALSE)+(TRUNC(6+(24-6)*(TRUNC(MOD(($Z188*1103515245 +12345)/ 65536, 32768),0)/32768),0))</f>
        <v>11</v>
      </c>
      <c r="N188" s="16" t="e">
        <f t="shared" ca="1" si="4"/>
        <v>#NAME?</v>
      </c>
      <c r="O188" s="153">
        <f ca="1">VLOOKUP($AB$2,'RF Mod'!$A$2:$G$12,5,FALSE)+VLOOKUP($AD$2,'RF Mod'!$I$2:$O$11,5,FALSE)+(TRUNC(6+(24-6)*(TRUNC(MOD(($Z188*1103515245 +12345)/ 65536, 32768),0)/32768),0))</f>
        <v>14</v>
      </c>
      <c r="P188" s="16" t="e">
        <f t="shared" ca="1" si="5"/>
        <v>#NAME?</v>
      </c>
      <c r="Q188" s="153">
        <f ca="1">VLOOKUP($AB$2,'RF Mod'!$A$2:$G$12,6,FALSE)+VLOOKUP($AD$2,'RF Mod'!$I$2:$O$11,6,FALSE)+(TRUNC(6+(24-6)*(TRUNC(MOD(($Z188*1103515245 +12345)/ 65536, 32768),0)/32768),0))</f>
        <v>12</v>
      </c>
      <c r="R188" s="16" t="e">
        <f t="shared" ca="1" si="6"/>
        <v>#NAME?</v>
      </c>
      <c r="S188" s="154">
        <f t="shared" ca="1" si="12"/>
        <v>144</v>
      </c>
      <c r="T188" s="154">
        <f t="shared" ca="1" si="7"/>
        <v>87</v>
      </c>
      <c r="U188" s="16" t="str">
        <f t="shared" ca="1" si="8"/>
        <v>Bloody</v>
      </c>
      <c r="V188" s="155">
        <f ca="1">IFERROR(__xludf.DUMMYFUNCTION("if(W188=""Middle Age"",QUERY(NPCVar!$K$2:$N1000, ""Select L where K = '""&amp;AB188&amp;""'""),if(W188=""Old"",QUERY(NPCVar!$K$2:$N1000, ""Select M where K = '""&amp;AB188&amp;""'""),if(W188=""Venerable"",QUERY(NPCVar!$K$2:$N1000, ""Select N where K = '""&amp;AB188&amp;""'""),fa"&amp;"lse)))*X188"),31.5)</f>
        <v>31.5</v>
      </c>
      <c r="W188" s="156" t="str">
        <f t="array" ref="W188">INDEX(NPCAgeType,TRUNC(1+(4-1)*(TRUNC(MOD((X188*1103515245 +12345)/ 65536, 32768),0)/32768),0))</f>
        <v>Old</v>
      </c>
      <c r="X188" s="117">
        <f t="shared" si="13"/>
        <v>1.2</v>
      </c>
      <c r="Y188" s="157" t="e">
        <f t="array" aca="1" ref="Y188" ca="1">LOOKUP(ABS(MAX(Z188 + MIN(ABS(INDIRECT("Class Jobs!B"&amp;MATCH(E188,'Class Jobs'!$A$1:$A1000,0)&amp;":"&amp;"AF"&amp;MATCH(E188,'Class Jobs'!$A$1:$A1000,0)&amp;"")-$Z188)) * SUM(IF(MIN(ABS(INDIRECT("Class Jobs!B"&amp;MATCH(E188,'Class Jobs'!$A$1:$A1000,0)&amp;":"&amp;"AF"&amp;MATCH(E188,'Class Jobs'!$A$1:$A1000,0)&amp;"")-$Z188))=ABS(INDIRECT("Class Jobs!B"&amp;MATCH(E188,'Class Jobs'!$A$1:$A1000,0)&amp;":"&amp;"AF"&amp;MATCH(E188,'Class Jobs'!$A$1:$A1000,0)&amp;"")-$Z188),SIGN(INDIRECT("Class Jobs!B"&amp;MATCH(E188,'Class Jobs'!$A$1:A1000,0)&amp;":"&amp;"AF"&amp;MATCH(E188,'Class Jobs'!$A$1:$A1000,0)&amp;"")-$Z188),0)),0)),INDIRECT("Class Jobs!B"&amp;MATCH(E188,'Class Jobs'!$A$1:$A1000,0)&amp;":"&amp;"AF"&amp;MATCH(E188,'Class Jobs'!$A$1:$A1000,1)&amp;""),'Class Jobs'!$B$1:$AF$1)</f>
        <v>#REF!</v>
      </c>
      <c r="Z188" s="158">
        <f t="shared" si="10"/>
        <v>0.46</v>
      </c>
      <c r="AA188" s="16" t="str">
        <f t="array" ref="AA188">INDEX(NPCGender,TRUNC(1+(COUNTA(NPCGender))*(TRUNC(MOD(($B188*1103515245 +12345)/ 65536, 32768),0)/32768),0))</f>
        <v>Female</v>
      </c>
      <c r="AB188" s="16" t="str">
        <f t="array" ref="AB188">INDEX(NPCRace,TRUNC(1+(COUNTA(NPCRace))*(TRUNC(MOD(($B188*1103515245 +12345)/ 65536, 32768),0)/32768),0))</f>
        <v>Half-Orc</v>
      </c>
      <c r="AC188" s="16" t="str">
        <f t="array" ref="AC188">INDEX(NPCAL,TRUNC(1+(COUNTA(NPCAL))*(TRUNC(MOD(($B188*1103515245 +12345)/ 65536, 32768),0)/32768),0))</f>
        <v>NN</v>
      </c>
      <c r="AD188" s="72" t="str">
        <f ca="1">IFERROR(__xludf.DUMMYFUNCTION("if(V188&lt;15,QUERY(NPCVar!C:D,""Select D WHERE C = '""&amp;D188&amp;""'""),if((TRUNC(1+10)*(TRUNC(MOD((ROW(H188)*1103515245 +12345)/ 65536, 32768),0)/32768)/10) &gt; 0.85,INDEX(NPCFaction,TRUNC(1+(counta(NPCFaction)-1)*(TRUNC(MOD(($B188*1103515245 +12345)/ 65536, 3276"&amp;"8),0)/32768),0)),QUERY(NPCVar!C:D,""Select D WHERE C = '""&amp;D188&amp;""'"")))"),"Farmers Guild")</f>
        <v>Farmers Guild</v>
      </c>
      <c r="AE188" s="108" t="e">
        <f t="shared" ca="1" si="11"/>
        <v>#NAME?</v>
      </c>
      <c r="AF188" s="159">
        <f ca="1">IFERROR(__xludf.DUMMYFUNCTION("AE188*(V188 / QUERY(NPCVar!$K$2:$N$12, ""Select N WHERE K='""&amp;AB188&amp;""'""))*TRUNC(1+10)*(TRUNC(MOD(($B188*1103515245 +12345)/ 65536, 32768),0)/32768)"),0.456146850585937)</f>
        <v>0.45614685058593701</v>
      </c>
      <c r="AG188" s="16"/>
      <c r="AH188" s="77"/>
      <c r="AI188" s="114"/>
    </row>
    <row r="189" spans="1:35" ht="16.2">
      <c r="A189" s="53">
        <v>188</v>
      </c>
      <c r="B189" s="118">
        <f t="shared" si="15"/>
        <v>2.3908200000000002</v>
      </c>
      <c r="C189" s="72" t="str">
        <f t="array" ref="C189">INDEX(NPCFName,TRUNC(1+(COUNTA(NPCFName))*(TRUNC(MOD(($B189*1103515245 +12345)/ 65536, 32768),0)/32768),0))</f>
        <v>Picumar</v>
      </c>
      <c r="D189" s="16" t="str">
        <f t="array" ref="D189">INDEX(NPCLName,TRUNC(1+(COUNTA(NPCLName))*(TRUNC(MOD(($B189*1103515245 +12345)/ 65536, 32768),0)/32768),0))</f>
        <v>Stillsun</v>
      </c>
      <c r="E189" s="16" t="str">
        <f t="array" ref="E189">INDEX(NPCClass,TRUNC(1+(COUNTA(NPCClass))*(TRUNC(MOD(($B189*1103515245 +12345)/ 65536, 32768),0)/32768),0))</f>
        <v>Druid</v>
      </c>
      <c r="F189" s="76">
        <v>1</v>
      </c>
      <c r="G189" s="153">
        <f ca="1">VLOOKUP($AB$2,'RF Mod'!$A$2:$G$12,2,FALSE)+VLOOKUP($AD$2,'RF Mod'!$I$2:$O$11,2,FALSE)+(TRUNC(6+(24-6)*(TRUNC(MOD(($Z189*1103515245 +12345)/ 65536, 32768),0)/32768),0))</f>
        <v>6</v>
      </c>
      <c r="H189" s="16">
        <f t="shared" ca="1" si="1"/>
        <v>-2</v>
      </c>
      <c r="I189" s="153">
        <f ca="1">VLOOKUP($AB$2,'RF Mod'!$A$2:$G$12,3,FALSE)+VLOOKUP($AD$2,'RF Mod'!$I$2:$O$11,3,FALSE)+(TRUNC(6+(24-6)*(TRUNC(MOD(($Z189*1103515245 +12345)/ 65536, 32768),0)/32768),0))</f>
        <v>10</v>
      </c>
      <c r="J189" s="16" t="e">
        <f t="shared" ca="1" si="2"/>
        <v>#NAME?</v>
      </c>
      <c r="K189" s="153">
        <f ca="1">VLOOKUP($AB$2,'RF Mod'!$A$2:$G$12,3,FALSE)+VLOOKUP($AD$2,'RF Mod'!$I$2:$O$11,3,FALSE)+(TRUNC(6+(24-6)*(TRUNC(MOD(($Z189*1103515245 +12345)/ 65536, 32768),0)/32768),0))</f>
        <v>10</v>
      </c>
      <c r="L189" s="16" t="e">
        <f t="shared" ca="1" si="3"/>
        <v>#NAME?</v>
      </c>
      <c r="M189" s="153">
        <f ca="1">VLOOKUP($AB$2,'RF Mod'!$A$2:$G$12,4,FALSE)+VLOOKUP($AD$2,'RF Mod'!$I$2:$O$11,4,FALSE)+(TRUNC(6+(24-6)*(TRUNC(MOD(($Z189*1103515245 +12345)/ 65536, 32768),0)/32768),0))</f>
        <v>9</v>
      </c>
      <c r="N189" s="16">
        <f t="shared" ca="1" si="4"/>
        <v>-1</v>
      </c>
      <c r="O189" s="153">
        <f ca="1">VLOOKUP($AB$2,'RF Mod'!$A$2:$G$12,5,FALSE)+VLOOKUP($AD$2,'RF Mod'!$I$2:$O$11,5,FALSE)+(TRUNC(6+(24-6)*(TRUNC(MOD(($Z189*1103515245 +12345)/ 65536, 32768),0)/32768),0))</f>
        <v>12</v>
      </c>
      <c r="P189" s="16" t="e">
        <f t="shared" ca="1" si="5"/>
        <v>#NAME?</v>
      </c>
      <c r="Q189" s="153">
        <f ca="1">VLOOKUP($AB$2,'RF Mod'!$A$2:$G$12,6,FALSE)+VLOOKUP($AD$2,'RF Mod'!$I$2:$O$11,6,FALSE)+(TRUNC(6+(24-6)*(TRUNC(MOD(($Z189*1103515245 +12345)/ 65536, 32768),0)/32768),0))</f>
        <v>10</v>
      </c>
      <c r="R189" s="16" t="e">
        <f t="shared" ca="1" si="6"/>
        <v>#NAME?</v>
      </c>
      <c r="S189" s="154">
        <f t="shared" ca="1" si="12"/>
        <v>12</v>
      </c>
      <c r="T189" s="154">
        <f t="shared" ca="1" si="7"/>
        <v>10</v>
      </c>
      <c r="U189" s="16" t="str">
        <f t="shared" ca="1" si="8"/>
        <v>Bloody</v>
      </c>
      <c r="V189" s="155">
        <f ca="1">IFERROR(__xludf.DUMMYFUNCTION("if(W189=""Middle Age"",QUERY(NPCVar!$K$2:$N1000, ""Select L where K = '""&amp;AB189&amp;""'""),if(W189=""Old"",QUERY(NPCVar!$K$2:$N1000, ""Select M where K = '""&amp;AB189&amp;""'""),if(W189=""Venerable"",QUERY(NPCVar!$K$2:$N1000, ""Select N where K = '""&amp;AB189&amp;""'""),fa"&amp;"lse)))*X189"),112.5)</f>
        <v>112.5</v>
      </c>
      <c r="W189" s="156" t="str">
        <f t="array" ref="W189">INDEX(NPCAgeType,TRUNC(1+(4-1)*(TRUNC(MOD((X189*1103515245 +12345)/ 65536, 32768),0)/32768),0))</f>
        <v>Middle Age</v>
      </c>
      <c r="X189" s="117">
        <f t="shared" si="13"/>
        <v>0.6</v>
      </c>
      <c r="Y189" s="157" t="e">
        <f t="array" aca="1" ref="Y189" ca="1">LOOKUP(ABS(MAX(Z189 + MIN(ABS(INDIRECT("Class Jobs!B"&amp;MATCH(E189,'Class Jobs'!$A$1:$A1000,0)&amp;":"&amp;"AF"&amp;MATCH(E189,'Class Jobs'!$A$1:$A1000,0)&amp;"")-$Z189)) * SUM(IF(MIN(ABS(INDIRECT("Class Jobs!B"&amp;MATCH(E189,'Class Jobs'!$A$1:$A1000,0)&amp;":"&amp;"AF"&amp;MATCH(E189,'Class Jobs'!$A$1:$A1000,0)&amp;"")-$Z189))=ABS(INDIRECT("Class Jobs!B"&amp;MATCH(E189,'Class Jobs'!$A$1:$A1000,0)&amp;":"&amp;"AF"&amp;MATCH(E189,'Class Jobs'!$A$1:$A1000,0)&amp;"")-$Z189),SIGN(INDIRECT("Class Jobs!B"&amp;MATCH(E189,'Class Jobs'!$A$1:A1000,0)&amp;":"&amp;"AF"&amp;MATCH(E189,'Class Jobs'!$A$1:$A1000,0)&amp;"")-$Z189),0)),0)),INDIRECT("Class Jobs!B"&amp;MATCH(E189,'Class Jobs'!$A$1:$A1000,0)&amp;":"&amp;"AF"&amp;MATCH(E189,'Class Jobs'!$A$1:$A1000,1)&amp;""),'Class Jobs'!$B$1:$AF$1)</f>
        <v>#REF!</v>
      </c>
      <c r="Z189" s="158">
        <f t="shared" si="10"/>
        <v>0.23</v>
      </c>
      <c r="AA189" s="16" t="str">
        <f t="array" ref="AA189">INDEX(NPCGender,TRUNC(1+(COUNTA(NPCGender))*(TRUNC(MOD(($B189*1103515245 +12345)/ 65536, 32768),0)/32768),0))</f>
        <v>Male</v>
      </c>
      <c r="AB189" s="16" t="str">
        <f t="array" ref="AB189">INDEX(NPCRace,TRUNC(1+(COUNTA(NPCRace))*(TRUNC(MOD(($B189*1103515245 +12345)/ 65536, 32768),0)/32768),0))</f>
        <v>Elf</v>
      </c>
      <c r="AC189" s="16" t="str">
        <f t="array" ref="AC189">INDEX(NPCAL,TRUNC(1+(COUNTA(NPCAL))*(TRUNC(MOD(($B189*1103515245 +12345)/ 65536, 32768),0)/32768),0))</f>
        <v>CG</v>
      </c>
      <c r="AD189" s="72" t="str">
        <f ca="1">IFERROR(__xludf.DUMMYFUNCTION("if(V189&lt;15,QUERY(NPCVar!C:D,""Select D WHERE C = '""&amp;D189&amp;""'""),if((TRUNC(1+10)*(TRUNC(MOD((ROW(H189)*1103515245 +12345)/ 65536, 32768),0)/32768)/10) &gt; 0.85,INDEX(NPCFaction,TRUNC(1+(counta(NPCFaction)-1)*(TRUNC(MOD(($B189*1103515245 +12345)/ 65536, 3276"&amp;"8),0)/32768),0)),QUERY(NPCVar!C:D,""Select D WHERE C = '""&amp;D189&amp;""'"")))"),"Necromancer")</f>
        <v>Necromancer</v>
      </c>
      <c r="AE189" s="108" t="e">
        <f t="shared" ca="1" si="11"/>
        <v>#NAME?</v>
      </c>
      <c r="AF189" s="159">
        <f ca="1">IFERROR(__xludf.DUMMYFUNCTION("AE189*(V189 / QUERY(NPCVar!$K$2:$N$12, ""Select N WHERE K='""&amp;AB189&amp;""'""))*TRUNC(1+10)*(TRUNC(MOD(($B189*1103515245 +12345)/ 65536, 32768),0)/32768)"),0.150840454101562)</f>
        <v>0.15084045410156199</v>
      </c>
      <c r="AG189" s="16"/>
      <c r="AH189" s="77"/>
      <c r="AI189" s="114"/>
    </row>
    <row r="190" spans="1:35" ht="16.2">
      <c r="A190" s="53">
        <v>189</v>
      </c>
      <c r="B190" s="118">
        <f t="shared" si="15"/>
        <v>1.38496</v>
      </c>
      <c r="C190" s="72" t="str">
        <f t="array" ref="C190">INDEX(NPCFName,TRUNC(1+(COUNTA(NPCFName))*(TRUNC(MOD(($B190*1103515245 +12345)/ 65536, 32768),0)/32768),0))</f>
        <v>Cardon</v>
      </c>
      <c r="D190" s="16" t="str">
        <f t="array" ref="D190">INDEX(NPCLName,TRUNC(1+(COUNTA(NPCLName))*(TRUNC(MOD(($B190*1103515245 +12345)/ 65536, 32768),0)/32768),0))</f>
        <v>Rockspell</v>
      </c>
      <c r="E190" s="16" t="str">
        <f t="array" ref="E190">INDEX(NPCClass,TRUNC(1+(COUNTA(NPCClass))*(TRUNC(MOD(($B190*1103515245 +12345)/ 65536, 32768),0)/32768),0))</f>
        <v>None</v>
      </c>
      <c r="F190" s="76">
        <v>8</v>
      </c>
      <c r="G190" s="153">
        <f ca="1">VLOOKUP($AB$2,'RF Mod'!$A$2:$G$12,2,FALSE)+VLOOKUP($AD$2,'RF Mod'!$I$2:$O$11,2,FALSE)+(TRUNC(6+(24-6)*(TRUNC(MOD(($Z190*1103515245 +12345)/ 65536, 32768),0)/32768),0))</f>
        <v>10</v>
      </c>
      <c r="H190" s="16" t="e">
        <f t="shared" ca="1" si="1"/>
        <v>#NAME?</v>
      </c>
      <c r="I190" s="153">
        <f ca="1">VLOOKUP($AB$2,'RF Mod'!$A$2:$G$12,3,FALSE)+VLOOKUP($AD$2,'RF Mod'!$I$2:$O$11,3,FALSE)+(TRUNC(6+(24-6)*(TRUNC(MOD(($Z190*1103515245 +12345)/ 65536, 32768),0)/32768),0))</f>
        <v>14</v>
      </c>
      <c r="J190" s="16" t="e">
        <f t="shared" ca="1" si="2"/>
        <v>#NAME?</v>
      </c>
      <c r="K190" s="153">
        <f ca="1">VLOOKUP($AB$2,'RF Mod'!$A$2:$G$12,3,FALSE)+VLOOKUP($AD$2,'RF Mod'!$I$2:$O$11,3,FALSE)+(TRUNC(6+(24-6)*(TRUNC(MOD(($Z190*1103515245 +12345)/ 65536, 32768),0)/32768),0))</f>
        <v>14</v>
      </c>
      <c r="L190" s="16" t="e">
        <f t="shared" ca="1" si="3"/>
        <v>#NAME?</v>
      </c>
      <c r="M190" s="153">
        <f ca="1">VLOOKUP($AB$2,'RF Mod'!$A$2:$G$12,4,FALSE)+VLOOKUP($AD$2,'RF Mod'!$I$2:$O$11,4,FALSE)+(TRUNC(6+(24-6)*(TRUNC(MOD(($Z190*1103515245 +12345)/ 65536, 32768),0)/32768),0))</f>
        <v>13</v>
      </c>
      <c r="N190" s="16" t="e">
        <f t="shared" ca="1" si="4"/>
        <v>#NAME?</v>
      </c>
      <c r="O190" s="153">
        <f ca="1">VLOOKUP($AB$2,'RF Mod'!$A$2:$G$12,5,FALSE)+VLOOKUP($AD$2,'RF Mod'!$I$2:$O$11,5,FALSE)+(TRUNC(6+(24-6)*(TRUNC(MOD(($Z190*1103515245 +12345)/ 65536, 32768),0)/32768),0))</f>
        <v>16</v>
      </c>
      <c r="P190" s="16" t="e">
        <f t="shared" ca="1" si="5"/>
        <v>#NAME?</v>
      </c>
      <c r="Q190" s="153">
        <f ca="1">VLOOKUP($AB$2,'RF Mod'!$A$2:$G$12,6,FALSE)+VLOOKUP($AD$2,'RF Mod'!$I$2:$O$11,6,FALSE)+(TRUNC(6+(24-6)*(TRUNC(MOD(($Z190*1103515245 +12345)/ 65536, 32768),0)/32768),0))</f>
        <v>14</v>
      </c>
      <c r="R190" s="16" t="e">
        <f t="shared" ca="1" si="6"/>
        <v>#NAME?</v>
      </c>
      <c r="S190" s="154">
        <f t="shared" ca="1" si="12"/>
        <v>144</v>
      </c>
      <c r="T190" s="154">
        <f t="shared" ca="1" si="7"/>
        <v>109</v>
      </c>
      <c r="U190" s="16" t="str">
        <f t="shared" ca="1" si="8"/>
        <v>Bloody</v>
      </c>
      <c r="V190" s="155">
        <f ca="1">IFERROR(__xludf.DUMMYFUNCTION("if(W190=""Middle Age"",QUERY(NPCVar!$K$2:$N1000, ""Select L where K = '""&amp;AB190&amp;""'""),if(W190=""Old"",QUERY(NPCVar!$K$2:$N1000, ""Select M where K = '""&amp;AB190&amp;""'""),if(W190=""Venerable"",QUERY(NPCVar!$K$2:$N1000, ""Select N where K = '""&amp;AB190&amp;""'""),fa"&amp;"lse)))*X190"),162)</f>
        <v>162</v>
      </c>
      <c r="W190" s="156" t="str">
        <f t="array" ref="W190">INDEX(NPCAgeType,TRUNC(1+(4-1)*(TRUNC(MOD((X190*1103515245 +12345)/ 65536, 32768),0)/32768),0))</f>
        <v>Venerable</v>
      </c>
      <c r="X190" s="117">
        <f t="shared" si="13"/>
        <v>1.8</v>
      </c>
      <c r="Y190" s="157" t="e">
        <f t="array" aca="1" ref="Y190" ca="1">LOOKUP(ABS(MAX(Z190 + MIN(ABS(INDIRECT("Class Jobs!B"&amp;MATCH(E190,'Class Jobs'!$A$1:$A1000,0)&amp;":"&amp;"AF"&amp;MATCH(E190,'Class Jobs'!$A$1:$A1000,0)&amp;"")-$Z190)) * SUM(IF(MIN(ABS(INDIRECT("Class Jobs!B"&amp;MATCH(E190,'Class Jobs'!$A$1:$A1000,0)&amp;":"&amp;"AF"&amp;MATCH(E190,'Class Jobs'!$A$1:$A1000,0)&amp;"")-$Z190))=ABS(INDIRECT("Class Jobs!B"&amp;MATCH(E190,'Class Jobs'!$A$1:$A1000,0)&amp;":"&amp;"AF"&amp;MATCH(E190,'Class Jobs'!$A$1:$A1000,0)&amp;"")-$Z190),SIGN(INDIRECT("Class Jobs!B"&amp;MATCH(E190,'Class Jobs'!$A$1:A1000,0)&amp;":"&amp;"AF"&amp;MATCH(E190,'Class Jobs'!$A$1:$A1000,0)&amp;"")-$Z190),0)),0)),INDIRECT("Class Jobs!B"&amp;MATCH(E190,'Class Jobs'!$A$1:$A1000,0)&amp;":"&amp;"AF"&amp;MATCH(E190,'Class Jobs'!$A$1:$A1000,1)&amp;""),'Class Jobs'!$B$1:$AF$1)</f>
        <v>#REF!</v>
      </c>
      <c r="Z190" s="158">
        <f t="shared" si="10"/>
        <v>0.71</v>
      </c>
      <c r="AA190" s="16" t="str">
        <f t="array" ref="AA190">INDEX(NPCGender,TRUNC(1+(COUNTA(NPCGender))*(TRUNC(MOD(($B190*1103515245 +12345)/ 65536, 32768),0)/32768),0))</f>
        <v>Neutral</v>
      </c>
      <c r="AB190" s="16" t="str">
        <f t="array" ref="AB190">INDEX(NPCRace,TRUNC(1+(COUNTA(NPCRace))*(TRUNC(MOD(($B190*1103515245 +12345)/ 65536, 32768),0)/32768),0))</f>
        <v>Human</v>
      </c>
      <c r="AC190" s="16" t="str">
        <f t="array" ref="AC190">INDEX(NPCAL,TRUNC(1+(COUNTA(NPCAL))*(TRUNC(MOD(($B190*1103515245 +12345)/ 65536, 32768),0)/32768),0))</f>
        <v>LG</v>
      </c>
      <c r="AD190" s="72" t="str">
        <f ca="1">IFERROR(__xludf.DUMMYFUNCTION("if(V190&lt;15,QUERY(NPCVar!C:D,""Select D WHERE C = '""&amp;D190&amp;""'""),if((TRUNC(1+10)*(TRUNC(MOD((ROW(H190)*1103515245 +12345)/ 65536, 32768),0)/32768)/10) &gt; 0.85,INDEX(NPCFaction,TRUNC(1+(counta(NPCFaction)-1)*(TRUNC(MOD(($B190*1103515245 +12345)/ 65536, 3276"&amp;"8),0)/32768),0)),QUERY(NPCVar!C:D,""Select D WHERE C = '""&amp;D190&amp;""'"")))"),"Traverlers Guild")</f>
        <v>Traverlers Guild</v>
      </c>
      <c r="AE190" s="108" t="e">
        <f t="shared" ca="1" si="11"/>
        <v>#NAME?</v>
      </c>
      <c r="AF190" s="159">
        <f ca="1">IFERROR(__xludf.DUMMYFUNCTION("AE190*(V190 / QUERY(NPCVar!$K$2:$N$12, ""Select N WHERE K='""&amp;AB190&amp;""'""))*TRUNC(1+10)*(TRUNC(MOD(($B190*1103515245 +12345)/ 65536, 32768),0)/32768)"),4.2273193359375)</f>
        <v>4.2273193359374996</v>
      </c>
      <c r="AG190" s="16"/>
      <c r="AH190" s="77"/>
      <c r="AI190" s="114"/>
    </row>
    <row r="191" spans="1:35" ht="16.2">
      <c r="A191" s="53">
        <v>190</v>
      </c>
      <c r="B191" s="118">
        <f t="shared" si="15"/>
        <v>0.37911</v>
      </c>
      <c r="C191" s="72" t="str">
        <f t="array" ref="C191">INDEX(NPCFName,TRUNC(1+(COUNTA(NPCFName))*(TRUNC(MOD(($B191*1103515245 +12345)/ 65536, 32768),0)/32768),0))</f>
        <v>Mickal</v>
      </c>
      <c r="D191" s="16" t="str">
        <f t="array" ref="D191">INDEX(NPCLName,TRUNC(1+(COUNTA(NPCLName))*(TRUNC(MOD(($B191*1103515245 +12345)/ 65536, 32768),0)/32768),0))</f>
        <v>Ashcloud</v>
      </c>
      <c r="E191" s="16" t="str">
        <f t="array" ref="E191">INDEX(NPCClass,TRUNC(1+(COUNTA(NPCClass))*(TRUNC(MOD(($B191*1103515245 +12345)/ 65536, 32768),0)/32768),0))</f>
        <v>Druid</v>
      </c>
      <c r="F191" s="76">
        <v>1</v>
      </c>
      <c r="G191" s="153">
        <f ca="1">VLOOKUP($AB$2,'RF Mod'!$A$2:$G$12,2,FALSE)+VLOOKUP($AD$2,'RF Mod'!$I$2:$O$11,2,FALSE)+(TRUNC(6+(24-6)*(TRUNC(MOD(($Z191*1103515245 +12345)/ 65536, 32768),0)/32768),0))</f>
        <v>5</v>
      </c>
      <c r="H191" s="16">
        <f t="shared" ca="1" si="1"/>
        <v>-3</v>
      </c>
      <c r="I191" s="153">
        <f ca="1">VLOOKUP($AB$2,'RF Mod'!$A$2:$G$12,3,FALSE)+VLOOKUP($AD$2,'RF Mod'!$I$2:$O$11,3,FALSE)+(TRUNC(6+(24-6)*(TRUNC(MOD(($Z191*1103515245 +12345)/ 65536, 32768),0)/32768),0))</f>
        <v>9</v>
      </c>
      <c r="J191" s="16">
        <f t="shared" ca="1" si="2"/>
        <v>-1</v>
      </c>
      <c r="K191" s="153">
        <f ca="1">VLOOKUP($AB$2,'RF Mod'!$A$2:$G$12,3,FALSE)+VLOOKUP($AD$2,'RF Mod'!$I$2:$O$11,3,FALSE)+(TRUNC(6+(24-6)*(TRUNC(MOD(($Z191*1103515245 +12345)/ 65536, 32768),0)/32768),0))</f>
        <v>9</v>
      </c>
      <c r="L191" s="16">
        <f t="shared" ca="1" si="3"/>
        <v>-1</v>
      </c>
      <c r="M191" s="153">
        <f ca="1">VLOOKUP($AB$2,'RF Mod'!$A$2:$G$12,4,FALSE)+VLOOKUP($AD$2,'RF Mod'!$I$2:$O$11,4,FALSE)+(TRUNC(6+(24-6)*(TRUNC(MOD(($Z191*1103515245 +12345)/ 65536, 32768),0)/32768),0))</f>
        <v>8</v>
      </c>
      <c r="N191" s="16">
        <f t="shared" ca="1" si="4"/>
        <v>-1</v>
      </c>
      <c r="O191" s="153">
        <f ca="1">VLOOKUP($AB$2,'RF Mod'!$A$2:$G$12,5,FALSE)+VLOOKUP($AD$2,'RF Mod'!$I$2:$O$11,5,FALSE)+(TRUNC(6+(24-6)*(TRUNC(MOD(($Z191*1103515245 +12345)/ 65536, 32768),0)/32768),0))</f>
        <v>11</v>
      </c>
      <c r="P191" s="16" t="e">
        <f t="shared" ca="1" si="5"/>
        <v>#NAME?</v>
      </c>
      <c r="Q191" s="153">
        <f ca="1">VLOOKUP($AB$2,'RF Mod'!$A$2:$G$12,6,FALSE)+VLOOKUP($AD$2,'RF Mod'!$I$2:$O$11,6,FALSE)+(TRUNC(6+(24-6)*(TRUNC(MOD(($Z191*1103515245 +12345)/ 65536, 32768),0)/32768),0))</f>
        <v>9</v>
      </c>
      <c r="R191" s="16">
        <f t="shared" ca="1" si="6"/>
        <v>-1</v>
      </c>
      <c r="S191" s="154">
        <f t="shared" ca="1" si="12"/>
        <v>11</v>
      </c>
      <c r="T191" s="154">
        <f t="shared" ca="1" si="7"/>
        <v>7</v>
      </c>
      <c r="U191" s="16" t="str">
        <f t="shared" ca="1" si="8"/>
        <v>Bloody</v>
      </c>
      <c r="V191" s="155">
        <f ca="1">IFERROR(__xludf.DUMMYFUNCTION("if(W191=""Middle Age"",QUERY(NPCVar!$K$2:$N1000, ""Select L where K = '""&amp;AB191&amp;""'""),if(W191=""Old"",QUERY(NPCVar!$K$2:$N1000, ""Select M where K = '""&amp;AB191&amp;""'""),if(W191=""Venerable"",QUERY(NPCVar!$K$2:$N1000, ""Select N where K = '""&amp;AB191&amp;""'""),fa"&amp;"lse)))*X191"),93.75)</f>
        <v>93.75</v>
      </c>
      <c r="W191" s="156" t="str">
        <f t="array" ref="W191">INDEX(NPCAgeType,TRUNC(1+(4-1)*(TRUNC(MOD((X191*1103515245 +12345)/ 65536, 32768),0)/32768),0))</f>
        <v>Middle Age</v>
      </c>
      <c r="X191" s="117">
        <f t="shared" si="13"/>
        <v>0.5</v>
      </c>
      <c r="Y191" s="157" t="e">
        <f t="array" aca="1" ref="Y191" ca="1">LOOKUP(ABS(MAX(Z191 + MIN(ABS(INDIRECT("Class Jobs!B"&amp;MATCH(E191,'Class Jobs'!$A$1:$A1000,0)&amp;":"&amp;"AF"&amp;MATCH(E191,'Class Jobs'!$A$1:$A1000,0)&amp;"")-$Z191)) * SUM(IF(MIN(ABS(INDIRECT("Class Jobs!B"&amp;MATCH(E191,'Class Jobs'!$A$1:$A1000,0)&amp;":"&amp;"AF"&amp;MATCH(E191,'Class Jobs'!$A$1:$A1000,0)&amp;"")-$Z191))=ABS(INDIRECT("Class Jobs!B"&amp;MATCH(E191,'Class Jobs'!$A$1:$A1000,0)&amp;":"&amp;"AF"&amp;MATCH(E191,'Class Jobs'!$A$1:$A1000,0)&amp;"")-$Z191),SIGN(INDIRECT("Class Jobs!B"&amp;MATCH(E191,'Class Jobs'!$A$1:A1000,0)&amp;":"&amp;"AF"&amp;MATCH(E191,'Class Jobs'!$A$1:$A1000,0)&amp;"")-$Z191),0)),0)),INDIRECT("Class Jobs!B"&amp;MATCH(E191,'Class Jobs'!$A$1:$A1000,0)&amp;":"&amp;"AF"&amp;MATCH(E191,'Class Jobs'!$A$1:$A1000,1)&amp;""),'Class Jobs'!$B$1:$AF$1)</f>
        <v>#REF!</v>
      </c>
      <c r="Z191" s="158">
        <f t="shared" si="10"/>
        <v>0.2</v>
      </c>
      <c r="AA191" s="16" t="str">
        <f t="array" ref="AA191">INDEX(NPCGender,TRUNC(1+(COUNTA(NPCGender))*(TRUNC(MOD(($B191*1103515245 +12345)/ 65536, 32768),0)/32768),0))</f>
        <v>Male</v>
      </c>
      <c r="AB191" s="16" t="str">
        <f t="array" ref="AB191">INDEX(NPCRace,TRUNC(1+(COUNTA(NPCRace))*(TRUNC(MOD(($B191*1103515245 +12345)/ 65536, 32768),0)/32768),0))</f>
        <v>Elf</v>
      </c>
      <c r="AC191" s="16" t="str">
        <f t="array" ref="AC191">INDEX(NPCAL,TRUNC(1+(COUNTA(NPCAL))*(TRUNC(MOD(($B191*1103515245 +12345)/ 65536, 32768),0)/32768),0))</f>
        <v>CE</v>
      </c>
      <c r="AD191" s="72" t="str">
        <f ca="1">IFERROR(__xludf.DUMMYFUNCTION("if(V191&lt;15,QUERY(NPCVar!C:D,""Select D WHERE C = '""&amp;D191&amp;""'""),if((TRUNC(1+10)*(TRUNC(MOD((ROW(H191)*1103515245 +12345)/ 65536, 32768),0)/32768)/10) &gt; 0.85,INDEX(NPCFaction,TRUNC(1+(counta(NPCFaction)-1)*(TRUNC(MOD(($B191*1103515245 +12345)/ 65536, 3276"&amp;"8),0)/32768),0)),QUERY(NPCVar!C:D,""Select D WHERE C = '""&amp;D191&amp;""'"")))"),"Magic Guild")</f>
        <v>Magic Guild</v>
      </c>
      <c r="AE191" s="108" t="e">
        <f t="shared" ca="1" si="11"/>
        <v>#NAME?</v>
      </c>
      <c r="AF191" s="159">
        <f ca="1">IFERROR(__xludf.DUMMYFUNCTION("AE191*(V191 / QUERY(NPCVar!$K$2:$N$12, ""Select N WHERE K='""&amp;AB191&amp;""'""))*TRUNC(1+10)*(TRUNC(MOD(($B191*1103515245 +12345)/ 65536, 32768),0)/32768)"),0.0803524017333984)</f>
        <v>8.0352401733398401E-2</v>
      </c>
      <c r="AG191" s="16"/>
      <c r="AH191" s="77"/>
      <c r="AI191" s="114"/>
    </row>
    <row r="192" spans="1:35" ht="16.2">
      <c r="A192" s="53">
        <v>191</v>
      </c>
      <c r="B192" s="118">
        <f t="shared" si="15"/>
        <v>1.87324</v>
      </c>
      <c r="C192" s="72" t="str">
        <f t="array" ref="C192">INDEX(NPCFName,TRUNC(1+(COUNTA(NPCFName))*(TRUNC(MOD(($B192*1103515245 +12345)/ 65536, 32768),0)/32768),0))</f>
        <v>Uther</v>
      </c>
      <c r="D192" s="16" t="str">
        <f t="array" ref="D192">INDEX(NPCLName,TRUNC(1+(COUNTA(NPCLName))*(TRUNC(MOD(($B192*1103515245 +12345)/ 65536, 32768),0)/32768),0))</f>
        <v>Marblearm</v>
      </c>
      <c r="E192" s="16" t="str">
        <f t="array" ref="E192">INDEX(NPCClass,TRUNC(1+(COUNTA(NPCClass))*(TRUNC(MOD(($B192*1103515245 +12345)/ 65536, 32768),0)/32768),0))</f>
        <v>Wizard</v>
      </c>
      <c r="F192" s="76">
        <v>8</v>
      </c>
      <c r="G192" s="153">
        <f ca="1">VLOOKUP($AB$2,'RF Mod'!$A$2:$G$12,2,FALSE)+VLOOKUP($AD$2,'RF Mod'!$I$2:$O$11,2,FALSE)+(TRUNC(6+(24-6)*(TRUNC(MOD(($Z192*1103515245 +12345)/ 65536, 32768),0)/32768),0))</f>
        <v>12</v>
      </c>
      <c r="H192" s="16" t="e">
        <f t="shared" ca="1" si="1"/>
        <v>#NAME?</v>
      </c>
      <c r="I192" s="153">
        <f ca="1">VLOOKUP($AB$2,'RF Mod'!$A$2:$G$12,3,FALSE)+VLOOKUP($AD$2,'RF Mod'!$I$2:$O$11,3,FALSE)+(TRUNC(6+(24-6)*(TRUNC(MOD(($Z192*1103515245 +12345)/ 65536, 32768),0)/32768),0))</f>
        <v>16</v>
      </c>
      <c r="J192" s="16" t="e">
        <f t="shared" ca="1" si="2"/>
        <v>#NAME?</v>
      </c>
      <c r="K192" s="153">
        <f ca="1">VLOOKUP($AB$2,'RF Mod'!$A$2:$G$12,3,FALSE)+VLOOKUP($AD$2,'RF Mod'!$I$2:$O$11,3,FALSE)+(TRUNC(6+(24-6)*(TRUNC(MOD(($Z192*1103515245 +12345)/ 65536, 32768),0)/32768),0))</f>
        <v>16</v>
      </c>
      <c r="L192" s="16" t="e">
        <f t="shared" ca="1" si="3"/>
        <v>#NAME?</v>
      </c>
      <c r="M192" s="153">
        <f ca="1">VLOOKUP($AB$2,'RF Mod'!$A$2:$G$12,4,FALSE)+VLOOKUP($AD$2,'RF Mod'!$I$2:$O$11,4,FALSE)+(TRUNC(6+(24-6)*(TRUNC(MOD(($Z192*1103515245 +12345)/ 65536, 32768),0)/32768),0))</f>
        <v>15</v>
      </c>
      <c r="N192" s="16" t="e">
        <f t="shared" ca="1" si="4"/>
        <v>#NAME?</v>
      </c>
      <c r="O192" s="153">
        <f ca="1">VLOOKUP($AB$2,'RF Mod'!$A$2:$G$12,5,FALSE)+VLOOKUP($AD$2,'RF Mod'!$I$2:$O$11,5,FALSE)+(TRUNC(6+(24-6)*(TRUNC(MOD(($Z192*1103515245 +12345)/ 65536, 32768),0)/32768),0))</f>
        <v>18</v>
      </c>
      <c r="P192" s="16" t="e">
        <f t="shared" ca="1" si="5"/>
        <v>#NAME?</v>
      </c>
      <c r="Q192" s="153">
        <f ca="1">VLOOKUP($AB$2,'RF Mod'!$A$2:$G$12,6,FALSE)+VLOOKUP($AD$2,'RF Mod'!$I$2:$O$11,6,FALSE)+(TRUNC(6+(24-6)*(TRUNC(MOD(($Z192*1103515245 +12345)/ 65536, 32768),0)/32768),0))</f>
        <v>16</v>
      </c>
      <c r="R192" s="16" t="e">
        <f t="shared" ca="1" si="6"/>
        <v>#NAME?</v>
      </c>
      <c r="S192" s="154">
        <f t="shared" ca="1" si="12"/>
        <v>272</v>
      </c>
      <c r="T192" s="154">
        <f t="shared" ca="1" si="7"/>
        <v>303</v>
      </c>
      <c r="U192" s="16" t="str">
        <f t="shared" ca="1" si="8"/>
        <v>Dead</v>
      </c>
      <c r="V192" s="155">
        <f ca="1">IFERROR(__xludf.DUMMYFUNCTION("if(W192=""Middle Age"",QUERY(NPCVar!$K$2:$N1000, ""Select L where K = '""&amp;AB192&amp;""'""),if(W192=""Old"",QUERY(NPCVar!$K$2:$N1000, ""Select M where K = '""&amp;AB192&amp;""'""),if(W192=""Venerable"",QUERY(NPCVar!$K$2:$N1000, ""Select N where K = '""&amp;AB192&amp;""'""),fa"&amp;"lse)))*X192"),72)</f>
        <v>72</v>
      </c>
      <c r="W192" s="156" t="str">
        <f t="array" ref="W192">INDEX(NPCAgeType,TRUNC(1+(4-1)*(TRUNC(MOD((X192*1103515245 +12345)/ 65536, 32768),0)/32768),0))</f>
        <v>Middle Age</v>
      </c>
      <c r="X192" s="117">
        <f t="shared" si="13"/>
        <v>2.4</v>
      </c>
      <c r="Y192" s="157" t="e">
        <f t="array" aca="1" ref="Y192" ca="1">LOOKUP(ABS(MAX(Z192 + MIN(ABS(INDIRECT("Class Jobs!B"&amp;MATCH(E192,'Class Jobs'!$A$1:$A1000,0)&amp;":"&amp;"AF"&amp;MATCH(E192,'Class Jobs'!$A$1:$A1000,0)&amp;"")-$Z192)) * SUM(IF(MIN(ABS(INDIRECT("Class Jobs!B"&amp;MATCH(E192,'Class Jobs'!$A$1:$A1000,0)&amp;":"&amp;"AF"&amp;MATCH(E192,'Class Jobs'!$A$1:$A1000,0)&amp;"")-$Z192))=ABS(INDIRECT("Class Jobs!B"&amp;MATCH(E192,'Class Jobs'!$A$1:$A1000,0)&amp;":"&amp;"AF"&amp;MATCH(E192,'Class Jobs'!$A$1:$A1000,0)&amp;"")-$Z192),SIGN(INDIRECT("Class Jobs!B"&amp;MATCH(E192,'Class Jobs'!$A$1:A1000,0)&amp;":"&amp;"AF"&amp;MATCH(E192,'Class Jobs'!$A$1:$A1000,0)&amp;"")-$Z192),0)),0)),INDIRECT("Class Jobs!B"&amp;MATCH(E192,'Class Jobs'!$A$1:$A1000,0)&amp;":"&amp;"AF"&amp;MATCH(E192,'Class Jobs'!$A$1:$A1000,1)&amp;""),'Class Jobs'!$B$1:$AF$1)</f>
        <v>#REF!</v>
      </c>
      <c r="Z192" s="158">
        <f t="shared" si="10"/>
        <v>0.96</v>
      </c>
      <c r="AA192" s="16" t="str">
        <f t="array" ref="AA192">INDEX(NPCGender,TRUNC(1+(COUNTA(NPCGender))*(TRUNC(MOD(($B192*1103515245 +12345)/ 65536, 32768),0)/32768),0))</f>
        <v>Neutral</v>
      </c>
      <c r="AB192" s="16" t="str">
        <f t="array" ref="AB192">INDEX(NPCRace,TRUNC(1+(COUNTA(NPCRace))*(TRUNC(MOD(($B192*1103515245 +12345)/ 65536, 32768),0)/32768),0))</f>
        <v>Goliath</v>
      </c>
      <c r="AC192" s="16" t="str">
        <f t="array" ref="AC192">INDEX(NPCAL,TRUNC(1+(COUNTA(NPCAL))*(TRUNC(MOD(($B192*1103515245 +12345)/ 65536, 32768),0)/32768),0))</f>
        <v>LE</v>
      </c>
      <c r="AD192" s="72" t="str">
        <f ca="1">IFERROR(__xludf.DUMMYFUNCTION("if(V192&lt;15,QUERY(NPCVar!C:D,""Select D WHERE C = '""&amp;D192&amp;""'""),if((TRUNC(1+10)*(TRUNC(MOD((ROW(H192)*1103515245 +12345)/ 65536, 32768),0)/32768)/10) &gt; 0.85,INDEX(NPCFaction,TRUNC(1+(counta(NPCFaction)-1)*(TRUNC(MOD(($B192*1103515245 +12345)/ 65536, 3276"&amp;"8),0)/32768),0)),QUERY(NPCVar!C:D,""Select D WHERE C = '""&amp;D192&amp;""'"")))"),"Thieves Guild")</f>
        <v>Thieves Guild</v>
      </c>
      <c r="AE192" s="108" t="e">
        <f t="shared" ca="1" si="11"/>
        <v>#NAME?</v>
      </c>
      <c r="AF192" s="159">
        <f ca="1">IFERROR(__xludf.DUMMYFUNCTION("AE192*(V192 / QUERY(NPCVar!$K$2:$N$12, ""Select N WHERE K='""&amp;AB192&amp;""'""))*TRUNC(1+10)*(TRUNC(MOD(($B192*1103515245 +12345)/ 65536, 32768),0)/32768)"),1.90591918945312)</f>
        <v>1.90591918945312</v>
      </c>
      <c r="AG192" s="16"/>
      <c r="AH192" s="77"/>
      <c r="AI192" s="114"/>
    </row>
    <row r="193" spans="1:35" ht="16.2">
      <c r="A193" s="53">
        <v>192</v>
      </c>
      <c r="B193" s="118">
        <f t="shared" si="15"/>
        <v>0.86738999999999999</v>
      </c>
      <c r="C193" s="72" t="str">
        <f t="array" ref="C193">INDEX(NPCFName,TRUNC(1+(COUNTA(NPCFName))*(TRUNC(MOD(($B193*1103515245 +12345)/ 65536, 32768),0)/32768),0))</f>
        <v>Fyn</v>
      </c>
      <c r="D193" s="16" t="str">
        <f t="array" ref="D193">INDEX(NPCLName,TRUNC(1+(COUNTA(NPCLName))*(TRUNC(MOD(($B193*1103515245 +12345)/ 65536, 32768),0)/32768),0))</f>
        <v>Saurflame</v>
      </c>
      <c r="E193" s="16" t="str">
        <f t="array" ref="E193">INDEX(NPCClass,TRUNC(1+(COUNTA(NPCClass))*(TRUNC(MOD(($B193*1103515245 +12345)/ 65536, 32768),0)/32768),0))</f>
        <v>Ranger</v>
      </c>
      <c r="F193" s="76">
        <v>4</v>
      </c>
      <c r="G193" s="153">
        <f ca="1">VLOOKUP($AB$2,'RF Mod'!$A$2:$G$12,2,FALSE)+VLOOKUP($AD$2,'RF Mod'!$I$2:$O$11,2,FALSE)+(TRUNC(6+(24-6)*(TRUNC(MOD(($Z193*1103515245 +12345)/ 65536, 32768),0)/32768),0))</f>
        <v>8</v>
      </c>
      <c r="H193" s="16">
        <f t="shared" ca="1" si="1"/>
        <v>-1</v>
      </c>
      <c r="I193" s="153">
        <f ca="1">VLOOKUP($AB$2,'RF Mod'!$A$2:$G$12,3,FALSE)+VLOOKUP($AD$2,'RF Mod'!$I$2:$O$11,3,FALSE)+(TRUNC(6+(24-6)*(TRUNC(MOD(($Z193*1103515245 +12345)/ 65536, 32768),0)/32768),0))</f>
        <v>12</v>
      </c>
      <c r="J193" s="16" t="e">
        <f t="shared" ca="1" si="2"/>
        <v>#NAME?</v>
      </c>
      <c r="K193" s="153">
        <f ca="1">VLOOKUP($AB$2,'RF Mod'!$A$2:$G$12,3,FALSE)+VLOOKUP($AD$2,'RF Mod'!$I$2:$O$11,3,FALSE)+(TRUNC(6+(24-6)*(TRUNC(MOD(($Z193*1103515245 +12345)/ 65536, 32768),0)/32768),0))</f>
        <v>12</v>
      </c>
      <c r="L193" s="16" t="e">
        <f t="shared" ca="1" si="3"/>
        <v>#NAME?</v>
      </c>
      <c r="M193" s="153">
        <f ca="1">VLOOKUP($AB$2,'RF Mod'!$A$2:$G$12,4,FALSE)+VLOOKUP($AD$2,'RF Mod'!$I$2:$O$11,4,FALSE)+(TRUNC(6+(24-6)*(TRUNC(MOD(($Z193*1103515245 +12345)/ 65536, 32768),0)/32768),0))</f>
        <v>11</v>
      </c>
      <c r="N193" s="16" t="e">
        <f t="shared" ca="1" si="4"/>
        <v>#NAME?</v>
      </c>
      <c r="O193" s="153">
        <f ca="1">VLOOKUP($AB$2,'RF Mod'!$A$2:$G$12,5,FALSE)+VLOOKUP($AD$2,'RF Mod'!$I$2:$O$11,5,FALSE)+(TRUNC(6+(24-6)*(TRUNC(MOD(($Z193*1103515245 +12345)/ 65536, 32768),0)/32768),0))</f>
        <v>14</v>
      </c>
      <c r="P193" s="16" t="e">
        <f t="shared" ca="1" si="5"/>
        <v>#NAME?</v>
      </c>
      <c r="Q193" s="153">
        <f ca="1">VLOOKUP($AB$2,'RF Mod'!$A$2:$G$12,6,FALSE)+VLOOKUP($AD$2,'RF Mod'!$I$2:$O$11,6,FALSE)+(TRUNC(6+(24-6)*(TRUNC(MOD(($Z193*1103515245 +12345)/ 65536, 32768),0)/32768),0))</f>
        <v>12</v>
      </c>
      <c r="R193" s="16" t="e">
        <f t="shared" ca="1" si="6"/>
        <v>#NAME?</v>
      </c>
      <c r="S193" s="154">
        <f t="shared" ca="1" si="12"/>
        <v>104</v>
      </c>
      <c r="T193" s="154">
        <f t="shared" ca="1" si="7"/>
        <v>78</v>
      </c>
      <c r="U193" s="16" t="str">
        <f t="shared" ca="1" si="8"/>
        <v>Bloody</v>
      </c>
      <c r="V193" s="155">
        <f ca="1">IFERROR(__xludf.DUMMYFUNCTION("if(W193=""Middle Age"",QUERY(NPCVar!$K$2:$N1000, ""Select L where K = '""&amp;AB193&amp;""'""),if(W193=""Old"",QUERY(NPCVar!$K$2:$N1000, ""Select M where K = '""&amp;AB193&amp;""'""),if(W193=""Venerable"",QUERY(NPCVar!$K$2:$N1000, ""Select N where K = '""&amp;AB193&amp;""'""),fa"&amp;"lse)))*X193"),74.25)</f>
        <v>74.25</v>
      </c>
      <c r="W193" s="156" t="str">
        <f t="array" ref="W193">INDEX(NPCAgeType,TRUNC(1+(4-1)*(TRUNC(MOD((X193*1103515245 +12345)/ 65536, 32768),0)/32768),0))</f>
        <v>Old</v>
      </c>
      <c r="X193" s="117">
        <f t="shared" si="13"/>
        <v>1.1000000000000001</v>
      </c>
      <c r="Y193" s="157" t="e">
        <f t="array" aca="1" ref="Y193" ca="1">LOOKUP(ABS(MAX(Z193 + MIN(ABS(INDIRECT("Class Jobs!B"&amp;MATCH(E193,'Class Jobs'!$A$1:$A1000,0)&amp;":"&amp;"AF"&amp;MATCH(E193,'Class Jobs'!$A$1:$A1000,0)&amp;"")-$Z193)) * SUM(IF(MIN(ABS(INDIRECT("Class Jobs!B"&amp;MATCH(E193,'Class Jobs'!$A$1:$A1000,0)&amp;":"&amp;"AF"&amp;MATCH(E193,'Class Jobs'!$A$1:$A1000,0)&amp;"")-$Z193))=ABS(INDIRECT("Class Jobs!B"&amp;MATCH(E193,'Class Jobs'!$A$1:$A1000,0)&amp;":"&amp;"AF"&amp;MATCH(E193,'Class Jobs'!$A$1:$A1000,0)&amp;"")-$Z193),SIGN(INDIRECT("Class Jobs!B"&amp;MATCH(E193,'Class Jobs'!$A$1:A1000,0)&amp;":"&amp;"AF"&amp;MATCH(E193,'Class Jobs'!$A$1:$A1000,0)&amp;"")-$Z193),0)),0)),INDIRECT("Class Jobs!B"&amp;MATCH(E193,'Class Jobs'!$A$1:$A1000,0)&amp;":"&amp;"AF"&amp;MATCH(E193,'Class Jobs'!$A$1:$A1000,1)&amp;""),'Class Jobs'!$B$1:$AF$1)</f>
        <v>#REF!</v>
      </c>
      <c r="Z193" s="158">
        <f t="shared" si="10"/>
        <v>0.45</v>
      </c>
      <c r="AA193" s="16" t="str">
        <f t="array" ref="AA193">INDEX(NPCGender,TRUNC(1+(COUNTA(NPCGender))*(TRUNC(MOD(($B193*1103515245 +12345)/ 65536, 32768),0)/32768),0))</f>
        <v>Female</v>
      </c>
      <c r="AB193" s="16" t="str">
        <f t="array" ref="AB193">INDEX(NPCRace,TRUNC(1+(COUNTA(NPCRace))*(TRUNC(MOD(($B193*1103515245 +12345)/ 65536, 32768),0)/32768),0))</f>
        <v>Half-Elf</v>
      </c>
      <c r="AC193" s="16" t="str">
        <f t="array" ref="AC193">INDEX(NPCAL,TRUNC(1+(COUNTA(NPCAL))*(TRUNC(MOD(($B193*1103515245 +12345)/ 65536, 32768),0)/32768),0))</f>
        <v>NN</v>
      </c>
      <c r="AD193" s="72" t="str">
        <f ca="1">IFERROR(__xludf.DUMMYFUNCTION("if(V193&lt;15,QUERY(NPCVar!C:D,""Select D WHERE C = '""&amp;D193&amp;""'""),if((TRUNC(1+10)*(TRUNC(MOD((ROW(H193)*1103515245 +12345)/ 65536, 32768),0)/32768)/10) &gt; 0.85,INDEX(NPCFaction,TRUNC(1+(counta(NPCFaction)-1)*(TRUNC(MOD(($B193*1103515245 +12345)/ 65536, 3276"&amp;"8),0)/32768),0)),QUERY(NPCVar!C:D,""Select D WHERE C = '""&amp;D193&amp;""'"")))"),"Farmers Guild")</f>
        <v>Farmers Guild</v>
      </c>
      <c r="AE193" s="108" t="e">
        <f t="shared" ca="1" si="11"/>
        <v>#NAME?</v>
      </c>
      <c r="AF193" s="159">
        <f ca="1">IFERROR(__xludf.DUMMYFUNCTION("AE193*(V193 / QUERY(NPCVar!$K$2:$N$12, ""Select N WHERE K='""&amp;AB193&amp;""'""))*TRUNC(1+10)*(TRUNC(MOD(($B193*1103515245 +12345)/ 65536, 32768),0)/32768)"),1.41568393707275)</f>
        <v>1.4156839370727501</v>
      </c>
      <c r="AG193" s="16"/>
      <c r="AH193" s="77"/>
      <c r="AI193" s="114"/>
    </row>
    <row r="194" spans="1:35" ht="16.2">
      <c r="A194" s="53">
        <v>193</v>
      </c>
      <c r="B194" s="118">
        <f t="shared" ref="B194:B257" si="16">(TRUNC(1+(250000-1)*(TRUNC(MOD(((Seed*ROW())*1103515245 +12345)/ 65536, 32768),0)/32768),0))/100000</f>
        <v>2.36145</v>
      </c>
      <c r="C194" s="72" t="str">
        <f t="array" ref="C194">INDEX(NPCFName,TRUNC(1+(COUNTA(NPCFName))*(TRUNC(MOD(($B194*1103515245 +12345)/ 65536, 32768),0)/32768),0))</f>
        <v>Occhi</v>
      </c>
      <c r="D194" s="16" t="str">
        <f t="array" ref="D194">INDEX(NPCLName,TRUNC(1+(COUNTA(NPCLName))*(TRUNC(MOD(($B194*1103515245 +12345)/ 65536, 32768),0)/32768),0))</f>
        <v>Stillsun</v>
      </c>
      <c r="E194" s="16" t="str">
        <f t="array" ref="E194">INDEX(NPCClass,TRUNC(1+(COUNTA(NPCClass))*(TRUNC(MOD(($B194*1103515245 +12345)/ 65536, 32768),0)/32768),0))</f>
        <v>Druid</v>
      </c>
      <c r="F194" s="76">
        <v>1</v>
      </c>
      <c r="G194" s="153">
        <f ca="1">VLOOKUP($AB$2,'RF Mod'!$A$2:$G$12,2,FALSE)+VLOOKUP($AD$2,'RF Mod'!$I$2:$O$11,2,FALSE)+(TRUNC(6+(24-6)*(TRUNC(MOD(($Z194*1103515245 +12345)/ 65536, 32768),0)/32768),0))</f>
        <v>6</v>
      </c>
      <c r="H194" s="16">
        <f t="shared" ca="1" si="1"/>
        <v>-2</v>
      </c>
      <c r="I194" s="153">
        <f ca="1">VLOOKUP($AB$2,'RF Mod'!$A$2:$G$12,3,FALSE)+VLOOKUP($AD$2,'RF Mod'!$I$2:$O$11,3,FALSE)+(TRUNC(6+(24-6)*(TRUNC(MOD(($Z194*1103515245 +12345)/ 65536, 32768),0)/32768),0))</f>
        <v>10</v>
      </c>
      <c r="J194" s="16" t="e">
        <f t="shared" ca="1" si="2"/>
        <v>#NAME?</v>
      </c>
      <c r="K194" s="153">
        <f ca="1">VLOOKUP($AB$2,'RF Mod'!$A$2:$G$12,3,FALSE)+VLOOKUP($AD$2,'RF Mod'!$I$2:$O$11,3,FALSE)+(TRUNC(6+(24-6)*(TRUNC(MOD(($Z194*1103515245 +12345)/ 65536, 32768),0)/32768),0))</f>
        <v>10</v>
      </c>
      <c r="L194" s="16" t="e">
        <f t="shared" ca="1" si="3"/>
        <v>#NAME?</v>
      </c>
      <c r="M194" s="153">
        <f ca="1">VLOOKUP($AB$2,'RF Mod'!$A$2:$G$12,4,FALSE)+VLOOKUP($AD$2,'RF Mod'!$I$2:$O$11,4,FALSE)+(TRUNC(6+(24-6)*(TRUNC(MOD(($Z194*1103515245 +12345)/ 65536, 32768),0)/32768),0))</f>
        <v>9</v>
      </c>
      <c r="N194" s="16">
        <f t="shared" ca="1" si="4"/>
        <v>-1</v>
      </c>
      <c r="O194" s="153">
        <f ca="1">VLOOKUP($AB$2,'RF Mod'!$A$2:$G$12,5,FALSE)+VLOOKUP($AD$2,'RF Mod'!$I$2:$O$11,5,FALSE)+(TRUNC(6+(24-6)*(TRUNC(MOD(($Z194*1103515245 +12345)/ 65536, 32768),0)/32768),0))</f>
        <v>12</v>
      </c>
      <c r="P194" s="16" t="e">
        <f t="shared" ca="1" si="5"/>
        <v>#NAME?</v>
      </c>
      <c r="Q194" s="153">
        <f ca="1">VLOOKUP($AB$2,'RF Mod'!$A$2:$G$12,6,FALSE)+VLOOKUP($AD$2,'RF Mod'!$I$2:$O$11,6,FALSE)+(TRUNC(6+(24-6)*(TRUNC(MOD(($Z194*1103515245 +12345)/ 65536, 32768),0)/32768),0))</f>
        <v>10</v>
      </c>
      <c r="R194" s="16" t="e">
        <f t="shared" ca="1" si="6"/>
        <v>#NAME?</v>
      </c>
      <c r="S194" s="154">
        <f t="shared" ca="1" si="12"/>
        <v>12</v>
      </c>
      <c r="T194" s="154">
        <f t="shared" ca="1" si="7"/>
        <v>3</v>
      </c>
      <c r="U194" s="16" t="str">
        <f t="shared" ca="1" si="8"/>
        <v>Fine</v>
      </c>
      <c r="V194" s="155">
        <f ca="1">IFERROR(__xludf.DUMMYFUNCTION("if(W194=""Middle Age"",QUERY(NPCVar!$K$2:$N1000, ""Select L where K = '""&amp;AB194&amp;""'""),if(W194=""Old"",QUERY(NPCVar!$K$2:$N1000, ""Select M where K = '""&amp;AB194&amp;""'""),if(W194=""Venerable"",QUERY(NPCVar!$K$2:$N1000, ""Select N where K = '""&amp;AB194&amp;""'""),fa"&amp;"lse)))*X194"),112.5)</f>
        <v>112.5</v>
      </c>
      <c r="W194" s="156" t="str">
        <f t="array" ref="W194">INDEX(NPCAgeType,TRUNC(1+(4-1)*(TRUNC(MOD((X194*1103515245 +12345)/ 65536, 32768),0)/32768),0))</f>
        <v>Middle Age</v>
      </c>
      <c r="X194" s="117">
        <f t="shared" si="13"/>
        <v>0.6</v>
      </c>
      <c r="Y194" s="157" t="e">
        <f t="array" aca="1" ref="Y194" ca="1">LOOKUP(ABS(MAX(Z194 + MIN(ABS(INDIRECT("Class Jobs!B"&amp;MATCH(E194,'Class Jobs'!$A$1:$A1000,0)&amp;":"&amp;"AF"&amp;MATCH(E194,'Class Jobs'!$A$1:$A1000,0)&amp;"")-$Z194)) * SUM(IF(MIN(ABS(INDIRECT("Class Jobs!B"&amp;MATCH(E194,'Class Jobs'!$A$1:$A1000,0)&amp;":"&amp;"AF"&amp;MATCH(E194,'Class Jobs'!$A$1:$A1000,0)&amp;"")-$Z194))=ABS(INDIRECT("Class Jobs!B"&amp;MATCH(E194,'Class Jobs'!$A$1:$A1000,0)&amp;":"&amp;"AF"&amp;MATCH(E194,'Class Jobs'!$A$1:$A1000,0)&amp;"")-$Z194),SIGN(INDIRECT("Class Jobs!B"&amp;MATCH(E194,'Class Jobs'!$A$1:A1000,0)&amp;":"&amp;"AF"&amp;MATCH(E194,'Class Jobs'!$A$1:$A1000,0)&amp;"")-$Z194),0)),0)),INDIRECT("Class Jobs!B"&amp;MATCH(E194,'Class Jobs'!$A$1:$A1000,0)&amp;":"&amp;"AF"&amp;MATCH(E194,'Class Jobs'!$A$1:$A1000,1)&amp;""),'Class Jobs'!$B$1:$AF$1)</f>
        <v>#REF!</v>
      </c>
      <c r="Z194" s="158">
        <f t="shared" si="10"/>
        <v>0.22</v>
      </c>
      <c r="AA194" s="16" t="str">
        <f t="array" ref="AA194">INDEX(NPCGender,TRUNC(1+(COUNTA(NPCGender))*(TRUNC(MOD(($B194*1103515245 +12345)/ 65536, 32768),0)/32768),0))</f>
        <v>Male</v>
      </c>
      <c r="AB194" s="16" t="str">
        <f t="array" ref="AB194">INDEX(NPCRace,TRUNC(1+(COUNTA(NPCRace))*(TRUNC(MOD(($B194*1103515245 +12345)/ 65536, 32768),0)/32768),0))</f>
        <v>Elf</v>
      </c>
      <c r="AC194" s="16" t="str">
        <f t="array" ref="AC194">INDEX(NPCAL,TRUNC(1+(COUNTA(NPCAL))*(TRUNC(MOD(($B194*1103515245 +12345)/ 65536, 32768),0)/32768),0))</f>
        <v>CE</v>
      </c>
      <c r="AD194" s="72" t="str">
        <f ca="1">IFERROR(__xludf.DUMMYFUNCTION("if(V194&lt;15,QUERY(NPCVar!C:D,""Select D WHERE C = '""&amp;D194&amp;""'""),if((TRUNC(1+10)*(TRUNC(MOD((ROW(H194)*1103515245 +12345)/ 65536, 32768),0)/32768)/10) &gt; 0.85,INDEX(NPCFaction,TRUNC(1+(counta(NPCFaction)-1)*(TRUNC(MOD(($B194*1103515245 +12345)/ 65536, 3276"&amp;"8),0)/32768),0)),QUERY(NPCVar!C:D,""Select D WHERE C = '""&amp;D194&amp;""'"")))"),"Necromancer")</f>
        <v>Necromancer</v>
      </c>
      <c r="AE194" s="108" t="e">
        <f t="shared" ca="1" si="11"/>
        <v>#NAME?</v>
      </c>
      <c r="AF194" s="159">
        <f ca="1">IFERROR(__xludf.DUMMYFUNCTION("AE194*(V194 / QUERY(NPCVar!$K$2:$N$12, ""Select N WHERE K='""&amp;AB194&amp;""'""))*TRUNC(1+10)*(TRUNC(MOD(($B194*1103515245 +12345)/ 65536, 32768),0)/32768)"),0)</f>
        <v>0</v>
      </c>
      <c r="AG194" s="16"/>
      <c r="AH194" s="77"/>
      <c r="AI194" s="114"/>
    </row>
    <row r="195" spans="1:35" ht="16.2">
      <c r="A195" s="53">
        <v>194</v>
      </c>
      <c r="B195" s="118">
        <f t="shared" si="16"/>
        <v>1.3555900000000001</v>
      </c>
      <c r="C195" s="72" t="str">
        <f t="array" ref="C195">INDEX(NPCFName,TRUNC(1+(COUNTA(NPCFName))*(TRUNC(MOD(($B195*1103515245 +12345)/ 65536, 32768),0)/32768),0))</f>
        <v>Besurlde</v>
      </c>
      <c r="D195" s="16" t="str">
        <f t="array" ref="D195">INDEX(NPCLName,TRUNC(1+(COUNTA(NPCLName))*(TRUNC(MOD(($B195*1103515245 +12345)/ 65536, 32768),0)/32768),0))</f>
        <v>Emberhell</v>
      </c>
      <c r="E195" s="16" t="str">
        <f t="array" ref="E195">INDEX(NPCClass,TRUNC(1+(COUNTA(NPCClass))*(TRUNC(MOD(($B195*1103515245 +12345)/ 65536, 32768),0)/32768),0))</f>
        <v>None</v>
      </c>
      <c r="F195" s="76">
        <v>8</v>
      </c>
      <c r="G195" s="153">
        <f ca="1">VLOOKUP($AB$2,'RF Mod'!$A$2:$G$12,2,FALSE)+VLOOKUP($AD$2,'RF Mod'!$I$2:$O$11,2,FALSE)+(TRUNC(6+(24-6)*(TRUNC(MOD(($Z195*1103515245 +12345)/ 65536, 32768),0)/32768),0))</f>
        <v>10</v>
      </c>
      <c r="H195" s="16" t="e">
        <f t="shared" ca="1" si="1"/>
        <v>#NAME?</v>
      </c>
      <c r="I195" s="153">
        <f ca="1">VLOOKUP($AB$2,'RF Mod'!$A$2:$G$12,3,FALSE)+VLOOKUP($AD$2,'RF Mod'!$I$2:$O$11,3,FALSE)+(TRUNC(6+(24-6)*(TRUNC(MOD(($Z195*1103515245 +12345)/ 65536, 32768),0)/32768),0))</f>
        <v>14</v>
      </c>
      <c r="J195" s="16" t="e">
        <f t="shared" ca="1" si="2"/>
        <v>#NAME?</v>
      </c>
      <c r="K195" s="153">
        <f ca="1">VLOOKUP($AB$2,'RF Mod'!$A$2:$G$12,3,FALSE)+VLOOKUP($AD$2,'RF Mod'!$I$2:$O$11,3,FALSE)+(TRUNC(6+(24-6)*(TRUNC(MOD(($Z195*1103515245 +12345)/ 65536, 32768),0)/32768),0))</f>
        <v>14</v>
      </c>
      <c r="L195" s="16" t="e">
        <f t="shared" ca="1" si="3"/>
        <v>#NAME?</v>
      </c>
      <c r="M195" s="153">
        <f ca="1">VLOOKUP($AB$2,'RF Mod'!$A$2:$G$12,4,FALSE)+VLOOKUP($AD$2,'RF Mod'!$I$2:$O$11,4,FALSE)+(TRUNC(6+(24-6)*(TRUNC(MOD(($Z195*1103515245 +12345)/ 65536, 32768),0)/32768),0))</f>
        <v>13</v>
      </c>
      <c r="N195" s="16" t="e">
        <f t="shared" ca="1" si="4"/>
        <v>#NAME?</v>
      </c>
      <c r="O195" s="153">
        <f ca="1">VLOOKUP($AB$2,'RF Mod'!$A$2:$G$12,5,FALSE)+VLOOKUP($AD$2,'RF Mod'!$I$2:$O$11,5,FALSE)+(TRUNC(6+(24-6)*(TRUNC(MOD(($Z195*1103515245 +12345)/ 65536, 32768),0)/32768),0))</f>
        <v>16</v>
      </c>
      <c r="P195" s="16" t="e">
        <f t="shared" ca="1" si="5"/>
        <v>#NAME?</v>
      </c>
      <c r="Q195" s="153">
        <f ca="1">VLOOKUP($AB$2,'RF Mod'!$A$2:$G$12,6,FALSE)+VLOOKUP($AD$2,'RF Mod'!$I$2:$O$11,6,FALSE)+(TRUNC(6+(24-6)*(TRUNC(MOD(($Z195*1103515245 +12345)/ 65536, 32768),0)/32768),0))</f>
        <v>14</v>
      </c>
      <c r="R195" s="16" t="e">
        <f t="shared" ca="1" si="6"/>
        <v>#NAME?</v>
      </c>
      <c r="S195" s="154">
        <f t="shared" ca="1" si="12"/>
        <v>176</v>
      </c>
      <c r="T195" s="154">
        <f t="shared" ca="1" si="7"/>
        <v>58</v>
      </c>
      <c r="U195" s="16" t="str">
        <f t="shared" ca="1" si="8"/>
        <v>Fine</v>
      </c>
      <c r="V195" s="155">
        <f ca="1">IFERROR(__xludf.DUMMYFUNCTION("if(W195=""Middle Age"",QUERY(NPCVar!$K$2:$N1000, ""Select L where K = '""&amp;AB195&amp;""'""),if(W195=""Old"",QUERY(NPCVar!$K$2:$N1000, ""Select M where K = '""&amp;AB195&amp;""'""),if(W195=""Venerable"",QUERY(NPCVar!$K$2:$N1000, ""Select N where K = '""&amp;AB195&amp;""'""),fa"&amp;"lse)))*X195"),153)</f>
        <v>153</v>
      </c>
      <c r="W195" s="156" t="str">
        <f t="array" ref="W195">INDEX(NPCAgeType,TRUNC(1+(4-1)*(TRUNC(MOD((X195*1103515245 +12345)/ 65536, 32768),0)/32768),0))</f>
        <v>Venerable</v>
      </c>
      <c r="X195" s="117">
        <f t="shared" si="13"/>
        <v>1.7</v>
      </c>
      <c r="Y195" s="157" t="e">
        <f t="array" aca="1" ref="Y195" ca="1">LOOKUP(ABS(MAX(Z195 + MIN(ABS(INDIRECT("Class Jobs!B"&amp;MATCH(E195,'Class Jobs'!$A$1:$A1000,0)&amp;":"&amp;"AF"&amp;MATCH(E195,'Class Jobs'!$A$1:$A1000,0)&amp;"")-$Z195)) * SUM(IF(MIN(ABS(INDIRECT("Class Jobs!B"&amp;MATCH(E195,'Class Jobs'!$A$1:$A1000,0)&amp;":"&amp;"AF"&amp;MATCH(E195,'Class Jobs'!$A$1:$A1000,0)&amp;"")-$Z195))=ABS(INDIRECT("Class Jobs!B"&amp;MATCH(E195,'Class Jobs'!$A$1:$A1000,0)&amp;":"&amp;"AF"&amp;MATCH(E195,'Class Jobs'!$A$1:$A1000,0)&amp;"")-$Z195),SIGN(INDIRECT("Class Jobs!B"&amp;MATCH(E195,'Class Jobs'!$A$1:A1000,0)&amp;":"&amp;"AF"&amp;MATCH(E195,'Class Jobs'!$A$1:$A1000,0)&amp;"")-$Z195),0)),0)),INDIRECT("Class Jobs!B"&amp;MATCH(E195,'Class Jobs'!$A$1:$A1000,0)&amp;":"&amp;"AF"&amp;MATCH(E195,'Class Jobs'!$A$1:$A1000,1)&amp;""),'Class Jobs'!$B$1:$AF$1)</f>
        <v>#REF!</v>
      </c>
      <c r="Z195" s="158">
        <f t="shared" si="10"/>
        <v>0.69</v>
      </c>
      <c r="AA195" s="16" t="str">
        <f t="array" ref="AA195">INDEX(NPCGender,TRUNC(1+(COUNTA(NPCGender))*(TRUNC(MOD(($B195*1103515245 +12345)/ 65536, 32768),0)/32768),0))</f>
        <v>Neutral</v>
      </c>
      <c r="AB195" s="16" t="str">
        <f t="array" ref="AB195">INDEX(NPCRace,TRUNC(1+(COUNTA(NPCRace))*(TRUNC(MOD(($B195*1103515245 +12345)/ 65536, 32768),0)/32768),0))</f>
        <v>Human</v>
      </c>
      <c r="AC195" s="16" t="str">
        <f t="array" ref="AC195">INDEX(NPCAL,TRUNC(1+(COUNTA(NPCAL))*(TRUNC(MOD(($B195*1103515245 +12345)/ 65536, 32768),0)/32768),0))</f>
        <v>LG</v>
      </c>
      <c r="AD195" s="72" t="str">
        <f ca="1">IFERROR(__xludf.DUMMYFUNCTION("if(V195&lt;15,QUERY(NPCVar!C:D,""Select D WHERE C = '""&amp;D195&amp;""'""),if((TRUNC(1+10)*(TRUNC(MOD((ROW(H195)*1103515245 +12345)/ 65536, 32768),0)/32768)/10) &gt; 0.85,INDEX(NPCFaction,TRUNC(1+(counta(NPCFaction)-1)*(TRUNC(MOD(($B195*1103515245 +12345)/ 65536, 3276"&amp;"8),0)/32768),0)),QUERY(NPCVar!C:D,""Select D WHERE C = '""&amp;D195&amp;""'"")))"),"Adventures Guild")</f>
        <v>Adventures Guild</v>
      </c>
      <c r="AE195" s="108" t="e">
        <f t="shared" ca="1" si="11"/>
        <v>#NAME?</v>
      </c>
      <c r="AF195" s="159">
        <f ca="1">IFERROR(__xludf.DUMMYFUNCTION("AE195*(V195 / QUERY(NPCVar!$K$2:$N$12, ""Select N WHERE K='""&amp;AB195&amp;""'""))*TRUNC(1+10)*(TRUNC(MOD(($B195*1103515245 +12345)/ 65536, 32768),0)/32768)"),10.4210498046874)</f>
        <v>10.421049804687399</v>
      </c>
      <c r="AG195" s="16"/>
      <c r="AH195" s="77"/>
      <c r="AI195" s="114"/>
    </row>
    <row r="196" spans="1:35" ht="16.2">
      <c r="A196" s="53">
        <v>195</v>
      </c>
      <c r="B196" s="118">
        <f t="shared" si="16"/>
        <v>0.34974</v>
      </c>
      <c r="C196" s="72" t="str">
        <f t="array" ref="C196">INDEX(NPCFName,TRUNC(1+(COUNTA(NPCFName))*(TRUNC(MOD(($B196*1103515245 +12345)/ 65536, 32768),0)/32768),0))</f>
        <v>Lurd</v>
      </c>
      <c r="D196" s="16" t="str">
        <f t="array" ref="D196">INDEX(NPCLName,TRUNC(1+(COUNTA(NPCLName))*(TRUNC(MOD(($B196*1103515245 +12345)/ 65536, 32768),0)/32768),0))</f>
        <v>Ashcloud</v>
      </c>
      <c r="E196" s="16" t="str">
        <f t="array" ref="E196">INDEX(NPCClass,TRUNC(1+(COUNTA(NPCClass))*(TRUNC(MOD(($B196*1103515245 +12345)/ 65536, 32768),0)/32768),0))</f>
        <v>Druid</v>
      </c>
      <c r="F196" s="76">
        <v>1</v>
      </c>
      <c r="G196" s="153">
        <f ca="1">VLOOKUP($AB$2,'RF Mod'!$A$2:$G$12,2,FALSE)+VLOOKUP($AD$2,'RF Mod'!$I$2:$O$11,2,FALSE)+(TRUNC(6+(24-6)*(TRUNC(MOD(($Z196*1103515245 +12345)/ 65536, 32768),0)/32768),0))</f>
        <v>5</v>
      </c>
      <c r="H196" s="16">
        <f t="shared" ca="1" si="1"/>
        <v>-3</v>
      </c>
      <c r="I196" s="153">
        <f ca="1">VLOOKUP($AB$2,'RF Mod'!$A$2:$G$12,3,FALSE)+VLOOKUP($AD$2,'RF Mod'!$I$2:$O$11,3,FALSE)+(TRUNC(6+(24-6)*(TRUNC(MOD(($Z196*1103515245 +12345)/ 65536, 32768),0)/32768),0))</f>
        <v>9</v>
      </c>
      <c r="J196" s="16">
        <f t="shared" ca="1" si="2"/>
        <v>-1</v>
      </c>
      <c r="K196" s="153">
        <f ca="1">VLOOKUP($AB$2,'RF Mod'!$A$2:$G$12,3,FALSE)+VLOOKUP($AD$2,'RF Mod'!$I$2:$O$11,3,FALSE)+(TRUNC(6+(24-6)*(TRUNC(MOD(($Z196*1103515245 +12345)/ 65536, 32768),0)/32768),0))</f>
        <v>9</v>
      </c>
      <c r="L196" s="16">
        <f t="shared" ca="1" si="3"/>
        <v>-1</v>
      </c>
      <c r="M196" s="153">
        <f ca="1">VLOOKUP($AB$2,'RF Mod'!$A$2:$G$12,4,FALSE)+VLOOKUP($AD$2,'RF Mod'!$I$2:$O$11,4,FALSE)+(TRUNC(6+(24-6)*(TRUNC(MOD(($Z196*1103515245 +12345)/ 65536, 32768),0)/32768),0))</f>
        <v>8</v>
      </c>
      <c r="N196" s="16">
        <f t="shared" ca="1" si="4"/>
        <v>-1</v>
      </c>
      <c r="O196" s="153">
        <f ca="1">VLOOKUP($AB$2,'RF Mod'!$A$2:$G$12,5,FALSE)+VLOOKUP($AD$2,'RF Mod'!$I$2:$O$11,5,FALSE)+(TRUNC(6+(24-6)*(TRUNC(MOD(($Z196*1103515245 +12345)/ 65536, 32768),0)/32768),0))</f>
        <v>11</v>
      </c>
      <c r="P196" s="16" t="e">
        <f t="shared" ca="1" si="5"/>
        <v>#NAME?</v>
      </c>
      <c r="Q196" s="153">
        <f ca="1">VLOOKUP($AB$2,'RF Mod'!$A$2:$G$12,6,FALSE)+VLOOKUP($AD$2,'RF Mod'!$I$2:$O$11,6,FALSE)+(TRUNC(6+(24-6)*(TRUNC(MOD(($Z196*1103515245 +12345)/ 65536, 32768),0)/32768),0))</f>
        <v>9</v>
      </c>
      <c r="R196" s="16">
        <f t="shared" ca="1" si="6"/>
        <v>-1</v>
      </c>
      <c r="S196" s="154">
        <f t="shared" ca="1" si="12"/>
        <v>27</v>
      </c>
      <c r="T196" s="154">
        <f t="shared" ca="1" si="7"/>
        <v>24</v>
      </c>
      <c r="U196" s="16" t="str">
        <f t="shared" ca="1" si="8"/>
        <v>Bloody</v>
      </c>
      <c r="V196" s="155">
        <f ca="1">IFERROR(__xludf.DUMMYFUNCTION("if(W196=""Middle Age"",QUERY(NPCVar!$K$2:$N1000, ""Select L where K = '""&amp;AB196&amp;""'""),if(W196=""Old"",QUERY(NPCVar!$K$2:$N1000, ""Select M where K = '""&amp;AB196&amp;""'""),if(W196=""Venerable"",QUERY(NPCVar!$K$2:$N1000, ""Select N where K = '""&amp;AB196&amp;""'""),fa"&amp;"lse)))*X196"),40)</f>
        <v>40</v>
      </c>
      <c r="W196" s="156" t="str">
        <f t="array" ref="W196">INDEX(NPCAgeType,TRUNC(1+(4-1)*(TRUNC(MOD((X196*1103515245 +12345)/ 65536, 32768),0)/32768),0))</f>
        <v>Middle Age</v>
      </c>
      <c r="X196" s="117">
        <f t="shared" si="13"/>
        <v>0.5</v>
      </c>
      <c r="Y196" s="157" t="e">
        <f t="array" aca="1" ref="Y196" ca="1">LOOKUP(ABS(MAX(Z196 + MIN(ABS(INDIRECT("Class Jobs!B"&amp;MATCH(E196,'Class Jobs'!$A$1:$A1000,0)&amp;":"&amp;"AF"&amp;MATCH(E196,'Class Jobs'!$A$1:$A1000,0)&amp;"")-$Z196)) * SUM(IF(MIN(ABS(INDIRECT("Class Jobs!B"&amp;MATCH(E196,'Class Jobs'!$A$1:$A1000,0)&amp;":"&amp;"AF"&amp;MATCH(E196,'Class Jobs'!$A$1:$A1000,0)&amp;"")-$Z196))=ABS(INDIRECT("Class Jobs!B"&amp;MATCH(E196,'Class Jobs'!$A$1:$A1000,0)&amp;":"&amp;"AF"&amp;MATCH(E196,'Class Jobs'!$A$1:$A1000,0)&amp;"")-$Z196),SIGN(INDIRECT("Class Jobs!B"&amp;MATCH(E196,'Class Jobs'!$A$1:A1000,0)&amp;":"&amp;"AF"&amp;MATCH(E196,'Class Jobs'!$A$1:$A1000,0)&amp;"")-$Z196),0)),0)),INDIRECT("Class Jobs!B"&amp;MATCH(E196,'Class Jobs'!$A$1:$A1000,0)&amp;":"&amp;"AF"&amp;MATCH(E196,'Class Jobs'!$A$1:$A1000,1)&amp;""),'Class Jobs'!$B$1:$AF$1)</f>
        <v>#REF!</v>
      </c>
      <c r="Z196" s="158">
        <f t="shared" si="10"/>
        <v>0.18</v>
      </c>
      <c r="AA196" s="16" t="str">
        <f t="array" ref="AA196">INDEX(NPCGender,TRUNC(1+(COUNTA(NPCGender))*(TRUNC(MOD(($B196*1103515245 +12345)/ 65536, 32768),0)/32768),0))</f>
        <v>Male</v>
      </c>
      <c r="AB196" s="16" t="str">
        <f t="array" ref="AB196">INDEX(NPCRace,TRUNC(1+(COUNTA(NPCRace))*(TRUNC(MOD(($B196*1103515245 +12345)/ 65536, 32768),0)/32768),0))</f>
        <v>Dwarf</v>
      </c>
      <c r="AC196" s="16" t="str">
        <f t="array" ref="AC196">INDEX(NPCAL,TRUNC(1+(COUNTA(NPCAL))*(TRUNC(MOD(($B196*1103515245 +12345)/ 65536, 32768),0)/32768),0))</f>
        <v>CE</v>
      </c>
      <c r="AD196" s="72" t="str">
        <f ca="1">IFERROR(__xludf.DUMMYFUNCTION("if(V196&lt;15,QUERY(NPCVar!C:D,""Select D WHERE C = '""&amp;D196&amp;""'""),if((TRUNC(1+10)*(TRUNC(MOD((ROW(H196)*1103515245 +12345)/ 65536, 32768),0)/32768)/10) &gt; 0.85,INDEX(NPCFaction,TRUNC(1+(counta(NPCFaction)-1)*(TRUNC(MOD(($B196*1103515245 +12345)/ 65536, 3276"&amp;"8),0)/32768),0)),QUERY(NPCVar!C:D,""Select D WHERE C = '""&amp;D196&amp;""'"")))"),"Magic Guild")</f>
        <v>Magic Guild</v>
      </c>
      <c r="AE196" s="108" t="e">
        <f t="shared" ca="1" si="11"/>
        <v>#NAME?</v>
      </c>
      <c r="AF196" s="159">
        <f ca="1">IFERROR(__xludf.DUMMYFUNCTION("AE196*(V196 / QUERY(NPCVar!$K$2:$N$12, ""Select N WHERE K='""&amp;AB196&amp;""'""))*TRUNC(1+10)*(TRUNC(MOD(($B196*1103515245 +12345)/ 65536, 32768),0)/32768)"),-0.0247112274169921)</f>
        <v>-2.4711227416992099E-2</v>
      </c>
      <c r="AG196" s="16"/>
      <c r="AH196" s="77"/>
      <c r="AI196" s="114"/>
    </row>
    <row r="197" spans="1:35" ht="16.2">
      <c r="A197" s="53">
        <v>196</v>
      </c>
      <c r="B197" s="118">
        <f t="shared" si="16"/>
        <v>1.8438699999999999</v>
      </c>
      <c r="C197" s="72" t="str">
        <f t="array" ref="C197">INDEX(NPCFName,TRUNC(1+(COUNTA(NPCFName))*(TRUNC(MOD(($B197*1103515245 +12345)/ 65536, 32768),0)/32768),0))</f>
        <v>Tethran</v>
      </c>
      <c r="D197" s="16" t="str">
        <f t="array" ref="D197">INDEX(NPCLName,TRUNC(1+(COUNTA(NPCLName))*(TRUNC(MOD(($B197*1103515245 +12345)/ 65536, 32768),0)/32768),0))</f>
        <v>Marblearm</v>
      </c>
      <c r="E197" s="16" t="str">
        <f t="array" ref="E197">INDEX(NPCClass,TRUNC(1+(COUNTA(NPCClass))*(TRUNC(MOD(($B197*1103515245 +12345)/ 65536, 32768),0)/32768),0))</f>
        <v>Wizard</v>
      </c>
      <c r="F197" s="76">
        <v>8</v>
      </c>
      <c r="G197" s="153">
        <f ca="1">VLOOKUP($AB$2,'RF Mod'!$A$2:$G$12,2,FALSE)+VLOOKUP($AD$2,'RF Mod'!$I$2:$O$11,2,FALSE)+(TRUNC(6+(24-6)*(TRUNC(MOD(($Z197*1103515245 +12345)/ 65536, 32768),0)/32768),0))</f>
        <v>12</v>
      </c>
      <c r="H197" s="16" t="e">
        <f t="shared" ca="1" si="1"/>
        <v>#NAME?</v>
      </c>
      <c r="I197" s="153">
        <f ca="1">VLOOKUP($AB$2,'RF Mod'!$A$2:$G$12,3,FALSE)+VLOOKUP($AD$2,'RF Mod'!$I$2:$O$11,3,FALSE)+(TRUNC(6+(24-6)*(TRUNC(MOD(($Z197*1103515245 +12345)/ 65536, 32768),0)/32768),0))</f>
        <v>16</v>
      </c>
      <c r="J197" s="16" t="e">
        <f t="shared" ca="1" si="2"/>
        <v>#NAME?</v>
      </c>
      <c r="K197" s="153">
        <f ca="1">VLOOKUP($AB$2,'RF Mod'!$A$2:$G$12,3,FALSE)+VLOOKUP($AD$2,'RF Mod'!$I$2:$O$11,3,FALSE)+(TRUNC(6+(24-6)*(TRUNC(MOD(($Z197*1103515245 +12345)/ 65536, 32768),0)/32768),0))</f>
        <v>16</v>
      </c>
      <c r="L197" s="16" t="e">
        <f t="shared" ca="1" si="3"/>
        <v>#NAME?</v>
      </c>
      <c r="M197" s="153">
        <f ca="1">VLOOKUP($AB$2,'RF Mod'!$A$2:$G$12,4,FALSE)+VLOOKUP($AD$2,'RF Mod'!$I$2:$O$11,4,FALSE)+(TRUNC(6+(24-6)*(TRUNC(MOD(($Z197*1103515245 +12345)/ 65536, 32768),0)/32768),0))</f>
        <v>15</v>
      </c>
      <c r="N197" s="16" t="e">
        <f t="shared" ca="1" si="4"/>
        <v>#NAME?</v>
      </c>
      <c r="O197" s="153">
        <f ca="1">VLOOKUP($AB$2,'RF Mod'!$A$2:$G$12,5,FALSE)+VLOOKUP($AD$2,'RF Mod'!$I$2:$O$11,5,FALSE)+(TRUNC(6+(24-6)*(TRUNC(MOD(($Z197*1103515245 +12345)/ 65536, 32768),0)/32768),0))</f>
        <v>18</v>
      </c>
      <c r="P197" s="16" t="e">
        <f t="shared" ca="1" si="5"/>
        <v>#NAME?</v>
      </c>
      <c r="Q197" s="153">
        <f ca="1">VLOOKUP($AB$2,'RF Mod'!$A$2:$G$12,6,FALSE)+VLOOKUP($AD$2,'RF Mod'!$I$2:$O$11,6,FALSE)+(TRUNC(6+(24-6)*(TRUNC(MOD(($Z197*1103515245 +12345)/ 65536, 32768),0)/32768),0))</f>
        <v>16</v>
      </c>
      <c r="R197" s="16" t="e">
        <f t="shared" ca="1" si="6"/>
        <v>#NAME?</v>
      </c>
      <c r="S197" s="154">
        <f t="shared" ca="1" si="12"/>
        <v>208</v>
      </c>
      <c r="T197" s="154">
        <f t="shared" ca="1" si="7"/>
        <v>65</v>
      </c>
      <c r="U197" s="16" t="str">
        <f t="shared" ca="1" si="8"/>
        <v>Fine</v>
      </c>
      <c r="V197" s="155">
        <f ca="1">IFERROR(__xludf.DUMMYFUNCTION("if(W197=""Middle Age"",QUERY(NPCVar!$K$2:$N1000, ""Select L where K = '""&amp;AB197&amp;""'""),if(W197=""Old"",QUERY(NPCVar!$K$2:$N1000, ""Select M where K = '""&amp;AB197&amp;""'""),if(W197=""Venerable"",QUERY(NPCVar!$K$2:$N1000, ""Select N where K = '""&amp;AB197&amp;""'""),fa"&amp;"lse)))*X197"),69)</f>
        <v>69</v>
      </c>
      <c r="W197" s="156" t="str">
        <f t="array" ref="W197">INDEX(NPCAgeType,TRUNC(1+(4-1)*(TRUNC(MOD((X197*1103515245 +12345)/ 65536, 32768),0)/32768),0))</f>
        <v>Middle Age</v>
      </c>
      <c r="X197" s="117">
        <f t="shared" si="13"/>
        <v>2.2999999999999998</v>
      </c>
      <c r="Y197" s="157" t="e">
        <f t="array" aca="1" ref="Y197" ca="1">LOOKUP(ABS(MAX(Z197 + MIN(ABS(INDIRECT("Class Jobs!B"&amp;MATCH(E197,'Class Jobs'!$A$1:$A1000,0)&amp;":"&amp;"AF"&amp;MATCH(E197,'Class Jobs'!$A$1:$A1000,0)&amp;"")-$Z197)) * SUM(IF(MIN(ABS(INDIRECT("Class Jobs!B"&amp;MATCH(E197,'Class Jobs'!$A$1:$A1000,0)&amp;":"&amp;"AF"&amp;MATCH(E197,'Class Jobs'!$A$1:$A1000,0)&amp;"")-$Z197))=ABS(INDIRECT("Class Jobs!B"&amp;MATCH(E197,'Class Jobs'!$A$1:$A1000,0)&amp;":"&amp;"AF"&amp;MATCH(E197,'Class Jobs'!$A$1:$A1000,0)&amp;"")-$Z197),SIGN(INDIRECT("Class Jobs!B"&amp;MATCH(E197,'Class Jobs'!$A$1:A1000,0)&amp;":"&amp;"AF"&amp;MATCH(E197,'Class Jobs'!$A$1:$A1000,0)&amp;"")-$Z197),0)),0)),INDIRECT("Class Jobs!B"&amp;MATCH(E197,'Class Jobs'!$A$1:$A1000,0)&amp;":"&amp;"AF"&amp;MATCH(E197,'Class Jobs'!$A$1:$A1000,1)&amp;""),'Class Jobs'!$B$1:$AF$1)</f>
        <v>#REF!</v>
      </c>
      <c r="Z197" s="158">
        <f t="shared" si="10"/>
        <v>0.94</v>
      </c>
      <c r="AA197" s="16" t="str">
        <f t="array" ref="AA197">INDEX(NPCGender,TRUNC(1+(COUNTA(NPCGender))*(TRUNC(MOD(($B197*1103515245 +12345)/ 65536, 32768),0)/32768),0))</f>
        <v>Neutral</v>
      </c>
      <c r="AB197" s="16" t="str">
        <f t="array" ref="AB197">INDEX(NPCRace,TRUNC(1+(COUNTA(NPCRace))*(TRUNC(MOD(($B197*1103515245 +12345)/ 65536, 32768),0)/32768),0))</f>
        <v>Goliath</v>
      </c>
      <c r="AC197" s="16" t="str">
        <f t="array" ref="AC197">INDEX(NPCAL,TRUNC(1+(COUNTA(NPCAL))*(TRUNC(MOD(($B197*1103515245 +12345)/ 65536, 32768),0)/32768),0))</f>
        <v>LE</v>
      </c>
      <c r="AD197" s="72" t="str">
        <f ca="1">IFERROR(__xludf.DUMMYFUNCTION("if(V197&lt;15,QUERY(NPCVar!C:D,""Select D WHERE C = '""&amp;D197&amp;""'""),if((TRUNC(1+10)*(TRUNC(MOD((ROW(H197)*1103515245 +12345)/ 65536, 32768),0)/32768)/10) &gt; 0.85,INDEX(NPCFaction,TRUNC(1+(counta(NPCFaction)-1)*(TRUNC(MOD(($B197*1103515245 +12345)/ 65536, 3276"&amp;"8),0)/32768),0)),QUERY(NPCVar!C:D,""Select D WHERE C = '""&amp;D197&amp;""'"")))"),"Thieves Guild")</f>
        <v>Thieves Guild</v>
      </c>
      <c r="AE197" s="108" t="e">
        <f t="shared" ca="1" si="11"/>
        <v>#NAME?</v>
      </c>
      <c r="AF197" s="159">
        <f ca="1">IFERROR(__xludf.DUMMYFUNCTION("AE197*(V197 / QUERY(NPCVar!$K$2:$N$12, ""Select N WHERE K='""&amp;AB197&amp;""'""))*TRUNC(1+10)*(TRUNC(MOD(($B197*1103515245 +12345)/ 65536, 32768),0)/32768)"),4.79424499511718)</f>
        <v>4.7942449951171797</v>
      </c>
      <c r="AG197" s="16"/>
      <c r="AH197" s="77"/>
      <c r="AI197" s="114"/>
    </row>
    <row r="198" spans="1:35" ht="16.2">
      <c r="A198" s="53">
        <v>197</v>
      </c>
      <c r="B198" s="118">
        <f t="shared" si="16"/>
        <v>0.83801000000000003</v>
      </c>
      <c r="C198" s="72" t="str">
        <f t="array" ref="C198">INDEX(NPCFName,TRUNC(1+(COUNTA(NPCFName))*(TRUNC(MOD(($B198*1103515245 +12345)/ 65536, 32768),0)/32768),0))</f>
        <v>Escariet</v>
      </c>
      <c r="D198" s="16" t="str">
        <f t="array" ref="D198">INDEX(NPCLName,TRUNC(1+(COUNTA(NPCLName))*(TRUNC(MOD(($B198*1103515245 +12345)/ 65536, 32768),0)/32768),0))</f>
        <v>Windshade</v>
      </c>
      <c r="E198" s="16" t="str">
        <f t="array" ref="E198">INDEX(NPCClass,TRUNC(1+(COUNTA(NPCClass))*(TRUNC(MOD(($B198*1103515245 +12345)/ 65536, 32768),0)/32768),0))</f>
        <v>Ranger</v>
      </c>
      <c r="F198" s="76">
        <v>6</v>
      </c>
      <c r="G198" s="153">
        <f ca="1">VLOOKUP($AB$2,'RF Mod'!$A$2:$G$12,2,FALSE)+VLOOKUP($AD$2,'RF Mod'!$I$2:$O$11,2,FALSE)+(TRUNC(6+(24-6)*(TRUNC(MOD(($Z198*1103515245 +12345)/ 65536, 32768),0)/32768),0))</f>
        <v>7</v>
      </c>
      <c r="H198" s="16">
        <f t="shared" ca="1" si="1"/>
        <v>-2</v>
      </c>
      <c r="I198" s="153">
        <f ca="1">VLOOKUP($AB$2,'RF Mod'!$A$2:$G$12,3,FALSE)+VLOOKUP($AD$2,'RF Mod'!$I$2:$O$11,3,FALSE)+(TRUNC(6+(24-6)*(TRUNC(MOD(($Z198*1103515245 +12345)/ 65536, 32768),0)/32768),0))</f>
        <v>11</v>
      </c>
      <c r="J198" s="16" t="e">
        <f t="shared" ca="1" si="2"/>
        <v>#NAME?</v>
      </c>
      <c r="K198" s="153">
        <f ca="1">VLOOKUP($AB$2,'RF Mod'!$A$2:$G$12,3,FALSE)+VLOOKUP($AD$2,'RF Mod'!$I$2:$O$11,3,FALSE)+(TRUNC(6+(24-6)*(TRUNC(MOD(($Z198*1103515245 +12345)/ 65536, 32768),0)/32768),0))</f>
        <v>11</v>
      </c>
      <c r="L198" s="16" t="e">
        <f t="shared" ca="1" si="3"/>
        <v>#NAME?</v>
      </c>
      <c r="M198" s="153">
        <f ca="1">VLOOKUP($AB$2,'RF Mod'!$A$2:$G$12,4,FALSE)+VLOOKUP($AD$2,'RF Mod'!$I$2:$O$11,4,FALSE)+(TRUNC(6+(24-6)*(TRUNC(MOD(($Z198*1103515245 +12345)/ 65536, 32768),0)/32768),0))</f>
        <v>10</v>
      </c>
      <c r="N198" s="16" t="e">
        <f t="shared" ca="1" si="4"/>
        <v>#NAME?</v>
      </c>
      <c r="O198" s="153">
        <f ca="1">VLOOKUP($AB$2,'RF Mod'!$A$2:$G$12,5,FALSE)+VLOOKUP($AD$2,'RF Mod'!$I$2:$O$11,5,FALSE)+(TRUNC(6+(24-6)*(TRUNC(MOD(($Z198*1103515245 +12345)/ 65536, 32768),0)/32768),0))</f>
        <v>13</v>
      </c>
      <c r="P198" s="16" t="e">
        <f t="shared" ca="1" si="5"/>
        <v>#NAME?</v>
      </c>
      <c r="Q198" s="153">
        <f ca="1">VLOOKUP($AB$2,'RF Mod'!$A$2:$G$12,6,FALSE)+VLOOKUP($AD$2,'RF Mod'!$I$2:$O$11,6,FALSE)+(TRUNC(6+(24-6)*(TRUNC(MOD(($Z198*1103515245 +12345)/ 65536, 32768),0)/32768),0))</f>
        <v>11</v>
      </c>
      <c r="R198" s="16" t="e">
        <f t="shared" ca="1" si="6"/>
        <v>#NAME?</v>
      </c>
      <c r="S198" s="154">
        <f t="shared" ca="1" si="12"/>
        <v>90</v>
      </c>
      <c r="T198" s="154">
        <f t="shared" ca="1" si="7"/>
        <v>108</v>
      </c>
      <c r="U198" s="16" t="str">
        <f t="shared" ca="1" si="8"/>
        <v>Dead</v>
      </c>
      <c r="V198" s="155">
        <f ca="1">IFERROR(__xludf.DUMMYFUNCTION("if(W198=""Middle Age"",QUERY(NPCVar!$K$2:$N1000, ""Select L where K = '""&amp;AB198&amp;""'""),if(W198=""Old"",QUERY(NPCVar!$K$2:$N1000, ""Select M where K = '""&amp;AB198&amp;""'""),if(W198=""Venerable"",QUERY(NPCVar!$K$2:$N1000, ""Select N where K = '""&amp;AB198&amp;""'""),fa"&amp;"lse)))*X198"),74.25)</f>
        <v>74.25</v>
      </c>
      <c r="W198" s="156" t="str">
        <f t="array" ref="W198">INDEX(NPCAgeType,TRUNC(1+(4-1)*(TRUNC(MOD((X198*1103515245 +12345)/ 65536, 32768),0)/32768),0))</f>
        <v>Old</v>
      </c>
      <c r="X198" s="117">
        <f t="shared" si="13"/>
        <v>1.1000000000000001</v>
      </c>
      <c r="Y198" s="157" t="e">
        <f t="array" aca="1" ref="Y198" ca="1">LOOKUP(ABS(MAX(Z198 + MIN(ABS(INDIRECT("Class Jobs!B"&amp;MATCH(E198,'Class Jobs'!$A$1:$A1000,0)&amp;":"&amp;"AF"&amp;MATCH(E198,'Class Jobs'!$A$1:$A1000,0)&amp;"")-$Z198)) * SUM(IF(MIN(ABS(INDIRECT("Class Jobs!B"&amp;MATCH(E198,'Class Jobs'!$A$1:$A1000,0)&amp;":"&amp;"AF"&amp;MATCH(E198,'Class Jobs'!$A$1:$A1000,0)&amp;"")-$Z198))=ABS(INDIRECT("Class Jobs!B"&amp;MATCH(E198,'Class Jobs'!$A$1:$A1000,0)&amp;":"&amp;"AF"&amp;MATCH(E198,'Class Jobs'!$A$1:$A1000,0)&amp;"")-$Z198),SIGN(INDIRECT("Class Jobs!B"&amp;MATCH(E198,'Class Jobs'!$A$1:A1000,0)&amp;":"&amp;"AF"&amp;MATCH(E198,'Class Jobs'!$A$1:$A1000,0)&amp;"")-$Z198),0)),0)),INDIRECT("Class Jobs!B"&amp;MATCH(E198,'Class Jobs'!$A$1:$A1000,0)&amp;":"&amp;"AF"&amp;MATCH(E198,'Class Jobs'!$A$1:$A1000,1)&amp;""),'Class Jobs'!$B$1:$AF$1)</f>
        <v>#REF!</v>
      </c>
      <c r="Z198" s="158">
        <f t="shared" si="10"/>
        <v>0.43</v>
      </c>
      <c r="AA198" s="16" t="str">
        <f t="array" ref="AA198">INDEX(NPCGender,TRUNC(1+(COUNTA(NPCGender))*(TRUNC(MOD(($B198*1103515245 +12345)/ 65536, 32768),0)/32768),0))</f>
        <v>Female</v>
      </c>
      <c r="AB198" s="16" t="str">
        <f t="array" ref="AB198">INDEX(NPCRace,TRUNC(1+(COUNTA(NPCRace))*(TRUNC(MOD(($B198*1103515245 +12345)/ 65536, 32768),0)/32768),0))</f>
        <v>Half-Elf</v>
      </c>
      <c r="AC198" s="16" t="str">
        <f t="array" ref="AC198">INDEX(NPCAL,TRUNC(1+(COUNTA(NPCAL))*(TRUNC(MOD(($B198*1103515245 +12345)/ 65536, 32768),0)/32768),0))</f>
        <v>NG</v>
      </c>
      <c r="AD198" s="72" t="str">
        <f ca="1">IFERROR(__xludf.DUMMYFUNCTION("if(V198&lt;15,QUERY(NPCVar!C:D,""Select D WHERE C = '""&amp;D198&amp;""'""),if((TRUNC(1+10)*(TRUNC(MOD((ROW(H198)*1103515245 +12345)/ 65536, 32768),0)/32768)/10) &gt; 0.85,INDEX(NPCFaction,TRUNC(1+(counta(NPCFaction)-1)*(TRUNC(MOD(($B198*1103515245 +12345)/ 65536, 3276"&amp;"8),0)/32768),0)),QUERY(NPCVar!C:D,""Select D WHERE C = '""&amp;D198&amp;""'"")))"),"Traders Guild")</f>
        <v>Traders Guild</v>
      </c>
      <c r="AE198" s="108" t="e">
        <f t="shared" ca="1" si="11"/>
        <v>#NAME?</v>
      </c>
      <c r="AF198" s="159">
        <f ca="1">IFERROR(__xludf.DUMMYFUNCTION("AE198*(V198 / QUERY(NPCVar!$K$2:$N$12, ""Select N WHERE K='""&amp;AB198&amp;""'""))*TRUNC(1+10)*(TRUNC(MOD(($B198*1103515245 +12345)/ 65536, 32768),0)/32768)"),0.390772247314453)</f>
        <v>0.39077224731445298</v>
      </c>
      <c r="AG198" s="16"/>
      <c r="AH198" s="77"/>
      <c r="AI198" s="114"/>
    </row>
    <row r="199" spans="1:35" ht="16.2">
      <c r="A199" s="53">
        <v>198</v>
      </c>
      <c r="B199" s="118">
        <f t="shared" si="16"/>
        <v>2.3321499999999999</v>
      </c>
      <c r="C199" s="72" t="str">
        <f t="array" ref="C199">INDEX(NPCFName,TRUNC(1+(COUNTA(NPCFName))*(TRUNC(MOD(($B199*1103515245 +12345)/ 65536, 32768),0)/32768),0))</f>
        <v>Modric</v>
      </c>
      <c r="D199" s="16" t="str">
        <f t="array" ref="D199">INDEX(NPCLName,TRUNC(1+(COUNTA(NPCLName))*(TRUNC(MOD(($B199*1103515245 +12345)/ 65536, 32768),0)/32768),0))</f>
        <v>Ashcloud</v>
      </c>
      <c r="E199" s="16" t="str">
        <f t="array" ref="E199">INDEX(NPCClass,TRUNC(1+(COUNTA(NPCClass))*(TRUNC(MOD(($B199*1103515245 +12345)/ 65536, 32768),0)/32768),0))</f>
        <v>Druid</v>
      </c>
      <c r="F199" s="76">
        <v>1</v>
      </c>
      <c r="G199" s="153">
        <f ca="1">VLOOKUP($AB$2,'RF Mod'!$A$2:$G$12,2,FALSE)+VLOOKUP($AD$2,'RF Mod'!$I$2:$O$11,2,FALSE)+(TRUNC(6+(24-6)*(TRUNC(MOD(($Z199*1103515245 +12345)/ 65536, 32768),0)/32768),0))</f>
        <v>5</v>
      </c>
      <c r="H199" s="16">
        <f t="shared" ca="1" si="1"/>
        <v>-3</v>
      </c>
      <c r="I199" s="153">
        <f ca="1">VLOOKUP($AB$2,'RF Mod'!$A$2:$G$12,3,FALSE)+VLOOKUP($AD$2,'RF Mod'!$I$2:$O$11,3,FALSE)+(TRUNC(6+(24-6)*(TRUNC(MOD(($Z199*1103515245 +12345)/ 65536, 32768),0)/32768),0))</f>
        <v>9</v>
      </c>
      <c r="J199" s="16">
        <f t="shared" ca="1" si="2"/>
        <v>-1</v>
      </c>
      <c r="K199" s="153">
        <f ca="1">VLOOKUP($AB$2,'RF Mod'!$A$2:$G$12,3,FALSE)+VLOOKUP($AD$2,'RF Mod'!$I$2:$O$11,3,FALSE)+(TRUNC(6+(24-6)*(TRUNC(MOD(($Z199*1103515245 +12345)/ 65536, 32768),0)/32768),0))</f>
        <v>9</v>
      </c>
      <c r="L199" s="16">
        <f t="shared" ca="1" si="3"/>
        <v>-1</v>
      </c>
      <c r="M199" s="153">
        <f ca="1">VLOOKUP($AB$2,'RF Mod'!$A$2:$G$12,4,FALSE)+VLOOKUP($AD$2,'RF Mod'!$I$2:$O$11,4,FALSE)+(TRUNC(6+(24-6)*(TRUNC(MOD(($Z199*1103515245 +12345)/ 65536, 32768),0)/32768),0))</f>
        <v>8</v>
      </c>
      <c r="N199" s="16">
        <f t="shared" ca="1" si="4"/>
        <v>-1</v>
      </c>
      <c r="O199" s="153">
        <f ca="1">VLOOKUP($AB$2,'RF Mod'!$A$2:$G$12,5,FALSE)+VLOOKUP($AD$2,'RF Mod'!$I$2:$O$11,5,FALSE)+(TRUNC(6+(24-6)*(TRUNC(MOD(($Z199*1103515245 +12345)/ 65536, 32768),0)/32768),0))</f>
        <v>11</v>
      </c>
      <c r="P199" s="16" t="e">
        <f t="shared" ca="1" si="5"/>
        <v>#NAME?</v>
      </c>
      <c r="Q199" s="153">
        <f ca="1">VLOOKUP($AB$2,'RF Mod'!$A$2:$G$12,6,FALSE)+VLOOKUP($AD$2,'RF Mod'!$I$2:$O$11,6,FALSE)+(TRUNC(6+(24-6)*(TRUNC(MOD(($Z199*1103515245 +12345)/ 65536, 32768),0)/32768),0))</f>
        <v>9</v>
      </c>
      <c r="R199" s="16">
        <f t="shared" ca="1" si="6"/>
        <v>-1</v>
      </c>
      <c r="S199" s="154">
        <f t="shared" ca="1" si="12"/>
        <v>11</v>
      </c>
      <c r="T199" s="154">
        <f t="shared" ca="1" si="7"/>
        <v>10</v>
      </c>
      <c r="U199" s="16" t="str">
        <f t="shared" ca="1" si="8"/>
        <v>Bloody</v>
      </c>
      <c r="V199" s="155">
        <f ca="1">IFERROR(__xludf.DUMMYFUNCTION("if(W199=""Middle Age"",QUERY(NPCVar!$K$2:$N1000, ""Select L where K = '""&amp;AB199&amp;""'""),if(W199=""Old"",QUERY(NPCVar!$K$2:$N1000, ""Select M where K = '""&amp;AB199&amp;""'""),if(W199=""Venerable"",QUERY(NPCVar!$K$2:$N1000, ""Select N where K = '""&amp;AB199&amp;""'""),fa"&amp;"lse)))*X199"),93.75)</f>
        <v>93.75</v>
      </c>
      <c r="W199" s="156" t="str">
        <f t="array" ref="W199">INDEX(NPCAgeType,TRUNC(1+(4-1)*(TRUNC(MOD((X199*1103515245 +12345)/ 65536, 32768),0)/32768),0))</f>
        <v>Middle Age</v>
      </c>
      <c r="X199" s="117">
        <f t="shared" si="13"/>
        <v>0.5</v>
      </c>
      <c r="Y199" s="157" t="e">
        <f t="array" aca="1" ref="Y199" ca="1">LOOKUP(ABS(MAX(Z199 + MIN(ABS(INDIRECT("Class Jobs!B"&amp;MATCH(E199,'Class Jobs'!$A$1:$A1000,0)&amp;":"&amp;"AF"&amp;MATCH(E199,'Class Jobs'!$A$1:$A1000,0)&amp;"")-$Z199)) * SUM(IF(MIN(ABS(INDIRECT("Class Jobs!B"&amp;MATCH(E199,'Class Jobs'!$A$1:$A1000,0)&amp;":"&amp;"AF"&amp;MATCH(E199,'Class Jobs'!$A$1:$A1000,0)&amp;"")-$Z199))=ABS(INDIRECT("Class Jobs!B"&amp;MATCH(E199,'Class Jobs'!$A$1:$A1000,0)&amp;":"&amp;"AF"&amp;MATCH(E199,'Class Jobs'!$A$1:$A1000,0)&amp;"")-$Z199),SIGN(INDIRECT("Class Jobs!B"&amp;MATCH(E199,'Class Jobs'!$A$1:A1000,0)&amp;":"&amp;"AF"&amp;MATCH(E199,'Class Jobs'!$A$1:$A1000,0)&amp;"")-$Z199),0)),0)),INDIRECT("Class Jobs!B"&amp;MATCH(E199,'Class Jobs'!$A$1:$A1000,0)&amp;":"&amp;"AF"&amp;MATCH(E199,'Class Jobs'!$A$1:$A1000,1)&amp;""),'Class Jobs'!$B$1:$AF$1)</f>
        <v>#REF!</v>
      </c>
      <c r="Z199" s="158">
        <f t="shared" si="10"/>
        <v>0.2</v>
      </c>
      <c r="AA199" s="16" t="str">
        <f t="array" ref="AA199">INDEX(NPCGender,TRUNC(1+(COUNTA(NPCGender))*(TRUNC(MOD(($B199*1103515245 +12345)/ 65536, 32768),0)/32768),0))</f>
        <v>Male</v>
      </c>
      <c r="AB199" s="16" t="str">
        <f t="array" ref="AB199">INDEX(NPCRace,TRUNC(1+(COUNTA(NPCRace))*(TRUNC(MOD(($B199*1103515245 +12345)/ 65536, 32768),0)/32768),0))</f>
        <v>Elf</v>
      </c>
      <c r="AC199" s="16" t="str">
        <f t="array" ref="AC199">INDEX(NPCAL,TRUNC(1+(COUNTA(NPCAL))*(TRUNC(MOD(($B199*1103515245 +12345)/ 65536, 32768),0)/32768),0))</f>
        <v>CE</v>
      </c>
      <c r="AD199" s="72" t="str">
        <f ca="1">IFERROR(__xludf.DUMMYFUNCTION("if(V199&lt;15,QUERY(NPCVar!C:D,""Select D WHERE C = '""&amp;D199&amp;""'""),if((TRUNC(1+10)*(TRUNC(MOD((ROW(H199)*1103515245 +12345)/ 65536, 32768),0)/32768)/10) &gt; 0.85,INDEX(NPCFaction,TRUNC(1+(counta(NPCFaction)-1)*(TRUNC(MOD(($B199*1103515245 +12345)/ 65536, 3276"&amp;"8),0)/32768),0)),QUERY(NPCVar!C:D,""Select D WHERE C = '""&amp;D199&amp;""'"")))"),"Magic Guild")</f>
        <v>Magic Guild</v>
      </c>
      <c r="AE199" s="108" t="e">
        <f t="shared" ca="1" si="11"/>
        <v>#NAME?</v>
      </c>
      <c r="AF199" s="159">
        <f ca="1">IFERROR(__xludf.DUMMYFUNCTION("AE199*(V199 / QUERY(NPCVar!$K$2:$N$12, ""Select N WHERE K='""&amp;AB199&amp;""'""))*TRUNC(1+10)*(TRUNC(MOD(($B199*1103515245 +12345)/ 65536, 32768),0)/32768)"),0.109117126464843)</f>
        <v>0.10911712646484301</v>
      </c>
      <c r="AG199" s="16"/>
      <c r="AH199" s="77"/>
      <c r="AI199" s="114"/>
    </row>
    <row r="200" spans="1:35" ht="16.2">
      <c r="A200" s="53">
        <v>199</v>
      </c>
      <c r="B200" s="118">
        <f t="shared" si="16"/>
        <v>1.32629</v>
      </c>
      <c r="C200" s="72" t="str">
        <f t="array" ref="C200">INDEX(NPCFName,TRUNC(1+(COUNTA(NPCFName))*(TRUNC(MOD(($B200*1103515245 +12345)/ 65536, 32768),0)/32768),0))</f>
        <v>Asdern</v>
      </c>
      <c r="D200" s="16" t="str">
        <f t="array" ref="D200">INDEX(NPCLName,TRUNC(1+(COUNTA(NPCLName))*(TRUNC(MOD(($B200*1103515245 +12345)/ 65536, 32768),0)/32768),0))</f>
        <v>Emberhell</v>
      </c>
      <c r="E200" s="16" t="str">
        <f t="array" ref="E200">INDEX(NPCClass,TRUNC(1+(COUNTA(NPCClass))*(TRUNC(MOD(($B200*1103515245 +12345)/ 65536, 32768),0)/32768),0))</f>
        <v>None</v>
      </c>
      <c r="F200" s="76">
        <v>8</v>
      </c>
      <c r="G200" s="153">
        <f ca="1">VLOOKUP($AB$2,'RF Mod'!$A$2:$G$12,2,FALSE)+VLOOKUP($AD$2,'RF Mod'!$I$2:$O$11,2,FALSE)+(TRUNC(6+(24-6)*(TRUNC(MOD(($Z200*1103515245 +12345)/ 65536, 32768),0)/32768),0))</f>
        <v>10</v>
      </c>
      <c r="H200" s="16" t="e">
        <f t="shared" ca="1" si="1"/>
        <v>#NAME?</v>
      </c>
      <c r="I200" s="153">
        <f ca="1">VLOOKUP($AB$2,'RF Mod'!$A$2:$G$12,3,FALSE)+VLOOKUP($AD$2,'RF Mod'!$I$2:$O$11,3,FALSE)+(TRUNC(6+(24-6)*(TRUNC(MOD(($Z200*1103515245 +12345)/ 65536, 32768),0)/32768),0))</f>
        <v>14</v>
      </c>
      <c r="J200" s="16" t="e">
        <f t="shared" ca="1" si="2"/>
        <v>#NAME?</v>
      </c>
      <c r="K200" s="153">
        <f ca="1">VLOOKUP($AB$2,'RF Mod'!$A$2:$G$12,3,FALSE)+VLOOKUP($AD$2,'RF Mod'!$I$2:$O$11,3,FALSE)+(TRUNC(6+(24-6)*(TRUNC(MOD(($Z200*1103515245 +12345)/ 65536, 32768),0)/32768),0))</f>
        <v>14</v>
      </c>
      <c r="L200" s="16" t="e">
        <f t="shared" ca="1" si="3"/>
        <v>#NAME?</v>
      </c>
      <c r="M200" s="153">
        <f ca="1">VLOOKUP($AB$2,'RF Mod'!$A$2:$G$12,4,FALSE)+VLOOKUP($AD$2,'RF Mod'!$I$2:$O$11,4,FALSE)+(TRUNC(6+(24-6)*(TRUNC(MOD(($Z200*1103515245 +12345)/ 65536, 32768),0)/32768),0))</f>
        <v>13</v>
      </c>
      <c r="N200" s="16" t="e">
        <f t="shared" ca="1" si="4"/>
        <v>#NAME?</v>
      </c>
      <c r="O200" s="153">
        <f ca="1">VLOOKUP($AB$2,'RF Mod'!$A$2:$G$12,5,FALSE)+VLOOKUP($AD$2,'RF Mod'!$I$2:$O$11,5,FALSE)+(TRUNC(6+(24-6)*(TRUNC(MOD(($Z200*1103515245 +12345)/ 65536, 32768),0)/32768),0))</f>
        <v>16</v>
      </c>
      <c r="P200" s="16" t="e">
        <f t="shared" ca="1" si="5"/>
        <v>#NAME?</v>
      </c>
      <c r="Q200" s="153">
        <f ca="1">VLOOKUP($AB$2,'RF Mod'!$A$2:$G$12,6,FALSE)+VLOOKUP($AD$2,'RF Mod'!$I$2:$O$11,6,FALSE)+(TRUNC(6+(24-6)*(TRUNC(MOD(($Z200*1103515245 +12345)/ 65536, 32768),0)/32768),0))</f>
        <v>14</v>
      </c>
      <c r="R200" s="16" t="e">
        <f t="shared" ca="1" si="6"/>
        <v>#NAME?</v>
      </c>
      <c r="S200" s="154">
        <f t="shared" ca="1" si="12"/>
        <v>208</v>
      </c>
      <c r="T200" s="154">
        <f t="shared" ca="1" si="7"/>
        <v>42</v>
      </c>
      <c r="U200" s="16" t="str">
        <f t="shared" ca="1" si="8"/>
        <v>Fine</v>
      </c>
      <c r="V200" s="155">
        <f ca="1">IFERROR(__xludf.DUMMYFUNCTION("if(W200=""Middle Age"",QUERY(NPCVar!$K$2:$N1000, ""Select L where K = '""&amp;AB200&amp;""'""),if(W200=""Old"",QUERY(NPCVar!$K$2:$N1000, ""Select M where K = '""&amp;AB200&amp;""'""),if(W200=""Venerable"",QUERY(NPCVar!$K$2:$N1000, ""Select N where K = '""&amp;AB200&amp;""'""),fa"&amp;"lse)))*X200"),153)</f>
        <v>153</v>
      </c>
      <c r="W200" s="156" t="str">
        <f t="array" ref="W200">INDEX(NPCAgeType,TRUNC(1+(4-1)*(TRUNC(MOD((X200*1103515245 +12345)/ 65536, 32768),0)/32768),0))</f>
        <v>Venerable</v>
      </c>
      <c r="X200" s="117">
        <f t="shared" si="13"/>
        <v>1.7</v>
      </c>
      <c r="Y200" s="157" t="e">
        <f t="array" aca="1" ref="Y200" ca="1">LOOKUP(ABS(MAX(Z200 + MIN(ABS(INDIRECT("Class Jobs!B"&amp;MATCH(E200,'Class Jobs'!$A$1:$A1000,0)&amp;":"&amp;"AF"&amp;MATCH(E200,'Class Jobs'!$A$1:$A1000,0)&amp;"")-$Z200)) * SUM(IF(MIN(ABS(INDIRECT("Class Jobs!B"&amp;MATCH(E200,'Class Jobs'!$A$1:$A1000,0)&amp;":"&amp;"AF"&amp;MATCH(E200,'Class Jobs'!$A$1:$A1000,0)&amp;"")-$Z200))=ABS(INDIRECT("Class Jobs!B"&amp;MATCH(E200,'Class Jobs'!$A$1:$A1000,0)&amp;":"&amp;"AF"&amp;MATCH(E200,'Class Jobs'!$A$1:$A1000,0)&amp;"")-$Z200),SIGN(INDIRECT("Class Jobs!B"&amp;MATCH(E200,'Class Jobs'!$A$1:A1000,0)&amp;":"&amp;"AF"&amp;MATCH(E200,'Class Jobs'!$A$1:$A1000,0)&amp;"")-$Z200),0)),0)),INDIRECT("Class Jobs!B"&amp;MATCH(E200,'Class Jobs'!$A$1:$A1000,0)&amp;":"&amp;"AF"&amp;MATCH(E200,'Class Jobs'!$A$1:$A1000,1)&amp;""),'Class Jobs'!$B$1:$AF$1)</f>
        <v>#REF!</v>
      </c>
      <c r="Z200" s="158">
        <f t="shared" si="10"/>
        <v>0.68</v>
      </c>
      <c r="AA200" s="16" t="str">
        <f t="array" ref="AA200">INDEX(NPCGender,TRUNC(1+(COUNTA(NPCGender))*(TRUNC(MOD(($B200*1103515245 +12345)/ 65536, 32768),0)/32768),0))</f>
        <v>Neutral</v>
      </c>
      <c r="AB200" s="16" t="str">
        <f t="array" ref="AB200">INDEX(NPCRace,TRUNC(1+(COUNTA(NPCRace))*(TRUNC(MOD(($B200*1103515245 +12345)/ 65536, 32768),0)/32768),0))</f>
        <v>Human</v>
      </c>
      <c r="AC200" s="16" t="str">
        <f t="array" ref="AC200">INDEX(NPCAL,TRUNC(1+(COUNTA(NPCAL))*(TRUNC(MOD(($B200*1103515245 +12345)/ 65536, 32768),0)/32768),0))</f>
        <v>LG</v>
      </c>
      <c r="AD200" s="72" t="str">
        <f ca="1">IFERROR(__xludf.DUMMYFUNCTION("if(V200&lt;15,QUERY(NPCVar!C:D,""Select D WHERE C = '""&amp;D200&amp;""'""),if((TRUNC(1+10)*(TRUNC(MOD((ROW(H200)*1103515245 +12345)/ 65536, 32768),0)/32768)/10) &gt; 0.85,INDEX(NPCFaction,TRUNC(1+(counta(NPCFaction)-1)*(TRUNC(MOD(($B200*1103515245 +12345)/ 65536, 3276"&amp;"8),0)/32768),0)),QUERY(NPCVar!C:D,""Select D WHERE C = '""&amp;D200&amp;""'"")))"),"Magic Guild")</f>
        <v>Magic Guild</v>
      </c>
      <c r="AE200" s="108" t="e">
        <f t="shared" ca="1" si="11"/>
        <v>#NAME?</v>
      </c>
      <c r="AF200" s="159">
        <f ca="1">IFERROR(__xludf.DUMMYFUNCTION("AE200*(V200 / QUERY(NPCVar!$K$2:$N$12, ""Select N WHERE K='""&amp;AB200&amp;""'""))*TRUNC(1+10)*(TRUNC(MOD(($B200*1103515245 +12345)/ 65536, 32768),0)/32768)"),5.0977587890625)</f>
        <v>5.0977587890624996</v>
      </c>
      <c r="AG200" s="16"/>
      <c r="AH200" s="77"/>
      <c r="AI200" s="114"/>
    </row>
    <row r="201" spans="1:35" ht="16.2">
      <c r="A201" s="53">
        <v>200</v>
      </c>
      <c r="B201" s="118">
        <f t="shared" si="16"/>
        <v>0.32044</v>
      </c>
      <c r="C201" s="72" t="str">
        <f t="array" ref="C201">INDEX(NPCFName,TRUNC(1+(COUNTA(NPCFName))*(TRUNC(MOD(($B201*1103515245 +12345)/ 65536, 32768),0)/32768),0))</f>
        <v>Kip</v>
      </c>
      <c r="D201" s="16" t="str">
        <f t="array" ref="D201">INDEX(NPCLName,TRUNC(1+(COUNTA(NPCLName))*(TRUNC(MOD(($B201*1103515245 +12345)/ 65536, 32768),0)/32768),0))</f>
        <v>Fistwing</v>
      </c>
      <c r="E201" s="16" t="str">
        <f t="array" ref="E201">INDEX(NPCClass,TRUNC(1+(COUNTA(NPCClass))*(TRUNC(MOD(($B201*1103515245 +12345)/ 65536, 32768),0)/32768),0))</f>
        <v>Bard</v>
      </c>
      <c r="F201" s="76">
        <v>1</v>
      </c>
      <c r="G201" s="153">
        <f ca="1">VLOOKUP($AB$2,'RF Mod'!$A$2:$G$12,2,FALSE)+VLOOKUP($AD$2,'RF Mod'!$I$2:$O$11,2,FALSE)+(TRUNC(6+(24-6)*(TRUNC(MOD(($Z201*1103515245 +12345)/ 65536, 32768),0)/32768),0))</f>
        <v>5</v>
      </c>
      <c r="H201" s="16">
        <f t="shared" ca="1" si="1"/>
        <v>-3</v>
      </c>
      <c r="I201" s="153">
        <f ca="1">VLOOKUP($AB$2,'RF Mod'!$A$2:$G$12,3,FALSE)+VLOOKUP($AD$2,'RF Mod'!$I$2:$O$11,3,FALSE)+(TRUNC(6+(24-6)*(TRUNC(MOD(($Z201*1103515245 +12345)/ 65536, 32768),0)/32768),0))</f>
        <v>9</v>
      </c>
      <c r="J201" s="16">
        <f t="shared" ca="1" si="2"/>
        <v>-1</v>
      </c>
      <c r="K201" s="153">
        <f ca="1">VLOOKUP($AB$2,'RF Mod'!$A$2:$G$12,3,FALSE)+VLOOKUP($AD$2,'RF Mod'!$I$2:$O$11,3,FALSE)+(TRUNC(6+(24-6)*(TRUNC(MOD(($Z201*1103515245 +12345)/ 65536, 32768),0)/32768),0))</f>
        <v>9</v>
      </c>
      <c r="L201" s="16">
        <f t="shared" ca="1" si="3"/>
        <v>-1</v>
      </c>
      <c r="M201" s="153">
        <f ca="1">VLOOKUP($AB$2,'RF Mod'!$A$2:$G$12,4,FALSE)+VLOOKUP($AD$2,'RF Mod'!$I$2:$O$11,4,FALSE)+(TRUNC(6+(24-6)*(TRUNC(MOD(($Z201*1103515245 +12345)/ 65536, 32768),0)/32768),0))</f>
        <v>8</v>
      </c>
      <c r="N201" s="16">
        <f t="shared" ca="1" si="4"/>
        <v>-1</v>
      </c>
      <c r="O201" s="153">
        <f ca="1">VLOOKUP($AB$2,'RF Mod'!$A$2:$G$12,5,FALSE)+VLOOKUP($AD$2,'RF Mod'!$I$2:$O$11,5,FALSE)+(TRUNC(6+(24-6)*(TRUNC(MOD(($Z201*1103515245 +12345)/ 65536, 32768),0)/32768),0))</f>
        <v>11</v>
      </c>
      <c r="P201" s="16" t="e">
        <f t="shared" ca="1" si="5"/>
        <v>#NAME?</v>
      </c>
      <c r="Q201" s="153">
        <f ca="1">VLOOKUP($AB$2,'RF Mod'!$A$2:$G$12,6,FALSE)+VLOOKUP($AD$2,'RF Mod'!$I$2:$O$11,6,FALSE)+(TRUNC(6+(24-6)*(TRUNC(MOD(($Z201*1103515245 +12345)/ 65536, 32768),0)/32768),0))</f>
        <v>9</v>
      </c>
      <c r="R201" s="16">
        <f t="shared" ca="1" si="6"/>
        <v>-1</v>
      </c>
      <c r="S201" s="154">
        <f t="shared" ca="1" si="12"/>
        <v>11</v>
      </c>
      <c r="T201" s="154">
        <f t="shared" ca="1" si="7"/>
        <v>11</v>
      </c>
      <c r="U201" s="16" t="str">
        <f t="shared" ca="1" si="8"/>
        <v>Unconscious</v>
      </c>
      <c r="V201" s="155">
        <f ca="1">IFERROR(__xludf.DUMMYFUNCTION("if(W201=""Middle Age"",QUERY(NPCVar!$K$2:$N1000, ""Select L where K = '""&amp;AB201&amp;""'""),if(W201=""Old"",QUERY(NPCVar!$K$2:$N1000, ""Select M where K = '""&amp;AB201&amp;""'""),if(W201=""Venerable"",QUERY(NPCVar!$K$2:$N1000, ""Select N where K = '""&amp;AB201&amp;""'""),fa"&amp;"lse)))*X201"),32)</f>
        <v>32</v>
      </c>
      <c r="W201" s="156" t="str">
        <f t="array" ref="W201">INDEX(NPCAgeType,TRUNC(1+(4-1)*(TRUNC(MOD((X201*1103515245 +12345)/ 65536, 32768),0)/32768),0))</f>
        <v>Middle Age</v>
      </c>
      <c r="X201" s="117">
        <f t="shared" si="13"/>
        <v>0.4</v>
      </c>
      <c r="Y201" s="157" t="e">
        <f t="array" aca="1" ref="Y201" ca="1">LOOKUP(ABS(MAX(Z201 + MIN(ABS(INDIRECT("Class Jobs!B"&amp;MATCH(E201,'Class Jobs'!$A$1:$A1000,0)&amp;":"&amp;"AF"&amp;MATCH(E201,'Class Jobs'!$A$1:$A1000,0)&amp;"")-$Z201)) * SUM(IF(MIN(ABS(INDIRECT("Class Jobs!B"&amp;MATCH(E201,'Class Jobs'!$A$1:$A1000,0)&amp;":"&amp;"AF"&amp;MATCH(E201,'Class Jobs'!$A$1:$A1000,0)&amp;"")-$Z201))=ABS(INDIRECT("Class Jobs!B"&amp;MATCH(E201,'Class Jobs'!$A$1:$A1000,0)&amp;":"&amp;"AF"&amp;MATCH(E201,'Class Jobs'!$A$1:$A1000,0)&amp;"")-$Z201),SIGN(INDIRECT("Class Jobs!B"&amp;MATCH(E201,'Class Jobs'!$A$1:A1000,0)&amp;":"&amp;"AF"&amp;MATCH(E201,'Class Jobs'!$A$1:$A1000,0)&amp;"")-$Z201),0)),0)),INDIRECT("Class Jobs!B"&amp;MATCH(E201,'Class Jobs'!$A$1:$A1000,0)&amp;":"&amp;"AF"&amp;MATCH(E201,'Class Jobs'!$A$1:$A1000,1)&amp;""),'Class Jobs'!$B$1:$AF$1)</f>
        <v>#REF!</v>
      </c>
      <c r="Z201" s="158">
        <f t="shared" si="10"/>
        <v>0.17</v>
      </c>
      <c r="AA201" s="16" t="str">
        <f t="array" ref="AA201">INDEX(NPCGender,TRUNC(1+(COUNTA(NPCGender))*(TRUNC(MOD(($B201*1103515245 +12345)/ 65536, 32768),0)/32768),0))</f>
        <v>Male</v>
      </c>
      <c r="AB201" s="16" t="str">
        <f t="array" ref="AB201">INDEX(NPCRace,TRUNC(1+(COUNTA(NPCRace))*(TRUNC(MOD(($B201*1103515245 +12345)/ 65536, 32768),0)/32768),0))</f>
        <v>Dwarf</v>
      </c>
      <c r="AC201" s="16" t="str">
        <f t="array" ref="AC201">INDEX(NPCAL,TRUNC(1+(COUNTA(NPCAL))*(TRUNC(MOD(($B201*1103515245 +12345)/ 65536, 32768),0)/32768),0))</f>
        <v>CE</v>
      </c>
      <c r="AD201" s="72" t="str">
        <f ca="1">IFERROR(__xludf.DUMMYFUNCTION("if(V201&lt;15,QUERY(NPCVar!C:D,""Select D WHERE C = '""&amp;D201&amp;""'""),if((TRUNC(1+10)*(TRUNC(MOD((ROW(H201)*1103515245 +12345)/ 65536, 32768),0)/32768)/10) &gt; 0.85,INDEX(NPCFaction,TRUNC(1+(counta(NPCFaction)-1)*(TRUNC(MOD(($B201*1103515245 +12345)/ 65536, 3276"&amp;"8),0)/32768),0)),QUERY(NPCVar!C:D,""Select D WHERE C = '""&amp;D201&amp;""'"")))"),"Royalty")</f>
        <v>Royalty</v>
      </c>
      <c r="AE201" s="108" t="e">
        <f t="shared" ca="1" si="11"/>
        <v>#NAME?</v>
      </c>
      <c r="AF201" s="159">
        <f ca="1">IFERROR(__xludf.DUMMYFUNCTION("AE201*(V201 / QUERY(NPCVar!$K$2:$N$12, ""Select N WHERE K='""&amp;AB201&amp;""'""))*TRUNC(1+10)*(TRUNC(MOD(($B201*1103515245 +12345)/ 65536, 32768),0)/32768)"),0.072442626953125)</f>
        <v>7.2442626953125006E-2</v>
      </c>
      <c r="AG201" s="16"/>
      <c r="AH201" s="77"/>
      <c r="AI201" s="114"/>
    </row>
    <row r="202" spans="1:35" ht="16.2">
      <c r="A202" s="53">
        <v>201</v>
      </c>
      <c r="B202" s="118">
        <f t="shared" si="16"/>
        <v>1.8145</v>
      </c>
      <c r="C202" s="72" t="str">
        <f t="array" ref="C202">INDEX(NPCFName,TRUNC(1+(COUNTA(NPCFName))*(TRUNC(MOD(($B202*1103515245 +12345)/ 65536, 32768),0)/32768),0))</f>
        <v>Shadowbane</v>
      </c>
      <c r="D202" s="16" t="str">
        <f t="array" ref="D202">INDEX(NPCLName,TRUNC(1+(COUNTA(NPCLName))*(TRUNC(MOD(($B202*1103515245 +12345)/ 65536, 32768),0)/32768),0))</f>
        <v>Stormwolf</v>
      </c>
      <c r="E202" s="16" t="str">
        <f t="array" ref="E202">INDEX(NPCClass,TRUNC(1+(COUNTA(NPCClass))*(TRUNC(MOD(($B202*1103515245 +12345)/ 65536, 32768),0)/32768),0))</f>
        <v>Wizard</v>
      </c>
      <c r="F202" s="76">
        <v>8</v>
      </c>
      <c r="G202" s="153">
        <f ca="1">VLOOKUP($AB$2,'RF Mod'!$A$2:$G$12,2,FALSE)+VLOOKUP($AD$2,'RF Mod'!$I$2:$O$11,2,FALSE)+(TRUNC(6+(24-6)*(TRUNC(MOD(($Z202*1103515245 +12345)/ 65536, 32768),0)/32768),0))</f>
        <v>12</v>
      </c>
      <c r="H202" s="16" t="e">
        <f t="shared" ca="1" si="1"/>
        <v>#NAME?</v>
      </c>
      <c r="I202" s="153">
        <f ca="1">VLOOKUP($AB$2,'RF Mod'!$A$2:$G$12,3,FALSE)+VLOOKUP($AD$2,'RF Mod'!$I$2:$O$11,3,FALSE)+(TRUNC(6+(24-6)*(TRUNC(MOD(($Z202*1103515245 +12345)/ 65536, 32768),0)/32768),0))</f>
        <v>16</v>
      </c>
      <c r="J202" s="16" t="e">
        <f t="shared" ca="1" si="2"/>
        <v>#NAME?</v>
      </c>
      <c r="K202" s="153">
        <f ca="1">VLOOKUP($AB$2,'RF Mod'!$A$2:$G$12,3,FALSE)+VLOOKUP($AD$2,'RF Mod'!$I$2:$O$11,3,FALSE)+(TRUNC(6+(24-6)*(TRUNC(MOD(($Z202*1103515245 +12345)/ 65536, 32768),0)/32768),0))</f>
        <v>16</v>
      </c>
      <c r="L202" s="16" t="e">
        <f t="shared" ca="1" si="3"/>
        <v>#NAME?</v>
      </c>
      <c r="M202" s="153">
        <f ca="1">VLOOKUP($AB$2,'RF Mod'!$A$2:$G$12,4,FALSE)+VLOOKUP($AD$2,'RF Mod'!$I$2:$O$11,4,FALSE)+(TRUNC(6+(24-6)*(TRUNC(MOD(($Z202*1103515245 +12345)/ 65536, 32768),0)/32768),0))</f>
        <v>15</v>
      </c>
      <c r="N202" s="16" t="e">
        <f t="shared" ca="1" si="4"/>
        <v>#NAME?</v>
      </c>
      <c r="O202" s="153">
        <f ca="1">VLOOKUP($AB$2,'RF Mod'!$A$2:$G$12,5,FALSE)+VLOOKUP($AD$2,'RF Mod'!$I$2:$O$11,5,FALSE)+(TRUNC(6+(24-6)*(TRUNC(MOD(($Z202*1103515245 +12345)/ 65536, 32768),0)/32768),0))</f>
        <v>18</v>
      </c>
      <c r="P202" s="16" t="e">
        <f t="shared" ca="1" si="5"/>
        <v>#NAME?</v>
      </c>
      <c r="Q202" s="153">
        <f ca="1">VLOOKUP($AB$2,'RF Mod'!$A$2:$G$12,6,FALSE)+VLOOKUP($AD$2,'RF Mod'!$I$2:$O$11,6,FALSE)+(TRUNC(6+(24-6)*(TRUNC(MOD(($Z202*1103515245 +12345)/ 65536, 32768),0)/32768),0))</f>
        <v>16</v>
      </c>
      <c r="R202" s="16" t="e">
        <f t="shared" ca="1" si="6"/>
        <v>#NAME?</v>
      </c>
      <c r="S202" s="154">
        <f t="shared" ca="1" si="12"/>
        <v>160</v>
      </c>
      <c r="T202" s="154">
        <f t="shared" ca="1" si="7"/>
        <v>188</v>
      </c>
      <c r="U202" s="16" t="str">
        <f t="shared" ca="1" si="8"/>
        <v>Dead</v>
      </c>
      <c r="V202" s="155">
        <f ca="1">IFERROR(__xludf.DUMMYFUNCTION("if(W202=""Middle Age"",QUERY(NPCVar!$K$2:$N1000, ""Select L where K = '""&amp;AB202&amp;""'""),if(W202=""Old"",QUERY(NPCVar!$K$2:$N1000, ""Select M where K = '""&amp;AB202&amp;""'""),if(W202=""Venerable"",QUERY(NPCVar!$K$2:$N1000, ""Select N where K = '""&amp;AB202&amp;""'""),fa"&amp;"lse)))*X202"),69)</f>
        <v>69</v>
      </c>
      <c r="W202" s="156" t="str">
        <f t="array" ref="W202">INDEX(NPCAgeType,TRUNC(1+(4-1)*(TRUNC(MOD((X202*1103515245 +12345)/ 65536, 32768),0)/32768),0))</f>
        <v>Middle Age</v>
      </c>
      <c r="X202" s="117">
        <f t="shared" si="13"/>
        <v>2.2999999999999998</v>
      </c>
      <c r="Y202" s="157" t="e">
        <f t="array" aca="1" ref="Y202" ca="1">LOOKUP(ABS(MAX(Z202 + MIN(ABS(INDIRECT("Class Jobs!B"&amp;MATCH(E202,'Class Jobs'!$A$1:$A1000,0)&amp;":"&amp;"AF"&amp;MATCH(E202,'Class Jobs'!$A$1:$A1000,0)&amp;"")-$Z202)) * SUM(IF(MIN(ABS(INDIRECT("Class Jobs!B"&amp;MATCH(E202,'Class Jobs'!$A$1:$A1000,0)&amp;":"&amp;"AF"&amp;MATCH(E202,'Class Jobs'!$A$1:$A1000,0)&amp;"")-$Z202))=ABS(INDIRECT("Class Jobs!B"&amp;MATCH(E202,'Class Jobs'!$A$1:$A1000,0)&amp;":"&amp;"AF"&amp;MATCH(E202,'Class Jobs'!$A$1:$A1000,0)&amp;"")-$Z202),SIGN(INDIRECT("Class Jobs!B"&amp;MATCH(E202,'Class Jobs'!$A$1:A1000,0)&amp;":"&amp;"AF"&amp;MATCH(E202,'Class Jobs'!$A$1:$A1000,0)&amp;"")-$Z202),0)),0)),INDIRECT("Class Jobs!B"&amp;MATCH(E202,'Class Jobs'!$A$1:$A1000,0)&amp;":"&amp;"AF"&amp;MATCH(E202,'Class Jobs'!$A$1:$A1000,1)&amp;""),'Class Jobs'!$B$1:$AF$1)</f>
        <v>#REF!</v>
      </c>
      <c r="Z202" s="158">
        <f t="shared" si="10"/>
        <v>0.93</v>
      </c>
      <c r="AA202" s="16" t="str">
        <f t="array" ref="AA202">INDEX(NPCGender,TRUNC(1+(COUNTA(NPCGender))*(TRUNC(MOD(($B202*1103515245 +12345)/ 65536, 32768),0)/32768),0))</f>
        <v>Neutral</v>
      </c>
      <c r="AB202" s="16" t="str">
        <f t="array" ref="AB202">INDEX(NPCRace,TRUNC(1+(COUNTA(NPCRace))*(TRUNC(MOD(($B202*1103515245 +12345)/ 65536, 32768),0)/32768),0))</f>
        <v>Goliath</v>
      </c>
      <c r="AC202" s="16" t="str">
        <f t="array" ref="AC202">INDEX(NPCAL,TRUNC(1+(COUNTA(NPCAL))*(TRUNC(MOD(($B202*1103515245 +12345)/ 65536, 32768),0)/32768),0))</f>
        <v>LE</v>
      </c>
      <c r="AD202" s="72" t="str">
        <f ca="1">IFERROR(__xludf.DUMMYFUNCTION("if(V202&lt;15,QUERY(NPCVar!C:D,""Select D WHERE C = '""&amp;D202&amp;""'""),if((TRUNC(1+10)*(TRUNC(MOD((ROW(H202)*1103515245 +12345)/ 65536, 32768),0)/32768)/10) &gt; 0.85,INDEX(NPCFaction,TRUNC(1+(counta(NPCFaction)-1)*(TRUNC(MOD(($B202*1103515245 +12345)/ 65536, 3276"&amp;"8),0)/32768),0)),QUERY(NPCVar!C:D,""Select D WHERE C = '""&amp;D202&amp;""'"")))"),"Traverlers Guild")</f>
        <v>Traverlers Guild</v>
      </c>
      <c r="AE202" s="108" t="e">
        <f t="shared" ca="1" si="11"/>
        <v>#NAME?</v>
      </c>
      <c r="AF202" s="159">
        <f ca="1">IFERROR(__xludf.DUMMYFUNCTION("AE202*(V202 / QUERY(NPCVar!$K$2:$N$12, ""Select N WHERE K='""&amp;AB202&amp;""'""))*TRUNC(1+10)*(TRUNC(MOD(($B202*1103515245 +12345)/ 65536, 32768),0)/32768)"),2.3589810180664)</f>
        <v>2.3589810180663999</v>
      </c>
      <c r="AG202" s="16"/>
      <c r="AH202" s="77"/>
      <c r="AI202" s="114"/>
    </row>
    <row r="203" spans="1:35" ht="16.2">
      <c r="A203" s="53">
        <v>202</v>
      </c>
      <c r="B203" s="118">
        <f t="shared" si="16"/>
        <v>0.80864000000000003</v>
      </c>
      <c r="C203" s="72" t="str">
        <f t="array" ref="C203">INDEX(NPCFName,TRUNC(1+(COUNTA(NPCFName))*(TRUNC(MOD(($B203*1103515245 +12345)/ 65536, 32768),0)/32768),0))</f>
        <v>Duba</v>
      </c>
      <c r="D203" s="16" t="str">
        <f t="array" ref="D203">INDEX(NPCLName,TRUNC(1+(COUNTA(NPCLName))*(TRUNC(MOD(($B203*1103515245 +12345)/ 65536, 32768),0)/32768),0))</f>
        <v>Windshade</v>
      </c>
      <c r="E203" s="16" t="str">
        <f t="array" ref="E203">INDEX(NPCClass,TRUNC(1+(COUNTA(NPCClass))*(TRUNC(MOD(($B203*1103515245 +12345)/ 65536, 32768),0)/32768),0))</f>
        <v>Paladin</v>
      </c>
      <c r="F203" s="76">
        <v>1</v>
      </c>
      <c r="G203" s="153">
        <f ca="1">VLOOKUP($AB$2,'RF Mod'!$A$2:$G$12,2,FALSE)+VLOOKUP($AD$2,'RF Mod'!$I$2:$O$11,2,FALSE)+(TRUNC(6+(24-6)*(TRUNC(MOD(($Z203*1103515245 +12345)/ 65536, 32768),0)/32768),0))</f>
        <v>7</v>
      </c>
      <c r="H203" s="16">
        <f t="shared" ca="1" si="1"/>
        <v>-2</v>
      </c>
      <c r="I203" s="153">
        <f ca="1">VLOOKUP($AB$2,'RF Mod'!$A$2:$G$12,3,FALSE)+VLOOKUP($AD$2,'RF Mod'!$I$2:$O$11,3,FALSE)+(TRUNC(6+(24-6)*(TRUNC(MOD(($Z203*1103515245 +12345)/ 65536, 32768),0)/32768),0))</f>
        <v>11</v>
      </c>
      <c r="J203" s="16" t="e">
        <f t="shared" ca="1" si="2"/>
        <v>#NAME?</v>
      </c>
      <c r="K203" s="153">
        <f ca="1">VLOOKUP($AB$2,'RF Mod'!$A$2:$G$12,3,FALSE)+VLOOKUP($AD$2,'RF Mod'!$I$2:$O$11,3,FALSE)+(TRUNC(6+(24-6)*(TRUNC(MOD(($Z203*1103515245 +12345)/ 65536, 32768),0)/32768),0))</f>
        <v>11</v>
      </c>
      <c r="L203" s="16" t="e">
        <f t="shared" ca="1" si="3"/>
        <v>#NAME?</v>
      </c>
      <c r="M203" s="153">
        <f ca="1">VLOOKUP($AB$2,'RF Mod'!$A$2:$G$12,4,FALSE)+VLOOKUP($AD$2,'RF Mod'!$I$2:$O$11,4,FALSE)+(TRUNC(6+(24-6)*(TRUNC(MOD(($Z203*1103515245 +12345)/ 65536, 32768),0)/32768),0))</f>
        <v>10</v>
      </c>
      <c r="N203" s="16" t="e">
        <f t="shared" ca="1" si="4"/>
        <v>#NAME?</v>
      </c>
      <c r="O203" s="153">
        <f ca="1">VLOOKUP($AB$2,'RF Mod'!$A$2:$G$12,5,FALSE)+VLOOKUP($AD$2,'RF Mod'!$I$2:$O$11,5,FALSE)+(TRUNC(6+(24-6)*(TRUNC(MOD(($Z203*1103515245 +12345)/ 65536, 32768),0)/32768),0))</f>
        <v>13</v>
      </c>
      <c r="P203" s="16" t="e">
        <f t="shared" ca="1" si="5"/>
        <v>#NAME?</v>
      </c>
      <c r="Q203" s="153">
        <f ca="1">VLOOKUP($AB$2,'RF Mod'!$A$2:$G$12,6,FALSE)+VLOOKUP($AD$2,'RF Mod'!$I$2:$O$11,6,FALSE)+(TRUNC(6+(24-6)*(TRUNC(MOD(($Z203*1103515245 +12345)/ 65536, 32768),0)/32768),0))</f>
        <v>11</v>
      </c>
      <c r="R203" s="16" t="e">
        <f t="shared" ca="1" si="6"/>
        <v>#NAME?</v>
      </c>
      <c r="S203" s="154">
        <f t="shared" ca="1" si="12"/>
        <v>23</v>
      </c>
      <c r="T203" s="154">
        <f t="shared" ca="1" si="7"/>
        <v>5</v>
      </c>
      <c r="U203" s="16" t="str">
        <f t="shared" ca="1" si="8"/>
        <v>Fine</v>
      </c>
      <c r="V203" s="155">
        <f ca="1">IFERROR(__xludf.DUMMYFUNCTION("if(W203=""Middle Age"",QUERY(NPCVar!$K$2:$N1000, ""Select L where K = '""&amp;AB203&amp;""'""),if(W203=""Old"",QUERY(NPCVar!$K$2:$N1000, ""Select M where K = '""&amp;AB203&amp;""'""),if(W203=""Venerable"",QUERY(NPCVar!$K$2:$N1000, ""Select N where K = '""&amp;AB203&amp;""'""),fa"&amp;"lse)))*X203"),67.5)</f>
        <v>67.5</v>
      </c>
      <c r="W203" s="156" t="str">
        <f t="array" ref="W203">INDEX(NPCAgeType,TRUNC(1+(4-1)*(TRUNC(MOD((X203*1103515245 +12345)/ 65536, 32768),0)/32768),0))</f>
        <v>Old</v>
      </c>
      <c r="X203" s="117">
        <f t="shared" si="13"/>
        <v>1</v>
      </c>
      <c r="Y203" s="157" t="e">
        <f t="array" aca="1" ref="Y203" ca="1">LOOKUP(ABS(MAX(Z203 + MIN(ABS(INDIRECT("Class Jobs!B"&amp;MATCH(E203,'Class Jobs'!$A$1:$A1000,0)&amp;":"&amp;"AF"&amp;MATCH(E203,'Class Jobs'!$A$1:$A1000,0)&amp;"")-$Z203)) * SUM(IF(MIN(ABS(INDIRECT("Class Jobs!B"&amp;MATCH(E203,'Class Jobs'!$A$1:$A1000,0)&amp;":"&amp;"AF"&amp;MATCH(E203,'Class Jobs'!$A$1:$A1000,0)&amp;"")-$Z203))=ABS(INDIRECT("Class Jobs!B"&amp;MATCH(E203,'Class Jobs'!$A$1:$A1000,0)&amp;":"&amp;"AF"&amp;MATCH(E203,'Class Jobs'!$A$1:$A1000,0)&amp;"")-$Z203),SIGN(INDIRECT("Class Jobs!B"&amp;MATCH(E203,'Class Jobs'!$A$1:A1000,0)&amp;":"&amp;"AF"&amp;MATCH(E203,'Class Jobs'!$A$1:$A1000,0)&amp;"")-$Z203),0)),0)),INDIRECT("Class Jobs!B"&amp;MATCH(E203,'Class Jobs'!$A$1:$A1000,0)&amp;":"&amp;"AF"&amp;MATCH(E203,'Class Jobs'!$A$1:$A1000,1)&amp;""),'Class Jobs'!$B$1:$AF$1)</f>
        <v>#REF!</v>
      </c>
      <c r="Z203" s="158">
        <f t="shared" si="10"/>
        <v>0.42</v>
      </c>
      <c r="AA203" s="16" t="str">
        <f t="array" ref="AA203">INDEX(NPCGender,TRUNC(1+(COUNTA(NPCGender))*(TRUNC(MOD(($B203*1103515245 +12345)/ 65536, 32768),0)/32768),0))</f>
        <v>Female</v>
      </c>
      <c r="AB203" s="16" t="str">
        <f t="array" ref="AB203">INDEX(NPCRace,TRUNC(1+(COUNTA(NPCRace))*(TRUNC(MOD(($B203*1103515245 +12345)/ 65536, 32768),0)/32768),0))</f>
        <v>Half-Elf</v>
      </c>
      <c r="AC203" s="16" t="str">
        <f t="array" ref="AC203">INDEX(NPCAL,TRUNC(1+(COUNTA(NPCAL))*(TRUNC(MOD(($B203*1103515245 +12345)/ 65536, 32768),0)/32768),0))</f>
        <v>NG</v>
      </c>
      <c r="AD203" s="72" t="str">
        <f ca="1">IFERROR(__xludf.DUMMYFUNCTION("if(V203&lt;15,QUERY(NPCVar!C:D,""Select D WHERE C = '""&amp;D203&amp;""'""),if((TRUNC(1+10)*(TRUNC(MOD((ROW(H203)*1103515245 +12345)/ 65536, 32768),0)/32768)/10) &gt; 0.85,INDEX(NPCFaction,TRUNC(1+(counta(NPCFaction)-1)*(TRUNC(MOD(($B203*1103515245 +12345)/ 65536, 3276"&amp;"8),0)/32768),0)),QUERY(NPCVar!C:D,""Select D WHERE C = '""&amp;D203&amp;""'"")))"),"Traders Guild")</f>
        <v>Traders Guild</v>
      </c>
      <c r="AE203" s="108" t="e">
        <f t="shared" ca="1" si="11"/>
        <v>#NAME?</v>
      </c>
      <c r="AF203" s="159">
        <f ca="1">IFERROR(__xludf.DUMMYFUNCTION("AE203*(V203 / QUERY(NPCVar!$K$2:$N$12, ""Select N WHERE K='""&amp;AB203&amp;""'""))*TRUNC(1+10)*(TRUNC(MOD(($B203*1103515245 +12345)/ 65536, 32768),0)/32768)"),1.19983520507812)</f>
        <v>1.19983520507812</v>
      </c>
      <c r="AG203" s="16"/>
      <c r="AH203" s="77"/>
      <c r="AI203" s="114"/>
    </row>
    <row r="204" spans="1:35" ht="16.2">
      <c r="A204" s="53">
        <v>203</v>
      </c>
      <c r="B204" s="118">
        <f t="shared" si="16"/>
        <v>2.3027799999999998</v>
      </c>
      <c r="C204" s="72" t="str">
        <f t="array" ref="C204">INDEX(NPCFName,TRUNC(1+(COUNTA(NPCFName))*(TRUNC(MOD(($B204*1103515245 +12345)/ 65536, 32768),0)/32768),0))</f>
        <v>Marderdeen</v>
      </c>
      <c r="D204" s="16" t="str">
        <f t="array" ref="D204">INDEX(NPCLName,TRUNC(1+(COUNTA(NPCLName))*(TRUNC(MOD(($B204*1103515245 +12345)/ 65536, 32768),0)/32768),0))</f>
        <v>Ashcloud</v>
      </c>
      <c r="E204" s="16" t="str">
        <f t="array" ref="E204">INDEX(NPCClass,TRUNC(1+(COUNTA(NPCClass))*(TRUNC(MOD(($B204*1103515245 +12345)/ 65536, 32768),0)/32768),0))</f>
        <v>Druid</v>
      </c>
      <c r="F204" s="76">
        <v>1</v>
      </c>
      <c r="G204" s="153">
        <f ca="1">VLOOKUP($AB$2,'RF Mod'!$A$2:$G$12,2,FALSE)+VLOOKUP($AD$2,'RF Mod'!$I$2:$O$11,2,FALSE)+(TRUNC(6+(24-6)*(TRUNC(MOD(($Z204*1103515245 +12345)/ 65536, 32768),0)/32768),0))</f>
        <v>5</v>
      </c>
      <c r="H204" s="16">
        <f t="shared" ca="1" si="1"/>
        <v>-3</v>
      </c>
      <c r="I204" s="153">
        <f ca="1">VLOOKUP($AB$2,'RF Mod'!$A$2:$G$12,3,FALSE)+VLOOKUP($AD$2,'RF Mod'!$I$2:$O$11,3,FALSE)+(TRUNC(6+(24-6)*(TRUNC(MOD(($Z204*1103515245 +12345)/ 65536, 32768),0)/32768),0))</f>
        <v>9</v>
      </c>
      <c r="J204" s="16">
        <f t="shared" ca="1" si="2"/>
        <v>-1</v>
      </c>
      <c r="K204" s="153">
        <f ca="1">VLOOKUP($AB$2,'RF Mod'!$A$2:$G$12,3,FALSE)+VLOOKUP($AD$2,'RF Mod'!$I$2:$O$11,3,FALSE)+(TRUNC(6+(24-6)*(TRUNC(MOD(($Z204*1103515245 +12345)/ 65536, 32768),0)/32768),0))</f>
        <v>9</v>
      </c>
      <c r="L204" s="16">
        <f t="shared" ca="1" si="3"/>
        <v>-1</v>
      </c>
      <c r="M204" s="153">
        <f ca="1">VLOOKUP($AB$2,'RF Mod'!$A$2:$G$12,4,FALSE)+VLOOKUP($AD$2,'RF Mod'!$I$2:$O$11,4,FALSE)+(TRUNC(6+(24-6)*(TRUNC(MOD(($Z204*1103515245 +12345)/ 65536, 32768),0)/32768),0))</f>
        <v>8</v>
      </c>
      <c r="N204" s="16">
        <f t="shared" ca="1" si="4"/>
        <v>-1</v>
      </c>
      <c r="O204" s="153">
        <f ca="1">VLOOKUP($AB$2,'RF Mod'!$A$2:$G$12,5,FALSE)+VLOOKUP($AD$2,'RF Mod'!$I$2:$O$11,5,FALSE)+(TRUNC(6+(24-6)*(TRUNC(MOD(($Z204*1103515245 +12345)/ 65536, 32768),0)/32768),0))</f>
        <v>11</v>
      </c>
      <c r="P204" s="16" t="e">
        <f t="shared" ca="1" si="5"/>
        <v>#NAME?</v>
      </c>
      <c r="Q204" s="153">
        <f ca="1">VLOOKUP($AB$2,'RF Mod'!$A$2:$G$12,6,FALSE)+VLOOKUP($AD$2,'RF Mod'!$I$2:$O$11,6,FALSE)+(TRUNC(6+(24-6)*(TRUNC(MOD(($Z204*1103515245 +12345)/ 65536, 32768),0)/32768),0))</f>
        <v>9</v>
      </c>
      <c r="R204" s="16">
        <f t="shared" ca="1" si="6"/>
        <v>-1</v>
      </c>
      <c r="S204" s="154">
        <f t="shared" ca="1" si="12"/>
        <v>11</v>
      </c>
      <c r="T204" s="154">
        <f t="shared" ca="1" si="7"/>
        <v>7</v>
      </c>
      <c r="U204" s="16" t="str">
        <f t="shared" ca="1" si="8"/>
        <v>Bloody</v>
      </c>
      <c r="V204" s="155">
        <f ca="1">IFERROR(__xludf.DUMMYFUNCTION("if(W204=""Middle Age"",QUERY(NPCVar!$K$2:$N1000, ""Select L where K = '""&amp;AB204&amp;""'""),if(W204=""Old"",QUERY(NPCVar!$K$2:$N1000, ""Select M where K = '""&amp;AB204&amp;""'""),if(W204=""Venerable"",QUERY(NPCVar!$K$2:$N1000, ""Select N where K = '""&amp;AB204&amp;""'""),fa"&amp;"lse)))*X204"),93.75)</f>
        <v>93.75</v>
      </c>
      <c r="W204" s="156" t="str">
        <f t="array" ref="W204">INDEX(NPCAgeType,TRUNC(1+(4-1)*(TRUNC(MOD((X204*1103515245 +12345)/ 65536, 32768),0)/32768),0))</f>
        <v>Middle Age</v>
      </c>
      <c r="X204" s="117">
        <f t="shared" si="13"/>
        <v>0.5</v>
      </c>
      <c r="Y204" s="157" t="e">
        <f t="array" aca="1" ref="Y204" ca="1">LOOKUP(ABS(MAX(Z204 + MIN(ABS(INDIRECT("Class Jobs!B"&amp;MATCH(E204,'Class Jobs'!$A$1:$A1000,0)&amp;":"&amp;"AF"&amp;MATCH(E204,'Class Jobs'!$A$1:$A1000,0)&amp;"")-$Z204)) * SUM(IF(MIN(ABS(INDIRECT("Class Jobs!B"&amp;MATCH(E204,'Class Jobs'!$A$1:$A1000,0)&amp;":"&amp;"AF"&amp;MATCH(E204,'Class Jobs'!$A$1:$A1000,0)&amp;"")-$Z204))=ABS(INDIRECT("Class Jobs!B"&amp;MATCH(E204,'Class Jobs'!$A$1:$A1000,0)&amp;":"&amp;"AF"&amp;MATCH(E204,'Class Jobs'!$A$1:$A1000,0)&amp;"")-$Z204),SIGN(INDIRECT("Class Jobs!B"&amp;MATCH(E204,'Class Jobs'!$A$1:A1000,0)&amp;":"&amp;"AF"&amp;MATCH(E204,'Class Jobs'!$A$1:$A1000,0)&amp;"")-$Z204),0)),0)),INDIRECT("Class Jobs!B"&amp;MATCH(E204,'Class Jobs'!$A$1:$A1000,0)&amp;":"&amp;"AF"&amp;MATCH(E204,'Class Jobs'!$A$1:$A1000,1)&amp;""),'Class Jobs'!$B$1:$AF$1)</f>
        <v>#REF!</v>
      </c>
      <c r="Z204" s="158">
        <f t="shared" si="10"/>
        <v>0.19</v>
      </c>
      <c r="AA204" s="16" t="str">
        <f t="array" ref="AA204">INDEX(NPCGender,TRUNC(1+(COUNTA(NPCGender))*(TRUNC(MOD(($B204*1103515245 +12345)/ 65536, 32768),0)/32768),0))</f>
        <v>Male</v>
      </c>
      <c r="AB204" s="16" t="str">
        <f t="array" ref="AB204">INDEX(NPCRace,TRUNC(1+(COUNTA(NPCRace))*(TRUNC(MOD(($B204*1103515245 +12345)/ 65536, 32768),0)/32768),0))</f>
        <v>Elf</v>
      </c>
      <c r="AC204" s="16" t="str">
        <f t="array" ref="AC204">INDEX(NPCAL,TRUNC(1+(COUNTA(NPCAL))*(TRUNC(MOD(($B204*1103515245 +12345)/ 65536, 32768),0)/32768),0))</f>
        <v>CE</v>
      </c>
      <c r="AD204" s="72" t="str">
        <f ca="1">IFERROR(__xludf.DUMMYFUNCTION("if(V204&lt;15,QUERY(NPCVar!C:D,""Select D WHERE C = '""&amp;D204&amp;""'""),if((TRUNC(1+10)*(TRUNC(MOD((ROW(H204)*1103515245 +12345)/ 65536, 32768),0)/32768)/10) &gt; 0.85,INDEX(NPCFaction,TRUNC(1+(counta(NPCFaction)-1)*(TRUNC(MOD(($B204*1103515245 +12345)/ 65536, 3276"&amp;"8),0)/32768),0)),QUERY(NPCVar!C:D,""Select D WHERE C = '""&amp;D204&amp;""'"")))"),"Necromancer")</f>
        <v>Necromancer</v>
      </c>
      <c r="AE204" s="108" t="e">
        <f t="shared" ca="1" si="11"/>
        <v>#NAME?</v>
      </c>
      <c r="AF204" s="159">
        <f ca="1">IFERROR(__xludf.DUMMYFUNCTION("AE204*(V204 / QUERY(NPCVar!$K$2:$N$12, ""Select N WHERE K='""&amp;AB204&amp;""'""))*TRUNC(1+10)*(TRUNC(MOD(($B204*1103515245 +12345)/ 65536, 32768),0)/32768)"),0)</f>
        <v>0</v>
      </c>
      <c r="AG204" s="16"/>
      <c r="AH204" s="77"/>
      <c r="AI204" s="114"/>
    </row>
    <row r="205" spans="1:35" ht="16.2">
      <c r="A205" s="53">
        <v>204</v>
      </c>
      <c r="B205" s="118">
        <f t="shared" si="16"/>
        <v>1.2969200000000001</v>
      </c>
      <c r="C205" s="72" t="str">
        <f t="array" ref="C205">INDEX(NPCFName,TRUNC(1+(COUNTA(NPCFName))*(TRUNC(MOD(($B205*1103515245 +12345)/ 65536, 32768),0)/32768),0))</f>
        <v>Zutar</v>
      </c>
      <c r="D205" s="16" t="str">
        <f t="array" ref="D205">INDEX(NPCLName,TRUNC(1+(COUNTA(NPCLName))*(TRUNC(MOD(($B205*1103515245 +12345)/ 65536, 32768),0)/32768),0))</f>
        <v>Mourninglash</v>
      </c>
      <c r="E205" s="16" t="str">
        <f t="array" ref="E205">INDEX(NPCClass,TRUNC(1+(COUNTA(NPCClass))*(TRUNC(MOD(($B205*1103515245 +12345)/ 65536, 32768),0)/32768),0))</f>
        <v>Warlock</v>
      </c>
      <c r="F205" s="76">
        <v>8</v>
      </c>
      <c r="G205" s="153">
        <f ca="1">VLOOKUP($AB$2,'RF Mod'!$A$2:$G$12,2,FALSE)+VLOOKUP($AD$2,'RF Mod'!$I$2:$O$11,2,FALSE)+(TRUNC(6+(24-6)*(TRUNC(MOD(($Z205*1103515245 +12345)/ 65536, 32768),0)/32768),0))</f>
        <v>10</v>
      </c>
      <c r="H205" s="16" t="e">
        <f t="shared" ca="1" si="1"/>
        <v>#NAME?</v>
      </c>
      <c r="I205" s="153">
        <f ca="1">VLOOKUP($AB$2,'RF Mod'!$A$2:$G$12,3,FALSE)+VLOOKUP($AD$2,'RF Mod'!$I$2:$O$11,3,FALSE)+(TRUNC(6+(24-6)*(TRUNC(MOD(($Z205*1103515245 +12345)/ 65536, 32768),0)/32768),0))</f>
        <v>14</v>
      </c>
      <c r="J205" s="16" t="e">
        <f t="shared" ca="1" si="2"/>
        <v>#NAME?</v>
      </c>
      <c r="K205" s="153">
        <f ca="1">VLOOKUP($AB$2,'RF Mod'!$A$2:$G$12,3,FALSE)+VLOOKUP($AD$2,'RF Mod'!$I$2:$O$11,3,FALSE)+(TRUNC(6+(24-6)*(TRUNC(MOD(($Z205*1103515245 +12345)/ 65536, 32768),0)/32768),0))</f>
        <v>14</v>
      </c>
      <c r="L205" s="16" t="e">
        <f t="shared" ca="1" si="3"/>
        <v>#NAME?</v>
      </c>
      <c r="M205" s="153">
        <f ca="1">VLOOKUP($AB$2,'RF Mod'!$A$2:$G$12,4,FALSE)+VLOOKUP($AD$2,'RF Mod'!$I$2:$O$11,4,FALSE)+(TRUNC(6+(24-6)*(TRUNC(MOD(($Z205*1103515245 +12345)/ 65536, 32768),0)/32768),0))</f>
        <v>13</v>
      </c>
      <c r="N205" s="16" t="e">
        <f t="shared" ca="1" si="4"/>
        <v>#NAME?</v>
      </c>
      <c r="O205" s="153">
        <f ca="1">VLOOKUP($AB$2,'RF Mod'!$A$2:$G$12,5,FALSE)+VLOOKUP($AD$2,'RF Mod'!$I$2:$O$11,5,FALSE)+(TRUNC(6+(24-6)*(TRUNC(MOD(($Z205*1103515245 +12345)/ 65536, 32768),0)/32768),0))</f>
        <v>16</v>
      </c>
      <c r="P205" s="16" t="e">
        <f t="shared" ca="1" si="5"/>
        <v>#NAME?</v>
      </c>
      <c r="Q205" s="153">
        <f ca="1">VLOOKUP($AB$2,'RF Mod'!$A$2:$G$12,6,FALSE)+VLOOKUP($AD$2,'RF Mod'!$I$2:$O$11,6,FALSE)+(TRUNC(6+(24-6)*(TRUNC(MOD(($Z205*1103515245 +12345)/ 65536, 32768),0)/32768),0))</f>
        <v>14</v>
      </c>
      <c r="R205" s="16" t="e">
        <f t="shared" ca="1" si="6"/>
        <v>#NAME?</v>
      </c>
      <c r="S205" s="154">
        <f t="shared" ca="1" si="12"/>
        <v>176</v>
      </c>
      <c r="T205" s="154">
        <f t="shared" ca="1" si="7"/>
        <v>98</v>
      </c>
      <c r="U205" s="16" t="str">
        <f t="shared" ca="1" si="8"/>
        <v>Bloody</v>
      </c>
      <c r="V205" s="155">
        <f ca="1">IFERROR(__xludf.DUMMYFUNCTION("if(W205=""Middle Age"",QUERY(NPCVar!$K$2:$N1000, ""Select L where K = '""&amp;AB205&amp;""'""),if(W205=""Old"",QUERY(NPCVar!$K$2:$N1000, ""Select M where K = '""&amp;AB205&amp;""'""),if(W205=""Venerable"",QUERY(NPCVar!$K$2:$N1000, ""Select N where K = '""&amp;AB205&amp;""'""),fa"&amp;"lse)))*X205"),144)</f>
        <v>144</v>
      </c>
      <c r="W205" s="156" t="str">
        <f t="array" ref="W205">INDEX(NPCAgeType,TRUNC(1+(4-1)*(TRUNC(MOD((X205*1103515245 +12345)/ 65536, 32768),0)/32768),0))</f>
        <v>Venerable</v>
      </c>
      <c r="X205" s="117">
        <f t="shared" si="13"/>
        <v>1.6</v>
      </c>
      <c r="Y205" s="157" t="e">
        <f t="array" aca="1" ref="Y205" ca="1">LOOKUP(ABS(MAX(Z205 + MIN(ABS(INDIRECT("Class Jobs!B"&amp;MATCH(E205,'Class Jobs'!$A$1:$A1000,0)&amp;":"&amp;"AF"&amp;MATCH(E205,'Class Jobs'!$A$1:$A1000,0)&amp;"")-$Z205)) * SUM(IF(MIN(ABS(INDIRECT("Class Jobs!B"&amp;MATCH(E205,'Class Jobs'!$A$1:$A1000,0)&amp;":"&amp;"AF"&amp;MATCH(E205,'Class Jobs'!$A$1:$A1000,0)&amp;"")-$Z205))=ABS(INDIRECT("Class Jobs!B"&amp;MATCH(E205,'Class Jobs'!$A$1:$A1000,0)&amp;":"&amp;"AF"&amp;MATCH(E205,'Class Jobs'!$A$1:$A1000,0)&amp;"")-$Z205),SIGN(INDIRECT("Class Jobs!B"&amp;MATCH(E205,'Class Jobs'!$A$1:A1000,0)&amp;":"&amp;"AF"&amp;MATCH(E205,'Class Jobs'!$A$1:$A1000,0)&amp;"")-$Z205),0)),0)),INDIRECT("Class Jobs!B"&amp;MATCH(E205,'Class Jobs'!$A$1:$A1000,0)&amp;":"&amp;"AF"&amp;MATCH(E205,'Class Jobs'!$A$1:$A1000,1)&amp;""),'Class Jobs'!$B$1:$AF$1)</f>
        <v>#REF!</v>
      </c>
      <c r="Z205" s="158">
        <f t="shared" si="10"/>
        <v>0.66</v>
      </c>
      <c r="AA205" s="16" t="str">
        <f t="array" ref="AA205">INDEX(NPCGender,TRUNC(1+(COUNTA(NPCGender))*(TRUNC(MOD(($B205*1103515245 +12345)/ 65536, 32768),0)/32768),0))</f>
        <v>Female</v>
      </c>
      <c r="AB205" s="16" t="str">
        <f t="array" ref="AB205">INDEX(NPCRace,TRUNC(1+(COUNTA(NPCRace))*(TRUNC(MOD(($B205*1103515245 +12345)/ 65536, 32768),0)/32768),0))</f>
        <v>Human</v>
      </c>
      <c r="AC205" s="16" t="str">
        <f t="array" ref="AC205">INDEX(NPCAL,TRUNC(1+(COUNTA(NPCAL))*(TRUNC(MOD(($B205*1103515245 +12345)/ 65536, 32768),0)/32768),0))</f>
        <v>NE</v>
      </c>
      <c r="AD205" s="72" t="str">
        <f ca="1">IFERROR(__xludf.DUMMYFUNCTION("if(V205&lt;15,QUERY(NPCVar!C:D,""Select D WHERE C = '""&amp;D205&amp;""'""),if((TRUNC(1+10)*(TRUNC(MOD((ROW(H205)*1103515245 +12345)/ 65536, 32768),0)/32768)/10) &gt; 0.85,INDEX(NPCFaction,TRUNC(1+(counta(NPCFaction)-1)*(TRUNC(MOD(($B205*1103515245 +12345)/ 65536, 3276"&amp;"8),0)/32768),0)),QUERY(NPCVar!C:D,""Select D WHERE C = '""&amp;D205&amp;""'"")))"),"Traverlers Guild")</f>
        <v>Traverlers Guild</v>
      </c>
      <c r="AE205" s="108" t="e">
        <f t="shared" ca="1" si="11"/>
        <v>#NAME?</v>
      </c>
      <c r="AF205" s="159">
        <f ca="1">IFERROR(__xludf.DUMMYFUNCTION("AE205*(V205 / QUERY(NPCVar!$K$2:$N$12, ""Select N WHERE K='""&amp;AB205&amp;""'""))*TRUNC(1+10)*(TRUNC(MOD(($B205*1103515245 +12345)/ 65536, 32768),0)/32768)"),10.556455078125)</f>
        <v>10.556455078125</v>
      </c>
      <c r="AG205" s="16"/>
      <c r="AH205" s="77"/>
      <c r="AI205" s="114"/>
    </row>
    <row r="206" spans="1:35" ht="16.2">
      <c r="A206" s="53">
        <v>205</v>
      </c>
      <c r="B206" s="118">
        <f t="shared" si="16"/>
        <v>0.29107</v>
      </c>
      <c r="C206" s="72" t="str">
        <f t="array" ref="C206">INDEX(NPCFName,TRUNC(1+(COUNTA(NPCFName))*(TRUNC(MOD(($B206*1103515245 +12345)/ 65536, 32768),0)/32768),0))</f>
        <v>Jesco</v>
      </c>
      <c r="D206" s="16" t="str">
        <f t="array" ref="D206">INDEX(NPCLName,TRUNC(1+(COUNTA(NPCLName))*(TRUNC(MOD(($B206*1103515245 +12345)/ 65536, 32768),0)/32768),0))</f>
        <v>Fistwing</v>
      </c>
      <c r="E206" s="16" t="str">
        <f t="array" ref="E206">INDEX(NPCClass,TRUNC(1+(COUNTA(NPCClass))*(TRUNC(MOD(($B206*1103515245 +12345)/ 65536, 32768),0)/32768),0))</f>
        <v>Bard</v>
      </c>
      <c r="F206" s="76">
        <v>1</v>
      </c>
      <c r="G206" s="153">
        <f ca="1">VLOOKUP($AB$2,'RF Mod'!$A$2:$G$12,2,FALSE)+VLOOKUP($AD$2,'RF Mod'!$I$2:$O$11,2,FALSE)+(TRUNC(6+(24-6)*(TRUNC(MOD(($Z206*1103515245 +12345)/ 65536, 32768),0)/32768),0))</f>
        <v>5</v>
      </c>
      <c r="H206" s="16">
        <f t="shared" ca="1" si="1"/>
        <v>-3</v>
      </c>
      <c r="I206" s="153">
        <f ca="1">VLOOKUP($AB$2,'RF Mod'!$A$2:$G$12,3,FALSE)+VLOOKUP($AD$2,'RF Mod'!$I$2:$O$11,3,FALSE)+(TRUNC(6+(24-6)*(TRUNC(MOD(($Z206*1103515245 +12345)/ 65536, 32768),0)/32768),0))</f>
        <v>9</v>
      </c>
      <c r="J206" s="16">
        <f t="shared" ca="1" si="2"/>
        <v>-1</v>
      </c>
      <c r="K206" s="153">
        <f ca="1">VLOOKUP($AB$2,'RF Mod'!$A$2:$G$12,3,FALSE)+VLOOKUP($AD$2,'RF Mod'!$I$2:$O$11,3,FALSE)+(TRUNC(6+(24-6)*(TRUNC(MOD(($Z206*1103515245 +12345)/ 65536, 32768),0)/32768),0))</f>
        <v>9</v>
      </c>
      <c r="L206" s="16">
        <f t="shared" ca="1" si="3"/>
        <v>-1</v>
      </c>
      <c r="M206" s="153">
        <f ca="1">VLOOKUP($AB$2,'RF Mod'!$A$2:$G$12,4,FALSE)+VLOOKUP($AD$2,'RF Mod'!$I$2:$O$11,4,FALSE)+(TRUNC(6+(24-6)*(TRUNC(MOD(($Z206*1103515245 +12345)/ 65536, 32768),0)/32768),0))</f>
        <v>8</v>
      </c>
      <c r="N206" s="16">
        <f t="shared" ca="1" si="4"/>
        <v>-1</v>
      </c>
      <c r="O206" s="153">
        <f ca="1">VLOOKUP($AB$2,'RF Mod'!$A$2:$G$12,5,FALSE)+VLOOKUP($AD$2,'RF Mod'!$I$2:$O$11,5,FALSE)+(TRUNC(6+(24-6)*(TRUNC(MOD(($Z206*1103515245 +12345)/ 65536, 32768),0)/32768),0))</f>
        <v>11</v>
      </c>
      <c r="P206" s="16" t="e">
        <f t="shared" ca="1" si="5"/>
        <v>#NAME?</v>
      </c>
      <c r="Q206" s="153">
        <f ca="1">VLOOKUP($AB$2,'RF Mod'!$A$2:$G$12,6,FALSE)+VLOOKUP($AD$2,'RF Mod'!$I$2:$O$11,6,FALSE)+(TRUNC(6+(24-6)*(TRUNC(MOD(($Z206*1103515245 +12345)/ 65536, 32768),0)/32768),0))</f>
        <v>9</v>
      </c>
      <c r="R206" s="16">
        <f t="shared" ca="1" si="6"/>
        <v>-1</v>
      </c>
      <c r="S206" s="154">
        <f t="shared" ca="1" si="12"/>
        <v>11</v>
      </c>
      <c r="T206" s="154">
        <f t="shared" ca="1" si="7"/>
        <v>13</v>
      </c>
      <c r="U206" s="16" t="str">
        <f t="shared" ca="1" si="8"/>
        <v>Dead</v>
      </c>
      <c r="V206" s="155">
        <f ca="1">IFERROR(__xludf.DUMMYFUNCTION("if(W206=""Middle Age"",QUERY(NPCVar!$K$2:$N1000, ""Select L where K = '""&amp;AB206&amp;""'""),if(W206=""Old"",QUERY(NPCVar!$K$2:$N1000, ""Select M where K = '""&amp;AB206&amp;""'""),if(W206=""Venerable"",QUERY(NPCVar!$K$2:$N1000, ""Select N where K = '""&amp;AB206&amp;""'""),fa"&amp;"lse)))*X206"),32)</f>
        <v>32</v>
      </c>
      <c r="W206" s="156" t="str">
        <f t="array" ref="W206">INDEX(NPCAgeType,TRUNC(1+(4-1)*(TRUNC(MOD((X206*1103515245 +12345)/ 65536, 32768),0)/32768),0))</f>
        <v>Middle Age</v>
      </c>
      <c r="X206" s="117">
        <f t="shared" si="13"/>
        <v>0.4</v>
      </c>
      <c r="Y206" s="157" t="e">
        <f t="array" aca="1" ref="Y206" ca="1">LOOKUP(ABS(MAX(Z206 + MIN(ABS(INDIRECT("Class Jobs!B"&amp;MATCH(E206,'Class Jobs'!$A$1:$A1000,0)&amp;":"&amp;"AF"&amp;MATCH(E206,'Class Jobs'!$A$1:$A1000,0)&amp;"")-$Z206)) * SUM(IF(MIN(ABS(INDIRECT("Class Jobs!B"&amp;MATCH(E206,'Class Jobs'!$A$1:$A1000,0)&amp;":"&amp;"AF"&amp;MATCH(E206,'Class Jobs'!$A$1:$A1000,0)&amp;"")-$Z206))=ABS(INDIRECT("Class Jobs!B"&amp;MATCH(E206,'Class Jobs'!$A$1:$A1000,0)&amp;":"&amp;"AF"&amp;MATCH(E206,'Class Jobs'!$A$1:$A1000,0)&amp;"")-$Z206),SIGN(INDIRECT("Class Jobs!B"&amp;MATCH(E206,'Class Jobs'!$A$1:A1000,0)&amp;":"&amp;"AF"&amp;MATCH(E206,'Class Jobs'!$A$1:$A1000,0)&amp;"")-$Z206),0)),0)),INDIRECT("Class Jobs!B"&amp;MATCH(E206,'Class Jobs'!$A$1:$A1000,0)&amp;":"&amp;"AF"&amp;MATCH(E206,'Class Jobs'!$A$1:$A1000,1)&amp;""),'Class Jobs'!$B$1:$AF$1)</f>
        <v>#REF!</v>
      </c>
      <c r="Z206" s="158">
        <f t="shared" si="10"/>
        <v>0.15</v>
      </c>
      <c r="AA206" s="16" t="str">
        <f t="array" ref="AA206">INDEX(NPCGender,TRUNC(1+(COUNTA(NPCGender))*(TRUNC(MOD(($B206*1103515245 +12345)/ 65536, 32768),0)/32768),0))</f>
        <v>Male</v>
      </c>
      <c r="AB206" s="16" t="str">
        <f t="array" ref="AB206">INDEX(NPCRace,TRUNC(1+(COUNTA(NPCRace))*(TRUNC(MOD(($B206*1103515245 +12345)/ 65536, 32768),0)/32768),0))</f>
        <v>Dwarf</v>
      </c>
      <c r="AC206" s="16" t="str">
        <f t="array" ref="AC206">INDEX(NPCAL,TRUNC(1+(COUNTA(NPCAL))*(TRUNC(MOD(($B206*1103515245 +12345)/ 65536, 32768),0)/32768),0))</f>
        <v>CE</v>
      </c>
      <c r="AD206" s="72" t="str">
        <f ca="1">IFERROR(__xludf.DUMMYFUNCTION("if(V206&lt;15,QUERY(NPCVar!C:D,""Select D WHERE C = '""&amp;D206&amp;""'""),if((TRUNC(1+10)*(TRUNC(MOD((ROW(H206)*1103515245 +12345)/ 65536, 32768),0)/32768)/10) &gt; 0.85,INDEX(NPCFaction,TRUNC(1+(counta(NPCFaction)-1)*(TRUNC(MOD(($B206*1103515245 +12345)/ 65536, 3276"&amp;"8),0)/32768),0)),QUERY(NPCVar!C:D,""Select D WHERE C = '""&amp;D206&amp;""'"")))"),"Necromancer")</f>
        <v>Necromancer</v>
      </c>
      <c r="AE206" s="108" t="e">
        <f t="shared" ca="1" si="11"/>
        <v>#NAME?</v>
      </c>
      <c r="AF206" s="159">
        <f ca="1">IFERROR(__xludf.DUMMYFUNCTION("AE206*(V206 / QUERY(NPCVar!$K$2:$N$12, ""Select N WHERE K='""&amp;AB206&amp;""'""))*TRUNC(1+10)*(TRUNC(MOD(($B206*1103515245 +12345)/ 65536, 32768),0)/32768)"),0.0164523315429687)</f>
        <v>1.6452331542968698E-2</v>
      </c>
      <c r="AG206" s="16"/>
      <c r="AH206" s="77"/>
      <c r="AI206" s="114"/>
    </row>
    <row r="207" spans="1:35" ht="16.2">
      <c r="A207" s="53">
        <v>206</v>
      </c>
      <c r="B207" s="118">
        <f t="shared" si="16"/>
        <v>1.7851999999999999</v>
      </c>
      <c r="C207" s="72" t="str">
        <f t="array" ref="C207">INDEX(NPCFName,TRUNC(1+(COUNTA(NPCFName))*(TRUNC(MOD(($B207*1103515245 +12345)/ 65536, 32768),0)/32768),0))</f>
        <v>Ryfar</v>
      </c>
      <c r="D207" s="16" t="str">
        <f t="array" ref="D207">INDEX(NPCLName,TRUNC(1+(COUNTA(NPCLName))*(TRUNC(MOD(($B207*1103515245 +12345)/ 65536, 32768),0)/32768),0))</f>
        <v>Stormwolf</v>
      </c>
      <c r="E207" s="16" t="str">
        <f t="array" ref="E207">INDEX(NPCClass,TRUNC(1+(COUNTA(NPCClass))*(TRUNC(MOD(($B207*1103515245 +12345)/ 65536, 32768),0)/32768),0))</f>
        <v>Wizard</v>
      </c>
      <c r="F207" s="76">
        <v>8</v>
      </c>
      <c r="G207" s="153">
        <f ca="1">VLOOKUP($AB$2,'RF Mod'!$A$2:$G$12,2,FALSE)+VLOOKUP($AD$2,'RF Mod'!$I$2:$O$11,2,FALSE)+(TRUNC(6+(24-6)*(TRUNC(MOD(($Z207*1103515245 +12345)/ 65536, 32768),0)/32768),0))</f>
        <v>12</v>
      </c>
      <c r="H207" s="16" t="e">
        <f t="shared" ca="1" si="1"/>
        <v>#NAME?</v>
      </c>
      <c r="I207" s="153">
        <f ca="1">VLOOKUP($AB$2,'RF Mod'!$A$2:$G$12,3,FALSE)+VLOOKUP($AD$2,'RF Mod'!$I$2:$O$11,3,FALSE)+(TRUNC(6+(24-6)*(TRUNC(MOD(($Z207*1103515245 +12345)/ 65536, 32768),0)/32768),0))</f>
        <v>16</v>
      </c>
      <c r="J207" s="16" t="e">
        <f t="shared" ca="1" si="2"/>
        <v>#NAME?</v>
      </c>
      <c r="K207" s="153">
        <f ca="1">VLOOKUP($AB$2,'RF Mod'!$A$2:$G$12,3,FALSE)+VLOOKUP($AD$2,'RF Mod'!$I$2:$O$11,3,FALSE)+(TRUNC(6+(24-6)*(TRUNC(MOD(($Z207*1103515245 +12345)/ 65536, 32768),0)/32768),0))</f>
        <v>16</v>
      </c>
      <c r="L207" s="16" t="e">
        <f t="shared" ca="1" si="3"/>
        <v>#NAME?</v>
      </c>
      <c r="M207" s="153">
        <f ca="1">VLOOKUP($AB$2,'RF Mod'!$A$2:$G$12,4,FALSE)+VLOOKUP($AD$2,'RF Mod'!$I$2:$O$11,4,FALSE)+(TRUNC(6+(24-6)*(TRUNC(MOD(($Z207*1103515245 +12345)/ 65536, 32768),0)/32768),0))</f>
        <v>15</v>
      </c>
      <c r="N207" s="16" t="e">
        <f t="shared" ca="1" si="4"/>
        <v>#NAME?</v>
      </c>
      <c r="O207" s="153">
        <f ca="1">VLOOKUP($AB$2,'RF Mod'!$A$2:$G$12,5,FALSE)+VLOOKUP($AD$2,'RF Mod'!$I$2:$O$11,5,FALSE)+(TRUNC(6+(24-6)*(TRUNC(MOD(($Z207*1103515245 +12345)/ 65536, 32768),0)/32768),0))</f>
        <v>18</v>
      </c>
      <c r="P207" s="16" t="e">
        <f t="shared" ca="1" si="5"/>
        <v>#NAME?</v>
      </c>
      <c r="Q207" s="153">
        <f ca="1">VLOOKUP($AB$2,'RF Mod'!$A$2:$G$12,6,FALSE)+VLOOKUP($AD$2,'RF Mod'!$I$2:$O$11,6,FALSE)+(TRUNC(6+(24-6)*(TRUNC(MOD(($Z207*1103515245 +12345)/ 65536, 32768),0)/32768),0))</f>
        <v>16</v>
      </c>
      <c r="R207" s="16" t="e">
        <f t="shared" ca="1" si="6"/>
        <v>#NAME?</v>
      </c>
      <c r="S207" s="154">
        <f t="shared" ca="1" si="12"/>
        <v>240</v>
      </c>
      <c r="T207" s="154">
        <f t="shared" ca="1" si="7"/>
        <v>97</v>
      </c>
      <c r="U207" s="16" t="str">
        <f t="shared" ca="1" si="8"/>
        <v>Fine</v>
      </c>
      <c r="V207" s="155">
        <f ca="1">IFERROR(__xludf.DUMMYFUNCTION("if(W207=""Middle Age"",QUERY(NPCVar!$K$2:$N1000, ""Select L where K = '""&amp;AB207&amp;""'""),if(W207=""Old"",QUERY(NPCVar!$K$2:$N1000, ""Select M where K = '""&amp;AB207&amp;""'""),if(W207=""Venerable"",QUERY(NPCVar!$K$2:$N1000, ""Select N where K = '""&amp;AB207&amp;""'""),fa"&amp;"lse)))*X207"),69)</f>
        <v>69</v>
      </c>
      <c r="W207" s="156" t="str">
        <f t="array" ref="W207">INDEX(NPCAgeType,TRUNC(1+(4-1)*(TRUNC(MOD((X207*1103515245 +12345)/ 65536, 32768),0)/32768),0))</f>
        <v>Middle Age</v>
      </c>
      <c r="X207" s="117">
        <f t="shared" si="13"/>
        <v>2.2999999999999998</v>
      </c>
      <c r="Y207" s="157" t="e">
        <f t="array" aca="1" ref="Y207" ca="1">LOOKUP(ABS(MAX(Z207 + MIN(ABS(INDIRECT("Class Jobs!B"&amp;MATCH(E207,'Class Jobs'!$A$1:$A1000,0)&amp;":"&amp;"AF"&amp;MATCH(E207,'Class Jobs'!$A$1:$A1000,0)&amp;"")-$Z207)) * SUM(IF(MIN(ABS(INDIRECT("Class Jobs!B"&amp;MATCH(E207,'Class Jobs'!$A$1:$A1000,0)&amp;":"&amp;"AF"&amp;MATCH(E207,'Class Jobs'!$A$1:$A1000,0)&amp;"")-$Z207))=ABS(INDIRECT("Class Jobs!B"&amp;MATCH(E207,'Class Jobs'!$A$1:$A1000,0)&amp;":"&amp;"AF"&amp;MATCH(E207,'Class Jobs'!$A$1:$A1000,0)&amp;"")-$Z207),SIGN(INDIRECT("Class Jobs!B"&amp;MATCH(E207,'Class Jobs'!$A$1:A1000,0)&amp;":"&amp;"AF"&amp;MATCH(E207,'Class Jobs'!$A$1:$A1000,0)&amp;"")-$Z207),0)),0)),INDIRECT("Class Jobs!B"&amp;MATCH(E207,'Class Jobs'!$A$1:$A1000,0)&amp;":"&amp;"AF"&amp;MATCH(E207,'Class Jobs'!$A$1:$A1000,1)&amp;""),'Class Jobs'!$B$1:$AF$1)</f>
        <v>#REF!</v>
      </c>
      <c r="Z207" s="158">
        <f t="shared" si="10"/>
        <v>0.91</v>
      </c>
      <c r="AA207" s="16" t="str">
        <f t="array" ref="AA207">INDEX(NPCGender,TRUNC(1+(COUNTA(NPCGender))*(TRUNC(MOD(($B207*1103515245 +12345)/ 65536, 32768),0)/32768),0))</f>
        <v>Neutral</v>
      </c>
      <c r="AB207" s="16" t="str">
        <f t="array" ref="AB207">INDEX(NPCRace,TRUNC(1+(COUNTA(NPCRace))*(TRUNC(MOD(($B207*1103515245 +12345)/ 65536, 32768),0)/32768),0))</f>
        <v>Goliath</v>
      </c>
      <c r="AC207" s="16" t="str">
        <f t="array" ref="AC207">INDEX(NPCAL,TRUNC(1+(COUNTA(NPCAL))*(TRUNC(MOD(($B207*1103515245 +12345)/ 65536, 32768),0)/32768),0))</f>
        <v>LE</v>
      </c>
      <c r="AD207" s="72" t="str">
        <f ca="1">IFERROR(__xludf.DUMMYFUNCTION("if(V207&lt;15,QUERY(NPCVar!C:D,""Select D WHERE C = '""&amp;D207&amp;""'""),if((TRUNC(1+10)*(TRUNC(MOD((ROW(H207)*1103515245 +12345)/ 65536, 32768),0)/32768)/10) &gt; 0.85,INDEX(NPCFaction,TRUNC(1+(counta(NPCFaction)-1)*(TRUNC(MOD(($B207*1103515245 +12345)/ 65536, 3276"&amp;"8),0)/32768),0)),QUERY(NPCVar!C:D,""Select D WHERE C = '""&amp;D207&amp;""'"")))"),"Followers of Isis")</f>
        <v>Followers of Isis</v>
      </c>
      <c r="AE207" s="108" t="e">
        <f t="shared" ca="1" si="11"/>
        <v>#NAME?</v>
      </c>
      <c r="AF207" s="159">
        <f ca="1">IFERROR(__xludf.DUMMYFUNCTION("AE207*(V207 / QUERY(NPCVar!$K$2:$N$12, ""Select N WHERE K='""&amp;AB207&amp;""'""))*TRUNC(1+10)*(TRUNC(MOD(($B207*1103515245 +12345)/ 65536, 32768),0)/32768)"),5.22188896179199)</f>
        <v>5.2218889617919899</v>
      </c>
      <c r="AG207" s="16"/>
      <c r="AH207" s="77"/>
      <c r="AI207" s="114"/>
    </row>
    <row r="208" spans="1:35" ht="16.2">
      <c r="A208" s="53">
        <v>207</v>
      </c>
      <c r="B208" s="118">
        <f t="shared" si="16"/>
        <v>0.77934000000000003</v>
      </c>
      <c r="C208" s="72" t="str">
        <f t="array" ref="C208">INDEX(NPCFName,TRUNC(1+(COUNTA(NPCFName))*(TRUNC(MOD(($B208*1103515245 +12345)/ 65536, 32768),0)/32768),0))</f>
        <v>Dapvhir</v>
      </c>
      <c r="D208" s="16" t="str">
        <f t="array" ref="D208">INDEX(NPCLName,TRUNC(1+(COUNTA(NPCLName))*(TRUNC(MOD(($B208*1103515245 +12345)/ 65536, 32768),0)/32768),0))</f>
        <v>Windshade</v>
      </c>
      <c r="E208" s="16" t="str">
        <f t="array" ref="E208">INDEX(NPCClass,TRUNC(1+(COUNTA(NPCClass))*(TRUNC(MOD(($B208*1103515245 +12345)/ 65536, 32768),0)/32768),0))</f>
        <v>Paladin</v>
      </c>
      <c r="F208" s="76">
        <v>4</v>
      </c>
      <c r="G208" s="153">
        <f ca="1">VLOOKUP($AB$2,'RF Mod'!$A$2:$G$12,2,FALSE)+VLOOKUP($AD$2,'RF Mod'!$I$2:$O$11,2,FALSE)+(TRUNC(6+(24-6)*(TRUNC(MOD(($Z208*1103515245 +12345)/ 65536, 32768),0)/32768),0))</f>
        <v>7</v>
      </c>
      <c r="H208" s="16">
        <f t="shared" ca="1" si="1"/>
        <v>-2</v>
      </c>
      <c r="I208" s="153">
        <f ca="1">VLOOKUP($AB$2,'RF Mod'!$A$2:$G$12,3,FALSE)+VLOOKUP($AD$2,'RF Mod'!$I$2:$O$11,3,FALSE)+(TRUNC(6+(24-6)*(TRUNC(MOD(($Z208*1103515245 +12345)/ 65536, 32768),0)/32768),0))</f>
        <v>11</v>
      </c>
      <c r="J208" s="16" t="e">
        <f t="shared" ca="1" si="2"/>
        <v>#NAME?</v>
      </c>
      <c r="K208" s="153">
        <f ca="1">VLOOKUP($AB$2,'RF Mod'!$A$2:$G$12,3,FALSE)+VLOOKUP($AD$2,'RF Mod'!$I$2:$O$11,3,FALSE)+(TRUNC(6+(24-6)*(TRUNC(MOD(($Z208*1103515245 +12345)/ 65536, 32768),0)/32768),0))</f>
        <v>11</v>
      </c>
      <c r="L208" s="16" t="e">
        <f t="shared" ca="1" si="3"/>
        <v>#NAME?</v>
      </c>
      <c r="M208" s="153">
        <f ca="1">VLOOKUP($AB$2,'RF Mod'!$A$2:$G$12,4,FALSE)+VLOOKUP($AD$2,'RF Mod'!$I$2:$O$11,4,FALSE)+(TRUNC(6+(24-6)*(TRUNC(MOD(($Z208*1103515245 +12345)/ 65536, 32768),0)/32768),0))</f>
        <v>10</v>
      </c>
      <c r="N208" s="16" t="e">
        <f t="shared" ca="1" si="4"/>
        <v>#NAME?</v>
      </c>
      <c r="O208" s="153">
        <f ca="1">VLOOKUP($AB$2,'RF Mod'!$A$2:$G$12,5,FALSE)+VLOOKUP($AD$2,'RF Mod'!$I$2:$O$11,5,FALSE)+(TRUNC(6+(24-6)*(TRUNC(MOD(($Z208*1103515245 +12345)/ 65536, 32768),0)/32768),0))</f>
        <v>13</v>
      </c>
      <c r="P208" s="16" t="e">
        <f t="shared" ca="1" si="5"/>
        <v>#NAME?</v>
      </c>
      <c r="Q208" s="153">
        <f ca="1">VLOOKUP($AB$2,'RF Mod'!$A$2:$G$12,6,FALSE)+VLOOKUP($AD$2,'RF Mod'!$I$2:$O$11,6,FALSE)+(TRUNC(6+(24-6)*(TRUNC(MOD(($Z208*1103515245 +12345)/ 65536, 32768),0)/32768),0))</f>
        <v>11</v>
      </c>
      <c r="R208" s="16" t="e">
        <f t="shared" ca="1" si="6"/>
        <v>#NAME?</v>
      </c>
      <c r="S208" s="154">
        <f t="shared" ca="1" si="12"/>
        <v>68</v>
      </c>
      <c r="T208" s="154">
        <f t="shared" ca="1" si="7"/>
        <v>74</v>
      </c>
      <c r="U208" s="16" t="str">
        <f t="shared" ca="1" si="8"/>
        <v>Dead</v>
      </c>
      <c r="V208" s="155">
        <f ca="1">IFERROR(__xludf.DUMMYFUNCTION("if(W208=""Middle Age"",QUERY(NPCVar!$K$2:$N1000, ""Select L where K = '""&amp;AB208&amp;""'""),if(W208=""Old"",QUERY(NPCVar!$K$2:$N1000, ""Select M where K = '""&amp;AB208&amp;""'""),if(W208=""Venerable"",QUERY(NPCVar!$K$2:$N1000, ""Select N where K = '""&amp;AB208&amp;""'""),fa"&amp;"lse)))*X208"),67.5)</f>
        <v>67.5</v>
      </c>
      <c r="W208" s="156" t="str">
        <f t="array" ref="W208">INDEX(NPCAgeType,TRUNC(1+(4-1)*(TRUNC(MOD((X208*1103515245 +12345)/ 65536, 32768),0)/32768),0))</f>
        <v>Old</v>
      </c>
      <c r="X208" s="117">
        <f t="shared" si="13"/>
        <v>1</v>
      </c>
      <c r="Y208" s="157" t="e">
        <f t="array" aca="1" ref="Y208" ca="1">LOOKUP(ABS(MAX(Z208 + MIN(ABS(INDIRECT("Class Jobs!B"&amp;MATCH(E208,'Class Jobs'!$A$1:$A1000,0)&amp;":"&amp;"AF"&amp;MATCH(E208,'Class Jobs'!$A$1:$A1000,0)&amp;"")-$Z208)) * SUM(IF(MIN(ABS(INDIRECT("Class Jobs!B"&amp;MATCH(E208,'Class Jobs'!$A$1:$A1000,0)&amp;":"&amp;"AF"&amp;MATCH(E208,'Class Jobs'!$A$1:$A1000,0)&amp;"")-$Z208))=ABS(INDIRECT("Class Jobs!B"&amp;MATCH(E208,'Class Jobs'!$A$1:$A1000,0)&amp;":"&amp;"AF"&amp;MATCH(E208,'Class Jobs'!$A$1:$A1000,0)&amp;"")-$Z208),SIGN(INDIRECT("Class Jobs!B"&amp;MATCH(E208,'Class Jobs'!$A$1:A1000,0)&amp;":"&amp;"AF"&amp;MATCH(E208,'Class Jobs'!$A$1:$A1000,0)&amp;"")-$Z208),0)),0)),INDIRECT("Class Jobs!B"&amp;MATCH(E208,'Class Jobs'!$A$1:$A1000,0)&amp;":"&amp;"AF"&amp;MATCH(E208,'Class Jobs'!$A$1:$A1000,1)&amp;""),'Class Jobs'!$B$1:$AF$1)</f>
        <v>#REF!</v>
      </c>
      <c r="Z208" s="158">
        <f t="shared" si="10"/>
        <v>0.4</v>
      </c>
      <c r="AA208" s="16" t="str">
        <f t="array" ref="AA208">INDEX(NPCGender,TRUNC(1+(COUNTA(NPCGender))*(TRUNC(MOD(($B208*1103515245 +12345)/ 65536, 32768),0)/32768),0))</f>
        <v>Female</v>
      </c>
      <c r="AB208" s="16" t="str">
        <f t="array" ref="AB208">INDEX(NPCRace,TRUNC(1+(COUNTA(NPCRace))*(TRUNC(MOD(($B208*1103515245 +12345)/ 65536, 32768),0)/32768),0))</f>
        <v>Half-Elf</v>
      </c>
      <c r="AC208" s="16" t="str">
        <f t="array" ref="AC208">INDEX(NPCAL,TRUNC(1+(COUNTA(NPCAL))*(TRUNC(MOD(($B208*1103515245 +12345)/ 65536, 32768),0)/32768),0))</f>
        <v>NG</v>
      </c>
      <c r="AD208" s="72" t="str">
        <f ca="1">IFERROR(__xludf.DUMMYFUNCTION("if(V208&lt;15,QUERY(NPCVar!C:D,""Select D WHERE C = '""&amp;D208&amp;""'""),if((TRUNC(1+10)*(TRUNC(MOD((ROW(H208)*1103515245 +12345)/ 65536, 32768),0)/32768)/10) &gt; 0.85,INDEX(NPCFaction,TRUNC(1+(counta(NPCFaction)-1)*(TRUNC(MOD(($B208*1103515245 +12345)/ 65536, 3276"&amp;"8),0)/32768),0)),QUERY(NPCVar!C:D,""Select D WHERE C = '""&amp;D208&amp;""'"")))"),"Adventures Guild")</f>
        <v>Adventures Guild</v>
      </c>
      <c r="AE208" s="108" t="e">
        <f t="shared" ca="1" si="11"/>
        <v>#NAME?</v>
      </c>
      <c r="AF208" s="159">
        <f ca="1">IFERROR(__xludf.DUMMYFUNCTION("AE208*(V208 / QUERY(NPCVar!$K$2:$N$12, ""Select N WHERE K='""&amp;AB208&amp;""'""))*TRUNC(1+10)*(TRUNC(MOD(($B208*1103515245 +12345)/ 65536, 32768),0)/32768)"),0.495558929443359)</f>
        <v>0.495558929443359</v>
      </c>
      <c r="AG208" s="16"/>
      <c r="AH208" s="77"/>
      <c r="AI208" s="114"/>
    </row>
    <row r="209" spans="1:35" ht="16.2">
      <c r="A209" s="53">
        <v>208</v>
      </c>
      <c r="B209" s="118">
        <f t="shared" si="16"/>
        <v>2.2734800000000002</v>
      </c>
      <c r="C209" s="72" t="str">
        <f t="array" ref="C209">INDEX(NPCFName,TRUNC(1+(COUNTA(NPCFName))*(TRUNC(MOD(($B209*1103515245 +12345)/ 65536, 32768),0)/32768),0))</f>
        <v>Lackus</v>
      </c>
      <c r="D209" s="16" t="str">
        <f t="array" ref="D209">INDEX(NPCLName,TRUNC(1+(COUNTA(NPCLName))*(TRUNC(MOD(($B209*1103515245 +12345)/ 65536, 32768),0)/32768),0))</f>
        <v>Ashcloud</v>
      </c>
      <c r="E209" s="16" t="str">
        <f t="array" ref="E209">INDEX(NPCClass,TRUNC(1+(COUNTA(NPCClass))*(TRUNC(MOD(($B209*1103515245 +12345)/ 65536, 32768),0)/32768),0))</f>
        <v>Druid</v>
      </c>
      <c r="F209" s="76">
        <v>2</v>
      </c>
      <c r="G209" s="153">
        <f ca="1">VLOOKUP($AB$2,'RF Mod'!$A$2:$G$12,2,FALSE)+VLOOKUP($AD$2,'RF Mod'!$I$2:$O$11,2,FALSE)+(TRUNC(6+(24-6)*(TRUNC(MOD(($Z209*1103515245 +12345)/ 65536, 32768),0)/32768),0))</f>
        <v>5</v>
      </c>
      <c r="H209" s="16">
        <f t="shared" ca="1" si="1"/>
        <v>-3</v>
      </c>
      <c r="I209" s="153">
        <f ca="1">VLOOKUP($AB$2,'RF Mod'!$A$2:$G$12,3,FALSE)+VLOOKUP($AD$2,'RF Mod'!$I$2:$O$11,3,FALSE)+(TRUNC(6+(24-6)*(TRUNC(MOD(($Z209*1103515245 +12345)/ 65536, 32768),0)/32768),0))</f>
        <v>9</v>
      </c>
      <c r="J209" s="16">
        <f t="shared" ca="1" si="2"/>
        <v>-1</v>
      </c>
      <c r="K209" s="153">
        <f ca="1">VLOOKUP($AB$2,'RF Mod'!$A$2:$G$12,3,FALSE)+VLOOKUP($AD$2,'RF Mod'!$I$2:$O$11,3,FALSE)+(TRUNC(6+(24-6)*(TRUNC(MOD(($Z209*1103515245 +12345)/ 65536, 32768),0)/32768),0))</f>
        <v>9</v>
      </c>
      <c r="L209" s="16">
        <f t="shared" ca="1" si="3"/>
        <v>-1</v>
      </c>
      <c r="M209" s="153">
        <f ca="1">VLOOKUP($AB$2,'RF Mod'!$A$2:$G$12,4,FALSE)+VLOOKUP($AD$2,'RF Mod'!$I$2:$O$11,4,FALSE)+(TRUNC(6+(24-6)*(TRUNC(MOD(($Z209*1103515245 +12345)/ 65536, 32768),0)/32768),0))</f>
        <v>8</v>
      </c>
      <c r="N209" s="16">
        <f t="shared" ca="1" si="4"/>
        <v>-1</v>
      </c>
      <c r="O209" s="153">
        <f ca="1">VLOOKUP($AB$2,'RF Mod'!$A$2:$G$12,5,FALSE)+VLOOKUP($AD$2,'RF Mod'!$I$2:$O$11,5,FALSE)+(TRUNC(6+(24-6)*(TRUNC(MOD(($Z209*1103515245 +12345)/ 65536, 32768),0)/32768),0))</f>
        <v>11</v>
      </c>
      <c r="P209" s="16" t="e">
        <f t="shared" ca="1" si="5"/>
        <v>#NAME?</v>
      </c>
      <c r="Q209" s="153">
        <f ca="1">VLOOKUP($AB$2,'RF Mod'!$A$2:$G$12,6,FALSE)+VLOOKUP($AD$2,'RF Mod'!$I$2:$O$11,6,FALSE)+(TRUNC(6+(24-6)*(TRUNC(MOD(($Z209*1103515245 +12345)/ 65536, 32768),0)/32768),0))</f>
        <v>9</v>
      </c>
      <c r="R209" s="16">
        <f t="shared" ca="1" si="6"/>
        <v>-1</v>
      </c>
      <c r="S209" s="154">
        <f t="shared" ca="1" si="12"/>
        <v>22</v>
      </c>
      <c r="T209" s="154">
        <f t="shared" ca="1" si="7"/>
        <v>12</v>
      </c>
      <c r="U209" s="16" t="str">
        <f t="shared" ca="1" si="8"/>
        <v>Bloody</v>
      </c>
      <c r="V209" s="155">
        <f ca="1">IFERROR(__xludf.DUMMYFUNCTION("if(W209=""Middle Age"",QUERY(NPCVar!$K$2:$N1000, ""Select L where K = '""&amp;AB209&amp;""'""),if(W209=""Old"",QUERY(NPCVar!$K$2:$N1000, ""Select M where K = '""&amp;AB209&amp;""'""),if(W209=""Venerable"",QUERY(NPCVar!$K$2:$N1000, ""Select N where K = '""&amp;AB209&amp;""'""),fa"&amp;"lse)))*X209"),40)</f>
        <v>40</v>
      </c>
      <c r="W209" s="156" t="str">
        <f t="array" ref="W209">INDEX(NPCAgeType,TRUNC(1+(4-1)*(TRUNC(MOD((X209*1103515245 +12345)/ 65536, 32768),0)/32768),0))</f>
        <v>Middle Age</v>
      </c>
      <c r="X209" s="117">
        <f t="shared" si="13"/>
        <v>0.5</v>
      </c>
      <c r="Y209" s="157" t="e">
        <f t="array" aca="1" ref="Y209" ca="1">LOOKUP(ABS(MAX(Z209 + MIN(ABS(INDIRECT("Class Jobs!B"&amp;MATCH(E209,'Class Jobs'!$A$1:$A1000,0)&amp;":"&amp;"AF"&amp;MATCH(E209,'Class Jobs'!$A$1:$A1000,0)&amp;"")-$Z209)) * SUM(IF(MIN(ABS(INDIRECT("Class Jobs!B"&amp;MATCH(E209,'Class Jobs'!$A$1:$A1000,0)&amp;":"&amp;"AF"&amp;MATCH(E209,'Class Jobs'!$A$1:$A1000,0)&amp;"")-$Z209))=ABS(INDIRECT("Class Jobs!B"&amp;MATCH(E209,'Class Jobs'!$A$1:$A1000,0)&amp;":"&amp;"AF"&amp;MATCH(E209,'Class Jobs'!$A$1:$A1000,0)&amp;"")-$Z209),SIGN(INDIRECT("Class Jobs!B"&amp;MATCH(E209,'Class Jobs'!$A$1:A1000,0)&amp;":"&amp;"AF"&amp;MATCH(E209,'Class Jobs'!$A$1:$A1000,0)&amp;"")-$Z209),0)),0)),INDIRECT("Class Jobs!B"&amp;MATCH(E209,'Class Jobs'!$A$1:$A1000,0)&amp;":"&amp;"AF"&amp;MATCH(E209,'Class Jobs'!$A$1:$A1000,1)&amp;""),'Class Jobs'!$B$1:$AF$1)</f>
        <v>#REF!</v>
      </c>
      <c r="Z209" s="158">
        <f t="shared" si="10"/>
        <v>0.17</v>
      </c>
      <c r="AA209" s="16" t="str">
        <f t="array" ref="AA209">INDEX(NPCGender,TRUNC(1+(COUNTA(NPCGender))*(TRUNC(MOD(($B209*1103515245 +12345)/ 65536, 32768),0)/32768),0))</f>
        <v>Male</v>
      </c>
      <c r="AB209" s="16" t="str">
        <f t="array" ref="AB209">INDEX(NPCRace,TRUNC(1+(COUNTA(NPCRace))*(TRUNC(MOD(($B209*1103515245 +12345)/ 65536, 32768),0)/32768),0))</f>
        <v>Dwarf</v>
      </c>
      <c r="AC209" s="16" t="str">
        <f t="array" ref="AC209">INDEX(NPCAL,TRUNC(1+(COUNTA(NPCAL))*(TRUNC(MOD(($B209*1103515245 +12345)/ 65536, 32768),0)/32768),0))</f>
        <v>CE</v>
      </c>
      <c r="AD209" s="72" t="str">
        <f ca="1">IFERROR(__xludf.DUMMYFUNCTION("if(V209&lt;15,QUERY(NPCVar!C:D,""Select D WHERE C = '""&amp;D209&amp;""'""),if((TRUNC(1+10)*(TRUNC(MOD((ROW(H209)*1103515245 +12345)/ 65536, 32768),0)/32768)/10) &gt; 0.85,INDEX(NPCFaction,TRUNC(1+(counta(NPCFaction)-1)*(TRUNC(MOD(($B209*1103515245 +12345)/ 65536, 3276"&amp;"8),0)/32768),0)),QUERY(NPCVar!C:D,""Select D WHERE C = '""&amp;D209&amp;""'"")))"),"Magic Guild")</f>
        <v>Magic Guild</v>
      </c>
      <c r="AE209" s="108" t="e">
        <f t="shared" ca="1" si="11"/>
        <v>#NAME?</v>
      </c>
      <c r="AF209" s="159">
        <f ca="1">IFERROR(__xludf.DUMMYFUNCTION("AE209*(V209 / QUERY(NPCVar!$K$2:$N$12, ""Select N WHERE K='""&amp;AB209&amp;""'""))*TRUNC(1+10)*(TRUNC(MOD(($B209*1103515245 +12345)/ 65536, 32768),0)/32768)"),0.115667343139648)</f>
        <v>0.11566734313964799</v>
      </c>
      <c r="AG209" s="16"/>
      <c r="AH209" s="77"/>
      <c r="AI209" s="114"/>
    </row>
    <row r="210" spans="1:35" ht="16.2">
      <c r="A210" s="53">
        <v>209</v>
      </c>
      <c r="B210" s="118">
        <f t="shared" si="16"/>
        <v>1.26762</v>
      </c>
      <c r="C210" s="72" t="str">
        <f t="array" ref="C210">INDEX(NPCFName,TRUNC(1+(COUNTA(NPCFName))*(TRUNC(MOD(($B210*1103515245 +12345)/ 65536, 32768),0)/32768),0))</f>
        <v>Wyeth</v>
      </c>
      <c r="D210" s="16" t="str">
        <f t="array" ref="D210">INDEX(NPCLName,TRUNC(1+(COUNTA(NPCLName))*(TRUNC(MOD(($B210*1103515245 +12345)/ 65536, 32768),0)/32768),0))</f>
        <v>Mourninglash</v>
      </c>
      <c r="E210" s="16" t="str">
        <f t="array" ref="E210">INDEX(NPCClass,TRUNC(1+(COUNTA(NPCClass))*(TRUNC(MOD(($B210*1103515245 +12345)/ 65536, 32768),0)/32768),0))</f>
        <v>Warlock</v>
      </c>
      <c r="F210" s="76">
        <v>8</v>
      </c>
      <c r="G210" s="153">
        <f ca="1">VLOOKUP($AB$2,'RF Mod'!$A$2:$G$12,2,FALSE)+VLOOKUP($AD$2,'RF Mod'!$I$2:$O$11,2,FALSE)+(TRUNC(6+(24-6)*(TRUNC(MOD(($Z210*1103515245 +12345)/ 65536, 32768),0)/32768),0))</f>
        <v>10</v>
      </c>
      <c r="H210" s="16" t="e">
        <f t="shared" ca="1" si="1"/>
        <v>#NAME?</v>
      </c>
      <c r="I210" s="153">
        <f ca="1">VLOOKUP($AB$2,'RF Mod'!$A$2:$G$12,3,FALSE)+VLOOKUP($AD$2,'RF Mod'!$I$2:$O$11,3,FALSE)+(TRUNC(6+(24-6)*(TRUNC(MOD(($Z210*1103515245 +12345)/ 65536, 32768),0)/32768),0))</f>
        <v>14</v>
      </c>
      <c r="J210" s="16" t="e">
        <f t="shared" ca="1" si="2"/>
        <v>#NAME?</v>
      </c>
      <c r="K210" s="153">
        <f ca="1">VLOOKUP($AB$2,'RF Mod'!$A$2:$G$12,3,FALSE)+VLOOKUP($AD$2,'RF Mod'!$I$2:$O$11,3,FALSE)+(TRUNC(6+(24-6)*(TRUNC(MOD(($Z210*1103515245 +12345)/ 65536, 32768),0)/32768),0))</f>
        <v>14</v>
      </c>
      <c r="L210" s="16" t="e">
        <f t="shared" ca="1" si="3"/>
        <v>#NAME?</v>
      </c>
      <c r="M210" s="153">
        <f ca="1">VLOOKUP($AB$2,'RF Mod'!$A$2:$G$12,4,FALSE)+VLOOKUP($AD$2,'RF Mod'!$I$2:$O$11,4,FALSE)+(TRUNC(6+(24-6)*(TRUNC(MOD(($Z210*1103515245 +12345)/ 65536, 32768),0)/32768),0))</f>
        <v>13</v>
      </c>
      <c r="N210" s="16" t="e">
        <f t="shared" ca="1" si="4"/>
        <v>#NAME?</v>
      </c>
      <c r="O210" s="153">
        <f ca="1">VLOOKUP($AB$2,'RF Mod'!$A$2:$G$12,5,FALSE)+VLOOKUP($AD$2,'RF Mod'!$I$2:$O$11,5,FALSE)+(TRUNC(6+(24-6)*(TRUNC(MOD(($Z210*1103515245 +12345)/ 65536, 32768),0)/32768),0))</f>
        <v>16</v>
      </c>
      <c r="P210" s="16" t="e">
        <f t="shared" ca="1" si="5"/>
        <v>#NAME?</v>
      </c>
      <c r="Q210" s="153">
        <f ca="1">VLOOKUP($AB$2,'RF Mod'!$A$2:$G$12,6,FALSE)+VLOOKUP($AD$2,'RF Mod'!$I$2:$O$11,6,FALSE)+(TRUNC(6+(24-6)*(TRUNC(MOD(($Z210*1103515245 +12345)/ 65536, 32768),0)/32768),0))</f>
        <v>14</v>
      </c>
      <c r="R210" s="16" t="e">
        <f t="shared" ca="1" si="6"/>
        <v>#NAME?</v>
      </c>
      <c r="S210" s="154">
        <f t="shared" ca="1" si="12"/>
        <v>256</v>
      </c>
      <c r="T210" s="154">
        <f t="shared" ca="1" si="7"/>
        <v>49</v>
      </c>
      <c r="U210" s="16" t="str">
        <f t="shared" ca="1" si="8"/>
        <v>Fine</v>
      </c>
      <c r="V210" s="155">
        <f ca="1">IFERROR(__xludf.DUMMYFUNCTION("if(W210=""Middle Age"",QUERY(NPCVar!$K$2:$N1000, ""Select L where K = '""&amp;AB210&amp;""'""),if(W210=""Old"",QUERY(NPCVar!$K$2:$N1000, ""Select M where K = '""&amp;AB210&amp;""'""),if(W210=""Venerable"",QUERY(NPCVar!$K$2:$N1000, ""Select N where K = '""&amp;AB210&amp;""'""),fa"&amp;"lse)))*X210"),144)</f>
        <v>144</v>
      </c>
      <c r="W210" s="156" t="str">
        <f t="array" ref="W210">INDEX(NPCAgeType,TRUNC(1+(4-1)*(TRUNC(MOD((X210*1103515245 +12345)/ 65536, 32768),0)/32768),0))</f>
        <v>Venerable</v>
      </c>
      <c r="X210" s="117">
        <f t="shared" si="13"/>
        <v>1.6</v>
      </c>
      <c r="Y210" s="157" t="e">
        <f t="array" aca="1" ref="Y210" ca="1">LOOKUP(ABS(MAX(Z210 + MIN(ABS(INDIRECT("Class Jobs!B"&amp;MATCH(E210,'Class Jobs'!$A$1:$A1000,0)&amp;":"&amp;"AF"&amp;MATCH(E210,'Class Jobs'!$A$1:$A1000,0)&amp;"")-$Z210)) * SUM(IF(MIN(ABS(INDIRECT("Class Jobs!B"&amp;MATCH(E210,'Class Jobs'!$A$1:$A1000,0)&amp;":"&amp;"AF"&amp;MATCH(E210,'Class Jobs'!$A$1:$A1000,0)&amp;"")-$Z210))=ABS(INDIRECT("Class Jobs!B"&amp;MATCH(E210,'Class Jobs'!$A$1:$A1000,0)&amp;":"&amp;"AF"&amp;MATCH(E210,'Class Jobs'!$A$1:$A1000,0)&amp;"")-$Z210),SIGN(INDIRECT("Class Jobs!B"&amp;MATCH(E210,'Class Jobs'!$A$1:A1000,0)&amp;":"&amp;"AF"&amp;MATCH(E210,'Class Jobs'!$A$1:$A1000,0)&amp;"")-$Z210),0)),0)),INDIRECT("Class Jobs!B"&amp;MATCH(E210,'Class Jobs'!$A$1:$A1000,0)&amp;":"&amp;"AF"&amp;MATCH(E210,'Class Jobs'!$A$1:$A1000,1)&amp;""),'Class Jobs'!$B$1:$AF$1)</f>
        <v>#REF!</v>
      </c>
      <c r="Z210" s="158">
        <f t="shared" si="10"/>
        <v>0.65</v>
      </c>
      <c r="AA210" s="16" t="str">
        <f t="array" ref="AA210">INDEX(NPCGender,TRUNC(1+(COUNTA(NPCGender))*(TRUNC(MOD(($B210*1103515245 +12345)/ 65536, 32768),0)/32768),0))</f>
        <v>Female</v>
      </c>
      <c r="AB210" s="16" t="str">
        <f t="array" ref="AB210">INDEX(NPCRace,TRUNC(1+(COUNTA(NPCRace))*(TRUNC(MOD(($B210*1103515245 +12345)/ 65536, 32768),0)/32768),0))</f>
        <v>Human</v>
      </c>
      <c r="AC210" s="16" t="str">
        <f t="array" ref="AC210">INDEX(NPCAL,TRUNC(1+(COUNTA(NPCAL))*(TRUNC(MOD(($B210*1103515245 +12345)/ 65536, 32768),0)/32768),0))</f>
        <v>NE</v>
      </c>
      <c r="AD210" s="72" t="str">
        <f ca="1">IFERROR(__xludf.DUMMYFUNCTION("if(V210&lt;15,QUERY(NPCVar!C:D,""Select D WHERE C = '""&amp;D210&amp;""'""),if((TRUNC(1+10)*(TRUNC(MOD((ROW(H210)*1103515245 +12345)/ 65536, 32768),0)/32768)/10) &gt; 0.85,INDEX(NPCFaction,TRUNC(1+(counta(NPCFaction)-1)*(TRUNC(MOD(($B210*1103515245 +12345)/ 65536, 3276"&amp;"8),0)/32768),0)),QUERY(NPCVar!C:D,""Select D WHERE C = '""&amp;D210&amp;""'"")))"),"Death Guild")</f>
        <v>Death Guild</v>
      </c>
      <c r="AE210" s="108" t="e">
        <f t="shared" ca="1" si="11"/>
        <v>#NAME?</v>
      </c>
      <c r="AF210" s="159">
        <f ca="1">IFERROR(__xludf.DUMMYFUNCTION("AE210*(V210 / QUERY(NPCVar!$K$2:$N$12, ""Select N WHERE K='""&amp;AB210&amp;""'""))*TRUNC(1+10)*(TRUNC(MOD(($B210*1103515245 +12345)/ 65536, 32768),0)/32768)"),5.73203125)</f>
        <v>5.7320312500000004</v>
      </c>
      <c r="AG210" s="16"/>
      <c r="AH210" s="77"/>
      <c r="AI210" s="114"/>
    </row>
    <row r="211" spans="1:35" ht="16.2">
      <c r="A211" s="53">
        <v>210</v>
      </c>
      <c r="B211" s="118">
        <f t="shared" si="16"/>
        <v>0.26168999999999998</v>
      </c>
      <c r="C211" s="72" t="str">
        <f t="array" ref="C211">INDEX(NPCFName,TRUNC(1+(COUNTA(NPCFName))*(TRUNC(MOD(($B211*1103515245 +12345)/ 65536, 32768),0)/32768),0))</f>
        <v>Hermenze</v>
      </c>
      <c r="D211" s="16" t="str">
        <f t="array" ref="D211">INDEX(NPCLName,TRUNC(1+(COUNTA(NPCLName))*(TRUNC(MOD(($B211*1103515245 +12345)/ 65536, 32768),0)/32768),0))</f>
        <v>Fistwing</v>
      </c>
      <c r="E211" s="16" t="str">
        <f t="array" ref="E211">INDEX(NPCClass,TRUNC(1+(COUNTA(NPCClass))*(TRUNC(MOD(($B211*1103515245 +12345)/ 65536, 32768),0)/32768),0))</f>
        <v>Bard</v>
      </c>
      <c r="F211" s="76">
        <v>1</v>
      </c>
      <c r="G211" s="153">
        <f ca="1">VLOOKUP($AB$2,'RF Mod'!$A$2:$G$12,2,FALSE)+VLOOKUP($AD$2,'RF Mod'!$I$2:$O$11,2,FALSE)+(TRUNC(6+(24-6)*(TRUNC(MOD(($Z211*1103515245 +12345)/ 65536, 32768),0)/32768),0))</f>
        <v>5</v>
      </c>
      <c r="H211" s="16">
        <f t="shared" ca="1" si="1"/>
        <v>-3</v>
      </c>
      <c r="I211" s="153">
        <f ca="1">VLOOKUP($AB$2,'RF Mod'!$A$2:$G$12,3,FALSE)+VLOOKUP($AD$2,'RF Mod'!$I$2:$O$11,3,FALSE)+(TRUNC(6+(24-6)*(TRUNC(MOD(($Z211*1103515245 +12345)/ 65536, 32768),0)/32768),0))</f>
        <v>9</v>
      </c>
      <c r="J211" s="16">
        <f t="shared" ca="1" si="2"/>
        <v>-1</v>
      </c>
      <c r="K211" s="153">
        <f ca="1">VLOOKUP($AB$2,'RF Mod'!$A$2:$G$12,3,FALSE)+VLOOKUP($AD$2,'RF Mod'!$I$2:$O$11,3,FALSE)+(TRUNC(6+(24-6)*(TRUNC(MOD(($Z211*1103515245 +12345)/ 65536, 32768),0)/32768),0))</f>
        <v>9</v>
      </c>
      <c r="L211" s="16">
        <f t="shared" ca="1" si="3"/>
        <v>-1</v>
      </c>
      <c r="M211" s="153">
        <f ca="1">VLOOKUP($AB$2,'RF Mod'!$A$2:$G$12,4,FALSE)+VLOOKUP($AD$2,'RF Mod'!$I$2:$O$11,4,FALSE)+(TRUNC(6+(24-6)*(TRUNC(MOD(($Z211*1103515245 +12345)/ 65536, 32768),0)/32768),0))</f>
        <v>8</v>
      </c>
      <c r="N211" s="16">
        <f t="shared" ca="1" si="4"/>
        <v>-1</v>
      </c>
      <c r="O211" s="153">
        <f ca="1">VLOOKUP($AB$2,'RF Mod'!$A$2:$G$12,5,FALSE)+VLOOKUP($AD$2,'RF Mod'!$I$2:$O$11,5,FALSE)+(TRUNC(6+(24-6)*(TRUNC(MOD(($Z211*1103515245 +12345)/ 65536, 32768),0)/32768),0))</f>
        <v>11</v>
      </c>
      <c r="P211" s="16" t="e">
        <f t="shared" ca="1" si="5"/>
        <v>#NAME?</v>
      </c>
      <c r="Q211" s="153">
        <f ca="1">VLOOKUP($AB$2,'RF Mod'!$A$2:$G$12,6,FALSE)+VLOOKUP($AD$2,'RF Mod'!$I$2:$O$11,6,FALSE)+(TRUNC(6+(24-6)*(TRUNC(MOD(($Z211*1103515245 +12345)/ 65536, 32768),0)/32768),0))</f>
        <v>9</v>
      </c>
      <c r="R211" s="16">
        <f t="shared" ca="1" si="6"/>
        <v>-1</v>
      </c>
      <c r="S211" s="154">
        <f t="shared" ca="1" si="12"/>
        <v>11</v>
      </c>
      <c r="T211" s="154">
        <f t="shared" ca="1" si="7"/>
        <v>2</v>
      </c>
      <c r="U211" s="16" t="str">
        <f t="shared" ca="1" si="8"/>
        <v>Fine</v>
      </c>
      <c r="V211" s="155">
        <f ca="1">IFERROR(__xludf.DUMMYFUNCTION("if(W211=""Middle Age"",QUERY(NPCVar!$K$2:$N1000, ""Select L where K = '""&amp;AB211&amp;""'""),if(W211=""Old"",QUERY(NPCVar!$K$2:$N1000, ""Select M where K = '""&amp;AB211&amp;""'""),if(W211=""Venerable"",QUERY(NPCVar!$K$2:$N1000, ""Select N where K = '""&amp;AB211&amp;""'""),fa"&amp;"lse)))*X211"),32)</f>
        <v>32</v>
      </c>
      <c r="W211" s="156" t="str">
        <f t="array" ref="W211">INDEX(NPCAgeType,TRUNC(1+(4-1)*(TRUNC(MOD((X211*1103515245 +12345)/ 65536, 32768),0)/32768),0))</f>
        <v>Middle Age</v>
      </c>
      <c r="X211" s="117">
        <f t="shared" si="13"/>
        <v>0.4</v>
      </c>
      <c r="Y211" s="157" t="e">
        <f t="array" aca="1" ref="Y211" ca="1">LOOKUP(ABS(MAX(Z211 + MIN(ABS(INDIRECT("Class Jobs!B"&amp;MATCH(E211,'Class Jobs'!$A$1:$A1000,0)&amp;":"&amp;"AF"&amp;MATCH(E211,'Class Jobs'!$A$1:$A1000,0)&amp;"")-$Z211)) * SUM(IF(MIN(ABS(INDIRECT("Class Jobs!B"&amp;MATCH(E211,'Class Jobs'!$A$1:$A1000,0)&amp;":"&amp;"AF"&amp;MATCH(E211,'Class Jobs'!$A$1:$A1000,0)&amp;"")-$Z211))=ABS(INDIRECT("Class Jobs!B"&amp;MATCH(E211,'Class Jobs'!$A$1:$A1000,0)&amp;":"&amp;"AF"&amp;MATCH(E211,'Class Jobs'!$A$1:$A1000,0)&amp;"")-$Z211),SIGN(INDIRECT("Class Jobs!B"&amp;MATCH(E211,'Class Jobs'!$A$1:A1000,0)&amp;":"&amp;"AF"&amp;MATCH(E211,'Class Jobs'!$A$1:$A1000,0)&amp;"")-$Z211),0)),0)),INDIRECT("Class Jobs!B"&amp;MATCH(E211,'Class Jobs'!$A$1:$A1000,0)&amp;":"&amp;"AF"&amp;MATCH(E211,'Class Jobs'!$A$1:$A1000,1)&amp;""),'Class Jobs'!$B$1:$AF$1)</f>
        <v>#REF!</v>
      </c>
      <c r="Z211" s="158">
        <f t="shared" si="10"/>
        <v>0.14000000000000001</v>
      </c>
      <c r="AA211" s="16" t="str">
        <f t="array" ref="AA211">INDEX(NPCGender,TRUNC(1+(COUNTA(NPCGender))*(TRUNC(MOD(($B211*1103515245 +12345)/ 65536, 32768),0)/32768),0))</f>
        <v>Male</v>
      </c>
      <c r="AB211" s="16" t="str">
        <f t="array" ref="AB211">INDEX(NPCRace,TRUNC(1+(COUNTA(NPCRace))*(TRUNC(MOD(($B211*1103515245 +12345)/ 65536, 32768),0)/32768),0))</f>
        <v>Dwarf</v>
      </c>
      <c r="AC211" s="16" t="str">
        <f t="array" ref="AC211">INDEX(NPCAL,TRUNC(1+(COUNTA(NPCAL))*(TRUNC(MOD(($B211*1103515245 +12345)/ 65536, 32768),0)/32768),0))</f>
        <v>CE</v>
      </c>
      <c r="AD211" s="72" t="str">
        <f ca="1">IFERROR(__xludf.DUMMYFUNCTION("if(V211&lt;15,QUERY(NPCVar!C:D,""Select D WHERE C = '""&amp;D211&amp;""'""),if((TRUNC(1+10)*(TRUNC(MOD((ROW(H211)*1103515245 +12345)/ 65536, 32768),0)/32768)/10) &gt; 0.85,INDEX(NPCFaction,TRUNC(1+(counta(NPCFaction)-1)*(TRUNC(MOD(($B211*1103515245 +12345)/ 65536, 3276"&amp;"8),0)/32768),0)),QUERY(NPCVar!C:D,""Select D WHERE C = '""&amp;D211&amp;""'"")))"),"Royalty")</f>
        <v>Royalty</v>
      </c>
      <c r="AE211" s="108" t="e">
        <f t="shared" ca="1" si="11"/>
        <v>#NAME?</v>
      </c>
      <c r="AF211" s="159">
        <f ca="1">IFERROR(__xludf.DUMMYFUNCTION("AE211*(V211 / QUERY(NPCVar!$K$2:$N$12, ""Select N WHERE K='""&amp;AB211&amp;""'""))*TRUNC(1+10)*(TRUNC(MOD(($B211*1103515245 +12345)/ 65536, 32768),0)/32768)"),0.088743896484375)</f>
        <v>8.8743896484375001E-2</v>
      </c>
      <c r="AG211" s="16"/>
      <c r="AH211" s="77"/>
      <c r="AI211" s="114"/>
    </row>
    <row r="212" spans="1:35" ht="16.2">
      <c r="A212" s="53">
        <v>211</v>
      </c>
      <c r="B212" s="118">
        <f t="shared" si="16"/>
        <v>1.75583</v>
      </c>
      <c r="C212" s="72" t="str">
        <f t="array" ref="C212">INDEX(NPCFName,TRUNC(1+(COUNTA(NPCFName))*(TRUNC(MOD(($B212*1103515245 +12345)/ 65536, 32768),0)/32768),0))</f>
        <v>Qupar</v>
      </c>
      <c r="D212" s="16" t="str">
        <f t="array" ref="D212">INDEX(NPCLName,TRUNC(1+(COUNTA(NPCLName))*(TRUNC(MOD(($B212*1103515245 +12345)/ 65536, 32768),0)/32768),0))</f>
        <v>Stormwolf</v>
      </c>
      <c r="E212" s="16" t="str">
        <f t="array" ref="E212">INDEX(NPCClass,TRUNC(1+(COUNTA(NPCClass))*(TRUNC(MOD(($B212*1103515245 +12345)/ 65536, 32768),0)/32768),0))</f>
        <v>Fighter</v>
      </c>
      <c r="F212" s="76">
        <v>8</v>
      </c>
      <c r="G212" s="153">
        <f ca="1">VLOOKUP($AB$2,'RF Mod'!$A$2:$G$12,2,FALSE)+VLOOKUP($AD$2,'RF Mod'!$I$2:$O$11,2,FALSE)+(TRUNC(6+(24-6)*(TRUNC(MOD(($Z212*1103515245 +12345)/ 65536, 32768),0)/32768),0))</f>
        <v>12</v>
      </c>
      <c r="H212" s="16" t="e">
        <f t="shared" ca="1" si="1"/>
        <v>#NAME?</v>
      </c>
      <c r="I212" s="153">
        <f ca="1">VLOOKUP($AB$2,'RF Mod'!$A$2:$G$12,3,FALSE)+VLOOKUP($AD$2,'RF Mod'!$I$2:$O$11,3,FALSE)+(TRUNC(6+(24-6)*(TRUNC(MOD(($Z212*1103515245 +12345)/ 65536, 32768),0)/32768),0))</f>
        <v>16</v>
      </c>
      <c r="J212" s="16" t="e">
        <f t="shared" ca="1" si="2"/>
        <v>#NAME?</v>
      </c>
      <c r="K212" s="153">
        <f ca="1">VLOOKUP($AB$2,'RF Mod'!$A$2:$G$12,3,FALSE)+VLOOKUP($AD$2,'RF Mod'!$I$2:$O$11,3,FALSE)+(TRUNC(6+(24-6)*(TRUNC(MOD(($Z212*1103515245 +12345)/ 65536, 32768),0)/32768),0))</f>
        <v>16</v>
      </c>
      <c r="L212" s="16" t="e">
        <f t="shared" ca="1" si="3"/>
        <v>#NAME?</v>
      </c>
      <c r="M212" s="153">
        <f ca="1">VLOOKUP($AB$2,'RF Mod'!$A$2:$G$12,4,FALSE)+VLOOKUP($AD$2,'RF Mod'!$I$2:$O$11,4,FALSE)+(TRUNC(6+(24-6)*(TRUNC(MOD(($Z212*1103515245 +12345)/ 65536, 32768),0)/32768),0))</f>
        <v>15</v>
      </c>
      <c r="N212" s="16" t="e">
        <f t="shared" ca="1" si="4"/>
        <v>#NAME?</v>
      </c>
      <c r="O212" s="153">
        <f ca="1">VLOOKUP($AB$2,'RF Mod'!$A$2:$G$12,5,FALSE)+VLOOKUP($AD$2,'RF Mod'!$I$2:$O$11,5,FALSE)+(TRUNC(6+(24-6)*(TRUNC(MOD(($Z212*1103515245 +12345)/ 65536, 32768),0)/32768),0))</f>
        <v>18</v>
      </c>
      <c r="P212" s="16" t="e">
        <f t="shared" ca="1" si="5"/>
        <v>#NAME?</v>
      </c>
      <c r="Q212" s="153">
        <f ca="1">VLOOKUP($AB$2,'RF Mod'!$A$2:$G$12,6,FALSE)+VLOOKUP($AD$2,'RF Mod'!$I$2:$O$11,6,FALSE)+(TRUNC(6+(24-6)*(TRUNC(MOD(($Z212*1103515245 +12345)/ 65536, 32768),0)/32768),0))</f>
        <v>16</v>
      </c>
      <c r="R212" s="16" t="e">
        <f t="shared" ca="1" si="6"/>
        <v>#NAME?</v>
      </c>
      <c r="S212" s="154">
        <f t="shared" ca="1" si="12"/>
        <v>192</v>
      </c>
      <c r="T212" s="154">
        <f t="shared" ca="1" si="7"/>
        <v>123</v>
      </c>
      <c r="U212" s="16" t="str">
        <f t="shared" ca="1" si="8"/>
        <v>Bloody</v>
      </c>
      <c r="V212" s="155">
        <f ca="1">IFERROR(__xludf.DUMMYFUNCTION("if(W212=""Middle Age"",QUERY(NPCVar!$K$2:$N1000, ""Select L where K = '""&amp;AB212&amp;""'""),if(W212=""Old"",QUERY(NPCVar!$K$2:$N1000, ""Select M where K = '""&amp;AB212&amp;""'""),if(W212=""Venerable"",QUERY(NPCVar!$K$2:$N1000, ""Select N where K = '""&amp;AB212&amp;""'""),fa"&amp;"lse)))*X212"),60.5)</f>
        <v>60.5</v>
      </c>
      <c r="W212" s="156" t="str">
        <f t="array" ref="W212">INDEX(NPCAgeType,TRUNC(1+(4-1)*(TRUNC(MOD((X212*1103515245 +12345)/ 65536, 32768),0)/32768),0))</f>
        <v>Middle Age</v>
      </c>
      <c r="X212" s="117">
        <f t="shared" si="13"/>
        <v>2.2000000000000002</v>
      </c>
      <c r="Y212" s="157" t="e">
        <f t="array" aca="1" ref="Y212" ca="1">LOOKUP(ABS(MAX(Z212 + MIN(ABS(INDIRECT("Class Jobs!B"&amp;MATCH(E212,'Class Jobs'!$A$1:$A1000,0)&amp;":"&amp;"AF"&amp;MATCH(E212,'Class Jobs'!$A$1:$A1000,0)&amp;"")-$Z212)) * SUM(IF(MIN(ABS(INDIRECT("Class Jobs!B"&amp;MATCH(E212,'Class Jobs'!$A$1:$A1000,0)&amp;":"&amp;"AF"&amp;MATCH(E212,'Class Jobs'!$A$1:$A1000,0)&amp;"")-$Z212))=ABS(INDIRECT("Class Jobs!B"&amp;MATCH(E212,'Class Jobs'!$A$1:$A1000,0)&amp;":"&amp;"AF"&amp;MATCH(E212,'Class Jobs'!$A$1:$A1000,0)&amp;"")-$Z212),SIGN(INDIRECT("Class Jobs!B"&amp;MATCH(E212,'Class Jobs'!$A$1:A1000,0)&amp;":"&amp;"AF"&amp;MATCH(E212,'Class Jobs'!$A$1:$A1000,0)&amp;"")-$Z212),0)),0)),INDIRECT("Class Jobs!B"&amp;MATCH(E212,'Class Jobs'!$A$1:$A1000,0)&amp;":"&amp;"AF"&amp;MATCH(E212,'Class Jobs'!$A$1:$A1000,1)&amp;""),'Class Jobs'!$B$1:$AF$1)</f>
        <v>#REF!</v>
      </c>
      <c r="Z212" s="158">
        <f t="shared" si="10"/>
        <v>0.9</v>
      </c>
      <c r="AA212" s="16" t="str">
        <f t="array" ref="AA212">INDEX(NPCGender,TRUNC(1+(COUNTA(NPCGender))*(TRUNC(MOD(($B212*1103515245 +12345)/ 65536, 32768),0)/32768),0))</f>
        <v>Neutral</v>
      </c>
      <c r="AB212" s="16" t="str">
        <f t="array" ref="AB212">INDEX(NPCRace,TRUNC(1+(COUNTA(NPCRace))*(TRUNC(MOD(($B212*1103515245 +12345)/ 65536, 32768),0)/32768),0))</f>
        <v>Genasi</v>
      </c>
      <c r="AC212" s="16" t="str">
        <f t="array" ref="AC212">INDEX(NPCAL,TRUNC(1+(COUNTA(NPCAL))*(TRUNC(MOD(($B212*1103515245 +12345)/ 65536, 32768),0)/32768),0))</f>
        <v>LE</v>
      </c>
      <c r="AD212" s="72" t="str">
        <f ca="1">IFERROR(__xludf.DUMMYFUNCTION("if(V212&lt;15,QUERY(NPCVar!C:D,""Select D WHERE C = '""&amp;D212&amp;""'""),if((TRUNC(1+10)*(TRUNC(MOD((ROW(H212)*1103515245 +12345)/ 65536, 32768),0)/32768)/10) &gt; 0.85,INDEX(NPCFaction,TRUNC(1+(counta(NPCFaction)-1)*(TRUNC(MOD(($B212*1103515245 +12345)/ 65536, 3276"&amp;"8),0)/32768),0)),QUERY(NPCVar!C:D,""Select D WHERE C = '""&amp;D212&amp;""'"")))"),"Traverlers Guild")</f>
        <v>Traverlers Guild</v>
      </c>
      <c r="AE212" s="108" t="e">
        <f t="shared" ca="1" si="11"/>
        <v>#NAME?</v>
      </c>
      <c r="AF212" s="159">
        <f ca="1">IFERROR(__xludf.DUMMYFUNCTION("AE212*(V212 / QUERY(NPCVar!$K$2:$N$12, ""Select N WHERE K='""&amp;AB212&amp;""'""))*TRUNC(1+10)*(TRUNC(MOD(($B212*1103515245 +12345)/ 65536, 32768),0)/32768)"),2.72931289672851)</f>
        <v>2.7293128967285099</v>
      </c>
      <c r="AG212" s="16"/>
      <c r="AH212" s="77"/>
      <c r="AI212" s="114"/>
    </row>
    <row r="213" spans="1:35" ht="16.2">
      <c r="A213" s="53">
        <v>212</v>
      </c>
      <c r="B213" s="118">
        <f t="shared" si="16"/>
        <v>0.74997000000000003</v>
      </c>
      <c r="C213" s="72" t="str">
        <f t="array" ref="C213">INDEX(NPCFName,TRUNC(1+(COUNTA(NPCFName))*(TRUNC(MOD(($B213*1103515245 +12345)/ 65536, 32768),0)/32768),0))</f>
        <v>Chamon</v>
      </c>
      <c r="D213" s="16" t="str">
        <f t="array" ref="D213">INDEX(NPCLName,TRUNC(1+(COUNTA(NPCLName))*(TRUNC(MOD(($B213*1103515245 +12345)/ 65536, 32768),0)/32768),0))</f>
        <v>Fistroot</v>
      </c>
      <c r="E213" s="16" t="str">
        <f t="array" ref="E213">INDEX(NPCClass,TRUNC(1+(COUNTA(NPCClass))*(TRUNC(MOD(($B213*1103515245 +12345)/ 65536, 32768),0)/32768),0))</f>
        <v>Paladin</v>
      </c>
      <c r="F213" s="76">
        <v>6</v>
      </c>
      <c r="G213" s="153">
        <f ca="1">VLOOKUP($AB$2,'RF Mod'!$A$2:$G$12,2,FALSE)+VLOOKUP($AD$2,'RF Mod'!$I$2:$O$11,2,FALSE)+(TRUNC(6+(24-6)*(TRUNC(MOD(($Z213*1103515245 +12345)/ 65536, 32768),0)/32768),0))</f>
        <v>7</v>
      </c>
      <c r="H213" s="16">
        <f t="shared" ca="1" si="1"/>
        <v>-2</v>
      </c>
      <c r="I213" s="153">
        <f ca="1">VLOOKUP($AB$2,'RF Mod'!$A$2:$G$12,3,FALSE)+VLOOKUP($AD$2,'RF Mod'!$I$2:$O$11,3,FALSE)+(TRUNC(6+(24-6)*(TRUNC(MOD(($Z213*1103515245 +12345)/ 65536, 32768),0)/32768),0))</f>
        <v>11</v>
      </c>
      <c r="J213" s="16" t="e">
        <f t="shared" ca="1" si="2"/>
        <v>#NAME?</v>
      </c>
      <c r="K213" s="153">
        <f ca="1">VLOOKUP($AB$2,'RF Mod'!$A$2:$G$12,3,FALSE)+VLOOKUP($AD$2,'RF Mod'!$I$2:$O$11,3,FALSE)+(TRUNC(6+(24-6)*(TRUNC(MOD(($Z213*1103515245 +12345)/ 65536, 32768),0)/32768),0))</f>
        <v>11</v>
      </c>
      <c r="L213" s="16" t="e">
        <f t="shared" ca="1" si="3"/>
        <v>#NAME?</v>
      </c>
      <c r="M213" s="153">
        <f ca="1">VLOOKUP($AB$2,'RF Mod'!$A$2:$G$12,4,FALSE)+VLOOKUP($AD$2,'RF Mod'!$I$2:$O$11,4,FALSE)+(TRUNC(6+(24-6)*(TRUNC(MOD(($Z213*1103515245 +12345)/ 65536, 32768),0)/32768),0))</f>
        <v>10</v>
      </c>
      <c r="N213" s="16" t="e">
        <f t="shared" ca="1" si="4"/>
        <v>#NAME?</v>
      </c>
      <c r="O213" s="153">
        <f ca="1">VLOOKUP($AB$2,'RF Mod'!$A$2:$G$12,5,FALSE)+VLOOKUP($AD$2,'RF Mod'!$I$2:$O$11,5,FALSE)+(TRUNC(6+(24-6)*(TRUNC(MOD(($Z213*1103515245 +12345)/ 65536, 32768),0)/32768),0))</f>
        <v>13</v>
      </c>
      <c r="P213" s="16" t="e">
        <f t="shared" ca="1" si="5"/>
        <v>#NAME?</v>
      </c>
      <c r="Q213" s="153">
        <f ca="1">VLOOKUP($AB$2,'RF Mod'!$A$2:$G$12,6,FALSE)+VLOOKUP($AD$2,'RF Mod'!$I$2:$O$11,6,FALSE)+(TRUNC(6+(24-6)*(TRUNC(MOD(($Z213*1103515245 +12345)/ 65536, 32768),0)/32768),0))</f>
        <v>11</v>
      </c>
      <c r="R213" s="16" t="e">
        <f t="shared" ca="1" si="6"/>
        <v>#NAME?</v>
      </c>
      <c r="S213" s="154">
        <f t="shared" ca="1" si="12"/>
        <v>138</v>
      </c>
      <c r="T213" s="154">
        <f t="shared" ca="1" si="7"/>
        <v>58</v>
      </c>
      <c r="U213" s="16" t="str">
        <f t="shared" ca="1" si="8"/>
        <v>Fine</v>
      </c>
      <c r="V213" s="155">
        <f ca="1">IFERROR(__xludf.DUMMYFUNCTION("if(W213=""Middle Age"",QUERY(NPCVar!$K$2:$N1000, ""Select L where K = '""&amp;AB213&amp;""'""),if(W213=""Old"",QUERY(NPCVar!$K$2:$N1000, ""Select M where K = '""&amp;AB213&amp;""'""),if(W213=""Venerable"",QUERY(NPCVar!$K$2:$N1000, ""Select N where K = '""&amp;AB213&amp;""'""),fa"&amp;"lse)))*X213"),67.5)</f>
        <v>67.5</v>
      </c>
      <c r="W213" s="156" t="str">
        <f t="array" ref="W213">INDEX(NPCAgeType,TRUNC(1+(4-1)*(TRUNC(MOD((X213*1103515245 +12345)/ 65536, 32768),0)/32768),0))</f>
        <v>Old</v>
      </c>
      <c r="X213" s="117">
        <f t="shared" si="13"/>
        <v>1</v>
      </c>
      <c r="Y213" s="157" t="e">
        <f t="array" aca="1" ref="Y213" ca="1">LOOKUP(ABS(MAX(Z213 + MIN(ABS(INDIRECT("Class Jobs!B"&amp;MATCH(E213,'Class Jobs'!$A$1:$A1000,0)&amp;":"&amp;"AF"&amp;MATCH(E213,'Class Jobs'!$A$1:$A1000,0)&amp;"")-$Z213)) * SUM(IF(MIN(ABS(INDIRECT("Class Jobs!B"&amp;MATCH(E213,'Class Jobs'!$A$1:$A1000,0)&amp;":"&amp;"AF"&amp;MATCH(E213,'Class Jobs'!$A$1:$A1000,0)&amp;"")-$Z213))=ABS(INDIRECT("Class Jobs!B"&amp;MATCH(E213,'Class Jobs'!$A$1:$A1000,0)&amp;":"&amp;"AF"&amp;MATCH(E213,'Class Jobs'!$A$1:$A1000,0)&amp;"")-$Z213),SIGN(INDIRECT("Class Jobs!B"&amp;MATCH(E213,'Class Jobs'!$A$1:A1000,0)&amp;":"&amp;"AF"&amp;MATCH(E213,'Class Jobs'!$A$1:$A1000,0)&amp;"")-$Z213),0)),0)),INDIRECT("Class Jobs!B"&amp;MATCH(E213,'Class Jobs'!$A$1:$A1000,0)&amp;":"&amp;"AF"&amp;MATCH(E213,'Class Jobs'!$A$1:$A1000,1)&amp;""),'Class Jobs'!$B$1:$AF$1)</f>
        <v>#REF!</v>
      </c>
      <c r="Z213" s="158">
        <f t="shared" si="10"/>
        <v>0.39</v>
      </c>
      <c r="AA213" s="16" t="str">
        <f t="array" ref="AA213">INDEX(NPCGender,TRUNC(1+(COUNTA(NPCGender))*(TRUNC(MOD(($B213*1103515245 +12345)/ 65536, 32768),0)/32768),0))</f>
        <v>Female</v>
      </c>
      <c r="AB213" s="16" t="str">
        <f t="array" ref="AB213">INDEX(NPCRace,TRUNC(1+(COUNTA(NPCRace))*(TRUNC(MOD(($B213*1103515245 +12345)/ 65536, 32768),0)/32768),0))</f>
        <v>Half-Elf</v>
      </c>
      <c r="AC213" s="16" t="str">
        <f t="array" ref="AC213">INDEX(NPCAL,TRUNC(1+(COUNTA(NPCAL))*(TRUNC(MOD(($B213*1103515245 +12345)/ 65536, 32768),0)/32768),0))</f>
        <v>NG</v>
      </c>
      <c r="AD213" s="72" t="str">
        <f ca="1">IFERROR(__xludf.DUMMYFUNCTION("if(V213&lt;15,QUERY(NPCVar!C:D,""Select D WHERE C = '""&amp;D213&amp;""'""),if((TRUNC(1+10)*(TRUNC(MOD((ROW(H213)*1103515245 +12345)/ 65536, 32768),0)/32768)/10) &gt; 0.85,INDEX(NPCFaction,TRUNC(1+(counta(NPCFaction)-1)*(TRUNC(MOD(($B213*1103515245 +12345)/ 65536, 3276"&amp;"8),0)/32768),0)),QUERY(NPCVar!C:D,""Select D WHERE C = '""&amp;D213&amp;""'"")))"),"Magic Guild")</f>
        <v>Magic Guild</v>
      </c>
      <c r="AE213" s="108" t="e">
        <f t="shared" ca="1" si="11"/>
        <v>#NAME?</v>
      </c>
      <c r="AF213" s="159">
        <f ca="1">IFERROR(__xludf.DUMMYFUNCTION("AE213*(V213 / QUERY(NPCVar!$K$2:$N$12, ""Select N WHERE K='""&amp;AB213&amp;""'""))*TRUNC(1+10)*(TRUNC(MOD(($B213*1103515245 +12345)/ 65536, 32768),0)/32768)"),1.27174072265625)</f>
        <v>1.27174072265625</v>
      </c>
      <c r="AG213" s="16"/>
      <c r="AH213" s="77"/>
      <c r="AI213" s="114"/>
    </row>
    <row r="214" spans="1:35" ht="16.2">
      <c r="A214" s="53">
        <v>213</v>
      </c>
      <c r="B214" s="118">
        <f t="shared" si="16"/>
        <v>2.24411</v>
      </c>
      <c r="C214" s="72" t="str">
        <f t="array" ref="C214">INDEX(NPCFName,TRUNC(1+(COUNTA(NPCFName))*(TRUNC(MOD(($B214*1103515245 +12345)/ 65536, 32768),0)/32768),0))</f>
        <v>Jin</v>
      </c>
      <c r="D214" s="16" t="str">
        <f t="array" ref="D214">INDEX(NPCLName,TRUNC(1+(COUNTA(NPCLName))*(TRUNC(MOD(($B214*1103515245 +12345)/ 65536, 32768),0)/32768),0))</f>
        <v>Fistwing</v>
      </c>
      <c r="E214" s="16" t="str">
        <f t="array" ref="E214">INDEX(NPCClass,TRUNC(1+(COUNTA(NPCClass))*(TRUNC(MOD(($B214*1103515245 +12345)/ 65536, 32768),0)/32768),0))</f>
        <v>Bard</v>
      </c>
      <c r="F214" s="76">
        <v>1</v>
      </c>
      <c r="G214" s="153">
        <f ca="1">VLOOKUP($AB$2,'RF Mod'!$A$2:$G$12,2,FALSE)+VLOOKUP($AD$2,'RF Mod'!$I$2:$O$11,2,FALSE)+(TRUNC(6+(24-6)*(TRUNC(MOD(($Z214*1103515245 +12345)/ 65536, 32768),0)/32768),0))</f>
        <v>5</v>
      </c>
      <c r="H214" s="16">
        <f t="shared" ca="1" si="1"/>
        <v>-3</v>
      </c>
      <c r="I214" s="153">
        <f ca="1">VLOOKUP($AB$2,'RF Mod'!$A$2:$G$12,3,FALSE)+VLOOKUP($AD$2,'RF Mod'!$I$2:$O$11,3,FALSE)+(TRUNC(6+(24-6)*(TRUNC(MOD(($Z214*1103515245 +12345)/ 65536, 32768),0)/32768),0))</f>
        <v>9</v>
      </c>
      <c r="J214" s="16">
        <f t="shared" ca="1" si="2"/>
        <v>-1</v>
      </c>
      <c r="K214" s="153">
        <f ca="1">VLOOKUP($AB$2,'RF Mod'!$A$2:$G$12,3,FALSE)+VLOOKUP($AD$2,'RF Mod'!$I$2:$O$11,3,FALSE)+(TRUNC(6+(24-6)*(TRUNC(MOD(($Z214*1103515245 +12345)/ 65536, 32768),0)/32768),0))</f>
        <v>9</v>
      </c>
      <c r="L214" s="16">
        <f t="shared" ca="1" si="3"/>
        <v>-1</v>
      </c>
      <c r="M214" s="153">
        <f ca="1">VLOOKUP($AB$2,'RF Mod'!$A$2:$G$12,4,FALSE)+VLOOKUP($AD$2,'RF Mod'!$I$2:$O$11,4,FALSE)+(TRUNC(6+(24-6)*(TRUNC(MOD(($Z214*1103515245 +12345)/ 65536, 32768),0)/32768),0))</f>
        <v>8</v>
      </c>
      <c r="N214" s="16">
        <f t="shared" ca="1" si="4"/>
        <v>-1</v>
      </c>
      <c r="O214" s="153">
        <f ca="1">VLOOKUP($AB$2,'RF Mod'!$A$2:$G$12,5,FALSE)+VLOOKUP($AD$2,'RF Mod'!$I$2:$O$11,5,FALSE)+(TRUNC(6+(24-6)*(TRUNC(MOD(($Z214*1103515245 +12345)/ 65536, 32768),0)/32768),0))</f>
        <v>11</v>
      </c>
      <c r="P214" s="16" t="e">
        <f t="shared" ca="1" si="5"/>
        <v>#NAME?</v>
      </c>
      <c r="Q214" s="153">
        <f ca="1">VLOOKUP($AB$2,'RF Mod'!$A$2:$G$12,6,FALSE)+VLOOKUP($AD$2,'RF Mod'!$I$2:$O$11,6,FALSE)+(TRUNC(6+(24-6)*(TRUNC(MOD(($Z214*1103515245 +12345)/ 65536, 32768),0)/32768),0))</f>
        <v>9</v>
      </c>
      <c r="R214" s="16">
        <f t="shared" ca="1" si="6"/>
        <v>-1</v>
      </c>
      <c r="S214" s="154">
        <f t="shared" ca="1" si="12"/>
        <v>11</v>
      </c>
      <c r="T214" s="154">
        <f t="shared" ca="1" si="7"/>
        <v>8</v>
      </c>
      <c r="U214" s="16" t="str">
        <f t="shared" ca="1" si="8"/>
        <v>Bloody</v>
      </c>
      <c r="V214" s="155">
        <f ca="1">IFERROR(__xludf.DUMMYFUNCTION("if(W214=""Middle Age"",QUERY(NPCVar!$K$2:$N1000, ""Select L where K = '""&amp;AB214&amp;""'""),if(W214=""Old"",QUERY(NPCVar!$K$2:$N1000, ""Select M where K = '""&amp;AB214&amp;""'""),if(W214=""Venerable"",QUERY(NPCVar!$K$2:$N1000, ""Select N where K = '""&amp;AB214&amp;""'""),fa"&amp;"lse)))*X214"),32)</f>
        <v>32</v>
      </c>
      <c r="W214" s="156" t="str">
        <f t="array" ref="W214">INDEX(NPCAgeType,TRUNC(1+(4-1)*(TRUNC(MOD((X214*1103515245 +12345)/ 65536, 32768),0)/32768),0))</f>
        <v>Middle Age</v>
      </c>
      <c r="X214" s="117">
        <f t="shared" si="13"/>
        <v>0.4</v>
      </c>
      <c r="Y214" s="157" t="e">
        <f t="array" aca="1" ref="Y214" ca="1">LOOKUP(ABS(MAX(Z214 + MIN(ABS(INDIRECT("Class Jobs!B"&amp;MATCH(E214,'Class Jobs'!$A$1:$A1000,0)&amp;":"&amp;"AF"&amp;MATCH(E214,'Class Jobs'!$A$1:$A1000,0)&amp;"")-$Z214)) * SUM(IF(MIN(ABS(INDIRECT("Class Jobs!B"&amp;MATCH(E214,'Class Jobs'!$A$1:$A1000,0)&amp;":"&amp;"AF"&amp;MATCH(E214,'Class Jobs'!$A$1:$A1000,0)&amp;"")-$Z214))=ABS(INDIRECT("Class Jobs!B"&amp;MATCH(E214,'Class Jobs'!$A$1:$A1000,0)&amp;":"&amp;"AF"&amp;MATCH(E214,'Class Jobs'!$A$1:$A1000,0)&amp;"")-$Z214),SIGN(INDIRECT("Class Jobs!B"&amp;MATCH(E214,'Class Jobs'!$A$1:A1000,0)&amp;":"&amp;"AF"&amp;MATCH(E214,'Class Jobs'!$A$1:$A1000,0)&amp;"")-$Z214),0)),0)),INDIRECT("Class Jobs!B"&amp;MATCH(E214,'Class Jobs'!$A$1:$A1000,0)&amp;":"&amp;"AF"&amp;MATCH(E214,'Class Jobs'!$A$1:$A1000,1)&amp;""),'Class Jobs'!$B$1:$AF$1)</f>
        <v>#REF!</v>
      </c>
      <c r="Z214" s="158">
        <f t="shared" si="10"/>
        <v>0.16</v>
      </c>
      <c r="AA214" s="16" t="str">
        <f t="array" ref="AA214">INDEX(NPCGender,TRUNC(1+(COUNTA(NPCGender))*(TRUNC(MOD(($B214*1103515245 +12345)/ 65536, 32768),0)/32768),0))</f>
        <v>Male</v>
      </c>
      <c r="AB214" s="16" t="str">
        <f t="array" ref="AB214">INDEX(NPCRace,TRUNC(1+(COUNTA(NPCRace))*(TRUNC(MOD(($B214*1103515245 +12345)/ 65536, 32768),0)/32768),0))</f>
        <v>Dwarf</v>
      </c>
      <c r="AC214" s="16" t="str">
        <f t="array" ref="AC214">INDEX(NPCAL,TRUNC(1+(COUNTA(NPCAL))*(TRUNC(MOD(($B214*1103515245 +12345)/ 65536, 32768),0)/32768),0))</f>
        <v>CE</v>
      </c>
      <c r="AD214" s="72" t="str">
        <f ca="1">IFERROR(__xludf.DUMMYFUNCTION("if(V214&lt;15,QUERY(NPCVar!C:D,""Select D WHERE C = '""&amp;D214&amp;""'""),if((TRUNC(1+10)*(TRUNC(MOD((ROW(H214)*1103515245 +12345)/ 65536, 32768),0)/32768)/10) &gt; 0.85,INDEX(NPCFaction,TRUNC(1+(counta(NPCFaction)-1)*(TRUNC(MOD(($B214*1103515245 +12345)/ 65536, 3276"&amp;"8),0)/32768),0)),QUERY(NPCVar!C:D,""Select D WHERE C = '""&amp;D214&amp;""'"")))"),"Necromancer")</f>
        <v>Necromancer</v>
      </c>
      <c r="AE214" s="108" t="e">
        <f t="shared" ca="1" si="11"/>
        <v>#NAME?</v>
      </c>
      <c r="AF214" s="159">
        <f ca="1">IFERROR(__xludf.DUMMYFUNCTION("AE214*(V214 / QUERY(NPCVar!$K$2:$N$12, ""Select N WHERE K='""&amp;AB214&amp;""'""))*TRUNC(1+10)*(TRUNC(MOD(($B214*1103515245 +12345)/ 65536, 32768),0)/32768)"),0.0336968994140625)</f>
        <v>3.3696899414062502E-2</v>
      </c>
      <c r="AG214" s="16"/>
      <c r="AH214" s="77"/>
      <c r="AI214" s="114"/>
    </row>
    <row r="215" spans="1:35" ht="16.2">
      <c r="A215" s="53">
        <v>214</v>
      </c>
      <c r="B215" s="118">
        <f t="shared" si="16"/>
        <v>1.2382500000000001</v>
      </c>
      <c r="C215" s="72" t="str">
        <f t="array" ref="C215">INDEX(NPCFName,TRUNC(1+(COUNTA(NPCFName))*(TRUNC(MOD(($B215*1103515245 +12345)/ 65536, 32768),0)/32768),0))</f>
        <v>Vigoth</v>
      </c>
      <c r="D215" s="16" t="str">
        <f t="array" ref="D215">INDEX(NPCLName,TRUNC(1+(COUNTA(NPCLName))*(TRUNC(MOD(($B215*1103515245 +12345)/ 65536, 32768),0)/32768),0))</f>
        <v>Mourninglash</v>
      </c>
      <c r="E215" s="16" t="str">
        <f t="array" ref="E215">INDEX(NPCClass,TRUNC(1+(COUNTA(NPCClass))*(TRUNC(MOD(($B215*1103515245 +12345)/ 65536, 32768),0)/32768),0))</f>
        <v>Warlock</v>
      </c>
      <c r="F215" s="76">
        <v>8</v>
      </c>
      <c r="G215" s="153">
        <f ca="1">VLOOKUP($AB$2,'RF Mod'!$A$2:$G$12,2,FALSE)+VLOOKUP($AD$2,'RF Mod'!$I$2:$O$11,2,FALSE)+(TRUNC(6+(24-6)*(TRUNC(MOD(($Z215*1103515245 +12345)/ 65536, 32768),0)/32768),0))</f>
        <v>9</v>
      </c>
      <c r="H215" s="16">
        <f t="shared" ca="1" si="1"/>
        <v>-1</v>
      </c>
      <c r="I215" s="153">
        <f ca="1">VLOOKUP($AB$2,'RF Mod'!$A$2:$G$12,3,FALSE)+VLOOKUP($AD$2,'RF Mod'!$I$2:$O$11,3,FALSE)+(TRUNC(6+(24-6)*(TRUNC(MOD(($Z215*1103515245 +12345)/ 65536, 32768),0)/32768),0))</f>
        <v>13</v>
      </c>
      <c r="J215" s="16" t="e">
        <f t="shared" ca="1" si="2"/>
        <v>#NAME?</v>
      </c>
      <c r="K215" s="153">
        <f ca="1">VLOOKUP($AB$2,'RF Mod'!$A$2:$G$12,3,FALSE)+VLOOKUP($AD$2,'RF Mod'!$I$2:$O$11,3,FALSE)+(TRUNC(6+(24-6)*(TRUNC(MOD(($Z215*1103515245 +12345)/ 65536, 32768),0)/32768),0))</f>
        <v>13</v>
      </c>
      <c r="L215" s="16" t="e">
        <f t="shared" ca="1" si="3"/>
        <v>#NAME?</v>
      </c>
      <c r="M215" s="153">
        <f ca="1">VLOOKUP($AB$2,'RF Mod'!$A$2:$G$12,4,FALSE)+VLOOKUP($AD$2,'RF Mod'!$I$2:$O$11,4,FALSE)+(TRUNC(6+(24-6)*(TRUNC(MOD(($Z215*1103515245 +12345)/ 65536, 32768),0)/32768),0))</f>
        <v>12</v>
      </c>
      <c r="N215" s="16" t="e">
        <f t="shared" ca="1" si="4"/>
        <v>#NAME?</v>
      </c>
      <c r="O215" s="153">
        <f ca="1">VLOOKUP($AB$2,'RF Mod'!$A$2:$G$12,5,FALSE)+VLOOKUP($AD$2,'RF Mod'!$I$2:$O$11,5,FALSE)+(TRUNC(6+(24-6)*(TRUNC(MOD(($Z215*1103515245 +12345)/ 65536, 32768),0)/32768),0))</f>
        <v>15</v>
      </c>
      <c r="P215" s="16" t="e">
        <f t="shared" ca="1" si="5"/>
        <v>#NAME?</v>
      </c>
      <c r="Q215" s="153">
        <f ca="1">VLOOKUP($AB$2,'RF Mod'!$A$2:$G$12,6,FALSE)+VLOOKUP($AD$2,'RF Mod'!$I$2:$O$11,6,FALSE)+(TRUNC(6+(24-6)*(TRUNC(MOD(($Z215*1103515245 +12345)/ 65536, 32768),0)/32768),0))</f>
        <v>13</v>
      </c>
      <c r="R215" s="16" t="e">
        <f t="shared" ca="1" si="6"/>
        <v>#NAME?</v>
      </c>
      <c r="S215" s="154">
        <f t="shared" ca="1" si="12"/>
        <v>216</v>
      </c>
      <c r="T215" s="154">
        <f t="shared" ca="1" si="7"/>
        <v>109</v>
      </c>
      <c r="U215" s="16" t="str">
        <f t="shared" ca="1" si="8"/>
        <v>Bloody</v>
      </c>
      <c r="V215" s="155">
        <f ca="1">IFERROR(__xludf.DUMMYFUNCTION("if(W215=""Middle Age"",QUERY(NPCVar!$K$2:$N1000, ""Select L where K = '""&amp;AB215&amp;""'""),if(W215=""Old"",QUERY(NPCVar!$K$2:$N1000, ""Select M where K = '""&amp;AB215&amp;""'""),if(W215=""Venerable"",QUERY(NPCVar!$K$2:$N1000, ""Select N where K = '""&amp;AB215&amp;""'""),fa"&amp;"lse)))*X215"),320)</f>
        <v>320</v>
      </c>
      <c r="W215" s="156" t="str">
        <f t="array" ref="W215">INDEX(NPCAgeType,TRUNC(1+(4-1)*(TRUNC(MOD((X215*1103515245 +12345)/ 65536, 32768),0)/32768),0))</f>
        <v>Venerable</v>
      </c>
      <c r="X215" s="117">
        <f t="shared" si="13"/>
        <v>1.6</v>
      </c>
      <c r="Y215" s="157" t="e">
        <f t="array" aca="1" ref="Y215" ca="1">LOOKUP(ABS(MAX(Z215 + MIN(ABS(INDIRECT("Class Jobs!B"&amp;MATCH(E215,'Class Jobs'!$A$1:$A1000,0)&amp;":"&amp;"AF"&amp;MATCH(E215,'Class Jobs'!$A$1:$A1000,0)&amp;"")-$Z215)) * SUM(IF(MIN(ABS(INDIRECT("Class Jobs!B"&amp;MATCH(E215,'Class Jobs'!$A$1:$A1000,0)&amp;":"&amp;"AF"&amp;MATCH(E215,'Class Jobs'!$A$1:$A1000,0)&amp;"")-$Z215))=ABS(INDIRECT("Class Jobs!B"&amp;MATCH(E215,'Class Jobs'!$A$1:$A1000,0)&amp;":"&amp;"AF"&amp;MATCH(E215,'Class Jobs'!$A$1:$A1000,0)&amp;"")-$Z215),SIGN(INDIRECT("Class Jobs!B"&amp;MATCH(E215,'Class Jobs'!$A$1:A1000,0)&amp;":"&amp;"AF"&amp;MATCH(E215,'Class Jobs'!$A$1:$A1000,0)&amp;"")-$Z215),0)),0)),INDIRECT("Class Jobs!B"&amp;MATCH(E215,'Class Jobs'!$A$1:$A1000,0)&amp;":"&amp;"AF"&amp;MATCH(E215,'Class Jobs'!$A$1:$A1000,1)&amp;""),'Class Jobs'!$B$1:$AF$1)</f>
        <v>#REF!</v>
      </c>
      <c r="Z215" s="158">
        <f t="shared" si="10"/>
        <v>0.63</v>
      </c>
      <c r="AA215" s="16" t="str">
        <f t="array" ref="AA215">INDEX(NPCGender,TRUNC(1+(COUNTA(NPCGender))*(TRUNC(MOD(($B215*1103515245 +12345)/ 65536, 32768),0)/32768),0))</f>
        <v>Female</v>
      </c>
      <c r="AB215" s="16" t="str">
        <f t="array" ref="AB215">INDEX(NPCRace,TRUNC(1+(COUNTA(NPCRace))*(TRUNC(MOD(($B215*1103515245 +12345)/ 65536, 32768),0)/32768),0))</f>
        <v>Halfling</v>
      </c>
      <c r="AC215" s="16" t="str">
        <f t="array" ref="AC215">INDEX(NPCAL,TRUNC(1+(COUNTA(NPCAL))*(TRUNC(MOD(($B215*1103515245 +12345)/ 65536, 32768),0)/32768),0))</f>
        <v>NE</v>
      </c>
      <c r="AD215" s="72" t="str">
        <f ca="1">IFERROR(__xludf.DUMMYFUNCTION("if(V215&lt;15,QUERY(NPCVar!C:D,""Select D WHERE C = '""&amp;D215&amp;""'""),if((TRUNC(1+10)*(TRUNC(MOD((ROW(H215)*1103515245 +12345)/ 65536, 32768),0)/32768)/10) &gt; 0.85,INDEX(NPCFaction,TRUNC(1+(counta(NPCFaction)-1)*(TRUNC(MOD(($B215*1103515245 +12345)/ 65536, 3276"&amp;"8),0)/32768),0)),QUERY(NPCVar!C:D,""Select D WHERE C = '""&amp;D215&amp;""'"")))"),"Traverlers Guild")</f>
        <v>Traverlers Guild</v>
      </c>
      <c r="AE215" s="108" t="e">
        <f t="shared" ca="1" si="11"/>
        <v>#NAME?</v>
      </c>
      <c r="AF215" s="159">
        <f ca="1">IFERROR(__xludf.DUMMYFUNCTION("AE215*(V215 / QUERY(NPCVar!$K$2:$N$12, ""Select N WHERE K='""&amp;AB215&amp;""'""))*TRUNC(1+10)*(TRUNC(MOD(($B215*1103515245 +12345)/ 65536, 32768),0)/32768)"),11.19873046875)</f>
        <v>11.19873046875</v>
      </c>
      <c r="AG215" s="16"/>
      <c r="AH215" s="77"/>
      <c r="AI215" s="114"/>
    </row>
    <row r="216" spans="1:35" ht="16.2">
      <c r="A216" s="53">
        <v>215</v>
      </c>
      <c r="B216" s="118">
        <f t="shared" si="16"/>
        <v>0.2324</v>
      </c>
      <c r="C216" s="72" t="str">
        <f t="array" ref="C216">INDEX(NPCFName,TRUNC(1+(COUNTA(NPCFName))*(TRUNC(MOD(($B216*1103515245 +12345)/ 65536, 32768),0)/32768),0))</f>
        <v>Gerirr</v>
      </c>
      <c r="D216" s="16" t="str">
        <f t="array" ref="D216">INDEX(NPCLName,TRUNC(1+(COUNTA(NPCLName))*(TRUNC(MOD(($B216*1103515245 +12345)/ 65536, 32768),0)/32768),0))</f>
        <v>Distantlash</v>
      </c>
      <c r="E216" s="16" t="str">
        <f t="array" ref="E216">INDEX(NPCClass,TRUNC(1+(COUNTA(NPCClass))*(TRUNC(MOD(($B216*1103515245 +12345)/ 65536, 32768),0)/32768),0))</f>
        <v>Bard</v>
      </c>
      <c r="F216" s="76">
        <v>1</v>
      </c>
      <c r="G216" s="153">
        <f ca="1">VLOOKUP($AB$2,'RF Mod'!$A$2:$G$12,2,FALSE)+VLOOKUP($AD$2,'RF Mod'!$I$2:$O$11,2,FALSE)+(TRUNC(6+(24-6)*(TRUNC(MOD(($Z216*1103515245 +12345)/ 65536, 32768),0)/32768),0))</f>
        <v>5</v>
      </c>
      <c r="H216" s="16">
        <f t="shared" ca="1" si="1"/>
        <v>-3</v>
      </c>
      <c r="I216" s="153">
        <f ca="1">VLOOKUP($AB$2,'RF Mod'!$A$2:$G$12,3,FALSE)+VLOOKUP($AD$2,'RF Mod'!$I$2:$O$11,3,FALSE)+(TRUNC(6+(24-6)*(TRUNC(MOD(($Z216*1103515245 +12345)/ 65536, 32768),0)/32768),0))</f>
        <v>9</v>
      </c>
      <c r="J216" s="16">
        <f t="shared" ca="1" si="2"/>
        <v>-1</v>
      </c>
      <c r="K216" s="153">
        <f ca="1">VLOOKUP($AB$2,'RF Mod'!$A$2:$G$12,3,FALSE)+VLOOKUP($AD$2,'RF Mod'!$I$2:$O$11,3,FALSE)+(TRUNC(6+(24-6)*(TRUNC(MOD(($Z216*1103515245 +12345)/ 65536, 32768),0)/32768),0))</f>
        <v>9</v>
      </c>
      <c r="L216" s="16">
        <f t="shared" ca="1" si="3"/>
        <v>-1</v>
      </c>
      <c r="M216" s="153">
        <f ca="1">VLOOKUP($AB$2,'RF Mod'!$A$2:$G$12,4,FALSE)+VLOOKUP($AD$2,'RF Mod'!$I$2:$O$11,4,FALSE)+(TRUNC(6+(24-6)*(TRUNC(MOD(($Z216*1103515245 +12345)/ 65536, 32768),0)/32768),0))</f>
        <v>8</v>
      </c>
      <c r="N216" s="16">
        <f t="shared" ca="1" si="4"/>
        <v>-1</v>
      </c>
      <c r="O216" s="153">
        <f ca="1">VLOOKUP($AB$2,'RF Mod'!$A$2:$G$12,5,FALSE)+VLOOKUP($AD$2,'RF Mod'!$I$2:$O$11,5,FALSE)+(TRUNC(6+(24-6)*(TRUNC(MOD(($Z216*1103515245 +12345)/ 65536, 32768),0)/32768),0))</f>
        <v>11</v>
      </c>
      <c r="P216" s="16" t="e">
        <f t="shared" ca="1" si="5"/>
        <v>#NAME?</v>
      </c>
      <c r="Q216" s="153">
        <f ca="1">VLOOKUP($AB$2,'RF Mod'!$A$2:$G$12,6,FALSE)+VLOOKUP($AD$2,'RF Mod'!$I$2:$O$11,6,FALSE)+(TRUNC(6+(24-6)*(TRUNC(MOD(($Z216*1103515245 +12345)/ 65536, 32768),0)/32768),0))</f>
        <v>9</v>
      </c>
      <c r="R216" s="16">
        <f t="shared" ca="1" si="6"/>
        <v>-1</v>
      </c>
      <c r="S216" s="154">
        <f t="shared" ca="1" si="12"/>
        <v>11</v>
      </c>
      <c r="T216" s="154">
        <f t="shared" ca="1" si="7"/>
        <v>11</v>
      </c>
      <c r="U216" s="16" t="str">
        <f t="shared" ca="1" si="8"/>
        <v>Unconscious</v>
      </c>
      <c r="V216" s="155">
        <f ca="1">IFERROR(__xludf.DUMMYFUNCTION("if(W216=""Middle Age"",QUERY(NPCVar!$K$2:$N1000, ""Select L where K = '""&amp;AB216&amp;""'""),if(W216=""Old"",QUERY(NPCVar!$K$2:$N1000, ""Select M where K = '""&amp;AB216&amp;""'""),if(W216=""Venerable"",QUERY(NPCVar!$K$2:$N1000, ""Select N where K = '""&amp;AB216&amp;""'""),fa"&amp;"lse)))*X216"),24)</f>
        <v>24</v>
      </c>
      <c r="W216" s="156" t="str">
        <f t="array" ref="W216">INDEX(NPCAgeType,TRUNC(1+(4-1)*(TRUNC(MOD((X216*1103515245 +12345)/ 65536, 32768),0)/32768),0))</f>
        <v>Middle Age</v>
      </c>
      <c r="X216" s="117">
        <f t="shared" si="13"/>
        <v>0.3</v>
      </c>
      <c r="Y216" s="157" t="e">
        <f t="array" aca="1" ref="Y216" ca="1">LOOKUP(ABS(MAX(Z216 + MIN(ABS(INDIRECT("Class Jobs!B"&amp;MATCH(E216,'Class Jobs'!$A$1:$A1000,0)&amp;":"&amp;"AF"&amp;MATCH(E216,'Class Jobs'!$A$1:$A1000,0)&amp;"")-$Z216)) * SUM(IF(MIN(ABS(INDIRECT("Class Jobs!B"&amp;MATCH(E216,'Class Jobs'!$A$1:$A1000,0)&amp;":"&amp;"AF"&amp;MATCH(E216,'Class Jobs'!$A$1:$A1000,0)&amp;"")-$Z216))=ABS(INDIRECT("Class Jobs!B"&amp;MATCH(E216,'Class Jobs'!$A$1:$A1000,0)&amp;":"&amp;"AF"&amp;MATCH(E216,'Class Jobs'!$A$1:$A1000,0)&amp;"")-$Z216),SIGN(INDIRECT("Class Jobs!B"&amp;MATCH(E216,'Class Jobs'!$A$1:A1000,0)&amp;":"&amp;"AF"&amp;MATCH(E216,'Class Jobs'!$A$1:$A1000,0)&amp;"")-$Z216),0)),0)),INDIRECT("Class Jobs!B"&amp;MATCH(E216,'Class Jobs'!$A$1:$A1000,0)&amp;":"&amp;"AF"&amp;MATCH(E216,'Class Jobs'!$A$1:$A1000,1)&amp;""),'Class Jobs'!$B$1:$AF$1)</f>
        <v>#REF!</v>
      </c>
      <c r="Z216" s="158">
        <f t="shared" si="10"/>
        <v>0.12</v>
      </c>
      <c r="AA216" s="16" t="str">
        <f t="array" ref="AA216">INDEX(NPCGender,TRUNC(1+(COUNTA(NPCGender))*(TRUNC(MOD(($B216*1103515245 +12345)/ 65536, 32768),0)/32768),0))</f>
        <v>Male</v>
      </c>
      <c r="AB216" s="16" t="str">
        <f t="array" ref="AB216">INDEX(NPCRace,TRUNC(1+(COUNTA(NPCRace))*(TRUNC(MOD(($B216*1103515245 +12345)/ 65536, 32768),0)/32768),0))</f>
        <v>Dwarf</v>
      </c>
      <c r="AC216" s="16" t="str">
        <f t="array" ref="AC216">INDEX(NPCAL,TRUNC(1+(COUNTA(NPCAL))*(TRUNC(MOD(($B216*1103515245 +12345)/ 65536, 32768),0)/32768),0))</f>
        <v>CE</v>
      </c>
      <c r="AD216" s="72" t="str">
        <f ca="1">IFERROR(__xludf.DUMMYFUNCTION("if(V216&lt;15,QUERY(NPCVar!C:D,""Select D WHERE C = '""&amp;D216&amp;""'""),if((TRUNC(1+10)*(TRUNC(MOD((ROW(H216)*1103515245 +12345)/ 65536, 32768),0)/32768)/10) &gt; 0.85,INDEX(NPCFaction,TRUNC(1+(counta(NPCFaction)-1)*(TRUNC(MOD(($B216*1103515245 +12345)/ 65536, 3276"&amp;"8),0)/32768),0)),QUERY(NPCVar!C:D,""Select D WHERE C = '""&amp;D216&amp;""'"")))"),"Necromancer")</f>
        <v>Necromancer</v>
      </c>
      <c r="AE216" s="108" t="e">
        <f t="shared" ca="1" si="11"/>
        <v>#NAME?</v>
      </c>
      <c r="AF216" s="159">
        <f ca="1">IFERROR(__xludf.DUMMYFUNCTION("AE216*(V216 / QUERY(NPCVar!$K$2:$N$12, ""Select N WHERE K='""&amp;AB216&amp;""'""))*TRUNC(1+10)*(TRUNC(MOD(($B216*1103515245 +12345)/ 65536, 32768),0)/32768)"),0.0197035217285156)</f>
        <v>1.97035217285156E-2</v>
      </c>
      <c r="AG216" s="16"/>
      <c r="AH216" s="77"/>
      <c r="AI216" s="114"/>
    </row>
    <row r="217" spans="1:35" ht="16.2">
      <c r="A217" s="53">
        <v>216</v>
      </c>
      <c r="B217" s="118">
        <f t="shared" si="16"/>
        <v>1.7265299999999999</v>
      </c>
      <c r="C217" s="72" t="str">
        <f t="array" ref="C217">INDEX(NPCFName,TRUNC(1+(COUNTA(NPCFName))*(TRUNC(MOD(($B217*1103515245 +12345)/ 65536, 32768),0)/32768),0))</f>
        <v>Papur</v>
      </c>
      <c r="D217" s="16" t="str">
        <f t="array" ref="D217">INDEX(NPCLName,TRUNC(1+(COUNTA(NPCLName))*(TRUNC(MOD(($B217*1103515245 +12345)/ 65536, 32768),0)/32768),0))</f>
        <v>Forestbluff</v>
      </c>
      <c r="E217" s="16" t="str">
        <f t="array" ref="E217">INDEX(NPCClass,TRUNC(1+(COUNTA(NPCClass))*(TRUNC(MOD(($B217*1103515245 +12345)/ 65536, 32768),0)/32768),0))</f>
        <v>Fighter</v>
      </c>
      <c r="F217" s="76">
        <v>8</v>
      </c>
      <c r="G217" s="153">
        <f ca="1">VLOOKUP($AB$2,'RF Mod'!$A$2:$G$12,2,FALSE)+VLOOKUP($AD$2,'RF Mod'!$I$2:$O$11,2,FALSE)+(TRUNC(6+(24-6)*(TRUNC(MOD(($Z217*1103515245 +12345)/ 65536, 32768),0)/32768),0))</f>
        <v>12</v>
      </c>
      <c r="H217" s="16" t="e">
        <f t="shared" ca="1" si="1"/>
        <v>#NAME?</v>
      </c>
      <c r="I217" s="153">
        <f ca="1">VLOOKUP($AB$2,'RF Mod'!$A$2:$G$12,3,FALSE)+VLOOKUP($AD$2,'RF Mod'!$I$2:$O$11,3,FALSE)+(TRUNC(6+(24-6)*(TRUNC(MOD(($Z217*1103515245 +12345)/ 65536, 32768),0)/32768),0))</f>
        <v>16</v>
      </c>
      <c r="J217" s="16" t="e">
        <f t="shared" ca="1" si="2"/>
        <v>#NAME?</v>
      </c>
      <c r="K217" s="153">
        <f ca="1">VLOOKUP($AB$2,'RF Mod'!$A$2:$G$12,3,FALSE)+VLOOKUP($AD$2,'RF Mod'!$I$2:$O$11,3,FALSE)+(TRUNC(6+(24-6)*(TRUNC(MOD(($Z217*1103515245 +12345)/ 65536, 32768),0)/32768),0))</f>
        <v>16</v>
      </c>
      <c r="L217" s="16" t="e">
        <f t="shared" ca="1" si="3"/>
        <v>#NAME?</v>
      </c>
      <c r="M217" s="153">
        <f ca="1">VLOOKUP($AB$2,'RF Mod'!$A$2:$G$12,4,FALSE)+VLOOKUP($AD$2,'RF Mod'!$I$2:$O$11,4,FALSE)+(TRUNC(6+(24-6)*(TRUNC(MOD(($Z217*1103515245 +12345)/ 65536, 32768),0)/32768),0))</f>
        <v>15</v>
      </c>
      <c r="N217" s="16" t="e">
        <f t="shared" ca="1" si="4"/>
        <v>#NAME?</v>
      </c>
      <c r="O217" s="153">
        <f ca="1">VLOOKUP($AB$2,'RF Mod'!$A$2:$G$12,5,FALSE)+VLOOKUP($AD$2,'RF Mod'!$I$2:$O$11,5,FALSE)+(TRUNC(6+(24-6)*(TRUNC(MOD(($Z217*1103515245 +12345)/ 65536, 32768),0)/32768),0))</f>
        <v>18</v>
      </c>
      <c r="P217" s="16" t="e">
        <f t="shared" ca="1" si="5"/>
        <v>#NAME?</v>
      </c>
      <c r="Q217" s="153">
        <f ca="1">VLOOKUP($AB$2,'RF Mod'!$A$2:$G$12,6,FALSE)+VLOOKUP($AD$2,'RF Mod'!$I$2:$O$11,6,FALSE)+(TRUNC(6+(24-6)*(TRUNC(MOD(($Z217*1103515245 +12345)/ 65536, 32768),0)/32768),0))</f>
        <v>16</v>
      </c>
      <c r="R217" s="16" t="e">
        <f t="shared" ca="1" si="6"/>
        <v>#NAME?</v>
      </c>
      <c r="S217" s="154">
        <f t="shared" ca="1" si="12"/>
        <v>240</v>
      </c>
      <c r="T217" s="154">
        <f t="shared" ca="1" si="7"/>
        <v>185</v>
      </c>
      <c r="U217" s="16" t="str">
        <f t="shared" ca="1" si="8"/>
        <v>Bloody</v>
      </c>
      <c r="V217" s="155">
        <f ca="1">IFERROR(__xludf.DUMMYFUNCTION("if(W217=""Middle Age"",QUERY(NPCVar!$K$2:$N1000, ""Select L where K = '""&amp;AB217&amp;""'""),if(W217=""Old"",QUERY(NPCVar!$K$2:$N1000, ""Select M where K = '""&amp;AB217&amp;""'""),if(W217=""Venerable"",QUERY(NPCVar!$K$2:$N1000, ""Select N where K = '""&amp;AB217&amp;""'""),fa"&amp;"lse)))*X217"),60.5)</f>
        <v>60.5</v>
      </c>
      <c r="W217" s="156" t="str">
        <f t="array" ref="W217">INDEX(NPCAgeType,TRUNC(1+(4-1)*(TRUNC(MOD((X217*1103515245 +12345)/ 65536, 32768),0)/32768),0))</f>
        <v>Middle Age</v>
      </c>
      <c r="X217" s="117">
        <f t="shared" si="13"/>
        <v>2.2000000000000002</v>
      </c>
      <c r="Y217" s="157" t="e">
        <f t="array" aca="1" ref="Y217" ca="1">LOOKUP(ABS(MAX(Z217 + MIN(ABS(INDIRECT("Class Jobs!B"&amp;MATCH(E217,'Class Jobs'!$A$1:$A1000,0)&amp;":"&amp;"AF"&amp;MATCH(E217,'Class Jobs'!$A$1:$A1000,0)&amp;"")-$Z217)) * SUM(IF(MIN(ABS(INDIRECT("Class Jobs!B"&amp;MATCH(E217,'Class Jobs'!$A$1:$A1000,0)&amp;":"&amp;"AF"&amp;MATCH(E217,'Class Jobs'!$A$1:$A1000,0)&amp;"")-$Z217))=ABS(INDIRECT("Class Jobs!B"&amp;MATCH(E217,'Class Jobs'!$A$1:$A1000,0)&amp;":"&amp;"AF"&amp;MATCH(E217,'Class Jobs'!$A$1:$A1000,0)&amp;"")-$Z217),SIGN(INDIRECT("Class Jobs!B"&amp;MATCH(E217,'Class Jobs'!$A$1:A1000,0)&amp;":"&amp;"AF"&amp;MATCH(E217,'Class Jobs'!$A$1:$A1000,0)&amp;"")-$Z217),0)),0)),INDIRECT("Class Jobs!B"&amp;MATCH(E217,'Class Jobs'!$A$1:$A1000,0)&amp;":"&amp;"AF"&amp;MATCH(E217,'Class Jobs'!$A$1:$A1000,1)&amp;""),'Class Jobs'!$B$1:$AF$1)</f>
        <v>#REF!</v>
      </c>
      <c r="Z217" s="158">
        <f t="shared" si="10"/>
        <v>0.88</v>
      </c>
      <c r="AA217" s="16" t="str">
        <f t="array" ref="AA217">INDEX(NPCGender,TRUNC(1+(COUNTA(NPCGender))*(TRUNC(MOD(($B217*1103515245 +12345)/ 65536, 32768),0)/32768),0))</f>
        <v>Neutral</v>
      </c>
      <c r="AB217" s="16" t="str">
        <f t="array" ref="AB217">INDEX(NPCRace,TRUNC(1+(COUNTA(NPCRace))*(TRUNC(MOD(($B217*1103515245 +12345)/ 65536, 32768),0)/32768),0))</f>
        <v>Genasi</v>
      </c>
      <c r="AC217" s="16" t="str">
        <f t="array" ref="AC217">INDEX(NPCAL,TRUNC(1+(COUNTA(NPCAL))*(TRUNC(MOD(($B217*1103515245 +12345)/ 65536, 32768),0)/32768),0))</f>
        <v>LN</v>
      </c>
      <c r="AD217" s="72" t="str">
        <f ca="1">IFERROR(__xludf.DUMMYFUNCTION("if(V217&lt;15,QUERY(NPCVar!C:D,""Select D WHERE C = '""&amp;D217&amp;""'""),if((TRUNC(1+10)*(TRUNC(MOD((ROW(H217)*1103515245 +12345)/ 65536, 32768),0)/32768)/10) &gt; 0.85,INDEX(NPCFaction,TRUNC(1+(counta(NPCFaction)-1)*(TRUNC(MOD(($B217*1103515245 +12345)/ 65536, 3276"&amp;"8),0)/32768),0)),QUERY(NPCVar!C:D,""Select D WHERE C = '""&amp;D217&amp;""'"")))"),"Thieves Guild")</f>
        <v>Thieves Guild</v>
      </c>
      <c r="AE217" s="108" t="e">
        <f t="shared" ca="1" si="11"/>
        <v>#NAME?</v>
      </c>
      <c r="AF217" s="159">
        <f ca="1">IFERROR(__xludf.DUMMYFUNCTION("AE217*(V217 / QUERY(NPCVar!$K$2:$N$12, ""Select N WHERE K='""&amp;AB217&amp;""'""))*TRUNC(1+10)*(TRUNC(MOD(($B217*1103515245 +12345)/ 65536, 32768),0)/32768)"),5.3676025390625)</f>
        <v>5.3676025390625002</v>
      </c>
      <c r="AG217" s="16"/>
      <c r="AH217" s="77"/>
      <c r="AI217" s="114"/>
    </row>
    <row r="218" spans="1:35" ht="16.2">
      <c r="A218" s="53">
        <v>217</v>
      </c>
      <c r="B218" s="118">
        <f t="shared" si="16"/>
        <v>0.72067000000000003</v>
      </c>
      <c r="C218" s="72" t="str">
        <f t="array" ref="C218">INDEX(NPCFName,TRUNC(1+(COUNTA(NPCFName))*(TRUNC(MOD(($B218*1103515245 +12345)/ 65536, 32768),0)/32768),0))</f>
        <v>Bredere</v>
      </c>
      <c r="D218" s="16" t="str">
        <f t="array" ref="D218">INDEX(NPCLName,TRUNC(1+(COUNTA(NPCLName))*(TRUNC(MOD(($B218*1103515245 +12345)/ 65536, 32768),0)/32768),0))</f>
        <v>Fistroot</v>
      </c>
      <c r="E218" s="16" t="str">
        <f t="array" ref="E218">INDEX(NPCClass,TRUNC(1+(COUNTA(NPCClass))*(TRUNC(MOD(($B218*1103515245 +12345)/ 65536, 32768),0)/32768),0))</f>
        <v>Paladin</v>
      </c>
      <c r="F218" s="76">
        <v>2</v>
      </c>
      <c r="G218" s="153">
        <f ca="1">VLOOKUP($AB$2,'RF Mod'!$A$2:$G$12,2,FALSE)+VLOOKUP($AD$2,'RF Mod'!$I$2:$O$11,2,FALSE)+(TRUNC(6+(24-6)*(TRUNC(MOD(($Z218*1103515245 +12345)/ 65536, 32768),0)/32768),0))</f>
        <v>7</v>
      </c>
      <c r="H218" s="16">
        <f t="shared" ca="1" si="1"/>
        <v>-2</v>
      </c>
      <c r="I218" s="153">
        <f ca="1">VLOOKUP($AB$2,'RF Mod'!$A$2:$G$12,3,FALSE)+VLOOKUP($AD$2,'RF Mod'!$I$2:$O$11,3,FALSE)+(TRUNC(6+(24-6)*(TRUNC(MOD(($Z218*1103515245 +12345)/ 65536, 32768),0)/32768),0))</f>
        <v>11</v>
      </c>
      <c r="J218" s="16" t="e">
        <f t="shared" ca="1" si="2"/>
        <v>#NAME?</v>
      </c>
      <c r="K218" s="153">
        <f ca="1">VLOOKUP($AB$2,'RF Mod'!$A$2:$G$12,3,FALSE)+VLOOKUP($AD$2,'RF Mod'!$I$2:$O$11,3,FALSE)+(TRUNC(6+(24-6)*(TRUNC(MOD(($Z218*1103515245 +12345)/ 65536, 32768),0)/32768),0))</f>
        <v>11</v>
      </c>
      <c r="L218" s="16" t="e">
        <f t="shared" ca="1" si="3"/>
        <v>#NAME?</v>
      </c>
      <c r="M218" s="153">
        <f ca="1">VLOOKUP($AB$2,'RF Mod'!$A$2:$G$12,4,FALSE)+VLOOKUP($AD$2,'RF Mod'!$I$2:$O$11,4,FALSE)+(TRUNC(6+(24-6)*(TRUNC(MOD(($Z218*1103515245 +12345)/ 65536, 32768),0)/32768),0))</f>
        <v>10</v>
      </c>
      <c r="N218" s="16" t="e">
        <f t="shared" ca="1" si="4"/>
        <v>#NAME?</v>
      </c>
      <c r="O218" s="153">
        <f ca="1">VLOOKUP($AB$2,'RF Mod'!$A$2:$G$12,5,FALSE)+VLOOKUP($AD$2,'RF Mod'!$I$2:$O$11,5,FALSE)+(TRUNC(6+(24-6)*(TRUNC(MOD(($Z218*1103515245 +12345)/ 65536, 32768),0)/32768),0))</f>
        <v>13</v>
      </c>
      <c r="P218" s="16" t="e">
        <f t="shared" ca="1" si="5"/>
        <v>#NAME?</v>
      </c>
      <c r="Q218" s="153">
        <f ca="1">VLOOKUP($AB$2,'RF Mod'!$A$2:$G$12,6,FALSE)+VLOOKUP($AD$2,'RF Mod'!$I$2:$O$11,6,FALSE)+(TRUNC(6+(24-6)*(TRUNC(MOD(($Z218*1103515245 +12345)/ 65536, 32768),0)/32768),0))</f>
        <v>11</v>
      </c>
      <c r="R218" s="16" t="e">
        <f t="shared" ca="1" si="6"/>
        <v>#NAME?</v>
      </c>
      <c r="S218" s="154">
        <f t="shared" ca="1" si="12"/>
        <v>34</v>
      </c>
      <c r="T218" s="154">
        <f t="shared" ca="1" si="7"/>
        <v>21</v>
      </c>
      <c r="U218" s="16" t="str">
        <f t="shared" ca="1" si="8"/>
        <v>Bloody</v>
      </c>
      <c r="V218" s="155">
        <f ca="1">IFERROR(__xludf.DUMMYFUNCTION("if(W218=""Middle Age"",QUERY(NPCVar!$K$2:$N1000, ""Select L where K = '""&amp;AB218&amp;""'""),if(W218=""Old"",QUERY(NPCVar!$K$2:$N1000, ""Select M where K = '""&amp;AB218&amp;""'""),if(W218=""Venerable"",QUERY(NPCVar!$K$2:$N1000, ""Select N where K = '""&amp;AB218&amp;""'""),fa"&amp;"lse)))*X218"),60.75)</f>
        <v>60.75</v>
      </c>
      <c r="W218" s="156" t="str">
        <f t="array" ref="W218">INDEX(NPCAgeType,TRUNC(1+(4-1)*(TRUNC(MOD((X218*1103515245 +12345)/ 65536, 32768),0)/32768),0))</f>
        <v>Old</v>
      </c>
      <c r="X218" s="117">
        <f t="shared" si="13"/>
        <v>0.9</v>
      </c>
      <c r="Y218" s="157" t="e">
        <f t="array" aca="1" ref="Y218" ca="1">LOOKUP(ABS(MAX(Z218 + MIN(ABS(INDIRECT("Class Jobs!B"&amp;MATCH(E218,'Class Jobs'!$A$1:$A1000,0)&amp;":"&amp;"AF"&amp;MATCH(E218,'Class Jobs'!$A$1:$A1000,0)&amp;"")-$Z218)) * SUM(IF(MIN(ABS(INDIRECT("Class Jobs!B"&amp;MATCH(E218,'Class Jobs'!$A$1:$A1000,0)&amp;":"&amp;"AF"&amp;MATCH(E218,'Class Jobs'!$A$1:$A1000,0)&amp;"")-$Z218))=ABS(INDIRECT("Class Jobs!B"&amp;MATCH(E218,'Class Jobs'!$A$1:$A1000,0)&amp;":"&amp;"AF"&amp;MATCH(E218,'Class Jobs'!$A$1:$A1000,0)&amp;"")-$Z218),SIGN(INDIRECT("Class Jobs!B"&amp;MATCH(E218,'Class Jobs'!$A$1:A1000,0)&amp;":"&amp;"AF"&amp;MATCH(E218,'Class Jobs'!$A$1:$A1000,0)&amp;"")-$Z218),0)),0)),INDIRECT("Class Jobs!B"&amp;MATCH(E218,'Class Jobs'!$A$1:$A1000,0)&amp;":"&amp;"AF"&amp;MATCH(E218,'Class Jobs'!$A$1:$A1000,1)&amp;""),'Class Jobs'!$B$1:$AF$1)</f>
        <v>#REF!</v>
      </c>
      <c r="Z218" s="158">
        <f t="shared" si="10"/>
        <v>0.37</v>
      </c>
      <c r="AA218" s="16" t="str">
        <f t="array" ref="AA218">INDEX(NPCGender,TRUNC(1+(COUNTA(NPCGender))*(TRUNC(MOD(($B218*1103515245 +12345)/ 65536, 32768),0)/32768),0))</f>
        <v>Female</v>
      </c>
      <c r="AB218" s="16" t="str">
        <f t="array" ref="AB218">INDEX(NPCRace,TRUNC(1+(COUNTA(NPCRace))*(TRUNC(MOD(($B218*1103515245 +12345)/ 65536, 32768),0)/32768),0))</f>
        <v>Half-Elf</v>
      </c>
      <c r="AC218" s="16" t="str">
        <f t="array" ref="AC218">INDEX(NPCAL,TRUNC(1+(COUNTA(NPCAL))*(TRUNC(MOD(($B218*1103515245 +12345)/ 65536, 32768),0)/32768),0))</f>
        <v>NG</v>
      </c>
      <c r="AD218" s="72" t="str">
        <f ca="1">IFERROR(__xludf.DUMMYFUNCTION("if(V218&lt;15,QUERY(NPCVar!C:D,""Select D WHERE C = '""&amp;D218&amp;""'""),if((TRUNC(1+10)*(TRUNC(MOD((ROW(H218)*1103515245 +12345)/ 65536, 32768),0)/32768)/10) &gt; 0.85,INDEX(NPCFaction,TRUNC(1+(counta(NPCFaction)-1)*(TRUNC(MOD(($B218*1103515245 +12345)/ 65536, 3276"&amp;"8),0)/32768),0)),QUERY(NPCVar!C:D,""Select D WHERE C = '""&amp;D218&amp;""'"")))"),"Magic Guild")</f>
        <v>Magic Guild</v>
      </c>
      <c r="AE218" s="108" t="e">
        <f t="shared" ca="1" si="11"/>
        <v>#NAME?</v>
      </c>
      <c r="AF218" s="159">
        <f ca="1">IFERROR(__xludf.DUMMYFUNCTION("AE218*(V218 / QUERY(NPCVar!$K$2:$N$12, ""Select N WHERE K='""&amp;AB218&amp;""'""))*TRUNC(1+10)*(TRUNC(MOD(($B218*1103515245 +12345)/ 65536, 32768),0)/32768)"),0.549941253662109)</f>
        <v>0.549941253662109</v>
      </c>
      <c r="AG218" s="16"/>
      <c r="AH218" s="77"/>
      <c r="AI218" s="114"/>
    </row>
    <row r="219" spans="1:35" ht="16.2">
      <c r="A219" s="53">
        <v>218</v>
      </c>
      <c r="B219" s="118">
        <f t="shared" si="16"/>
        <v>2.2147299999999999</v>
      </c>
      <c r="C219" s="72" t="str">
        <f t="array" ref="C219">INDEX(NPCFName,TRUNC(1+(COUNTA(NPCFName))*(TRUNC(MOD(($B219*1103515245 +12345)/ 65536, 32768),0)/32768),0))</f>
        <v>Iarmod</v>
      </c>
      <c r="D219" s="16" t="str">
        <f t="array" ref="D219">INDEX(NPCLName,TRUNC(1+(COUNTA(NPCLName))*(TRUNC(MOD(($B219*1103515245 +12345)/ 65536, 32768),0)/32768),0))</f>
        <v>Fistwing</v>
      </c>
      <c r="E219" s="16" t="str">
        <f t="array" ref="E219">INDEX(NPCClass,TRUNC(1+(COUNTA(NPCClass))*(TRUNC(MOD(($B219*1103515245 +12345)/ 65536, 32768),0)/32768),0))</f>
        <v>Bard</v>
      </c>
      <c r="F219" s="76">
        <v>1</v>
      </c>
      <c r="G219" s="153">
        <f ca="1">VLOOKUP($AB$2,'RF Mod'!$A$2:$G$12,2,FALSE)+VLOOKUP($AD$2,'RF Mod'!$I$2:$O$11,2,FALSE)+(TRUNC(6+(24-6)*(TRUNC(MOD(($Z219*1103515245 +12345)/ 65536, 32768),0)/32768),0))</f>
        <v>5</v>
      </c>
      <c r="H219" s="16">
        <f t="shared" ca="1" si="1"/>
        <v>-3</v>
      </c>
      <c r="I219" s="153">
        <f ca="1">VLOOKUP($AB$2,'RF Mod'!$A$2:$G$12,3,FALSE)+VLOOKUP($AD$2,'RF Mod'!$I$2:$O$11,3,FALSE)+(TRUNC(6+(24-6)*(TRUNC(MOD(($Z219*1103515245 +12345)/ 65536, 32768),0)/32768),0))</f>
        <v>9</v>
      </c>
      <c r="J219" s="16">
        <f t="shared" ca="1" si="2"/>
        <v>-1</v>
      </c>
      <c r="K219" s="153">
        <f ca="1">VLOOKUP($AB$2,'RF Mod'!$A$2:$G$12,3,FALSE)+VLOOKUP($AD$2,'RF Mod'!$I$2:$O$11,3,FALSE)+(TRUNC(6+(24-6)*(TRUNC(MOD(($Z219*1103515245 +12345)/ 65536, 32768),0)/32768),0))</f>
        <v>9</v>
      </c>
      <c r="L219" s="16">
        <f t="shared" ca="1" si="3"/>
        <v>-1</v>
      </c>
      <c r="M219" s="153">
        <f ca="1">VLOOKUP($AB$2,'RF Mod'!$A$2:$G$12,4,FALSE)+VLOOKUP($AD$2,'RF Mod'!$I$2:$O$11,4,FALSE)+(TRUNC(6+(24-6)*(TRUNC(MOD(($Z219*1103515245 +12345)/ 65536, 32768),0)/32768),0))</f>
        <v>8</v>
      </c>
      <c r="N219" s="16">
        <f t="shared" ca="1" si="4"/>
        <v>-1</v>
      </c>
      <c r="O219" s="153">
        <f ca="1">VLOOKUP($AB$2,'RF Mod'!$A$2:$G$12,5,FALSE)+VLOOKUP($AD$2,'RF Mod'!$I$2:$O$11,5,FALSE)+(TRUNC(6+(24-6)*(TRUNC(MOD(($Z219*1103515245 +12345)/ 65536, 32768),0)/32768),0))</f>
        <v>11</v>
      </c>
      <c r="P219" s="16" t="e">
        <f t="shared" ca="1" si="5"/>
        <v>#NAME?</v>
      </c>
      <c r="Q219" s="153">
        <f ca="1">VLOOKUP($AB$2,'RF Mod'!$A$2:$G$12,6,FALSE)+VLOOKUP($AD$2,'RF Mod'!$I$2:$O$11,6,FALSE)+(TRUNC(6+(24-6)*(TRUNC(MOD(($Z219*1103515245 +12345)/ 65536, 32768),0)/32768),0))</f>
        <v>9</v>
      </c>
      <c r="R219" s="16">
        <f t="shared" ca="1" si="6"/>
        <v>-1</v>
      </c>
      <c r="S219" s="154">
        <f t="shared" ca="1" si="12"/>
        <v>27</v>
      </c>
      <c r="T219" s="154">
        <f t="shared" ca="1" si="7"/>
        <v>21</v>
      </c>
      <c r="U219" s="16" t="str">
        <f t="shared" ca="1" si="8"/>
        <v>Bloody</v>
      </c>
      <c r="V219" s="155">
        <f ca="1">IFERROR(__xludf.DUMMYFUNCTION("if(W219=""Middle Age"",QUERY(NPCVar!$K$2:$N1000, ""Select L where K = '""&amp;AB219&amp;""'""),if(W219=""Old"",QUERY(NPCVar!$K$2:$N1000, ""Select M where K = '""&amp;AB219&amp;""'""),if(W219=""Venerable"",QUERY(NPCVar!$K$2:$N1000, ""Select N where K = '""&amp;AB219&amp;""'""),fa"&amp;"lse)))*X219"),32)</f>
        <v>32</v>
      </c>
      <c r="W219" s="156" t="str">
        <f t="array" ref="W219">INDEX(NPCAgeType,TRUNC(1+(4-1)*(TRUNC(MOD((X219*1103515245 +12345)/ 65536, 32768),0)/32768),0))</f>
        <v>Middle Age</v>
      </c>
      <c r="X219" s="117">
        <f t="shared" si="13"/>
        <v>0.4</v>
      </c>
      <c r="Y219" s="157" t="e">
        <f t="array" aca="1" ref="Y219" ca="1">LOOKUP(ABS(MAX(Z219 + MIN(ABS(INDIRECT("Class Jobs!B"&amp;MATCH(E219,'Class Jobs'!$A$1:$A1000,0)&amp;":"&amp;"AF"&amp;MATCH(E219,'Class Jobs'!$A$1:$A1000,0)&amp;"")-$Z219)) * SUM(IF(MIN(ABS(INDIRECT("Class Jobs!B"&amp;MATCH(E219,'Class Jobs'!$A$1:$A1000,0)&amp;":"&amp;"AF"&amp;MATCH(E219,'Class Jobs'!$A$1:$A1000,0)&amp;"")-$Z219))=ABS(INDIRECT("Class Jobs!B"&amp;MATCH(E219,'Class Jobs'!$A$1:$A1000,0)&amp;":"&amp;"AF"&amp;MATCH(E219,'Class Jobs'!$A$1:$A1000,0)&amp;"")-$Z219),SIGN(INDIRECT("Class Jobs!B"&amp;MATCH(E219,'Class Jobs'!$A$1:A1000,0)&amp;":"&amp;"AF"&amp;MATCH(E219,'Class Jobs'!$A$1:$A1000,0)&amp;"")-$Z219),0)),0)),INDIRECT("Class Jobs!B"&amp;MATCH(E219,'Class Jobs'!$A$1:$A1000,0)&amp;":"&amp;"AF"&amp;MATCH(E219,'Class Jobs'!$A$1:$A1000,1)&amp;""),'Class Jobs'!$B$1:$AF$1)</f>
        <v>#REF!</v>
      </c>
      <c r="Z219" s="158">
        <f t="shared" si="10"/>
        <v>0.14000000000000001</v>
      </c>
      <c r="AA219" s="16" t="str">
        <f t="array" ref="AA219">INDEX(NPCGender,TRUNC(1+(COUNTA(NPCGender))*(TRUNC(MOD(($B219*1103515245 +12345)/ 65536, 32768),0)/32768),0))</f>
        <v>Male</v>
      </c>
      <c r="AB219" s="16" t="str">
        <f t="array" ref="AB219">INDEX(NPCRace,TRUNC(1+(COUNTA(NPCRace))*(TRUNC(MOD(($B219*1103515245 +12345)/ 65536, 32768),0)/32768),0))</f>
        <v>Dwarf</v>
      </c>
      <c r="AC219" s="16" t="str">
        <f t="array" ref="AC219">INDEX(NPCAL,TRUNC(1+(COUNTA(NPCAL))*(TRUNC(MOD(($B219*1103515245 +12345)/ 65536, 32768),0)/32768),0))</f>
        <v>CE</v>
      </c>
      <c r="AD219" s="72" t="str">
        <f ca="1">IFERROR(__xludf.DUMMYFUNCTION("if(V219&lt;15,QUERY(NPCVar!C:D,""Select D WHERE C = '""&amp;D219&amp;""'""),if((TRUNC(1+10)*(TRUNC(MOD((ROW(H219)*1103515245 +12345)/ 65536, 32768),0)/32768)/10) &gt; 0.85,INDEX(NPCFaction,TRUNC(1+(counta(NPCFaction)-1)*(TRUNC(MOD(($B219*1103515245 +12345)/ 65536, 3276"&amp;"8),0)/32768),0)),QUERY(NPCVar!C:D,""Select D WHERE C = '""&amp;D219&amp;""'"")))"),"Royalty")</f>
        <v>Royalty</v>
      </c>
      <c r="AE219" s="108" t="e">
        <f t="shared" ca="1" si="11"/>
        <v>#NAME?</v>
      </c>
      <c r="AF219" s="159">
        <f ca="1">IFERROR(__xludf.DUMMYFUNCTION("AE219*(V219 / QUERY(NPCVar!$K$2:$N$12, ""Select N WHERE K='""&amp;AB219&amp;""'""))*TRUNC(1+10)*(TRUNC(MOD(($B219*1103515245 +12345)/ 65536, 32768),0)/32768)"),-0.03037353515625)</f>
        <v>-3.0373535156249999E-2</v>
      </c>
      <c r="AG219" s="16"/>
      <c r="AH219" s="77"/>
      <c r="AI219" s="114"/>
    </row>
    <row r="220" spans="1:35" ht="16.2">
      <c r="A220" s="53">
        <v>219</v>
      </c>
      <c r="B220" s="118">
        <f t="shared" si="16"/>
        <v>1.20888</v>
      </c>
      <c r="C220" s="72" t="str">
        <f t="array" ref="C220">INDEX(NPCFName,TRUNC(1+(COUNTA(NPCFName))*(TRUNC(MOD(($B220*1103515245 +12345)/ 65536, 32768),0)/32768),0))</f>
        <v>Tolsar</v>
      </c>
      <c r="D220" s="16" t="str">
        <f t="array" ref="D220">INDEX(NPCLName,TRUNC(1+(COUNTA(NPCLName))*(TRUNC(MOD(($B220*1103515245 +12345)/ 65536, 32768),0)/32768),0))</f>
        <v>Gloomrage</v>
      </c>
      <c r="E220" s="16" t="str">
        <f t="array" ref="E220">INDEX(NPCClass,TRUNC(1+(COUNTA(NPCClass))*(TRUNC(MOD(($B220*1103515245 +12345)/ 65536, 32768),0)/32768),0))</f>
        <v>Warlock</v>
      </c>
      <c r="F220" s="76">
        <v>8</v>
      </c>
      <c r="G220" s="153">
        <f ca="1">VLOOKUP($AB$2,'RF Mod'!$A$2:$G$12,2,FALSE)+VLOOKUP($AD$2,'RF Mod'!$I$2:$O$11,2,FALSE)+(TRUNC(6+(24-6)*(TRUNC(MOD(($Z220*1103515245 +12345)/ 65536, 32768),0)/32768),0))</f>
        <v>9</v>
      </c>
      <c r="H220" s="16">
        <f t="shared" ca="1" si="1"/>
        <v>-1</v>
      </c>
      <c r="I220" s="153">
        <f ca="1">VLOOKUP($AB$2,'RF Mod'!$A$2:$G$12,3,FALSE)+VLOOKUP($AD$2,'RF Mod'!$I$2:$O$11,3,FALSE)+(TRUNC(6+(24-6)*(TRUNC(MOD(($Z220*1103515245 +12345)/ 65536, 32768),0)/32768),0))</f>
        <v>13</v>
      </c>
      <c r="J220" s="16" t="e">
        <f t="shared" ca="1" si="2"/>
        <v>#NAME?</v>
      </c>
      <c r="K220" s="153">
        <f ca="1">VLOOKUP($AB$2,'RF Mod'!$A$2:$G$12,3,FALSE)+VLOOKUP($AD$2,'RF Mod'!$I$2:$O$11,3,FALSE)+(TRUNC(6+(24-6)*(TRUNC(MOD(($Z220*1103515245 +12345)/ 65536, 32768),0)/32768),0))</f>
        <v>13</v>
      </c>
      <c r="L220" s="16" t="e">
        <f t="shared" ca="1" si="3"/>
        <v>#NAME?</v>
      </c>
      <c r="M220" s="153">
        <f ca="1">VLOOKUP($AB$2,'RF Mod'!$A$2:$G$12,4,FALSE)+VLOOKUP($AD$2,'RF Mod'!$I$2:$O$11,4,FALSE)+(TRUNC(6+(24-6)*(TRUNC(MOD(($Z220*1103515245 +12345)/ 65536, 32768),0)/32768),0))</f>
        <v>12</v>
      </c>
      <c r="N220" s="16" t="e">
        <f t="shared" ca="1" si="4"/>
        <v>#NAME?</v>
      </c>
      <c r="O220" s="153">
        <f ca="1">VLOOKUP($AB$2,'RF Mod'!$A$2:$G$12,5,FALSE)+VLOOKUP($AD$2,'RF Mod'!$I$2:$O$11,5,FALSE)+(TRUNC(6+(24-6)*(TRUNC(MOD(($Z220*1103515245 +12345)/ 65536, 32768),0)/32768),0))</f>
        <v>15</v>
      </c>
      <c r="P220" s="16" t="e">
        <f t="shared" ca="1" si="5"/>
        <v>#NAME?</v>
      </c>
      <c r="Q220" s="153">
        <f ca="1">VLOOKUP($AB$2,'RF Mod'!$A$2:$G$12,6,FALSE)+VLOOKUP($AD$2,'RF Mod'!$I$2:$O$11,6,FALSE)+(TRUNC(6+(24-6)*(TRUNC(MOD(($Z220*1103515245 +12345)/ 65536, 32768),0)/32768),0))</f>
        <v>13</v>
      </c>
      <c r="R220" s="16" t="e">
        <f t="shared" ca="1" si="6"/>
        <v>#NAME?</v>
      </c>
      <c r="S220" s="154">
        <f t="shared" ca="1" si="12"/>
        <v>136</v>
      </c>
      <c r="T220" s="154">
        <f t="shared" ca="1" si="7"/>
        <v>100</v>
      </c>
      <c r="U220" s="16" t="str">
        <f t="shared" ca="1" si="8"/>
        <v>Bloody</v>
      </c>
      <c r="V220" s="155">
        <f ca="1">IFERROR(__xludf.DUMMYFUNCTION("if(W220=""Middle Age"",QUERY(NPCVar!$K$2:$N1000, ""Select L where K = '""&amp;AB220&amp;""'""),if(W220=""Old"",QUERY(NPCVar!$K$2:$N1000, ""Select M where K = '""&amp;AB220&amp;""'""),if(W220=""Venerable"",QUERY(NPCVar!$K$2:$N1000, ""Select N where K = '""&amp;AB220&amp;""'""),fa"&amp;"lse)))*X220"),300)</f>
        <v>300</v>
      </c>
      <c r="W220" s="156" t="str">
        <f t="array" ref="W220">INDEX(NPCAgeType,TRUNC(1+(4-1)*(TRUNC(MOD((X220*1103515245 +12345)/ 65536, 32768),0)/32768),0))</f>
        <v>Venerable</v>
      </c>
      <c r="X220" s="117">
        <f t="shared" si="13"/>
        <v>1.5</v>
      </c>
      <c r="Y220" s="157" t="e">
        <f t="array" aca="1" ref="Y220" ca="1">LOOKUP(ABS(MAX(Z220 + MIN(ABS(INDIRECT("Class Jobs!B"&amp;MATCH(E220,'Class Jobs'!$A$1:$A1000,0)&amp;":"&amp;"AF"&amp;MATCH(E220,'Class Jobs'!$A$1:$A1000,0)&amp;"")-$Z220)) * SUM(IF(MIN(ABS(INDIRECT("Class Jobs!B"&amp;MATCH(E220,'Class Jobs'!$A$1:$A1000,0)&amp;":"&amp;"AF"&amp;MATCH(E220,'Class Jobs'!$A$1:$A1000,0)&amp;"")-$Z220))=ABS(INDIRECT("Class Jobs!B"&amp;MATCH(E220,'Class Jobs'!$A$1:$A1000,0)&amp;":"&amp;"AF"&amp;MATCH(E220,'Class Jobs'!$A$1:$A1000,0)&amp;"")-$Z220),SIGN(INDIRECT("Class Jobs!B"&amp;MATCH(E220,'Class Jobs'!$A$1:A1000,0)&amp;":"&amp;"AF"&amp;MATCH(E220,'Class Jobs'!$A$1:$A1000,0)&amp;"")-$Z220),0)),0)),INDIRECT("Class Jobs!B"&amp;MATCH(E220,'Class Jobs'!$A$1:$A1000,0)&amp;":"&amp;"AF"&amp;MATCH(E220,'Class Jobs'!$A$1:$A1000,1)&amp;""),'Class Jobs'!$B$1:$AF$1)</f>
        <v>#REF!</v>
      </c>
      <c r="Z220" s="158">
        <f t="shared" si="10"/>
        <v>0.62</v>
      </c>
      <c r="AA220" s="16" t="str">
        <f t="array" ref="AA220">INDEX(NPCGender,TRUNC(1+(COUNTA(NPCGender))*(TRUNC(MOD(($B220*1103515245 +12345)/ 65536, 32768),0)/32768),0))</f>
        <v>Female</v>
      </c>
      <c r="AB220" s="16" t="str">
        <f t="array" ref="AB220">INDEX(NPCRace,TRUNC(1+(COUNTA(NPCRace))*(TRUNC(MOD(($B220*1103515245 +12345)/ 65536, 32768),0)/32768),0))</f>
        <v>Halfling</v>
      </c>
      <c r="AC220" s="16" t="str">
        <f t="array" ref="AC220">INDEX(NPCAL,TRUNC(1+(COUNTA(NPCAL))*(TRUNC(MOD(($B220*1103515245 +12345)/ 65536, 32768),0)/32768),0))</f>
        <v>NE</v>
      </c>
      <c r="AD220" s="72" t="str">
        <f ca="1">IFERROR(__xludf.DUMMYFUNCTION("if(V220&lt;15,QUERY(NPCVar!C:D,""Select D WHERE C = '""&amp;D220&amp;""'""),if((TRUNC(1+10)*(TRUNC(MOD((ROW(H220)*1103515245 +12345)/ 65536, 32768),0)/32768)/10) &gt; 0.85,INDEX(NPCFaction,TRUNC(1+(counta(NPCFaction)-1)*(TRUNC(MOD(($B220*1103515245 +12345)/ 65536, 3276"&amp;"8),0)/32768),0)),QUERY(NPCVar!C:D,""Select D WHERE C = '""&amp;D220&amp;""'"")))"),"Traders Guild")</f>
        <v>Traders Guild</v>
      </c>
      <c r="AE220" s="108" t="e">
        <f t="shared" ca="1" si="11"/>
        <v>#NAME?</v>
      </c>
      <c r="AF220" s="159">
        <f ca="1">IFERROR(__xludf.DUMMYFUNCTION("AE220*(V220 / QUERY(NPCVar!$K$2:$N$12, ""Select N WHERE K='""&amp;AB220&amp;""'""))*TRUNC(1+10)*(TRUNC(MOD(($B220*1103515245 +12345)/ 65536, 32768),0)/32768)"),6.14973449707031)</f>
        <v>6.1497344970703098</v>
      </c>
      <c r="AG220" s="16"/>
      <c r="AH220" s="77"/>
      <c r="AI220" s="114"/>
    </row>
    <row r="221" spans="1:35" ht="16.2">
      <c r="A221" s="53">
        <v>220</v>
      </c>
      <c r="B221" s="118">
        <f t="shared" si="16"/>
        <v>0.20302000000000001</v>
      </c>
      <c r="C221" s="72" t="str">
        <f t="array" ref="C221">INDEX(NPCFName,TRUNC(1+(COUNTA(NPCFName))*(TRUNC(MOD(($B221*1103515245 +12345)/ 65536, 32768),0)/32768),0))</f>
        <v>Faoturk</v>
      </c>
      <c r="D221" s="16" t="str">
        <f t="array" ref="D221">INDEX(NPCLName,TRUNC(1+(COUNTA(NPCLName))*(TRUNC(MOD(($B221*1103515245 +12345)/ 65536, 32768),0)/32768),0))</f>
        <v>Distantlash</v>
      </c>
      <c r="E221" s="16" t="str">
        <f t="array" ref="E221">INDEX(NPCClass,TRUNC(1+(COUNTA(NPCClass))*(TRUNC(MOD(($B221*1103515245 +12345)/ 65536, 32768),0)/32768),0))</f>
        <v>Bard</v>
      </c>
      <c r="F221" s="76">
        <v>1</v>
      </c>
      <c r="G221" s="153">
        <f ca="1">VLOOKUP($AB$2,'RF Mod'!$A$2:$G$12,2,FALSE)+VLOOKUP($AD$2,'RF Mod'!$I$2:$O$11,2,FALSE)+(TRUNC(6+(24-6)*(TRUNC(MOD(($Z221*1103515245 +12345)/ 65536, 32768),0)/32768),0))</f>
        <v>5</v>
      </c>
      <c r="H221" s="16">
        <f t="shared" ca="1" si="1"/>
        <v>-3</v>
      </c>
      <c r="I221" s="153">
        <f ca="1">VLOOKUP($AB$2,'RF Mod'!$A$2:$G$12,3,FALSE)+VLOOKUP($AD$2,'RF Mod'!$I$2:$O$11,3,FALSE)+(TRUNC(6+(24-6)*(TRUNC(MOD(($Z221*1103515245 +12345)/ 65536, 32768),0)/32768),0))</f>
        <v>9</v>
      </c>
      <c r="J221" s="16">
        <f t="shared" ca="1" si="2"/>
        <v>-1</v>
      </c>
      <c r="K221" s="153">
        <f ca="1">VLOOKUP($AB$2,'RF Mod'!$A$2:$G$12,3,FALSE)+VLOOKUP($AD$2,'RF Mod'!$I$2:$O$11,3,FALSE)+(TRUNC(6+(24-6)*(TRUNC(MOD(($Z221*1103515245 +12345)/ 65536, 32768),0)/32768),0))</f>
        <v>9</v>
      </c>
      <c r="L221" s="16">
        <f t="shared" ca="1" si="3"/>
        <v>-1</v>
      </c>
      <c r="M221" s="153">
        <f ca="1">VLOOKUP($AB$2,'RF Mod'!$A$2:$G$12,4,FALSE)+VLOOKUP($AD$2,'RF Mod'!$I$2:$O$11,4,FALSE)+(TRUNC(6+(24-6)*(TRUNC(MOD(($Z221*1103515245 +12345)/ 65536, 32768),0)/32768),0))</f>
        <v>8</v>
      </c>
      <c r="N221" s="16">
        <f t="shared" ca="1" si="4"/>
        <v>-1</v>
      </c>
      <c r="O221" s="153">
        <f ca="1">VLOOKUP($AB$2,'RF Mod'!$A$2:$G$12,5,FALSE)+VLOOKUP($AD$2,'RF Mod'!$I$2:$O$11,5,FALSE)+(TRUNC(6+(24-6)*(TRUNC(MOD(($Z221*1103515245 +12345)/ 65536, 32768),0)/32768),0))</f>
        <v>11</v>
      </c>
      <c r="P221" s="16" t="e">
        <f t="shared" ca="1" si="5"/>
        <v>#NAME?</v>
      </c>
      <c r="Q221" s="153">
        <f ca="1">VLOOKUP($AB$2,'RF Mod'!$A$2:$G$12,6,FALSE)+VLOOKUP($AD$2,'RF Mod'!$I$2:$O$11,6,FALSE)+(TRUNC(6+(24-6)*(TRUNC(MOD(($Z221*1103515245 +12345)/ 65536, 32768),0)/32768),0))</f>
        <v>9</v>
      </c>
      <c r="R221" s="16">
        <f t="shared" ca="1" si="6"/>
        <v>-1</v>
      </c>
      <c r="S221" s="154">
        <f t="shared" ca="1" si="12"/>
        <v>27</v>
      </c>
      <c r="T221" s="154">
        <f t="shared" ca="1" si="7"/>
        <v>26</v>
      </c>
      <c r="U221" s="16" t="str">
        <f t="shared" ca="1" si="8"/>
        <v>Bloody</v>
      </c>
      <c r="V221" s="155">
        <f ca="1">IFERROR(__xludf.DUMMYFUNCTION("if(W221=""Middle Age"",QUERY(NPCVar!$K$2:$N1000, ""Select L where K = '""&amp;AB221&amp;""'""),if(W221=""Old"",QUERY(NPCVar!$K$2:$N1000, ""Select M where K = '""&amp;AB221&amp;""'""),if(W221=""Venerable"",QUERY(NPCVar!$K$2:$N1000, ""Select N where K = '""&amp;AB221&amp;""'""),fa"&amp;"lse)))*X221"),24)</f>
        <v>24</v>
      </c>
      <c r="W221" s="156" t="str">
        <f t="array" ref="W221">INDEX(NPCAgeType,TRUNC(1+(4-1)*(TRUNC(MOD((X221*1103515245 +12345)/ 65536, 32768),0)/32768),0))</f>
        <v>Middle Age</v>
      </c>
      <c r="X221" s="117">
        <f t="shared" si="13"/>
        <v>0.3</v>
      </c>
      <c r="Y221" s="157" t="e">
        <f t="array" aca="1" ref="Y221" ca="1">LOOKUP(ABS(MAX(Z221 + MIN(ABS(INDIRECT("Class Jobs!B"&amp;MATCH(E221,'Class Jobs'!$A$1:$A1000,0)&amp;":"&amp;"AF"&amp;MATCH(E221,'Class Jobs'!$A$1:$A1000,0)&amp;"")-$Z221)) * SUM(IF(MIN(ABS(INDIRECT("Class Jobs!B"&amp;MATCH(E221,'Class Jobs'!$A$1:$A1000,0)&amp;":"&amp;"AF"&amp;MATCH(E221,'Class Jobs'!$A$1:$A1000,0)&amp;"")-$Z221))=ABS(INDIRECT("Class Jobs!B"&amp;MATCH(E221,'Class Jobs'!$A$1:$A1000,0)&amp;":"&amp;"AF"&amp;MATCH(E221,'Class Jobs'!$A$1:$A1000,0)&amp;"")-$Z221),SIGN(INDIRECT("Class Jobs!B"&amp;MATCH(E221,'Class Jobs'!$A$1:A1000,0)&amp;":"&amp;"AF"&amp;MATCH(E221,'Class Jobs'!$A$1:$A1000,0)&amp;"")-$Z221),0)),0)),INDIRECT("Class Jobs!B"&amp;MATCH(E221,'Class Jobs'!$A$1:$A1000,0)&amp;":"&amp;"AF"&amp;MATCH(E221,'Class Jobs'!$A$1:$A1000,1)&amp;""),'Class Jobs'!$B$1:$AF$1)</f>
        <v>#REF!</v>
      </c>
      <c r="Z221" s="158">
        <f t="shared" si="10"/>
        <v>0.11</v>
      </c>
      <c r="AA221" s="16" t="str">
        <f t="array" ref="AA221">INDEX(NPCGender,TRUNC(1+(COUNTA(NPCGender))*(TRUNC(MOD(($B221*1103515245 +12345)/ 65536, 32768),0)/32768),0))</f>
        <v>Male</v>
      </c>
      <c r="AB221" s="16" t="str">
        <f t="array" ref="AB221">INDEX(NPCRace,TRUNC(1+(COUNTA(NPCRace))*(TRUNC(MOD(($B221*1103515245 +12345)/ 65536, 32768),0)/32768),0))</f>
        <v>Dwarf</v>
      </c>
      <c r="AC221" s="16" t="str">
        <f t="array" ref="AC221">INDEX(NPCAL,TRUNC(1+(COUNTA(NPCAL))*(TRUNC(MOD(($B221*1103515245 +12345)/ 65536, 32768),0)/32768),0))</f>
        <v>CN</v>
      </c>
      <c r="AD221" s="72" t="str">
        <f ca="1">IFERROR(__xludf.DUMMYFUNCTION("if(V221&lt;15,QUERY(NPCVar!C:D,""Select D WHERE C = '""&amp;D221&amp;""'""),if((TRUNC(1+10)*(TRUNC(MOD((ROW(H221)*1103515245 +12345)/ 65536, 32768),0)/32768)/10) &gt; 0.85,INDEX(NPCFaction,TRUNC(1+(counta(NPCFaction)-1)*(TRUNC(MOD(($B221*1103515245 +12345)/ 65536, 3276"&amp;"8),0)/32768),0)),QUERY(NPCVar!C:D,""Select D WHERE C = '""&amp;D221&amp;""'"")))"),"Death Guild")</f>
        <v>Death Guild</v>
      </c>
      <c r="AE221" s="108" t="e">
        <f t="shared" ca="1" si="11"/>
        <v>#NAME?</v>
      </c>
      <c r="AF221" s="159">
        <f ca="1">IFERROR(__xludf.DUMMYFUNCTION("AE221*(V221 / QUERY(NPCVar!$K$2:$N$12, ""Select N WHERE K='""&amp;AB221&amp;""'""))*TRUNC(1+10)*(TRUNC(MOD(($B221*1103515245 +12345)/ 65536, 32768),0)/32768)"),-0.0172109985351562)</f>
        <v>-1.7210998535156199E-2</v>
      </c>
      <c r="AG221" s="16"/>
      <c r="AH221" s="77"/>
      <c r="AI221" s="114"/>
    </row>
    <row r="222" spans="1:35" ht="16.2">
      <c r="A222" s="53">
        <v>221</v>
      </c>
      <c r="B222" s="118">
        <f t="shared" si="16"/>
        <v>1.69716</v>
      </c>
      <c r="C222" s="72" t="str">
        <f t="array" ref="C222">INDEX(NPCFName,TRUNC(1+(COUNTA(NPCFName))*(TRUNC(MOD(($B222*1103515245 +12345)/ 65536, 32768),0)/32768),0))</f>
        <v>Niktohal</v>
      </c>
      <c r="D222" s="16" t="str">
        <f t="array" ref="D222">INDEX(NPCLName,TRUNC(1+(COUNTA(NPCLName))*(TRUNC(MOD(($B222*1103515245 +12345)/ 65536, 32768),0)/32768),0))</f>
        <v>Forestbluff</v>
      </c>
      <c r="E222" s="16" t="str">
        <f t="array" ref="E222">INDEX(NPCClass,TRUNC(1+(COUNTA(NPCClass))*(TRUNC(MOD(($B222*1103515245 +12345)/ 65536, 32768),0)/32768),0))</f>
        <v>Fighter</v>
      </c>
      <c r="F222" s="76">
        <v>8</v>
      </c>
      <c r="G222" s="153">
        <f ca="1">VLOOKUP($AB$2,'RF Mod'!$A$2:$G$12,2,FALSE)+VLOOKUP($AD$2,'RF Mod'!$I$2:$O$11,2,FALSE)+(TRUNC(6+(24-6)*(TRUNC(MOD(($Z222*1103515245 +12345)/ 65536, 32768),0)/32768),0))</f>
        <v>12</v>
      </c>
      <c r="H222" s="16" t="e">
        <f t="shared" ca="1" si="1"/>
        <v>#NAME?</v>
      </c>
      <c r="I222" s="153">
        <f ca="1">VLOOKUP($AB$2,'RF Mod'!$A$2:$G$12,3,FALSE)+VLOOKUP($AD$2,'RF Mod'!$I$2:$O$11,3,FALSE)+(TRUNC(6+(24-6)*(TRUNC(MOD(($Z222*1103515245 +12345)/ 65536, 32768),0)/32768),0))</f>
        <v>16</v>
      </c>
      <c r="J222" s="16" t="e">
        <f t="shared" ca="1" si="2"/>
        <v>#NAME?</v>
      </c>
      <c r="K222" s="153">
        <f ca="1">VLOOKUP($AB$2,'RF Mod'!$A$2:$G$12,3,FALSE)+VLOOKUP($AD$2,'RF Mod'!$I$2:$O$11,3,FALSE)+(TRUNC(6+(24-6)*(TRUNC(MOD(($Z222*1103515245 +12345)/ 65536, 32768),0)/32768),0))</f>
        <v>16</v>
      </c>
      <c r="L222" s="16" t="e">
        <f t="shared" ca="1" si="3"/>
        <v>#NAME?</v>
      </c>
      <c r="M222" s="153">
        <f ca="1">VLOOKUP($AB$2,'RF Mod'!$A$2:$G$12,4,FALSE)+VLOOKUP($AD$2,'RF Mod'!$I$2:$O$11,4,FALSE)+(TRUNC(6+(24-6)*(TRUNC(MOD(($Z222*1103515245 +12345)/ 65536, 32768),0)/32768),0))</f>
        <v>15</v>
      </c>
      <c r="N222" s="16" t="e">
        <f t="shared" ca="1" si="4"/>
        <v>#NAME?</v>
      </c>
      <c r="O222" s="153">
        <f ca="1">VLOOKUP($AB$2,'RF Mod'!$A$2:$G$12,5,FALSE)+VLOOKUP($AD$2,'RF Mod'!$I$2:$O$11,5,FALSE)+(TRUNC(6+(24-6)*(TRUNC(MOD(($Z222*1103515245 +12345)/ 65536, 32768),0)/32768),0))</f>
        <v>18</v>
      </c>
      <c r="P222" s="16" t="e">
        <f t="shared" ca="1" si="5"/>
        <v>#NAME?</v>
      </c>
      <c r="Q222" s="153">
        <f ca="1">VLOOKUP($AB$2,'RF Mod'!$A$2:$G$12,6,FALSE)+VLOOKUP($AD$2,'RF Mod'!$I$2:$O$11,6,FALSE)+(TRUNC(6+(24-6)*(TRUNC(MOD(($Z222*1103515245 +12345)/ 65536, 32768),0)/32768),0))</f>
        <v>16</v>
      </c>
      <c r="R222" s="16" t="e">
        <f t="shared" ca="1" si="6"/>
        <v>#NAME?</v>
      </c>
      <c r="S222" s="154">
        <f t="shared" ca="1" si="12"/>
        <v>256</v>
      </c>
      <c r="T222" s="154">
        <f t="shared" ca="1" si="7"/>
        <v>71</v>
      </c>
      <c r="U222" s="16" t="str">
        <f t="shared" ca="1" si="8"/>
        <v>Fine</v>
      </c>
      <c r="V222" s="155">
        <f ca="1">IFERROR(__xludf.DUMMYFUNCTION("if(W222=""Middle Age"",QUERY(NPCVar!$K$2:$N1000, ""Select L where K = '""&amp;AB222&amp;""'""),if(W222=""Old"",QUERY(NPCVar!$K$2:$N1000, ""Select M where K = '""&amp;AB222&amp;""'""),if(W222=""Venerable"",QUERY(NPCVar!$K$2:$N1000, ""Select N where K = '""&amp;AB222&amp;""'""),fa"&amp;"lse)))*X222"),57.75)</f>
        <v>57.75</v>
      </c>
      <c r="W222" s="156" t="str">
        <f t="array" ref="W222">INDEX(NPCAgeType,TRUNC(1+(4-1)*(TRUNC(MOD((X222*1103515245 +12345)/ 65536, 32768),0)/32768),0))</f>
        <v>Middle Age</v>
      </c>
      <c r="X222" s="117">
        <f t="shared" si="13"/>
        <v>2.1</v>
      </c>
      <c r="Y222" s="157" t="e">
        <f t="array" aca="1" ref="Y222" ca="1">LOOKUP(ABS(MAX(Z222 + MIN(ABS(INDIRECT("Class Jobs!B"&amp;MATCH(E222,'Class Jobs'!$A$1:$A1000,0)&amp;":"&amp;"AF"&amp;MATCH(E222,'Class Jobs'!$A$1:$A1000,0)&amp;"")-$Z222)) * SUM(IF(MIN(ABS(INDIRECT("Class Jobs!B"&amp;MATCH(E222,'Class Jobs'!$A$1:$A1000,0)&amp;":"&amp;"AF"&amp;MATCH(E222,'Class Jobs'!$A$1:$A1000,0)&amp;"")-$Z222))=ABS(INDIRECT("Class Jobs!B"&amp;MATCH(E222,'Class Jobs'!$A$1:$A1000,0)&amp;":"&amp;"AF"&amp;MATCH(E222,'Class Jobs'!$A$1:$A1000,0)&amp;"")-$Z222),SIGN(INDIRECT("Class Jobs!B"&amp;MATCH(E222,'Class Jobs'!$A$1:A1000,0)&amp;":"&amp;"AF"&amp;MATCH(E222,'Class Jobs'!$A$1:$A1000,0)&amp;"")-$Z222),0)),0)),INDIRECT("Class Jobs!B"&amp;MATCH(E222,'Class Jobs'!$A$1:$A1000,0)&amp;":"&amp;"AF"&amp;MATCH(E222,'Class Jobs'!$A$1:$A1000,1)&amp;""),'Class Jobs'!$B$1:$AF$1)</f>
        <v>#REF!</v>
      </c>
      <c r="Z222" s="158">
        <f t="shared" si="10"/>
        <v>0.87</v>
      </c>
      <c r="AA222" s="16" t="str">
        <f t="array" ref="AA222">INDEX(NPCGender,TRUNC(1+(COUNTA(NPCGender))*(TRUNC(MOD(($B222*1103515245 +12345)/ 65536, 32768),0)/32768),0))</f>
        <v>Neutral</v>
      </c>
      <c r="AB222" s="16" t="str">
        <f t="array" ref="AB222">INDEX(NPCRace,TRUNC(1+(COUNTA(NPCRace))*(TRUNC(MOD(($B222*1103515245 +12345)/ 65536, 32768),0)/32768),0))</f>
        <v>Genasi</v>
      </c>
      <c r="AC222" s="16" t="str">
        <f t="array" ref="AC222">INDEX(NPCAL,TRUNC(1+(COUNTA(NPCAL))*(TRUNC(MOD(($B222*1103515245 +12345)/ 65536, 32768),0)/32768),0))</f>
        <v>LN</v>
      </c>
      <c r="AD222" s="72" t="str">
        <f ca="1">IFERROR(__xludf.DUMMYFUNCTION("if(V222&lt;15,QUERY(NPCVar!C:D,""Select D WHERE C = '""&amp;D222&amp;""'""),if((TRUNC(1+10)*(TRUNC(MOD((ROW(H222)*1103515245 +12345)/ 65536, 32768),0)/32768)/10) &gt; 0.85,INDEX(NPCFaction,TRUNC(1+(counta(NPCFaction)-1)*(TRUNC(MOD(($B222*1103515245 +12345)/ 65536, 3276"&amp;"8),0)/32768),0)),QUERY(NPCVar!C:D,""Select D WHERE C = '""&amp;D222&amp;""'"")))"),"Thieves Guild")</f>
        <v>Thieves Guild</v>
      </c>
      <c r="AE222" s="108" t="e">
        <f t="shared" ca="1" si="11"/>
        <v>#NAME?</v>
      </c>
      <c r="AF222" s="159">
        <f ca="1">IFERROR(__xludf.DUMMYFUNCTION("AE222*(V222 / QUERY(NPCVar!$K$2:$N$12, ""Select N WHERE K='""&amp;AB222&amp;""'""))*TRUNC(1+10)*(TRUNC(MOD(($B222*1103515245 +12345)/ 65536, 32768),0)/32768)"),3.52546760559082)</f>
        <v>3.5254676055908201</v>
      </c>
      <c r="AG222" s="16"/>
      <c r="AH222" s="77"/>
      <c r="AI222" s="114"/>
    </row>
    <row r="223" spans="1:35" ht="16.2">
      <c r="A223" s="53">
        <v>222</v>
      </c>
      <c r="B223" s="118">
        <f t="shared" si="16"/>
        <v>0.69130000000000003</v>
      </c>
      <c r="C223" s="72" t="str">
        <f t="array" ref="C223">INDEX(NPCFName,TRUNC(1+(COUNTA(NPCFName))*(TRUNC(MOD(($B223*1103515245 +12345)/ 65536, 32768),0)/32768),0))</f>
        <v>Aysen</v>
      </c>
      <c r="D223" s="16" t="str">
        <f t="array" ref="D223">INDEX(NPCLName,TRUNC(1+(COUNTA(NPCLName))*(TRUNC(MOD(($B223*1103515245 +12345)/ 65536, 32768),0)/32768),0))</f>
        <v>Leafblight</v>
      </c>
      <c r="E223" s="16" t="str">
        <f t="array" ref="E223">INDEX(NPCClass,TRUNC(1+(COUNTA(NPCClass))*(TRUNC(MOD(($B223*1103515245 +12345)/ 65536, 32768),0)/32768),0))</f>
        <v>Paladin</v>
      </c>
      <c r="F223" s="76">
        <v>6</v>
      </c>
      <c r="G223" s="153">
        <f ca="1">VLOOKUP($AB$2,'RF Mod'!$A$2:$G$12,2,FALSE)+VLOOKUP($AD$2,'RF Mod'!$I$2:$O$11,2,FALSE)+(TRUNC(6+(24-6)*(TRUNC(MOD(($Z223*1103515245 +12345)/ 65536, 32768),0)/32768),0))</f>
        <v>7</v>
      </c>
      <c r="H223" s="16">
        <f t="shared" ca="1" si="1"/>
        <v>-2</v>
      </c>
      <c r="I223" s="153">
        <f ca="1">VLOOKUP($AB$2,'RF Mod'!$A$2:$G$12,3,FALSE)+VLOOKUP($AD$2,'RF Mod'!$I$2:$O$11,3,FALSE)+(TRUNC(6+(24-6)*(TRUNC(MOD(($Z223*1103515245 +12345)/ 65536, 32768),0)/32768),0))</f>
        <v>11</v>
      </c>
      <c r="J223" s="16" t="e">
        <f t="shared" ca="1" si="2"/>
        <v>#NAME?</v>
      </c>
      <c r="K223" s="153">
        <f ca="1">VLOOKUP($AB$2,'RF Mod'!$A$2:$G$12,3,FALSE)+VLOOKUP($AD$2,'RF Mod'!$I$2:$O$11,3,FALSE)+(TRUNC(6+(24-6)*(TRUNC(MOD(($Z223*1103515245 +12345)/ 65536, 32768),0)/32768),0))</f>
        <v>11</v>
      </c>
      <c r="L223" s="16" t="e">
        <f t="shared" ca="1" si="3"/>
        <v>#NAME?</v>
      </c>
      <c r="M223" s="153">
        <f ca="1">VLOOKUP($AB$2,'RF Mod'!$A$2:$G$12,4,FALSE)+VLOOKUP($AD$2,'RF Mod'!$I$2:$O$11,4,FALSE)+(TRUNC(6+(24-6)*(TRUNC(MOD(($Z223*1103515245 +12345)/ 65536, 32768),0)/32768),0))</f>
        <v>10</v>
      </c>
      <c r="N223" s="16" t="e">
        <f t="shared" ca="1" si="4"/>
        <v>#NAME?</v>
      </c>
      <c r="O223" s="153">
        <f ca="1">VLOOKUP($AB$2,'RF Mod'!$A$2:$G$12,5,FALSE)+VLOOKUP($AD$2,'RF Mod'!$I$2:$O$11,5,FALSE)+(TRUNC(6+(24-6)*(TRUNC(MOD(($Z223*1103515245 +12345)/ 65536, 32768),0)/32768),0))</f>
        <v>13</v>
      </c>
      <c r="P223" s="16" t="e">
        <f t="shared" ca="1" si="5"/>
        <v>#NAME?</v>
      </c>
      <c r="Q223" s="153">
        <f ca="1">VLOOKUP($AB$2,'RF Mod'!$A$2:$G$12,6,FALSE)+VLOOKUP($AD$2,'RF Mod'!$I$2:$O$11,6,FALSE)+(TRUNC(6+(24-6)*(TRUNC(MOD(($Z223*1103515245 +12345)/ 65536, 32768),0)/32768),0))</f>
        <v>11</v>
      </c>
      <c r="R223" s="16" t="e">
        <f t="shared" ca="1" si="6"/>
        <v>#NAME?</v>
      </c>
      <c r="S223" s="154">
        <f t="shared" ca="1" si="12"/>
        <v>78</v>
      </c>
      <c r="T223" s="154">
        <f t="shared" ca="1" si="7"/>
        <v>25</v>
      </c>
      <c r="U223" s="16" t="str">
        <f t="shared" ca="1" si="8"/>
        <v>Fine</v>
      </c>
      <c r="V223" s="155">
        <f ca="1">IFERROR(__xludf.DUMMYFUNCTION("if(W223=""Middle Age"",QUERY(NPCVar!$K$2:$N1000, ""Select L where K = '""&amp;AB223&amp;""'""),if(W223=""Old"",QUERY(NPCVar!$K$2:$N1000, ""Select M where K = '""&amp;AB223&amp;""'""),if(W223=""Venerable"",QUERY(NPCVar!$K$2:$N1000, ""Select N where K = '""&amp;AB223&amp;""'""),fa"&amp;"lse)))*X223"),151.875)</f>
        <v>151.875</v>
      </c>
      <c r="W223" s="156" t="str">
        <f t="array" ref="W223">INDEX(NPCAgeType,TRUNC(1+(4-1)*(TRUNC(MOD((X223*1103515245 +12345)/ 65536, 32768),0)/32768),0))</f>
        <v>Old</v>
      </c>
      <c r="X223" s="117">
        <f t="shared" si="13"/>
        <v>0.9</v>
      </c>
      <c r="Y223" s="157" t="e">
        <f t="array" aca="1" ref="Y223" ca="1">LOOKUP(ABS(MAX(Z223 + MIN(ABS(INDIRECT("Class Jobs!B"&amp;MATCH(E223,'Class Jobs'!$A$1:$A1000,0)&amp;":"&amp;"AF"&amp;MATCH(E223,'Class Jobs'!$A$1:$A1000,0)&amp;"")-$Z223)) * SUM(IF(MIN(ABS(INDIRECT("Class Jobs!B"&amp;MATCH(E223,'Class Jobs'!$A$1:$A1000,0)&amp;":"&amp;"AF"&amp;MATCH(E223,'Class Jobs'!$A$1:$A1000,0)&amp;"")-$Z223))=ABS(INDIRECT("Class Jobs!B"&amp;MATCH(E223,'Class Jobs'!$A$1:$A1000,0)&amp;":"&amp;"AF"&amp;MATCH(E223,'Class Jobs'!$A$1:$A1000,0)&amp;"")-$Z223),SIGN(INDIRECT("Class Jobs!B"&amp;MATCH(E223,'Class Jobs'!$A$1:A1000,0)&amp;":"&amp;"AF"&amp;MATCH(E223,'Class Jobs'!$A$1:$A1000,0)&amp;"")-$Z223),0)),0)),INDIRECT("Class Jobs!B"&amp;MATCH(E223,'Class Jobs'!$A$1:$A1000,0)&amp;":"&amp;"AF"&amp;MATCH(E223,'Class Jobs'!$A$1:$A1000,1)&amp;""),'Class Jobs'!$B$1:$AF$1)</f>
        <v>#REF!</v>
      </c>
      <c r="Z223" s="158">
        <f t="shared" si="10"/>
        <v>0.36</v>
      </c>
      <c r="AA223" s="16" t="str">
        <f t="array" ref="AA223">INDEX(NPCGender,TRUNC(1+(COUNTA(NPCGender))*(TRUNC(MOD(($B223*1103515245 +12345)/ 65536, 32768),0)/32768),0))</f>
        <v>Female</v>
      </c>
      <c r="AB223" s="16" t="str">
        <f t="array" ref="AB223">INDEX(NPCRace,TRUNC(1+(COUNTA(NPCRace))*(TRUNC(MOD(($B223*1103515245 +12345)/ 65536, 32768),0)/32768),0))</f>
        <v>Gnome</v>
      </c>
      <c r="AC223" s="16" t="str">
        <f t="array" ref="AC223">INDEX(NPCAL,TRUNC(1+(COUNTA(NPCAL))*(TRUNC(MOD(($B223*1103515245 +12345)/ 65536, 32768),0)/32768),0))</f>
        <v>NG</v>
      </c>
      <c r="AD223" s="72" t="str">
        <f ca="1">IFERROR(__xludf.DUMMYFUNCTION("if(V223&lt;15,QUERY(NPCVar!C:D,""Select D WHERE C = '""&amp;D223&amp;""'""),if((TRUNC(1+10)*(TRUNC(MOD((ROW(H223)*1103515245 +12345)/ 65536, 32768),0)/32768)/10) &gt; 0.85,INDEX(NPCFaction,TRUNC(1+(counta(NPCFaction)-1)*(TRUNC(MOD(($B223*1103515245 +12345)/ 65536, 3276"&amp;"8),0)/32768),0)),QUERY(NPCVar!C:D,""Select D WHERE C = '""&amp;D223&amp;""'"")))"),"Necromancer")</f>
        <v>Necromancer</v>
      </c>
      <c r="AE223" s="108" t="e">
        <f t="shared" ca="1" si="11"/>
        <v>#NAME?</v>
      </c>
      <c r="AF223" s="159">
        <f ca="1">IFERROR(__xludf.DUMMYFUNCTION("AE223*(V223 / QUERY(NPCVar!$K$2:$N$12, ""Select N WHERE K='""&amp;AB223&amp;""'""))*TRUNC(1+10)*(TRUNC(MOD(($B223*1103515245 +12345)/ 65536, 32768),0)/32768)"),0)</f>
        <v>0</v>
      </c>
      <c r="AG223" s="16"/>
      <c r="AH223" s="77"/>
      <c r="AI223" s="114"/>
    </row>
    <row r="224" spans="1:35" ht="16.2">
      <c r="A224" s="53">
        <v>223</v>
      </c>
      <c r="B224" s="118">
        <f t="shared" si="16"/>
        <v>2.1854399999999998</v>
      </c>
      <c r="C224" s="72" t="str">
        <f t="array" ref="C224">INDEX(NPCFName,TRUNC(1+(COUNTA(NPCFName))*(TRUNC(MOD(($B224*1103515245 +12345)/ 65536, 32768),0)/32768),0))</f>
        <v>Gom</v>
      </c>
      <c r="D224" s="16" t="str">
        <f t="array" ref="D224">INDEX(NPCLName,TRUNC(1+(COUNTA(NPCLName))*(TRUNC(MOD(($B224*1103515245 +12345)/ 65536, 32768),0)/32768),0))</f>
        <v>Distantlash</v>
      </c>
      <c r="E224" s="16" t="str">
        <f t="array" ref="E224">INDEX(NPCClass,TRUNC(1+(COUNTA(NPCClass))*(TRUNC(MOD(($B224*1103515245 +12345)/ 65536, 32768),0)/32768),0))</f>
        <v>Bard</v>
      </c>
      <c r="F224" s="76">
        <v>1</v>
      </c>
      <c r="G224" s="153">
        <f ca="1">VLOOKUP($AB$2,'RF Mod'!$A$2:$G$12,2,FALSE)+VLOOKUP($AD$2,'RF Mod'!$I$2:$O$11,2,FALSE)+(TRUNC(6+(24-6)*(TRUNC(MOD(($Z224*1103515245 +12345)/ 65536, 32768),0)/32768),0))</f>
        <v>5</v>
      </c>
      <c r="H224" s="16">
        <f t="shared" ca="1" si="1"/>
        <v>-3</v>
      </c>
      <c r="I224" s="153">
        <f ca="1">VLOOKUP($AB$2,'RF Mod'!$A$2:$G$12,3,FALSE)+VLOOKUP($AD$2,'RF Mod'!$I$2:$O$11,3,FALSE)+(TRUNC(6+(24-6)*(TRUNC(MOD(($Z224*1103515245 +12345)/ 65536, 32768),0)/32768),0))</f>
        <v>9</v>
      </c>
      <c r="J224" s="16">
        <f t="shared" ca="1" si="2"/>
        <v>-1</v>
      </c>
      <c r="K224" s="153">
        <f ca="1">VLOOKUP($AB$2,'RF Mod'!$A$2:$G$12,3,FALSE)+VLOOKUP($AD$2,'RF Mod'!$I$2:$O$11,3,FALSE)+(TRUNC(6+(24-6)*(TRUNC(MOD(($Z224*1103515245 +12345)/ 65536, 32768),0)/32768),0))</f>
        <v>9</v>
      </c>
      <c r="L224" s="16">
        <f t="shared" ca="1" si="3"/>
        <v>-1</v>
      </c>
      <c r="M224" s="153">
        <f ca="1">VLOOKUP($AB$2,'RF Mod'!$A$2:$G$12,4,FALSE)+VLOOKUP($AD$2,'RF Mod'!$I$2:$O$11,4,FALSE)+(TRUNC(6+(24-6)*(TRUNC(MOD(($Z224*1103515245 +12345)/ 65536, 32768),0)/32768),0))</f>
        <v>8</v>
      </c>
      <c r="N224" s="16">
        <f t="shared" ca="1" si="4"/>
        <v>-1</v>
      </c>
      <c r="O224" s="153">
        <f ca="1">VLOOKUP($AB$2,'RF Mod'!$A$2:$G$12,5,FALSE)+VLOOKUP($AD$2,'RF Mod'!$I$2:$O$11,5,FALSE)+(TRUNC(6+(24-6)*(TRUNC(MOD(($Z224*1103515245 +12345)/ 65536, 32768),0)/32768),0))</f>
        <v>11</v>
      </c>
      <c r="P224" s="16" t="e">
        <f t="shared" ca="1" si="5"/>
        <v>#NAME?</v>
      </c>
      <c r="Q224" s="153">
        <f ca="1">VLOOKUP($AB$2,'RF Mod'!$A$2:$G$12,6,FALSE)+VLOOKUP($AD$2,'RF Mod'!$I$2:$O$11,6,FALSE)+(TRUNC(6+(24-6)*(TRUNC(MOD(($Z224*1103515245 +12345)/ 65536, 32768),0)/32768),0))</f>
        <v>9</v>
      </c>
      <c r="R224" s="16">
        <f t="shared" ca="1" si="6"/>
        <v>-1</v>
      </c>
      <c r="S224" s="154">
        <f t="shared" ca="1" si="12"/>
        <v>11</v>
      </c>
      <c r="T224" s="154">
        <f t="shared" ca="1" si="7"/>
        <v>3</v>
      </c>
      <c r="U224" s="16" t="str">
        <f t="shared" ca="1" si="8"/>
        <v>Fine</v>
      </c>
      <c r="V224" s="155">
        <f ca="1">IFERROR(__xludf.DUMMYFUNCTION("if(W224=""Middle Age"",QUERY(NPCVar!$K$2:$N1000, ""Select L where K = '""&amp;AB224&amp;""'""),if(W224=""Old"",QUERY(NPCVar!$K$2:$N1000, ""Select M where K = '""&amp;AB224&amp;""'""),if(W224=""Venerable"",QUERY(NPCVar!$K$2:$N1000, ""Select N where K = '""&amp;AB224&amp;""'""),fa"&amp;"lse)))*X224"),24)</f>
        <v>24</v>
      </c>
      <c r="W224" s="156" t="str">
        <f t="array" ref="W224">INDEX(NPCAgeType,TRUNC(1+(4-1)*(TRUNC(MOD((X224*1103515245 +12345)/ 65536, 32768),0)/32768),0))</f>
        <v>Middle Age</v>
      </c>
      <c r="X224" s="117">
        <f t="shared" si="13"/>
        <v>0.3</v>
      </c>
      <c r="Y224" s="157" t="e">
        <f t="array" aca="1" ref="Y224" ca="1">LOOKUP(ABS(MAX(Z224 + MIN(ABS(INDIRECT("Class Jobs!B"&amp;MATCH(E224,'Class Jobs'!$A$1:$A1000,0)&amp;":"&amp;"AF"&amp;MATCH(E224,'Class Jobs'!$A$1:$A1000,0)&amp;"")-$Z224)) * SUM(IF(MIN(ABS(INDIRECT("Class Jobs!B"&amp;MATCH(E224,'Class Jobs'!$A$1:$A1000,0)&amp;":"&amp;"AF"&amp;MATCH(E224,'Class Jobs'!$A$1:$A1000,0)&amp;"")-$Z224))=ABS(INDIRECT("Class Jobs!B"&amp;MATCH(E224,'Class Jobs'!$A$1:$A1000,0)&amp;":"&amp;"AF"&amp;MATCH(E224,'Class Jobs'!$A$1:$A1000,0)&amp;"")-$Z224),SIGN(INDIRECT("Class Jobs!B"&amp;MATCH(E224,'Class Jobs'!$A$1:A1000,0)&amp;":"&amp;"AF"&amp;MATCH(E224,'Class Jobs'!$A$1:$A1000,0)&amp;"")-$Z224),0)),0)),INDIRECT("Class Jobs!B"&amp;MATCH(E224,'Class Jobs'!$A$1:$A1000,0)&amp;":"&amp;"AF"&amp;MATCH(E224,'Class Jobs'!$A$1:$A1000,1)&amp;""),'Class Jobs'!$B$1:$AF$1)</f>
        <v>#REF!</v>
      </c>
      <c r="Z224" s="158">
        <f t="shared" si="10"/>
        <v>0.13</v>
      </c>
      <c r="AA224" s="16" t="str">
        <f t="array" ref="AA224">INDEX(NPCGender,TRUNC(1+(COUNTA(NPCGender))*(TRUNC(MOD(($B224*1103515245 +12345)/ 65536, 32768),0)/32768),0))</f>
        <v>Male</v>
      </c>
      <c r="AB224" s="16" t="str">
        <f t="array" ref="AB224">INDEX(NPCRace,TRUNC(1+(COUNTA(NPCRace))*(TRUNC(MOD(($B224*1103515245 +12345)/ 65536, 32768),0)/32768),0))</f>
        <v>Dwarf</v>
      </c>
      <c r="AC224" s="16" t="str">
        <f t="array" ref="AC224">INDEX(NPCAL,TRUNC(1+(COUNTA(NPCAL))*(TRUNC(MOD(($B224*1103515245 +12345)/ 65536, 32768),0)/32768),0))</f>
        <v>CE</v>
      </c>
      <c r="AD224" s="72" t="str">
        <f ca="1">IFERROR(__xludf.DUMMYFUNCTION("if(V224&lt;15,QUERY(NPCVar!C:D,""Select D WHERE C = '""&amp;D224&amp;""'""),if((TRUNC(1+10)*(TRUNC(MOD((ROW(H224)*1103515245 +12345)/ 65536, 32768),0)/32768)/10) &gt; 0.85,INDEX(NPCFaction,TRUNC(1+(counta(NPCFaction)-1)*(TRUNC(MOD(($B224*1103515245 +12345)/ 65536, 3276"&amp;"8),0)/32768),0)),QUERY(NPCVar!C:D,""Select D WHERE C = '""&amp;D224&amp;""'"")))"),"Death Guild")</f>
        <v>Death Guild</v>
      </c>
      <c r="AE224" s="108" t="e">
        <f t="shared" ca="1" si="11"/>
        <v>#NAME?</v>
      </c>
      <c r="AF224" s="159">
        <f ca="1">IFERROR(__xludf.DUMMYFUNCTION("AE224*(V224 / QUERY(NPCVar!$K$2:$N$12, ""Select N WHERE K='""&amp;AB224&amp;""'""))*TRUNC(1+10)*(TRUNC(MOD(($B224*1103515245 +12345)/ 65536, 32768),0)/32768)"),0.030446548461914)</f>
        <v>3.0446548461914E-2</v>
      </c>
      <c r="AG224" s="16"/>
      <c r="AH224" s="77"/>
      <c r="AI224" s="114"/>
    </row>
    <row r="225" spans="1:35" ht="16.2">
      <c r="A225" s="53">
        <v>224</v>
      </c>
      <c r="B225" s="118">
        <f t="shared" si="16"/>
        <v>1.1795800000000001</v>
      </c>
      <c r="C225" s="72" t="str">
        <f t="array" ref="C225">INDEX(NPCFName,TRUNC(1+(COUNTA(NPCFName))*(TRUNC(MOD(($B225*1103515245 +12345)/ 65536, 32768),0)/32768),0))</f>
        <v>Steven</v>
      </c>
      <c r="D225" s="16" t="str">
        <f t="array" ref="D225">INDEX(NPCLName,TRUNC(1+(COUNTA(NPCLName))*(TRUNC(MOD(($B225*1103515245 +12345)/ 65536, 32768),0)/32768),0))</f>
        <v>Gloomrage</v>
      </c>
      <c r="E225" s="16" t="str">
        <f t="array" ref="E225">INDEX(NPCClass,TRUNC(1+(COUNTA(NPCClass))*(TRUNC(MOD(($B225*1103515245 +12345)/ 65536, 32768),0)/32768),0))</f>
        <v>Warlock</v>
      </c>
      <c r="F225" s="76">
        <v>8</v>
      </c>
      <c r="G225" s="153">
        <f ca="1">VLOOKUP($AB$2,'RF Mod'!$A$2:$G$12,2,FALSE)+VLOOKUP($AD$2,'RF Mod'!$I$2:$O$11,2,FALSE)+(TRUNC(6+(24-6)*(TRUNC(MOD(($Z225*1103515245 +12345)/ 65536, 32768),0)/32768),0))</f>
        <v>9</v>
      </c>
      <c r="H225" s="16">
        <f t="shared" ca="1" si="1"/>
        <v>-1</v>
      </c>
      <c r="I225" s="153">
        <f ca="1">VLOOKUP($AB$2,'RF Mod'!$A$2:$G$12,3,FALSE)+VLOOKUP($AD$2,'RF Mod'!$I$2:$O$11,3,FALSE)+(TRUNC(6+(24-6)*(TRUNC(MOD(($Z225*1103515245 +12345)/ 65536, 32768),0)/32768),0))</f>
        <v>13</v>
      </c>
      <c r="J225" s="16" t="e">
        <f t="shared" ca="1" si="2"/>
        <v>#NAME?</v>
      </c>
      <c r="K225" s="153">
        <f ca="1">VLOOKUP($AB$2,'RF Mod'!$A$2:$G$12,3,FALSE)+VLOOKUP($AD$2,'RF Mod'!$I$2:$O$11,3,FALSE)+(TRUNC(6+(24-6)*(TRUNC(MOD(($Z225*1103515245 +12345)/ 65536, 32768),0)/32768),0))</f>
        <v>13</v>
      </c>
      <c r="L225" s="16" t="e">
        <f t="shared" ca="1" si="3"/>
        <v>#NAME?</v>
      </c>
      <c r="M225" s="153">
        <f ca="1">VLOOKUP($AB$2,'RF Mod'!$A$2:$G$12,4,FALSE)+VLOOKUP($AD$2,'RF Mod'!$I$2:$O$11,4,FALSE)+(TRUNC(6+(24-6)*(TRUNC(MOD(($Z225*1103515245 +12345)/ 65536, 32768),0)/32768),0))</f>
        <v>12</v>
      </c>
      <c r="N225" s="16" t="e">
        <f t="shared" ca="1" si="4"/>
        <v>#NAME?</v>
      </c>
      <c r="O225" s="153">
        <f ca="1">VLOOKUP($AB$2,'RF Mod'!$A$2:$G$12,5,FALSE)+VLOOKUP($AD$2,'RF Mod'!$I$2:$O$11,5,FALSE)+(TRUNC(6+(24-6)*(TRUNC(MOD(($Z225*1103515245 +12345)/ 65536, 32768),0)/32768),0))</f>
        <v>15</v>
      </c>
      <c r="P225" s="16" t="e">
        <f t="shared" ca="1" si="5"/>
        <v>#NAME?</v>
      </c>
      <c r="Q225" s="153">
        <f ca="1">VLOOKUP($AB$2,'RF Mod'!$A$2:$G$12,6,FALSE)+VLOOKUP($AD$2,'RF Mod'!$I$2:$O$11,6,FALSE)+(TRUNC(6+(24-6)*(TRUNC(MOD(($Z225*1103515245 +12345)/ 65536, 32768),0)/32768),0))</f>
        <v>13</v>
      </c>
      <c r="R225" s="16" t="e">
        <f t="shared" ca="1" si="6"/>
        <v>#NAME?</v>
      </c>
      <c r="S225" s="154">
        <f t="shared" ca="1" si="12"/>
        <v>120</v>
      </c>
      <c r="T225" s="154">
        <f t="shared" ca="1" si="7"/>
        <v>81</v>
      </c>
      <c r="U225" s="16" t="str">
        <f t="shared" ca="1" si="8"/>
        <v>Bloody</v>
      </c>
      <c r="V225" s="155">
        <f ca="1">IFERROR(__xludf.DUMMYFUNCTION("if(W225=""Middle Age"",QUERY(NPCVar!$K$2:$N1000, ""Select L where K = '""&amp;AB225&amp;""'""),if(W225=""Old"",QUERY(NPCVar!$K$2:$N1000, ""Select M where K = '""&amp;AB225&amp;""'""),if(W225=""Venerable"",QUERY(NPCVar!$K$2:$N1000, ""Select N where K = '""&amp;AB225&amp;""'""),fa"&amp;"lse)))*X225"),300)</f>
        <v>300</v>
      </c>
      <c r="W225" s="156" t="str">
        <f t="array" ref="W225">INDEX(NPCAgeType,TRUNC(1+(4-1)*(TRUNC(MOD((X225*1103515245 +12345)/ 65536, 32768),0)/32768),0))</f>
        <v>Venerable</v>
      </c>
      <c r="X225" s="117">
        <f t="shared" si="13"/>
        <v>1.5</v>
      </c>
      <c r="Y225" s="157" t="e">
        <f t="array" aca="1" ref="Y225" ca="1">LOOKUP(ABS(MAX(Z225 + MIN(ABS(INDIRECT("Class Jobs!B"&amp;MATCH(E225,'Class Jobs'!$A$1:$A1000,0)&amp;":"&amp;"AF"&amp;MATCH(E225,'Class Jobs'!$A$1:$A1000,0)&amp;"")-$Z225)) * SUM(IF(MIN(ABS(INDIRECT("Class Jobs!B"&amp;MATCH(E225,'Class Jobs'!$A$1:$A1000,0)&amp;":"&amp;"AF"&amp;MATCH(E225,'Class Jobs'!$A$1:$A1000,0)&amp;"")-$Z225))=ABS(INDIRECT("Class Jobs!B"&amp;MATCH(E225,'Class Jobs'!$A$1:$A1000,0)&amp;":"&amp;"AF"&amp;MATCH(E225,'Class Jobs'!$A$1:$A1000,0)&amp;"")-$Z225),SIGN(INDIRECT("Class Jobs!B"&amp;MATCH(E225,'Class Jobs'!$A$1:A1000,0)&amp;":"&amp;"AF"&amp;MATCH(E225,'Class Jobs'!$A$1:$A1000,0)&amp;"")-$Z225),0)),0)),INDIRECT("Class Jobs!B"&amp;MATCH(E225,'Class Jobs'!$A$1:$A1000,0)&amp;":"&amp;"AF"&amp;MATCH(E225,'Class Jobs'!$A$1:$A1000,1)&amp;""),'Class Jobs'!$B$1:$AF$1)</f>
        <v>#REF!</v>
      </c>
      <c r="Z225" s="158">
        <f t="shared" si="10"/>
        <v>0.61</v>
      </c>
      <c r="AA225" s="16" t="str">
        <f t="array" ref="AA225">INDEX(NPCGender,TRUNC(1+(COUNTA(NPCGender))*(TRUNC(MOD(($B225*1103515245 +12345)/ 65536, 32768),0)/32768),0))</f>
        <v>Female</v>
      </c>
      <c r="AB225" s="16" t="str">
        <f t="array" ref="AB225">INDEX(NPCRace,TRUNC(1+(COUNTA(NPCRace))*(TRUNC(MOD(($B225*1103515245 +12345)/ 65536, 32768),0)/32768),0))</f>
        <v>Halfling</v>
      </c>
      <c r="AC225" s="16" t="str">
        <f t="array" ref="AC225">INDEX(NPCAL,TRUNC(1+(COUNTA(NPCAL))*(TRUNC(MOD(($B225*1103515245 +12345)/ 65536, 32768),0)/32768),0))</f>
        <v>NE</v>
      </c>
      <c r="AD225" s="72" t="str">
        <f ca="1">IFERROR(__xludf.DUMMYFUNCTION("if(V225&lt;15,QUERY(NPCVar!C:D,""Select D WHERE C = '""&amp;D225&amp;""'""),if((TRUNC(1+10)*(TRUNC(MOD((ROW(H225)*1103515245 +12345)/ 65536, 32768),0)/32768)/10) &gt; 0.85,INDEX(NPCFaction,TRUNC(1+(counta(NPCFaction)-1)*(TRUNC(MOD(($B225*1103515245 +12345)/ 65536, 3276"&amp;"8),0)/32768),0)),QUERY(NPCVar!C:D,""Select D WHERE C = '""&amp;D225&amp;""'"")))"),"Traders Guild")</f>
        <v>Traders Guild</v>
      </c>
      <c r="AE225" s="108" t="e">
        <f t="shared" ca="1" si="11"/>
        <v>#NAME?</v>
      </c>
      <c r="AF225" s="159">
        <f ca="1">IFERROR(__xludf.DUMMYFUNCTION("AE225*(V225 / QUERY(NPCVar!$K$2:$N$12, ""Select N WHERE K='""&amp;AB225&amp;""'""))*TRUNC(1+10)*(TRUNC(MOD(($B225*1103515245 +12345)/ 65536, 32768),0)/32768)"),2.00026245117187)</f>
        <v>2.0002624511718698</v>
      </c>
      <c r="AG225" s="16"/>
      <c r="AH225" s="77"/>
      <c r="AI225" s="114"/>
    </row>
    <row r="226" spans="1:35" ht="16.2">
      <c r="A226" s="53">
        <v>225</v>
      </c>
      <c r="B226" s="118">
        <f t="shared" si="16"/>
        <v>0.17373</v>
      </c>
      <c r="C226" s="72" t="str">
        <f t="array" ref="C226">INDEX(NPCFName,TRUNC(1+(COUNTA(NPCFName))*(TRUNC(MOD(($B226*1103515245 +12345)/ 65536, 32768),0)/32768),0))</f>
        <v>Efar</v>
      </c>
      <c r="D226" s="16" t="str">
        <f t="array" ref="D226">INDEX(NPCLName,TRUNC(1+(COUNTA(NPCLName))*(TRUNC(MOD(($B226*1103515245 +12345)/ 65536, 32768),0)/32768),0))</f>
        <v>Autumnorb</v>
      </c>
      <c r="E226" s="16" t="str">
        <f t="array" ref="E226">INDEX(NPCClass,TRUNC(1+(COUNTA(NPCClass))*(TRUNC(MOD(($B226*1103515245 +12345)/ 65536, 32768),0)/32768),0))</f>
        <v>Bard</v>
      </c>
      <c r="F226" s="76">
        <v>1</v>
      </c>
      <c r="G226" s="153">
        <f ca="1">VLOOKUP($AB$2,'RF Mod'!$A$2:$G$12,2,FALSE)+VLOOKUP($AD$2,'RF Mod'!$I$2:$O$11,2,FALSE)+(TRUNC(6+(24-6)*(TRUNC(MOD(($Z226*1103515245 +12345)/ 65536, 32768),0)/32768),0))</f>
        <v>4</v>
      </c>
      <c r="H226" s="16">
        <f t="shared" ca="1" si="1"/>
        <v>-3</v>
      </c>
      <c r="I226" s="153">
        <f ca="1">VLOOKUP($AB$2,'RF Mod'!$A$2:$G$12,3,FALSE)+VLOOKUP($AD$2,'RF Mod'!$I$2:$O$11,3,FALSE)+(TRUNC(6+(24-6)*(TRUNC(MOD(($Z226*1103515245 +12345)/ 65536, 32768),0)/32768),0))</f>
        <v>8</v>
      </c>
      <c r="J226" s="16">
        <f t="shared" ca="1" si="2"/>
        <v>-1</v>
      </c>
      <c r="K226" s="153">
        <f ca="1">VLOOKUP($AB$2,'RF Mod'!$A$2:$G$12,3,FALSE)+VLOOKUP($AD$2,'RF Mod'!$I$2:$O$11,3,FALSE)+(TRUNC(6+(24-6)*(TRUNC(MOD(($Z226*1103515245 +12345)/ 65536, 32768),0)/32768),0))</f>
        <v>8</v>
      </c>
      <c r="L226" s="16">
        <f t="shared" ca="1" si="3"/>
        <v>-1</v>
      </c>
      <c r="M226" s="153">
        <f ca="1">VLOOKUP($AB$2,'RF Mod'!$A$2:$G$12,4,FALSE)+VLOOKUP($AD$2,'RF Mod'!$I$2:$O$11,4,FALSE)+(TRUNC(6+(24-6)*(TRUNC(MOD(($Z226*1103515245 +12345)/ 65536, 32768),0)/32768),0))</f>
        <v>7</v>
      </c>
      <c r="N226" s="16">
        <f t="shared" ca="1" si="4"/>
        <v>-2</v>
      </c>
      <c r="O226" s="153">
        <f ca="1">VLOOKUP($AB$2,'RF Mod'!$A$2:$G$12,5,FALSE)+VLOOKUP($AD$2,'RF Mod'!$I$2:$O$11,5,FALSE)+(TRUNC(6+(24-6)*(TRUNC(MOD(($Z226*1103515245 +12345)/ 65536, 32768),0)/32768),0))</f>
        <v>10</v>
      </c>
      <c r="P226" s="16" t="e">
        <f t="shared" ca="1" si="5"/>
        <v>#NAME?</v>
      </c>
      <c r="Q226" s="153">
        <f ca="1">VLOOKUP($AB$2,'RF Mod'!$A$2:$G$12,6,FALSE)+VLOOKUP($AD$2,'RF Mod'!$I$2:$O$11,6,FALSE)+(TRUNC(6+(24-6)*(TRUNC(MOD(($Z226*1103515245 +12345)/ 65536, 32768),0)/32768),0))</f>
        <v>8</v>
      </c>
      <c r="R226" s="16">
        <f t="shared" ca="1" si="6"/>
        <v>-1</v>
      </c>
      <c r="S226" s="154">
        <f t="shared" ca="1" si="12"/>
        <v>10</v>
      </c>
      <c r="T226" s="154">
        <f t="shared" ca="1" si="7"/>
        <v>1</v>
      </c>
      <c r="U226" s="16" t="str">
        <f t="shared" ca="1" si="8"/>
        <v>Fine</v>
      </c>
      <c r="V226" s="155">
        <f ca="1">IFERROR(__xludf.DUMMYFUNCTION("if(W226=""Middle Age"",QUERY(NPCVar!$K$2:$N1000, ""Select L where K = '""&amp;AB226&amp;""'""),if(W226=""Old"",QUERY(NPCVar!$K$2:$N1000, ""Select M where K = '""&amp;AB226&amp;""'""),if(W226=""Venerable"",QUERY(NPCVar!$K$2:$N1000, ""Select N where K = '""&amp;AB226&amp;""'""),fa"&amp;"lse)))*X226"),6)</f>
        <v>6</v>
      </c>
      <c r="W226" s="156" t="str">
        <f t="array" ref="W226">INDEX(NPCAgeType,TRUNC(1+(4-1)*(TRUNC(MOD((X226*1103515245 +12345)/ 65536, 32768),0)/32768),0))</f>
        <v>Middle Age</v>
      </c>
      <c r="X226" s="117">
        <f t="shared" si="13"/>
        <v>0.3</v>
      </c>
      <c r="Y226" s="157" t="e">
        <f t="array" aca="1" ref="Y226" ca="1">LOOKUP(ABS(MAX(Z226 + MIN(ABS(INDIRECT("Class Jobs!B"&amp;MATCH(E226,'Class Jobs'!$A$1:$A1000,0)&amp;":"&amp;"AF"&amp;MATCH(E226,'Class Jobs'!$A$1:$A1000,0)&amp;"")-$Z226)) * SUM(IF(MIN(ABS(INDIRECT("Class Jobs!B"&amp;MATCH(E226,'Class Jobs'!$A$1:$A1000,0)&amp;":"&amp;"AF"&amp;MATCH(E226,'Class Jobs'!$A$1:$A1000,0)&amp;"")-$Z226))=ABS(INDIRECT("Class Jobs!B"&amp;MATCH(E226,'Class Jobs'!$A$1:$A1000,0)&amp;":"&amp;"AF"&amp;MATCH(E226,'Class Jobs'!$A$1:$A1000,0)&amp;"")-$Z226),SIGN(INDIRECT("Class Jobs!B"&amp;MATCH(E226,'Class Jobs'!$A$1:A1000,0)&amp;":"&amp;"AF"&amp;MATCH(E226,'Class Jobs'!$A$1:$A1000,0)&amp;"")-$Z226),0)),0)),INDIRECT("Class Jobs!B"&amp;MATCH(E226,'Class Jobs'!$A$1:$A1000,0)&amp;":"&amp;"AF"&amp;MATCH(E226,'Class Jobs'!$A$1:$A1000,1)&amp;""),'Class Jobs'!$B$1:$AF$1)</f>
        <v>#REF!</v>
      </c>
      <c r="Z226" s="158">
        <f t="shared" si="10"/>
        <v>0.09</v>
      </c>
      <c r="AA226" s="16" t="str">
        <f t="array" ref="AA226">INDEX(NPCGender,TRUNC(1+(COUNTA(NPCGender))*(TRUNC(MOD(($B226*1103515245 +12345)/ 65536, 32768),0)/32768),0))</f>
        <v>Male</v>
      </c>
      <c r="AB226" s="16" t="str">
        <f t="array" ref="AB226">INDEX(NPCRace,TRUNC(1+(COUNTA(NPCRace))*(TRUNC(MOD(($B226*1103515245 +12345)/ 65536, 32768),0)/32768),0))</f>
        <v>Dragonborn</v>
      </c>
      <c r="AC226" s="16" t="str">
        <f t="array" ref="AC226">INDEX(NPCAL,TRUNC(1+(COUNTA(NPCAL))*(TRUNC(MOD(($B226*1103515245 +12345)/ 65536, 32768),0)/32768),0))</f>
        <v>CN</v>
      </c>
      <c r="AD226" s="72" t="str">
        <f ca="1">IFERROR(__xludf.DUMMYFUNCTION("if(V226&lt;15,QUERY(NPCVar!C:D,""Select D WHERE C = '""&amp;D226&amp;""'""),if((TRUNC(1+10)*(TRUNC(MOD((ROW(H226)*1103515245 +12345)/ 65536, 32768),0)/32768)/10) &gt; 0.85,INDEX(NPCFaction,TRUNC(1+(counta(NPCFaction)-1)*(TRUNC(MOD(($B226*1103515245 +12345)/ 65536, 3276"&amp;"8),0)/32768),0)),QUERY(NPCVar!C:D,""Select D WHERE C = '""&amp;D226&amp;""'"")))"),"Royalty")</f>
        <v>Royalty</v>
      </c>
      <c r="AE226" s="108" t="e">
        <f t="shared" ca="1" si="11"/>
        <v>#NAME?</v>
      </c>
      <c r="AF226" s="159">
        <f ca="1">IFERROR(__xludf.DUMMYFUNCTION("AE226*(V226 / QUERY(NPCVar!$K$2:$N$12, ""Select N WHERE K='""&amp;AB226&amp;""'""))*TRUNC(1+10)*(TRUNC(MOD(($B226*1103515245 +12345)/ 65536, 32768),0)/32768)"),0.0220928192138671)</f>
        <v>2.2092819213867101E-2</v>
      </c>
      <c r="AG226" s="16"/>
      <c r="AH226" s="77"/>
      <c r="AI226" s="114"/>
    </row>
    <row r="227" spans="1:35" ht="16.2">
      <c r="A227" s="53">
        <v>226</v>
      </c>
      <c r="B227" s="118">
        <f t="shared" si="16"/>
        <v>1.66778</v>
      </c>
      <c r="C227" s="72" t="str">
        <f t="array" ref="C227">INDEX(NPCFName,TRUNC(1+(COUNTA(NPCFName))*(TRUNC(MOD(($B227*1103515245 +12345)/ 65536, 32768),0)/32768),0))</f>
        <v>Mesah</v>
      </c>
      <c r="D227" s="16" t="str">
        <f t="array" ref="D227">INDEX(NPCLName,TRUNC(1+(COUNTA(NPCLName))*(TRUNC(MOD(($B227*1103515245 +12345)/ 65536, 32768),0)/32768),0))</f>
        <v>Springgust</v>
      </c>
      <c r="E227" s="16" t="str">
        <f t="array" ref="E227">INDEX(NPCClass,TRUNC(1+(COUNTA(NPCClass))*(TRUNC(MOD(($B227*1103515245 +12345)/ 65536, 32768),0)/32768),0))</f>
        <v>Fighter</v>
      </c>
      <c r="F227" s="76">
        <v>8</v>
      </c>
      <c r="G227" s="153">
        <f ca="1">VLOOKUP($AB$2,'RF Mod'!$A$2:$G$12,2,FALSE)+VLOOKUP($AD$2,'RF Mod'!$I$2:$O$11,2,FALSE)+(TRUNC(6+(24-6)*(TRUNC(MOD(($Z227*1103515245 +12345)/ 65536, 32768),0)/32768),0))</f>
        <v>11</v>
      </c>
      <c r="H227" s="16" t="e">
        <f t="shared" ca="1" si="1"/>
        <v>#NAME?</v>
      </c>
      <c r="I227" s="153">
        <f ca="1">VLOOKUP($AB$2,'RF Mod'!$A$2:$G$12,3,FALSE)+VLOOKUP($AD$2,'RF Mod'!$I$2:$O$11,3,FALSE)+(TRUNC(6+(24-6)*(TRUNC(MOD(($Z227*1103515245 +12345)/ 65536, 32768),0)/32768),0))</f>
        <v>15</v>
      </c>
      <c r="J227" s="16" t="e">
        <f t="shared" ca="1" si="2"/>
        <v>#NAME?</v>
      </c>
      <c r="K227" s="153">
        <f ca="1">VLOOKUP($AB$2,'RF Mod'!$A$2:$G$12,3,FALSE)+VLOOKUP($AD$2,'RF Mod'!$I$2:$O$11,3,FALSE)+(TRUNC(6+(24-6)*(TRUNC(MOD(($Z227*1103515245 +12345)/ 65536, 32768),0)/32768),0))</f>
        <v>15</v>
      </c>
      <c r="L227" s="16" t="e">
        <f t="shared" ca="1" si="3"/>
        <v>#NAME?</v>
      </c>
      <c r="M227" s="153">
        <f ca="1">VLOOKUP($AB$2,'RF Mod'!$A$2:$G$12,4,FALSE)+VLOOKUP($AD$2,'RF Mod'!$I$2:$O$11,4,FALSE)+(TRUNC(6+(24-6)*(TRUNC(MOD(($Z227*1103515245 +12345)/ 65536, 32768),0)/32768),0))</f>
        <v>14</v>
      </c>
      <c r="N227" s="16" t="e">
        <f t="shared" ca="1" si="4"/>
        <v>#NAME?</v>
      </c>
      <c r="O227" s="153">
        <f ca="1">VLOOKUP($AB$2,'RF Mod'!$A$2:$G$12,5,FALSE)+VLOOKUP($AD$2,'RF Mod'!$I$2:$O$11,5,FALSE)+(TRUNC(6+(24-6)*(TRUNC(MOD(($Z227*1103515245 +12345)/ 65536, 32768),0)/32768),0))</f>
        <v>17</v>
      </c>
      <c r="P227" s="16" t="e">
        <f t="shared" ca="1" si="5"/>
        <v>#NAME?</v>
      </c>
      <c r="Q227" s="153">
        <f ca="1">VLOOKUP($AB$2,'RF Mod'!$A$2:$G$12,6,FALSE)+VLOOKUP($AD$2,'RF Mod'!$I$2:$O$11,6,FALSE)+(TRUNC(6+(24-6)*(TRUNC(MOD(($Z227*1103515245 +12345)/ 65536, 32768),0)/32768),0))</f>
        <v>15</v>
      </c>
      <c r="R227" s="16" t="e">
        <f t="shared" ca="1" si="6"/>
        <v>#NAME?</v>
      </c>
      <c r="S227" s="154">
        <f t="shared" ca="1" si="12"/>
        <v>232</v>
      </c>
      <c r="T227" s="154">
        <f t="shared" ca="1" si="7"/>
        <v>13</v>
      </c>
      <c r="U227" s="16" t="str">
        <f t="shared" ca="1" si="8"/>
        <v>Fine</v>
      </c>
      <c r="V227" s="155">
        <f ca="1">IFERROR(__xludf.DUMMYFUNCTION("if(W227=""Middle Age"",QUERY(NPCVar!$K$2:$N1000, ""Select L where K = '""&amp;AB227&amp;""'""),if(W227=""Old"",QUERY(NPCVar!$K$2:$N1000, ""Select M where K = '""&amp;AB227&amp;""'""),if(W227=""Venerable"",QUERY(NPCVar!$K$2:$N1000, ""Select N where K = '""&amp;AB227&amp;""'""),fa"&amp;"lse)))*X227"),57.75)</f>
        <v>57.75</v>
      </c>
      <c r="W227" s="156" t="str">
        <f t="array" ref="W227">INDEX(NPCAgeType,TRUNC(1+(4-1)*(TRUNC(MOD((X227*1103515245 +12345)/ 65536, 32768),0)/32768),0))</f>
        <v>Middle Age</v>
      </c>
      <c r="X227" s="117">
        <f t="shared" si="13"/>
        <v>2.1</v>
      </c>
      <c r="Y227" s="157" t="e">
        <f t="array" aca="1" ref="Y227" ca="1">LOOKUP(ABS(MAX(Z227 + MIN(ABS(INDIRECT("Class Jobs!B"&amp;MATCH(E227,'Class Jobs'!$A$1:$A1000,0)&amp;":"&amp;"AF"&amp;MATCH(E227,'Class Jobs'!$A$1:$A1000,0)&amp;"")-$Z227)) * SUM(IF(MIN(ABS(INDIRECT("Class Jobs!B"&amp;MATCH(E227,'Class Jobs'!$A$1:$A1000,0)&amp;":"&amp;"AF"&amp;MATCH(E227,'Class Jobs'!$A$1:$A1000,0)&amp;"")-$Z227))=ABS(INDIRECT("Class Jobs!B"&amp;MATCH(E227,'Class Jobs'!$A$1:$A1000,0)&amp;":"&amp;"AF"&amp;MATCH(E227,'Class Jobs'!$A$1:$A1000,0)&amp;"")-$Z227),SIGN(INDIRECT("Class Jobs!B"&amp;MATCH(E227,'Class Jobs'!$A$1:A1000,0)&amp;":"&amp;"AF"&amp;MATCH(E227,'Class Jobs'!$A$1:$A1000,0)&amp;"")-$Z227),0)),0)),INDIRECT("Class Jobs!B"&amp;MATCH(E227,'Class Jobs'!$A$1:$A1000,0)&amp;":"&amp;"AF"&amp;MATCH(E227,'Class Jobs'!$A$1:$A1000,1)&amp;""),'Class Jobs'!$B$1:$AF$1)</f>
        <v>#REF!</v>
      </c>
      <c r="Z227" s="158">
        <f t="shared" si="10"/>
        <v>0.85</v>
      </c>
      <c r="AA227" s="16" t="str">
        <f t="array" ref="AA227">INDEX(NPCGender,TRUNC(1+(COUNTA(NPCGender))*(TRUNC(MOD(($B227*1103515245 +12345)/ 65536, 32768),0)/32768),0))</f>
        <v>Neutral</v>
      </c>
      <c r="AB227" s="16" t="str">
        <f t="array" ref="AB227">INDEX(NPCRace,TRUNC(1+(COUNTA(NPCRace))*(TRUNC(MOD(($B227*1103515245 +12345)/ 65536, 32768),0)/32768),0))</f>
        <v>Genasi</v>
      </c>
      <c r="AC227" s="16" t="str">
        <f t="array" ref="AC227">INDEX(NPCAL,TRUNC(1+(COUNTA(NPCAL))*(TRUNC(MOD(($B227*1103515245 +12345)/ 65536, 32768),0)/32768),0))</f>
        <v>LN</v>
      </c>
      <c r="AD227" s="72" t="str">
        <f ca="1">IFERROR(__xludf.DUMMYFUNCTION("if(V227&lt;15,QUERY(NPCVar!C:D,""Select D WHERE C = '""&amp;D227&amp;""'""),if((TRUNC(1+10)*(TRUNC(MOD((ROW(H227)*1103515245 +12345)/ 65536, 32768),0)/32768)/10) &gt; 0.85,INDEX(NPCFaction,TRUNC(1+(counta(NPCFaction)-1)*(TRUNC(MOD(($B227*1103515245 +12345)/ 65536, 3276"&amp;"8),0)/32768),0)),QUERY(NPCVar!C:D,""Select D WHERE C = '""&amp;D227&amp;""'"")))"),"Traverlers Guild")</f>
        <v>Traverlers Guild</v>
      </c>
      <c r="AE227" s="108" t="e">
        <f t="shared" ca="1" si="11"/>
        <v>#NAME?</v>
      </c>
      <c r="AF227" s="159">
        <f ca="1">IFERROR(__xludf.DUMMYFUNCTION("AE227*(V227 / QUERY(NPCVar!$K$2:$N$12, ""Select N WHERE K='""&amp;AB227&amp;""'""))*TRUNC(1+10)*(TRUNC(MOD(($B227*1103515245 +12345)/ 65536, 32768),0)/32768)"),1.48474319458007)</f>
        <v>1.48474319458007</v>
      </c>
      <c r="AG227" s="16"/>
      <c r="AH227" s="77"/>
      <c r="AI227" s="114"/>
    </row>
    <row r="228" spans="1:35" ht="16.2">
      <c r="A228" s="53">
        <v>227</v>
      </c>
      <c r="B228" s="118">
        <f t="shared" si="16"/>
        <v>0.66193000000000002</v>
      </c>
      <c r="C228" s="72" t="str">
        <f t="array" ref="C228">INDEX(NPCFName,TRUNC(1+(COUNTA(NPCFName))*(TRUNC(MOD(($B228*1103515245 +12345)/ 65536, 32768),0)/32768),0))</f>
        <v>Ahdun</v>
      </c>
      <c r="D228" s="16" t="str">
        <f t="array" ref="D228">INDEX(NPCLName,TRUNC(1+(COUNTA(NPCLName))*(TRUNC(MOD(($B228*1103515245 +12345)/ 65536, 32768),0)/32768),0))</f>
        <v>Leafblight</v>
      </c>
      <c r="E228" s="16" t="str">
        <f t="array" ref="E228">INDEX(NPCClass,TRUNC(1+(COUNTA(NPCClass))*(TRUNC(MOD(($B228*1103515245 +12345)/ 65536, 32768),0)/32768),0))</f>
        <v>Paladin</v>
      </c>
      <c r="F228" s="76">
        <v>1</v>
      </c>
      <c r="G228" s="153">
        <f ca="1">VLOOKUP($AB$2,'RF Mod'!$A$2:$G$12,2,FALSE)+VLOOKUP($AD$2,'RF Mod'!$I$2:$O$11,2,FALSE)+(TRUNC(6+(24-6)*(TRUNC(MOD(($Z228*1103515245 +12345)/ 65536, 32768),0)/32768),0))</f>
        <v>7</v>
      </c>
      <c r="H228" s="16">
        <f t="shared" ca="1" si="1"/>
        <v>-2</v>
      </c>
      <c r="I228" s="153">
        <f ca="1">VLOOKUP($AB$2,'RF Mod'!$A$2:$G$12,3,FALSE)+VLOOKUP($AD$2,'RF Mod'!$I$2:$O$11,3,FALSE)+(TRUNC(6+(24-6)*(TRUNC(MOD(($Z228*1103515245 +12345)/ 65536, 32768),0)/32768),0))</f>
        <v>11</v>
      </c>
      <c r="J228" s="16" t="e">
        <f t="shared" ca="1" si="2"/>
        <v>#NAME?</v>
      </c>
      <c r="K228" s="153">
        <f ca="1">VLOOKUP($AB$2,'RF Mod'!$A$2:$G$12,3,FALSE)+VLOOKUP($AD$2,'RF Mod'!$I$2:$O$11,3,FALSE)+(TRUNC(6+(24-6)*(TRUNC(MOD(($Z228*1103515245 +12345)/ 65536, 32768),0)/32768),0))</f>
        <v>11</v>
      </c>
      <c r="L228" s="16" t="e">
        <f t="shared" ca="1" si="3"/>
        <v>#NAME?</v>
      </c>
      <c r="M228" s="153">
        <f ca="1">VLOOKUP($AB$2,'RF Mod'!$A$2:$G$12,4,FALSE)+VLOOKUP($AD$2,'RF Mod'!$I$2:$O$11,4,FALSE)+(TRUNC(6+(24-6)*(TRUNC(MOD(($Z228*1103515245 +12345)/ 65536, 32768),0)/32768),0))</f>
        <v>10</v>
      </c>
      <c r="N228" s="16" t="e">
        <f t="shared" ca="1" si="4"/>
        <v>#NAME?</v>
      </c>
      <c r="O228" s="153">
        <f ca="1">VLOOKUP($AB$2,'RF Mod'!$A$2:$G$12,5,FALSE)+VLOOKUP($AD$2,'RF Mod'!$I$2:$O$11,5,FALSE)+(TRUNC(6+(24-6)*(TRUNC(MOD(($Z228*1103515245 +12345)/ 65536, 32768),0)/32768),0))</f>
        <v>13</v>
      </c>
      <c r="P228" s="16" t="e">
        <f t="shared" ca="1" si="5"/>
        <v>#NAME?</v>
      </c>
      <c r="Q228" s="153">
        <f ca="1">VLOOKUP($AB$2,'RF Mod'!$A$2:$G$12,6,FALSE)+VLOOKUP($AD$2,'RF Mod'!$I$2:$O$11,6,FALSE)+(TRUNC(6+(24-6)*(TRUNC(MOD(($Z228*1103515245 +12345)/ 65536, 32768),0)/32768),0))</f>
        <v>11</v>
      </c>
      <c r="R228" s="16" t="e">
        <f t="shared" ca="1" si="6"/>
        <v>#NAME?</v>
      </c>
      <c r="S228" s="154">
        <f t="shared" ca="1" si="12"/>
        <v>17</v>
      </c>
      <c r="T228" s="154">
        <f t="shared" ca="1" si="7"/>
        <v>11</v>
      </c>
      <c r="U228" s="16" t="str">
        <f t="shared" ca="1" si="8"/>
        <v>Bloody</v>
      </c>
      <c r="V228" s="155">
        <f ca="1">IFERROR(__xludf.DUMMYFUNCTION("if(W228=""Middle Age"",QUERY(NPCVar!$K$2:$N1000, ""Select L where K = '""&amp;AB228&amp;""'""),if(W228=""Old"",QUERY(NPCVar!$K$2:$N1000, ""Select M where K = '""&amp;AB228&amp;""'""),if(W228=""Venerable"",QUERY(NPCVar!$K$2:$N1000, ""Select N where K = '""&amp;AB228&amp;""'""),fa"&amp;"lse)))*X228"),151.875)</f>
        <v>151.875</v>
      </c>
      <c r="W228" s="156" t="str">
        <f t="array" ref="W228">INDEX(NPCAgeType,TRUNC(1+(4-1)*(TRUNC(MOD((X228*1103515245 +12345)/ 65536, 32768),0)/32768),0))</f>
        <v>Old</v>
      </c>
      <c r="X228" s="117">
        <f t="shared" si="13"/>
        <v>0.9</v>
      </c>
      <c r="Y228" s="157" t="e">
        <f t="array" aca="1" ref="Y228" ca="1">LOOKUP(ABS(MAX(Z228 + MIN(ABS(INDIRECT("Class Jobs!B"&amp;MATCH(E228,'Class Jobs'!$A$1:$A1000,0)&amp;":"&amp;"AF"&amp;MATCH(E228,'Class Jobs'!$A$1:$A1000,0)&amp;"")-$Z228)) * SUM(IF(MIN(ABS(INDIRECT("Class Jobs!B"&amp;MATCH(E228,'Class Jobs'!$A$1:$A1000,0)&amp;":"&amp;"AF"&amp;MATCH(E228,'Class Jobs'!$A$1:$A1000,0)&amp;"")-$Z228))=ABS(INDIRECT("Class Jobs!B"&amp;MATCH(E228,'Class Jobs'!$A$1:$A1000,0)&amp;":"&amp;"AF"&amp;MATCH(E228,'Class Jobs'!$A$1:$A1000,0)&amp;"")-$Z228),SIGN(INDIRECT("Class Jobs!B"&amp;MATCH(E228,'Class Jobs'!$A$1:A1000,0)&amp;":"&amp;"AF"&amp;MATCH(E228,'Class Jobs'!$A$1:$A1000,0)&amp;"")-$Z228),0)),0)),INDIRECT("Class Jobs!B"&amp;MATCH(E228,'Class Jobs'!$A$1:$A1000,0)&amp;":"&amp;"AF"&amp;MATCH(E228,'Class Jobs'!$A$1:$A1000,1)&amp;""),'Class Jobs'!$B$1:$AF$1)</f>
        <v>#REF!</v>
      </c>
      <c r="Z228" s="158">
        <f t="shared" si="10"/>
        <v>0.34</v>
      </c>
      <c r="AA228" s="16" t="str">
        <f t="array" ref="AA228">INDEX(NPCGender,TRUNC(1+(COUNTA(NPCGender))*(TRUNC(MOD(($B228*1103515245 +12345)/ 65536, 32768),0)/32768),0))</f>
        <v>Female</v>
      </c>
      <c r="AB228" s="16" t="str">
        <f t="array" ref="AB228">INDEX(NPCRace,TRUNC(1+(COUNTA(NPCRace))*(TRUNC(MOD(($B228*1103515245 +12345)/ 65536, 32768),0)/32768),0))</f>
        <v>Gnome</v>
      </c>
      <c r="AC228" s="16" t="str">
        <f t="array" ref="AC228">INDEX(NPCAL,TRUNC(1+(COUNTA(NPCAL))*(TRUNC(MOD(($B228*1103515245 +12345)/ 65536, 32768),0)/32768),0))</f>
        <v>NG</v>
      </c>
      <c r="AD228" s="72" t="str">
        <f ca="1">IFERROR(__xludf.DUMMYFUNCTION("if(V228&lt;15,QUERY(NPCVar!C:D,""Select D WHERE C = '""&amp;D228&amp;""'""),if((TRUNC(1+10)*(TRUNC(MOD((ROW(H228)*1103515245 +12345)/ 65536, 32768),0)/32768)/10) &gt; 0.85,INDEX(NPCFaction,TRUNC(1+(counta(NPCFaction)-1)*(TRUNC(MOD(($B228*1103515245 +12345)/ 65536, 3276"&amp;"8),0)/32768),0)),QUERY(NPCVar!C:D,""Select D WHERE C = '""&amp;D228&amp;""'"")))"),"Necromancer")</f>
        <v>Necromancer</v>
      </c>
      <c r="AE228" s="108" t="e">
        <f t="shared" ca="1" si="11"/>
        <v>#NAME?</v>
      </c>
      <c r="AF228" s="159">
        <f ca="1">IFERROR(__xludf.DUMMYFUNCTION("AE228*(V228 / QUERY(NPCVar!$K$2:$N$12, ""Select N WHERE K='""&amp;AB228&amp;""'""))*TRUNC(1+10)*(TRUNC(MOD(($B228*1103515245 +12345)/ 65536, 32768),0)/32768)"),0.63134479522705)</f>
        <v>0.63134479522705</v>
      </c>
      <c r="AG228" s="16"/>
      <c r="AH228" s="77"/>
      <c r="AI228" s="114"/>
    </row>
    <row r="229" spans="1:35" ht="16.2">
      <c r="A229" s="53">
        <v>228</v>
      </c>
      <c r="B229" s="118">
        <f t="shared" si="16"/>
        <v>2.1560600000000001</v>
      </c>
      <c r="C229" s="72" t="str">
        <f t="array" ref="C229">INDEX(NPCFName,TRUNC(1+(COUNTA(NPCFName))*(TRUNC(MOD(($B229*1103515245 +12345)/ 65536, 32768),0)/32768),0))</f>
        <v>Ficadon</v>
      </c>
      <c r="D229" s="16" t="str">
        <f t="array" ref="D229">INDEX(NPCLName,TRUNC(1+(COUNTA(NPCLName))*(TRUNC(MOD(($B229*1103515245 +12345)/ 65536, 32768),0)/32768),0))</f>
        <v>Distantlash</v>
      </c>
      <c r="E229" s="16" t="str">
        <f t="array" ref="E229">INDEX(NPCClass,TRUNC(1+(COUNTA(NPCClass))*(TRUNC(MOD(($B229*1103515245 +12345)/ 65536, 32768),0)/32768),0))</f>
        <v>Bard</v>
      </c>
      <c r="F229" s="76">
        <v>1</v>
      </c>
      <c r="G229" s="153">
        <f ca="1">VLOOKUP($AB$2,'RF Mod'!$A$2:$G$12,2,FALSE)+VLOOKUP($AD$2,'RF Mod'!$I$2:$O$11,2,FALSE)+(TRUNC(6+(24-6)*(TRUNC(MOD(($Z229*1103515245 +12345)/ 65536, 32768),0)/32768),0))</f>
        <v>5</v>
      </c>
      <c r="H229" s="16">
        <f t="shared" ca="1" si="1"/>
        <v>-3</v>
      </c>
      <c r="I229" s="153">
        <f ca="1">VLOOKUP($AB$2,'RF Mod'!$A$2:$G$12,3,FALSE)+VLOOKUP($AD$2,'RF Mod'!$I$2:$O$11,3,FALSE)+(TRUNC(6+(24-6)*(TRUNC(MOD(($Z229*1103515245 +12345)/ 65536, 32768),0)/32768),0))</f>
        <v>9</v>
      </c>
      <c r="J229" s="16">
        <f t="shared" ca="1" si="2"/>
        <v>-1</v>
      </c>
      <c r="K229" s="153">
        <f ca="1">VLOOKUP($AB$2,'RF Mod'!$A$2:$G$12,3,FALSE)+VLOOKUP($AD$2,'RF Mod'!$I$2:$O$11,3,FALSE)+(TRUNC(6+(24-6)*(TRUNC(MOD(($Z229*1103515245 +12345)/ 65536, 32768),0)/32768),0))</f>
        <v>9</v>
      </c>
      <c r="L229" s="16">
        <f t="shared" ca="1" si="3"/>
        <v>-1</v>
      </c>
      <c r="M229" s="153">
        <f ca="1">VLOOKUP($AB$2,'RF Mod'!$A$2:$G$12,4,FALSE)+VLOOKUP($AD$2,'RF Mod'!$I$2:$O$11,4,FALSE)+(TRUNC(6+(24-6)*(TRUNC(MOD(($Z229*1103515245 +12345)/ 65536, 32768),0)/32768),0))</f>
        <v>8</v>
      </c>
      <c r="N229" s="16">
        <f t="shared" ca="1" si="4"/>
        <v>-1</v>
      </c>
      <c r="O229" s="153">
        <f ca="1">VLOOKUP($AB$2,'RF Mod'!$A$2:$G$12,5,FALSE)+VLOOKUP($AD$2,'RF Mod'!$I$2:$O$11,5,FALSE)+(TRUNC(6+(24-6)*(TRUNC(MOD(($Z229*1103515245 +12345)/ 65536, 32768),0)/32768),0))</f>
        <v>11</v>
      </c>
      <c r="P229" s="16" t="e">
        <f t="shared" ca="1" si="5"/>
        <v>#NAME?</v>
      </c>
      <c r="Q229" s="153">
        <f ca="1">VLOOKUP($AB$2,'RF Mod'!$A$2:$G$12,6,FALSE)+VLOOKUP($AD$2,'RF Mod'!$I$2:$O$11,6,FALSE)+(TRUNC(6+(24-6)*(TRUNC(MOD(($Z229*1103515245 +12345)/ 65536, 32768),0)/32768),0))</f>
        <v>9</v>
      </c>
      <c r="R229" s="16">
        <f t="shared" ca="1" si="6"/>
        <v>-1</v>
      </c>
      <c r="S229" s="154">
        <f t="shared" ca="1" si="12"/>
        <v>27</v>
      </c>
      <c r="T229" s="154">
        <f t="shared" ca="1" si="7"/>
        <v>18</v>
      </c>
      <c r="U229" s="16" t="str">
        <f t="shared" ca="1" si="8"/>
        <v>Bloody</v>
      </c>
      <c r="V229" s="155">
        <f ca="1">IFERROR(__xludf.DUMMYFUNCTION("if(W229=""Middle Age"",QUERY(NPCVar!$K$2:$N1000, ""Select L where K = '""&amp;AB229&amp;""'""),if(W229=""Old"",QUERY(NPCVar!$K$2:$N1000, ""Select M where K = '""&amp;AB229&amp;""'""),if(W229=""Venerable"",QUERY(NPCVar!$K$2:$N1000, ""Select N where K = '""&amp;AB229&amp;""'""),fa"&amp;"lse)))*X229"),24)</f>
        <v>24</v>
      </c>
      <c r="W229" s="156" t="str">
        <f t="array" ref="W229">INDEX(NPCAgeType,TRUNC(1+(4-1)*(TRUNC(MOD((X229*1103515245 +12345)/ 65536, 32768),0)/32768),0))</f>
        <v>Middle Age</v>
      </c>
      <c r="X229" s="117">
        <f t="shared" si="13"/>
        <v>0.3</v>
      </c>
      <c r="Y229" s="157" t="e">
        <f t="array" aca="1" ref="Y229" ca="1">LOOKUP(ABS(MAX(Z229 + MIN(ABS(INDIRECT("Class Jobs!B"&amp;MATCH(E229,'Class Jobs'!$A$1:$A1000,0)&amp;":"&amp;"AF"&amp;MATCH(E229,'Class Jobs'!$A$1:$A1000,0)&amp;"")-$Z229)) * SUM(IF(MIN(ABS(INDIRECT("Class Jobs!B"&amp;MATCH(E229,'Class Jobs'!$A$1:$A1000,0)&amp;":"&amp;"AF"&amp;MATCH(E229,'Class Jobs'!$A$1:$A1000,0)&amp;"")-$Z229))=ABS(INDIRECT("Class Jobs!B"&amp;MATCH(E229,'Class Jobs'!$A$1:$A1000,0)&amp;":"&amp;"AF"&amp;MATCH(E229,'Class Jobs'!$A$1:$A1000,0)&amp;"")-$Z229),SIGN(INDIRECT("Class Jobs!B"&amp;MATCH(E229,'Class Jobs'!$A$1:A1000,0)&amp;":"&amp;"AF"&amp;MATCH(E229,'Class Jobs'!$A$1:$A1000,0)&amp;"")-$Z229),0)),0)),INDIRECT("Class Jobs!B"&amp;MATCH(E229,'Class Jobs'!$A$1:$A1000,0)&amp;":"&amp;"AF"&amp;MATCH(E229,'Class Jobs'!$A$1:$A1000,1)&amp;""),'Class Jobs'!$B$1:$AF$1)</f>
        <v>#REF!</v>
      </c>
      <c r="Z229" s="158">
        <f t="shared" si="10"/>
        <v>0.11</v>
      </c>
      <c r="AA229" s="16" t="str">
        <f t="array" ref="AA229">INDEX(NPCGender,TRUNC(1+(COUNTA(NPCGender))*(TRUNC(MOD(($B229*1103515245 +12345)/ 65536, 32768),0)/32768),0))</f>
        <v>Male</v>
      </c>
      <c r="AB229" s="16" t="str">
        <f t="array" ref="AB229">INDEX(NPCRace,TRUNC(1+(COUNTA(NPCRace))*(TRUNC(MOD(($B229*1103515245 +12345)/ 65536, 32768),0)/32768),0))</f>
        <v>Dwarf</v>
      </c>
      <c r="AC229" s="16" t="str">
        <f t="array" ref="AC229">INDEX(NPCAL,TRUNC(1+(COUNTA(NPCAL))*(TRUNC(MOD(($B229*1103515245 +12345)/ 65536, 32768),0)/32768),0))</f>
        <v>CN</v>
      </c>
      <c r="AD229" s="72" t="str">
        <f ca="1">IFERROR(__xludf.DUMMYFUNCTION("if(V229&lt;15,QUERY(NPCVar!C:D,""Select D WHERE C = '""&amp;D229&amp;""'""),if((TRUNC(1+10)*(TRUNC(MOD((ROW(H229)*1103515245 +12345)/ 65536, 32768),0)/32768)/10) &gt; 0.85,INDEX(NPCFaction,TRUNC(1+(counta(NPCFaction)-1)*(TRUNC(MOD(($B229*1103515245 +12345)/ 65536, 3276"&amp;"8),0)/32768),0)),QUERY(NPCVar!C:D,""Select D WHERE C = '""&amp;D229&amp;""'"")))"),"Death Guild")</f>
        <v>Death Guild</v>
      </c>
      <c r="AE229" s="108" t="e">
        <f t="shared" ca="1" si="11"/>
        <v>#NAME?</v>
      </c>
      <c r="AF229" s="159">
        <f ca="1">IFERROR(__xludf.DUMMYFUNCTION("AE229*(V229 / QUERY(NPCVar!$K$2:$N$12, ""Select N WHERE K='""&amp;AB229&amp;""'""))*TRUNC(1+10)*(TRUNC(MOD(($B229*1103515245 +12345)/ 65536, 32768),0)/32768)"),-0.00890258789062499)</f>
        <v>-8.9025878906249904E-3</v>
      </c>
      <c r="AG229" s="16"/>
      <c r="AH229" s="77"/>
      <c r="AI229" s="114"/>
    </row>
    <row r="230" spans="1:35" ht="16.2">
      <c r="A230" s="53">
        <v>229</v>
      </c>
      <c r="B230" s="118">
        <f t="shared" si="16"/>
        <v>1.15021</v>
      </c>
      <c r="C230" s="72" t="str">
        <f t="array" ref="C230">INDEX(NPCFName,TRUNC(1+(COUNTA(NPCFName))*(TRUNC(MOD(($B230*1103515245 +12345)/ 65536, 32768),0)/32768),0))</f>
        <v>Samot</v>
      </c>
      <c r="D230" s="16" t="str">
        <f t="array" ref="D230">INDEX(NPCLName,TRUNC(1+(COUNTA(NPCLName))*(TRUNC(MOD(($B230*1103515245 +12345)/ 65536, 32768),0)/32768),0))</f>
        <v>Chestaxe</v>
      </c>
      <c r="E230" s="16" t="str">
        <f t="array" ref="E230">INDEX(NPCClass,TRUNC(1+(COUNTA(NPCClass))*(TRUNC(MOD(($B230*1103515245 +12345)/ 65536, 32768),0)/32768),0))</f>
        <v>Warlock</v>
      </c>
      <c r="F230" s="76">
        <v>8</v>
      </c>
      <c r="G230" s="153">
        <f ca="1">VLOOKUP($AB$2,'RF Mod'!$A$2:$G$12,2,FALSE)+VLOOKUP($AD$2,'RF Mod'!$I$2:$O$11,2,FALSE)+(TRUNC(6+(24-6)*(TRUNC(MOD(($Z230*1103515245 +12345)/ 65536, 32768),0)/32768),0))</f>
        <v>9</v>
      </c>
      <c r="H230" s="16">
        <f t="shared" ca="1" si="1"/>
        <v>-1</v>
      </c>
      <c r="I230" s="153">
        <f ca="1">VLOOKUP($AB$2,'RF Mod'!$A$2:$G$12,3,FALSE)+VLOOKUP($AD$2,'RF Mod'!$I$2:$O$11,3,FALSE)+(TRUNC(6+(24-6)*(TRUNC(MOD(($Z230*1103515245 +12345)/ 65536, 32768),0)/32768),0))</f>
        <v>13</v>
      </c>
      <c r="J230" s="16" t="e">
        <f t="shared" ca="1" si="2"/>
        <v>#NAME?</v>
      </c>
      <c r="K230" s="153">
        <f ca="1">VLOOKUP($AB$2,'RF Mod'!$A$2:$G$12,3,FALSE)+VLOOKUP($AD$2,'RF Mod'!$I$2:$O$11,3,FALSE)+(TRUNC(6+(24-6)*(TRUNC(MOD(($Z230*1103515245 +12345)/ 65536, 32768),0)/32768),0))</f>
        <v>13</v>
      </c>
      <c r="L230" s="16" t="e">
        <f t="shared" ca="1" si="3"/>
        <v>#NAME?</v>
      </c>
      <c r="M230" s="153">
        <f ca="1">VLOOKUP($AB$2,'RF Mod'!$A$2:$G$12,4,FALSE)+VLOOKUP($AD$2,'RF Mod'!$I$2:$O$11,4,FALSE)+(TRUNC(6+(24-6)*(TRUNC(MOD(($Z230*1103515245 +12345)/ 65536, 32768),0)/32768),0))</f>
        <v>12</v>
      </c>
      <c r="N230" s="16" t="e">
        <f t="shared" ca="1" si="4"/>
        <v>#NAME?</v>
      </c>
      <c r="O230" s="153">
        <f ca="1">VLOOKUP($AB$2,'RF Mod'!$A$2:$G$12,5,FALSE)+VLOOKUP($AD$2,'RF Mod'!$I$2:$O$11,5,FALSE)+(TRUNC(6+(24-6)*(TRUNC(MOD(($Z230*1103515245 +12345)/ 65536, 32768),0)/32768),0))</f>
        <v>15</v>
      </c>
      <c r="P230" s="16" t="e">
        <f t="shared" ca="1" si="5"/>
        <v>#NAME?</v>
      </c>
      <c r="Q230" s="153">
        <f ca="1">VLOOKUP($AB$2,'RF Mod'!$A$2:$G$12,6,FALSE)+VLOOKUP($AD$2,'RF Mod'!$I$2:$O$11,6,FALSE)+(TRUNC(6+(24-6)*(TRUNC(MOD(($Z230*1103515245 +12345)/ 65536, 32768),0)/32768),0))</f>
        <v>13</v>
      </c>
      <c r="R230" s="16" t="e">
        <f t="shared" ca="1" si="6"/>
        <v>#NAME?</v>
      </c>
      <c r="S230" s="154">
        <f t="shared" ca="1" si="12"/>
        <v>120</v>
      </c>
      <c r="T230" s="154">
        <f t="shared" ca="1" si="7"/>
        <v>9</v>
      </c>
      <c r="U230" s="16" t="str">
        <f t="shared" ca="1" si="8"/>
        <v>Fine</v>
      </c>
      <c r="V230" s="155">
        <f ca="1">IFERROR(__xludf.DUMMYFUNCTION("if(W230=""Middle Age"",QUERY(NPCVar!$K$2:$N1000, ""Select L where K = '""&amp;AB230&amp;""'""),if(W230=""Old"",QUERY(NPCVar!$K$2:$N1000, ""Select M where K = '""&amp;AB230&amp;""'""),if(W230=""Venerable"",QUERY(NPCVar!$K$2:$N1000, ""Select N where K = '""&amp;AB230&amp;""'""),fa"&amp;"lse)))*X230"),300)</f>
        <v>300</v>
      </c>
      <c r="W230" s="156" t="str">
        <f t="array" ref="W230">INDEX(NPCAgeType,TRUNC(1+(4-1)*(TRUNC(MOD((X230*1103515245 +12345)/ 65536, 32768),0)/32768),0))</f>
        <v>Venerable</v>
      </c>
      <c r="X230" s="117">
        <f t="shared" si="13"/>
        <v>1.5</v>
      </c>
      <c r="Y230" s="157" t="e">
        <f t="array" aca="1" ref="Y230" ca="1">LOOKUP(ABS(MAX(Z230 + MIN(ABS(INDIRECT("Class Jobs!B"&amp;MATCH(E230,'Class Jobs'!$A$1:$A1000,0)&amp;":"&amp;"AF"&amp;MATCH(E230,'Class Jobs'!$A$1:$A1000,0)&amp;"")-$Z230)) * SUM(IF(MIN(ABS(INDIRECT("Class Jobs!B"&amp;MATCH(E230,'Class Jobs'!$A$1:$A1000,0)&amp;":"&amp;"AF"&amp;MATCH(E230,'Class Jobs'!$A$1:$A1000,0)&amp;"")-$Z230))=ABS(INDIRECT("Class Jobs!B"&amp;MATCH(E230,'Class Jobs'!$A$1:$A1000,0)&amp;":"&amp;"AF"&amp;MATCH(E230,'Class Jobs'!$A$1:$A1000,0)&amp;"")-$Z230),SIGN(INDIRECT("Class Jobs!B"&amp;MATCH(E230,'Class Jobs'!$A$1:A1000,0)&amp;":"&amp;"AF"&amp;MATCH(E230,'Class Jobs'!$A$1:$A1000,0)&amp;"")-$Z230),0)),0)),INDIRECT("Class Jobs!B"&amp;MATCH(E230,'Class Jobs'!$A$1:$A1000,0)&amp;":"&amp;"AF"&amp;MATCH(E230,'Class Jobs'!$A$1:$A1000,1)&amp;""),'Class Jobs'!$B$1:$AF$1)</f>
        <v>#REF!</v>
      </c>
      <c r="Z230" s="158">
        <f t="shared" si="10"/>
        <v>0.59</v>
      </c>
      <c r="AA230" s="16" t="str">
        <f t="array" ref="AA230">INDEX(NPCGender,TRUNC(1+(COUNTA(NPCGender))*(TRUNC(MOD(($B230*1103515245 +12345)/ 65536, 32768),0)/32768),0))</f>
        <v>Female</v>
      </c>
      <c r="AB230" s="16" t="str">
        <f t="array" ref="AB230">INDEX(NPCRace,TRUNC(1+(COUNTA(NPCRace))*(TRUNC(MOD(($B230*1103515245 +12345)/ 65536, 32768),0)/32768),0))</f>
        <v>Halfling</v>
      </c>
      <c r="AC230" s="16" t="str">
        <f t="array" ref="AC230">INDEX(NPCAL,TRUNC(1+(COUNTA(NPCAL))*(TRUNC(MOD(($B230*1103515245 +12345)/ 65536, 32768),0)/32768),0))</f>
        <v>NE</v>
      </c>
      <c r="AD230" s="72" t="str">
        <f ca="1">IFERROR(__xludf.DUMMYFUNCTION("if(V230&lt;15,QUERY(NPCVar!C:D,""Select D WHERE C = '""&amp;D230&amp;""'""),if((TRUNC(1+10)*(TRUNC(MOD((ROW(H230)*1103515245 +12345)/ 65536, 32768),0)/32768)/10) &gt; 0.85,INDEX(NPCFaction,TRUNC(1+(counta(NPCFaction)-1)*(TRUNC(MOD(($B230*1103515245 +12345)/ 65536, 3276"&amp;"8),0)/32768),0)),QUERY(NPCVar!C:D,""Select D WHERE C = '""&amp;D230&amp;""'"")))"),"Farmers Guild")</f>
        <v>Farmers Guild</v>
      </c>
      <c r="AE230" s="108" t="e">
        <f t="shared" ca="1" si="11"/>
        <v>#NAME?</v>
      </c>
      <c r="AF230" s="159">
        <f ca="1">IFERROR(__xludf.DUMMYFUNCTION("AE230*(V230 / QUERY(NPCVar!$K$2:$N$12, ""Select N WHERE K='""&amp;AB230&amp;""'""))*TRUNC(1+10)*(TRUNC(MOD(($B230*1103515245 +12345)/ 65536, 32768),0)/32768)"),7.80164794921875)</f>
        <v>7.8016479492187498</v>
      </c>
      <c r="AG230" s="16"/>
      <c r="AH230" s="77"/>
      <c r="AI230" s="114"/>
    </row>
    <row r="231" spans="1:35" ht="16.2">
      <c r="A231" s="53">
        <v>230</v>
      </c>
      <c r="B231" s="118">
        <f t="shared" si="16"/>
        <v>0.14435000000000001</v>
      </c>
      <c r="C231" s="72" t="str">
        <f t="array" ref="C231">INDEX(NPCFName,TRUNC(1+(COUNTA(NPCFName))*(TRUNC(MOD(($B231*1103515245 +12345)/ 65536, 32768),0)/32768),0))</f>
        <v>Dessfar</v>
      </c>
      <c r="D231" s="16" t="str">
        <f t="array" ref="D231">INDEX(NPCLName,TRUNC(1+(COUNTA(NPCLName))*(TRUNC(MOD(($B231*1103515245 +12345)/ 65536, 32768),0)/32768),0))</f>
        <v>Autumnorb</v>
      </c>
      <c r="E231" s="16" t="str">
        <f t="array" ref="E231">INDEX(NPCClass,TRUNC(1+(COUNTA(NPCClass))*(TRUNC(MOD(($B231*1103515245 +12345)/ 65536, 32768),0)/32768),0))</f>
        <v>Barbarian</v>
      </c>
      <c r="F231" s="76">
        <v>1</v>
      </c>
      <c r="G231" s="153">
        <f ca="1">VLOOKUP($AB$2,'RF Mod'!$A$2:$G$12,2,FALSE)+VLOOKUP($AD$2,'RF Mod'!$I$2:$O$11,2,FALSE)+(TRUNC(6+(24-6)*(TRUNC(MOD(($Z231*1103515245 +12345)/ 65536, 32768),0)/32768),0))</f>
        <v>4</v>
      </c>
      <c r="H231" s="16">
        <f t="shared" ca="1" si="1"/>
        <v>-3</v>
      </c>
      <c r="I231" s="153">
        <f ca="1">VLOOKUP($AB$2,'RF Mod'!$A$2:$G$12,3,FALSE)+VLOOKUP($AD$2,'RF Mod'!$I$2:$O$11,3,FALSE)+(TRUNC(6+(24-6)*(TRUNC(MOD(($Z231*1103515245 +12345)/ 65536, 32768),0)/32768),0))</f>
        <v>8</v>
      </c>
      <c r="J231" s="16">
        <f t="shared" ca="1" si="2"/>
        <v>-1</v>
      </c>
      <c r="K231" s="153">
        <f ca="1">VLOOKUP($AB$2,'RF Mod'!$A$2:$G$12,3,FALSE)+VLOOKUP($AD$2,'RF Mod'!$I$2:$O$11,3,FALSE)+(TRUNC(6+(24-6)*(TRUNC(MOD(($Z231*1103515245 +12345)/ 65536, 32768),0)/32768),0))</f>
        <v>8</v>
      </c>
      <c r="L231" s="16">
        <f t="shared" ca="1" si="3"/>
        <v>-1</v>
      </c>
      <c r="M231" s="153">
        <f ca="1">VLOOKUP($AB$2,'RF Mod'!$A$2:$G$12,4,FALSE)+VLOOKUP($AD$2,'RF Mod'!$I$2:$O$11,4,FALSE)+(TRUNC(6+(24-6)*(TRUNC(MOD(($Z231*1103515245 +12345)/ 65536, 32768),0)/32768),0))</f>
        <v>7</v>
      </c>
      <c r="N231" s="16">
        <f t="shared" ca="1" si="4"/>
        <v>-2</v>
      </c>
      <c r="O231" s="153">
        <f ca="1">VLOOKUP($AB$2,'RF Mod'!$A$2:$G$12,5,FALSE)+VLOOKUP($AD$2,'RF Mod'!$I$2:$O$11,5,FALSE)+(TRUNC(6+(24-6)*(TRUNC(MOD(($Z231*1103515245 +12345)/ 65536, 32768),0)/32768),0))</f>
        <v>10</v>
      </c>
      <c r="P231" s="16" t="e">
        <f t="shared" ca="1" si="5"/>
        <v>#NAME?</v>
      </c>
      <c r="Q231" s="153">
        <f ca="1">VLOOKUP($AB$2,'RF Mod'!$A$2:$G$12,6,FALSE)+VLOOKUP($AD$2,'RF Mod'!$I$2:$O$11,6,FALSE)+(TRUNC(6+(24-6)*(TRUNC(MOD(($Z231*1103515245 +12345)/ 65536, 32768),0)/32768),0))</f>
        <v>8</v>
      </c>
      <c r="R231" s="16">
        <f t="shared" ca="1" si="6"/>
        <v>-1</v>
      </c>
      <c r="S231" s="154">
        <f t="shared" ca="1" si="12"/>
        <v>26</v>
      </c>
      <c r="T231" s="154">
        <f t="shared" ca="1" si="7"/>
        <v>24</v>
      </c>
      <c r="U231" s="16" t="str">
        <f t="shared" ca="1" si="8"/>
        <v>Bloody</v>
      </c>
      <c r="V231" s="155">
        <f ca="1">IFERROR(__xludf.DUMMYFUNCTION("if(W231=""Middle Age"",QUERY(NPCVar!$K$2:$N1000, ""Select L where K = '""&amp;AB231&amp;""'""),if(W231=""Old"",QUERY(NPCVar!$K$2:$N1000, ""Select M where K = '""&amp;AB231&amp;""'""),if(W231=""Venerable"",QUERY(NPCVar!$K$2:$N1000, ""Select N where K = '""&amp;AB231&amp;""'""),fa"&amp;"lse)))*X231"),4)</f>
        <v>4</v>
      </c>
      <c r="W231" s="156" t="str">
        <f t="array" ref="W231">INDEX(NPCAgeType,TRUNC(1+(4-1)*(TRUNC(MOD((X231*1103515245 +12345)/ 65536, 32768),0)/32768),0))</f>
        <v>Middle Age</v>
      </c>
      <c r="X231" s="117">
        <f t="shared" si="13"/>
        <v>0.2</v>
      </c>
      <c r="Y231" s="157" t="e">
        <f t="array" aca="1" ref="Y231" ca="1">LOOKUP(ABS(MAX(Z231 + MIN(ABS(INDIRECT("Class Jobs!B"&amp;MATCH(E231,'Class Jobs'!$A$1:$A1000,0)&amp;":"&amp;"AF"&amp;MATCH(E231,'Class Jobs'!$A$1:$A1000,0)&amp;"")-$Z231)) * SUM(IF(MIN(ABS(INDIRECT("Class Jobs!B"&amp;MATCH(E231,'Class Jobs'!$A$1:$A1000,0)&amp;":"&amp;"AF"&amp;MATCH(E231,'Class Jobs'!$A$1:$A1000,0)&amp;"")-$Z231))=ABS(INDIRECT("Class Jobs!B"&amp;MATCH(E231,'Class Jobs'!$A$1:$A1000,0)&amp;":"&amp;"AF"&amp;MATCH(E231,'Class Jobs'!$A$1:$A1000,0)&amp;"")-$Z231),SIGN(INDIRECT("Class Jobs!B"&amp;MATCH(E231,'Class Jobs'!$A$1:A1000,0)&amp;":"&amp;"AF"&amp;MATCH(E231,'Class Jobs'!$A$1:$A1000,0)&amp;"")-$Z231),0)),0)),INDIRECT("Class Jobs!B"&amp;MATCH(E231,'Class Jobs'!$A$1:$A1000,0)&amp;":"&amp;"AF"&amp;MATCH(E231,'Class Jobs'!$A$1:$A1000,1)&amp;""),'Class Jobs'!$B$1:$AF$1)</f>
        <v>#REF!</v>
      </c>
      <c r="Z231" s="158">
        <f t="shared" si="10"/>
        <v>0.08</v>
      </c>
      <c r="AA231" s="16" t="str">
        <f t="array" ref="AA231">INDEX(NPCGender,TRUNC(1+(COUNTA(NPCGender))*(TRUNC(MOD(($B231*1103515245 +12345)/ 65536, 32768),0)/32768),0))</f>
        <v>Male</v>
      </c>
      <c r="AB231" s="16" t="str">
        <f t="array" ref="AB231">INDEX(NPCRace,TRUNC(1+(COUNTA(NPCRace))*(TRUNC(MOD(($B231*1103515245 +12345)/ 65536, 32768),0)/32768),0))</f>
        <v>Dragonborn</v>
      </c>
      <c r="AC231" s="16" t="str">
        <f t="array" ref="AC231">INDEX(NPCAL,TRUNC(1+(COUNTA(NPCAL))*(TRUNC(MOD(($B231*1103515245 +12345)/ 65536, 32768),0)/32768),0))</f>
        <v>CN</v>
      </c>
      <c r="AD231" s="72" t="str">
        <f ca="1">IFERROR(__xludf.DUMMYFUNCTION("if(V231&lt;15,QUERY(NPCVar!C:D,""Select D WHERE C = '""&amp;D231&amp;""'""),if((TRUNC(1+10)*(TRUNC(MOD((ROW(H231)*1103515245 +12345)/ 65536, 32768),0)/32768)/10) &gt; 0.85,INDEX(NPCFaction,TRUNC(1+(counta(NPCFaction)-1)*(TRUNC(MOD(($B231*1103515245 +12345)/ 65536, 3276"&amp;"8),0)/32768),0)),QUERY(NPCVar!C:D,""Select D WHERE C = '""&amp;D231&amp;""'"")))"),"Royalty")</f>
        <v>Royalty</v>
      </c>
      <c r="AE231" s="108" t="e">
        <f t="shared" ca="1" si="11"/>
        <v>#NAME?</v>
      </c>
      <c r="AF231" s="159">
        <f ca="1">IFERROR(__xludf.DUMMYFUNCTION("AE231*(V231 / QUERY(NPCVar!$K$2:$N$12, ""Select N WHERE K='""&amp;AB231&amp;""'""))*TRUNC(1+10)*(TRUNC(MOD(($B231*1103515245 +12345)/ 65536, 32768),0)/32768)"),-0.00407867431640624)</f>
        <v>-4.0786743164062398E-3</v>
      </c>
      <c r="AG231" s="16"/>
      <c r="AH231" s="77"/>
      <c r="AI231" s="114"/>
    </row>
    <row r="232" spans="1:35" ht="16.2">
      <c r="A232" s="53">
        <v>231</v>
      </c>
      <c r="B232" s="118">
        <f t="shared" si="16"/>
        <v>1.63849</v>
      </c>
      <c r="C232" s="72" t="str">
        <f t="array" ref="C232">INDEX(NPCFName,TRUNC(1+(COUNTA(NPCFName))*(TRUNC(MOD(($B232*1103515245 +12345)/ 65536, 32768),0)/32768),0))</f>
        <v>Lin</v>
      </c>
      <c r="D232" s="16" t="str">
        <f t="array" ref="D232">INDEX(NPCLName,TRUNC(1+(COUNTA(NPCLName))*(TRUNC(MOD(($B232*1103515245 +12345)/ 65536, 32768),0)/32768),0))</f>
        <v>Springgust</v>
      </c>
      <c r="E232" s="16" t="str">
        <f t="array" ref="E232">INDEX(NPCClass,TRUNC(1+(COUNTA(NPCClass))*(TRUNC(MOD(($B232*1103515245 +12345)/ 65536, 32768),0)/32768),0))</f>
        <v>Fighter</v>
      </c>
      <c r="F232" s="76">
        <v>8</v>
      </c>
      <c r="G232" s="153">
        <f ca="1">VLOOKUP($AB$2,'RF Mod'!$A$2:$G$12,2,FALSE)+VLOOKUP($AD$2,'RF Mod'!$I$2:$O$11,2,FALSE)+(TRUNC(6+(24-6)*(TRUNC(MOD(($Z232*1103515245 +12345)/ 65536, 32768),0)/32768),0))</f>
        <v>11</v>
      </c>
      <c r="H232" s="16" t="e">
        <f t="shared" ca="1" si="1"/>
        <v>#NAME?</v>
      </c>
      <c r="I232" s="153">
        <f ca="1">VLOOKUP($AB$2,'RF Mod'!$A$2:$G$12,3,FALSE)+VLOOKUP($AD$2,'RF Mod'!$I$2:$O$11,3,FALSE)+(TRUNC(6+(24-6)*(TRUNC(MOD(($Z232*1103515245 +12345)/ 65536, 32768),0)/32768),0))</f>
        <v>15</v>
      </c>
      <c r="J232" s="16" t="e">
        <f t="shared" ca="1" si="2"/>
        <v>#NAME?</v>
      </c>
      <c r="K232" s="153">
        <f ca="1">VLOOKUP($AB$2,'RF Mod'!$A$2:$G$12,3,FALSE)+VLOOKUP($AD$2,'RF Mod'!$I$2:$O$11,3,FALSE)+(TRUNC(6+(24-6)*(TRUNC(MOD(($Z232*1103515245 +12345)/ 65536, 32768),0)/32768),0))</f>
        <v>15</v>
      </c>
      <c r="L232" s="16" t="e">
        <f t="shared" ca="1" si="3"/>
        <v>#NAME?</v>
      </c>
      <c r="M232" s="153">
        <f ca="1">VLOOKUP($AB$2,'RF Mod'!$A$2:$G$12,4,FALSE)+VLOOKUP($AD$2,'RF Mod'!$I$2:$O$11,4,FALSE)+(TRUNC(6+(24-6)*(TRUNC(MOD(($Z232*1103515245 +12345)/ 65536, 32768),0)/32768),0))</f>
        <v>14</v>
      </c>
      <c r="N232" s="16" t="e">
        <f t="shared" ca="1" si="4"/>
        <v>#NAME?</v>
      </c>
      <c r="O232" s="153">
        <f ca="1">VLOOKUP($AB$2,'RF Mod'!$A$2:$G$12,5,FALSE)+VLOOKUP($AD$2,'RF Mod'!$I$2:$O$11,5,FALSE)+(TRUNC(6+(24-6)*(TRUNC(MOD(($Z232*1103515245 +12345)/ 65536, 32768),0)/32768),0))</f>
        <v>17</v>
      </c>
      <c r="P232" s="16" t="e">
        <f t="shared" ca="1" si="5"/>
        <v>#NAME?</v>
      </c>
      <c r="Q232" s="153">
        <f ca="1">VLOOKUP($AB$2,'RF Mod'!$A$2:$G$12,6,FALSE)+VLOOKUP($AD$2,'RF Mod'!$I$2:$O$11,6,FALSE)+(TRUNC(6+(24-6)*(TRUNC(MOD(($Z232*1103515245 +12345)/ 65536, 32768),0)/32768),0))</f>
        <v>15</v>
      </c>
      <c r="R232" s="16" t="e">
        <f t="shared" ca="1" si="6"/>
        <v>#NAME?</v>
      </c>
      <c r="S232" s="154">
        <f t="shared" ca="1" si="12"/>
        <v>264</v>
      </c>
      <c r="T232" s="154">
        <f t="shared" ca="1" si="7"/>
        <v>152</v>
      </c>
      <c r="U232" s="16" t="str">
        <f t="shared" ca="1" si="8"/>
        <v>Bloody</v>
      </c>
      <c r="V232" s="155">
        <f ca="1">IFERROR(__xludf.DUMMYFUNCTION("if(W232=""Middle Age"",QUERY(NPCVar!$K$2:$N1000, ""Select L where K = '""&amp;AB232&amp;""'""),if(W232=""Old"",QUERY(NPCVar!$K$2:$N1000, ""Select M where K = '""&amp;AB232&amp;""'""),if(W232=""Venerable"",QUERY(NPCVar!$K$2:$N1000, ""Select N where K = '""&amp;AB232&amp;""'""),fa"&amp;"lse)))*X232"),57.75)</f>
        <v>57.75</v>
      </c>
      <c r="W232" s="156" t="str">
        <f t="array" ref="W232">INDEX(NPCAgeType,TRUNC(1+(4-1)*(TRUNC(MOD((X232*1103515245 +12345)/ 65536, 32768),0)/32768),0))</f>
        <v>Middle Age</v>
      </c>
      <c r="X232" s="117">
        <f t="shared" si="13"/>
        <v>2.1</v>
      </c>
      <c r="Y232" s="157" t="e">
        <f t="array" aca="1" ref="Y232" ca="1">LOOKUP(ABS(MAX(Z232 + MIN(ABS(INDIRECT("Class Jobs!B"&amp;MATCH(E232,'Class Jobs'!$A$1:$A1000,0)&amp;":"&amp;"AF"&amp;MATCH(E232,'Class Jobs'!$A$1:$A1000,0)&amp;"")-$Z232)) * SUM(IF(MIN(ABS(INDIRECT("Class Jobs!B"&amp;MATCH(E232,'Class Jobs'!$A$1:$A1000,0)&amp;":"&amp;"AF"&amp;MATCH(E232,'Class Jobs'!$A$1:$A1000,0)&amp;"")-$Z232))=ABS(INDIRECT("Class Jobs!B"&amp;MATCH(E232,'Class Jobs'!$A$1:$A1000,0)&amp;":"&amp;"AF"&amp;MATCH(E232,'Class Jobs'!$A$1:$A1000,0)&amp;"")-$Z232),SIGN(INDIRECT("Class Jobs!B"&amp;MATCH(E232,'Class Jobs'!$A$1:A1000,0)&amp;":"&amp;"AF"&amp;MATCH(E232,'Class Jobs'!$A$1:$A1000,0)&amp;"")-$Z232),0)),0)),INDIRECT("Class Jobs!B"&amp;MATCH(E232,'Class Jobs'!$A$1:$A1000,0)&amp;":"&amp;"AF"&amp;MATCH(E232,'Class Jobs'!$A$1:$A1000,1)&amp;""),'Class Jobs'!$B$1:$AF$1)</f>
        <v>#REF!</v>
      </c>
      <c r="Z232" s="158">
        <f t="shared" si="10"/>
        <v>0.84</v>
      </c>
      <c r="AA232" s="16" t="str">
        <f t="array" ref="AA232">INDEX(NPCGender,TRUNC(1+(COUNTA(NPCGender))*(TRUNC(MOD(($B232*1103515245 +12345)/ 65536, 32768),0)/32768),0))</f>
        <v>Neutral</v>
      </c>
      <c r="AB232" s="16" t="str">
        <f t="array" ref="AB232">INDEX(NPCRace,TRUNC(1+(COUNTA(NPCRace))*(TRUNC(MOD(($B232*1103515245 +12345)/ 65536, 32768),0)/32768),0))</f>
        <v>Genasi</v>
      </c>
      <c r="AC232" s="16" t="str">
        <f t="array" ref="AC232">INDEX(NPCAL,TRUNC(1+(COUNTA(NPCAL))*(TRUNC(MOD(($B232*1103515245 +12345)/ 65536, 32768),0)/32768),0))</f>
        <v>LN</v>
      </c>
      <c r="AD232" s="72" t="str">
        <f ca="1">IFERROR(__xludf.DUMMYFUNCTION("if(V232&lt;15,QUERY(NPCVar!C:D,""Select D WHERE C = '""&amp;D232&amp;""'""),if((TRUNC(1+10)*(TRUNC(MOD((ROW(H232)*1103515245 +12345)/ 65536, 32768),0)/32768)/10) &gt; 0.85,INDEX(NPCFaction,TRUNC(1+(counta(NPCFaction)-1)*(TRUNC(MOD(($B232*1103515245 +12345)/ 65536, 3276"&amp;"8),0)/32768),0)),QUERY(NPCVar!C:D,""Select D WHERE C = '""&amp;D232&amp;""'"")))"),"Traverlers Guild")</f>
        <v>Traverlers Guild</v>
      </c>
      <c r="AE232" s="108" t="e">
        <f t="shared" ca="1" si="11"/>
        <v>#NAME?</v>
      </c>
      <c r="AF232" s="159">
        <f ca="1">IFERROR(__xludf.DUMMYFUNCTION("AE232*(V232 / QUERY(NPCVar!$K$2:$N$12, ""Select N WHERE K='""&amp;AB232&amp;""'""))*TRUNC(1+10)*(TRUNC(MOD(($B232*1103515245 +12345)/ 65536, 32768),0)/32768)"),3.88980651855468)</f>
        <v>3.8898065185546802</v>
      </c>
      <c r="AG232" s="16"/>
      <c r="AH232" s="77"/>
      <c r="AI232" s="114"/>
    </row>
    <row r="233" spans="1:35" ht="16.2">
      <c r="A233" s="53">
        <v>232</v>
      </c>
      <c r="B233" s="118">
        <f t="shared" si="16"/>
        <v>0.63263000000000003</v>
      </c>
      <c r="C233" s="72" t="str">
        <f t="array" ref="C233">INDEX(NPCFName,TRUNC(1+(COUNTA(NPCFName))*(TRUNC(MOD(($B233*1103515245 +12345)/ 65536, 32768),0)/32768),0))</f>
        <v>Yesirn</v>
      </c>
      <c r="D233" s="16" t="str">
        <f t="array" ref="D233">INDEX(NPCLName,TRUNC(1+(COUNTA(NPCLName))*(TRUNC(MOD(($B233*1103515245 +12345)/ 65536, 32768),0)/32768),0))</f>
        <v>Stormdew</v>
      </c>
      <c r="E233" s="16" t="str">
        <f t="array" ref="E233">INDEX(NPCClass,TRUNC(1+(COUNTA(NPCClass))*(TRUNC(MOD(($B233*1103515245 +12345)/ 65536, 32768),0)/32768),0))</f>
        <v>Monk</v>
      </c>
      <c r="F233" s="76">
        <v>4</v>
      </c>
      <c r="G233" s="153">
        <f ca="1">VLOOKUP($AB$2,'RF Mod'!$A$2:$G$12,2,FALSE)+VLOOKUP($AD$2,'RF Mod'!$I$2:$O$11,2,FALSE)+(TRUNC(6+(24-6)*(TRUNC(MOD(($Z233*1103515245 +12345)/ 65536, 32768),0)/32768),0))</f>
        <v>7</v>
      </c>
      <c r="H233" s="16">
        <f t="shared" ca="1" si="1"/>
        <v>-2</v>
      </c>
      <c r="I233" s="153">
        <f ca="1">VLOOKUP($AB$2,'RF Mod'!$A$2:$G$12,3,FALSE)+VLOOKUP($AD$2,'RF Mod'!$I$2:$O$11,3,FALSE)+(TRUNC(6+(24-6)*(TRUNC(MOD(($Z233*1103515245 +12345)/ 65536, 32768),0)/32768),0))</f>
        <v>11</v>
      </c>
      <c r="J233" s="16" t="e">
        <f t="shared" ca="1" si="2"/>
        <v>#NAME?</v>
      </c>
      <c r="K233" s="153">
        <f ca="1">VLOOKUP($AB$2,'RF Mod'!$A$2:$G$12,3,FALSE)+VLOOKUP($AD$2,'RF Mod'!$I$2:$O$11,3,FALSE)+(TRUNC(6+(24-6)*(TRUNC(MOD(($Z233*1103515245 +12345)/ 65536, 32768),0)/32768),0))</f>
        <v>11</v>
      </c>
      <c r="L233" s="16" t="e">
        <f t="shared" ca="1" si="3"/>
        <v>#NAME?</v>
      </c>
      <c r="M233" s="153">
        <f ca="1">VLOOKUP($AB$2,'RF Mod'!$A$2:$G$12,4,FALSE)+VLOOKUP($AD$2,'RF Mod'!$I$2:$O$11,4,FALSE)+(TRUNC(6+(24-6)*(TRUNC(MOD(($Z233*1103515245 +12345)/ 65536, 32768),0)/32768),0))</f>
        <v>10</v>
      </c>
      <c r="N233" s="16" t="e">
        <f t="shared" ca="1" si="4"/>
        <v>#NAME?</v>
      </c>
      <c r="O233" s="153">
        <f ca="1">VLOOKUP($AB$2,'RF Mod'!$A$2:$G$12,5,FALSE)+VLOOKUP($AD$2,'RF Mod'!$I$2:$O$11,5,FALSE)+(TRUNC(6+(24-6)*(TRUNC(MOD(($Z233*1103515245 +12345)/ 65536, 32768),0)/32768),0))</f>
        <v>13</v>
      </c>
      <c r="P233" s="16" t="e">
        <f t="shared" ca="1" si="5"/>
        <v>#NAME?</v>
      </c>
      <c r="Q233" s="153">
        <f ca="1">VLOOKUP($AB$2,'RF Mod'!$A$2:$G$12,6,FALSE)+VLOOKUP($AD$2,'RF Mod'!$I$2:$O$11,6,FALSE)+(TRUNC(6+(24-6)*(TRUNC(MOD(($Z233*1103515245 +12345)/ 65536, 32768),0)/32768),0))</f>
        <v>11</v>
      </c>
      <c r="R233" s="16" t="e">
        <f t="shared" ca="1" si="6"/>
        <v>#NAME?</v>
      </c>
      <c r="S233" s="154">
        <f t="shared" ca="1" si="12"/>
        <v>52</v>
      </c>
      <c r="T233" s="154">
        <f t="shared" ca="1" si="7"/>
        <v>22</v>
      </c>
      <c r="U233" s="16" t="str">
        <f t="shared" ca="1" si="8"/>
        <v>Fine</v>
      </c>
      <c r="V233" s="155">
        <f ca="1">IFERROR(__xludf.DUMMYFUNCTION("if(W233=""Middle Age"",QUERY(NPCVar!$K$2:$N1000, ""Select L where K = '""&amp;AB233&amp;""'""),if(W233=""Old"",QUERY(NPCVar!$K$2:$N1000, ""Select M where K = '""&amp;AB233&amp;""'""),if(W233=""Venerable"",QUERY(NPCVar!$K$2:$N1000, ""Select N where K = '""&amp;AB233&amp;""'""),fa"&amp;"lse)))*X233"),135)</f>
        <v>135</v>
      </c>
      <c r="W233" s="156" t="str">
        <f t="array" ref="W233">INDEX(NPCAgeType,TRUNC(1+(4-1)*(TRUNC(MOD((X233*1103515245 +12345)/ 65536, 32768),0)/32768),0))</f>
        <v>Old</v>
      </c>
      <c r="X233" s="117">
        <f t="shared" si="13"/>
        <v>0.8</v>
      </c>
      <c r="Y233" s="157" t="e">
        <f t="array" aca="1" ref="Y233" ca="1">LOOKUP(ABS(MAX(Z233 + MIN(ABS(INDIRECT("Class Jobs!B"&amp;MATCH(E233,'Class Jobs'!$A$1:$A1000,0)&amp;":"&amp;"AF"&amp;MATCH(E233,'Class Jobs'!$A$1:$A1000,0)&amp;"")-$Z233)) * SUM(IF(MIN(ABS(INDIRECT("Class Jobs!B"&amp;MATCH(E233,'Class Jobs'!$A$1:$A1000,0)&amp;":"&amp;"AF"&amp;MATCH(E233,'Class Jobs'!$A$1:$A1000,0)&amp;"")-$Z233))=ABS(INDIRECT("Class Jobs!B"&amp;MATCH(E233,'Class Jobs'!$A$1:$A1000,0)&amp;":"&amp;"AF"&amp;MATCH(E233,'Class Jobs'!$A$1:$A1000,0)&amp;"")-$Z233),SIGN(INDIRECT("Class Jobs!B"&amp;MATCH(E233,'Class Jobs'!$A$1:A1000,0)&amp;":"&amp;"AF"&amp;MATCH(E233,'Class Jobs'!$A$1:$A1000,0)&amp;"")-$Z233),0)),0)),INDIRECT("Class Jobs!B"&amp;MATCH(E233,'Class Jobs'!$A$1:$A1000,0)&amp;":"&amp;"AF"&amp;MATCH(E233,'Class Jobs'!$A$1:$A1000,1)&amp;""),'Class Jobs'!$B$1:$AF$1)</f>
        <v>#REF!</v>
      </c>
      <c r="Z233" s="158">
        <f t="shared" si="10"/>
        <v>0.33</v>
      </c>
      <c r="AA233" s="16" t="str">
        <f t="array" ref="AA233">INDEX(NPCGender,TRUNC(1+(COUNTA(NPCGender))*(TRUNC(MOD(($B233*1103515245 +12345)/ 65536, 32768),0)/32768),0))</f>
        <v>Male</v>
      </c>
      <c r="AB233" s="16" t="str">
        <f t="array" ref="AB233">INDEX(NPCRace,TRUNC(1+(COUNTA(NPCRace))*(TRUNC(MOD(($B233*1103515245 +12345)/ 65536, 32768),0)/32768),0))</f>
        <v>Gnome</v>
      </c>
      <c r="AC233" s="16" t="str">
        <f t="array" ref="AC233">INDEX(NPCAL,TRUNC(1+(COUNTA(NPCAL))*(TRUNC(MOD(($B233*1103515245 +12345)/ 65536, 32768),0)/32768),0))</f>
        <v>CG</v>
      </c>
      <c r="AD233" s="72" t="str">
        <f ca="1">IFERROR(__xludf.DUMMYFUNCTION("if(V233&lt;15,QUERY(NPCVar!C:D,""Select D WHERE C = '""&amp;D233&amp;""'""),if((TRUNC(1+10)*(TRUNC(MOD((ROW(H233)*1103515245 +12345)/ 65536, 32768),0)/32768)/10) &gt; 0.85,INDEX(NPCFaction,TRUNC(1+(counta(NPCFaction)-1)*(TRUNC(MOD(($B233*1103515245 +12345)/ 65536, 3276"&amp;"8),0)/32768),0)),QUERY(NPCVar!C:D,""Select D WHERE C = '""&amp;D233&amp;""'"")))"),"Magic Guild")</f>
        <v>Magic Guild</v>
      </c>
      <c r="AE233" s="108" t="e">
        <f t="shared" ca="1" si="11"/>
        <v>#NAME?</v>
      </c>
      <c r="AF233" s="159">
        <f ca="1">IFERROR(__xludf.DUMMYFUNCTION("AE233*(V233 / QUERY(NPCVar!$K$2:$N$12, ""Select N WHERE K='""&amp;AB233&amp;""'""))*TRUNC(1+10)*(TRUNC(MOD(($B233*1103515245 +12345)/ 65536, 32768),0)/32768)"),0.107274169921874)</f>
        <v>0.107274169921874</v>
      </c>
      <c r="AG233" s="16"/>
      <c r="AH233" s="77"/>
      <c r="AI233" s="114"/>
    </row>
    <row r="234" spans="1:35" ht="16.2">
      <c r="A234" s="53">
        <v>233</v>
      </c>
      <c r="B234" s="118">
        <f t="shared" si="16"/>
        <v>2.12677</v>
      </c>
      <c r="C234" s="72" t="str">
        <f t="array" ref="C234">INDEX(NPCFName,TRUNC(1+(COUNTA(NPCFName))*(TRUNC(MOD(($B234*1103515245 +12345)/ 65536, 32768),0)/32768),0))</f>
        <v>Elson</v>
      </c>
      <c r="D234" s="16" t="str">
        <f t="array" ref="D234">INDEX(NPCLName,TRUNC(1+(COUNTA(NPCLName))*(TRUNC(MOD(($B234*1103515245 +12345)/ 65536, 32768),0)/32768),0))</f>
        <v>Autumnorb</v>
      </c>
      <c r="E234" s="16" t="str">
        <f t="array" ref="E234">INDEX(NPCClass,TRUNC(1+(COUNTA(NPCClass))*(TRUNC(MOD(($B234*1103515245 +12345)/ 65536, 32768),0)/32768),0))</f>
        <v>Bard</v>
      </c>
      <c r="F234" s="76">
        <v>1</v>
      </c>
      <c r="G234" s="153">
        <f ca="1">VLOOKUP($AB$2,'RF Mod'!$A$2:$G$12,2,FALSE)+VLOOKUP($AD$2,'RF Mod'!$I$2:$O$11,2,FALSE)+(TRUNC(6+(24-6)*(TRUNC(MOD(($Z234*1103515245 +12345)/ 65536, 32768),0)/32768),0))</f>
        <v>4</v>
      </c>
      <c r="H234" s="16">
        <f t="shared" ca="1" si="1"/>
        <v>-3</v>
      </c>
      <c r="I234" s="153">
        <f ca="1">VLOOKUP($AB$2,'RF Mod'!$A$2:$G$12,3,FALSE)+VLOOKUP($AD$2,'RF Mod'!$I$2:$O$11,3,FALSE)+(TRUNC(6+(24-6)*(TRUNC(MOD(($Z234*1103515245 +12345)/ 65536, 32768),0)/32768),0))</f>
        <v>8</v>
      </c>
      <c r="J234" s="16">
        <f t="shared" ca="1" si="2"/>
        <v>-1</v>
      </c>
      <c r="K234" s="153">
        <f ca="1">VLOOKUP($AB$2,'RF Mod'!$A$2:$G$12,3,FALSE)+VLOOKUP($AD$2,'RF Mod'!$I$2:$O$11,3,FALSE)+(TRUNC(6+(24-6)*(TRUNC(MOD(($Z234*1103515245 +12345)/ 65536, 32768),0)/32768),0))</f>
        <v>8</v>
      </c>
      <c r="L234" s="16">
        <f t="shared" ca="1" si="3"/>
        <v>-1</v>
      </c>
      <c r="M234" s="153">
        <f ca="1">VLOOKUP($AB$2,'RF Mod'!$A$2:$G$12,4,FALSE)+VLOOKUP($AD$2,'RF Mod'!$I$2:$O$11,4,FALSE)+(TRUNC(6+(24-6)*(TRUNC(MOD(($Z234*1103515245 +12345)/ 65536, 32768),0)/32768),0))</f>
        <v>7</v>
      </c>
      <c r="N234" s="16">
        <f t="shared" ca="1" si="4"/>
        <v>-2</v>
      </c>
      <c r="O234" s="153">
        <f ca="1">VLOOKUP($AB$2,'RF Mod'!$A$2:$G$12,5,FALSE)+VLOOKUP($AD$2,'RF Mod'!$I$2:$O$11,5,FALSE)+(TRUNC(6+(24-6)*(TRUNC(MOD(($Z234*1103515245 +12345)/ 65536, 32768),0)/32768),0))</f>
        <v>10</v>
      </c>
      <c r="P234" s="16" t="e">
        <f t="shared" ca="1" si="5"/>
        <v>#NAME?</v>
      </c>
      <c r="Q234" s="153">
        <f ca="1">VLOOKUP($AB$2,'RF Mod'!$A$2:$G$12,6,FALSE)+VLOOKUP($AD$2,'RF Mod'!$I$2:$O$11,6,FALSE)+(TRUNC(6+(24-6)*(TRUNC(MOD(($Z234*1103515245 +12345)/ 65536, 32768),0)/32768),0))</f>
        <v>8</v>
      </c>
      <c r="R234" s="16">
        <f t="shared" ca="1" si="6"/>
        <v>-1</v>
      </c>
      <c r="S234" s="154">
        <f t="shared" ca="1" si="12"/>
        <v>10</v>
      </c>
      <c r="T234" s="154">
        <f t="shared" ca="1" si="7"/>
        <v>10</v>
      </c>
      <c r="U234" s="16" t="str">
        <f t="shared" ca="1" si="8"/>
        <v>Unconscious</v>
      </c>
      <c r="V234" s="155">
        <f ca="1">IFERROR(__xludf.DUMMYFUNCTION("if(W234=""Middle Age"",QUERY(NPCVar!$K$2:$N1000, ""Select L where K = '""&amp;AB234&amp;""'""),if(W234=""Old"",QUERY(NPCVar!$K$2:$N1000, ""Select M where K = '""&amp;AB234&amp;""'""),if(W234=""Venerable"",QUERY(NPCVar!$K$2:$N1000, ""Select N where K = '""&amp;AB234&amp;""'""),fa"&amp;"lse)))*X234"),24)</f>
        <v>24</v>
      </c>
      <c r="W234" s="156" t="str">
        <f t="array" ref="W234">INDEX(NPCAgeType,TRUNC(1+(4-1)*(TRUNC(MOD((X234*1103515245 +12345)/ 65536, 32768),0)/32768),0))</f>
        <v>Middle Age</v>
      </c>
      <c r="X234" s="117">
        <f t="shared" si="13"/>
        <v>0.3</v>
      </c>
      <c r="Y234" s="157" t="e">
        <f t="array" aca="1" ref="Y234" ca="1">LOOKUP(ABS(MAX(Z234 + MIN(ABS(INDIRECT("Class Jobs!B"&amp;MATCH(E234,'Class Jobs'!$A$1:$A1000,0)&amp;":"&amp;"AF"&amp;MATCH(E234,'Class Jobs'!$A$1:$A1000,0)&amp;"")-$Z234)) * SUM(IF(MIN(ABS(INDIRECT("Class Jobs!B"&amp;MATCH(E234,'Class Jobs'!$A$1:$A1000,0)&amp;":"&amp;"AF"&amp;MATCH(E234,'Class Jobs'!$A$1:$A1000,0)&amp;"")-$Z234))=ABS(INDIRECT("Class Jobs!B"&amp;MATCH(E234,'Class Jobs'!$A$1:$A1000,0)&amp;":"&amp;"AF"&amp;MATCH(E234,'Class Jobs'!$A$1:$A1000,0)&amp;"")-$Z234),SIGN(INDIRECT("Class Jobs!B"&amp;MATCH(E234,'Class Jobs'!$A$1:A1000,0)&amp;":"&amp;"AF"&amp;MATCH(E234,'Class Jobs'!$A$1:$A1000,0)&amp;"")-$Z234),0)),0)),INDIRECT("Class Jobs!B"&amp;MATCH(E234,'Class Jobs'!$A$1:$A1000,0)&amp;":"&amp;"AF"&amp;MATCH(E234,'Class Jobs'!$A$1:$A1000,1)&amp;""),'Class Jobs'!$B$1:$AF$1)</f>
        <v>#REF!</v>
      </c>
      <c r="Z234" s="158">
        <f t="shared" si="10"/>
        <v>0.1</v>
      </c>
      <c r="AA234" s="16" t="str">
        <f t="array" ref="AA234">INDEX(NPCGender,TRUNC(1+(COUNTA(NPCGender))*(TRUNC(MOD(($B234*1103515245 +12345)/ 65536, 32768),0)/32768),0))</f>
        <v>Male</v>
      </c>
      <c r="AB234" s="16" t="str">
        <f t="array" ref="AB234">INDEX(NPCRace,TRUNC(1+(COUNTA(NPCRace))*(TRUNC(MOD(($B234*1103515245 +12345)/ 65536, 32768),0)/32768),0))</f>
        <v>Dwarf</v>
      </c>
      <c r="AC234" s="16" t="str">
        <f t="array" ref="AC234">INDEX(NPCAL,TRUNC(1+(COUNTA(NPCAL))*(TRUNC(MOD(($B234*1103515245 +12345)/ 65536, 32768),0)/32768),0))</f>
        <v>CN</v>
      </c>
      <c r="AD234" s="72" t="str">
        <f ca="1">IFERROR(__xludf.DUMMYFUNCTION("if(V234&lt;15,QUERY(NPCVar!C:D,""Select D WHERE C = '""&amp;D234&amp;""'""),if((TRUNC(1+10)*(TRUNC(MOD((ROW(H234)*1103515245 +12345)/ 65536, 32768),0)/32768)/10) &gt; 0.85,INDEX(NPCFaction,TRUNC(1+(counta(NPCFaction)-1)*(TRUNC(MOD(($B234*1103515245 +12345)/ 65536, 3276"&amp;"8),0)/32768),0)),QUERY(NPCVar!C:D,""Select D WHERE C = '""&amp;D234&amp;""'"")))"),"Royalty")</f>
        <v>Royalty</v>
      </c>
      <c r="AE234" s="108" t="e">
        <f t="shared" ca="1" si="11"/>
        <v>#NAME?</v>
      </c>
      <c r="AF234" s="159">
        <f ca="1">IFERROR(__xludf.DUMMYFUNCTION("AE234*(V234 / QUERY(NPCVar!$K$2:$N$12, ""Select N WHERE K='""&amp;AB234&amp;""'""))*TRUNC(1+10)*(TRUNC(MOD(($B234*1103515245 +12345)/ 65536, 32768),0)/32768)"),0.0306454467773437)</f>
        <v>3.06454467773437E-2</v>
      </c>
      <c r="AG234" s="16"/>
      <c r="AH234" s="77"/>
      <c r="AI234" s="114"/>
    </row>
    <row r="235" spans="1:35" ht="16.2">
      <c r="A235" s="53">
        <v>234</v>
      </c>
      <c r="B235" s="118">
        <f t="shared" si="16"/>
        <v>1.1209100000000001</v>
      </c>
      <c r="C235" s="72" t="str">
        <f t="array" ref="C235">INDEX(NPCFName,TRUNC(1+(COUNTA(NPCFName))*(TRUNC(MOD(($B235*1103515245 +12345)/ 65536, 32768),0)/32768),0))</f>
        <v>Rethik</v>
      </c>
      <c r="D235" s="16" t="str">
        <f t="array" ref="D235">INDEX(NPCLName,TRUNC(1+(COUNTA(NPCLName))*(TRUNC(MOD(($B235*1103515245 +12345)/ 65536, 32768),0)/32768),0))</f>
        <v>Chestaxe</v>
      </c>
      <c r="E235" s="16" t="str">
        <f t="array" ref="E235">INDEX(NPCClass,TRUNC(1+(COUNTA(NPCClass))*(TRUNC(MOD(($B235*1103515245 +12345)/ 65536, 32768),0)/32768),0))</f>
        <v>Sorcerer</v>
      </c>
      <c r="F235" s="76">
        <v>8</v>
      </c>
      <c r="G235" s="153">
        <f ca="1">VLOOKUP($AB$2,'RF Mod'!$A$2:$G$12,2,FALSE)+VLOOKUP($AD$2,'RF Mod'!$I$2:$O$11,2,FALSE)+(TRUNC(6+(24-6)*(TRUNC(MOD(($Z235*1103515245 +12345)/ 65536, 32768),0)/32768),0))</f>
        <v>9</v>
      </c>
      <c r="H235" s="16">
        <f t="shared" ca="1" si="1"/>
        <v>-1</v>
      </c>
      <c r="I235" s="153">
        <f ca="1">VLOOKUP($AB$2,'RF Mod'!$A$2:$G$12,3,FALSE)+VLOOKUP($AD$2,'RF Mod'!$I$2:$O$11,3,FALSE)+(TRUNC(6+(24-6)*(TRUNC(MOD(($Z235*1103515245 +12345)/ 65536, 32768),0)/32768),0))</f>
        <v>13</v>
      </c>
      <c r="J235" s="16" t="e">
        <f t="shared" ca="1" si="2"/>
        <v>#NAME?</v>
      </c>
      <c r="K235" s="153">
        <f ca="1">VLOOKUP($AB$2,'RF Mod'!$A$2:$G$12,3,FALSE)+VLOOKUP($AD$2,'RF Mod'!$I$2:$O$11,3,FALSE)+(TRUNC(6+(24-6)*(TRUNC(MOD(($Z235*1103515245 +12345)/ 65536, 32768),0)/32768),0))</f>
        <v>13</v>
      </c>
      <c r="L235" s="16" t="e">
        <f t="shared" ca="1" si="3"/>
        <v>#NAME?</v>
      </c>
      <c r="M235" s="153">
        <f ca="1">VLOOKUP($AB$2,'RF Mod'!$A$2:$G$12,4,FALSE)+VLOOKUP($AD$2,'RF Mod'!$I$2:$O$11,4,FALSE)+(TRUNC(6+(24-6)*(TRUNC(MOD(($Z235*1103515245 +12345)/ 65536, 32768),0)/32768),0))</f>
        <v>12</v>
      </c>
      <c r="N235" s="16" t="e">
        <f t="shared" ca="1" si="4"/>
        <v>#NAME?</v>
      </c>
      <c r="O235" s="153">
        <f ca="1">VLOOKUP($AB$2,'RF Mod'!$A$2:$G$12,5,FALSE)+VLOOKUP($AD$2,'RF Mod'!$I$2:$O$11,5,FALSE)+(TRUNC(6+(24-6)*(TRUNC(MOD(($Z235*1103515245 +12345)/ 65536, 32768),0)/32768),0))</f>
        <v>15</v>
      </c>
      <c r="P235" s="16" t="e">
        <f t="shared" ca="1" si="5"/>
        <v>#NAME?</v>
      </c>
      <c r="Q235" s="153">
        <f ca="1">VLOOKUP($AB$2,'RF Mod'!$A$2:$G$12,6,FALSE)+VLOOKUP($AD$2,'RF Mod'!$I$2:$O$11,6,FALSE)+(TRUNC(6+(24-6)*(TRUNC(MOD(($Z235*1103515245 +12345)/ 65536, 32768),0)/32768),0))</f>
        <v>13</v>
      </c>
      <c r="R235" s="16" t="e">
        <f t="shared" ca="1" si="6"/>
        <v>#NAME?</v>
      </c>
      <c r="S235" s="154">
        <f t="shared" ca="1" si="12"/>
        <v>232</v>
      </c>
      <c r="T235" s="154">
        <f t="shared" ca="1" si="7"/>
        <v>94</v>
      </c>
      <c r="U235" s="16" t="str">
        <f t="shared" ca="1" si="8"/>
        <v>Fine</v>
      </c>
      <c r="V235" s="155">
        <f ca="1">IFERROR(__xludf.DUMMYFUNCTION("if(W235=""Middle Age"",QUERY(NPCVar!$K$2:$N1000, ""Select L where K = '""&amp;AB235&amp;""'""),if(W235=""Old"",QUERY(NPCVar!$K$2:$N1000, ""Select M where K = '""&amp;AB235&amp;""'""),if(W235=""Venerable"",QUERY(NPCVar!$K$2:$N1000, ""Select N where K = '""&amp;AB235&amp;""'""),fa"&amp;"lse)))*X235"),280)</f>
        <v>280</v>
      </c>
      <c r="W235" s="156" t="str">
        <f t="array" ref="W235">INDEX(NPCAgeType,TRUNC(1+(4-1)*(TRUNC(MOD((X235*1103515245 +12345)/ 65536, 32768),0)/32768),0))</f>
        <v>Venerable</v>
      </c>
      <c r="X235" s="117">
        <f t="shared" si="13"/>
        <v>1.4</v>
      </c>
      <c r="Y235" s="157" t="e">
        <f t="array" aca="1" ref="Y235" ca="1">LOOKUP(ABS(MAX(Z235 + MIN(ABS(INDIRECT("Class Jobs!B"&amp;MATCH(E235,'Class Jobs'!$A$1:$A1000,0)&amp;":"&amp;"AF"&amp;MATCH(E235,'Class Jobs'!$A$1:$A1000,0)&amp;"")-$Z235)) * SUM(IF(MIN(ABS(INDIRECT("Class Jobs!B"&amp;MATCH(E235,'Class Jobs'!$A$1:$A1000,0)&amp;":"&amp;"AF"&amp;MATCH(E235,'Class Jobs'!$A$1:$A1000,0)&amp;"")-$Z235))=ABS(INDIRECT("Class Jobs!B"&amp;MATCH(E235,'Class Jobs'!$A$1:$A1000,0)&amp;":"&amp;"AF"&amp;MATCH(E235,'Class Jobs'!$A$1:$A1000,0)&amp;"")-$Z235),SIGN(INDIRECT("Class Jobs!B"&amp;MATCH(E235,'Class Jobs'!$A$1:A1000,0)&amp;":"&amp;"AF"&amp;MATCH(E235,'Class Jobs'!$A$1:$A1000,0)&amp;"")-$Z235),0)),0)),INDIRECT("Class Jobs!B"&amp;MATCH(E235,'Class Jobs'!$A$1:$A1000,0)&amp;":"&amp;"AF"&amp;MATCH(E235,'Class Jobs'!$A$1:$A1000,1)&amp;""),'Class Jobs'!$B$1:$AF$1)</f>
        <v>#REF!</v>
      </c>
      <c r="Z235" s="158">
        <f t="shared" si="10"/>
        <v>0.57999999999999996</v>
      </c>
      <c r="AA235" s="16" t="str">
        <f t="array" ref="AA235">INDEX(NPCGender,TRUNC(1+(COUNTA(NPCGender))*(TRUNC(MOD(($B235*1103515245 +12345)/ 65536, 32768),0)/32768),0))</f>
        <v>Female</v>
      </c>
      <c r="AB235" s="16" t="str">
        <f t="array" ref="AB235">INDEX(NPCRace,TRUNC(1+(COUNTA(NPCRace))*(TRUNC(MOD(($B235*1103515245 +12345)/ 65536, 32768),0)/32768),0))</f>
        <v>Halfling</v>
      </c>
      <c r="AC235" s="16" t="str">
        <f t="array" ref="AC235">INDEX(NPCAL,TRUNC(1+(COUNTA(NPCAL))*(TRUNC(MOD(($B235*1103515245 +12345)/ 65536, 32768),0)/32768),0))</f>
        <v>NE</v>
      </c>
      <c r="AD235" s="72" t="str">
        <f ca="1">IFERROR(__xludf.DUMMYFUNCTION("if(V235&lt;15,QUERY(NPCVar!C:D,""Select D WHERE C = '""&amp;D235&amp;""'""),if((TRUNC(1+10)*(TRUNC(MOD((ROW(H235)*1103515245 +12345)/ 65536, 32768),0)/32768)/10) &gt; 0.85,INDEX(NPCFaction,TRUNC(1+(counta(NPCFaction)-1)*(TRUNC(MOD(($B235*1103515245 +12345)/ 65536, 3276"&amp;"8),0)/32768),0)),QUERY(NPCVar!C:D,""Select D WHERE C = '""&amp;D235&amp;""'"")))"),"Farmers Guild")</f>
        <v>Farmers Guild</v>
      </c>
      <c r="AE235" s="108" t="e">
        <f t="shared" ca="1" si="11"/>
        <v>#NAME?</v>
      </c>
      <c r="AF235" s="159">
        <f ca="1">IFERROR(__xludf.DUMMYFUNCTION("AE235*(V235 / QUERY(NPCVar!$K$2:$N$12, ""Select N WHERE K='""&amp;AB235&amp;""'""))*TRUNC(1+10)*(TRUNC(MOD(($B235*1103515245 +12345)/ 65536, 32768),0)/32768)"),3.54809082031249)</f>
        <v>3.5480908203124901</v>
      </c>
      <c r="AG235" s="16"/>
      <c r="AH235" s="77"/>
      <c r="AI235" s="114"/>
    </row>
    <row r="236" spans="1:35" ht="16.2">
      <c r="A236" s="53">
        <v>235</v>
      </c>
      <c r="B236" s="118">
        <f t="shared" si="16"/>
        <v>0.11498</v>
      </c>
      <c r="C236" s="72" t="str">
        <f t="array" ref="C236">INDEX(NPCFName,TRUNC(1+(COUNTA(NPCFName))*(TRUNC(MOD(($B236*1103515245 +12345)/ 65536, 32768),0)/32768),0))</f>
        <v>Cosdeer</v>
      </c>
      <c r="D236" s="16" t="str">
        <f t="array" ref="D236">INDEX(NPCLName,TRUNC(1+(COUNTA(NPCLName))*(TRUNC(MOD(($B236*1103515245 +12345)/ 65536, 32768),0)/32768),0))</f>
        <v>Crystalgazer</v>
      </c>
      <c r="E236" s="16" t="str">
        <f t="array" ref="E236">INDEX(NPCClass,TRUNC(1+(COUNTA(NPCClass))*(TRUNC(MOD(($B236*1103515245 +12345)/ 65536, 32768),0)/32768),0))</f>
        <v>Barbarian</v>
      </c>
      <c r="F236" s="76">
        <v>1</v>
      </c>
      <c r="G236" s="153">
        <f ca="1">VLOOKUP($AB$2,'RF Mod'!$A$2:$G$12,2,FALSE)+VLOOKUP($AD$2,'RF Mod'!$I$2:$O$11,2,FALSE)+(TRUNC(6+(24-6)*(TRUNC(MOD(($Z236*1103515245 +12345)/ 65536, 32768),0)/32768),0))</f>
        <v>4</v>
      </c>
      <c r="H236" s="16">
        <f t="shared" ca="1" si="1"/>
        <v>-3</v>
      </c>
      <c r="I236" s="153">
        <f ca="1">VLOOKUP($AB$2,'RF Mod'!$A$2:$G$12,3,FALSE)+VLOOKUP($AD$2,'RF Mod'!$I$2:$O$11,3,FALSE)+(TRUNC(6+(24-6)*(TRUNC(MOD(($Z236*1103515245 +12345)/ 65536, 32768),0)/32768),0))</f>
        <v>8</v>
      </c>
      <c r="J236" s="16">
        <f t="shared" ca="1" si="2"/>
        <v>-1</v>
      </c>
      <c r="K236" s="153">
        <f ca="1">VLOOKUP($AB$2,'RF Mod'!$A$2:$G$12,3,FALSE)+VLOOKUP($AD$2,'RF Mod'!$I$2:$O$11,3,FALSE)+(TRUNC(6+(24-6)*(TRUNC(MOD(($Z236*1103515245 +12345)/ 65536, 32768),0)/32768),0))</f>
        <v>8</v>
      </c>
      <c r="L236" s="16">
        <f t="shared" ca="1" si="3"/>
        <v>-1</v>
      </c>
      <c r="M236" s="153">
        <f ca="1">VLOOKUP($AB$2,'RF Mod'!$A$2:$G$12,4,FALSE)+VLOOKUP($AD$2,'RF Mod'!$I$2:$O$11,4,FALSE)+(TRUNC(6+(24-6)*(TRUNC(MOD(($Z236*1103515245 +12345)/ 65536, 32768),0)/32768),0))</f>
        <v>7</v>
      </c>
      <c r="N236" s="16">
        <f t="shared" ca="1" si="4"/>
        <v>-2</v>
      </c>
      <c r="O236" s="153">
        <f ca="1">VLOOKUP($AB$2,'RF Mod'!$A$2:$G$12,5,FALSE)+VLOOKUP($AD$2,'RF Mod'!$I$2:$O$11,5,FALSE)+(TRUNC(6+(24-6)*(TRUNC(MOD(($Z236*1103515245 +12345)/ 65536, 32768),0)/32768),0))</f>
        <v>10</v>
      </c>
      <c r="P236" s="16" t="e">
        <f t="shared" ca="1" si="5"/>
        <v>#NAME?</v>
      </c>
      <c r="Q236" s="153">
        <f ca="1">VLOOKUP($AB$2,'RF Mod'!$A$2:$G$12,6,FALSE)+VLOOKUP($AD$2,'RF Mod'!$I$2:$O$11,6,FALSE)+(TRUNC(6+(24-6)*(TRUNC(MOD(($Z236*1103515245 +12345)/ 65536, 32768),0)/32768),0))</f>
        <v>8</v>
      </c>
      <c r="R236" s="16">
        <f t="shared" ca="1" si="6"/>
        <v>-1</v>
      </c>
      <c r="S236" s="154">
        <f t="shared" ca="1" si="12"/>
        <v>10</v>
      </c>
      <c r="T236" s="154">
        <f t="shared" ca="1" si="7"/>
        <v>4</v>
      </c>
      <c r="U236" s="16" t="str">
        <f t="shared" ca="1" si="8"/>
        <v>Fine</v>
      </c>
      <c r="V236" s="155">
        <f ca="1">IFERROR(__xludf.DUMMYFUNCTION("if(W236=""Middle Age"",QUERY(NPCVar!$K$2:$N1000, ""Select L where K = '""&amp;AB236&amp;""'""),if(W236=""Old"",QUERY(NPCVar!$K$2:$N1000, ""Select M where K = '""&amp;AB236&amp;""'""),if(W236=""Venerable"",QUERY(NPCVar!$K$2:$N1000, ""Select N where K = '""&amp;AB236&amp;""'""),fa"&amp;"lse)))*X236"),4)</f>
        <v>4</v>
      </c>
      <c r="W236" s="156" t="str">
        <f t="array" ref="W236">INDEX(NPCAgeType,TRUNC(1+(4-1)*(TRUNC(MOD((X236*1103515245 +12345)/ 65536, 32768),0)/32768),0))</f>
        <v>Middle Age</v>
      </c>
      <c r="X236" s="117">
        <f t="shared" si="13"/>
        <v>0.2</v>
      </c>
      <c r="Y236" s="157" t="e">
        <f t="array" aca="1" ref="Y236" ca="1">LOOKUP(ABS(MAX(Z236 + MIN(ABS(INDIRECT("Class Jobs!B"&amp;MATCH(E236,'Class Jobs'!$A$1:$A1000,0)&amp;":"&amp;"AF"&amp;MATCH(E236,'Class Jobs'!$A$1:$A1000,0)&amp;"")-$Z236)) * SUM(IF(MIN(ABS(INDIRECT("Class Jobs!B"&amp;MATCH(E236,'Class Jobs'!$A$1:$A1000,0)&amp;":"&amp;"AF"&amp;MATCH(E236,'Class Jobs'!$A$1:$A1000,0)&amp;"")-$Z236))=ABS(INDIRECT("Class Jobs!B"&amp;MATCH(E236,'Class Jobs'!$A$1:$A1000,0)&amp;":"&amp;"AF"&amp;MATCH(E236,'Class Jobs'!$A$1:$A1000,0)&amp;"")-$Z236),SIGN(INDIRECT("Class Jobs!B"&amp;MATCH(E236,'Class Jobs'!$A$1:A1000,0)&amp;":"&amp;"AF"&amp;MATCH(E236,'Class Jobs'!$A$1:$A1000,0)&amp;"")-$Z236),0)),0)),INDIRECT("Class Jobs!B"&amp;MATCH(E236,'Class Jobs'!$A$1:$A1000,0)&amp;":"&amp;"AF"&amp;MATCH(E236,'Class Jobs'!$A$1:$A1000,1)&amp;""),'Class Jobs'!$B$1:$AF$1)</f>
        <v>#REF!</v>
      </c>
      <c r="Z236" s="158">
        <f t="shared" si="10"/>
        <v>0.06</v>
      </c>
      <c r="AA236" s="16" t="str">
        <f t="array" ref="AA236">INDEX(NPCGender,TRUNC(1+(COUNTA(NPCGender))*(TRUNC(MOD(($B236*1103515245 +12345)/ 65536, 32768),0)/32768),0))</f>
        <v>Male</v>
      </c>
      <c r="AB236" s="16" t="str">
        <f t="array" ref="AB236">INDEX(NPCRace,TRUNC(1+(COUNTA(NPCRace))*(TRUNC(MOD(($B236*1103515245 +12345)/ 65536, 32768),0)/32768),0))</f>
        <v>Dragonborn</v>
      </c>
      <c r="AC236" s="16" t="str">
        <f t="array" ref="AC236">INDEX(NPCAL,TRUNC(1+(COUNTA(NPCAL))*(TRUNC(MOD(($B236*1103515245 +12345)/ 65536, 32768),0)/32768),0))</f>
        <v>CN</v>
      </c>
      <c r="AD236" s="72" t="str">
        <f ca="1">IFERROR(__xludf.DUMMYFUNCTION("if(V236&lt;15,QUERY(NPCVar!C:D,""Select D WHERE C = '""&amp;D236&amp;""'""),if((TRUNC(1+10)*(TRUNC(MOD((ROW(H236)*1103515245 +12345)/ 65536, 32768),0)/32768)/10) &gt; 0.85,INDEX(NPCFaction,TRUNC(1+(counta(NPCFaction)-1)*(TRUNC(MOD(($B236*1103515245 +12345)/ 65536, 3276"&amp;"8),0)/32768),0)),QUERY(NPCVar!C:D,""Select D WHERE C = '""&amp;D236&amp;""'"")))"),"Death Guild")</f>
        <v>Death Guild</v>
      </c>
      <c r="AE236" s="108" t="e">
        <f t="shared" ca="1" si="11"/>
        <v>#NAME?</v>
      </c>
      <c r="AF236" s="159">
        <f ca="1">IFERROR(__xludf.DUMMYFUNCTION("AE236*(V236 / QUERY(NPCVar!$K$2:$N$12, ""Select N WHERE K='""&amp;AB236&amp;""'""))*TRUNC(1+10)*(TRUNC(MOD(($B236*1103515245 +12345)/ 65536, 32768),0)/32768)"),0.012998046875)</f>
        <v>1.2998046875E-2</v>
      </c>
      <c r="AG236" s="16"/>
      <c r="AH236" s="77"/>
      <c r="AI236" s="114"/>
    </row>
    <row r="237" spans="1:35" ht="16.2">
      <c r="A237" s="53">
        <v>236</v>
      </c>
      <c r="B237" s="118">
        <f t="shared" si="16"/>
        <v>1.60911</v>
      </c>
      <c r="C237" s="72" t="str">
        <f t="array" ref="C237">INDEX(NPCFName,TRUNC(1+(COUNTA(NPCFName))*(TRUNC(MOD(($B237*1103515245 +12345)/ 65536, 32768),0)/32768),0))</f>
        <v>Kibidon</v>
      </c>
      <c r="D237" s="16" t="str">
        <f t="array" ref="D237">INDEX(NPCLName,TRUNC(1+(COUNTA(NPCLName))*(TRUNC(MOD(($B237*1103515245 +12345)/ 65536, 32768),0)/32768),0))</f>
        <v>Deepcrest</v>
      </c>
      <c r="E237" s="16" t="str">
        <f t="array" ref="E237">INDEX(NPCClass,TRUNC(1+(COUNTA(NPCClass))*(TRUNC(MOD(($B237*1103515245 +12345)/ 65536, 32768),0)/32768),0))</f>
        <v>Cleric</v>
      </c>
      <c r="F237" s="76">
        <v>8</v>
      </c>
      <c r="G237" s="153">
        <f ca="1">VLOOKUP($AB$2,'RF Mod'!$A$2:$G$12,2,FALSE)+VLOOKUP($AD$2,'RF Mod'!$I$2:$O$11,2,FALSE)+(TRUNC(6+(24-6)*(TRUNC(MOD(($Z237*1103515245 +12345)/ 65536, 32768),0)/32768),0))</f>
        <v>11</v>
      </c>
      <c r="H237" s="16" t="e">
        <f t="shared" ca="1" si="1"/>
        <v>#NAME?</v>
      </c>
      <c r="I237" s="153">
        <f ca="1">VLOOKUP($AB$2,'RF Mod'!$A$2:$G$12,3,FALSE)+VLOOKUP($AD$2,'RF Mod'!$I$2:$O$11,3,FALSE)+(TRUNC(6+(24-6)*(TRUNC(MOD(($Z237*1103515245 +12345)/ 65536, 32768),0)/32768),0))</f>
        <v>15</v>
      </c>
      <c r="J237" s="16" t="e">
        <f t="shared" ca="1" si="2"/>
        <v>#NAME?</v>
      </c>
      <c r="K237" s="153">
        <f ca="1">VLOOKUP($AB$2,'RF Mod'!$A$2:$G$12,3,FALSE)+VLOOKUP($AD$2,'RF Mod'!$I$2:$O$11,3,FALSE)+(TRUNC(6+(24-6)*(TRUNC(MOD(($Z237*1103515245 +12345)/ 65536, 32768),0)/32768),0))</f>
        <v>15</v>
      </c>
      <c r="L237" s="16" t="e">
        <f t="shared" ca="1" si="3"/>
        <v>#NAME?</v>
      </c>
      <c r="M237" s="153">
        <f ca="1">VLOOKUP($AB$2,'RF Mod'!$A$2:$G$12,4,FALSE)+VLOOKUP($AD$2,'RF Mod'!$I$2:$O$11,4,FALSE)+(TRUNC(6+(24-6)*(TRUNC(MOD(($Z237*1103515245 +12345)/ 65536, 32768),0)/32768),0))</f>
        <v>14</v>
      </c>
      <c r="N237" s="16" t="e">
        <f t="shared" ca="1" si="4"/>
        <v>#NAME?</v>
      </c>
      <c r="O237" s="153">
        <f ca="1">VLOOKUP($AB$2,'RF Mod'!$A$2:$G$12,5,FALSE)+VLOOKUP($AD$2,'RF Mod'!$I$2:$O$11,5,FALSE)+(TRUNC(6+(24-6)*(TRUNC(MOD(($Z237*1103515245 +12345)/ 65536, 32768),0)/32768),0))</f>
        <v>17</v>
      </c>
      <c r="P237" s="16" t="e">
        <f t="shared" ca="1" si="5"/>
        <v>#NAME?</v>
      </c>
      <c r="Q237" s="153">
        <f ca="1">VLOOKUP($AB$2,'RF Mod'!$A$2:$G$12,6,FALSE)+VLOOKUP($AD$2,'RF Mod'!$I$2:$O$11,6,FALSE)+(TRUNC(6+(24-6)*(TRUNC(MOD(($Z237*1103515245 +12345)/ 65536, 32768),0)/32768),0))</f>
        <v>15</v>
      </c>
      <c r="R237" s="16" t="e">
        <f t="shared" ca="1" si="6"/>
        <v>#NAME?</v>
      </c>
      <c r="S237" s="154">
        <f t="shared" ca="1" si="12"/>
        <v>264</v>
      </c>
      <c r="T237" s="154">
        <f t="shared" ca="1" si="7"/>
        <v>111</v>
      </c>
      <c r="U237" s="16" t="str">
        <f t="shared" ca="1" si="8"/>
        <v>Fine</v>
      </c>
      <c r="V237" s="155">
        <f ca="1">IFERROR(__xludf.DUMMYFUNCTION("if(W237=""Middle Age"",QUERY(NPCVar!$K$2:$N1000, ""Select L where K = '""&amp;AB237&amp;""'""),if(W237=""Old"",QUERY(NPCVar!$K$2:$N1000, ""Select M where K = '""&amp;AB237&amp;""'""),if(W237=""Venerable"",QUERY(NPCVar!$K$2:$N1000, ""Select N where K = '""&amp;AB237&amp;""'""),fa"&amp;"lse)))*X237"),55)</f>
        <v>55</v>
      </c>
      <c r="W237" s="156" t="str">
        <f t="array" ref="W237">INDEX(NPCAgeType,TRUNC(1+(4-1)*(TRUNC(MOD((X237*1103515245 +12345)/ 65536, 32768),0)/32768),0))</f>
        <v>Middle Age</v>
      </c>
      <c r="X237" s="117">
        <f t="shared" si="13"/>
        <v>2</v>
      </c>
      <c r="Y237" s="157" t="e">
        <f t="array" aca="1" ref="Y237" ca="1">LOOKUP(ABS(MAX(Z237 + MIN(ABS(INDIRECT("Class Jobs!B"&amp;MATCH(E237,'Class Jobs'!$A$1:$A1000,0)&amp;":"&amp;"AF"&amp;MATCH(E237,'Class Jobs'!$A$1:$A1000,0)&amp;"")-$Z237)) * SUM(IF(MIN(ABS(INDIRECT("Class Jobs!B"&amp;MATCH(E237,'Class Jobs'!$A$1:$A1000,0)&amp;":"&amp;"AF"&amp;MATCH(E237,'Class Jobs'!$A$1:$A1000,0)&amp;"")-$Z237))=ABS(INDIRECT("Class Jobs!B"&amp;MATCH(E237,'Class Jobs'!$A$1:$A1000,0)&amp;":"&amp;"AF"&amp;MATCH(E237,'Class Jobs'!$A$1:$A1000,0)&amp;"")-$Z237),SIGN(INDIRECT("Class Jobs!B"&amp;MATCH(E237,'Class Jobs'!$A$1:A1000,0)&amp;":"&amp;"AF"&amp;MATCH(E237,'Class Jobs'!$A$1:$A1000,0)&amp;"")-$Z237),0)),0)),INDIRECT("Class Jobs!B"&amp;MATCH(E237,'Class Jobs'!$A$1:$A1000,0)&amp;":"&amp;"AF"&amp;MATCH(E237,'Class Jobs'!$A$1:$A1000,1)&amp;""),'Class Jobs'!$B$1:$AF$1)</f>
        <v>#REF!</v>
      </c>
      <c r="Z237" s="158">
        <f t="shared" si="10"/>
        <v>0.82</v>
      </c>
      <c r="AA237" s="16" t="str">
        <f t="array" ref="AA237">INDEX(NPCGender,TRUNC(1+(COUNTA(NPCGender))*(TRUNC(MOD(($B237*1103515245 +12345)/ 65536, 32768),0)/32768),0))</f>
        <v>Neutral</v>
      </c>
      <c r="AB237" s="16" t="str">
        <f t="array" ref="AB237">INDEX(NPCRace,TRUNC(1+(COUNTA(NPCRace))*(TRUNC(MOD(($B237*1103515245 +12345)/ 65536, 32768),0)/32768),0))</f>
        <v>Genasi</v>
      </c>
      <c r="AC237" s="16" t="str">
        <f t="array" ref="AC237">INDEX(NPCAL,TRUNC(1+(COUNTA(NPCAL))*(TRUNC(MOD(($B237*1103515245 +12345)/ 65536, 32768),0)/32768),0))</f>
        <v>LN</v>
      </c>
      <c r="AD237" s="72" t="str">
        <f ca="1">IFERROR(__xludf.DUMMYFUNCTION("if(V237&lt;15,QUERY(NPCVar!C:D,""Select D WHERE C = '""&amp;D237&amp;""'""),if((TRUNC(1+10)*(TRUNC(MOD((ROW(H237)*1103515245 +12345)/ 65536, 32768),0)/32768)/10) &gt; 0.85,INDEX(NPCFaction,TRUNC(1+(counta(NPCFaction)-1)*(TRUNC(MOD(($B237*1103515245 +12345)/ 65536, 3276"&amp;"8),0)/32768),0)),QUERY(NPCVar!C:D,""Select D WHERE C = '""&amp;D237&amp;""'"")))"),"Farmers Guild")</f>
        <v>Farmers Guild</v>
      </c>
      <c r="AE237" s="108" t="e">
        <f t="shared" ca="1" si="11"/>
        <v>#NAME?</v>
      </c>
      <c r="AF237" s="159">
        <f ca="1">IFERROR(__xludf.DUMMYFUNCTION("AE237*(V237 / QUERY(NPCVar!$K$2:$N$12, ""Select N WHERE K='""&amp;AB237&amp;""'""))*TRUNC(1+10)*(TRUNC(MOD(($B237*1103515245 +12345)/ 65536, 32768),0)/32768)"),1.81905517578125)</f>
        <v>1.8190551757812501</v>
      </c>
      <c r="AG237" s="16"/>
      <c r="AH237" s="77"/>
      <c r="AI237" s="114"/>
    </row>
    <row r="238" spans="1:35" ht="16.2">
      <c r="A238" s="53">
        <v>237</v>
      </c>
      <c r="B238" s="118">
        <f t="shared" si="16"/>
        <v>0.60326000000000002</v>
      </c>
      <c r="C238" s="72" t="str">
        <f t="array" ref="C238">INDEX(NPCFName,TRUNC(1+(COUNTA(NPCFName))*(TRUNC(MOD(($B238*1103515245 +12345)/ 65536, 32768),0)/32768),0))</f>
        <v>Wak’dern</v>
      </c>
      <c r="D238" s="16" t="str">
        <f t="array" ref="D238">INDEX(NPCLName,TRUNC(1+(COUNTA(NPCLName))*(TRUNC(MOD(($B238*1103515245 +12345)/ 65536, 32768),0)/32768),0))</f>
        <v>Stormdew</v>
      </c>
      <c r="E238" s="16" t="str">
        <f t="array" ref="E238">INDEX(NPCClass,TRUNC(1+(COUNTA(NPCClass))*(TRUNC(MOD(($B238*1103515245 +12345)/ 65536, 32768),0)/32768),0))</f>
        <v>Monk</v>
      </c>
      <c r="F238" s="76">
        <v>1</v>
      </c>
      <c r="G238" s="153">
        <f ca="1">VLOOKUP($AB$2,'RF Mod'!$A$2:$G$12,2,FALSE)+VLOOKUP($AD$2,'RF Mod'!$I$2:$O$11,2,FALSE)+(TRUNC(6+(24-6)*(TRUNC(MOD(($Z238*1103515245 +12345)/ 65536, 32768),0)/32768),0))</f>
        <v>6</v>
      </c>
      <c r="H238" s="16">
        <f t="shared" ca="1" si="1"/>
        <v>-2</v>
      </c>
      <c r="I238" s="153">
        <f ca="1">VLOOKUP($AB$2,'RF Mod'!$A$2:$G$12,3,FALSE)+VLOOKUP($AD$2,'RF Mod'!$I$2:$O$11,3,FALSE)+(TRUNC(6+(24-6)*(TRUNC(MOD(($Z238*1103515245 +12345)/ 65536, 32768),0)/32768),0))</f>
        <v>10</v>
      </c>
      <c r="J238" s="16" t="e">
        <f t="shared" ca="1" si="2"/>
        <v>#NAME?</v>
      </c>
      <c r="K238" s="153">
        <f ca="1">VLOOKUP($AB$2,'RF Mod'!$A$2:$G$12,3,FALSE)+VLOOKUP($AD$2,'RF Mod'!$I$2:$O$11,3,FALSE)+(TRUNC(6+(24-6)*(TRUNC(MOD(($Z238*1103515245 +12345)/ 65536, 32768),0)/32768),0))</f>
        <v>10</v>
      </c>
      <c r="L238" s="16" t="e">
        <f t="shared" ca="1" si="3"/>
        <v>#NAME?</v>
      </c>
      <c r="M238" s="153">
        <f ca="1">VLOOKUP($AB$2,'RF Mod'!$A$2:$G$12,4,FALSE)+VLOOKUP($AD$2,'RF Mod'!$I$2:$O$11,4,FALSE)+(TRUNC(6+(24-6)*(TRUNC(MOD(($Z238*1103515245 +12345)/ 65536, 32768),0)/32768),0))</f>
        <v>9</v>
      </c>
      <c r="N238" s="16">
        <f t="shared" ca="1" si="4"/>
        <v>-1</v>
      </c>
      <c r="O238" s="153">
        <f ca="1">VLOOKUP($AB$2,'RF Mod'!$A$2:$G$12,5,FALSE)+VLOOKUP($AD$2,'RF Mod'!$I$2:$O$11,5,FALSE)+(TRUNC(6+(24-6)*(TRUNC(MOD(($Z238*1103515245 +12345)/ 65536, 32768),0)/32768),0))</f>
        <v>12</v>
      </c>
      <c r="P238" s="16" t="e">
        <f t="shared" ca="1" si="5"/>
        <v>#NAME?</v>
      </c>
      <c r="Q238" s="153">
        <f ca="1">VLOOKUP($AB$2,'RF Mod'!$A$2:$G$12,6,FALSE)+VLOOKUP($AD$2,'RF Mod'!$I$2:$O$11,6,FALSE)+(TRUNC(6+(24-6)*(TRUNC(MOD(($Z238*1103515245 +12345)/ 65536, 32768),0)/32768),0))</f>
        <v>10</v>
      </c>
      <c r="R238" s="16" t="e">
        <f t="shared" ca="1" si="6"/>
        <v>#NAME?</v>
      </c>
      <c r="S238" s="154">
        <f t="shared" ca="1" si="12"/>
        <v>16</v>
      </c>
      <c r="T238" s="154">
        <f t="shared" ca="1" si="7"/>
        <v>4</v>
      </c>
      <c r="U238" s="16" t="str">
        <f t="shared" ca="1" si="8"/>
        <v>Fine</v>
      </c>
      <c r="V238" s="155">
        <f ca="1">IFERROR(__xludf.DUMMYFUNCTION("if(W238=""Middle Age"",QUERY(NPCVar!$K$2:$N1000, ""Select L where K = '""&amp;AB238&amp;""'""),if(W238=""Old"",QUERY(NPCVar!$K$2:$N1000, ""Select M where K = '""&amp;AB238&amp;""'""),if(W238=""Venerable"",QUERY(NPCVar!$K$2:$N1000, ""Select N where K = '""&amp;AB238&amp;""'""),fa"&amp;"lse)))*X238"),135)</f>
        <v>135</v>
      </c>
      <c r="W238" s="156" t="str">
        <f t="array" ref="W238">INDEX(NPCAgeType,TRUNC(1+(4-1)*(TRUNC(MOD((X238*1103515245 +12345)/ 65536, 32768),0)/32768),0))</f>
        <v>Old</v>
      </c>
      <c r="X238" s="117">
        <f t="shared" si="13"/>
        <v>0.8</v>
      </c>
      <c r="Y238" s="157" t="e">
        <f t="array" aca="1" ref="Y238" ca="1">LOOKUP(ABS(MAX(Z238 + MIN(ABS(INDIRECT("Class Jobs!B"&amp;MATCH(E238,'Class Jobs'!$A$1:$A1000,0)&amp;":"&amp;"AF"&amp;MATCH(E238,'Class Jobs'!$A$1:$A1000,0)&amp;"")-$Z238)) * SUM(IF(MIN(ABS(INDIRECT("Class Jobs!B"&amp;MATCH(E238,'Class Jobs'!$A$1:$A1000,0)&amp;":"&amp;"AF"&amp;MATCH(E238,'Class Jobs'!$A$1:$A1000,0)&amp;"")-$Z238))=ABS(INDIRECT("Class Jobs!B"&amp;MATCH(E238,'Class Jobs'!$A$1:$A1000,0)&amp;":"&amp;"AF"&amp;MATCH(E238,'Class Jobs'!$A$1:$A1000,0)&amp;"")-$Z238),SIGN(INDIRECT("Class Jobs!B"&amp;MATCH(E238,'Class Jobs'!$A$1:A1000,0)&amp;":"&amp;"AF"&amp;MATCH(E238,'Class Jobs'!$A$1:$A1000,0)&amp;"")-$Z238),0)),0)),INDIRECT("Class Jobs!B"&amp;MATCH(E238,'Class Jobs'!$A$1:$A1000,0)&amp;":"&amp;"AF"&amp;MATCH(E238,'Class Jobs'!$A$1:$A1000,1)&amp;""),'Class Jobs'!$B$1:$AF$1)</f>
        <v>#REF!</v>
      </c>
      <c r="Z238" s="158">
        <f t="shared" si="10"/>
        <v>0.31</v>
      </c>
      <c r="AA238" s="16" t="str">
        <f t="array" ref="AA238">INDEX(NPCGender,TRUNC(1+(COUNTA(NPCGender))*(TRUNC(MOD(($B238*1103515245 +12345)/ 65536, 32768),0)/32768),0))</f>
        <v>Male</v>
      </c>
      <c r="AB238" s="16" t="str">
        <f t="array" ref="AB238">INDEX(NPCRace,TRUNC(1+(COUNTA(NPCRace))*(TRUNC(MOD(($B238*1103515245 +12345)/ 65536, 32768),0)/32768),0))</f>
        <v>Gnome</v>
      </c>
      <c r="AC238" s="16" t="str">
        <f t="array" ref="AC238">INDEX(NPCAL,TRUNC(1+(COUNTA(NPCAL))*(TRUNC(MOD(($B238*1103515245 +12345)/ 65536, 32768),0)/32768),0))</f>
        <v>CG</v>
      </c>
      <c r="AD238" s="72" t="str">
        <f ca="1">IFERROR(__xludf.DUMMYFUNCTION("if(V238&lt;15,QUERY(NPCVar!C:D,""Select D WHERE C = '""&amp;D238&amp;""'""),if((TRUNC(1+10)*(TRUNC(MOD((ROW(H238)*1103515245 +12345)/ 65536, 32768),0)/32768)/10) &gt; 0.85,INDEX(NPCFaction,TRUNC(1+(counta(NPCFaction)-1)*(TRUNC(MOD(($B238*1103515245 +12345)/ 65536, 3276"&amp;"8),0)/32768),0)),QUERY(NPCVar!C:D,""Select D WHERE C = '""&amp;D238&amp;""'"")))"),"Magic Guild")</f>
        <v>Magic Guild</v>
      </c>
      <c r="AE238" s="108" t="e">
        <f t="shared" ca="1" si="11"/>
        <v>#NAME?</v>
      </c>
      <c r="AF238" s="159">
        <f ca="1">IFERROR(__xludf.DUMMYFUNCTION("AE238*(V238 / QUERY(NPCVar!$K$2:$N$12, ""Select N WHERE K='""&amp;AB238&amp;""'""))*TRUNC(1+10)*(TRUNC(MOD(($B238*1103515245 +12345)/ 65536, 32768),0)/32768)"),0.613795166015625)</f>
        <v>0.613795166015625</v>
      </c>
      <c r="AG238" s="16"/>
      <c r="AH238" s="77"/>
      <c r="AI238" s="114"/>
    </row>
    <row r="239" spans="1:35" ht="16.2">
      <c r="A239" s="53">
        <v>238</v>
      </c>
      <c r="B239" s="118">
        <f t="shared" si="16"/>
        <v>2.0973899999999999</v>
      </c>
      <c r="C239" s="72" t="str">
        <f t="array" ref="C239">INDEX(NPCFName,TRUNC(1+(COUNTA(NPCFName))*(TRUNC(MOD(($B239*1103515245 +12345)/ 65536, 32768),0)/32768),0))</f>
        <v>Dorn</v>
      </c>
      <c r="D239" s="16" t="str">
        <f t="array" ref="D239">INDEX(NPCLName,TRUNC(1+(COUNTA(NPCLName))*(TRUNC(MOD(($B239*1103515245 +12345)/ 65536, 32768),0)/32768),0))</f>
        <v>Autumnorb</v>
      </c>
      <c r="E239" s="16" t="str">
        <f t="array" ref="E239">INDEX(NPCClass,TRUNC(1+(COUNTA(NPCClass))*(TRUNC(MOD(($B239*1103515245 +12345)/ 65536, 32768),0)/32768),0))</f>
        <v>Barbarian</v>
      </c>
      <c r="F239" s="76">
        <v>1</v>
      </c>
      <c r="G239" s="153">
        <f ca="1">VLOOKUP($AB$2,'RF Mod'!$A$2:$G$12,2,FALSE)+VLOOKUP($AD$2,'RF Mod'!$I$2:$O$11,2,FALSE)+(TRUNC(6+(24-6)*(TRUNC(MOD(($Z239*1103515245 +12345)/ 65536, 32768),0)/32768),0))</f>
        <v>4</v>
      </c>
      <c r="H239" s="16">
        <f t="shared" ca="1" si="1"/>
        <v>-3</v>
      </c>
      <c r="I239" s="153">
        <f ca="1">VLOOKUP($AB$2,'RF Mod'!$A$2:$G$12,3,FALSE)+VLOOKUP($AD$2,'RF Mod'!$I$2:$O$11,3,FALSE)+(TRUNC(6+(24-6)*(TRUNC(MOD(($Z239*1103515245 +12345)/ 65536, 32768),0)/32768),0))</f>
        <v>8</v>
      </c>
      <c r="J239" s="16">
        <f t="shared" ca="1" si="2"/>
        <v>-1</v>
      </c>
      <c r="K239" s="153">
        <f ca="1">VLOOKUP($AB$2,'RF Mod'!$A$2:$G$12,3,FALSE)+VLOOKUP($AD$2,'RF Mod'!$I$2:$O$11,3,FALSE)+(TRUNC(6+(24-6)*(TRUNC(MOD(($Z239*1103515245 +12345)/ 65536, 32768),0)/32768),0))</f>
        <v>8</v>
      </c>
      <c r="L239" s="16">
        <f t="shared" ca="1" si="3"/>
        <v>-1</v>
      </c>
      <c r="M239" s="153">
        <f ca="1">VLOOKUP($AB$2,'RF Mod'!$A$2:$G$12,4,FALSE)+VLOOKUP($AD$2,'RF Mod'!$I$2:$O$11,4,FALSE)+(TRUNC(6+(24-6)*(TRUNC(MOD(($Z239*1103515245 +12345)/ 65536, 32768),0)/32768),0))</f>
        <v>7</v>
      </c>
      <c r="N239" s="16">
        <f t="shared" ca="1" si="4"/>
        <v>-2</v>
      </c>
      <c r="O239" s="153">
        <f ca="1">VLOOKUP($AB$2,'RF Mod'!$A$2:$G$12,5,FALSE)+VLOOKUP($AD$2,'RF Mod'!$I$2:$O$11,5,FALSE)+(TRUNC(6+(24-6)*(TRUNC(MOD(($Z239*1103515245 +12345)/ 65536, 32768),0)/32768),0))</f>
        <v>10</v>
      </c>
      <c r="P239" s="16" t="e">
        <f t="shared" ca="1" si="5"/>
        <v>#NAME?</v>
      </c>
      <c r="Q239" s="153">
        <f ca="1">VLOOKUP($AB$2,'RF Mod'!$A$2:$G$12,6,FALSE)+VLOOKUP($AD$2,'RF Mod'!$I$2:$O$11,6,FALSE)+(TRUNC(6+(24-6)*(TRUNC(MOD(($Z239*1103515245 +12345)/ 65536, 32768),0)/32768),0))</f>
        <v>8</v>
      </c>
      <c r="R239" s="16">
        <f t="shared" ca="1" si="6"/>
        <v>-1</v>
      </c>
      <c r="S239" s="154">
        <f t="shared" ca="1" si="12"/>
        <v>10</v>
      </c>
      <c r="T239" s="154">
        <f t="shared" ca="1" si="7"/>
        <v>8</v>
      </c>
      <c r="U239" s="16" t="str">
        <f t="shared" ca="1" si="8"/>
        <v>Bloody</v>
      </c>
      <c r="V239" s="155">
        <f ca="1">IFERROR(__xludf.DUMMYFUNCTION("if(W239=""Middle Age"",QUERY(NPCVar!$K$2:$N1000, ""Select L where K = '""&amp;AB239&amp;""'""),if(W239=""Old"",QUERY(NPCVar!$K$2:$N1000, ""Select M where K = '""&amp;AB239&amp;""'""),if(W239=""Venerable"",QUERY(NPCVar!$K$2:$N1000, ""Select N where K = '""&amp;AB239&amp;""'""),fa"&amp;"lse)))*X239"),4)</f>
        <v>4</v>
      </c>
      <c r="W239" s="156" t="str">
        <f t="array" ref="W239">INDEX(NPCAgeType,TRUNC(1+(4-1)*(TRUNC(MOD((X239*1103515245 +12345)/ 65536, 32768),0)/32768),0))</f>
        <v>Middle Age</v>
      </c>
      <c r="X239" s="117">
        <f t="shared" si="13"/>
        <v>0.2</v>
      </c>
      <c r="Y239" s="157" t="e">
        <f t="array" aca="1" ref="Y239" ca="1">LOOKUP(ABS(MAX(Z239 + MIN(ABS(INDIRECT("Class Jobs!B"&amp;MATCH(E239,'Class Jobs'!$A$1:$A1000,0)&amp;":"&amp;"AF"&amp;MATCH(E239,'Class Jobs'!$A$1:$A1000,0)&amp;"")-$Z239)) * SUM(IF(MIN(ABS(INDIRECT("Class Jobs!B"&amp;MATCH(E239,'Class Jobs'!$A$1:$A1000,0)&amp;":"&amp;"AF"&amp;MATCH(E239,'Class Jobs'!$A$1:$A1000,0)&amp;"")-$Z239))=ABS(INDIRECT("Class Jobs!B"&amp;MATCH(E239,'Class Jobs'!$A$1:$A1000,0)&amp;":"&amp;"AF"&amp;MATCH(E239,'Class Jobs'!$A$1:$A1000,0)&amp;"")-$Z239),SIGN(INDIRECT("Class Jobs!B"&amp;MATCH(E239,'Class Jobs'!$A$1:A1000,0)&amp;":"&amp;"AF"&amp;MATCH(E239,'Class Jobs'!$A$1:$A1000,0)&amp;"")-$Z239),0)),0)),INDIRECT("Class Jobs!B"&amp;MATCH(E239,'Class Jobs'!$A$1:$A1000,0)&amp;":"&amp;"AF"&amp;MATCH(E239,'Class Jobs'!$A$1:$A1000,1)&amp;""),'Class Jobs'!$B$1:$AF$1)</f>
        <v>#REF!</v>
      </c>
      <c r="Z239" s="158">
        <f t="shared" si="10"/>
        <v>0.08</v>
      </c>
      <c r="AA239" s="16" t="str">
        <f t="array" ref="AA239">INDEX(NPCGender,TRUNC(1+(COUNTA(NPCGender))*(TRUNC(MOD(($B239*1103515245 +12345)/ 65536, 32768),0)/32768),0))</f>
        <v>Male</v>
      </c>
      <c r="AB239" s="16" t="str">
        <f t="array" ref="AB239">INDEX(NPCRace,TRUNC(1+(COUNTA(NPCRace))*(TRUNC(MOD(($B239*1103515245 +12345)/ 65536, 32768),0)/32768),0))</f>
        <v>Dragonborn</v>
      </c>
      <c r="AC239" s="16" t="str">
        <f t="array" ref="AC239">INDEX(NPCAL,TRUNC(1+(COUNTA(NPCAL))*(TRUNC(MOD(($B239*1103515245 +12345)/ 65536, 32768),0)/32768),0))</f>
        <v>CN</v>
      </c>
      <c r="AD239" s="72" t="str">
        <f ca="1">IFERROR(__xludf.DUMMYFUNCTION("if(V239&lt;15,QUERY(NPCVar!C:D,""Select D WHERE C = '""&amp;D239&amp;""'""),if((TRUNC(1+10)*(TRUNC(MOD((ROW(H239)*1103515245 +12345)/ 65536, 32768),0)/32768)/10) &gt; 0.85,INDEX(NPCFaction,TRUNC(1+(counta(NPCFaction)-1)*(TRUNC(MOD(($B239*1103515245 +12345)/ 65536, 3276"&amp;"8),0)/32768),0)),QUERY(NPCVar!C:D,""Select D WHERE C = '""&amp;D239&amp;""'"")))"),"Royalty")</f>
        <v>Royalty</v>
      </c>
      <c r="AE239" s="108" t="e">
        <f t="shared" ca="1" si="11"/>
        <v>#NAME?</v>
      </c>
      <c r="AF239" s="159">
        <f ca="1">IFERROR(__xludf.DUMMYFUNCTION("AE239*(V239 / QUERY(NPCVar!$K$2:$N$12, ""Select N WHERE K='""&amp;AB239&amp;""'""))*TRUNC(1+10)*(TRUNC(MOD(($B239*1103515245 +12345)/ 65536, 32768),0)/32768)"),0)</f>
        <v>0</v>
      </c>
      <c r="AG239" s="16"/>
      <c r="AH239" s="77"/>
      <c r="AI239" s="114"/>
    </row>
    <row r="240" spans="1:35" ht="16.2">
      <c r="A240" s="53">
        <v>239</v>
      </c>
      <c r="B240" s="118">
        <f t="shared" si="16"/>
        <v>1.09154</v>
      </c>
      <c r="C240" s="72" t="str">
        <f t="array" ref="C240">INDEX(NPCFName,TRUNC(1+(COUNTA(NPCFName))*(TRUNC(MOD(($B240*1103515245 +12345)/ 65536, 32768),0)/32768),0))</f>
        <v>Picon</v>
      </c>
      <c r="D240" s="16" t="str">
        <f t="array" ref="D240">INDEX(NPCLName,TRUNC(1+(COUNTA(NPCLName))*(TRUNC(MOD(($B240*1103515245 +12345)/ 65536, 32768),0)/32768),0))</f>
        <v>Plainspirit</v>
      </c>
      <c r="E240" s="16" t="str">
        <f t="array" ref="E240">INDEX(NPCClass,TRUNC(1+(COUNTA(NPCClass))*(TRUNC(MOD(($B240*1103515245 +12345)/ 65536, 32768),0)/32768),0))</f>
        <v>Sorcerer</v>
      </c>
      <c r="F240" s="76">
        <v>6</v>
      </c>
      <c r="G240" s="153">
        <f ca="1">VLOOKUP($AB$2,'RF Mod'!$A$2:$G$12,2,FALSE)+VLOOKUP($AD$2,'RF Mod'!$I$2:$O$11,2,FALSE)+(TRUNC(6+(24-6)*(TRUNC(MOD(($Z240*1103515245 +12345)/ 65536, 32768),0)/32768),0))</f>
        <v>9</v>
      </c>
      <c r="H240" s="16">
        <f t="shared" ca="1" si="1"/>
        <v>-1</v>
      </c>
      <c r="I240" s="153">
        <f ca="1">VLOOKUP($AB$2,'RF Mod'!$A$2:$G$12,3,FALSE)+VLOOKUP($AD$2,'RF Mod'!$I$2:$O$11,3,FALSE)+(TRUNC(6+(24-6)*(TRUNC(MOD(($Z240*1103515245 +12345)/ 65536, 32768),0)/32768),0))</f>
        <v>13</v>
      </c>
      <c r="J240" s="16" t="e">
        <f t="shared" ca="1" si="2"/>
        <v>#NAME?</v>
      </c>
      <c r="K240" s="153">
        <f ca="1">VLOOKUP($AB$2,'RF Mod'!$A$2:$G$12,3,FALSE)+VLOOKUP($AD$2,'RF Mod'!$I$2:$O$11,3,FALSE)+(TRUNC(6+(24-6)*(TRUNC(MOD(($Z240*1103515245 +12345)/ 65536, 32768),0)/32768),0))</f>
        <v>13</v>
      </c>
      <c r="L240" s="16" t="e">
        <f t="shared" ca="1" si="3"/>
        <v>#NAME?</v>
      </c>
      <c r="M240" s="153">
        <f ca="1">VLOOKUP($AB$2,'RF Mod'!$A$2:$G$12,4,FALSE)+VLOOKUP($AD$2,'RF Mod'!$I$2:$O$11,4,FALSE)+(TRUNC(6+(24-6)*(TRUNC(MOD(($Z240*1103515245 +12345)/ 65536, 32768),0)/32768),0))</f>
        <v>12</v>
      </c>
      <c r="N240" s="16" t="e">
        <f t="shared" ca="1" si="4"/>
        <v>#NAME?</v>
      </c>
      <c r="O240" s="153">
        <f ca="1">VLOOKUP($AB$2,'RF Mod'!$A$2:$G$12,5,FALSE)+VLOOKUP($AD$2,'RF Mod'!$I$2:$O$11,5,FALSE)+(TRUNC(6+(24-6)*(TRUNC(MOD(($Z240*1103515245 +12345)/ 65536, 32768),0)/32768),0))</f>
        <v>15</v>
      </c>
      <c r="P240" s="16" t="e">
        <f t="shared" ca="1" si="5"/>
        <v>#NAME?</v>
      </c>
      <c r="Q240" s="153">
        <f ca="1">VLOOKUP($AB$2,'RF Mod'!$A$2:$G$12,6,FALSE)+VLOOKUP($AD$2,'RF Mod'!$I$2:$O$11,6,FALSE)+(TRUNC(6+(24-6)*(TRUNC(MOD(($Z240*1103515245 +12345)/ 65536, 32768),0)/32768),0))</f>
        <v>13</v>
      </c>
      <c r="R240" s="16" t="e">
        <f t="shared" ca="1" si="6"/>
        <v>#NAME?</v>
      </c>
      <c r="S240" s="154">
        <f t="shared" ca="1" si="12"/>
        <v>186</v>
      </c>
      <c r="T240" s="154">
        <f t="shared" ca="1" si="7"/>
        <v>78</v>
      </c>
      <c r="U240" s="16" t="str">
        <f t="shared" ca="1" si="8"/>
        <v>Fine</v>
      </c>
      <c r="V240" s="155">
        <f ca="1">IFERROR(__xludf.DUMMYFUNCTION("if(W240=""Middle Age"",QUERY(NPCVar!$K$2:$N1000, ""Select L where K = '""&amp;AB240&amp;""'""),if(W240=""Old"",QUERY(NPCVar!$K$2:$N1000, ""Select M where K = '""&amp;AB240&amp;""'""),if(W240=""Venerable"",QUERY(NPCVar!$K$2:$N1000, ""Select N where K = '""&amp;AB240&amp;""'""),fa"&amp;"lse)))*X240"),280)</f>
        <v>280</v>
      </c>
      <c r="W240" s="156" t="str">
        <f t="array" ref="W240">INDEX(NPCAgeType,TRUNC(1+(4-1)*(TRUNC(MOD((X240*1103515245 +12345)/ 65536, 32768),0)/32768),0))</f>
        <v>Venerable</v>
      </c>
      <c r="X240" s="117">
        <f t="shared" si="13"/>
        <v>1.4</v>
      </c>
      <c r="Y240" s="157" t="e">
        <f t="array" aca="1" ref="Y240" ca="1">LOOKUP(ABS(MAX(Z240 + MIN(ABS(INDIRECT("Class Jobs!B"&amp;MATCH(E240,'Class Jobs'!$A$1:$A1000,0)&amp;":"&amp;"AF"&amp;MATCH(E240,'Class Jobs'!$A$1:$A1000,0)&amp;"")-$Z240)) * SUM(IF(MIN(ABS(INDIRECT("Class Jobs!B"&amp;MATCH(E240,'Class Jobs'!$A$1:$A1000,0)&amp;":"&amp;"AF"&amp;MATCH(E240,'Class Jobs'!$A$1:$A1000,0)&amp;"")-$Z240))=ABS(INDIRECT("Class Jobs!B"&amp;MATCH(E240,'Class Jobs'!$A$1:$A1000,0)&amp;":"&amp;"AF"&amp;MATCH(E240,'Class Jobs'!$A$1:$A1000,0)&amp;"")-$Z240),SIGN(INDIRECT("Class Jobs!B"&amp;MATCH(E240,'Class Jobs'!$A$1:A1000,0)&amp;":"&amp;"AF"&amp;MATCH(E240,'Class Jobs'!$A$1:$A1000,0)&amp;"")-$Z240),0)),0)),INDIRECT("Class Jobs!B"&amp;MATCH(E240,'Class Jobs'!$A$1:$A1000,0)&amp;":"&amp;"AF"&amp;MATCH(E240,'Class Jobs'!$A$1:$A1000,1)&amp;""),'Class Jobs'!$B$1:$AF$1)</f>
        <v>#REF!</v>
      </c>
      <c r="Z240" s="158">
        <f t="shared" si="10"/>
        <v>0.56000000000000005</v>
      </c>
      <c r="AA240" s="16" t="str">
        <f t="array" ref="AA240">INDEX(NPCGender,TRUNC(1+(COUNTA(NPCGender))*(TRUNC(MOD(($B240*1103515245 +12345)/ 65536, 32768),0)/32768),0))</f>
        <v>Female</v>
      </c>
      <c r="AB240" s="16" t="str">
        <f t="array" ref="AB240">INDEX(NPCRace,TRUNC(1+(COUNTA(NPCRace))*(TRUNC(MOD(($B240*1103515245 +12345)/ 65536, 32768),0)/32768),0))</f>
        <v>Halfling</v>
      </c>
      <c r="AC240" s="16" t="str">
        <f t="array" ref="AC240">INDEX(NPCAL,TRUNC(1+(COUNTA(NPCAL))*(TRUNC(MOD(($B240*1103515245 +12345)/ 65536, 32768),0)/32768),0))</f>
        <v>NE</v>
      </c>
      <c r="AD240" s="72" t="str">
        <f ca="1">IFERROR(__xludf.DUMMYFUNCTION("if(V240&lt;15,QUERY(NPCVar!C:D,""Select D WHERE C = '""&amp;D240&amp;""'""),if((TRUNC(1+10)*(TRUNC(MOD((ROW(H240)*1103515245 +12345)/ 65536, 32768),0)/32768)/10) &gt; 0.85,INDEX(NPCFaction,TRUNC(1+(counta(NPCFaction)-1)*(TRUNC(MOD(($B240*1103515245 +12345)/ 65536, 3276"&amp;"8),0)/32768),0)),QUERY(NPCVar!C:D,""Select D WHERE C = '""&amp;D240&amp;""'"")))"),"Traders Guild")</f>
        <v>Traders Guild</v>
      </c>
      <c r="AE240" s="108" t="e">
        <f t="shared" ca="1" si="11"/>
        <v>#NAME?</v>
      </c>
      <c r="AF240" s="159">
        <f ca="1">IFERROR(__xludf.DUMMYFUNCTION("AE240*(V240 / QUERY(NPCVar!$K$2:$N$12, ""Select N WHERE K='""&amp;AB240&amp;""'""))*TRUNC(1+10)*(TRUNC(MOD(($B240*1103515245 +12345)/ 65536, 32768),0)/32768)"),7.77383239746093)</f>
        <v>7.7738323974609296</v>
      </c>
      <c r="AG240" s="16"/>
      <c r="AH240" s="77"/>
      <c r="AI240" s="114"/>
    </row>
    <row r="241" spans="1:35" ht="16.2">
      <c r="A241" s="53">
        <v>240</v>
      </c>
      <c r="B241" s="118">
        <f t="shared" si="16"/>
        <v>8.5680000000000006E-2</v>
      </c>
      <c r="C241" s="72" t="str">
        <f t="array" ref="C241">INDEX(NPCFName,TRUNC(1+(COUNTA(NPCFName))*(TRUNC(MOD(($B241*1103515245 +12345)/ 65536, 32768),0)/32768),0))</f>
        <v>Caelholdt</v>
      </c>
      <c r="D241" s="16" t="str">
        <f t="array" ref="D241">INDEX(NPCLName,TRUNC(1+(COUNTA(NPCLName))*(TRUNC(MOD(($B241*1103515245 +12345)/ 65536, 32768),0)/32768),0))</f>
        <v>Crystalgazer</v>
      </c>
      <c r="E241" s="16" t="str">
        <f t="array" ref="E241">INDEX(NPCClass,TRUNC(1+(COUNTA(NPCClass))*(TRUNC(MOD(($B241*1103515245 +12345)/ 65536, 32768),0)/32768),0))</f>
        <v>Barbarian</v>
      </c>
      <c r="F241" s="76">
        <v>1</v>
      </c>
      <c r="G241" s="153">
        <f ca="1">VLOOKUP($AB$2,'RF Mod'!$A$2:$G$12,2,FALSE)+VLOOKUP($AD$2,'RF Mod'!$I$2:$O$11,2,FALSE)+(TRUNC(6+(24-6)*(TRUNC(MOD(($Z241*1103515245 +12345)/ 65536, 32768),0)/32768),0))</f>
        <v>4</v>
      </c>
      <c r="H241" s="16">
        <f t="shared" ca="1" si="1"/>
        <v>-3</v>
      </c>
      <c r="I241" s="153">
        <f ca="1">VLOOKUP($AB$2,'RF Mod'!$A$2:$G$12,3,FALSE)+VLOOKUP($AD$2,'RF Mod'!$I$2:$O$11,3,FALSE)+(TRUNC(6+(24-6)*(TRUNC(MOD(($Z241*1103515245 +12345)/ 65536, 32768),0)/32768),0))</f>
        <v>8</v>
      </c>
      <c r="J241" s="16">
        <f t="shared" ca="1" si="2"/>
        <v>-1</v>
      </c>
      <c r="K241" s="153">
        <f ca="1">VLOOKUP($AB$2,'RF Mod'!$A$2:$G$12,3,FALSE)+VLOOKUP($AD$2,'RF Mod'!$I$2:$O$11,3,FALSE)+(TRUNC(6+(24-6)*(TRUNC(MOD(($Z241*1103515245 +12345)/ 65536, 32768),0)/32768),0))</f>
        <v>8</v>
      </c>
      <c r="L241" s="16">
        <f t="shared" ca="1" si="3"/>
        <v>-1</v>
      </c>
      <c r="M241" s="153">
        <f ca="1">VLOOKUP($AB$2,'RF Mod'!$A$2:$G$12,4,FALSE)+VLOOKUP($AD$2,'RF Mod'!$I$2:$O$11,4,FALSE)+(TRUNC(6+(24-6)*(TRUNC(MOD(($Z241*1103515245 +12345)/ 65536, 32768),0)/32768),0))</f>
        <v>7</v>
      </c>
      <c r="N241" s="16">
        <f t="shared" ca="1" si="4"/>
        <v>-2</v>
      </c>
      <c r="O241" s="153">
        <f ca="1">VLOOKUP($AB$2,'RF Mod'!$A$2:$G$12,5,FALSE)+VLOOKUP($AD$2,'RF Mod'!$I$2:$O$11,5,FALSE)+(TRUNC(6+(24-6)*(TRUNC(MOD(($Z241*1103515245 +12345)/ 65536, 32768),0)/32768),0))</f>
        <v>10</v>
      </c>
      <c r="P241" s="16" t="e">
        <f t="shared" ca="1" si="5"/>
        <v>#NAME?</v>
      </c>
      <c r="Q241" s="153">
        <f ca="1">VLOOKUP($AB$2,'RF Mod'!$A$2:$G$12,6,FALSE)+VLOOKUP($AD$2,'RF Mod'!$I$2:$O$11,6,FALSE)+(TRUNC(6+(24-6)*(TRUNC(MOD(($Z241*1103515245 +12345)/ 65536, 32768),0)/32768),0))</f>
        <v>8</v>
      </c>
      <c r="R241" s="16">
        <f t="shared" ca="1" si="6"/>
        <v>-1</v>
      </c>
      <c r="S241" s="154">
        <f t="shared" ca="1" si="12"/>
        <v>10</v>
      </c>
      <c r="T241" s="154">
        <f t="shared" ca="1" si="7"/>
        <v>9</v>
      </c>
      <c r="U241" s="16" t="str">
        <f t="shared" ca="1" si="8"/>
        <v>Bloody</v>
      </c>
      <c r="V241" s="155">
        <f ca="1">IFERROR(__xludf.DUMMYFUNCTION("if(W241=""Middle Age"",QUERY(NPCVar!$K$2:$N1000, ""Select L where K = '""&amp;AB241&amp;""'""),if(W241=""Old"",QUERY(NPCVar!$K$2:$N1000, ""Select M where K = '""&amp;AB241&amp;""'""),if(W241=""Venerable"",QUERY(NPCVar!$K$2:$N1000, ""Select N where K = '""&amp;AB241&amp;""'""),fa"&amp;"lse)))*X241"),4)</f>
        <v>4</v>
      </c>
      <c r="W241" s="156" t="str">
        <f t="array" ref="W241">INDEX(NPCAgeType,TRUNC(1+(4-1)*(TRUNC(MOD((X241*1103515245 +12345)/ 65536, 32768),0)/32768),0))</f>
        <v>Middle Age</v>
      </c>
      <c r="X241" s="117">
        <f t="shared" si="13"/>
        <v>0.2</v>
      </c>
      <c r="Y241" s="157" t="e">
        <f t="array" aca="1" ref="Y241" ca="1">LOOKUP(ABS(MAX(Z241 + MIN(ABS(INDIRECT("Class Jobs!B"&amp;MATCH(E241,'Class Jobs'!$A$1:$A1000,0)&amp;":"&amp;"AF"&amp;MATCH(E241,'Class Jobs'!$A$1:$A1000,0)&amp;"")-$Z241)) * SUM(IF(MIN(ABS(INDIRECT("Class Jobs!B"&amp;MATCH(E241,'Class Jobs'!$A$1:$A1000,0)&amp;":"&amp;"AF"&amp;MATCH(E241,'Class Jobs'!$A$1:$A1000,0)&amp;"")-$Z241))=ABS(INDIRECT("Class Jobs!B"&amp;MATCH(E241,'Class Jobs'!$A$1:$A1000,0)&amp;":"&amp;"AF"&amp;MATCH(E241,'Class Jobs'!$A$1:$A1000,0)&amp;"")-$Z241),SIGN(INDIRECT("Class Jobs!B"&amp;MATCH(E241,'Class Jobs'!$A$1:A1000,0)&amp;":"&amp;"AF"&amp;MATCH(E241,'Class Jobs'!$A$1:$A1000,0)&amp;"")-$Z241),0)),0)),INDIRECT("Class Jobs!B"&amp;MATCH(E241,'Class Jobs'!$A$1:$A1000,0)&amp;":"&amp;"AF"&amp;MATCH(E241,'Class Jobs'!$A$1:$A1000,1)&amp;""),'Class Jobs'!$B$1:$AF$1)</f>
        <v>#REF!</v>
      </c>
      <c r="Z241" s="158">
        <f t="shared" si="10"/>
        <v>0.05</v>
      </c>
      <c r="AA241" s="16" t="str">
        <f t="array" ref="AA241">INDEX(NPCGender,TRUNC(1+(COUNTA(NPCGender))*(TRUNC(MOD(($B241*1103515245 +12345)/ 65536, 32768),0)/32768),0))</f>
        <v>Male</v>
      </c>
      <c r="AB241" s="16" t="str">
        <f t="array" ref="AB241">INDEX(NPCRace,TRUNC(1+(COUNTA(NPCRace))*(TRUNC(MOD(($B241*1103515245 +12345)/ 65536, 32768),0)/32768),0))</f>
        <v>Dragonborn</v>
      </c>
      <c r="AC241" s="16" t="str">
        <f t="array" ref="AC241">INDEX(NPCAL,TRUNC(1+(COUNTA(NPCAL))*(TRUNC(MOD(($B241*1103515245 +12345)/ 65536, 32768),0)/32768),0))</f>
        <v>CN</v>
      </c>
      <c r="AD241" s="72" t="str">
        <f ca="1">IFERROR(__xludf.DUMMYFUNCTION("if(V241&lt;15,QUERY(NPCVar!C:D,""Select D WHERE C = '""&amp;D241&amp;""'""),if((TRUNC(1+10)*(TRUNC(MOD((ROW(H241)*1103515245 +12345)/ 65536, 32768),0)/32768)/10) &gt; 0.85,INDEX(NPCFaction,TRUNC(1+(counta(NPCFaction)-1)*(TRUNC(MOD(($B241*1103515245 +12345)/ 65536, 3276"&amp;"8),0)/32768),0)),QUERY(NPCVar!C:D,""Select D WHERE C = '""&amp;D241&amp;""'"")))"),"Death Guild")</f>
        <v>Death Guild</v>
      </c>
      <c r="AE241" s="108" t="e">
        <f t="shared" ca="1" si="11"/>
        <v>#NAME?</v>
      </c>
      <c r="AF241" s="159">
        <f ca="1">IFERROR(__xludf.DUMMYFUNCTION("AE241*(V241 / QUERY(NPCVar!$K$2:$N$12, ""Select N WHERE K='""&amp;AB241&amp;""'""))*TRUNC(1+10)*(TRUNC(MOD(($B241*1103515245 +12345)/ 65536, 32768),0)/32768)"),0)</f>
        <v>0</v>
      </c>
      <c r="AG241" s="16"/>
      <c r="AH241" s="77"/>
      <c r="AI241" s="114"/>
    </row>
    <row r="242" spans="1:35" ht="16.2">
      <c r="A242" s="53">
        <v>241</v>
      </c>
      <c r="B242" s="118">
        <f t="shared" si="16"/>
        <v>1.57982</v>
      </c>
      <c r="C242" s="72" t="str">
        <f t="array" ref="C242">INDEX(NPCFName,TRUNC(1+(COUNTA(NPCFName))*(TRUNC(MOD(($B242*1103515245 +12345)/ 65536, 32768),0)/32768),0))</f>
        <v>Ithric</v>
      </c>
      <c r="D242" s="16" t="str">
        <f t="array" ref="D242">INDEX(NPCLName,TRUNC(1+(COUNTA(NPCLName))*(TRUNC(MOD(($B242*1103515245 +12345)/ 65536, 32768),0)/32768),0))</f>
        <v>Deepcrest</v>
      </c>
      <c r="E242" s="16" t="str">
        <f t="array" ref="E242">INDEX(NPCClass,TRUNC(1+(COUNTA(NPCClass))*(TRUNC(MOD(($B242*1103515245 +12345)/ 65536, 32768),0)/32768),0))</f>
        <v>Cleric</v>
      </c>
      <c r="F242" s="76">
        <v>8</v>
      </c>
      <c r="G242" s="153">
        <f ca="1">VLOOKUP($AB$2,'RF Mod'!$A$2:$G$12,2,FALSE)+VLOOKUP($AD$2,'RF Mod'!$I$2:$O$11,2,FALSE)+(TRUNC(6+(24-6)*(TRUNC(MOD(($Z242*1103515245 +12345)/ 65536, 32768),0)/32768),0))</f>
        <v>11</v>
      </c>
      <c r="H242" s="16" t="e">
        <f t="shared" ca="1" si="1"/>
        <v>#NAME?</v>
      </c>
      <c r="I242" s="153">
        <f ca="1">VLOOKUP($AB$2,'RF Mod'!$A$2:$G$12,3,FALSE)+VLOOKUP($AD$2,'RF Mod'!$I$2:$O$11,3,FALSE)+(TRUNC(6+(24-6)*(TRUNC(MOD(($Z242*1103515245 +12345)/ 65536, 32768),0)/32768),0))</f>
        <v>15</v>
      </c>
      <c r="J242" s="16" t="e">
        <f t="shared" ca="1" si="2"/>
        <v>#NAME?</v>
      </c>
      <c r="K242" s="153">
        <f ca="1">VLOOKUP($AB$2,'RF Mod'!$A$2:$G$12,3,FALSE)+VLOOKUP($AD$2,'RF Mod'!$I$2:$O$11,3,FALSE)+(TRUNC(6+(24-6)*(TRUNC(MOD(($Z242*1103515245 +12345)/ 65536, 32768),0)/32768),0))</f>
        <v>15</v>
      </c>
      <c r="L242" s="16" t="e">
        <f t="shared" ca="1" si="3"/>
        <v>#NAME?</v>
      </c>
      <c r="M242" s="153">
        <f ca="1">VLOOKUP($AB$2,'RF Mod'!$A$2:$G$12,4,FALSE)+VLOOKUP($AD$2,'RF Mod'!$I$2:$O$11,4,FALSE)+(TRUNC(6+(24-6)*(TRUNC(MOD(($Z242*1103515245 +12345)/ 65536, 32768),0)/32768),0))</f>
        <v>14</v>
      </c>
      <c r="N242" s="16" t="e">
        <f t="shared" ca="1" si="4"/>
        <v>#NAME?</v>
      </c>
      <c r="O242" s="153">
        <f ca="1">VLOOKUP($AB$2,'RF Mod'!$A$2:$G$12,5,FALSE)+VLOOKUP($AD$2,'RF Mod'!$I$2:$O$11,5,FALSE)+(TRUNC(6+(24-6)*(TRUNC(MOD(($Z242*1103515245 +12345)/ 65536, 32768),0)/32768),0))</f>
        <v>17</v>
      </c>
      <c r="P242" s="16" t="e">
        <f t="shared" ca="1" si="5"/>
        <v>#NAME?</v>
      </c>
      <c r="Q242" s="153">
        <f ca="1">VLOOKUP($AB$2,'RF Mod'!$A$2:$G$12,6,FALSE)+VLOOKUP($AD$2,'RF Mod'!$I$2:$O$11,6,FALSE)+(TRUNC(6+(24-6)*(TRUNC(MOD(($Z242*1103515245 +12345)/ 65536, 32768),0)/32768),0))</f>
        <v>15</v>
      </c>
      <c r="R242" s="16" t="e">
        <f t="shared" ca="1" si="6"/>
        <v>#NAME?</v>
      </c>
      <c r="S242" s="154">
        <f t="shared" ca="1" si="12"/>
        <v>136</v>
      </c>
      <c r="T242" s="154">
        <f t="shared" ca="1" si="7"/>
        <v>90</v>
      </c>
      <c r="U242" s="16" t="str">
        <f t="shared" ca="1" si="8"/>
        <v>Bloody</v>
      </c>
      <c r="V242" s="155">
        <f ca="1">IFERROR(__xludf.DUMMYFUNCTION("if(W242=""Middle Age"",QUERY(NPCVar!$K$2:$N1000, ""Select L where K = '""&amp;AB242&amp;""'""),if(W242=""Old"",QUERY(NPCVar!$K$2:$N1000, ""Select M where K = '""&amp;AB242&amp;""'""),if(W242=""Venerable"",QUERY(NPCVar!$K$2:$N1000, ""Select N where K = '""&amp;AB242&amp;""'""),fa"&amp;"lse)))*X242"),50)</f>
        <v>50</v>
      </c>
      <c r="W242" s="156" t="str">
        <f t="array" ref="W242">INDEX(NPCAgeType,TRUNC(1+(4-1)*(TRUNC(MOD((X242*1103515245 +12345)/ 65536, 32768),0)/32768),0))</f>
        <v>Middle Age</v>
      </c>
      <c r="X242" s="117">
        <f t="shared" si="13"/>
        <v>2</v>
      </c>
      <c r="Y242" s="157" t="e">
        <f t="array" aca="1" ref="Y242" ca="1">LOOKUP(ABS(MAX(Z242 + MIN(ABS(INDIRECT("Class Jobs!B"&amp;MATCH(E242,'Class Jobs'!$A$1:$A1000,0)&amp;":"&amp;"AF"&amp;MATCH(E242,'Class Jobs'!$A$1:$A1000,0)&amp;"")-$Z242)) * SUM(IF(MIN(ABS(INDIRECT("Class Jobs!B"&amp;MATCH(E242,'Class Jobs'!$A$1:$A1000,0)&amp;":"&amp;"AF"&amp;MATCH(E242,'Class Jobs'!$A$1:$A1000,0)&amp;"")-$Z242))=ABS(INDIRECT("Class Jobs!B"&amp;MATCH(E242,'Class Jobs'!$A$1:$A1000,0)&amp;":"&amp;"AF"&amp;MATCH(E242,'Class Jobs'!$A$1:$A1000,0)&amp;"")-$Z242),SIGN(INDIRECT("Class Jobs!B"&amp;MATCH(E242,'Class Jobs'!$A$1:A1000,0)&amp;":"&amp;"AF"&amp;MATCH(E242,'Class Jobs'!$A$1:$A1000,0)&amp;"")-$Z242),0)),0)),INDIRECT("Class Jobs!B"&amp;MATCH(E242,'Class Jobs'!$A$1:$A1000,0)&amp;":"&amp;"AF"&amp;MATCH(E242,'Class Jobs'!$A$1:$A1000,1)&amp;""),'Class Jobs'!$B$1:$AF$1)</f>
        <v>#REF!</v>
      </c>
      <c r="Z242" s="158">
        <f t="shared" si="10"/>
        <v>0.81</v>
      </c>
      <c r="AA242" s="16" t="str">
        <f t="array" ref="AA242">INDEX(NPCGender,TRUNC(1+(COUNTA(NPCGender))*(TRUNC(MOD(($B242*1103515245 +12345)/ 65536, 32768),0)/32768),0))</f>
        <v>Neutral</v>
      </c>
      <c r="AB242" s="16" t="str">
        <f t="array" ref="AB242">INDEX(NPCRace,TRUNC(1+(COUNTA(NPCRace))*(TRUNC(MOD(($B242*1103515245 +12345)/ 65536, 32768),0)/32768),0))</f>
        <v>Tiefling</v>
      </c>
      <c r="AC242" s="16" t="str">
        <f t="array" ref="AC242">INDEX(NPCAL,TRUNC(1+(COUNTA(NPCAL))*(TRUNC(MOD(($B242*1103515245 +12345)/ 65536, 32768),0)/32768),0))</f>
        <v>LN</v>
      </c>
      <c r="AD242" s="72" t="str">
        <f ca="1">IFERROR(__xludf.DUMMYFUNCTION("if(V242&lt;15,QUERY(NPCVar!C:D,""Select D WHERE C = '""&amp;D242&amp;""'""),if((TRUNC(1+10)*(TRUNC(MOD((ROW(H242)*1103515245 +12345)/ 65536, 32768),0)/32768)/10) &gt; 0.85,INDEX(NPCFaction,TRUNC(1+(counta(NPCFaction)-1)*(TRUNC(MOD(($B242*1103515245 +12345)/ 65536, 3276"&amp;"8),0)/32768),0)),QUERY(NPCVar!C:D,""Select D WHERE C = '""&amp;D242&amp;""'"")))"),"Adventures Guild")</f>
        <v>Adventures Guild</v>
      </c>
      <c r="AE242" s="108" t="e">
        <f t="shared" ca="1" si="11"/>
        <v>#NAME?</v>
      </c>
      <c r="AF242" s="159">
        <f ca="1">IFERROR(__xludf.DUMMYFUNCTION("AE242*(V242 / QUERY(NPCVar!$K$2:$N$12, ""Select N WHERE K='""&amp;AB242&amp;""'""))*TRUNC(1+10)*(TRUNC(MOD(($B242*1103515245 +12345)/ 65536, 32768),0)/32768)"),4.01840057373046)</f>
        <v>4.0184005737304602</v>
      </c>
      <c r="AG242" s="16"/>
      <c r="AH242" s="77"/>
      <c r="AI242" s="114"/>
    </row>
    <row r="243" spans="1:35" ht="16.2">
      <c r="A243" s="53">
        <v>242</v>
      </c>
      <c r="B243" s="118">
        <f t="shared" si="16"/>
        <v>0.57396000000000003</v>
      </c>
      <c r="C243" s="72" t="str">
        <f t="array" ref="C243">INDEX(NPCFName,TRUNC(1+(COUNTA(NPCFName))*(TRUNC(MOD(($B243*1103515245 +12345)/ 65536, 32768),0)/32768),0))</f>
        <v>Uerthe</v>
      </c>
      <c r="D243" s="16" t="str">
        <f t="array" ref="D243">INDEX(NPCLName,TRUNC(1+(COUNTA(NPCLName))*(TRUNC(MOD(($B243*1103515245 +12345)/ 65536, 32768),0)/32768),0))</f>
        <v>Commonscream</v>
      </c>
      <c r="E243" s="16" t="str">
        <f t="array" ref="E243">INDEX(NPCClass,TRUNC(1+(COUNTA(NPCClass))*(TRUNC(MOD(($B243*1103515245 +12345)/ 65536, 32768),0)/32768),0))</f>
        <v>Monk</v>
      </c>
      <c r="F243" s="76">
        <v>2</v>
      </c>
      <c r="G243" s="153">
        <f ca="1">VLOOKUP($AB$2,'RF Mod'!$A$2:$G$12,2,FALSE)+VLOOKUP($AD$2,'RF Mod'!$I$2:$O$11,2,FALSE)+(TRUNC(6+(24-6)*(TRUNC(MOD(($Z243*1103515245 +12345)/ 65536, 32768),0)/32768),0))</f>
        <v>6</v>
      </c>
      <c r="H243" s="16">
        <f t="shared" ca="1" si="1"/>
        <v>-2</v>
      </c>
      <c r="I243" s="153">
        <f ca="1">VLOOKUP($AB$2,'RF Mod'!$A$2:$G$12,3,FALSE)+VLOOKUP($AD$2,'RF Mod'!$I$2:$O$11,3,FALSE)+(TRUNC(6+(24-6)*(TRUNC(MOD(($Z243*1103515245 +12345)/ 65536, 32768),0)/32768),0))</f>
        <v>10</v>
      </c>
      <c r="J243" s="16" t="e">
        <f t="shared" ca="1" si="2"/>
        <v>#NAME?</v>
      </c>
      <c r="K243" s="153">
        <f ca="1">VLOOKUP($AB$2,'RF Mod'!$A$2:$G$12,3,FALSE)+VLOOKUP($AD$2,'RF Mod'!$I$2:$O$11,3,FALSE)+(TRUNC(6+(24-6)*(TRUNC(MOD(($Z243*1103515245 +12345)/ 65536, 32768),0)/32768),0))</f>
        <v>10</v>
      </c>
      <c r="L243" s="16" t="e">
        <f t="shared" ca="1" si="3"/>
        <v>#NAME?</v>
      </c>
      <c r="M243" s="153">
        <f ca="1">VLOOKUP($AB$2,'RF Mod'!$A$2:$G$12,4,FALSE)+VLOOKUP($AD$2,'RF Mod'!$I$2:$O$11,4,FALSE)+(TRUNC(6+(24-6)*(TRUNC(MOD(($Z243*1103515245 +12345)/ 65536, 32768),0)/32768),0))</f>
        <v>9</v>
      </c>
      <c r="N243" s="16">
        <f t="shared" ca="1" si="4"/>
        <v>-1</v>
      </c>
      <c r="O243" s="153">
        <f ca="1">VLOOKUP($AB$2,'RF Mod'!$A$2:$G$12,5,FALSE)+VLOOKUP($AD$2,'RF Mod'!$I$2:$O$11,5,FALSE)+(TRUNC(6+(24-6)*(TRUNC(MOD(($Z243*1103515245 +12345)/ 65536, 32768),0)/32768),0))</f>
        <v>12</v>
      </c>
      <c r="P243" s="16" t="e">
        <f t="shared" ca="1" si="5"/>
        <v>#NAME?</v>
      </c>
      <c r="Q243" s="153">
        <f ca="1">VLOOKUP($AB$2,'RF Mod'!$A$2:$G$12,6,FALSE)+VLOOKUP($AD$2,'RF Mod'!$I$2:$O$11,6,FALSE)+(TRUNC(6+(24-6)*(TRUNC(MOD(($Z243*1103515245 +12345)/ 65536, 32768),0)/32768),0))</f>
        <v>10</v>
      </c>
      <c r="R243" s="16" t="e">
        <f t="shared" ca="1" si="6"/>
        <v>#NAME?</v>
      </c>
      <c r="S243" s="154">
        <f t="shared" ca="1" si="12"/>
        <v>24</v>
      </c>
      <c r="T243" s="154">
        <f t="shared" ca="1" si="7"/>
        <v>1</v>
      </c>
      <c r="U243" s="16" t="str">
        <f t="shared" ca="1" si="8"/>
        <v>Fine</v>
      </c>
      <c r="V243" s="155">
        <f ca="1">IFERROR(__xludf.DUMMYFUNCTION("if(W243=""Middle Age"",QUERY(NPCVar!$K$2:$N1000, ""Select L where K = '""&amp;AB243&amp;""'""),if(W243=""Old"",QUERY(NPCVar!$K$2:$N1000, ""Select M where K = '""&amp;AB243&amp;""'""),if(W243=""Venerable"",QUERY(NPCVar!$K$2:$N1000, ""Select N where K = '""&amp;AB243&amp;""'""),fa"&amp;"lse)))*X243"),135)</f>
        <v>135</v>
      </c>
      <c r="W243" s="156" t="str">
        <f t="array" ref="W243">INDEX(NPCAgeType,TRUNC(1+(4-1)*(TRUNC(MOD((X243*1103515245 +12345)/ 65536, 32768),0)/32768),0))</f>
        <v>Old</v>
      </c>
      <c r="X243" s="117">
        <f t="shared" si="13"/>
        <v>0.8</v>
      </c>
      <c r="Y243" s="157" t="e">
        <f t="array" aca="1" ref="Y243" ca="1">LOOKUP(ABS(MAX(Z243 + MIN(ABS(INDIRECT("Class Jobs!B"&amp;MATCH(E243,'Class Jobs'!$A$1:$A1000,0)&amp;":"&amp;"AF"&amp;MATCH(E243,'Class Jobs'!$A$1:$A1000,0)&amp;"")-$Z243)) * SUM(IF(MIN(ABS(INDIRECT("Class Jobs!B"&amp;MATCH(E243,'Class Jobs'!$A$1:$A1000,0)&amp;":"&amp;"AF"&amp;MATCH(E243,'Class Jobs'!$A$1:$A1000,0)&amp;"")-$Z243))=ABS(INDIRECT("Class Jobs!B"&amp;MATCH(E243,'Class Jobs'!$A$1:$A1000,0)&amp;":"&amp;"AF"&amp;MATCH(E243,'Class Jobs'!$A$1:$A1000,0)&amp;"")-$Z243),SIGN(INDIRECT("Class Jobs!B"&amp;MATCH(E243,'Class Jobs'!$A$1:A1000,0)&amp;":"&amp;"AF"&amp;MATCH(E243,'Class Jobs'!$A$1:$A1000,0)&amp;"")-$Z243),0)),0)),INDIRECT("Class Jobs!B"&amp;MATCH(E243,'Class Jobs'!$A$1:$A1000,0)&amp;":"&amp;"AF"&amp;MATCH(E243,'Class Jobs'!$A$1:$A1000,1)&amp;""),'Class Jobs'!$B$1:$AF$1)</f>
        <v>#REF!</v>
      </c>
      <c r="Z243" s="158">
        <f t="shared" si="10"/>
        <v>0.3</v>
      </c>
      <c r="AA243" s="16" t="str">
        <f t="array" ref="AA243">INDEX(NPCGender,TRUNC(1+(COUNTA(NPCGender))*(TRUNC(MOD(($B243*1103515245 +12345)/ 65536, 32768),0)/32768),0))</f>
        <v>Male</v>
      </c>
      <c r="AB243" s="16" t="str">
        <f t="array" ref="AB243">INDEX(NPCRace,TRUNC(1+(COUNTA(NPCRace))*(TRUNC(MOD(($B243*1103515245 +12345)/ 65536, 32768),0)/32768),0))</f>
        <v>Gnome</v>
      </c>
      <c r="AC243" s="16" t="str">
        <f t="array" ref="AC243">INDEX(NPCAL,TRUNC(1+(COUNTA(NPCAL))*(TRUNC(MOD(($B243*1103515245 +12345)/ 65536, 32768),0)/32768),0))</f>
        <v>CG</v>
      </c>
      <c r="AD243" s="72" t="str">
        <f ca="1">IFERROR(__xludf.DUMMYFUNCTION("if(V243&lt;15,QUERY(NPCVar!C:D,""Select D WHERE C = '""&amp;D243&amp;""'""),if((TRUNC(1+10)*(TRUNC(MOD((ROW(H243)*1103515245 +12345)/ 65536, 32768),0)/32768)/10) &gt; 0.85,INDEX(NPCFaction,TRUNC(1+(counta(NPCFaction)-1)*(TRUNC(MOD(($B243*1103515245 +12345)/ 65536, 3276"&amp;"8),0)/32768),0)),QUERY(NPCVar!C:D,""Select D WHERE C = '""&amp;D243&amp;""'"")))"),"Traders Guild")</f>
        <v>Traders Guild</v>
      </c>
      <c r="AE243" s="108" t="e">
        <f t="shared" ca="1" si="11"/>
        <v>#NAME?</v>
      </c>
      <c r="AF243" s="159">
        <f ca="1">IFERROR(__xludf.DUMMYFUNCTION("AE243*(V243 / QUERY(NPCVar!$K$2:$N$12, ""Select N WHERE K='""&amp;AB243&amp;""'""))*TRUNC(1+10)*(TRUNC(MOD(($B243*1103515245 +12345)/ 65536, 32768),0)/32768)"),0.194648437499999)</f>
        <v>0.19464843749999899</v>
      </c>
      <c r="AG243" s="16"/>
      <c r="AH243" s="77"/>
      <c r="AI243" s="114"/>
    </row>
    <row r="244" spans="1:35" ht="16.2">
      <c r="A244" s="53">
        <v>243</v>
      </c>
      <c r="B244" s="118">
        <f t="shared" si="16"/>
        <v>2.0680200000000002</v>
      </c>
      <c r="C244" s="72" t="str">
        <f t="array" ref="C244">INDEX(NPCFName,TRUNC(1+(COUNTA(NPCFName))*(TRUNC(MOD(($B244*1103515245 +12345)/ 65536, 32768),0)/32768),0))</f>
        <v>Daburn</v>
      </c>
      <c r="D244" s="16" t="str">
        <f t="array" ref="D244">INDEX(NPCLName,TRUNC(1+(COUNTA(NPCLName))*(TRUNC(MOD(($B244*1103515245 +12345)/ 65536, 32768),0)/32768),0))</f>
        <v>Crystalgazer</v>
      </c>
      <c r="E244" s="16" t="str">
        <f t="array" ref="E244">INDEX(NPCClass,TRUNC(1+(COUNTA(NPCClass))*(TRUNC(MOD(($B244*1103515245 +12345)/ 65536, 32768),0)/32768),0))</f>
        <v>Barbarian</v>
      </c>
      <c r="F244" s="76">
        <v>1</v>
      </c>
      <c r="G244" s="153">
        <f ca="1">VLOOKUP($AB$2,'RF Mod'!$A$2:$G$12,2,FALSE)+VLOOKUP($AD$2,'RF Mod'!$I$2:$O$11,2,FALSE)+(TRUNC(6+(24-6)*(TRUNC(MOD(($Z244*1103515245 +12345)/ 65536, 32768),0)/32768),0))</f>
        <v>4</v>
      </c>
      <c r="H244" s="16">
        <f t="shared" ca="1" si="1"/>
        <v>-3</v>
      </c>
      <c r="I244" s="153">
        <f ca="1">VLOOKUP($AB$2,'RF Mod'!$A$2:$G$12,3,FALSE)+VLOOKUP($AD$2,'RF Mod'!$I$2:$O$11,3,FALSE)+(TRUNC(6+(24-6)*(TRUNC(MOD(($Z244*1103515245 +12345)/ 65536, 32768),0)/32768),0))</f>
        <v>8</v>
      </c>
      <c r="J244" s="16">
        <f t="shared" ca="1" si="2"/>
        <v>-1</v>
      </c>
      <c r="K244" s="153">
        <f ca="1">VLOOKUP($AB$2,'RF Mod'!$A$2:$G$12,3,FALSE)+VLOOKUP($AD$2,'RF Mod'!$I$2:$O$11,3,FALSE)+(TRUNC(6+(24-6)*(TRUNC(MOD(($Z244*1103515245 +12345)/ 65536, 32768),0)/32768),0))</f>
        <v>8</v>
      </c>
      <c r="L244" s="16">
        <f t="shared" ca="1" si="3"/>
        <v>-1</v>
      </c>
      <c r="M244" s="153">
        <f ca="1">VLOOKUP($AB$2,'RF Mod'!$A$2:$G$12,4,FALSE)+VLOOKUP($AD$2,'RF Mod'!$I$2:$O$11,4,FALSE)+(TRUNC(6+(24-6)*(TRUNC(MOD(($Z244*1103515245 +12345)/ 65536, 32768),0)/32768),0))</f>
        <v>7</v>
      </c>
      <c r="N244" s="16">
        <f t="shared" ca="1" si="4"/>
        <v>-2</v>
      </c>
      <c r="O244" s="153">
        <f ca="1">VLOOKUP($AB$2,'RF Mod'!$A$2:$G$12,5,FALSE)+VLOOKUP($AD$2,'RF Mod'!$I$2:$O$11,5,FALSE)+(TRUNC(6+(24-6)*(TRUNC(MOD(($Z244*1103515245 +12345)/ 65536, 32768),0)/32768),0))</f>
        <v>10</v>
      </c>
      <c r="P244" s="16" t="e">
        <f t="shared" ca="1" si="5"/>
        <v>#NAME?</v>
      </c>
      <c r="Q244" s="153">
        <f ca="1">VLOOKUP($AB$2,'RF Mod'!$A$2:$G$12,6,FALSE)+VLOOKUP($AD$2,'RF Mod'!$I$2:$O$11,6,FALSE)+(TRUNC(6+(24-6)*(TRUNC(MOD(($Z244*1103515245 +12345)/ 65536, 32768),0)/32768),0))</f>
        <v>8</v>
      </c>
      <c r="R244" s="16">
        <f t="shared" ca="1" si="6"/>
        <v>-1</v>
      </c>
      <c r="S244" s="154">
        <f t="shared" ca="1" si="12"/>
        <v>10</v>
      </c>
      <c r="T244" s="154">
        <f t="shared" ca="1" si="7"/>
        <v>4</v>
      </c>
      <c r="U244" s="16" t="str">
        <f t="shared" ca="1" si="8"/>
        <v>Fine</v>
      </c>
      <c r="V244" s="155">
        <f ca="1">IFERROR(__xludf.DUMMYFUNCTION("if(W244=""Middle Age"",QUERY(NPCVar!$K$2:$N1000, ""Select L where K = '""&amp;AB244&amp;""'""),if(W244=""Old"",QUERY(NPCVar!$K$2:$N1000, ""Select M where K = '""&amp;AB244&amp;""'""),if(W244=""Venerable"",QUERY(NPCVar!$K$2:$N1000, ""Select N where K = '""&amp;AB244&amp;""'""),fa"&amp;"lse)))*X244"),4)</f>
        <v>4</v>
      </c>
      <c r="W244" s="156" t="str">
        <f t="array" ref="W244">INDEX(NPCAgeType,TRUNC(1+(4-1)*(TRUNC(MOD((X244*1103515245 +12345)/ 65536, 32768),0)/32768),0))</f>
        <v>Middle Age</v>
      </c>
      <c r="X244" s="117">
        <f t="shared" si="13"/>
        <v>0.2</v>
      </c>
      <c r="Y244" s="157" t="e">
        <f t="array" aca="1" ref="Y244" ca="1">LOOKUP(ABS(MAX(Z244 + MIN(ABS(INDIRECT("Class Jobs!B"&amp;MATCH(E244,'Class Jobs'!$A$1:$A1000,0)&amp;":"&amp;"AF"&amp;MATCH(E244,'Class Jobs'!$A$1:$A1000,0)&amp;"")-$Z244)) * SUM(IF(MIN(ABS(INDIRECT("Class Jobs!B"&amp;MATCH(E244,'Class Jobs'!$A$1:$A1000,0)&amp;":"&amp;"AF"&amp;MATCH(E244,'Class Jobs'!$A$1:$A1000,0)&amp;"")-$Z244))=ABS(INDIRECT("Class Jobs!B"&amp;MATCH(E244,'Class Jobs'!$A$1:$A1000,0)&amp;":"&amp;"AF"&amp;MATCH(E244,'Class Jobs'!$A$1:$A1000,0)&amp;"")-$Z244),SIGN(INDIRECT("Class Jobs!B"&amp;MATCH(E244,'Class Jobs'!$A$1:A1000,0)&amp;":"&amp;"AF"&amp;MATCH(E244,'Class Jobs'!$A$1:$A1000,0)&amp;"")-$Z244),0)),0)),INDIRECT("Class Jobs!B"&amp;MATCH(E244,'Class Jobs'!$A$1:$A1000,0)&amp;":"&amp;"AF"&amp;MATCH(E244,'Class Jobs'!$A$1:$A1000,1)&amp;""),'Class Jobs'!$B$1:$AF$1)</f>
        <v>#REF!</v>
      </c>
      <c r="Z244" s="158">
        <f t="shared" si="10"/>
        <v>7.0000000000000007E-2</v>
      </c>
      <c r="AA244" s="16" t="str">
        <f t="array" ref="AA244">INDEX(NPCGender,TRUNC(1+(COUNTA(NPCGender))*(TRUNC(MOD(($B244*1103515245 +12345)/ 65536, 32768),0)/32768),0))</f>
        <v>Male</v>
      </c>
      <c r="AB244" s="16" t="str">
        <f t="array" ref="AB244">INDEX(NPCRace,TRUNC(1+(COUNTA(NPCRace))*(TRUNC(MOD(($B244*1103515245 +12345)/ 65536, 32768),0)/32768),0))</f>
        <v>Dragonborn</v>
      </c>
      <c r="AC244" s="16" t="str">
        <f t="array" ref="AC244">INDEX(NPCAL,TRUNC(1+(COUNTA(NPCAL))*(TRUNC(MOD(($B244*1103515245 +12345)/ 65536, 32768),0)/32768),0))</f>
        <v>CN</v>
      </c>
      <c r="AD244" s="72" t="str">
        <f ca="1">IFERROR(__xludf.DUMMYFUNCTION("if(V244&lt;15,QUERY(NPCVar!C:D,""Select D WHERE C = '""&amp;D244&amp;""'""),if((TRUNC(1+10)*(TRUNC(MOD((ROW(H244)*1103515245 +12345)/ 65536, 32768),0)/32768)/10) &gt; 0.85,INDEX(NPCFaction,TRUNC(1+(counta(NPCFaction)-1)*(TRUNC(MOD(($B244*1103515245 +12345)/ 65536, 3276"&amp;"8),0)/32768),0)),QUERY(NPCVar!C:D,""Select D WHERE C = '""&amp;D244&amp;""'"")))"),"Death Guild")</f>
        <v>Death Guild</v>
      </c>
      <c r="AE244" s="108" t="e">
        <f t="shared" ca="1" si="11"/>
        <v>#NAME?</v>
      </c>
      <c r="AF244" s="159">
        <f ca="1">IFERROR(__xludf.DUMMYFUNCTION("AE244*(V244 / QUERY(NPCVar!$K$2:$N$12, ""Select N WHERE K='""&amp;AB244&amp;""'""))*TRUNC(1+10)*(TRUNC(MOD(($B244*1103515245 +12345)/ 65536, 32768),0)/32768)"),0.0172378540039062)</f>
        <v>1.7237854003906199E-2</v>
      </c>
      <c r="AG244" s="16"/>
      <c r="AH244" s="77"/>
      <c r="AI244" s="114"/>
    </row>
    <row r="245" spans="1:35" ht="16.2">
      <c r="A245" s="53">
        <v>244</v>
      </c>
      <c r="B245" s="118">
        <f t="shared" si="16"/>
        <v>1.0621700000000001</v>
      </c>
      <c r="C245" s="72" t="str">
        <f t="array" ref="C245">INDEX(NPCFName,TRUNC(1+(COUNTA(NPCFName))*(TRUNC(MOD(($B245*1103515245 +12345)/ 65536, 32768),0)/32768),0))</f>
        <v>Ocarin</v>
      </c>
      <c r="D245" s="16" t="str">
        <f t="array" ref="D245">INDEX(NPCLName,TRUNC(1+(COUNTA(NPCLName))*(TRUNC(MOD(($B245*1103515245 +12345)/ 65536, 32768),0)/32768),0))</f>
        <v>Plainspirit</v>
      </c>
      <c r="E245" s="16" t="str">
        <f t="array" ref="E245">INDEX(NPCClass,TRUNC(1+(COUNTA(NPCClass))*(TRUNC(MOD(($B245*1103515245 +12345)/ 65536, 32768),0)/32768),0))</f>
        <v>Sorcerer</v>
      </c>
      <c r="F245" s="76">
        <v>8</v>
      </c>
      <c r="G245" s="153">
        <f ca="1">VLOOKUP($AB$2,'RF Mod'!$A$2:$G$12,2,FALSE)+VLOOKUP($AD$2,'RF Mod'!$I$2:$O$11,2,FALSE)+(TRUNC(6+(24-6)*(TRUNC(MOD(($Z245*1103515245 +12345)/ 65536, 32768),0)/32768),0))</f>
        <v>9</v>
      </c>
      <c r="H245" s="16">
        <f t="shared" ca="1" si="1"/>
        <v>-1</v>
      </c>
      <c r="I245" s="153">
        <f ca="1">VLOOKUP($AB$2,'RF Mod'!$A$2:$G$12,3,FALSE)+VLOOKUP($AD$2,'RF Mod'!$I$2:$O$11,3,FALSE)+(TRUNC(6+(24-6)*(TRUNC(MOD(($Z245*1103515245 +12345)/ 65536, 32768),0)/32768),0))</f>
        <v>13</v>
      </c>
      <c r="J245" s="16" t="e">
        <f t="shared" ca="1" si="2"/>
        <v>#NAME?</v>
      </c>
      <c r="K245" s="153">
        <f ca="1">VLOOKUP($AB$2,'RF Mod'!$A$2:$G$12,3,FALSE)+VLOOKUP($AD$2,'RF Mod'!$I$2:$O$11,3,FALSE)+(TRUNC(6+(24-6)*(TRUNC(MOD(($Z245*1103515245 +12345)/ 65536, 32768),0)/32768),0))</f>
        <v>13</v>
      </c>
      <c r="L245" s="16" t="e">
        <f t="shared" ca="1" si="3"/>
        <v>#NAME?</v>
      </c>
      <c r="M245" s="153">
        <f ca="1">VLOOKUP($AB$2,'RF Mod'!$A$2:$G$12,4,FALSE)+VLOOKUP($AD$2,'RF Mod'!$I$2:$O$11,4,FALSE)+(TRUNC(6+(24-6)*(TRUNC(MOD(($Z245*1103515245 +12345)/ 65536, 32768),0)/32768),0))</f>
        <v>12</v>
      </c>
      <c r="N245" s="16" t="e">
        <f t="shared" ca="1" si="4"/>
        <v>#NAME?</v>
      </c>
      <c r="O245" s="153">
        <f ca="1">VLOOKUP($AB$2,'RF Mod'!$A$2:$G$12,5,FALSE)+VLOOKUP($AD$2,'RF Mod'!$I$2:$O$11,5,FALSE)+(TRUNC(6+(24-6)*(TRUNC(MOD(($Z245*1103515245 +12345)/ 65536, 32768),0)/32768),0))</f>
        <v>15</v>
      </c>
      <c r="P245" s="16" t="e">
        <f t="shared" ca="1" si="5"/>
        <v>#NAME?</v>
      </c>
      <c r="Q245" s="153">
        <f ca="1">VLOOKUP($AB$2,'RF Mod'!$A$2:$G$12,6,FALSE)+VLOOKUP($AD$2,'RF Mod'!$I$2:$O$11,6,FALSE)+(TRUNC(6+(24-6)*(TRUNC(MOD(($Z245*1103515245 +12345)/ 65536, 32768),0)/32768),0))</f>
        <v>13</v>
      </c>
      <c r="R245" s="16" t="e">
        <f t="shared" ca="1" si="6"/>
        <v>#NAME?</v>
      </c>
      <c r="S245" s="154">
        <f t="shared" ca="1" si="12"/>
        <v>136</v>
      </c>
      <c r="T245" s="154">
        <f t="shared" ca="1" si="7"/>
        <v>153</v>
      </c>
      <c r="U245" s="16" t="str">
        <f t="shared" ca="1" si="8"/>
        <v>Dead</v>
      </c>
      <c r="V245" s="155">
        <f ca="1">IFERROR(__xludf.DUMMYFUNCTION("if(W245=""Middle Age"",QUERY(NPCVar!$K$2:$N1000, ""Select L where K = '""&amp;AB245&amp;""'""),if(W245=""Old"",QUERY(NPCVar!$K$2:$N1000, ""Select M where K = '""&amp;AB245&amp;""'""),if(W245=""Venerable"",QUERY(NPCVar!$K$2:$N1000, ""Select N where K = '""&amp;AB245&amp;""'""),fa"&amp;"lse)))*X245"),280)</f>
        <v>280</v>
      </c>
      <c r="W245" s="156" t="str">
        <f t="array" ref="W245">INDEX(NPCAgeType,TRUNC(1+(4-1)*(TRUNC(MOD((X245*1103515245 +12345)/ 65536, 32768),0)/32768),0))</f>
        <v>Venerable</v>
      </c>
      <c r="X245" s="117">
        <f t="shared" si="13"/>
        <v>1.4</v>
      </c>
      <c r="Y245" s="157" t="e">
        <f t="array" aca="1" ref="Y245" ca="1">LOOKUP(ABS(MAX(Z245 + MIN(ABS(INDIRECT("Class Jobs!B"&amp;MATCH(E245,'Class Jobs'!$A$1:$A1000,0)&amp;":"&amp;"AF"&amp;MATCH(E245,'Class Jobs'!$A$1:$A1000,0)&amp;"")-$Z245)) * SUM(IF(MIN(ABS(INDIRECT("Class Jobs!B"&amp;MATCH(E245,'Class Jobs'!$A$1:$A1000,0)&amp;":"&amp;"AF"&amp;MATCH(E245,'Class Jobs'!$A$1:$A1000,0)&amp;"")-$Z245))=ABS(INDIRECT("Class Jobs!B"&amp;MATCH(E245,'Class Jobs'!$A$1:$A1000,0)&amp;":"&amp;"AF"&amp;MATCH(E245,'Class Jobs'!$A$1:$A1000,0)&amp;"")-$Z245),SIGN(INDIRECT("Class Jobs!B"&amp;MATCH(E245,'Class Jobs'!$A$1:A1000,0)&amp;":"&amp;"AF"&amp;MATCH(E245,'Class Jobs'!$A$1:$A1000,0)&amp;"")-$Z245),0)),0)),INDIRECT("Class Jobs!B"&amp;MATCH(E245,'Class Jobs'!$A$1:$A1000,0)&amp;":"&amp;"AF"&amp;MATCH(E245,'Class Jobs'!$A$1:$A1000,1)&amp;""),'Class Jobs'!$B$1:$AF$1)</f>
        <v>#REF!</v>
      </c>
      <c r="Z245" s="158">
        <f t="shared" si="10"/>
        <v>0.55000000000000004</v>
      </c>
      <c r="AA245" s="16" t="str">
        <f t="array" ref="AA245">INDEX(NPCGender,TRUNC(1+(COUNTA(NPCGender))*(TRUNC(MOD(($B245*1103515245 +12345)/ 65536, 32768),0)/32768),0))</f>
        <v>Female</v>
      </c>
      <c r="AB245" s="16" t="str">
        <f t="array" ref="AB245">INDEX(NPCRace,TRUNC(1+(COUNTA(NPCRace))*(TRUNC(MOD(($B245*1103515245 +12345)/ 65536, 32768),0)/32768),0))</f>
        <v>Halfling</v>
      </c>
      <c r="AC245" s="16" t="str">
        <f t="array" ref="AC245">INDEX(NPCAL,TRUNC(1+(COUNTA(NPCAL))*(TRUNC(MOD(($B245*1103515245 +12345)/ 65536, 32768),0)/32768),0))</f>
        <v>NN</v>
      </c>
      <c r="AD245" s="72" t="str">
        <f ca="1">IFERROR(__xludf.DUMMYFUNCTION("if(V245&lt;15,QUERY(NPCVar!C:D,""Select D WHERE C = '""&amp;D245&amp;""'""),if((TRUNC(1+10)*(TRUNC(MOD((ROW(H245)*1103515245 +12345)/ 65536, 32768),0)/32768)/10) &gt; 0.85,INDEX(NPCFaction,TRUNC(1+(counta(NPCFaction)-1)*(TRUNC(MOD(($B245*1103515245 +12345)/ 65536, 3276"&amp;"8),0)/32768),0)),QUERY(NPCVar!C:D,""Select D WHERE C = '""&amp;D245&amp;""'"")))"),"Thieves Guild")</f>
        <v>Thieves Guild</v>
      </c>
      <c r="AE245" s="108" t="e">
        <f t="shared" ca="1" si="11"/>
        <v>#NAME?</v>
      </c>
      <c r="AF245" s="159">
        <f ca="1">IFERROR(__xludf.DUMMYFUNCTION("AE245*(V245 / QUERY(NPCVar!$K$2:$N$12, ""Select N WHERE K='""&amp;AB245&amp;""'""))*TRUNC(1+10)*(TRUNC(MOD(($B245*1103515245 +12345)/ 65536, 32768),0)/32768)"),4.20271301269531)</f>
        <v>4.2027130126953098</v>
      </c>
      <c r="AG245" s="16"/>
      <c r="AH245" s="77"/>
      <c r="AI245" s="114"/>
    </row>
    <row r="246" spans="1:35" ht="16.2">
      <c r="A246" s="53">
        <v>245</v>
      </c>
      <c r="B246" s="118">
        <f t="shared" si="16"/>
        <v>5.6309999999999999E-2</v>
      </c>
      <c r="C246" s="72" t="str">
        <f t="array" ref="C246">INDEX(NPCFName,TRUNC(1+(COUNTA(NPCFName))*(TRUNC(MOD(($B246*1103515245 +12345)/ 65536, 32768),0)/32768),0))</f>
        <v>Bedic</v>
      </c>
      <c r="D246" s="16" t="str">
        <f t="array" ref="D246">INDEX(NPCLName,TRUNC(1+(COUNTA(NPCLName))*(TRUNC(MOD(($B246*1103515245 +12345)/ 65536, 32768),0)/32768),0))</f>
        <v>Stagfang</v>
      </c>
      <c r="E246" s="16" t="str">
        <f t="array" ref="E246">INDEX(NPCClass,TRUNC(1+(COUNTA(NPCClass))*(TRUNC(MOD(($B246*1103515245 +12345)/ 65536, 32768),0)/32768),0))</f>
        <v>Barbarian</v>
      </c>
      <c r="F246" s="76">
        <v>1</v>
      </c>
      <c r="G246" s="153">
        <f ca="1">VLOOKUP($AB$2,'RF Mod'!$A$2:$G$12,2,FALSE)+VLOOKUP($AD$2,'RF Mod'!$I$2:$O$11,2,FALSE)+(TRUNC(6+(24-6)*(TRUNC(MOD(($Z246*1103515245 +12345)/ 65536, 32768),0)/32768),0))</f>
        <v>4</v>
      </c>
      <c r="H246" s="16">
        <f t="shared" ca="1" si="1"/>
        <v>-3</v>
      </c>
      <c r="I246" s="153">
        <f ca="1">VLOOKUP($AB$2,'RF Mod'!$A$2:$G$12,3,FALSE)+VLOOKUP($AD$2,'RF Mod'!$I$2:$O$11,3,FALSE)+(TRUNC(6+(24-6)*(TRUNC(MOD(($Z246*1103515245 +12345)/ 65536, 32768),0)/32768),0))</f>
        <v>8</v>
      </c>
      <c r="J246" s="16">
        <f t="shared" ca="1" si="2"/>
        <v>-1</v>
      </c>
      <c r="K246" s="153">
        <f ca="1">VLOOKUP($AB$2,'RF Mod'!$A$2:$G$12,3,FALSE)+VLOOKUP($AD$2,'RF Mod'!$I$2:$O$11,3,FALSE)+(TRUNC(6+(24-6)*(TRUNC(MOD(($Z246*1103515245 +12345)/ 65536, 32768),0)/32768),0))</f>
        <v>8</v>
      </c>
      <c r="L246" s="16">
        <f t="shared" ca="1" si="3"/>
        <v>-1</v>
      </c>
      <c r="M246" s="153">
        <f ca="1">VLOOKUP($AB$2,'RF Mod'!$A$2:$G$12,4,FALSE)+VLOOKUP($AD$2,'RF Mod'!$I$2:$O$11,4,FALSE)+(TRUNC(6+(24-6)*(TRUNC(MOD(($Z246*1103515245 +12345)/ 65536, 32768),0)/32768),0))</f>
        <v>7</v>
      </c>
      <c r="N246" s="16">
        <f t="shared" ca="1" si="4"/>
        <v>-2</v>
      </c>
      <c r="O246" s="153">
        <f ca="1">VLOOKUP($AB$2,'RF Mod'!$A$2:$G$12,5,FALSE)+VLOOKUP($AD$2,'RF Mod'!$I$2:$O$11,5,FALSE)+(TRUNC(6+(24-6)*(TRUNC(MOD(($Z246*1103515245 +12345)/ 65536, 32768),0)/32768),0))</f>
        <v>10</v>
      </c>
      <c r="P246" s="16" t="e">
        <f t="shared" ca="1" si="5"/>
        <v>#NAME?</v>
      </c>
      <c r="Q246" s="153">
        <f ca="1">VLOOKUP($AB$2,'RF Mod'!$A$2:$G$12,6,FALSE)+VLOOKUP($AD$2,'RF Mod'!$I$2:$O$11,6,FALSE)+(TRUNC(6+(24-6)*(TRUNC(MOD(($Z246*1103515245 +12345)/ 65536, 32768),0)/32768),0))</f>
        <v>8</v>
      </c>
      <c r="R246" s="16">
        <f t="shared" ca="1" si="6"/>
        <v>-1</v>
      </c>
      <c r="S246" s="154">
        <f t="shared" ca="1" si="12"/>
        <v>10</v>
      </c>
      <c r="T246" s="154">
        <f t="shared" ca="1" si="7"/>
        <v>11</v>
      </c>
      <c r="U246" s="16" t="str">
        <f t="shared" ca="1" si="8"/>
        <v>Dead</v>
      </c>
      <c r="V246" s="155">
        <f ca="1">IFERROR(__xludf.DUMMYFUNCTION("if(W246=""Middle Age"",QUERY(NPCVar!$K$2:$N1000, ""Select L where K = '""&amp;AB246&amp;""'""),if(W246=""Old"",QUERY(NPCVar!$K$2:$N1000, ""Select M where K = '""&amp;AB246&amp;""'""),if(W246=""Venerable"",QUERY(NPCVar!$K$2:$N1000, ""Select N where K = '""&amp;AB246&amp;""'""),fa"&amp;"lse)))*X246"),2)</f>
        <v>2</v>
      </c>
      <c r="W246" s="156" t="str">
        <f t="array" ref="W246">INDEX(NPCAgeType,TRUNC(1+(4-1)*(TRUNC(MOD((X246*1103515245 +12345)/ 65536, 32768),0)/32768),0))</f>
        <v>Middle Age</v>
      </c>
      <c r="X246" s="117">
        <f t="shared" si="13"/>
        <v>0.1</v>
      </c>
      <c r="Y246" s="157" t="e">
        <f t="array" aca="1" ref="Y246" ca="1">LOOKUP(ABS(MAX(Z246 + MIN(ABS(INDIRECT("Class Jobs!B"&amp;MATCH(E246,'Class Jobs'!$A$1:$A1000,0)&amp;":"&amp;"AF"&amp;MATCH(E246,'Class Jobs'!$A$1:$A1000,0)&amp;"")-$Z246)) * SUM(IF(MIN(ABS(INDIRECT("Class Jobs!B"&amp;MATCH(E246,'Class Jobs'!$A$1:$A1000,0)&amp;":"&amp;"AF"&amp;MATCH(E246,'Class Jobs'!$A$1:$A1000,0)&amp;"")-$Z246))=ABS(INDIRECT("Class Jobs!B"&amp;MATCH(E246,'Class Jobs'!$A$1:$A1000,0)&amp;":"&amp;"AF"&amp;MATCH(E246,'Class Jobs'!$A$1:$A1000,0)&amp;"")-$Z246),SIGN(INDIRECT("Class Jobs!B"&amp;MATCH(E246,'Class Jobs'!$A$1:A1000,0)&amp;":"&amp;"AF"&amp;MATCH(E246,'Class Jobs'!$A$1:$A1000,0)&amp;"")-$Z246),0)),0)),INDIRECT("Class Jobs!B"&amp;MATCH(E246,'Class Jobs'!$A$1:$A1000,0)&amp;":"&amp;"AF"&amp;MATCH(E246,'Class Jobs'!$A$1:$A1000,1)&amp;""),'Class Jobs'!$B$1:$AF$1)</f>
        <v>#REF!</v>
      </c>
      <c r="Z246" s="158">
        <f t="shared" si="10"/>
        <v>0.03</v>
      </c>
      <c r="AA246" s="16" t="str">
        <f t="array" ref="AA246">INDEX(NPCGender,TRUNC(1+(COUNTA(NPCGender))*(TRUNC(MOD(($B246*1103515245 +12345)/ 65536, 32768),0)/32768),0))</f>
        <v>Male</v>
      </c>
      <c r="AB246" s="16" t="str">
        <f t="array" ref="AB246">INDEX(NPCRace,TRUNC(1+(COUNTA(NPCRace))*(TRUNC(MOD(($B246*1103515245 +12345)/ 65536, 32768),0)/32768),0))</f>
        <v>Dragonborn</v>
      </c>
      <c r="AC246" s="16" t="str">
        <f t="array" ref="AC246">INDEX(NPCAL,TRUNC(1+(COUNTA(NPCAL))*(TRUNC(MOD(($B246*1103515245 +12345)/ 65536, 32768),0)/32768),0))</f>
        <v>CN</v>
      </c>
      <c r="AD246" s="72" t="str">
        <f ca="1">IFERROR(__xludf.DUMMYFUNCTION("if(V246&lt;15,QUERY(NPCVar!C:D,""Select D WHERE C = '""&amp;D246&amp;""'""),if((TRUNC(1+10)*(TRUNC(MOD((ROW(H246)*1103515245 +12345)/ 65536, 32768),0)/32768)/10) &gt; 0.85,INDEX(NPCFaction,TRUNC(1+(counta(NPCFaction)-1)*(TRUNC(MOD(($B246*1103515245 +12345)/ 65536, 3276"&amp;"8),0)/32768),0)),QUERY(NPCVar!C:D,""Select D WHERE C = '""&amp;D246&amp;""'"")))"),"Royalty")</f>
        <v>Royalty</v>
      </c>
      <c r="AE246" s="108" t="e">
        <f t="shared" ca="1" si="11"/>
        <v>#NAME?</v>
      </c>
      <c r="AF246" s="159">
        <f ca="1">IFERROR(__xludf.DUMMYFUNCTION("AE246*(V246 / QUERY(NPCVar!$K$2:$N$12, ""Select N WHERE K='""&amp;AB246&amp;""'""))*TRUNC(1+10)*(TRUNC(MOD(($B246*1103515245 +12345)/ 65536, 32768),0)/32768)"),0.0047735595703125)</f>
        <v>4.7735595703124996E-3</v>
      </c>
      <c r="AG246" s="16"/>
      <c r="AH246" s="77"/>
      <c r="AI246" s="114"/>
    </row>
    <row r="247" spans="1:35" ht="16.2">
      <c r="A247" s="53">
        <v>246</v>
      </c>
      <c r="B247" s="118">
        <f t="shared" si="16"/>
        <v>1.55044</v>
      </c>
      <c r="C247" s="72" t="str">
        <f t="array" ref="C247">INDEX(NPCFName,TRUNC(1+(COUNTA(NPCFName))*(TRUNC(MOD(($B247*1103515245 +12345)/ 65536, 32768),0)/32768),0))</f>
        <v>Hasten</v>
      </c>
      <c r="D247" s="16" t="str">
        <f t="array" ref="D247">INDEX(NPCLName,TRUNC(1+(COUNTA(NPCLName))*(TRUNC(MOD(($B247*1103515245 +12345)/ 65536, 32768),0)/32768),0))</f>
        <v>Truthdoom</v>
      </c>
      <c r="E247" s="16" t="str">
        <f t="array" ref="E247">INDEX(NPCClass,TRUNC(1+(COUNTA(NPCClass))*(TRUNC(MOD(($B247*1103515245 +12345)/ 65536, 32768),0)/32768),0))</f>
        <v>Cleric</v>
      </c>
      <c r="F247" s="76">
        <v>8</v>
      </c>
      <c r="G247" s="153">
        <f ca="1">VLOOKUP($AB$2,'RF Mod'!$A$2:$G$12,2,FALSE)+VLOOKUP($AD$2,'RF Mod'!$I$2:$O$11,2,FALSE)+(TRUNC(6+(24-6)*(TRUNC(MOD(($Z247*1103515245 +12345)/ 65536, 32768),0)/32768),0))</f>
        <v>11</v>
      </c>
      <c r="H247" s="16" t="e">
        <f t="shared" ca="1" si="1"/>
        <v>#NAME?</v>
      </c>
      <c r="I247" s="153">
        <f ca="1">VLOOKUP($AB$2,'RF Mod'!$A$2:$G$12,3,FALSE)+VLOOKUP($AD$2,'RF Mod'!$I$2:$O$11,3,FALSE)+(TRUNC(6+(24-6)*(TRUNC(MOD(($Z247*1103515245 +12345)/ 65536, 32768),0)/32768),0))</f>
        <v>15</v>
      </c>
      <c r="J247" s="16" t="e">
        <f t="shared" ca="1" si="2"/>
        <v>#NAME?</v>
      </c>
      <c r="K247" s="153">
        <f ca="1">VLOOKUP($AB$2,'RF Mod'!$A$2:$G$12,3,FALSE)+VLOOKUP($AD$2,'RF Mod'!$I$2:$O$11,3,FALSE)+(TRUNC(6+(24-6)*(TRUNC(MOD(($Z247*1103515245 +12345)/ 65536, 32768),0)/32768),0))</f>
        <v>15</v>
      </c>
      <c r="L247" s="16" t="e">
        <f t="shared" ca="1" si="3"/>
        <v>#NAME?</v>
      </c>
      <c r="M247" s="153">
        <f ca="1">VLOOKUP($AB$2,'RF Mod'!$A$2:$G$12,4,FALSE)+VLOOKUP($AD$2,'RF Mod'!$I$2:$O$11,4,FALSE)+(TRUNC(6+(24-6)*(TRUNC(MOD(($Z247*1103515245 +12345)/ 65536, 32768),0)/32768),0))</f>
        <v>14</v>
      </c>
      <c r="N247" s="16" t="e">
        <f t="shared" ca="1" si="4"/>
        <v>#NAME?</v>
      </c>
      <c r="O247" s="153">
        <f ca="1">VLOOKUP($AB$2,'RF Mod'!$A$2:$G$12,5,FALSE)+VLOOKUP($AD$2,'RF Mod'!$I$2:$O$11,5,FALSE)+(TRUNC(6+(24-6)*(TRUNC(MOD(($Z247*1103515245 +12345)/ 65536, 32768),0)/32768),0))</f>
        <v>17</v>
      </c>
      <c r="P247" s="16" t="e">
        <f t="shared" ca="1" si="5"/>
        <v>#NAME?</v>
      </c>
      <c r="Q247" s="153">
        <f ca="1">VLOOKUP($AB$2,'RF Mod'!$A$2:$G$12,6,FALSE)+VLOOKUP($AD$2,'RF Mod'!$I$2:$O$11,6,FALSE)+(TRUNC(6+(24-6)*(TRUNC(MOD(($Z247*1103515245 +12345)/ 65536, 32768),0)/32768),0))</f>
        <v>15</v>
      </c>
      <c r="R247" s="16" t="e">
        <f t="shared" ca="1" si="6"/>
        <v>#NAME?</v>
      </c>
      <c r="S247" s="154">
        <f t="shared" ca="1" si="12"/>
        <v>152</v>
      </c>
      <c r="T247" s="154">
        <f t="shared" ca="1" si="7"/>
        <v>22</v>
      </c>
      <c r="U247" s="16" t="str">
        <f t="shared" ca="1" si="8"/>
        <v>Fine</v>
      </c>
      <c r="V247" s="155">
        <f ca="1">IFERROR(__xludf.DUMMYFUNCTION("if(W247=""Middle Age"",QUERY(NPCVar!$K$2:$N1000, ""Select L where K = '""&amp;AB247&amp;""'""),if(W247=""Old"",QUERY(NPCVar!$K$2:$N1000, ""Select M where K = '""&amp;AB247&amp;""'""),if(W247=""Venerable"",QUERY(NPCVar!$K$2:$N1000, ""Select N where K = '""&amp;AB247&amp;""'""),fa"&amp;"lse)))*X247"),50)</f>
        <v>50</v>
      </c>
      <c r="W247" s="156" t="str">
        <f t="array" ref="W247">INDEX(NPCAgeType,TRUNC(1+(4-1)*(TRUNC(MOD((X247*1103515245 +12345)/ 65536, 32768),0)/32768),0))</f>
        <v>Middle Age</v>
      </c>
      <c r="X247" s="117">
        <f t="shared" si="13"/>
        <v>2</v>
      </c>
      <c r="Y247" s="157" t="e">
        <f t="array" aca="1" ref="Y247" ca="1">LOOKUP(ABS(MAX(Z247 + MIN(ABS(INDIRECT("Class Jobs!B"&amp;MATCH(E247,'Class Jobs'!$A$1:$A1000,0)&amp;":"&amp;"AF"&amp;MATCH(E247,'Class Jobs'!$A$1:$A1000,0)&amp;"")-$Z247)) * SUM(IF(MIN(ABS(INDIRECT("Class Jobs!B"&amp;MATCH(E247,'Class Jobs'!$A$1:$A1000,0)&amp;":"&amp;"AF"&amp;MATCH(E247,'Class Jobs'!$A$1:$A1000,0)&amp;"")-$Z247))=ABS(INDIRECT("Class Jobs!B"&amp;MATCH(E247,'Class Jobs'!$A$1:$A1000,0)&amp;":"&amp;"AF"&amp;MATCH(E247,'Class Jobs'!$A$1:$A1000,0)&amp;"")-$Z247),SIGN(INDIRECT("Class Jobs!B"&amp;MATCH(E247,'Class Jobs'!$A$1:A1000,0)&amp;":"&amp;"AF"&amp;MATCH(E247,'Class Jobs'!$A$1:$A1000,0)&amp;"")-$Z247),0)),0)),INDIRECT("Class Jobs!B"&amp;MATCH(E247,'Class Jobs'!$A$1:$A1000,0)&amp;":"&amp;"AF"&amp;MATCH(E247,'Class Jobs'!$A$1:$A1000,1)&amp;""),'Class Jobs'!$B$1:$AF$1)</f>
        <v>#REF!</v>
      </c>
      <c r="Z247" s="158">
        <f t="shared" si="10"/>
        <v>0.79</v>
      </c>
      <c r="AA247" s="16" t="str">
        <f t="array" ref="AA247">INDEX(NPCGender,TRUNC(1+(COUNTA(NPCGender))*(TRUNC(MOD(($B247*1103515245 +12345)/ 65536, 32768),0)/32768),0))</f>
        <v>Neutral</v>
      </c>
      <c r="AB247" s="16" t="str">
        <f t="array" ref="AB247">INDEX(NPCRace,TRUNC(1+(COUNTA(NPCRace))*(TRUNC(MOD(($B247*1103515245 +12345)/ 65536, 32768),0)/32768),0))</f>
        <v>Tiefling</v>
      </c>
      <c r="AC247" s="16" t="str">
        <f t="array" ref="AC247">INDEX(NPCAL,TRUNC(1+(COUNTA(NPCAL))*(TRUNC(MOD(($B247*1103515245 +12345)/ 65536, 32768),0)/32768),0))</f>
        <v>LN</v>
      </c>
      <c r="AD247" s="72" t="str">
        <f ca="1">IFERROR(__xludf.DUMMYFUNCTION("if(V247&lt;15,QUERY(NPCVar!C:D,""Select D WHERE C = '""&amp;D247&amp;""'""),if((TRUNC(1+10)*(TRUNC(MOD((ROW(H247)*1103515245 +12345)/ 65536, 32768),0)/32768)/10) &gt; 0.85,INDEX(NPCFaction,TRUNC(1+(counta(NPCFaction)-1)*(TRUNC(MOD(($B247*1103515245 +12345)/ 65536, 3276"&amp;"8),0)/32768),0)),QUERY(NPCVar!C:D,""Select D WHERE C = '""&amp;D247&amp;""'"")))"),"Farmers Guild")</f>
        <v>Farmers Guild</v>
      </c>
      <c r="AE247" s="108" t="e">
        <f t="shared" ca="1" si="11"/>
        <v>#NAME?</v>
      </c>
      <c r="AF247" s="159">
        <f ca="1">IFERROR(__xludf.DUMMYFUNCTION("AE247*(V247 / QUERY(NPCVar!$K$2:$N$12, ""Select N WHERE K='""&amp;AB247&amp;""'""))*TRUNC(1+10)*(TRUNC(MOD(($B247*1103515245 +12345)/ 65536, 32768),0)/32768)"),2.19090270996093)</f>
        <v>2.19090270996093</v>
      </c>
      <c r="AG247" s="16"/>
      <c r="AH247" s="77"/>
      <c r="AI247" s="114"/>
    </row>
    <row r="248" spans="1:35" ht="16.2">
      <c r="A248" s="53">
        <v>247</v>
      </c>
      <c r="B248" s="118">
        <f t="shared" si="16"/>
        <v>0.54459000000000002</v>
      </c>
      <c r="C248" s="72" t="str">
        <f t="array" ref="C248">INDEX(NPCFName,TRUNC(1+(COUNTA(NPCFName))*(TRUNC(MOD(($B248*1103515245 +12345)/ 65536, 32768),0)/32768),0))</f>
        <v>Temilfist</v>
      </c>
      <c r="D248" s="16" t="str">
        <f t="array" ref="D248">INDEX(NPCLName,TRUNC(1+(COUNTA(NPCLName))*(TRUNC(MOD(($B248*1103515245 +12345)/ 65536, 32768),0)/32768),0))</f>
        <v>Commonscream</v>
      </c>
      <c r="E248" s="16" t="str">
        <f t="array" ref="E248">INDEX(NPCClass,TRUNC(1+(COUNTA(NPCClass))*(TRUNC(MOD(($B248*1103515245 +12345)/ 65536, 32768),0)/32768),0))</f>
        <v>Monk</v>
      </c>
      <c r="F248" s="76">
        <v>5</v>
      </c>
      <c r="G248" s="153">
        <f ca="1">VLOOKUP($AB$2,'RF Mod'!$A$2:$G$12,2,FALSE)+VLOOKUP($AD$2,'RF Mod'!$I$2:$O$11,2,FALSE)+(TRUNC(6+(24-6)*(TRUNC(MOD(($Z248*1103515245 +12345)/ 65536, 32768),0)/32768),0))</f>
        <v>6</v>
      </c>
      <c r="H248" s="16">
        <f t="shared" ca="1" si="1"/>
        <v>-2</v>
      </c>
      <c r="I248" s="153">
        <f ca="1">VLOOKUP($AB$2,'RF Mod'!$A$2:$G$12,3,FALSE)+VLOOKUP($AD$2,'RF Mod'!$I$2:$O$11,3,FALSE)+(TRUNC(6+(24-6)*(TRUNC(MOD(($Z248*1103515245 +12345)/ 65536, 32768),0)/32768),0))</f>
        <v>10</v>
      </c>
      <c r="J248" s="16" t="e">
        <f t="shared" ca="1" si="2"/>
        <v>#NAME?</v>
      </c>
      <c r="K248" s="153">
        <f ca="1">VLOOKUP($AB$2,'RF Mod'!$A$2:$G$12,3,FALSE)+VLOOKUP($AD$2,'RF Mod'!$I$2:$O$11,3,FALSE)+(TRUNC(6+(24-6)*(TRUNC(MOD(($Z248*1103515245 +12345)/ 65536, 32768),0)/32768),0))</f>
        <v>10</v>
      </c>
      <c r="L248" s="16" t="e">
        <f t="shared" ca="1" si="3"/>
        <v>#NAME?</v>
      </c>
      <c r="M248" s="153">
        <f ca="1">VLOOKUP($AB$2,'RF Mod'!$A$2:$G$12,4,FALSE)+VLOOKUP($AD$2,'RF Mod'!$I$2:$O$11,4,FALSE)+(TRUNC(6+(24-6)*(TRUNC(MOD(($Z248*1103515245 +12345)/ 65536, 32768),0)/32768),0))</f>
        <v>9</v>
      </c>
      <c r="N248" s="16">
        <f t="shared" ca="1" si="4"/>
        <v>-1</v>
      </c>
      <c r="O248" s="153">
        <f ca="1">VLOOKUP($AB$2,'RF Mod'!$A$2:$G$12,5,FALSE)+VLOOKUP($AD$2,'RF Mod'!$I$2:$O$11,5,FALSE)+(TRUNC(6+(24-6)*(TRUNC(MOD(($Z248*1103515245 +12345)/ 65536, 32768),0)/32768),0))</f>
        <v>12</v>
      </c>
      <c r="P248" s="16" t="e">
        <f t="shared" ca="1" si="5"/>
        <v>#NAME?</v>
      </c>
      <c r="Q248" s="153">
        <f ca="1">VLOOKUP($AB$2,'RF Mod'!$A$2:$G$12,6,FALSE)+VLOOKUP($AD$2,'RF Mod'!$I$2:$O$11,6,FALSE)+(TRUNC(6+(24-6)*(TRUNC(MOD(($Z248*1103515245 +12345)/ 65536, 32768),0)/32768),0))</f>
        <v>10</v>
      </c>
      <c r="R248" s="16" t="e">
        <f t="shared" ca="1" si="6"/>
        <v>#NAME?</v>
      </c>
      <c r="S248" s="154">
        <f t="shared" ca="1" si="12"/>
        <v>80</v>
      </c>
      <c r="T248" s="154">
        <f t="shared" ca="1" si="7"/>
        <v>16</v>
      </c>
      <c r="U248" s="16" t="str">
        <f t="shared" ca="1" si="8"/>
        <v>Fine</v>
      </c>
      <c r="V248" s="155">
        <f ca="1">IFERROR(__xludf.DUMMYFUNCTION("if(W248=""Middle Age"",QUERY(NPCVar!$K$2:$N1000, ""Select L where K = '""&amp;AB248&amp;""'""),if(W248=""Old"",QUERY(NPCVar!$K$2:$N1000, ""Select M where K = '""&amp;AB248&amp;""'""),if(W248=""Venerable"",QUERY(NPCVar!$K$2:$N1000, ""Select N where K = '""&amp;AB248&amp;""'""),fa"&amp;"lse)))*X248"),118.124999999999)</f>
        <v>118.12499999999901</v>
      </c>
      <c r="W248" s="156" t="str">
        <f t="array" ref="W248">INDEX(NPCAgeType,TRUNC(1+(4-1)*(TRUNC(MOD((X248*1103515245 +12345)/ 65536, 32768),0)/32768),0))</f>
        <v>Old</v>
      </c>
      <c r="X248" s="117">
        <f t="shared" si="13"/>
        <v>0.7</v>
      </c>
      <c r="Y248" s="157" t="e">
        <f t="array" aca="1" ref="Y248" ca="1">LOOKUP(ABS(MAX(Z248 + MIN(ABS(INDIRECT("Class Jobs!B"&amp;MATCH(E248,'Class Jobs'!$A$1:$A1000,0)&amp;":"&amp;"AF"&amp;MATCH(E248,'Class Jobs'!$A$1:$A1000,0)&amp;"")-$Z248)) * SUM(IF(MIN(ABS(INDIRECT("Class Jobs!B"&amp;MATCH(E248,'Class Jobs'!$A$1:$A1000,0)&amp;":"&amp;"AF"&amp;MATCH(E248,'Class Jobs'!$A$1:$A1000,0)&amp;"")-$Z248))=ABS(INDIRECT("Class Jobs!B"&amp;MATCH(E248,'Class Jobs'!$A$1:$A1000,0)&amp;":"&amp;"AF"&amp;MATCH(E248,'Class Jobs'!$A$1:$A1000,0)&amp;"")-$Z248),SIGN(INDIRECT("Class Jobs!B"&amp;MATCH(E248,'Class Jobs'!$A$1:A1000,0)&amp;":"&amp;"AF"&amp;MATCH(E248,'Class Jobs'!$A$1:$A1000,0)&amp;"")-$Z248),0)),0)),INDIRECT("Class Jobs!B"&amp;MATCH(E248,'Class Jobs'!$A$1:$A1000,0)&amp;":"&amp;"AF"&amp;MATCH(E248,'Class Jobs'!$A$1:$A1000,1)&amp;""),'Class Jobs'!$B$1:$AF$1)</f>
        <v>#REF!</v>
      </c>
      <c r="Z248" s="158">
        <f t="shared" si="10"/>
        <v>0.28000000000000003</v>
      </c>
      <c r="AA248" s="16" t="str">
        <f t="array" ref="AA248">INDEX(NPCGender,TRUNC(1+(COUNTA(NPCGender))*(TRUNC(MOD(($B248*1103515245 +12345)/ 65536, 32768),0)/32768),0))</f>
        <v>Male</v>
      </c>
      <c r="AB248" s="16" t="str">
        <f t="array" ref="AB248">INDEX(NPCRace,TRUNC(1+(COUNTA(NPCRace))*(TRUNC(MOD(($B248*1103515245 +12345)/ 65536, 32768),0)/32768),0))</f>
        <v>Gnome</v>
      </c>
      <c r="AC248" s="16" t="str">
        <f t="array" ref="AC248">INDEX(NPCAL,TRUNC(1+(COUNTA(NPCAL))*(TRUNC(MOD(($B248*1103515245 +12345)/ 65536, 32768),0)/32768),0))</f>
        <v>CG</v>
      </c>
      <c r="AD248" s="72" t="str">
        <f ca="1">IFERROR(__xludf.DUMMYFUNCTION("if(V248&lt;15,QUERY(NPCVar!C:D,""Select D WHERE C = '""&amp;D248&amp;""'""),if((TRUNC(1+10)*(TRUNC(MOD((ROW(H248)*1103515245 +12345)/ 65536, 32768),0)/32768)/10) &gt; 0.85,INDEX(NPCFaction,TRUNC(1+(counta(NPCFaction)-1)*(TRUNC(MOD(($B248*1103515245 +12345)/ 65536, 3276"&amp;"8),0)/32768),0)),QUERY(NPCVar!C:D,""Select D WHERE C = '""&amp;D248&amp;""'"")))"),"Necromancer")</f>
        <v>Necromancer</v>
      </c>
      <c r="AE248" s="108" t="e">
        <f t="shared" ca="1" si="11"/>
        <v>#NAME?</v>
      </c>
      <c r="AF248" s="159">
        <f ca="1">IFERROR(__xludf.DUMMYFUNCTION("AE248*(V248 / QUERY(NPCVar!$K$2:$N$12, ""Select N WHERE K='""&amp;AB248&amp;""'""))*TRUNC(1+10)*(TRUNC(MOD(($B248*1103515245 +12345)/ 65536, 32768),0)/32768)"),0.565639114379882)</f>
        <v>0.56563911437988201</v>
      </c>
      <c r="AG248" s="16"/>
      <c r="AH248" s="77"/>
      <c r="AI248" s="114"/>
    </row>
    <row r="249" spans="1:35" ht="16.2">
      <c r="A249" s="53">
        <v>248</v>
      </c>
      <c r="B249" s="118">
        <f t="shared" si="16"/>
        <v>2.0387200000000001</v>
      </c>
      <c r="C249" s="72" t="str">
        <f t="array" ref="C249">INDEX(NPCFName,TRUNC(1+(COUNTA(NPCFName))*(TRUNC(MOD(($B249*1103515245 +12345)/ 65536, 32768),0)/32768),0))</f>
        <v>Casden</v>
      </c>
      <c r="D249" s="16" t="str">
        <f t="array" ref="D249">INDEX(NPCLName,TRUNC(1+(COUNTA(NPCLName))*(TRUNC(MOD(($B249*1103515245 +12345)/ 65536, 32768),0)/32768),0))</f>
        <v>Crystalgazer</v>
      </c>
      <c r="E249" s="16" t="str">
        <f t="array" ref="E249">INDEX(NPCClass,TRUNC(1+(COUNTA(NPCClass))*(TRUNC(MOD(($B249*1103515245 +12345)/ 65536, 32768),0)/32768),0))</f>
        <v>Barbarian</v>
      </c>
      <c r="F249" s="76">
        <v>1</v>
      </c>
      <c r="G249" s="153">
        <f ca="1">VLOOKUP($AB$2,'RF Mod'!$A$2:$G$12,2,FALSE)+VLOOKUP($AD$2,'RF Mod'!$I$2:$O$11,2,FALSE)+(TRUNC(6+(24-6)*(TRUNC(MOD(($Z249*1103515245 +12345)/ 65536, 32768),0)/32768),0))</f>
        <v>4</v>
      </c>
      <c r="H249" s="16">
        <f t="shared" ca="1" si="1"/>
        <v>-3</v>
      </c>
      <c r="I249" s="153">
        <f ca="1">VLOOKUP($AB$2,'RF Mod'!$A$2:$G$12,3,FALSE)+VLOOKUP($AD$2,'RF Mod'!$I$2:$O$11,3,FALSE)+(TRUNC(6+(24-6)*(TRUNC(MOD(($Z249*1103515245 +12345)/ 65536, 32768),0)/32768),0))</f>
        <v>8</v>
      </c>
      <c r="J249" s="16">
        <f t="shared" ca="1" si="2"/>
        <v>-1</v>
      </c>
      <c r="K249" s="153">
        <f ca="1">VLOOKUP($AB$2,'RF Mod'!$A$2:$G$12,3,FALSE)+VLOOKUP($AD$2,'RF Mod'!$I$2:$O$11,3,FALSE)+(TRUNC(6+(24-6)*(TRUNC(MOD(($Z249*1103515245 +12345)/ 65536, 32768),0)/32768),0))</f>
        <v>8</v>
      </c>
      <c r="L249" s="16">
        <f t="shared" ca="1" si="3"/>
        <v>-1</v>
      </c>
      <c r="M249" s="153">
        <f ca="1">VLOOKUP($AB$2,'RF Mod'!$A$2:$G$12,4,FALSE)+VLOOKUP($AD$2,'RF Mod'!$I$2:$O$11,4,FALSE)+(TRUNC(6+(24-6)*(TRUNC(MOD(($Z249*1103515245 +12345)/ 65536, 32768),0)/32768),0))</f>
        <v>7</v>
      </c>
      <c r="N249" s="16">
        <f t="shared" ca="1" si="4"/>
        <v>-2</v>
      </c>
      <c r="O249" s="153">
        <f ca="1">VLOOKUP($AB$2,'RF Mod'!$A$2:$G$12,5,FALSE)+VLOOKUP($AD$2,'RF Mod'!$I$2:$O$11,5,FALSE)+(TRUNC(6+(24-6)*(TRUNC(MOD(($Z249*1103515245 +12345)/ 65536, 32768),0)/32768),0))</f>
        <v>10</v>
      </c>
      <c r="P249" s="16" t="e">
        <f t="shared" ca="1" si="5"/>
        <v>#NAME?</v>
      </c>
      <c r="Q249" s="153">
        <f ca="1">VLOOKUP($AB$2,'RF Mod'!$A$2:$G$12,6,FALSE)+VLOOKUP($AD$2,'RF Mod'!$I$2:$O$11,6,FALSE)+(TRUNC(6+(24-6)*(TRUNC(MOD(($Z249*1103515245 +12345)/ 65536, 32768),0)/32768),0))</f>
        <v>8</v>
      </c>
      <c r="R249" s="16">
        <f t="shared" ca="1" si="6"/>
        <v>-1</v>
      </c>
      <c r="S249" s="154">
        <f t="shared" ca="1" si="12"/>
        <v>10</v>
      </c>
      <c r="T249" s="154">
        <f t="shared" ca="1" si="7"/>
        <v>6</v>
      </c>
      <c r="U249" s="16" t="str">
        <f t="shared" ca="1" si="8"/>
        <v>Bloody</v>
      </c>
      <c r="V249" s="155">
        <f ca="1">IFERROR(__xludf.DUMMYFUNCTION("if(W249=""Middle Age"",QUERY(NPCVar!$K$2:$N1000, ""Select L where K = '""&amp;AB249&amp;""'""),if(W249=""Old"",QUERY(NPCVar!$K$2:$N1000, ""Select M where K = '""&amp;AB249&amp;""'""),if(W249=""Venerable"",QUERY(NPCVar!$K$2:$N1000, ""Select N where K = '""&amp;AB249&amp;""'""),fa"&amp;"lse)))*X249"),4)</f>
        <v>4</v>
      </c>
      <c r="W249" s="156" t="str">
        <f t="array" ref="W249">INDEX(NPCAgeType,TRUNC(1+(4-1)*(TRUNC(MOD((X249*1103515245 +12345)/ 65536, 32768),0)/32768),0))</f>
        <v>Middle Age</v>
      </c>
      <c r="X249" s="117">
        <f t="shared" si="13"/>
        <v>0.2</v>
      </c>
      <c r="Y249" s="157" t="e">
        <f t="array" aca="1" ref="Y249" ca="1">LOOKUP(ABS(MAX(Z249 + MIN(ABS(INDIRECT("Class Jobs!B"&amp;MATCH(E249,'Class Jobs'!$A$1:$A1000,0)&amp;":"&amp;"AF"&amp;MATCH(E249,'Class Jobs'!$A$1:$A1000,0)&amp;"")-$Z249)) * SUM(IF(MIN(ABS(INDIRECT("Class Jobs!B"&amp;MATCH(E249,'Class Jobs'!$A$1:$A1000,0)&amp;":"&amp;"AF"&amp;MATCH(E249,'Class Jobs'!$A$1:$A1000,0)&amp;"")-$Z249))=ABS(INDIRECT("Class Jobs!B"&amp;MATCH(E249,'Class Jobs'!$A$1:$A1000,0)&amp;":"&amp;"AF"&amp;MATCH(E249,'Class Jobs'!$A$1:$A1000,0)&amp;"")-$Z249),SIGN(INDIRECT("Class Jobs!B"&amp;MATCH(E249,'Class Jobs'!$A$1:A1000,0)&amp;":"&amp;"AF"&amp;MATCH(E249,'Class Jobs'!$A$1:$A1000,0)&amp;"")-$Z249),0)),0)),INDIRECT("Class Jobs!B"&amp;MATCH(E249,'Class Jobs'!$A$1:$A1000,0)&amp;":"&amp;"AF"&amp;MATCH(E249,'Class Jobs'!$A$1:$A1000,1)&amp;""),'Class Jobs'!$B$1:$AF$1)</f>
        <v>#REF!</v>
      </c>
      <c r="Z249" s="158">
        <f t="shared" si="10"/>
        <v>0.05</v>
      </c>
      <c r="AA249" s="16" t="str">
        <f t="array" ref="AA249">INDEX(NPCGender,TRUNC(1+(COUNTA(NPCGender))*(TRUNC(MOD(($B249*1103515245 +12345)/ 65536, 32768),0)/32768),0))</f>
        <v>Male</v>
      </c>
      <c r="AB249" s="16" t="str">
        <f t="array" ref="AB249">INDEX(NPCRace,TRUNC(1+(COUNTA(NPCRace))*(TRUNC(MOD(($B249*1103515245 +12345)/ 65536, 32768),0)/32768),0))</f>
        <v>Dragonborn</v>
      </c>
      <c r="AC249" s="16" t="str">
        <f t="array" ref="AC249">INDEX(NPCAL,TRUNC(1+(COUNTA(NPCAL))*(TRUNC(MOD(($B249*1103515245 +12345)/ 65536, 32768),0)/32768),0))</f>
        <v>CN</v>
      </c>
      <c r="AD249" s="72" t="str">
        <f ca="1">IFERROR(__xludf.DUMMYFUNCTION("if(V249&lt;15,QUERY(NPCVar!C:D,""Select D WHERE C = '""&amp;D249&amp;""'""),if((TRUNC(1+10)*(TRUNC(MOD((ROW(H249)*1103515245 +12345)/ 65536, 32768),0)/32768)/10) &gt; 0.85,INDEX(NPCFaction,TRUNC(1+(counta(NPCFaction)-1)*(TRUNC(MOD(($B249*1103515245 +12345)/ 65536, 3276"&amp;"8),0)/32768),0)),QUERY(NPCVar!C:D,""Select D WHERE C = '""&amp;D249&amp;""'"")))"),"Death Guild")</f>
        <v>Death Guild</v>
      </c>
      <c r="AE249" s="108" t="e">
        <f t="shared" ca="1" si="11"/>
        <v>#NAME?</v>
      </c>
      <c r="AF249" s="159">
        <f ca="1">IFERROR(__xludf.DUMMYFUNCTION("AE249*(V249 / QUERY(NPCVar!$K$2:$N$12, ""Select N WHERE K='""&amp;AB249&amp;""'""))*TRUNC(1+10)*(TRUNC(MOD(($B249*1103515245 +12345)/ 65536, 32768),0)/32768)"),0.002618408203125)</f>
        <v>2.6184082031249999E-3</v>
      </c>
      <c r="AG249" s="16"/>
      <c r="AH249" s="77"/>
      <c r="AI249" s="114"/>
    </row>
    <row r="250" spans="1:35" ht="16.2">
      <c r="A250" s="53">
        <v>249</v>
      </c>
      <c r="B250" s="118">
        <f t="shared" si="16"/>
        <v>1.03287</v>
      </c>
      <c r="C250" s="72" t="str">
        <f t="array" ref="C250">INDEX(NPCFName,TRUNC(1+(COUNTA(NPCFName))*(TRUNC(MOD(($B250*1103515245 +12345)/ 65536, 32768),0)/32768),0))</f>
        <v>Modum</v>
      </c>
      <c r="D250" s="16" t="str">
        <f t="array" ref="D250">INDEX(NPCLName,TRUNC(1+(COUNTA(NPCLName))*(TRUNC(MOD(($B250*1103515245 +12345)/ 65536, 32768),0)/32768),0))</f>
        <v>Staghammer</v>
      </c>
      <c r="E250" s="16" t="str">
        <f t="array" ref="E250">INDEX(NPCClass,TRUNC(1+(COUNTA(NPCClass))*(TRUNC(MOD(($B250*1103515245 +12345)/ 65536, 32768),0)/32768),0))</f>
        <v>Sorcerer</v>
      </c>
      <c r="F250" s="76">
        <v>8</v>
      </c>
      <c r="G250" s="153">
        <f ca="1">VLOOKUP($AB$2,'RF Mod'!$A$2:$G$12,2,FALSE)+VLOOKUP($AD$2,'RF Mod'!$I$2:$O$11,2,FALSE)+(TRUNC(6+(24-6)*(TRUNC(MOD(($Z250*1103515245 +12345)/ 65536, 32768),0)/32768),0))</f>
        <v>8</v>
      </c>
      <c r="H250" s="16">
        <f t="shared" ca="1" si="1"/>
        <v>-1</v>
      </c>
      <c r="I250" s="153">
        <f ca="1">VLOOKUP($AB$2,'RF Mod'!$A$2:$G$12,3,FALSE)+VLOOKUP($AD$2,'RF Mod'!$I$2:$O$11,3,FALSE)+(TRUNC(6+(24-6)*(TRUNC(MOD(($Z250*1103515245 +12345)/ 65536, 32768),0)/32768),0))</f>
        <v>12</v>
      </c>
      <c r="J250" s="16" t="e">
        <f t="shared" ca="1" si="2"/>
        <v>#NAME?</v>
      </c>
      <c r="K250" s="153">
        <f ca="1">VLOOKUP($AB$2,'RF Mod'!$A$2:$G$12,3,FALSE)+VLOOKUP($AD$2,'RF Mod'!$I$2:$O$11,3,FALSE)+(TRUNC(6+(24-6)*(TRUNC(MOD(($Z250*1103515245 +12345)/ 65536, 32768),0)/32768),0))</f>
        <v>12</v>
      </c>
      <c r="L250" s="16" t="e">
        <f t="shared" ca="1" si="3"/>
        <v>#NAME?</v>
      </c>
      <c r="M250" s="153">
        <f ca="1">VLOOKUP($AB$2,'RF Mod'!$A$2:$G$12,4,FALSE)+VLOOKUP($AD$2,'RF Mod'!$I$2:$O$11,4,FALSE)+(TRUNC(6+(24-6)*(TRUNC(MOD(($Z250*1103515245 +12345)/ 65536, 32768),0)/32768),0))</f>
        <v>11</v>
      </c>
      <c r="N250" s="16" t="e">
        <f t="shared" ca="1" si="4"/>
        <v>#NAME?</v>
      </c>
      <c r="O250" s="153">
        <f ca="1">VLOOKUP($AB$2,'RF Mod'!$A$2:$G$12,5,FALSE)+VLOOKUP($AD$2,'RF Mod'!$I$2:$O$11,5,FALSE)+(TRUNC(6+(24-6)*(TRUNC(MOD(($Z250*1103515245 +12345)/ 65536, 32768),0)/32768),0))</f>
        <v>14</v>
      </c>
      <c r="P250" s="16" t="e">
        <f t="shared" ca="1" si="5"/>
        <v>#NAME?</v>
      </c>
      <c r="Q250" s="153">
        <f ca="1">VLOOKUP($AB$2,'RF Mod'!$A$2:$G$12,6,FALSE)+VLOOKUP($AD$2,'RF Mod'!$I$2:$O$11,6,FALSE)+(TRUNC(6+(24-6)*(TRUNC(MOD(($Z250*1103515245 +12345)/ 65536, 32768),0)/32768),0))</f>
        <v>12</v>
      </c>
      <c r="R250" s="16" t="e">
        <f t="shared" ca="1" si="6"/>
        <v>#NAME?</v>
      </c>
      <c r="S250" s="154">
        <f t="shared" ca="1" si="12"/>
        <v>240</v>
      </c>
      <c r="T250" s="154">
        <f t="shared" ca="1" si="7"/>
        <v>190</v>
      </c>
      <c r="U250" s="16" t="str">
        <f t="shared" ca="1" si="8"/>
        <v>Bloody</v>
      </c>
      <c r="V250" s="155">
        <f ca="1">IFERROR(__xludf.DUMMYFUNCTION("if(W250=""Middle Age"",QUERY(NPCVar!$K$2:$N1000, ""Select L where K = '""&amp;AB250&amp;""'""),if(W250=""Old"",QUERY(NPCVar!$K$2:$N1000, ""Select M where K = '""&amp;AB250&amp;""'""),if(W250=""Venerable"",QUERY(NPCVar!$K$2:$N1000, ""Select N where K = '""&amp;AB250&amp;""'""),fa"&amp;"lse)))*X250"),91)</f>
        <v>91</v>
      </c>
      <c r="W250" s="156" t="str">
        <f t="array" ref="W250">INDEX(NPCAgeType,TRUNC(1+(4-1)*(TRUNC(MOD((X250*1103515245 +12345)/ 65536, 32768),0)/32768),0))</f>
        <v>Venerable</v>
      </c>
      <c r="X250" s="117">
        <f t="shared" si="13"/>
        <v>1.3</v>
      </c>
      <c r="Y250" s="157" t="e">
        <f t="array" aca="1" ref="Y250" ca="1">LOOKUP(ABS(MAX(Z250 + MIN(ABS(INDIRECT("Class Jobs!B"&amp;MATCH(E250,'Class Jobs'!$A$1:$A1000,0)&amp;":"&amp;"AF"&amp;MATCH(E250,'Class Jobs'!$A$1:$A1000,0)&amp;"")-$Z250)) * SUM(IF(MIN(ABS(INDIRECT("Class Jobs!B"&amp;MATCH(E250,'Class Jobs'!$A$1:$A1000,0)&amp;":"&amp;"AF"&amp;MATCH(E250,'Class Jobs'!$A$1:$A1000,0)&amp;"")-$Z250))=ABS(INDIRECT("Class Jobs!B"&amp;MATCH(E250,'Class Jobs'!$A$1:$A1000,0)&amp;":"&amp;"AF"&amp;MATCH(E250,'Class Jobs'!$A$1:$A1000,0)&amp;"")-$Z250),SIGN(INDIRECT("Class Jobs!B"&amp;MATCH(E250,'Class Jobs'!$A$1:A1000,0)&amp;":"&amp;"AF"&amp;MATCH(E250,'Class Jobs'!$A$1:$A1000,0)&amp;"")-$Z250),0)),0)),INDIRECT("Class Jobs!B"&amp;MATCH(E250,'Class Jobs'!$A$1:$A1000,0)&amp;":"&amp;"AF"&amp;MATCH(E250,'Class Jobs'!$A$1:$A1000,1)&amp;""),'Class Jobs'!$B$1:$AF$1)</f>
        <v>#REF!</v>
      </c>
      <c r="Z250" s="158">
        <f t="shared" si="10"/>
        <v>0.53</v>
      </c>
      <c r="AA250" s="16" t="str">
        <f t="array" ref="AA250">INDEX(NPCGender,TRUNC(1+(COUNTA(NPCGender))*(TRUNC(MOD(($B250*1103515245 +12345)/ 65536, 32768),0)/32768),0))</f>
        <v>Female</v>
      </c>
      <c r="AB250" s="16" t="str">
        <f t="array" ref="AB250">INDEX(NPCRace,TRUNC(1+(COUNTA(NPCRace))*(TRUNC(MOD(($B250*1103515245 +12345)/ 65536, 32768),0)/32768),0))</f>
        <v>Half-Orc</v>
      </c>
      <c r="AC250" s="16" t="str">
        <f t="array" ref="AC250">INDEX(NPCAL,TRUNC(1+(COUNTA(NPCAL))*(TRUNC(MOD(($B250*1103515245 +12345)/ 65536, 32768),0)/32768),0))</f>
        <v>NN</v>
      </c>
      <c r="AD250" s="72" t="str">
        <f ca="1">IFERROR(__xludf.DUMMYFUNCTION("if(V250&lt;15,QUERY(NPCVar!C:D,""Select D WHERE C = '""&amp;D250&amp;""'""),if((TRUNC(1+10)*(TRUNC(MOD((ROW(H250)*1103515245 +12345)/ 65536, 32768),0)/32768)/10) &gt; 0.85,INDEX(NPCFaction,TRUNC(1+(counta(NPCFaction)-1)*(TRUNC(MOD(($B250*1103515245 +12345)/ 65536, 3276"&amp;"8),0)/32768),0)),QUERY(NPCVar!C:D,""Select D WHERE C = '""&amp;D250&amp;""'"")))"),"Farmers Guild")</f>
        <v>Farmers Guild</v>
      </c>
      <c r="AE250" s="108" t="e">
        <f t="shared" ca="1" si="11"/>
        <v>#NAME?</v>
      </c>
      <c r="AF250" s="159">
        <f ca="1">IFERROR(__xludf.DUMMYFUNCTION("AE250*(V250 / QUERY(NPCVar!$K$2:$N$12, ""Select N WHERE K='""&amp;AB250&amp;""'""))*TRUNC(1+10)*(TRUNC(MOD(($B250*1103515245 +12345)/ 65536, 32768),0)/32768)"),7.58945617675781)</f>
        <v>7.5894561767578104</v>
      </c>
      <c r="AG250" s="16"/>
      <c r="AH250" s="77"/>
      <c r="AI250" s="114"/>
    </row>
    <row r="251" spans="1:35" ht="16.2">
      <c r="A251" s="53">
        <v>250</v>
      </c>
      <c r="B251" s="118">
        <f t="shared" si="16"/>
        <v>2.7009999999999999E-2</v>
      </c>
      <c r="C251" s="72" t="str">
        <f t="array" ref="C251">INDEX(NPCFName,TRUNC(1+(COUNTA(NPCFName))*(TRUNC(MOD(($B251*1103515245 +12345)/ 65536, 32768),0)/32768),0))</f>
        <v>Amitel</v>
      </c>
      <c r="D251" s="16" t="str">
        <f t="array" ref="D251">INDEX(NPCLName,TRUNC(1+(COUNTA(NPCLName))*(TRUNC(MOD(($B251*1103515245 +12345)/ 65536, 32768),0)/32768),0))</f>
        <v>Stagfang</v>
      </c>
      <c r="E251" s="16" t="str">
        <f t="array" ref="E251">INDEX(NPCClass,TRUNC(1+(COUNTA(NPCClass))*(TRUNC(MOD(($B251*1103515245 +12345)/ 65536, 32768),0)/32768),0))</f>
        <v>Barbarian</v>
      </c>
      <c r="F251" s="76">
        <v>1</v>
      </c>
      <c r="G251" s="153">
        <f ca="1">VLOOKUP($AB$2,'RF Mod'!$A$2:$G$12,2,FALSE)+VLOOKUP($AD$2,'RF Mod'!$I$2:$O$11,2,FALSE)+(TRUNC(6+(24-6)*(TRUNC(MOD(($Z251*1103515245 +12345)/ 65536, 32768),0)/32768),0))</f>
        <v>4</v>
      </c>
      <c r="H251" s="16">
        <f t="shared" ca="1" si="1"/>
        <v>-3</v>
      </c>
      <c r="I251" s="153">
        <f ca="1">VLOOKUP($AB$2,'RF Mod'!$A$2:$G$12,3,FALSE)+VLOOKUP($AD$2,'RF Mod'!$I$2:$O$11,3,FALSE)+(TRUNC(6+(24-6)*(TRUNC(MOD(($Z251*1103515245 +12345)/ 65536, 32768),0)/32768),0))</f>
        <v>8</v>
      </c>
      <c r="J251" s="16">
        <f t="shared" ca="1" si="2"/>
        <v>-1</v>
      </c>
      <c r="K251" s="153">
        <f ca="1">VLOOKUP($AB$2,'RF Mod'!$A$2:$G$12,3,FALSE)+VLOOKUP($AD$2,'RF Mod'!$I$2:$O$11,3,FALSE)+(TRUNC(6+(24-6)*(TRUNC(MOD(($Z251*1103515245 +12345)/ 65536, 32768),0)/32768),0))</f>
        <v>8</v>
      </c>
      <c r="L251" s="16">
        <f t="shared" ca="1" si="3"/>
        <v>-1</v>
      </c>
      <c r="M251" s="153">
        <f ca="1">VLOOKUP($AB$2,'RF Mod'!$A$2:$G$12,4,FALSE)+VLOOKUP($AD$2,'RF Mod'!$I$2:$O$11,4,FALSE)+(TRUNC(6+(24-6)*(TRUNC(MOD(($Z251*1103515245 +12345)/ 65536, 32768),0)/32768),0))</f>
        <v>7</v>
      </c>
      <c r="N251" s="16">
        <f t="shared" ca="1" si="4"/>
        <v>-2</v>
      </c>
      <c r="O251" s="153">
        <f ca="1">VLOOKUP($AB$2,'RF Mod'!$A$2:$G$12,5,FALSE)+VLOOKUP($AD$2,'RF Mod'!$I$2:$O$11,5,FALSE)+(TRUNC(6+(24-6)*(TRUNC(MOD(($Z251*1103515245 +12345)/ 65536, 32768),0)/32768),0))</f>
        <v>10</v>
      </c>
      <c r="P251" s="16" t="e">
        <f t="shared" ca="1" si="5"/>
        <v>#NAME?</v>
      </c>
      <c r="Q251" s="153">
        <f ca="1">VLOOKUP($AB$2,'RF Mod'!$A$2:$G$12,6,FALSE)+VLOOKUP($AD$2,'RF Mod'!$I$2:$O$11,6,FALSE)+(TRUNC(6+(24-6)*(TRUNC(MOD(($Z251*1103515245 +12345)/ 65536, 32768),0)/32768),0))</f>
        <v>8</v>
      </c>
      <c r="R251" s="16">
        <f t="shared" ca="1" si="6"/>
        <v>-1</v>
      </c>
      <c r="S251" s="154">
        <f t="shared" ca="1" si="12"/>
        <v>10</v>
      </c>
      <c r="T251" s="154">
        <f t="shared" ca="1" si="7"/>
        <v>2</v>
      </c>
      <c r="U251" s="16" t="str">
        <f t="shared" ca="1" si="8"/>
        <v>Fine</v>
      </c>
      <c r="V251" s="155">
        <f ca="1">IFERROR(__xludf.DUMMYFUNCTION("if(W251=""Middle Age"",QUERY(NPCVar!$K$2:$N1000, ""Select L where K = '""&amp;AB251&amp;""'""),if(W251=""Old"",QUERY(NPCVar!$K$2:$N1000, ""Select M where K = '""&amp;AB251&amp;""'""),if(W251=""Venerable"",QUERY(NPCVar!$K$2:$N1000, ""Select N where K = '""&amp;AB251&amp;""'""),fa"&amp;"lse)))*X251"),2)</f>
        <v>2</v>
      </c>
      <c r="W251" s="156" t="str">
        <f t="array" ref="W251">INDEX(NPCAgeType,TRUNC(1+(4-1)*(TRUNC(MOD((X251*1103515245 +12345)/ 65536, 32768),0)/32768),0))</f>
        <v>Middle Age</v>
      </c>
      <c r="X251" s="117">
        <f t="shared" si="13"/>
        <v>0.1</v>
      </c>
      <c r="Y251" s="157" t="e">
        <f t="array" aca="1" ref="Y251" ca="1">LOOKUP(ABS(MAX(Z251 + MIN(ABS(INDIRECT("Class Jobs!B"&amp;MATCH(E251,'Class Jobs'!$A$1:$A1000,0)&amp;":"&amp;"AF"&amp;MATCH(E251,'Class Jobs'!$A$1:$A1000,0)&amp;"")-$Z251)) * SUM(IF(MIN(ABS(INDIRECT("Class Jobs!B"&amp;MATCH(E251,'Class Jobs'!$A$1:$A1000,0)&amp;":"&amp;"AF"&amp;MATCH(E251,'Class Jobs'!$A$1:$A1000,0)&amp;"")-$Z251))=ABS(INDIRECT("Class Jobs!B"&amp;MATCH(E251,'Class Jobs'!$A$1:$A1000,0)&amp;":"&amp;"AF"&amp;MATCH(E251,'Class Jobs'!$A$1:$A1000,0)&amp;"")-$Z251),SIGN(INDIRECT("Class Jobs!B"&amp;MATCH(E251,'Class Jobs'!$A$1:A1000,0)&amp;":"&amp;"AF"&amp;MATCH(E251,'Class Jobs'!$A$1:$A1000,0)&amp;"")-$Z251),0)),0)),INDIRECT("Class Jobs!B"&amp;MATCH(E251,'Class Jobs'!$A$1:$A1000,0)&amp;":"&amp;"AF"&amp;MATCH(E251,'Class Jobs'!$A$1:$A1000,1)&amp;""),'Class Jobs'!$B$1:$AF$1)</f>
        <v>#REF!</v>
      </c>
      <c r="Z251" s="158">
        <f t="shared" si="10"/>
        <v>0.02</v>
      </c>
      <c r="AA251" s="16" t="str">
        <f t="array" ref="AA251">INDEX(NPCGender,TRUNC(1+(COUNTA(NPCGender))*(TRUNC(MOD(($B251*1103515245 +12345)/ 65536, 32768),0)/32768),0))</f>
        <v>Male</v>
      </c>
      <c r="AB251" s="16" t="str">
        <f t="array" ref="AB251">INDEX(NPCRace,TRUNC(1+(COUNTA(NPCRace))*(TRUNC(MOD(($B251*1103515245 +12345)/ 65536, 32768),0)/32768),0))</f>
        <v>Dragonborn</v>
      </c>
      <c r="AC251" s="16" t="str">
        <f t="array" ref="AC251">INDEX(NPCAL,TRUNC(1+(COUNTA(NPCAL))*(TRUNC(MOD(($B251*1103515245 +12345)/ 65536, 32768),0)/32768),0))</f>
        <v>CN</v>
      </c>
      <c r="AD251" s="72" t="str">
        <f ca="1">IFERROR(__xludf.DUMMYFUNCTION("if(V251&lt;15,QUERY(NPCVar!C:D,""Select D WHERE C = '""&amp;D251&amp;""'""),if((TRUNC(1+10)*(TRUNC(MOD((ROW(H251)*1103515245 +12345)/ 65536, 32768),0)/32768)/10) &gt; 0.85,INDEX(NPCFaction,TRUNC(1+(counta(NPCFaction)-1)*(TRUNC(MOD(($B251*1103515245 +12345)/ 65536, 3276"&amp;"8),0)/32768),0)),QUERY(NPCVar!C:D,""Select D WHERE C = '""&amp;D251&amp;""'"")))"),"Royalty")</f>
        <v>Royalty</v>
      </c>
      <c r="AE251" s="108" t="e">
        <f t="shared" ca="1" si="11"/>
        <v>#NAME?</v>
      </c>
      <c r="AF251" s="159">
        <f ca="1">IFERROR(__xludf.DUMMYFUNCTION("AE251*(V251 / QUERY(NPCVar!$K$2:$N$12, ""Select N WHERE K='""&amp;AB251&amp;""'""))*TRUNC(1+10)*(TRUNC(MOD(($B251*1103515245 +12345)/ 65536, 32768),0)/32768)"),0.00076202392578125)</f>
        <v>7.6202392578124997E-4</v>
      </c>
      <c r="AG251" s="16"/>
      <c r="AH251" s="77"/>
      <c r="AI251" s="114"/>
    </row>
    <row r="252" spans="1:35" ht="16.2">
      <c r="A252" s="53">
        <v>251</v>
      </c>
      <c r="B252" s="118">
        <f t="shared" si="16"/>
        <v>1.5210699999999999</v>
      </c>
      <c r="C252" s="72" t="str">
        <f t="array" ref="C252">INDEX(NPCFName,TRUNC(1+(COUNTA(NPCFName))*(TRUNC(MOD(($B252*1103515245 +12345)/ 65536, 32768),0)/32768),0))</f>
        <v>Gauthus</v>
      </c>
      <c r="D252" s="16" t="str">
        <f t="array" ref="D252">INDEX(NPCLName,TRUNC(1+(COUNTA(NPCLName))*(TRUNC(MOD(($B252*1103515245 +12345)/ 65536, 32768),0)/32768),0))</f>
        <v>Truthdoom</v>
      </c>
      <c r="E252" s="16" t="str">
        <f t="array" ref="E252">INDEX(NPCClass,TRUNC(1+(COUNTA(NPCClass))*(TRUNC(MOD(($B252*1103515245 +12345)/ 65536, 32768),0)/32768),0))</f>
        <v>Cleric</v>
      </c>
      <c r="F252" s="76">
        <v>8</v>
      </c>
      <c r="G252" s="153">
        <f ca="1">VLOOKUP($AB$2,'RF Mod'!$A$2:$G$12,2,FALSE)+VLOOKUP($AD$2,'RF Mod'!$I$2:$O$11,2,FALSE)+(TRUNC(6+(24-6)*(TRUNC(MOD(($Z252*1103515245 +12345)/ 65536, 32768),0)/32768),0))</f>
        <v>11</v>
      </c>
      <c r="H252" s="16" t="e">
        <f t="shared" ca="1" si="1"/>
        <v>#NAME?</v>
      </c>
      <c r="I252" s="153">
        <f ca="1">VLOOKUP($AB$2,'RF Mod'!$A$2:$G$12,3,FALSE)+VLOOKUP($AD$2,'RF Mod'!$I$2:$O$11,3,FALSE)+(TRUNC(6+(24-6)*(TRUNC(MOD(($Z252*1103515245 +12345)/ 65536, 32768),0)/32768),0))</f>
        <v>15</v>
      </c>
      <c r="J252" s="16" t="e">
        <f t="shared" ca="1" si="2"/>
        <v>#NAME?</v>
      </c>
      <c r="K252" s="153">
        <f ca="1">VLOOKUP($AB$2,'RF Mod'!$A$2:$G$12,3,FALSE)+VLOOKUP($AD$2,'RF Mod'!$I$2:$O$11,3,FALSE)+(TRUNC(6+(24-6)*(TRUNC(MOD(($Z252*1103515245 +12345)/ 65536, 32768),0)/32768),0))</f>
        <v>15</v>
      </c>
      <c r="L252" s="16" t="e">
        <f t="shared" ca="1" si="3"/>
        <v>#NAME?</v>
      </c>
      <c r="M252" s="153">
        <f ca="1">VLOOKUP($AB$2,'RF Mod'!$A$2:$G$12,4,FALSE)+VLOOKUP($AD$2,'RF Mod'!$I$2:$O$11,4,FALSE)+(TRUNC(6+(24-6)*(TRUNC(MOD(($Z252*1103515245 +12345)/ 65536, 32768),0)/32768),0))</f>
        <v>14</v>
      </c>
      <c r="N252" s="16" t="e">
        <f t="shared" ca="1" si="4"/>
        <v>#NAME?</v>
      </c>
      <c r="O252" s="153">
        <f ca="1">VLOOKUP($AB$2,'RF Mod'!$A$2:$G$12,5,FALSE)+VLOOKUP($AD$2,'RF Mod'!$I$2:$O$11,5,FALSE)+(TRUNC(6+(24-6)*(TRUNC(MOD(($Z252*1103515245 +12345)/ 65536, 32768),0)/32768),0))</f>
        <v>17</v>
      </c>
      <c r="P252" s="16" t="e">
        <f t="shared" ca="1" si="5"/>
        <v>#NAME?</v>
      </c>
      <c r="Q252" s="153">
        <f ca="1">VLOOKUP($AB$2,'RF Mod'!$A$2:$G$12,6,FALSE)+VLOOKUP($AD$2,'RF Mod'!$I$2:$O$11,6,FALSE)+(TRUNC(6+(24-6)*(TRUNC(MOD(($Z252*1103515245 +12345)/ 65536, 32768),0)/32768),0))</f>
        <v>15</v>
      </c>
      <c r="R252" s="16" t="e">
        <f t="shared" ca="1" si="6"/>
        <v>#NAME?</v>
      </c>
      <c r="S252" s="154">
        <f t="shared" ca="1" si="12"/>
        <v>184</v>
      </c>
      <c r="T252" s="154">
        <f t="shared" ca="1" si="7"/>
        <v>159</v>
      </c>
      <c r="U252" s="16" t="str">
        <f t="shared" ca="1" si="8"/>
        <v>Bloody</v>
      </c>
      <c r="V252" s="155">
        <f ca="1">IFERROR(__xludf.DUMMYFUNCTION("if(W252=""Middle Age"",QUERY(NPCVar!$K$2:$N1000, ""Select L where K = '""&amp;AB252&amp;""'""),if(W252=""Old"",QUERY(NPCVar!$K$2:$N1000, ""Select M where K = '""&amp;AB252&amp;""'""),if(W252=""Venerable"",QUERY(NPCVar!$K$2:$N1000, ""Select N where K = '""&amp;AB252&amp;""'""),fa"&amp;"lse)))*X252"),190)</f>
        <v>190</v>
      </c>
      <c r="W252" s="156" t="str">
        <f t="array" ref="W252">INDEX(NPCAgeType,TRUNC(1+(4-1)*(TRUNC(MOD((X252*1103515245 +12345)/ 65536, 32768),0)/32768),0))</f>
        <v>Venerable</v>
      </c>
      <c r="X252" s="117">
        <f t="shared" si="13"/>
        <v>1.9</v>
      </c>
      <c r="Y252" s="157" t="e">
        <f t="array" aca="1" ref="Y252" ca="1">LOOKUP(ABS(MAX(Z252 + MIN(ABS(INDIRECT("Class Jobs!B"&amp;MATCH(E252,'Class Jobs'!$A$1:$A1000,0)&amp;":"&amp;"AF"&amp;MATCH(E252,'Class Jobs'!$A$1:$A1000,0)&amp;"")-$Z252)) * SUM(IF(MIN(ABS(INDIRECT("Class Jobs!B"&amp;MATCH(E252,'Class Jobs'!$A$1:$A1000,0)&amp;":"&amp;"AF"&amp;MATCH(E252,'Class Jobs'!$A$1:$A1000,0)&amp;"")-$Z252))=ABS(INDIRECT("Class Jobs!B"&amp;MATCH(E252,'Class Jobs'!$A$1:$A1000,0)&amp;":"&amp;"AF"&amp;MATCH(E252,'Class Jobs'!$A$1:$A1000,0)&amp;"")-$Z252),SIGN(INDIRECT("Class Jobs!B"&amp;MATCH(E252,'Class Jobs'!$A$1:A1000,0)&amp;":"&amp;"AF"&amp;MATCH(E252,'Class Jobs'!$A$1:$A1000,0)&amp;"")-$Z252),0)),0)),INDIRECT("Class Jobs!B"&amp;MATCH(E252,'Class Jobs'!$A$1:$A1000,0)&amp;":"&amp;"AF"&amp;MATCH(E252,'Class Jobs'!$A$1:$A1000,1)&amp;""),'Class Jobs'!$B$1:$AF$1)</f>
        <v>#REF!</v>
      </c>
      <c r="Z252" s="158">
        <f t="shared" si="10"/>
        <v>0.78</v>
      </c>
      <c r="AA252" s="16" t="str">
        <f t="array" ref="AA252">INDEX(NPCGender,TRUNC(1+(COUNTA(NPCGender))*(TRUNC(MOD(($B252*1103515245 +12345)/ 65536, 32768),0)/32768),0))</f>
        <v>Neutral</v>
      </c>
      <c r="AB252" s="16" t="str">
        <f t="array" ref="AB252">INDEX(NPCRace,TRUNC(1+(COUNTA(NPCRace))*(TRUNC(MOD(($B252*1103515245 +12345)/ 65536, 32768),0)/32768),0))</f>
        <v>Tiefling</v>
      </c>
      <c r="AC252" s="16" t="str">
        <f t="array" ref="AC252">INDEX(NPCAL,TRUNC(1+(COUNTA(NPCAL))*(TRUNC(MOD(($B252*1103515245 +12345)/ 65536, 32768),0)/32768),0))</f>
        <v>LN</v>
      </c>
      <c r="AD252" s="72" t="str">
        <f ca="1">IFERROR(__xludf.DUMMYFUNCTION("if(V252&lt;15,QUERY(NPCVar!C:D,""Select D WHERE C = '""&amp;D252&amp;""'""),if((TRUNC(1+10)*(TRUNC(MOD((ROW(H252)*1103515245 +12345)/ 65536, 32768),0)/32768)/10) &gt; 0.85,INDEX(NPCFaction,TRUNC(1+(counta(NPCFaction)-1)*(TRUNC(MOD(($B252*1103515245 +12345)/ 65536, 3276"&amp;"8),0)/32768),0)),QUERY(NPCVar!C:D,""Select D WHERE C = '""&amp;D252&amp;""'"")))"),"Traverlers Guild")</f>
        <v>Traverlers Guild</v>
      </c>
      <c r="AE252" s="108" t="e">
        <f t="shared" ca="1" si="11"/>
        <v>#NAME?</v>
      </c>
      <c r="AF252" s="159">
        <f ca="1">IFERROR(__xludf.DUMMYFUNCTION("AE252*(V252 / QUERY(NPCVar!$K$2:$N$12, ""Select N WHERE K='""&amp;AB252&amp;""'""))*TRUNC(1+10)*(TRUNC(MOD(($B252*1103515245 +12345)/ 65536, 32768),0)/32768)"),16.3357788085937)</f>
        <v>16.335778808593702</v>
      </c>
      <c r="AG252" s="16"/>
      <c r="AH252" s="77"/>
      <c r="AI252" s="114"/>
    </row>
    <row r="253" spans="1:35" ht="16.2">
      <c r="A253" s="53">
        <v>252</v>
      </c>
      <c r="B253" s="118">
        <f t="shared" si="16"/>
        <v>0.51522000000000001</v>
      </c>
      <c r="C253" s="72" t="str">
        <f t="array" ref="C253">INDEX(NPCFName,TRUNC(1+(COUNTA(NPCFName))*(TRUNC(MOD(($B253*1103515245 +12345)/ 65536, 32768),0)/32768),0))</f>
        <v>Setlo</v>
      </c>
      <c r="D253" s="16" t="str">
        <f t="array" ref="D253">INDEX(NPCLName,TRUNC(1+(COUNTA(NPCLName))*(TRUNC(MOD(($B253*1103515245 +12345)/ 65536, 32768),0)/32768),0))</f>
        <v>Tuskleaf</v>
      </c>
      <c r="E253" s="16" t="str">
        <f t="array" ref="E253">INDEX(NPCClass,TRUNC(1+(COUNTA(NPCClass))*(TRUNC(MOD(($B253*1103515245 +12345)/ 65536, 32768),0)/32768),0))</f>
        <v>Monk</v>
      </c>
      <c r="F253" s="76">
        <v>1</v>
      </c>
      <c r="G253" s="153">
        <f ca="1">VLOOKUP($AB$2,'RF Mod'!$A$2:$G$12,2,FALSE)+VLOOKUP($AD$2,'RF Mod'!$I$2:$O$11,2,FALSE)+(TRUNC(6+(24-6)*(TRUNC(MOD(($Z253*1103515245 +12345)/ 65536, 32768),0)/32768),0))</f>
        <v>6</v>
      </c>
      <c r="H253" s="16">
        <f t="shared" ca="1" si="1"/>
        <v>-2</v>
      </c>
      <c r="I253" s="153">
        <f ca="1">VLOOKUP($AB$2,'RF Mod'!$A$2:$G$12,3,FALSE)+VLOOKUP($AD$2,'RF Mod'!$I$2:$O$11,3,FALSE)+(TRUNC(6+(24-6)*(TRUNC(MOD(($Z253*1103515245 +12345)/ 65536, 32768),0)/32768),0))</f>
        <v>10</v>
      </c>
      <c r="J253" s="16" t="e">
        <f t="shared" ca="1" si="2"/>
        <v>#NAME?</v>
      </c>
      <c r="K253" s="153">
        <f ca="1">VLOOKUP($AB$2,'RF Mod'!$A$2:$G$12,3,FALSE)+VLOOKUP($AD$2,'RF Mod'!$I$2:$O$11,3,FALSE)+(TRUNC(6+(24-6)*(TRUNC(MOD(($Z253*1103515245 +12345)/ 65536, 32768),0)/32768),0))</f>
        <v>10</v>
      </c>
      <c r="L253" s="16" t="e">
        <f t="shared" ca="1" si="3"/>
        <v>#NAME?</v>
      </c>
      <c r="M253" s="153">
        <f ca="1">VLOOKUP($AB$2,'RF Mod'!$A$2:$G$12,4,FALSE)+VLOOKUP($AD$2,'RF Mod'!$I$2:$O$11,4,FALSE)+(TRUNC(6+(24-6)*(TRUNC(MOD(($Z253*1103515245 +12345)/ 65536, 32768),0)/32768),0))</f>
        <v>9</v>
      </c>
      <c r="N253" s="16">
        <f t="shared" ca="1" si="4"/>
        <v>-1</v>
      </c>
      <c r="O253" s="153">
        <f ca="1">VLOOKUP($AB$2,'RF Mod'!$A$2:$G$12,5,FALSE)+VLOOKUP($AD$2,'RF Mod'!$I$2:$O$11,5,FALSE)+(TRUNC(6+(24-6)*(TRUNC(MOD(($Z253*1103515245 +12345)/ 65536, 32768),0)/32768),0))</f>
        <v>12</v>
      </c>
      <c r="P253" s="16" t="e">
        <f t="shared" ca="1" si="5"/>
        <v>#NAME?</v>
      </c>
      <c r="Q253" s="153">
        <f ca="1">VLOOKUP($AB$2,'RF Mod'!$A$2:$G$12,6,FALSE)+VLOOKUP($AD$2,'RF Mod'!$I$2:$O$11,6,FALSE)+(TRUNC(6+(24-6)*(TRUNC(MOD(($Z253*1103515245 +12345)/ 65536, 32768),0)/32768),0))</f>
        <v>10</v>
      </c>
      <c r="R253" s="16" t="e">
        <f t="shared" ca="1" si="6"/>
        <v>#NAME?</v>
      </c>
      <c r="S253" s="154">
        <f t="shared" ca="1" si="12"/>
        <v>14</v>
      </c>
      <c r="T253" s="154">
        <f t="shared" ca="1" si="7"/>
        <v>3</v>
      </c>
      <c r="U253" s="16" t="str">
        <f t="shared" ca="1" si="8"/>
        <v>Fine</v>
      </c>
      <c r="V253" s="155">
        <f ca="1">IFERROR(__xludf.DUMMYFUNCTION("if(W253=""Middle Age"",QUERY(NPCVar!$K$2:$N1000, ""Select L where K = '""&amp;AB253&amp;""'""),if(W253=""Old"",QUERY(NPCVar!$K$2:$N1000, ""Select M where K = '""&amp;AB253&amp;""'""),if(W253=""Venerable"",QUERY(NPCVar!$K$2:$N1000, ""Select N where K = '""&amp;AB253&amp;""'""),fa"&amp;"lse)))*X253"),196.875)</f>
        <v>196.875</v>
      </c>
      <c r="W253" s="156" t="str">
        <f t="array" ref="W253">INDEX(NPCAgeType,TRUNC(1+(4-1)*(TRUNC(MOD((X253*1103515245 +12345)/ 65536, 32768),0)/32768),0))</f>
        <v>Old</v>
      </c>
      <c r="X253" s="117">
        <f t="shared" si="13"/>
        <v>0.7</v>
      </c>
      <c r="Y253" s="157" t="e">
        <f t="array" aca="1" ref="Y253" ca="1">LOOKUP(ABS(MAX(Z253 + MIN(ABS(INDIRECT("Class Jobs!B"&amp;MATCH(E253,'Class Jobs'!$A$1:$A1000,0)&amp;":"&amp;"AF"&amp;MATCH(E253,'Class Jobs'!$A$1:$A1000,0)&amp;"")-$Z253)) * SUM(IF(MIN(ABS(INDIRECT("Class Jobs!B"&amp;MATCH(E253,'Class Jobs'!$A$1:$A1000,0)&amp;":"&amp;"AF"&amp;MATCH(E253,'Class Jobs'!$A$1:$A1000,0)&amp;"")-$Z253))=ABS(INDIRECT("Class Jobs!B"&amp;MATCH(E253,'Class Jobs'!$A$1:$A1000,0)&amp;":"&amp;"AF"&amp;MATCH(E253,'Class Jobs'!$A$1:$A1000,0)&amp;"")-$Z253),SIGN(INDIRECT("Class Jobs!B"&amp;MATCH(E253,'Class Jobs'!$A$1:A1000,0)&amp;":"&amp;"AF"&amp;MATCH(E253,'Class Jobs'!$A$1:$A1000,0)&amp;"")-$Z253),0)),0)),INDIRECT("Class Jobs!B"&amp;MATCH(E253,'Class Jobs'!$A$1:$A1000,0)&amp;":"&amp;"AF"&amp;MATCH(E253,'Class Jobs'!$A$1:$A1000,1)&amp;""),'Class Jobs'!$B$1:$AF$1)</f>
        <v>#REF!</v>
      </c>
      <c r="Z253" s="158">
        <f t="shared" si="10"/>
        <v>0.27</v>
      </c>
      <c r="AA253" s="16" t="str">
        <f t="array" ref="AA253">INDEX(NPCGender,TRUNC(1+(COUNTA(NPCGender))*(TRUNC(MOD(($B253*1103515245 +12345)/ 65536, 32768),0)/32768),0))</f>
        <v>Male</v>
      </c>
      <c r="AB253" s="16" t="str">
        <f t="array" ref="AB253">INDEX(NPCRace,TRUNC(1+(COUNTA(NPCRace))*(TRUNC(MOD(($B253*1103515245 +12345)/ 65536, 32768),0)/32768),0))</f>
        <v>Elf</v>
      </c>
      <c r="AC253" s="16" t="str">
        <f t="array" ref="AC253">INDEX(NPCAL,TRUNC(1+(COUNTA(NPCAL))*(TRUNC(MOD(($B253*1103515245 +12345)/ 65536, 32768),0)/32768),0))</f>
        <v>CG</v>
      </c>
      <c r="AD253" s="72" t="str">
        <f ca="1">IFERROR(__xludf.DUMMYFUNCTION("if(V253&lt;15,QUERY(NPCVar!C:D,""Select D WHERE C = '""&amp;D253&amp;""'""),if((TRUNC(1+10)*(TRUNC(MOD((ROW(H253)*1103515245 +12345)/ 65536, 32768),0)/32768)/10) &gt; 0.85,INDEX(NPCFaction,TRUNC(1+(counta(NPCFaction)-1)*(TRUNC(MOD(($B253*1103515245 +12345)/ 65536, 3276"&amp;"8),0)/32768),0)),QUERY(NPCVar!C:D,""Select D WHERE C = '""&amp;D253&amp;""'"")))"),"Magic Guild")</f>
        <v>Magic Guild</v>
      </c>
      <c r="AE253" s="108" t="e">
        <f t="shared" ca="1" si="11"/>
        <v>#NAME?</v>
      </c>
      <c r="AF253" s="159">
        <f ca="1">IFERROR(__xludf.DUMMYFUNCTION("AE253*(V253 / QUERY(NPCVar!$K$2:$N$12, ""Select N WHERE K='""&amp;AB253&amp;""'""))*TRUNC(1+10)*(TRUNC(MOD(($B253*1103515245 +12345)/ 65536, 32768),0)/32768)"),0.229331016540527)</f>
        <v>0.22933101654052701</v>
      </c>
      <c r="AG253" s="16"/>
      <c r="AH253" s="77"/>
      <c r="AI253" s="114"/>
    </row>
    <row r="254" spans="1:35" ht="16.2">
      <c r="A254" s="53">
        <v>253</v>
      </c>
      <c r="B254" s="118">
        <f t="shared" si="16"/>
        <v>2.00935</v>
      </c>
      <c r="C254" s="72" t="str">
        <f t="array" ref="C254">INDEX(NPCFName,TRUNC(1+(COUNTA(NPCFName))*(TRUNC(MOD(($B254*1103515245 +12345)/ 65536, 32768),0)/32768),0))</f>
        <v>Bewul</v>
      </c>
      <c r="D254" s="16" t="str">
        <f t="array" ref="D254">INDEX(NPCLName,TRUNC(1+(COUNTA(NPCLName))*(TRUNC(MOD(($B254*1103515245 +12345)/ 65536, 32768),0)/32768),0))</f>
        <v>Stagfang</v>
      </c>
      <c r="E254" s="16" t="str">
        <f t="array" ref="E254">INDEX(NPCClass,TRUNC(1+(COUNTA(NPCClass))*(TRUNC(MOD(($B254*1103515245 +12345)/ 65536, 32768),0)/32768),0))</f>
        <v>Barbarian</v>
      </c>
      <c r="F254" s="76">
        <v>1</v>
      </c>
      <c r="G254" s="153">
        <f ca="1">VLOOKUP($AB$2,'RF Mod'!$A$2:$G$12,2,FALSE)+VLOOKUP($AD$2,'RF Mod'!$I$2:$O$11,2,FALSE)+(TRUNC(6+(24-6)*(TRUNC(MOD(($Z254*1103515245 +12345)/ 65536, 32768),0)/32768),0))</f>
        <v>4</v>
      </c>
      <c r="H254" s="16">
        <f t="shared" ca="1" si="1"/>
        <v>-3</v>
      </c>
      <c r="I254" s="153">
        <f ca="1">VLOOKUP($AB$2,'RF Mod'!$A$2:$G$12,3,FALSE)+VLOOKUP($AD$2,'RF Mod'!$I$2:$O$11,3,FALSE)+(TRUNC(6+(24-6)*(TRUNC(MOD(($Z254*1103515245 +12345)/ 65536, 32768),0)/32768),0))</f>
        <v>8</v>
      </c>
      <c r="J254" s="16">
        <f t="shared" ca="1" si="2"/>
        <v>-1</v>
      </c>
      <c r="K254" s="153">
        <f ca="1">VLOOKUP($AB$2,'RF Mod'!$A$2:$G$12,3,FALSE)+VLOOKUP($AD$2,'RF Mod'!$I$2:$O$11,3,FALSE)+(TRUNC(6+(24-6)*(TRUNC(MOD(($Z254*1103515245 +12345)/ 65536, 32768),0)/32768),0))</f>
        <v>8</v>
      </c>
      <c r="L254" s="16">
        <f t="shared" ca="1" si="3"/>
        <v>-1</v>
      </c>
      <c r="M254" s="153">
        <f ca="1">VLOOKUP($AB$2,'RF Mod'!$A$2:$G$12,4,FALSE)+VLOOKUP($AD$2,'RF Mod'!$I$2:$O$11,4,FALSE)+(TRUNC(6+(24-6)*(TRUNC(MOD(($Z254*1103515245 +12345)/ 65536, 32768),0)/32768),0))</f>
        <v>7</v>
      </c>
      <c r="N254" s="16">
        <f t="shared" ca="1" si="4"/>
        <v>-2</v>
      </c>
      <c r="O254" s="153">
        <f ca="1">VLOOKUP($AB$2,'RF Mod'!$A$2:$G$12,5,FALSE)+VLOOKUP($AD$2,'RF Mod'!$I$2:$O$11,5,FALSE)+(TRUNC(6+(24-6)*(TRUNC(MOD(($Z254*1103515245 +12345)/ 65536, 32768),0)/32768),0))</f>
        <v>10</v>
      </c>
      <c r="P254" s="16" t="e">
        <f t="shared" ca="1" si="5"/>
        <v>#NAME?</v>
      </c>
      <c r="Q254" s="153">
        <f ca="1">VLOOKUP($AB$2,'RF Mod'!$A$2:$G$12,6,FALSE)+VLOOKUP($AD$2,'RF Mod'!$I$2:$O$11,6,FALSE)+(TRUNC(6+(24-6)*(TRUNC(MOD(($Z254*1103515245 +12345)/ 65536, 32768),0)/32768),0))</f>
        <v>8</v>
      </c>
      <c r="R254" s="16">
        <f t="shared" ca="1" si="6"/>
        <v>-1</v>
      </c>
      <c r="S254" s="154">
        <f t="shared" ca="1" si="12"/>
        <v>26</v>
      </c>
      <c r="T254" s="154">
        <f t="shared" ca="1" si="7"/>
        <v>25</v>
      </c>
      <c r="U254" s="16" t="str">
        <f t="shared" ca="1" si="8"/>
        <v>Bloody</v>
      </c>
      <c r="V254" s="155">
        <f ca="1">IFERROR(__xludf.DUMMYFUNCTION("if(W254=""Middle Age"",QUERY(NPCVar!$K$2:$N1000, ""Select L where K = '""&amp;AB254&amp;""'""),if(W254=""Old"",QUERY(NPCVar!$K$2:$N1000, ""Select M where K = '""&amp;AB254&amp;""'""),if(W254=""Venerable"",QUERY(NPCVar!$K$2:$N1000, ""Select N where K = '""&amp;AB254&amp;""'""),fa"&amp;"lse)))*X254"),2)</f>
        <v>2</v>
      </c>
      <c r="W254" s="156" t="str">
        <f t="array" ref="W254">INDEX(NPCAgeType,TRUNC(1+(4-1)*(TRUNC(MOD((X254*1103515245 +12345)/ 65536, 32768),0)/32768),0))</f>
        <v>Middle Age</v>
      </c>
      <c r="X254" s="117">
        <f t="shared" si="13"/>
        <v>0.1</v>
      </c>
      <c r="Y254" s="157" t="e">
        <f t="array" aca="1" ref="Y254" ca="1">LOOKUP(ABS(MAX(Z254 + MIN(ABS(INDIRECT("Class Jobs!B"&amp;MATCH(E254,'Class Jobs'!$A$1:$A1000,0)&amp;":"&amp;"AF"&amp;MATCH(E254,'Class Jobs'!$A$1:$A1000,0)&amp;"")-$Z254)) * SUM(IF(MIN(ABS(INDIRECT("Class Jobs!B"&amp;MATCH(E254,'Class Jobs'!$A$1:$A1000,0)&amp;":"&amp;"AF"&amp;MATCH(E254,'Class Jobs'!$A$1:$A1000,0)&amp;"")-$Z254))=ABS(INDIRECT("Class Jobs!B"&amp;MATCH(E254,'Class Jobs'!$A$1:$A1000,0)&amp;":"&amp;"AF"&amp;MATCH(E254,'Class Jobs'!$A$1:$A1000,0)&amp;"")-$Z254),SIGN(INDIRECT("Class Jobs!B"&amp;MATCH(E254,'Class Jobs'!$A$1:A1000,0)&amp;":"&amp;"AF"&amp;MATCH(E254,'Class Jobs'!$A$1:$A1000,0)&amp;"")-$Z254),0)),0)),INDIRECT("Class Jobs!B"&amp;MATCH(E254,'Class Jobs'!$A$1:$A1000,0)&amp;":"&amp;"AF"&amp;MATCH(E254,'Class Jobs'!$A$1:$A1000,1)&amp;""),'Class Jobs'!$B$1:$AF$1)</f>
        <v>#REF!</v>
      </c>
      <c r="Z254" s="158">
        <f t="shared" si="10"/>
        <v>0.04</v>
      </c>
      <c r="AA254" s="16" t="str">
        <f t="array" ref="AA254">INDEX(NPCGender,TRUNC(1+(COUNTA(NPCGender))*(TRUNC(MOD(($B254*1103515245 +12345)/ 65536, 32768),0)/32768),0))</f>
        <v>Male</v>
      </c>
      <c r="AB254" s="16" t="str">
        <f t="array" ref="AB254">INDEX(NPCRace,TRUNC(1+(COUNTA(NPCRace))*(TRUNC(MOD(($B254*1103515245 +12345)/ 65536, 32768),0)/32768),0))</f>
        <v>Dragonborn</v>
      </c>
      <c r="AC254" s="16" t="str">
        <f t="array" ref="AC254">INDEX(NPCAL,TRUNC(1+(COUNTA(NPCAL))*(TRUNC(MOD(($B254*1103515245 +12345)/ 65536, 32768),0)/32768),0))</f>
        <v>CN</v>
      </c>
      <c r="AD254" s="72" t="str">
        <f ca="1">IFERROR(__xludf.DUMMYFUNCTION("if(V254&lt;15,QUERY(NPCVar!C:D,""Select D WHERE C = '""&amp;D254&amp;""'""),if((TRUNC(1+10)*(TRUNC(MOD((ROW(H254)*1103515245 +12345)/ 65536, 32768),0)/32768)/10) &gt; 0.85,INDEX(NPCFaction,TRUNC(1+(counta(NPCFaction)-1)*(TRUNC(MOD(($B254*1103515245 +12345)/ 65536, 3276"&amp;"8),0)/32768),0)),QUERY(NPCVar!C:D,""Select D WHERE C = '""&amp;D254&amp;""'"")))"),"Royalty")</f>
        <v>Royalty</v>
      </c>
      <c r="AE254" s="108" t="e">
        <f t="shared" ca="1" si="11"/>
        <v>#NAME?</v>
      </c>
      <c r="AF254" s="159">
        <f ca="1">IFERROR(__xludf.DUMMYFUNCTION("AE254*(V254 / QUERY(NPCVar!$K$2:$N$12, ""Select N WHERE K='""&amp;AB254&amp;""'""))*TRUNC(1+10)*(TRUNC(MOD(($B254*1103515245 +12345)/ 65536, 32768),0)/32768)"),-0.00178924560546875)</f>
        <v>-1.7892456054687501E-3</v>
      </c>
      <c r="AG254" s="16"/>
      <c r="AH254" s="77"/>
      <c r="AI254" s="114"/>
    </row>
    <row r="255" spans="1:35" ht="16.2">
      <c r="A255" s="53">
        <v>254</v>
      </c>
      <c r="B255" s="118">
        <f t="shared" si="16"/>
        <v>1.0035000000000001</v>
      </c>
      <c r="C255" s="72" t="str">
        <f t="array" ref="C255">INDEX(NPCFName,TRUNC(1+(COUNTA(NPCFName))*(TRUNC(MOD(($B255*1103515245 +12345)/ 65536, 32768),0)/32768),0))</f>
        <v>Mardin</v>
      </c>
      <c r="D255" s="16" t="str">
        <f t="array" ref="D255">INDEX(NPCLName,TRUNC(1+(COUNTA(NPCLName))*(TRUNC(MOD(($B255*1103515245 +12345)/ 65536, 32768),0)/32768),0))</f>
        <v>Staghammer</v>
      </c>
      <c r="E255" s="16" t="str">
        <f t="array" ref="E255">INDEX(NPCClass,TRUNC(1+(COUNTA(NPCClass))*(TRUNC(MOD(($B255*1103515245 +12345)/ 65536, 32768),0)/32768),0))</f>
        <v>Sorcerer</v>
      </c>
      <c r="F255" s="76">
        <v>8</v>
      </c>
      <c r="G255" s="153">
        <f ca="1">VLOOKUP($AB$2,'RF Mod'!$A$2:$G$12,2,FALSE)+VLOOKUP($AD$2,'RF Mod'!$I$2:$O$11,2,FALSE)+(TRUNC(6+(24-6)*(TRUNC(MOD(($Z255*1103515245 +12345)/ 65536, 32768),0)/32768),0))</f>
        <v>8</v>
      </c>
      <c r="H255" s="16">
        <f t="shared" ca="1" si="1"/>
        <v>-1</v>
      </c>
      <c r="I255" s="153">
        <f ca="1">VLOOKUP($AB$2,'RF Mod'!$A$2:$G$12,3,FALSE)+VLOOKUP($AD$2,'RF Mod'!$I$2:$O$11,3,FALSE)+(TRUNC(6+(24-6)*(TRUNC(MOD(($Z255*1103515245 +12345)/ 65536, 32768),0)/32768),0))</f>
        <v>12</v>
      </c>
      <c r="J255" s="16" t="e">
        <f t="shared" ca="1" si="2"/>
        <v>#NAME?</v>
      </c>
      <c r="K255" s="153">
        <f ca="1">VLOOKUP($AB$2,'RF Mod'!$A$2:$G$12,3,FALSE)+VLOOKUP($AD$2,'RF Mod'!$I$2:$O$11,3,FALSE)+(TRUNC(6+(24-6)*(TRUNC(MOD(($Z255*1103515245 +12345)/ 65536, 32768),0)/32768),0))</f>
        <v>12</v>
      </c>
      <c r="L255" s="16" t="e">
        <f t="shared" ca="1" si="3"/>
        <v>#NAME?</v>
      </c>
      <c r="M255" s="153">
        <f ca="1">VLOOKUP($AB$2,'RF Mod'!$A$2:$G$12,4,FALSE)+VLOOKUP($AD$2,'RF Mod'!$I$2:$O$11,4,FALSE)+(TRUNC(6+(24-6)*(TRUNC(MOD(($Z255*1103515245 +12345)/ 65536, 32768),0)/32768),0))</f>
        <v>11</v>
      </c>
      <c r="N255" s="16" t="e">
        <f t="shared" ca="1" si="4"/>
        <v>#NAME?</v>
      </c>
      <c r="O255" s="153">
        <f ca="1">VLOOKUP($AB$2,'RF Mod'!$A$2:$G$12,5,FALSE)+VLOOKUP($AD$2,'RF Mod'!$I$2:$O$11,5,FALSE)+(TRUNC(6+(24-6)*(TRUNC(MOD(($Z255*1103515245 +12345)/ 65536, 32768),0)/32768),0))</f>
        <v>14</v>
      </c>
      <c r="P255" s="16" t="e">
        <f t="shared" ca="1" si="5"/>
        <v>#NAME?</v>
      </c>
      <c r="Q255" s="153">
        <f ca="1">VLOOKUP($AB$2,'RF Mod'!$A$2:$G$12,6,FALSE)+VLOOKUP($AD$2,'RF Mod'!$I$2:$O$11,6,FALSE)+(TRUNC(6+(24-6)*(TRUNC(MOD(($Z255*1103515245 +12345)/ 65536, 32768),0)/32768),0))</f>
        <v>12</v>
      </c>
      <c r="R255" s="16" t="e">
        <f t="shared" ca="1" si="6"/>
        <v>#NAME?</v>
      </c>
      <c r="S255" s="154">
        <f t="shared" ca="1" si="12"/>
        <v>144</v>
      </c>
      <c r="T255" s="154">
        <f t="shared" ca="1" si="7"/>
        <v>16</v>
      </c>
      <c r="U255" s="16" t="str">
        <f t="shared" ca="1" si="8"/>
        <v>Fine</v>
      </c>
      <c r="V255" s="155">
        <f ca="1">IFERROR(__xludf.DUMMYFUNCTION("if(W255=""Middle Age"",QUERY(NPCVar!$K$2:$N1000, ""Select L where K = '""&amp;AB255&amp;""'""),if(W255=""Old"",QUERY(NPCVar!$K$2:$N1000, ""Select M where K = '""&amp;AB255&amp;""'""),if(W255=""Venerable"",QUERY(NPCVar!$K$2:$N1000, ""Select N where K = '""&amp;AB255&amp;""'""),fa"&amp;"lse)))*X255"),91)</f>
        <v>91</v>
      </c>
      <c r="W255" s="156" t="str">
        <f t="array" ref="W255">INDEX(NPCAgeType,TRUNC(1+(4-1)*(TRUNC(MOD((X255*1103515245 +12345)/ 65536, 32768),0)/32768),0))</f>
        <v>Venerable</v>
      </c>
      <c r="X255" s="117">
        <f t="shared" si="13"/>
        <v>1.3</v>
      </c>
      <c r="Y255" s="157" t="e">
        <f t="array" aca="1" ref="Y255" ca="1">LOOKUP(ABS(MAX(Z255 + MIN(ABS(INDIRECT("Class Jobs!B"&amp;MATCH(E255,'Class Jobs'!$A$1:$A1000,0)&amp;":"&amp;"AF"&amp;MATCH(E255,'Class Jobs'!$A$1:$A1000,0)&amp;"")-$Z255)) * SUM(IF(MIN(ABS(INDIRECT("Class Jobs!B"&amp;MATCH(E255,'Class Jobs'!$A$1:$A1000,0)&amp;":"&amp;"AF"&amp;MATCH(E255,'Class Jobs'!$A$1:$A1000,0)&amp;"")-$Z255))=ABS(INDIRECT("Class Jobs!B"&amp;MATCH(E255,'Class Jobs'!$A$1:$A1000,0)&amp;":"&amp;"AF"&amp;MATCH(E255,'Class Jobs'!$A$1:$A1000,0)&amp;"")-$Z255),SIGN(INDIRECT("Class Jobs!B"&amp;MATCH(E255,'Class Jobs'!$A$1:A1000,0)&amp;":"&amp;"AF"&amp;MATCH(E255,'Class Jobs'!$A$1:$A1000,0)&amp;"")-$Z255),0)),0)),INDIRECT("Class Jobs!B"&amp;MATCH(E255,'Class Jobs'!$A$1:$A1000,0)&amp;":"&amp;"AF"&amp;MATCH(E255,'Class Jobs'!$A$1:$A1000,1)&amp;""),'Class Jobs'!$B$1:$AF$1)</f>
        <v>#REF!</v>
      </c>
      <c r="Z255" s="158">
        <f t="shared" si="10"/>
        <v>0.52</v>
      </c>
      <c r="AA255" s="16" t="str">
        <f t="array" ref="AA255">INDEX(NPCGender,TRUNC(1+(COUNTA(NPCGender))*(TRUNC(MOD(($B255*1103515245 +12345)/ 65536, 32768),0)/32768),0))</f>
        <v>Female</v>
      </c>
      <c r="AB255" s="16" t="str">
        <f t="array" ref="AB255">INDEX(NPCRace,TRUNC(1+(COUNTA(NPCRace))*(TRUNC(MOD(($B255*1103515245 +12345)/ 65536, 32768),0)/32768),0))</f>
        <v>Half-Orc</v>
      </c>
      <c r="AC255" s="16" t="str">
        <f t="array" ref="AC255">INDEX(NPCAL,TRUNC(1+(COUNTA(NPCAL))*(TRUNC(MOD(($B255*1103515245 +12345)/ 65536, 32768),0)/32768),0))</f>
        <v>NN</v>
      </c>
      <c r="AD255" s="72" t="str">
        <f ca="1">IFERROR(__xludf.DUMMYFUNCTION("if(V255&lt;15,QUERY(NPCVar!C:D,""Select D WHERE C = '""&amp;D255&amp;""'""),if((TRUNC(1+10)*(TRUNC(MOD((ROW(H255)*1103515245 +12345)/ 65536, 32768),0)/32768)/10) &gt; 0.85,INDEX(NPCFaction,TRUNC(1+(counta(NPCFaction)-1)*(TRUNC(MOD(($B255*1103515245 +12345)/ 65536, 3276"&amp;"8),0)/32768),0)),QUERY(NPCVar!C:D,""Select D WHERE C = '""&amp;D255&amp;""'"")))"),"Farmers Guild")</f>
        <v>Farmers Guild</v>
      </c>
      <c r="AE255" s="108" t="e">
        <f t="shared" ca="1" si="11"/>
        <v>#NAME?</v>
      </c>
      <c r="AF255" s="159">
        <f ca="1">IFERROR(__xludf.DUMMYFUNCTION("AE255*(V255 / QUERY(NPCVar!$K$2:$N$12, ""Select N WHERE K='""&amp;AB255&amp;""'""))*TRUNC(1+10)*(TRUNC(MOD(($B255*1103515245 +12345)/ 65536, 32768),0)/32768)"),4.42432434082031)</f>
        <v>4.4243243408203101</v>
      </c>
      <c r="AG255" s="16"/>
      <c r="AH255" s="77"/>
      <c r="AI255" s="114"/>
    </row>
    <row r="256" spans="1:35" ht="16.2">
      <c r="A256" s="53">
        <v>255</v>
      </c>
      <c r="B256" s="118">
        <f t="shared" si="16"/>
        <v>2.49763</v>
      </c>
      <c r="C256" s="72" t="str">
        <f t="array" ref="C256">INDEX(NPCFName,TRUNC(1+(COUNTA(NPCFName))*(TRUNC(MOD(($B256*1103515245 +12345)/ 65536, 32768),0)/32768),0))</f>
        <v>Thiltran</v>
      </c>
      <c r="D256" s="16" t="str">
        <f t="array" ref="D256">INDEX(NPCLName,TRUNC(1+(COUNTA(NPCLName))*(TRUNC(MOD(($B256*1103515245 +12345)/ 65536, 32768),0)/32768),0))</f>
        <v>Commonscream</v>
      </c>
      <c r="E256" s="16" t="str">
        <f t="array" ref="E256">INDEX(NPCClass,TRUNC(1+(COUNTA(NPCClass))*(TRUNC(MOD(($B256*1103515245 +12345)/ 65536, 32768),0)/32768),0))</f>
        <v>Monk</v>
      </c>
      <c r="F256" s="76">
        <v>4</v>
      </c>
      <c r="G256" s="153">
        <f ca="1">VLOOKUP($AB$2,'RF Mod'!$A$2:$G$12,2,FALSE)+VLOOKUP($AD$2,'RF Mod'!$I$2:$O$11,2,FALSE)+(TRUNC(6+(24-6)*(TRUNC(MOD(($Z256*1103515245 +12345)/ 65536, 32768),0)/32768),0))</f>
        <v>6</v>
      </c>
      <c r="H256" s="16">
        <f t="shared" ca="1" si="1"/>
        <v>-2</v>
      </c>
      <c r="I256" s="153">
        <f ca="1">VLOOKUP($AB$2,'RF Mod'!$A$2:$G$12,3,FALSE)+VLOOKUP($AD$2,'RF Mod'!$I$2:$O$11,3,FALSE)+(TRUNC(6+(24-6)*(TRUNC(MOD(($Z256*1103515245 +12345)/ 65536, 32768),0)/32768),0))</f>
        <v>10</v>
      </c>
      <c r="J256" s="16" t="e">
        <f t="shared" ca="1" si="2"/>
        <v>#NAME?</v>
      </c>
      <c r="K256" s="153">
        <f ca="1">VLOOKUP($AB$2,'RF Mod'!$A$2:$G$12,3,FALSE)+VLOOKUP($AD$2,'RF Mod'!$I$2:$O$11,3,FALSE)+(TRUNC(6+(24-6)*(TRUNC(MOD(($Z256*1103515245 +12345)/ 65536, 32768),0)/32768),0))</f>
        <v>10</v>
      </c>
      <c r="L256" s="16" t="e">
        <f t="shared" ca="1" si="3"/>
        <v>#NAME?</v>
      </c>
      <c r="M256" s="153">
        <f ca="1">VLOOKUP($AB$2,'RF Mod'!$A$2:$G$12,4,FALSE)+VLOOKUP($AD$2,'RF Mod'!$I$2:$O$11,4,FALSE)+(TRUNC(6+(24-6)*(TRUNC(MOD(($Z256*1103515245 +12345)/ 65536, 32768),0)/32768),0))</f>
        <v>9</v>
      </c>
      <c r="N256" s="16">
        <f t="shared" ca="1" si="4"/>
        <v>-1</v>
      </c>
      <c r="O256" s="153">
        <f ca="1">VLOOKUP($AB$2,'RF Mod'!$A$2:$G$12,5,FALSE)+VLOOKUP($AD$2,'RF Mod'!$I$2:$O$11,5,FALSE)+(TRUNC(6+(24-6)*(TRUNC(MOD(($Z256*1103515245 +12345)/ 65536, 32768),0)/32768),0))</f>
        <v>12</v>
      </c>
      <c r="P256" s="16" t="e">
        <f t="shared" ca="1" si="5"/>
        <v>#NAME?</v>
      </c>
      <c r="Q256" s="153">
        <f ca="1">VLOOKUP($AB$2,'RF Mod'!$A$2:$G$12,6,FALSE)+VLOOKUP($AD$2,'RF Mod'!$I$2:$O$11,6,FALSE)+(TRUNC(6+(24-6)*(TRUNC(MOD(($Z256*1103515245 +12345)/ 65536, 32768),0)/32768),0))</f>
        <v>10</v>
      </c>
      <c r="R256" s="16" t="e">
        <f t="shared" ca="1" si="6"/>
        <v>#NAME?</v>
      </c>
      <c r="S256" s="154">
        <f t="shared" ca="1" si="12"/>
        <v>112</v>
      </c>
      <c r="T256" s="154">
        <f t="shared" ca="1" si="7"/>
        <v>79</v>
      </c>
      <c r="U256" s="16" t="str">
        <f t="shared" ca="1" si="8"/>
        <v>Bloody</v>
      </c>
      <c r="V256" s="155">
        <f ca="1">IFERROR(__xludf.DUMMYFUNCTION("if(W256=""Middle Age"",QUERY(NPCVar!$K$2:$N1000, ""Select L where K = '""&amp;AB256&amp;""'""),if(W256=""Old"",QUERY(NPCVar!$K$2:$N1000, ""Select M where K = '""&amp;AB256&amp;""'""),if(W256=""Venerable"",QUERY(NPCVar!$K$2:$N1000, ""Select N where K = '""&amp;AB256&amp;""'""),fa"&amp;"lse)))*X256"),118.124999999999)</f>
        <v>118.12499999999901</v>
      </c>
      <c r="W256" s="156" t="str">
        <f t="array" ref="W256">INDEX(NPCAgeType,TRUNC(1+(4-1)*(TRUNC(MOD((X256*1103515245 +12345)/ 65536, 32768),0)/32768),0))</f>
        <v>Old</v>
      </c>
      <c r="X256" s="117">
        <f t="shared" si="13"/>
        <v>0.7</v>
      </c>
      <c r="Y256" s="157" t="e">
        <f t="array" aca="1" ref="Y256" ca="1">LOOKUP(ABS(MAX(Z256 + MIN(ABS(INDIRECT("Class Jobs!B"&amp;MATCH(E256,'Class Jobs'!$A$1:$A1000,0)&amp;":"&amp;"AF"&amp;MATCH(E256,'Class Jobs'!$A$1:$A1000,0)&amp;"")-$Z256)) * SUM(IF(MIN(ABS(INDIRECT("Class Jobs!B"&amp;MATCH(E256,'Class Jobs'!$A$1:$A1000,0)&amp;":"&amp;"AF"&amp;MATCH(E256,'Class Jobs'!$A$1:$A1000,0)&amp;"")-$Z256))=ABS(INDIRECT("Class Jobs!B"&amp;MATCH(E256,'Class Jobs'!$A$1:$A1000,0)&amp;":"&amp;"AF"&amp;MATCH(E256,'Class Jobs'!$A$1:$A1000,0)&amp;"")-$Z256),SIGN(INDIRECT("Class Jobs!B"&amp;MATCH(E256,'Class Jobs'!$A$1:A1000,0)&amp;":"&amp;"AF"&amp;MATCH(E256,'Class Jobs'!$A$1:$A1000,0)&amp;"")-$Z256),0)),0)),INDIRECT("Class Jobs!B"&amp;MATCH(E256,'Class Jobs'!$A$1:$A1000,0)&amp;":"&amp;"AF"&amp;MATCH(E256,'Class Jobs'!$A$1:$A1000,1)&amp;""),'Class Jobs'!$B$1:$AF$1)</f>
        <v>#REF!</v>
      </c>
      <c r="Z256" s="158">
        <f t="shared" si="10"/>
        <v>0.28999999999999998</v>
      </c>
      <c r="AA256" s="16" t="str">
        <f t="array" ref="AA256">INDEX(NPCGender,TRUNC(1+(COUNTA(NPCGender))*(TRUNC(MOD(($B256*1103515245 +12345)/ 65536, 32768),0)/32768),0))</f>
        <v>Male</v>
      </c>
      <c r="AB256" s="16" t="str">
        <f t="array" ref="AB256">INDEX(NPCRace,TRUNC(1+(COUNTA(NPCRace))*(TRUNC(MOD(($B256*1103515245 +12345)/ 65536, 32768),0)/32768),0))</f>
        <v>Gnome</v>
      </c>
      <c r="AC256" s="16" t="str">
        <f t="array" ref="AC256">INDEX(NPCAL,TRUNC(1+(COUNTA(NPCAL))*(TRUNC(MOD(($B256*1103515245 +12345)/ 65536, 32768),0)/32768),0))</f>
        <v>CG</v>
      </c>
      <c r="AD256" s="72" t="str">
        <f ca="1">IFERROR(__xludf.DUMMYFUNCTION("if(V256&lt;15,QUERY(NPCVar!C:D,""Select D WHERE C = '""&amp;D256&amp;""'""),if((TRUNC(1+10)*(TRUNC(MOD((ROW(H256)*1103515245 +12345)/ 65536, 32768),0)/32768)/10) &gt; 0.85,INDEX(NPCFaction,TRUNC(1+(counta(NPCFaction)-1)*(TRUNC(MOD(($B256*1103515245 +12345)/ 65536, 3276"&amp;"8),0)/32768),0)),QUERY(NPCVar!C:D,""Select D WHERE C = '""&amp;D256&amp;""'"")))"),"Necromancer")</f>
        <v>Necromancer</v>
      </c>
      <c r="AE256" s="108" t="e">
        <f t="shared" ca="1" si="11"/>
        <v>#NAME?</v>
      </c>
      <c r="AF256" s="159">
        <f ca="1">IFERROR(__xludf.DUMMYFUNCTION("AE256*(V256 / QUERY(NPCVar!$K$2:$N$12, ""Select N WHERE K='""&amp;AB256&amp;""'""))*TRUNC(1+10)*(TRUNC(MOD(($B256*1103515245 +12345)/ 65536, 32768),0)/32768)"),-0.0818453979492187)</f>
        <v>-8.1845397949218704E-2</v>
      </c>
      <c r="AG256" s="16"/>
      <c r="AH256" s="77"/>
      <c r="AI256" s="114"/>
    </row>
    <row r="257" spans="1:35" ht="16.2">
      <c r="A257" s="53">
        <v>256</v>
      </c>
      <c r="B257" s="118">
        <f t="shared" si="16"/>
        <v>1.49177</v>
      </c>
      <c r="C257" s="72" t="str">
        <f t="array" ref="C257">INDEX(NPCFName,TRUNC(1+(COUNTA(NPCFName))*(TRUNC(MOD(($B257*1103515245 +12345)/ 65536, 32768),0)/32768),0))</f>
        <v>Etdar</v>
      </c>
      <c r="D257" s="16" t="str">
        <f t="array" ref="D257">INDEX(NPCLName,TRUNC(1+(COUNTA(NPCLName))*(TRUNC(MOD(($B257*1103515245 +12345)/ 65536, 32768),0)/32768),0))</f>
        <v>Sacredgloom</v>
      </c>
      <c r="E257" s="16" t="str">
        <f t="array" ref="E257">INDEX(NPCClass,TRUNC(1+(COUNTA(NPCClass))*(TRUNC(MOD(($B257*1103515245 +12345)/ 65536, 32768),0)/32768),0))</f>
        <v>Cleric</v>
      </c>
      <c r="F257" s="76">
        <v>8</v>
      </c>
      <c r="G257" s="153">
        <f ca="1">VLOOKUP($AB$2,'RF Mod'!$A$2:$G$12,2,FALSE)+VLOOKUP($AD$2,'RF Mod'!$I$2:$O$11,2,FALSE)+(TRUNC(6+(24-6)*(TRUNC(MOD(($Z257*1103515245 +12345)/ 65536, 32768),0)/32768),0))</f>
        <v>11</v>
      </c>
      <c r="H257" s="16" t="e">
        <f t="shared" ref="H257:H511" ca="1" si="17">IF(G257&lt;10, FLOOR(G257/2,1) - 5, _xludf.concat("+", FLOOR(G257/2,1) - 5))</f>
        <v>#NAME?</v>
      </c>
      <c r="I257" s="153">
        <f ca="1">VLOOKUP($AB$2,'RF Mod'!$A$2:$G$12,3,FALSE)+VLOOKUP($AD$2,'RF Mod'!$I$2:$O$11,3,FALSE)+(TRUNC(6+(24-6)*(TRUNC(MOD(($Z257*1103515245 +12345)/ 65536, 32768),0)/32768),0))</f>
        <v>15</v>
      </c>
      <c r="J257" s="16" t="e">
        <f t="shared" ref="J257:J511" ca="1" si="18">IF(I257&lt;10, FLOOR(I257/2,1) - 5, _xludf.concat("+", FLOOR(I257/2,1) - 5))</f>
        <v>#NAME?</v>
      </c>
      <c r="K257" s="153">
        <f ca="1">VLOOKUP($AB$2,'RF Mod'!$A$2:$G$12,3,FALSE)+VLOOKUP($AD$2,'RF Mod'!$I$2:$O$11,3,FALSE)+(TRUNC(6+(24-6)*(TRUNC(MOD(($Z257*1103515245 +12345)/ 65536, 32768),0)/32768),0))</f>
        <v>15</v>
      </c>
      <c r="L257" s="16" t="e">
        <f t="shared" ref="L257:L511" ca="1" si="19">IF(K257&lt;10, FLOOR(K257/2,1) - 5, _xludf.concat("+", FLOOR(K257/2,1) - 5))</f>
        <v>#NAME?</v>
      </c>
      <c r="M257" s="153">
        <f ca="1">VLOOKUP($AB$2,'RF Mod'!$A$2:$G$12,4,FALSE)+VLOOKUP($AD$2,'RF Mod'!$I$2:$O$11,4,FALSE)+(TRUNC(6+(24-6)*(TRUNC(MOD(($Z257*1103515245 +12345)/ 65536, 32768),0)/32768),0))</f>
        <v>14</v>
      </c>
      <c r="N257" s="16" t="e">
        <f t="shared" ref="N257:N511" ca="1" si="20">IF(M257&lt;10, FLOOR(M257/2,1) - 5, _xludf.concat("+", FLOOR(M257/2,1) - 5))</f>
        <v>#NAME?</v>
      </c>
      <c r="O257" s="153">
        <f ca="1">VLOOKUP($AB$2,'RF Mod'!$A$2:$G$12,5,FALSE)+VLOOKUP($AD$2,'RF Mod'!$I$2:$O$11,5,FALSE)+(TRUNC(6+(24-6)*(TRUNC(MOD(($Z257*1103515245 +12345)/ 65536, 32768),0)/32768),0))</f>
        <v>17</v>
      </c>
      <c r="P257" s="16" t="e">
        <f t="shared" ref="P257:P511" ca="1" si="21">IF(O257&lt;10, FLOOR(O257/2,1) - 5, _xludf.concat("+", FLOOR(O257/2,1) - 5))</f>
        <v>#NAME?</v>
      </c>
      <c r="Q257" s="153">
        <f ca="1">VLOOKUP($AB$2,'RF Mod'!$A$2:$G$12,6,FALSE)+VLOOKUP($AD$2,'RF Mod'!$I$2:$O$11,6,FALSE)+(TRUNC(6+(24-6)*(TRUNC(MOD(($Z257*1103515245 +12345)/ 65536, 32768),0)/32768),0))</f>
        <v>15</v>
      </c>
      <c r="R257" s="16" t="e">
        <f t="shared" ref="R257:R511" ca="1" si="22">IF(Q257&lt;10, FLOOR(Q257/2,1) - 5, _xludf.concat("+", FLOOR(Q257/2,1) - 5))</f>
        <v>#NAME?</v>
      </c>
      <c r="S257" s="154">
        <f t="shared" ca="1" si="12"/>
        <v>264</v>
      </c>
      <c r="T257" s="154">
        <f t="shared" ref="T257:T511" ca="1" si="23">RANDBETWEEN(1,(S257*1.2))</f>
        <v>193</v>
      </c>
      <c r="U257" s="16" t="str">
        <f t="shared" ref="U257:U511" ca="1" si="24">IF(T257=S257,"Unconscious",IF(T257&gt;S257,"Dead",IF(T257&gt;(S257/2),"Bloody","Fine")))</f>
        <v>Bloody</v>
      </c>
      <c r="V257" s="155">
        <f ca="1">IFERROR(__xludf.DUMMYFUNCTION("if(W257=""Middle Age"",QUERY(NPCVar!$K$2:$N1000, ""Select L where K = '""&amp;AB257&amp;""'""),if(W257=""Old"",QUERY(NPCVar!$K$2:$N1000, ""Select M where K = '""&amp;AB257&amp;""'""),if(W257=""Venerable"",QUERY(NPCVar!$K$2:$N1000, ""Select N where K = '""&amp;AB257&amp;""'""),fa"&amp;"lse)))*X257"),190)</f>
        <v>190</v>
      </c>
      <c r="W257" s="156" t="str">
        <f t="array" ref="W257">INDEX(NPCAgeType,TRUNC(1+(4-1)*(TRUNC(MOD((X257*1103515245 +12345)/ 65536, 32768),0)/32768),0))</f>
        <v>Venerable</v>
      </c>
      <c r="X257" s="117">
        <f t="shared" si="13"/>
        <v>1.9</v>
      </c>
      <c r="Y257" s="157" t="e">
        <f t="array" aca="1" ref="Y257" ca="1">LOOKUP(ABS(MAX(Z257 + MIN(ABS(INDIRECT("Class Jobs!B"&amp;MATCH(E257,'Class Jobs'!$A$1:$A1000,0)&amp;":"&amp;"AF"&amp;MATCH(E257,'Class Jobs'!$A$1:$A1000,0)&amp;"")-$Z257)) * SUM(IF(MIN(ABS(INDIRECT("Class Jobs!B"&amp;MATCH(E257,'Class Jobs'!$A$1:$A1000,0)&amp;":"&amp;"AF"&amp;MATCH(E257,'Class Jobs'!$A$1:$A1000,0)&amp;"")-$Z257))=ABS(INDIRECT("Class Jobs!B"&amp;MATCH(E257,'Class Jobs'!$A$1:$A1000,0)&amp;":"&amp;"AF"&amp;MATCH(E257,'Class Jobs'!$A$1:$A1000,0)&amp;"")-$Z257),SIGN(INDIRECT("Class Jobs!B"&amp;MATCH(E257,'Class Jobs'!$A$1:A1000,0)&amp;":"&amp;"AF"&amp;MATCH(E257,'Class Jobs'!$A$1:$A1000,0)&amp;"")-$Z257),0)),0)),INDIRECT("Class Jobs!B"&amp;MATCH(E257,'Class Jobs'!$A$1:$A1000,0)&amp;":"&amp;"AF"&amp;MATCH(E257,'Class Jobs'!$A$1:$A1000,1)&amp;""),'Class Jobs'!$B$1:$AF$1)</f>
        <v>#REF!</v>
      </c>
      <c r="Z257" s="158">
        <f t="shared" ref="Z257:Z511" si="25">(TRUNC(1+(100-1)*(TRUNC(MOD(($B257*1103515245 +12345)/ 65536, 32768),0)/32768),0))/100</f>
        <v>0.76</v>
      </c>
      <c r="AA257" s="16" t="str">
        <f t="array" ref="AA257">INDEX(NPCGender,TRUNC(1+(COUNTA(NPCGender))*(TRUNC(MOD(($B257*1103515245 +12345)/ 65536, 32768),0)/32768),0))</f>
        <v>Neutral</v>
      </c>
      <c r="AB257" s="16" t="str">
        <f t="array" ref="AB257">INDEX(NPCRace,TRUNC(1+(COUNTA(NPCRace))*(TRUNC(MOD(($B257*1103515245 +12345)/ 65536, 32768),0)/32768),0))</f>
        <v>Tiefling</v>
      </c>
      <c r="AC257" s="16" t="str">
        <f t="array" ref="AC257">INDEX(NPCAL,TRUNC(1+(COUNTA(NPCAL))*(TRUNC(MOD(($B257*1103515245 +12345)/ 65536, 32768),0)/32768),0))</f>
        <v>LG</v>
      </c>
      <c r="AD257" s="72" t="str">
        <f ca="1">IFERROR(__xludf.DUMMYFUNCTION("if(V257&lt;15,QUERY(NPCVar!C:D,""Select D WHERE C = '""&amp;D257&amp;""'""),if((TRUNC(1+10)*(TRUNC(MOD((ROW(H257)*1103515245 +12345)/ 65536, 32768),0)/32768)/10) &gt; 0.85,INDEX(NPCFaction,TRUNC(1+(counta(NPCFaction)-1)*(TRUNC(MOD(($B257*1103515245 +12345)/ 65536, 3276"&amp;"8),0)/32768),0)),QUERY(NPCVar!C:D,""Select D WHERE C = '""&amp;D257&amp;""'"")))"),"Adventures Guild")</f>
        <v>Adventures Guild</v>
      </c>
      <c r="AE257" s="108" t="e">
        <f t="shared" ref="AE257:AE511" ca="1" si="26">(TRUNC(1+(10-1)*(TRUNC(MOD((ROW(B256)*1103515245 +12345)/ 65536, 32768),0)/32768),0)/10)+(MAX(MIN((H257+J257+L257+N257+P257+R257),1),-3)/10)</f>
        <v>#NAME?</v>
      </c>
      <c r="AF257" s="159">
        <f ca="1">IFERROR(__xludf.DUMMYFUNCTION("AE257*(V257 / QUERY(NPCVar!$K$2:$N$12, ""Select N WHERE K='""&amp;AB257&amp;""'""))*TRUNC(1+10)*(TRUNC(MOD(($B257*1103515245 +12345)/ 65536, 32768),0)/32768)"),9.61280090332031)</f>
        <v>9.6128009033203092</v>
      </c>
      <c r="AG257" s="16"/>
      <c r="AH257" s="77"/>
      <c r="AI257" s="114"/>
    </row>
    <row r="258" spans="1:35" ht="16.2">
      <c r="A258" s="53">
        <v>257</v>
      </c>
      <c r="B258" s="118">
        <f t="shared" ref="B258:B321" si="27">(TRUNC(1+(250000-1)*(TRUNC(MOD(((Seed*ROW())*1103515245 +12345)/ 65536, 32768),0)/32768),0))/100000</f>
        <v>0.48592000000000002</v>
      </c>
      <c r="C258" s="72" t="str">
        <f t="array" ref="C258">INDEX(NPCFName,TRUNC(1+(COUNTA(NPCFName))*(TRUNC(MOD(($B258*1103515245 +12345)/ 65536, 32768),0)/32768),0))</f>
        <v>Rydan</v>
      </c>
      <c r="D258" s="16" t="str">
        <f t="array" ref="D258">INDEX(NPCLName,TRUNC(1+(COUNTA(NPCLName))*(TRUNC(MOD(($B258*1103515245 +12345)/ 65536, 32768),0)/32768),0))</f>
        <v>Tuskleaf</v>
      </c>
      <c r="E258" s="16" t="str">
        <f t="array" ref="E258">INDEX(NPCClass,TRUNC(1+(COUNTA(NPCClass))*(TRUNC(MOD(($B258*1103515245 +12345)/ 65536, 32768),0)/32768),0))</f>
        <v>Druid</v>
      </c>
      <c r="F258" s="76">
        <v>2</v>
      </c>
      <c r="G258" s="153">
        <f ca="1">VLOOKUP($AB$2,'RF Mod'!$A$2:$G$12,2,FALSE)+VLOOKUP($AD$2,'RF Mod'!$I$2:$O$11,2,FALSE)+(TRUNC(6+(24-6)*(TRUNC(MOD(($Z258*1103515245 +12345)/ 65536, 32768),0)/32768),0))</f>
        <v>6</v>
      </c>
      <c r="H258" s="16">
        <f t="shared" ca="1" si="17"/>
        <v>-2</v>
      </c>
      <c r="I258" s="153">
        <f ca="1">VLOOKUP($AB$2,'RF Mod'!$A$2:$G$12,3,FALSE)+VLOOKUP($AD$2,'RF Mod'!$I$2:$O$11,3,FALSE)+(TRUNC(6+(24-6)*(TRUNC(MOD(($Z258*1103515245 +12345)/ 65536, 32768),0)/32768),0))</f>
        <v>10</v>
      </c>
      <c r="J258" s="16" t="e">
        <f t="shared" ca="1" si="18"/>
        <v>#NAME?</v>
      </c>
      <c r="K258" s="153">
        <f ca="1">VLOOKUP($AB$2,'RF Mod'!$A$2:$G$12,3,FALSE)+VLOOKUP($AD$2,'RF Mod'!$I$2:$O$11,3,FALSE)+(TRUNC(6+(24-6)*(TRUNC(MOD(($Z258*1103515245 +12345)/ 65536, 32768),0)/32768),0))</f>
        <v>10</v>
      </c>
      <c r="L258" s="16" t="e">
        <f t="shared" ca="1" si="19"/>
        <v>#NAME?</v>
      </c>
      <c r="M258" s="153">
        <f ca="1">VLOOKUP($AB$2,'RF Mod'!$A$2:$G$12,4,FALSE)+VLOOKUP($AD$2,'RF Mod'!$I$2:$O$11,4,FALSE)+(TRUNC(6+(24-6)*(TRUNC(MOD(($Z258*1103515245 +12345)/ 65536, 32768),0)/32768),0))</f>
        <v>9</v>
      </c>
      <c r="N258" s="16">
        <f t="shared" ca="1" si="20"/>
        <v>-1</v>
      </c>
      <c r="O258" s="153">
        <f ca="1">VLOOKUP($AB$2,'RF Mod'!$A$2:$G$12,5,FALSE)+VLOOKUP($AD$2,'RF Mod'!$I$2:$O$11,5,FALSE)+(TRUNC(6+(24-6)*(TRUNC(MOD(($Z258*1103515245 +12345)/ 65536, 32768),0)/32768),0))</f>
        <v>12</v>
      </c>
      <c r="P258" s="16" t="e">
        <f t="shared" ca="1" si="21"/>
        <v>#NAME?</v>
      </c>
      <c r="Q258" s="153">
        <f ca="1">VLOOKUP($AB$2,'RF Mod'!$A$2:$G$12,6,FALSE)+VLOOKUP($AD$2,'RF Mod'!$I$2:$O$11,6,FALSE)+(TRUNC(6+(24-6)*(TRUNC(MOD(($Z258*1103515245 +12345)/ 65536, 32768),0)/32768),0))</f>
        <v>10</v>
      </c>
      <c r="R258" s="16" t="e">
        <f t="shared" ca="1" si="22"/>
        <v>#NAME?</v>
      </c>
      <c r="S258" s="154">
        <f t="shared" ref="S258:S512" ca="1" si="28">(CEILING(20*(TRUNC(1+(10-1)*(TRUNC(MOD((AF258*1103515245 +12345)/ 65536, 32768),0)/32768),0)/10),1)+(K258))*F258</f>
        <v>56</v>
      </c>
      <c r="T258" s="154">
        <f t="shared" ca="1" si="23"/>
        <v>55</v>
      </c>
      <c r="U258" s="16" t="str">
        <f t="shared" ca="1" si="24"/>
        <v>Bloody</v>
      </c>
      <c r="V258" s="155">
        <f ca="1">IFERROR(__xludf.DUMMYFUNCTION("if(W258=""Middle Age"",QUERY(NPCVar!$K$2:$N1000, ""Select L where K = '""&amp;AB258&amp;""'""),if(W258=""Old"",QUERY(NPCVar!$K$2:$N1000, ""Select M where K = '""&amp;AB258&amp;""'""),if(W258=""Venerable"",QUERY(NPCVar!$K$2:$N1000, ""Select N where K = '""&amp;AB258&amp;""'""),fa"&amp;"lse)))*X258"),112.5)</f>
        <v>112.5</v>
      </c>
      <c r="W258" s="156" t="str">
        <f t="array" ref="W258">INDEX(NPCAgeType,TRUNC(1+(4-1)*(TRUNC(MOD((X258*1103515245 +12345)/ 65536, 32768),0)/32768),0))</f>
        <v>Middle Age</v>
      </c>
      <c r="X258" s="117">
        <f t="shared" si="13"/>
        <v>0.6</v>
      </c>
      <c r="Y258" s="157" t="e">
        <f t="array" aca="1" ref="Y258" ca="1">LOOKUP(ABS(MAX(Z258 + MIN(ABS(INDIRECT("Class Jobs!B"&amp;MATCH(E258,'Class Jobs'!$A$1:$A1000,0)&amp;":"&amp;"AF"&amp;MATCH(E258,'Class Jobs'!$A$1:$A1000,0)&amp;"")-$Z258)) * SUM(IF(MIN(ABS(INDIRECT("Class Jobs!B"&amp;MATCH(E258,'Class Jobs'!$A$1:$A1000,0)&amp;":"&amp;"AF"&amp;MATCH(E258,'Class Jobs'!$A$1:$A1000,0)&amp;"")-$Z258))=ABS(INDIRECT("Class Jobs!B"&amp;MATCH(E258,'Class Jobs'!$A$1:$A1000,0)&amp;":"&amp;"AF"&amp;MATCH(E258,'Class Jobs'!$A$1:$A1000,0)&amp;"")-$Z258),SIGN(INDIRECT("Class Jobs!B"&amp;MATCH(E258,'Class Jobs'!$A$1:A1000,0)&amp;":"&amp;"AF"&amp;MATCH(E258,'Class Jobs'!$A$1:$A1000,0)&amp;"")-$Z258),0)),0)),INDIRECT("Class Jobs!B"&amp;MATCH(E258,'Class Jobs'!$A$1:$A1000,0)&amp;":"&amp;"AF"&amp;MATCH(E258,'Class Jobs'!$A$1:$A1000,1)&amp;""),'Class Jobs'!$B$1:$AF$1)</f>
        <v>#REF!</v>
      </c>
      <c r="Z258" s="158">
        <f t="shared" si="25"/>
        <v>0.25</v>
      </c>
      <c r="AA258" s="16" t="str">
        <f t="array" ref="AA258">INDEX(NPCGender,TRUNC(1+(COUNTA(NPCGender))*(TRUNC(MOD(($B258*1103515245 +12345)/ 65536, 32768),0)/32768),0))</f>
        <v>Male</v>
      </c>
      <c r="AB258" s="16" t="str">
        <f t="array" ref="AB258">INDEX(NPCRace,TRUNC(1+(COUNTA(NPCRace))*(TRUNC(MOD(($B258*1103515245 +12345)/ 65536, 32768),0)/32768),0))</f>
        <v>Elf</v>
      </c>
      <c r="AC258" s="16" t="str">
        <f t="array" ref="AC258">INDEX(NPCAL,TRUNC(1+(COUNTA(NPCAL))*(TRUNC(MOD(($B258*1103515245 +12345)/ 65536, 32768),0)/32768),0))</f>
        <v>CG</v>
      </c>
      <c r="AD258" s="72" t="str">
        <f ca="1">IFERROR(__xludf.DUMMYFUNCTION("if(V258&lt;15,QUERY(NPCVar!C:D,""Select D WHERE C = '""&amp;D258&amp;""'""),if((TRUNC(1+10)*(TRUNC(MOD((ROW(H258)*1103515245 +12345)/ 65536, 32768),0)/32768)/10) &gt; 0.85,INDEX(NPCFaction,TRUNC(1+(counta(NPCFaction)-1)*(TRUNC(MOD(($B258*1103515245 +12345)/ 65536, 3276"&amp;"8),0)/32768),0)),QUERY(NPCVar!C:D,""Select D WHERE C = '""&amp;D258&amp;""'"")))"),"Magic Guild")</f>
        <v>Magic Guild</v>
      </c>
      <c r="AE258" s="108" t="e">
        <f t="shared" ca="1" si="26"/>
        <v>#NAME?</v>
      </c>
      <c r="AF258" s="159">
        <f ca="1">IFERROR(__xludf.DUMMYFUNCTION("AE258*(V258 / QUERY(NPCVar!$K$2:$N$12, ""Select N WHERE K='""&amp;AB258&amp;""'""))*TRUNC(1+10)*(TRUNC(MOD(($B258*1103515245 +12345)/ 65536, 32768),0)/32768)"),-0.0411996459960937)</f>
        <v>-4.1199645996093701E-2</v>
      </c>
      <c r="AG258" s="16"/>
      <c r="AH258" s="77"/>
      <c r="AI258" s="114"/>
    </row>
    <row r="259" spans="1:35" ht="16.2">
      <c r="A259" s="53">
        <v>258</v>
      </c>
      <c r="B259" s="118">
        <f t="shared" si="27"/>
        <v>1.9800500000000001</v>
      </c>
      <c r="C259" s="72" t="str">
        <f t="array" ref="C259">INDEX(NPCFName,TRUNC(1+(COUNTA(NPCFName))*(TRUNC(MOD(($B259*1103515245 +12345)/ 65536, 32768),0)/32768),0))</f>
        <v>Asen</v>
      </c>
      <c r="D259" s="16" t="str">
        <f t="array" ref="D259">INDEX(NPCLName,TRUNC(1+(COUNTA(NPCLName))*(TRUNC(MOD(($B259*1103515245 +12345)/ 65536, 32768),0)/32768),0))</f>
        <v>Stagfang</v>
      </c>
      <c r="E259" s="16" t="str">
        <f t="array" ref="E259">INDEX(NPCClass,TRUNC(1+(COUNTA(NPCClass))*(TRUNC(MOD(($B259*1103515245 +12345)/ 65536, 32768),0)/32768),0))</f>
        <v>Barbarian</v>
      </c>
      <c r="F259" s="76">
        <v>1</v>
      </c>
      <c r="G259" s="153">
        <f ca="1">VLOOKUP($AB$2,'RF Mod'!$A$2:$G$12,2,FALSE)+VLOOKUP($AD$2,'RF Mod'!$I$2:$O$11,2,FALSE)+(TRUNC(6+(24-6)*(TRUNC(MOD(($Z259*1103515245 +12345)/ 65536, 32768),0)/32768),0))</f>
        <v>4</v>
      </c>
      <c r="H259" s="16">
        <f t="shared" ca="1" si="17"/>
        <v>-3</v>
      </c>
      <c r="I259" s="153">
        <f ca="1">VLOOKUP($AB$2,'RF Mod'!$A$2:$G$12,3,FALSE)+VLOOKUP($AD$2,'RF Mod'!$I$2:$O$11,3,FALSE)+(TRUNC(6+(24-6)*(TRUNC(MOD(($Z259*1103515245 +12345)/ 65536, 32768),0)/32768),0))</f>
        <v>8</v>
      </c>
      <c r="J259" s="16">
        <f t="shared" ca="1" si="18"/>
        <v>-1</v>
      </c>
      <c r="K259" s="153">
        <f ca="1">VLOOKUP($AB$2,'RF Mod'!$A$2:$G$12,3,FALSE)+VLOOKUP($AD$2,'RF Mod'!$I$2:$O$11,3,FALSE)+(TRUNC(6+(24-6)*(TRUNC(MOD(($Z259*1103515245 +12345)/ 65536, 32768),0)/32768),0))</f>
        <v>8</v>
      </c>
      <c r="L259" s="16">
        <f t="shared" ca="1" si="19"/>
        <v>-1</v>
      </c>
      <c r="M259" s="153">
        <f ca="1">VLOOKUP($AB$2,'RF Mod'!$A$2:$G$12,4,FALSE)+VLOOKUP($AD$2,'RF Mod'!$I$2:$O$11,4,FALSE)+(TRUNC(6+(24-6)*(TRUNC(MOD(($Z259*1103515245 +12345)/ 65536, 32768),0)/32768),0))</f>
        <v>7</v>
      </c>
      <c r="N259" s="16">
        <f t="shared" ca="1" si="20"/>
        <v>-2</v>
      </c>
      <c r="O259" s="153">
        <f ca="1">VLOOKUP($AB$2,'RF Mod'!$A$2:$G$12,5,FALSE)+VLOOKUP($AD$2,'RF Mod'!$I$2:$O$11,5,FALSE)+(TRUNC(6+(24-6)*(TRUNC(MOD(($Z259*1103515245 +12345)/ 65536, 32768),0)/32768),0))</f>
        <v>10</v>
      </c>
      <c r="P259" s="16" t="e">
        <f t="shared" ca="1" si="21"/>
        <v>#NAME?</v>
      </c>
      <c r="Q259" s="153">
        <f ca="1">VLOOKUP($AB$2,'RF Mod'!$A$2:$G$12,6,FALSE)+VLOOKUP($AD$2,'RF Mod'!$I$2:$O$11,6,FALSE)+(TRUNC(6+(24-6)*(TRUNC(MOD(($Z259*1103515245 +12345)/ 65536, 32768),0)/32768),0))</f>
        <v>8</v>
      </c>
      <c r="R259" s="16">
        <f t="shared" ca="1" si="22"/>
        <v>-1</v>
      </c>
      <c r="S259" s="154">
        <f t="shared" ca="1" si="28"/>
        <v>10</v>
      </c>
      <c r="T259" s="154">
        <f t="shared" ca="1" si="23"/>
        <v>1</v>
      </c>
      <c r="U259" s="16" t="str">
        <f t="shared" ca="1" si="24"/>
        <v>Fine</v>
      </c>
      <c r="V259" s="155">
        <f ca="1">IFERROR(__xludf.DUMMYFUNCTION("if(W259=""Middle Age"",QUERY(NPCVar!$K$2:$N1000, ""Select L where K = '""&amp;AB259&amp;""'""),if(W259=""Old"",QUERY(NPCVar!$K$2:$N1000, ""Select M where K = '""&amp;AB259&amp;""'""),if(W259=""Venerable"",QUERY(NPCVar!$K$2:$N1000, ""Select N where K = '""&amp;AB259&amp;""'""),fa"&amp;"lse)))*X259"),2)</f>
        <v>2</v>
      </c>
      <c r="W259" s="156" t="str">
        <f t="array" ref="W259">INDEX(NPCAgeType,TRUNC(1+(4-1)*(TRUNC(MOD((X259*1103515245 +12345)/ 65536, 32768),0)/32768),0))</f>
        <v>Middle Age</v>
      </c>
      <c r="X259" s="117">
        <f t="shared" si="13"/>
        <v>0.1</v>
      </c>
      <c r="Y259" s="157" t="e">
        <f t="array" aca="1" ref="Y259" ca="1">LOOKUP(ABS(MAX(Z259 + MIN(ABS(INDIRECT("Class Jobs!B"&amp;MATCH(E259,'Class Jobs'!$A$1:$A1000,0)&amp;":"&amp;"AF"&amp;MATCH(E259,'Class Jobs'!$A$1:$A1000,0)&amp;"")-$Z259)) * SUM(IF(MIN(ABS(INDIRECT("Class Jobs!B"&amp;MATCH(E259,'Class Jobs'!$A$1:$A1000,0)&amp;":"&amp;"AF"&amp;MATCH(E259,'Class Jobs'!$A$1:$A1000,0)&amp;"")-$Z259))=ABS(INDIRECT("Class Jobs!B"&amp;MATCH(E259,'Class Jobs'!$A$1:$A1000,0)&amp;":"&amp;"AF"&amp;MATCH(E259,'Class Jobs'!$A$1:$A1000,0)&amp;"")-$Z259),SIGN(INDIRECT("Class Jobs!B"&amp;MATCH(E259,'Class Jobs'!$A$1:A1000,0)&amp;":"&amp;"AF"&amp;MATCH(E259,'Class Jobs'!$A$1:$A1000,0)&amp;"")-$Z259),0)),0)),INDIRECT("Class Jobs!B"&amp;MATCH(E259,'Class Jobs'!$A$1:$A1000,0)&amp;":"&amp;"AF"&amp;MATCH(E259,'Class Jobs'!$A$1:$A1000,1)&amp;""),'Class Jobs'!$B$1:$AF$1)</f>
        <v>#REF!</v>
      </c>
      <c r="Z259" s="158">
        <f t="shared" si="25"/>
        <v>0.02</v>
      </c>
      <c r="AA259" s="16" t="str">
        <f t="array" ref="AA259">INDEX(NPCGender,TRUNC(1+(COUNTA(NPCGender))*(TRUNC(MOD(($B259*1103515245 +12345)/ 65536, 32768),0)/32768),0))</f>
        <v>Male</v>
      </c>
      <c r="AB259" s="16" t="str">
        <f t="array" ref="AB259">INDEX(NPCRace,TRUNC(1+(COUNTA(NPCRace))*(TRUNC(MOD(($B259*1103515245 +12345)/ 65536, 32768),0)/32768),0))</f>
        <v>Dragonborn</v>
      </c>
      <c r="AC259" s="16" t="str">
        <f t="array" ref="AC259">INDEX(NPCAL,TRUNC(1+(COUNTA(NPCAL))*(TRUNC(MOD(($B259*1103515245 +12345)/ 65536, 32768),0)/32768),0))</f>
        <v>CN</v>
      </c>
      <c r="AD259" s="72" t="str">
        <f ca="1">IFERROR(__xludf.DUMMYFUNCTION("if(V259&lt;15,QUERY(NPCVar!C:D,""Select D WHERE C = '""&amp;D259&amp;""'""),if((TRUNC(1+10)*(TRUNC(MOD((ROW(H259)*1103515245 +12345)/ 65536, 32768),0)/32768)/10) &gt; 0.85,INDEX(NPCFaction,TRUNC(1+(counta(NPCFaction)-1)*(TRUNC(MOD(($B259*1103515245 +12345)/ 65536, 3276"&amp;"8),0)/32768),0)),QUERY(NPCVar!C:D,""Select D WHERE C = '""&amp;D259&amp;""'"")))"),"Royalty")</f>
        <v>Royalty</v>
      </c>
      <c r="AE259" s="108" t="e">
        <f t="shared" ca="1" si="26"/>
        <v>#NAME?</v>
      </c>
      <c r="AF259" s="159">
        <f ca="1">IFERROR(__xludf.DUMMYFUNCTION("AE259*(V259 / QUERY(NPCVar!$K$2:$N$12, ""Select N WHERE K='""&amp;AB259&amp;""'""))*TRUNC(1+10)*(TRUNC(MOD(($B259*1103515245 +12345)/ 65536, 32768),0)/32768)"),0.00144012451171875)</f>
        <v>1.4401245117187499E-3</v>
      </c>
      <c r="AG259" s="16"/>
      <c r="AH259" s="77"/>
      <c r="AI259" s="114"/>
    </row>
    <row r="260" spans="1:35" ht="16.2">
      <c r="A260" s="53">
        <v>259</v>
      </c>
      <c r="B260" s="118">
        <f t="shared" si="27"/>
        <v>0.97419999999999995</v>
      </c>
      <c r="C260" s="72" t="str">
        <f t="array" ref="C260">INDEX(NPCFName,TRUNC(1+(COUNTA(NPCFName))*(TRUNC(MOD(($B260*1103515245 +12345)/ 65536, 32768),0)/32768),0))</f>
        <v>Kyrad</v>
      </c>
      <c r="D260" s="16" t="str">
        <f t="array" ref="D260">INDEX(NPCLName,TRUNC(1+(COUNTA(NPCLName))*(TRUNC(MOD(($B260*1103515245 +12345)/ 65536, 32768),0)/32768),0))</f>
        <v>Staghammer</v>
      </c>
      <c r="E260" s="16" t="str">
        <f t="array" ref="E260">INDEX(NPCClass,TRUNC(1+(COUNTA(NPCClass))*(TRUNC(MOD(($B260*1103515245 +12345)/ 65536, 32768),0)/32768),0))</f>
        <v>Sorcerer</v>
      </c>
      <c r="F260" s="76">
        <v>8</v>
      </c>
      <c r="G260" s="153">
        <f ca="1">VLOOKUP($AB$2,'RF Mod'!$A$2:$G$12,2,FALSE)+VLOOKUP($AD$2,'RF Mod'!$I$2:$O$11,2,FALSE)+(TRUNC(6+(24-6)*(TRUNC(MOD(($Z260*1103515245 +12345)/ 65536, 32768),0)/32768),0))</f>
        <v>8</v>
      </c>
      <c r="H260" s="16">
        <f t="shared" ca="1" si="17"/>
        <v>-1</v>
      </c>
      <c r="I260" s="153">
        <f ca="1">VLOOKUP($AB$2,'RF Mod'!$A$2:$G$12,3,FALSE)+VLOOKUP($AD$2,'RF Mod'!$I$2:$O$11,3,FALSE)+(TRUNC(6+(24-6)*(TRUNC(MOD(($Z260*1103515245 +12345)/ 65536, 32768),0)/32768),0))</f>
        <v>12</v>
      </c>
      <c r="J260" s="16" t="e">
        <f t="shared" ca="1" si="18"/>
        <v>#NAME?</v>
      </c>
      <c r="K260" s="153">
        <f ca="1">VLOOKUP($AB$2,'RF Mod'!$A$2:$G$12,3,FALSE)+VLOOKUP($AD$2,'RF Mod'!$I$2:$O$11,3,FALSE)+(TRUNC(6+(24-6)*(TRUNC(MOD(($Z260*1103515245 +12345)/ 65536, 32768),0)/32768),0))</f>
        <v>12</v>
      </c>
      <c r="L260" s="16" t="e">
        <f t="shared" ca="1" si="19"/>
        <v>#NAME?</v>
      </c>
      <c r="M260" s="153">
        <f ca="1">VLOOKUP($AB$2,'RF Mod'!$A$2:$G$12,4,FALSE)+VLOOKUP($AD$2,'RF Mod'!$I$2:$O$11,4,FALSE)+(TRUNC(6+(24-6)*(TRUNC(MOD(($Z260*1103515245 +12345)/ 65536, 32768),0)/32768),0))</f>
        <v>11</v>
      </c>
      <c r="N260" s="16" t="e">
        <f t="shared" ca="1" si="20"/>
        <v>#NAME?</v>
      </c>
      <c r="O260" s="153">
        <f ca="1">VLOOKUP($AB$2,'RF Mod'!$A$2:$G$12,5,FALSE)+VLOOKUP($AD$2,'RF Mod'!$I$2:$O$11,5,FALSE)+(TRUNC(6+(24-6)*(TRUNC(MOD(($Z260*1103515245 +12345)/ 65536, 32768),0)/32768),0))</f>
        <v>14</v>
      </c>
      <c r="P260" s="16" t="e">
        <f t="shared" ca="1" si="21"/>
        <v>#NAME?</v>
      </c>
      <c r="Q260" s="153">
        <f ca="1">VLOOKUP($AB$2,'RF Mod'!$A$2:$G$12,6,FALSE)+VLOOKUP($AD$2,'RF Mod'!$I$2:$O$11,6,FALSE)+(TRUNC(6+(24-6)*(TRUNC(MOD(($Z260*1103515245 +12345)/ 65536, 32768),0)/32768),0))</f>
        <v>12</v>
      </c>
      <c r="R260" s="16" t="e">
        <f t="shared" ca="1" si="22"/>
        <v>#NAME?</v>
      </c>
      <c r="S260" s="154">
        <f t="shared" ca="1" si="28"/>
        <v>208</v>
      </c>
      <c r="T260" s="154">
        <f t="shared" ca="1" si="23"/>
        <v>89</v>
      </c>
      <c r="U260" s="16" t="str">
        <f t="shared" ca="1" si="24"/>
        <v>Fine</v>
      </c>
      <c r="V260" s="155">
        <f ca="1">IFERROR(__xludf.DUMMYFUNCTION("if(W260=""Middle Age"",QUERY(NPCVar!$K$2:$N1000, ""Select L where K = '""&amp;AB260&amp;""'""),if(W260=""Old"",QUERY(NPCVar!$K$2:$N1000, ""Select M where K = '""&amp;AB260&amp;""'""),if(W260=""Venerable"",QUERY(NPCVar!$K$2:$N1000, ""Select N where K = '""&amp;AB260&amp;""'""),fa"&amp;"lse)))*X260"),91)</f>
        <v>91</v>
      </c>
      <c r="W260" s="156" t="str">
        <f t="array" ref="W260">INDEX(NPCAgeType,TRUNC(1+(4-1)*(TRUNC(MOD((X260*1103515245 +12345)/ 65536, 32768),0)/32768),0))</f>
        <v>Venerable</v>
      </c>
      <c r="X260" s="117">
        <f t="shared" ref="X260:X514" si="29">(TRUNC(1+(25-1)*(TRUNC(MOD(($B260*1103515245 +12345)/ 65536, 32768),0)/32768),0))/10</f>
        <v>1.3</v>
      </c>
      <c r="Y260" s="157" t="e">
        <f t="array" aca="1" ref="Y260" ca="1">LOOKUP(ABS(MAX(Z260 + MIN(ABS(INDIRECT("Class Jobs!B"&amp;MATCH(E260,'Class Jobs'!$A$1:$A1000,0)&amp;":"&amp;"AF"&amp;MATCH(E260,'Class Jobs'!$A$1:$A1000,0)&amp;"")-$Z260)) * SUM(IF(MIN(ABS(INDIRECT("Class Jobs!B"&amp;MATCH(E260,'Class Jobs'!$A$1:$A1000,0)&amp;":"&amp;"AF"&amp;MATCH(E260,'Class Jobs'!$A$1:$A1000,0)&amp;"")-$Z260))=ABS(INDIRECT("Class Jobs!B"&amp;MATCH(E260,'Class Jobs'!$A$1:$A1000,0)&amp;":"&amp;"AF"&amp;MATCH(E260,'Class Jobs'!$A$1:$A1000,0)&amp;"")-$Z260),SIGN(INDIRECT("Class Jobs!B"&amp;MATCH(E260,'Class Jobs'!$A$1:A1000,0)&amp;":"&amp;"AF"&amp;MATCH(E260,'Class Jobs'!$A$1:$A1000,0)&amp;"")-$Z260),0)),0)),INDIRECT("Class Jobs!B"&amp;MATCH(E260,'Class Jobs'!$A$1:$A1000,0)&amp;":"&amp;"AF"&amp;MATCH(E260,'Class Jobs'!$A$1:$A1000,1)&amp;""),'Class Jobs'!$B$1:$AF$1)</f>
        <v>#REF!</v>
      </c>
      <c r="Z260" s="158">
        <f t="shared" si="25"/>
        <v>0.5</v>
      </c>
      <c r="AA260" s="16" t="str">
        <f t="array" ref="AA260">INDEX(NPCGender,TRUNC(1+(COUNTA(NPCGender))*(TRUNC(MOD(($B260*1103515245 +12345)/ 65536, 32768),0)/32768),0))</f>
        <v>Female</v>
      </c>
      <c r="AB260" s="16" t="str">
        <f t="array" ref="AB260">INDEX(NPCRace,TRUNC(1+(COUNTA(NPCRace))*(TRUNC(MOD(($B260*1103515245 +12345)/ 65536, 32768),0)/32768),0))</f>
        <v>Half-Orc</v>
      </c>
      <c r="AC260" s="16" t="str">
        <f t="array" ref="AC260">INDEX(NPCAL,TRUNC(1+(COUNTA(NPCAL))*(TRUNC(MOD(($B260*1103515245 +12345)/ 65536, 32768),0)/32768),0))</f>
        <v>NN</v>
      </c>
      <c r="AD260" s="72" t="str">
        <f ca="1">IFERROR(__xludf.DUMMYFUNCTION("if(V260&lt;15,QUERY(NPCVar!C:D,""Select D WHERE C = '""&amp;D260&amp;""'""),if((TRUNC(1+10)*(TRUNC(MOD((ROW(H260)*1103515245 +12345)/ 65536, 32768),0)/32768)/10) &gt; 0.85,INDEX(NPCFaction,TRUNC(1+(counta(NPCFaction)-1)*(TRUNC(MOD(($B260*1103515245 +12345)/ 65536, 3276"&amp;"8),0)/32768),0)),QUERY(NPCVar!C:D,""Select D WHERE C = '""&amp;D260&amp;""'"")))"),"Farmers Guild")</f>
        <v>Farmers Guild</v>
      </c>
      <c r="AE260" s="108" t="e">
        <f t="shared" ca="1" si="26"/>
        <v>#NAME?</v>
      </c>
      <c r="AF260" s="159">
        <f ca="1">IFERROR(__xludf.DUMMYFUNCTION("AE260*(V260 / QUERY(NPCVar!$K$2:$N$12, ""Select N WHERE K='""&amp;AB260&amp;""'""))*TRUNC(1+10)*(TRUNC(MOD(($B260*1103515245 +12345)/ 65536, 32768),0)/32768)"),1.43174560546875)</f>
        <v>1.4317456054687501</v>
      </c>
      <c r="AG260" s="16"/>
      <c r="AH260" s="77"/>
      <c r="AI260" s="114"/>
    </row>
    <row r="261" spans="1:35" ht="16.2">
      <c r="A261" s="53">
        <v>260</v>
      </c>
      <c r="B261" s="118">
        <f t="shared" si="27"/>
        <v>2.4682599999999999</v>
      </c>
      <c r="C261" s="72" t="str">
        <f t="array" ref="C261">INDEX(NPCFName,TRUNC(1+(COUNTA(NPCFName))*(TRUNC(MOD(($B261*1103515245 +12345)/ 65536, 32768),0)/32768),0))</f>
        <v>Shillen</v>
      </c>
      <c r="D261" s="16" t="str">
        <f t="array" ref="D261">INDEX(NPCLName,TRUNC(1+(COUNTA(NPCLName))*(TRUNC(MOD(($B261*1103515245 +12345)/ 65536, 32768),0)/32768),0))</f>
        <v>Commonscream</v>
      </c>
      <c r="E261" s="16" t="str">
        <f t="array" ref="E261">INDEX(NPCClass,TRUNC(1+(COUNTA(NPCClass))*(TRUNC(MOD(($B261*1103515245 +12345)/ 65536, 32768),0)/32768),0))</f>
        <v>Monk</v>
      </c>
      <c r="F261" s="76">
        <v>1</v>
      </c>
      <c r="G261" s="153">
        <f ca="1">VLOOKUP($AB$2,'RF Mod'!$A$2:$G$12,2,FALSE)+VLOOKUP($AD$2,'RF Mod'!$I$2:$O$11,2,FALSE)+(TRUNC(6+(24-6)*(TRUNC(MOD(($Z261*1103515245 +12345)/ 65536, 32768),0)/32768),0))</f>
        <v>6</v>
      </c>
      <c r="H261" s="16">
        <f t="shared" ca="1" si="17"/>
        <v>-2</v>
      </c>
      <c r="I261" s="153">
        <f ca="1">VLOOKUP($AB$2,'RF Mod'!$A$2:$G$12,3,FALSE)+VLOOKUP($AD$2,'RF Mod'!$I$2:$O$11,3,FALSE)+(TRUNC(6+(24-6)*(TRUNC(MOD(($Z261*1103515245 +12345)/ 65536, 32768),0)/32768),0))</f>
        <v>10</v>
      </c>
      <c r="J261" s="16" t="e">
        <f t="shared" ca="1" si="18"/>
        <v>#NAME?</v>
      </c>
      <c r="K261" s="153">
        <f ca="1">VLOOKUP($AB$2,'RF Mod'!$A$2:$G$12,3,FALSE)+VLOOKUP($AD$2,'RF Mod'!$I$2:$O$11,3,FALSE)+(TRUNC(6+(24-6)*(TRUNC(MOD(($Z261*1103515245 +12345)/ 65536, 32768),0)/32768),0))</f>
        <v>10</v>
      </c>
      <c r="L261" s="16" t="e">
        <f t="shared" ca="1" si="19"/>
        <v>#NAME?</v>
      </c>
      <c r="M261" s="153">
        <f ca="1">VLOOKUP($AB$2,'RF Mod'!$A$2:$G$12,4,FALSE)+VLOOKUP($AD$2,'RF Mod'!$I$2:$O$11,4,FALSE)+(TRUNC(6+(24-6)*(TRUNC(MOD(($Z261*1103515245 +12345)/ 65536, 32768),0)/32768),0))</f>
        <v>9</v>
      </c>
      <c r="N261" s="16">
        <f t="shared" ca="1" si="20"/>
        <v>-1</v>
      </c>
      <c r="O261" s="153">
        <f ca="1">VLOOKUP($AB$2,'RF Mod'!$A$2:$G$12,5,FALSE)+VLOOKUP($AD$2,'RF Mod'!$I$2:$O$11,5,FALSE)+(TRUNC(6+(24-6)*(TRUNC(MOD(($Z261*1103515245 +12345)/ 65536, 32768),0)/32768),0))</f>
        <v>12</v>
      </c>
      <c r="P261" s="16" t="e">
        <f t="shared" ca="1" si="21"/>
        <v>#NAME?</v>
      </c>
      <c r="Q261" s="153">
        <f ca="1">VLOOKUP($AB$2,'RF Mod'!$A$2:$G$12,6,FALSE)+VLOOKUP($AD$2,'RF Mod'!$I$2:$O$11,6,FALSE)+(TRUNC(6+(24-6)*(TRUNC(MOD(($Z261*1103515245 +12345)/ 65536, 32768),0)/32768),0))</f>
        <v>10</v>
      </c>
      <c r="R261" s="16" t="e">
        <f t="shared" ca="1" si="22"/>
        <v>#NAME?</v>
      </c>
      <c r="S261" s="154">
        <f t="shared" ca="1" si="28"/>
        <v>14</v>
      </c>
      <c r="T261" s="154">
        <f t="shared" ca="1" si="23"/>
        <v>13</v>
      </c>
      <c r="U261" s="16" t="str">
        <f t="shared" ca="1" si="24"/>
        <v>Bloody</v>
      </c>
      <c r="V261" s="155">
        <f ca="1">IFERROR(__xludf.DUMMYFUNCTION("if(W261=""Middle Age"",QUERY(NPCVar!$K$2:$N1000, ""Select L where K = '""&amp;AB261&amp;""'""),if(W261=""Old"",QUERY(NPCVar!$K$2:$N1000, ""Select M where K = '""&amp;AB261&amp;""'""),if(W261=""Venerable"",QUERY(NPCVar!$K$2:$N1000, ""Select N where K = '""&amp;AB261&amp;""'""),fa"&amp;"lse)))*X261"),196.875)</f>
        <v>196.875</v>
      </c>
      <c r="W261" s="156" t="str">
        <f t="array" ref="W261">INDEX(NPCAgeType,TRUNC(1+(4-1)*(TRUNC(MOD((X261*1103515245 +12345)/ 65536, 32768),0)/32768),0))</f>
        <v>Old</v>
      </c>
      <c r="X261" s="117">
        <f t="shared" si="29"/>
        <v>0.7</v>
      </c>
      <c r="Y261" s="157" t="e">
        <f t="array" aca="1" ref="Y261" ca="1">LOOKUP(ABS(MAX(Z261 + MIN(ABS(INDIRECT("Class Jobs!B"&amp;MATCH(E261,'Class Jobs'!$A$1:$A1000,0)&amp;":"&amp;"AF"&amp;MATCH(E261,'Class Jobs'!$A$1:$A1000,0)&amp;"")-$Z261)) * SUM(IF(MIN(ABS(INDIRECT("Class Jobs!B"&amp;MATCH(E261,'Class Jobs'!$A$1:$A1000,0)&amp;":"&amp;"AF"&amp;MATCH(E261,'Class Jobs'!$A$1:$A1000,0)&amp;"")-$Z261))=ABS(INDIRECT("Class Jobs!B"&amp;MATCH(E261,'Class Jobs'!$A$1:$A1000,0)&amp;":"&amp;"AF"&amp;MATCH(E261,'Class Jobs'!$A$1:$A1000,0)&amp;"")-$Z261),SIGN(INDIRECT("Class Jobs!B"&amp;MATCH(E261,'Class Jobs'!$A$1:A1000,0)&amp;":"&amp;"AF"&amp;MATCH(E261,'Class Jobs'!$A$1:$A1000,0)&amp;"")-$Z261),0)),0)),INDIRECT("Class Jobs!B"&amp;MATCH(E261,'Class Jobs'!$A$1:$A1000,0)&amp;":"&amp;"AF"&amp;MATCH(E261,'Class Jobs'!$A$1:$A1000,1)&amp;""),'Class Jobs'!$B$1:$AF$1)</f>
        <v>#REF!</v>
      </c>
      <c r="Z261" s="158">
        <f t="shared" si="25"/>
        <v>0.27</v>
      </c>
      <c r="AA261" s="16" t="str">
        <f t="array" ref="AA261">INDEX(NPCGender,TRUNC(1+(COUNTA(NPCGender))*(TRUNC(MOD(($B261*1103515245 +12345)/ 65536, 32768),0)/32768),0))</f>
        <v>Male</v>
      </c>
      <c r="AB261" s="16" t="str">
        <f t="array" ref="AB261">INDEX(NPCRace,TRUNC(1+(COUNTA(NPCRace))*(TRUNC(MOD(($B261*1103515245 +12345)/ 65536, 32768),0)/32768),0))</f>
        <v>Elf</v>
      </c>
      <c r="AC261" s="16" t="str">
        <f t="array" ref="AC261">INDEX(NPCAL,TRUNC(1+(COUNTA(NPCAL))*(TRUNC(MOD(($B261*1103515245 +12345)/ 65536, 32768),0)/32768),0))</f>
        <v>CG</v>
      </c>
      <c r="AD261" s="72" t="str">
        <f ca="1">IFERROR(__xludf.DUMMYFUNCTION("if(V261&lt;15,QUERY(NPCVar!C:D,""Select D WHERE C = '""&amp;D261&amp;""'""),if((TRUNC(1+10)*(TRUNC(MOD((ROW(H261)*1103515245 +12345)/ 65536, 32768),0)/32768)/10) &gt; 0.85,INDEX(NPCFaction,TRUNC(1+(counta(NPCFaction)-1)*(TRUNC(MOD(($B261*1103515245 +12345)/ 65536, 3276"&amp;"8),0)/32768),0)),QUERY(NPCVar!C:D,""Select D WHERE C = '""&amp;D261&amp;""'"")))"),"Necromancer")</f>
        <v>Necromancer</v>
      </c>
      <c r="AE261" s="108" t="e">
        <f t="shared" ca="1" si="26"/>
        <v>#NAME?</v>
      </c>
      <c r="AF261" s="159">
        <f ca="1">IFERROR(__xludf.DUMMYFUNCTION("AE261*(V261 / QUERY(NPCVar!$K$2:$N$12, ""Select N WHERE K='""&amp;AB261&amp;""'""))*TRUNC(1+10)*(TRUNC(MOD(($B261*1103515245 +12345)/ 65536, 32768),0)/32768)"),0.309933929443359)</f>
        <v>0.30993392944335901</v>
      </c>
      <c r="AG261" s="16"/>
      <c r="AH261" s="77"/>
      <c r="AI261" s="114"/>
    </row>
    <row r="262" spans="1:35" ht="16.2">
      <c r="A262" s="53">
        <v>261</v>
      </c>
      <c r="B262" s="118">
        <f t="shared" si="27"/>
        <v>1.4623999999999999</v>
      </c>
      <c r="C262" s="72" t="str">
        <f t="array" ref="C262">INDEX(NPCFName,TRUNC(1+(COUNTA(NPCFName))*(TRUNC(MOD(($B262*1103515245 +12345)/ 65536, 32768),0)/32768),0))</f>
        <v>Dusaro</v>
      </c>
      <c r="D262" s="16" t="str">
        <f t="array" ref="D262">INDEX(NPCLName,TRUNC(1+(COUNTA(NPCLName))*(TRUNC(MOD(($B262*1103515245 +12345)/ 65536, 32768),0)/32768),0))</f>
        <v>Sacredgloom</v>
      </c>
      <c r="E262" s="16" t="str">
        <f t="array" ref="E262">INDEX(NPCClass,TRUNC(1+(COUNTA(NPCClass))*(TRUNC(MOD(($B262*1103515245 +12345)/ 65536, 32768),0)/32768),0))</f>
        <v>Cleric</v>
      </c>
      <c r="F262" s="76">
        <v>8</v>
      </c>
      <c r="G262" s="153">
        <f ca="1">VLOOKUP($AB$2,'RF Mod'!$A$2:$G$12,2,FALSE)+VLOOKUP($AD$2,'RF Mod'!$I$2:$O$11,2,FALSE)+(TRUNC(6+(24-6)*(TRUNC(MOD(($Z262*1103515245 +12345)/ 65536, 32768),0)/32768),0))</f>
        <v>10</v>
      </c>
      <c r="H262" s="16" t="e">
        <f t="shared" ca="1" si="17"/>
        <v>#NAME?</v>
      </c>
      <c r="I262" s="153">
        <f ca="1">VLOOKUP($AB$2,'RF Mod'!$A$2:$G$12,3,FALSE)+VLOOKUP($AD$2,'RF Mod'!$I$2:$O$11,3,FALSE)+(TRUNC(6+(24-6)*(TRUNC(MOD(($Z262*1103515245 +12345)/ 65536, 32768),0)/32768),0))</f>
        <v>14</v>
      </c>
      <c r="J262" s="16" t="e">
        <f t="shared" ca="1" si="18"/>
        <v>#NAME?</v>
      </c>
      <c r="K262" s="153">
        <f ca="1">VLOOKUP($AB$2,'RF Mod'!$A$2:$G$12,3,FALSE)+VLOOKUP($AD$2,'RF Mod'!$I$2:$O$11,3,FALSE)+(TRUNC(6+(24-6)*(TRUNC(MOD(($Z262*1103515245 +12345)/ 65536, 32768),0)/32768),0))</f>
        <v>14</v>
      </c>
      <c r="L262" s="16" t="e">
        <f t="shared" ca="1" si="19"/>
        <v>#NAME?</v>
      </c>
      <c r="M262" s="153">
        <f ca="1">VLOOKUP($AB$2,'RF Mod'!$A$2:$G$12,4,FALSE)+VLOOKUP($AD$2,'RF Mod'!$I$2:$O$11,4,FALSE)+(TRUNC(6+(24-6)*(TRUNC(MOD(($Z262*1103515245 +12345)/ 65536, 32768),0)/32768),0))</f>
        <v>13</v>
      </c>
      <c r="N262" s="16" t="e">
        <f t="shared" ca="1" si="20"/>
        <v>#NAME?</v>
      </c>
      <c r="O262" s="153">
        <f ca="1">VLOOKUP($AB$2,'RF Mod'!$A$2:$G$12,5,FALSE)+VLOOKUP($AD$2,'RF Mod'!$I$2:$O$11,5,FALSE)+(TRUNC(6+(24-6)*(TRUNC(MOD(($Z262*1103515245 +12345)/ 65536, 32768),0)/32768),0))</f>
        <v>16</v>
      </c>
      <c r="P262" s="16" t="e">
        <f t="shared" ca="1" si="21"/>
        <v>#NAME?</v>
      </c>
      <c r="Q262" s="153">
        <f ca="1">VLOOKUP($AB$2,'RF Mod'!$A$2:$G$12,6,FALSE)+VLOOKUP($AD$2,'RF Mod'!$I$2:$O$11,6,FALSE)+(TRUNC(6+(24-6)*(TRUNC(MOD(($Z262*1103515245 +12345)/ 65536, 32768),0)/32768),0))</f>
        <v>14</v>
      </c>
      <c r="R262" s="16" t="e">
        <f t="shared" ca="1" si="22"/>
        <v>#NAME?</v>
      </c>
      <c r="S262" s="154">
        <f t="shared" ca="1" si="28"/>
        <v>176</v>
      </c>
      <c r="T262" s="154">
        <f t="shared" ca="1" si="23"/>
        <v>202</v>
      </c>
      <c r="U262" s="16" t="str">
        <f t="shared" ca="1" si="24"/>
        <v>Dead</v>
      </c>
      <c r="V262" s="155">
        <f ca="1">IFERROR(__xludf.DUMMYFUNCTION("if(W262=""Middle Age"",QUERY(NPCVar!$K$2:$N1000, ""Select L where K = '""&amp;AB262&amp;""'""),if(W262=""Old"",QUERY(NPCVar!$K$2:$N1000, ""Select M where K = '""&amp;AB262&amp;""'""),if(W262=""Venerable"",QUERY(NPCVar!$K$2:$N1000, ""Select N where K = '""&amp;AB262&amp;""'""),fa"&amp;"lse)))*X262"),190)</f>
        <v>190</v>
      </c>
      <c r="W262" s="156" t="str">
        <f t="array" ref="W262">INDEX(NPCAgeType,TRUNC(1+(4-1)*(TRUNC(MOD((X262*1103515245 +12345)/ 65536, 32768),0)/32768),0))</f>
        <v>Venerable</v>
      </c>
      <c r="X262" s="117">
        <f t="shared" si="29"/>
        <v>1.9</v>
      </c>
      <c r="Y262" s="157" t="e">
        <f t="array" aca="1" ref="Y262" ca="1">LOOKUP(ABS(MAX(Z262 + MIN(ABS(INDIRECT("Class Jobs!B"&amp;MATCH(E262,'Class Jobs'!$A$1:$A1000,0)&amp;":"&amp;"AF"&amp;MATCH(E262,'Class Jobs'!$A$1:$A1000,0)&amp;"")-$Z262)) * SUM(IF(MIN(ABS(INDIRECT("Class Jobs!B"&amp;MATCH(E262,'Class Jobs'!$A$1:$A1000,0)&amp;":"&amp;"AF"&amp;MATCH(E262,'Class Jobs'!$A$1:$A1000,0)&amp;"")-$Z262))=ABS(INDIRECT("Class Jobs!B"&amp;MATCH(E262,'Class Jobs'!$A$1:$A1000,0)&amp;":"&amp;"AF"&amp;MATCH(E262,'Class Jobs'!$A$1:$A1000,0)&amp;"")-$Z262),SIGN(INDIRECT("Class Jobs!B"&amp;MATCH(E262,'Class Jobs'!$A$1:A1000,0)&amp;":"&amp;"AF"&amp;MATCH(E262,'Class Jobs'!$A$1:$A1000,0)&amp;"")-$Z262),0)),0)),INDIRECT("Class Jobs!B"&amp;MATCH(E262,'Class Jobs'!$A$1:$A1000,0)&amp;":"&amp;"AF"&amp;MATCH(E262,'Class Jobs'!$A$1:$A1000,1)&amp;""),'Class Jobs'!$B$1:$AF$1)</f>
        <v>#REF!</v>
      </c>
      <c r="Z262" s="158">
        <f t="shared" si="25"/>
        <v>0.75</v>
      </c>
      <c r="AA262" s="16" t="str">
        <f t="array" ref="AA262">INDEX(NPCGender,TRUNC(1+(COUNTA(NPCGender))*(TRUNC(MOD(($B262*1103515245 +12345)/ 65536, 32768),0)/32768),0))</f>
        <v>Neutral</v>
      </c>
      <c r="AB262" s="16" t="str">
        <f t="array" ref="AB262">INDEX(NPCRace,TRUNC(1+(COUNTA(NPCRace))*(TRUNC(MOD(($B262*1103515245 +12345)/ 65536, 32768),0)/32768),0))</f>
        <v>Tiefling</v>
      </c>
      <c r="AC262" s="16" t="str">
        <f t="array" ref="AC262">INDEX(NPCAL,TRUNC(1+(COUNTA(NPCAL))*(TRUNC(MOD(($B262*1103515245 +12345)/ 65536, 32768),0)/32768),0))</f>
        <v>LG</v>
      </c>
      <c r="AD262" s="72" t="str">
        <f ca="1">IFERROR(__xludf.DUMMYFUNCTION("if(V262&lt;15,QUERY(NPCVar!C:D,""Select D WHERE C = '""&amp;D262&amp;""'""),if((TRUNC(1+10)*(TRUNC(MOD((ROW(H262)*1103515245 +12345)/ 65536, 32768),0)/32768)/10) &gt; 0.85,INDEX(NPCFaction,TRUNC(1+(counta(NPCFaction)-1)*(TRUNC(MOD(($B262*1103515245 +12345)/ 65536, 3276"&amp;"8),0)/32768),0)),QUERY(NPCVar!C:D,""Select D WHERE C = '""&amp;D262&amp;""'"")))"),"Adventures Guild")</f>
        <v>Adventures Guild</v>
      </c>
      <c r="AE262" s="108" t="e">
        <f t="shared" ca="1" si="26"/>
        <v>#NAME?</v>
      </c>
      <c r="AF262" s="159">
        <f ca="1">IFERROR(__xludf.DUMMYFUNCTION("AE262*(V262 / QUERY(NPCVar!$K$2:$N$12, ""Select N WHERE K='""&amp;AB262&amp;""'""))*TRUNC(1+10)*(TRUNC(MOD(($B262*1103515245 +12345)/ 65536, 32768),0)/32768)"),4.7116845703125)</f>
        <v>4.7116845703125003</v>
      </c>
      <c r="AG262" s="16"/>
      <c r="AH262" s="77"/>
      <c r="AI262" s="114"/>
    </row>
    <row r="263" spans="1:35" ht="16.2">
      <c r="A263" s="53">
        <v>262</v>
      </c>
      <c r="B263" s="118">
        <f t="shared" si="27"/>
        <v>0.45655000000000001</v>
      </c>
      <c r="C263" s="72" t="str">
        <f t="array" ref="C263">INDEX(NPCFName,TRUNC(1+(COUNTA(NPCFName))*(TRUNC(MOD(($B263*1103515245 +12345)/ 65536, 32768),0)/32768),0))</f>
        <v>Qeisan</v>
      </c>
      <c r="D263" s="16" t="str">
        <f t="array" ref="D263">INDEX(NPCLName,TRUNC(1+(COUNTA(NPCLName))*(TRUNC(MOD(($B263*1103515245 +12345)/ 65536, 32768),0)/32768),0))</f>
        <v>Tuskleaf</v>
      </c>
      <c r="E263" s="16" t="str">
        <f t="array" ref="E263">INDEX(NPCClass,TRUNC(1+(COUNTA(NPCClass))*(TRUNC(MOD(($B263*1103515245 +12345)/ 65536, 32768),0)/32768),0))</f>
        <v>Druid</v>
      </c>
      <c r="F263" s="76">
        <v>1</v>
      </c>
      <c r="G263" s="153">
        <f ca="1">VLOOKUP($AB$2,'RF Mod'!$A$2:$G$12,2,FALSE)+VLOOKUP($AD$2,'RF Mod'!$I$2:$O$11,2,FALSE)+(TRUNC(6+(24-6)*(TRUNC(MOD(($Z263*1103515245 +12345)/ 65536, 32768),0)/32768),0))</f>
        <v>6</v>
      </c>
      <c r="H263" s="16">
        <f t="shared" ca="1" si="17"/>
        <v>-2</v>
      </c>
      <c r="I263" s="153">
        <f ca="1">VLOOKUP($AB$2,'RF Mod'!$A$2:$G$12,3,FALSE)+VLOOKUP($AD$2,'RF Mod'!$I$2:$O$11,3,FALSE)+(TRUNC(6+(24-6)*(TRUNC(MOD(($Z263*1103515245 +12345)/ 65536, 32768),0)/32768),0))</f>
        <v>10</v>
      </c>
      <c r="J263" s="16" t="e">
        <f t="shared" ca="1" si="18"/>
        <v>#NAME?</v>
      </c>
      <c r="K263" s="153">
        <f ca="1">VLOOKUP($AB$2,'RF Mod'!$A$2:$G$12,3,FALSE)+VLOOKUP($AD$2,'RF Mod'!$I$2:$O$11,3,FALSE)+(TRUNC(6+(24-6)*(TRUNC(MOD(($Z263*1103515245 +12345)/ 65536, 32768),0)/32768),0))</f>
        <v>10</v>
      </c>
      <c r="L263" s="16" t="e">
        <f t="shared" ca="1" si="19"/>
        <v>#NAME?</v>
      </c>
      <c r="M263" s="153">
        <f ca="1">VLOOKUP($AB$2,'RF Mod'!$A$2:$G$12,4,FALSE)+VLOOKUP($AD$2,'RF Mod'!$I$2:$O$11,4,FALSE)+(TRUNC(6+(24-6)*(TRUNC(MOD(($Z263*1103515245 +12345)/ 65536, 32768),0)/32768),0))</f>
        <v>9</v>
      </c>
      <c r="N263" s="16">
        <f t="shared" ca="1" si="20"/>
        <v>-1</v>
      </c>
      <c r="O263" s="153">
        <f ca="1">VLOOKUP($AB$2,'RF Mod'!$A$2:$G$12,5,FALSE)+VLOOKUP($AD$2,'RF Mod'!$I$2:$O$11,5,FALSE)+(TRUNC(6+(24-6)*(TRUNC(MOD(($Z263*1103515245 +12345)/ 65536, 32768),0)/32768),0))</f>
        <v>12</v>
      </c>
      <c r="P263" s="16" t="e">
        <f t="shared" ca="1" si="21"/>
        <v>#NAME?</v>
      </c>
      <c r="Q263" s="153">
        <f ca="1">VLOOKUP($AB$2,'RF Mod'!$A$2:$G$12,6,FALSE)+VLOOKUP($AD$2,'RF Mod'!$I$2:$O$11,6,FALSE)+(TRUNC(6+(24-6)*(TRUNC(MOD(($Z263*1103515245 +12345)/ 65536, 32768),0)/32768),0))</f>
        <v>10</v>
      </c>
      <c r="R263" s="16" t="e">
        <f t="shared" ca="1" si="22"/>
        <v>#NAME?</v>
      </c>
      <c r="S263" s="154">
        <f t="shared" ca="1" si="28"/>
        <v>12</v>
      </c>
      <c r="T263" s="154">
        <f t="shared" ca="1" si="23"/>
        <v>14</v>
      </c>
      <c r="U263" s="16" t="str">
        <f t="shared" ca="1" si="24"/>
        <v>Dead</v>
      </c>
      <c r="V263" s="155">
        <f ca="1">IFERROR(__xludf.DUMMYFUNCTION("if(W263=""Middle Age"",QUERY(NPCVar!$K$2:$N1000, ""Select L where K = '""&amp;AB263&amp;""'""),if(W263=""Old"",QUERY(NPCVar!$K$2:$N1000, ""Select M where K = '""&amp;AB263&amp;""'""),if(W263=""Venerable"",QUERY(NPCVar!$K$2:$N1000, ""Select N where K = '""&amp;AB263&amp;""'""),fa"&amp;"lse)))*X263"),112.5)</f>
        <v>112.5</v>
      </c>
      <c r="W263" s="156" t="str">
        <f t="array" ref="W263">INDEX(NPCAgeType,TRUNC(1+(4-1)*(TRUNC(MOD((X263*1103515245 +12345)/ 65536, 32768),0)/32768),0))</f>
        <v>Middle Age</v>
      </c>
      <c r="X263" s="117">
        <f t="shared" si="29"/>
        <v>0.6</v>
      </c>
      <c r="Y263" s="157" t="e">
        <f t="array" aca="1" ref="Y263" ca="1">LOOKUP(ABS(MAX(Z263 + MIN(ABS(INDIRECT("Class Jobs!B"&amp;MATCH(E263,'Class Jobs'!$A$1:$A1000,0)&amp;":"&amp;"AF"&amp;MATCH(E263,'Class Jobs'!$A$1:$A1000,0)&amp;"")-$Z263)) * SUM(IF(MIN(ABS(INDIRECT("Class Jobs!B"&amp;MATCH(E263,'Class Jobs'!$A$1:$A1000,0)&amp;":"&amp;"AF"&amp;MATCH(E263,'Class Jobs'!$A$1:$A1000,0)&amp;"")-$Z263))=ABS(INDIRECT("Class Jobs!B"&amp;MATCH(E263,'Class Jobs'!$A$1:$A1000,0)&amp;":"&amp;"AF"&amp;MATCH(E263,'Class Jobs'!$A$1:$A1000,0)&amp;"")-$Z263),SIGN(INDIRECT("Class Jobs!B"&amp;MATCH(E263,'Class Jobs'!$A$1:A1000,0)&amp;":"&amp;"AF"&amp;MATCH(E263,'Class Jobs'!$A$1:$A1000,0)&amp;"")-$Z263),0)),0)),INDIRECT("Class Jobs!B"&amp;MATCH(E263,'Class Jobs'!$A$1:$A1000,0)&amp;":"&amp;"AF"&amp;MATCH(E263,'Class Jobs'!$A$1:$A1000,1)&amp;""),'Class Jobs'!$B$1:$AF$1)</f>
        <v>#REF!</v>
      </c>
      <c r="Z263" s="158">
        <f t="shared" si="25"/>
        <v>0.24</v>
      </c>
      <c r="AA263" s="16" t="str">
        <f t="array" ref="AA263">INDEX(NPCGender,TRUNC(1+(COUNTA(NPCGender))*(TRUNC(MOD(($B263*1103515245 +12345)/ 65536, 32768),0)/32768),0))</f>
        <v>Male</v>
      </c>
      <c r="AB263" s="16" t="str">
        <f t="array" ref="AB263">INDEX(NPCRace,TRUNC(1+(COUNTA(NPCRace))*(TRUNC(MOD(($B263*1103515245 +12345)/ 65536, 32768),0)/32768),0))</f>
        <v>Elf</v>
      </c>
      <c r="AC263" s="16" t="str">
        <f t="array" ref="AC263">INDEX(NPCAL,TRUNC(1+(COUNTA(NPCAL))*(TRUNC(MOD(($B263*1103515245 +12345)/ 65536, 32768),0)/32768),0))</f>
        <v>CG</v>
      </c>
      <c r="AD263" s="72" t="str">
        <f ca="1">IFERROR(__xludf.DUMMYFUNCTION("if(V263&lt;15,QUERY(NPCVar!C:D,""Select D WHERE C = '""&amp;D263&amp;""'""),if((TRUNC(1+10)*(TRUNC(MOD((ROW(H263)*1103515245 +12345)/ 65536, 32768),0)/32768)/10) &gt; 0.85,INDEX(NPCFaction,TRUNC(1+(counta(NPCFaction)-1)*(TRUNC(MOD(($B263*1103515245 +12345)/ 65536, 3276"&amp;"8),0)/32768),0)),QUERY(NPCVar!C:D,""Select D WHERE C = '""&amp;D263&amp;""'"")))"),"Magic Guild")</f>
        <v>Magic Guild</v>
      </c>
      <c r="AE263" s="108" t="e">
        <f t="shared" ca="1" si="26"/>
        <v>#NAME?</v>
      </c>
      <c r="AF263" s="159">
        <f ca="1">IFERROR(__xludf.DUMMYFUNCTION("AE263*(V263 / QUERY(NPCVar!$K$2:$N$12, ""Select N WHERE K='""&amp;AB263&amp;""'""))*TRUNC(1+10)*(TRUNC(MOD(($B263*1103515245 +12345)/ 65536, 32768),0)/32768)"),0.154828491210937)</f>
        <v>0.154828491210937</v>
      </c>
      <c r="AG263" s="16"/>
      <c r="AH263" s="77"/>
      <c r="AI263" s="114"/>
    </row>
    <row r="264" spans="1:35" ht="16.2">
      <c r="A264" s="53">
        <v>263</v>
      </c>
      <c r="B264" s="118">
        <f t="shared" si="27"/>
        <v>1.95068</v>
      </c>
      <c r="C264" s="72" t="str">
        <f t="array" ref="C264">INDEX(NPCFName,TRUNC(1+(COUNTA(NPCFName))*(TRUNC(MOD(($B264*1103515245 +12345)/ 65536, 32768),0)/32768),0))</f>
        <v>Acamen</v>
      </c>
      <c r="D264" s="16" t="str">
        <f t="array" ref="D264">INDEX(NPCLName,TRUNC(1+(COUNTA(NPCLName))*(TRUNC(MOD(($B264*1103515245 +12345)/ 65536, 32768),0)/32768),0))</f>
        <v>Stagfang</v>
      </c>
      <c r="E264" s="16" t="str">
        <f t="array" ref="E264">INDEX(NPCClass,TRUNC(1+(COUNTA(NPCClass))*(TRUNC(MOD(($B264*1103515245 +12345)/ 65536, 32768),0)/32768),0))</f>
        <v>Barbarian</v>
      </c>
      <c r="F264" s="76">
        <v>1</v>
      </c>
      <c r="G264" s="153">
        <f ca="1">VLOOKUP($AB$2,'RF Mod'!$A$2:$G$12,2,FALSE)+VLOOKUP($AD$2,'RF Mod'!$I$2:$O$11,2,FALSE)+(TRUNC(6+(24-6)*(TRUNC(MOD(($Z264*1103515245 +12345)/ 65536, 32768),0)/32768),0))</f>
        <v>4</v>
      </c>
      <c r="H264" s="16">
        <f t="shared" ca="1" si="17"/>
        <v>-3</v>
      </c>
      <c r="I264" s="153">
        <f ca="1">VLOOKUP($AB$2,'RF Mod'!$A$2:$G$12,3,FALSE)+VLOOKUP($AD$2,'RF Mod'!$I$2:$O$11,3,FALSE)+(TRUNC(6+(24-6)*(TRUNC(MOD(($Z264*1103515245 +12345)/ 65536, 32768),0)/32768),0))</f>
        <v>8</v>
      </c>
      <c r="J264" s="16">
        <f t="shared" ca="1" si="18"/>
        <v>-1</v>
      </c>
      <c r="K264" s="153">
        <f ca="1">VLOOKUP($AB$2,'RF Mod'!$A$2:$G$12,3,FALSE)+VLOOKUP($AD$2,'RF Mod'!$I$2:$O$11,3,FALSE)+(TRUNC(6+(24-6)*(TRUNC(MOD(($Z264*1103515245 +12345)/ 65536, 32768),0)/32768),0))</f>
        <v>8</v>
      </c>
      <c r="L264" s="16">
        <f t="shared" ca="1" si="19"/>
        <v>-1</v>
      </c>
      <c r="M264" s="153">
        <f ca="1">VLOOKUP($AB$2,'RF Mod'!$A$2:$G$12,4,FALSE)+VLOOKUP($AD$2,'RF Mod'!$I$2:$O$11,4,FALSE)+(TRUNC(6+(24-6)*(TRUNC(MOD(($Z264*1103515245 +12345)/ 65536, 32768),0)/32768),0))</f>
        <v>7</v>
      </c>
      <c r="N264" s="16">
        <f t="shared" ca="1" si="20"/>
        <v>-2</v>
      </c>
      <c r="O264" s="153">
        <f ca="1">VLOOKUP($AB$2,'RF Mod'!$A$2:$G$12,5,FALSE)+VLOOKUP($AD$2,'RF Mod'!$I$2:$O$11,5,FALSE)+(TRUNC(6+(24-6)*(TRUNC(MOD(($Z264*1103515245 +12345)/ 65536, 32768),0)/32768),0))</f>
        <v>10</v>
      </c>
      <c r="P264" s="16" t="e">
        <f t="shared" ca="1" si="21"/>
        <v>#NAME?</v>
      </c>
      <c r="Q264" s="153">
        <f ca="1">VLOOKUP($AB$2,'RF Mod'!$A$2:$G$12,6,FALSE)+VLOOKUP($AD$2,'RF Mod'!$I$2:$O$11,6,FALSE)+(TRUNC(6+(24-6)*(TRUNC(MOD(($Z264*1103515245 +12345)/ 65536, 32768),0)/32768),0))</f>
        <v>8</v>
      </c>
      <c r="R264" s="16">
        <f t="shared" ca="1" si="22"/>
        <v>-1</v>
      </c>
      <c r="S264" s="154">
        <f t="shared" ca="1" si="28"/>
        <v>26</v>
      </c>
      <c r="T264" s="154">
        <f t="shared" ca="1" si="23"/>
        <v>4</v>
      </c>
      <c r="U264" s="16" t="str">
        <f t="shared" ca="1" si="24"/>
        <v>Fine</v>
      </c>
      <c r="V264" s="155">
        <f ca="1">IFERROR(__xludf.DUMMYFUNCTION("if(W264=""Middle Age"",QUERY(NPCVar!$K$2:$N1000, ""Select L where K = '""&amp;AB264&amp;""'""),if(W264=""Old"",QUERY(NPCVar!$K$2:$N1000, ""Select M where K = '""&amp;AB264&amp;""'""),if(W264=""Venerable"",QUERY(NPCVar!$K$2:$N1000, ""Select N where K = '""&amp;AB264&amp;""'""),fa"&amp;"lse)))*X264"),2)</f>
        <v>2</v>
      </c>
      <c r="W264" s="156" t="str">
        <f t="array" ref="W264">INDEX(NPCAgeType,TRUNC(1+(4-1)*(TRUNC(MOD((X264*1103515245 +12345)/ 65536, 32768),0)/32768),0))</f>
        <v>Middle Age</v>
      </c>
      <c r="X264" s="117">
        <f t="shared" si="29"/>
        <v>0.1</v>
      </c>
      <c r="Y264" s="157" t="e">
        <f t="array" aca="1" ref="Y264" ca="1">LOOKUP(ABS(MAX(Z264 + MIN(ABS(INDIRECT("Class Jobs!B"&amp;MATCH(E264,'Class Jobs'!$A$1:$A1000,0)&amp;":"&amp;"AF"&amp;MATCH(E264,'Class Jobs'!$A$1:$A1000,0)&amp;"")-$Z264)) * SUM(IF(MIN(ABS(INDIRECT("Class Jobs!B"&amp;MATCH(E264,'Class Jobs'!$A$1:$A1000,0)&amp;":"&amp;"AF"&amp;MATCH(E264,'Class Jobs'!$A$1:$A1000,0)&amp;"")-$Z264))=ABS(INDIRECT("Class Jobs!B"&amp;MATCH(E264,'Class Jobs'!$A$1:$A1000,0)&amp;":"&amp;"AF"&amp;MATCH(E264,'Class Jobs'!$A$1:$A1000,0)&amp;"")-$Z264),SIGN(INDIRECT("Class Jobs!B"&amp;MATCH(E264,'Class Jobs'!$A$1:A1000,0)&amp;":"&amp;"AF"&amp;MATCH(E264,'Class Jobs'!$A$1:$A1000,0)&amp;"")-$Z264),0)),0)),INDIRECT("Class Jobs!B"&amp;MATCH(E264,'Class Jobs'!$A$1:$A1000,0)&amp;":"&amp;"AF"&amp;MATCH(E264,'Class Jobs'!$A$1:$A1000,1)&amp;""),'Class Jobs'!$B$1:$AF$1)</f>
        <v>#REF!</v>
      </c>
      <c r="Z264" s="158">
        <f t="shared" si="25"/>
        <v>0.01</v>
      </c>
      <c r="AA264" s="16" t="str">
        <f t="array" ref="AA264">INDEX(NPCGender,TRUNC(1+(COUNTA(NPCGender))*(TRUNC(MOD(($B264*1103515245 +12345)/ 65536, 32768),0)/32768),0))</f>
        <v>Male</v>
      </c>
      <c r="AB264" s="16" t="str">
        <f t="array" ref="AB264">INDEX(NPCRace,TRUNC(1+(COUNTA(NPCRace))*(TRUNC(MOD(($B264*1103515245 +12345)/ 65536, 32768),0)/32768),0))</f>
        <v>Dragonborn</v>
      </c>
      <c r="AC264" s="16" t="str">
        <f t="array" ref="AC264">INDEX(NPCAL,TRUNC(1+(COUNTA(NPCAL))*(TRUNC(MOD(($B264*1103515245 +12345)/ 65536, 32768),0)/32768),0))</f>
        <v>CN</v>
      </c>
      <c r="AD264" s="72" t="str">
        <f ca="1">IFERROR(__xludf.DUMMYFUNCTION("if(V264&lt;15,QUERY(NPCVar!C:D,""Select D WHERE C = '""&amp;D264&amp;""'""),if((TRUNC(1+10)*(TRUNC(MOD((ROW(H264)*1103515245 +12345)/ 65536, 32768),0)/32768)/10) &gt; 0.85,INDEX(NPCFaction,TRUNC(1+(counta(NPCFaction)-1)*(TRUNC(MOD(($B264*1103515245 +12345)/ 65536, 3276"&amp;"8),0)/32768),0)),QUERY(NPCVar!C:D,""Select D WHERE C = '""&amp;D264&amp;""'"")))"),"Royalty")</f>
        <v>Royalty</v>
      </c>
      <c r="AE264" s="108" t="e">
        <f t="shared" ca="1" si="26"/>
        <v>#NAME?</v>
      </c>
      <c r="AF264" s="159">
        <f ca="1">IFERROR(__xludf.DUMMYFUNCTION("AE264*(V264 / QUERY(NPCVar!$K$2:$N$12, ""Select N WHERE K='""&amp;AB264&amp;""'""))*TRUNC(1+10)*(TRUNC(MOD(($B264*1103515245 +12345)/ 65536, 32768),0)/32768)"),-0.0000654602050781249)</f>
        <v>-6.5460205078124906E-5</v>
      </c>
      <c r="AG264" s="16"/>
      <c r="AH264" s="77"/>
      <c r="AI264" s="114"/>
    </row>
    <row r="265" spans="1:35" ht="16.2">
      <c r="A265" s="53">
        <v>264</v>
      </c>
      <c r="B265" s="118">
        <f t="shared" si="27"/>
        <v>0.94482999999999995</v>
      </c>
      <c r="C265" s="72" t="str">
        <f t="array" ref="C265">INDEX(NPCFName,TRUNC(1+(COUNTA(NPCFName))*(TRUNC(MOD(($B265*1103515245 +12345)/ 65536, 32768),0)/32768),0))</f>
        <v>Jib</v>
      </c>
      <c r="D265" s="16" t="str">
        <f t="array" ref="D265">INDEX(NPCLName,TRUNC(1+(COUNTA(NPCLName))*(TRUNC(MOD(($B265*1103515245 +12345)/ 65536, 32768),0)/32768),0))</f>
        <v>Autumnglow</v>
      </c>
      <c r="E265" s="16" t="str">
        <f t="array" ref="E265">INDEX(NPCClass,TRUNC(1+(COUNTA(NPCClass))*(TRUNC(MOD(($B265*1103515245 +12345)/ 65536, 32768),0)/32768),0))</f>
        <v>Ranger</v>
      </c>
      <c r="F265" s="76">
        <v>6</v>
      </c>
      <c r="G265" s="153">
        <f ca="1">VLOOKUP($AB$2,'RF Mod'!$A$2:$G$12,2,FALSE)+VLOOKUP($AD$2,'RF Mod'!$I$2:$O$11,2,FALSE)+(TRUNC(6+(24-6)*(TRUNC(MOD(($Z265*1103515245 +12345)/ 65536, 32768),0)/32768),0))</f>
        <v>8</v>
      </c>
      <c r="H265" s="16">
        <f t="shared" ca="1" si="17"/>
        <v>-1</v>
      </c>
      <c r="I265" s="153">
        <f ca="1">VLOOKUP($AB$2,'RF Mod'!$A$2:$G$12,3,FALSE)+VLOOKUP($AD$2,'RF Mod'!$I$2:$O$11,3,FALSE)+(TRUNC(6+(24-6)*(TRUNC(MOD(($Z265*1103515245 +12345)/ 65536, 32768),0)/32768),0))</f>
        <v>12</v>
      </c>
      <c r="J265" s="16" t="e">
        <f t="shared" ca="1" si="18"/>
        <v>#NAME?</v>
      </c>
      <c r="K265" s="153">
        <f ca="1">VLOOKUP($AB$2,'RF Mod'!$A$2:$G$12,3,FALSE)+VLOOKUP($AD$2,'RF Mod'!$I$2:$O$11,3,FALSE)+(TRUNC(6+(24-6)*(TRUNC(MOD(($Z265*1103515245 +12345)/ 65536, 32768),0)/32768),0))</f>
        <v>12</v>
      </c>
      <c r="L265" s="16" t="e">
        <f t="shared" ca="1" si="19"/>
        <v>#NAME?</v>
      </c>
      <c r="M265" s="153">
        <f ca="1">VLOOKUP($AB$2,'RF Mod'!$A$2:$G$12,4,FALSE)+VLOOKUP($AD$2,'RF Mod'!$I$2:$O$11,4,FALSE)+(TRUNC(6+(24-6)*(TRUNC(MOD(($Z265*1103515245 +12345)/ 65536, 32768),0)/32768),0))</f>
        <v>11</v>
      </c>
      <c r="N265" s="16" t="e">
        <f t="shared" ca="1" si="20"/>
        <v>#NAME?</v>
      </c>
      <c r="O265" s="153">
        <f ca="1">VLOOKUP($AB$2,'RF Mod'!$A$2:$G$12,5,FALSE)+VLOOKUP($AD$2,'RF Mod'!$I$2:$O$11,5,FALSE)+(TRUNC(6+(24-6)*(TRUNC(MOD(($Z265*1103515245 +12345)/ 65536, 32768),0)/32768),0))</f>
        <v>14</v>
      </c>
      <c r="P265" s="16" t="e">
        <f t="shared" ca="1" si="21"/>
        <v>#NAME?</v>
      </c>
      <c r="Q265" s="153">
        <f ca="1">VLOOKUP($AB$2,'RF Mod'!$A$2:$G$12,6,FALSE)+VLOOKUP($AD$2,'RF Mod'!$I$2:$O$11,6,FALSE)+(TRUNC(6+(24-6)*(TRUNC(MOD(($Z265*1103515245 +12345)/ 65536, 32768),0)/32768),0))</f>
        <v>12</v>
      </c>
      <c r="R265" s="16" t="e">
        <f t="shared" ca="1" si="22"/>
        <v>#NAME?</v>
      </c>
      <c r="S265" s="154">
        <f t="shared" ca="1" si="28"/>
        <v>168</v>
      </c>
      <c r="T265" s="154">
        <f t="shared" ca="1" si="23"/>
        <v>75</v>
      </c>
      <c r="U265" s="16" t="str">
        <f t="shared" ca="1" si="24"/>
        <v>Fine</v>
      </c>
      <c r="V265" s="155">
        <f ca="1">IFERROR(__xludf.DUMMYFUNCTION("if(W265=""Middle Age"",QUERY(NPCVar!$K$2:$N1000, ""Select L where K = '""&amp;AB265&amp;""'""),if(W265=""Old"",QUERY(NPCVar!$K$2:$N1000, ""Select M where K = '""&amp;AB265&amp;""'""),if(W265=""Venerable"",QUERY(NPCVar!$K$2:$N1000, ""Select N where K = '""&amp;AB265&amp;""'""),fa"&amp;"lse)))*X265"),31.5)</f>
        <v>31.5</v>
      </c>
      <c r="W265" s="156" t="str">
        <f t="array" ref="W265">INDEX(NPCAgeType,TRUNC(1+(4-1)*(TRUNC(MOD((X265*1103515245 +12345)/ 65536, 32768),0)/32768),0))</f>
        <v>Old</v>
      </c>
      <c r="X265" s="117">
        <f t="shared" si="29"/>
        <v>1.2</v>
      </c>
      <c r="Y265" s="157" t="e">
        <f t="array" aca="1" ref="Y265" ca="1">LOOKUP(ABS(MAX(Z265 + MIN(ABS(INDIRECT("Class Jobs!B"&amp;MATCH(E265,'Class Jobs'!$A$1:$A1000,0)&amp;":"&amp;"AF"&amp;MATCH(E265,'Class Jobs'!$A$1:$A1000,0)&amp;"")-$Z265)) * SUM(IF(MIN(ABS(INDIRECT("Class Jobs!B"&amp;MATCH(E265,'Class Jobs'!$A$1:$A1000,0)&amp;":"&amp;"AF"&amp;MATCH(E265,'Class Jobs'!$A$1:$A1000,0)&amp;"")-$Z265))=ABS(INDIRECT("Class Jobs!B"&amp;MATCH(E265,'Class Jobs'!$A$1:$A1000,0)&amp;":"&amp;"AF"&amp;MATCH(E265,'Class Jobs'!$A$1:$A1000,0)&amp;"")-$Z265),SIGN(INDIRECT("Class Jobs!B"&amp;MATCH(E265,'Class Jobs'!$A$1:A1000,0)&amp;":"&amp;"AF"&amp;MATCH(E265,'Class Jobs'!$A$1:$A1000,0)&amp;"")-$Z265),0)),0)),INDIRECT("Class Jobs!B"&amp;MATCH(E265,'Class Jobs'!$A$1:$A1000,0)&amp;":"&amp;"AF"&amp;MATCH(E265,'Class Jobs'!$A$1:$A1000,1)&amp;""),'Class Jobs'!$B$1:$AF$1)</f>
        <v>#REF!</v>
      </c>
      <c r="Z265" s="158">
        <f t="shared" si="25"/>
        <v>0.49</v>
      </c>
      <c r="AA265" s="16" t="str">
        <f t="array" ref="AA265">INDEX(NPCGender,TRUNC(1+(COUNTA(NPCGender))*(TRUNC(MOD(($B265*1103515245 +12345)/ 65536, 32768),0)/32768),0))</f>
        <v>Female</v>
      </c>
      <c r="AB265" s="16" t="str">
        <f t="array" ref="AB265">INDEX(NPCRace,TRUNC(1+(COUNTA(NPCRace))*(TRUNC(MOD(($B265*1103515245 +12345)/ 65536, 32768),0)/32768),0))</f>
        <v>Half-Orc</v>
      </c>
      <c r="AC265" s="16" t="str">
        <f t="array" ref="AC265">INDEX(NPCAL,TRUNC(1+(COUNTA(NPCAL))*(TRUNC(MOD(($B265*1103515245 +12345)/ 65536, 32768),0)/32768),0))</f>
        <v>NN</v>
      </c>
      <c r="AD265" s="72" t="str">
        <f ca="1">IFERROR(__xludf.DUMMYFUNCTION("if(V265&lt;15,QUERY(NPCVar!C:D,""Select D WHERE C = '""&amp;D265&amp;""'""),if((TRUNC(1+10)*(TRUNC(MOD((ROW(H265)*1103515245 +12345)/ 65536, 32768),0)/32768)/10) &gt; 0.85,INDEX(NPCFaction,TRUNC(1+(counta(NPCFaction)-1)*(TRUNC(MOD(($B265*1103515245 +12345)/ 65536, 3276"&amp;"8),0)/32768),0)),QUERY(NPCVar!C:D,""Select D WHERE C = '""&amp;D265&amp;""'"")))"),"Traders Guild")</f>
        <v>Traders Guild</v>
      </c>
      <c r="AE265" s="108" t="e">
        <f t="shared" ca="1" si="26"/>
        <v>#NAME?</v>
      </c>
      <c r="AF265" s="159">
        <f ca="1">IFERROR(__xludf.DUMMYFUNCTION("AE265*(V265 / QUERY(NPCVar!$K$2:$N$12, ""Select N WHERE K='""&amp;AB265&amp;""'""))*TRUNC(1+10)*(TRUNC(MOD(($B265*1103515245 +12345)/ 65536, 32768),0)/32768)"),1.68227188110351)</f>
        <v>1.68227188110351</v>
      </c>
      <c r="AG265" s="16"/>
      <c r="AH265" s="77"/>
      <c r="AI265" s="114"/>
    </row>
    <row r="266" spans="1:35" ht="16.2">
      <c r="A266" s="53">
        <v>265</v>
      </c>
      <c r="B266" s="118">
        <f t="shared" si="27"/>
        <v>2.4389599999999998</v>
      </c>
      <c r="C266" s="72" t="str">
        <f t="array" ref="C266">INDEX(NPCFName,TRUNC(1+(COUNTA(NPCFName))*(TRUNC(MOD(($B266*1103515245 +12345)/ 65536, 32768),0)/32768),0))</f>
        <v>Rythern</v>
      </c>
      <c r="D266" s="16" t="str">
        <f t="array" ref="D266">INDEX(NPCLName,TRUNC(1+(COUNTA(NPCLName))*(TRUNC(MOD(($B266*1103515245 +12345)/ 65536, 32768),0)/32768),0))</f>
        <v>Tuskleaf</v>
      </c>
      <c r="E266" s="16" t="str">
        <f t="array" ref="E266">INDEX(NPCClass,TRUNC(1+(COUNTA(NPCClass))*(TRUNC(MOD(($B266*1103515245 +12345)/ 65536, 32768),0)/32768),0))</f>
        <v>Monk</v>
      </c>
      <c r="F266" s="76">
        <v>2</v>
      </c>
      <c r="G266" s="153">
        <f ca="1">VLOOKUP($AB$2,'RF Mod'!$A$2:$G$12,2,FALSE)+VLOOKUP($AD$2,'RF Mod'!$I$2:$O$11,2,FALSE)+(TRUNC(6+(24-6)*(TRUNC(MOD(($Z266*1103515245 +12345)/ 65536, 32768),0)/32768),0))</f>
        <v>6</v>
      </c>
      <c r="H266" s="16">
        <f t="shared" ca="1" si="17"/>
        <v>-2</v>
      </c>
      <c r="I266" s="153">
        <f ca="1">VLOOKUP($AB$2,'RF Mod'!$A$2:$G$12,3,FALSE)+VLOOKUP($AD$2,'RF Mod'!$I$2:$O$11,3,FALSE)+(TRUNC(6+(24-6)*(TRUNC(MOD(($Z266*1103515245 +12345)/ 65536, 32768),0)/32768),0))</f>
        <v>10</v>
      </c>
      <c r="J266" s="16" t="e">
        <f t="shared" ca="1" si="18"/>
        <v>#NAME?</v>
      </c>
      <c r="K266" s="153">
        <f ca="1">VLOOKUP($AB$2,'RF Mod'!$A$2:$G$12,3,FALSE)+VLOOKUP($AD$2,'RF Mod'!$I$2:$O$11,3,FALSE)+(TRUNC(6+(24-6)*(TRUNC(MOD(($Z266*1103515245 +12345)/ 65536, 32768),0)/32768),0))</f>
        <v>10</v>
      </c>
      <c r="L266" s="16" t="e">
        <f t="shared" ca="1" si="19"/>
        <v>#NAME?</v>
      </c>
      <c r="M266" s="153">
        <f ca="1">VLOOKUP($AB$2,'RF Mod'!$A$2:$G$12,4,FALSE)+VLOOKUP($AD$2,'RF Mod'!$I$2:$O$11,4,FALSE)+(TRUNC(6+(24-6)*(TRUNC(MOD(($Z266*1103515245 +12345)/ 65536, 32768),0)/32768),0))</f>
        <v>9</v>
      </c>
      <c r="N266" s="16">
        <f t="shared" ca="1" si="20"/>
        <v>-1</v>
      </c>
      <c r="O266" s="153">
        <f ca="1">VLOOKUP($AB$2,'RF Mod'!$A$2:$G$12,5,FALSE)+VLOOKUP($AD$2,'RF Mod'!$I$2:$O$11,5,FALSE)+(TRUNC(6+(24-6)*(TRUNC(MOD(($Z266*1103515245 +12345)/ 65536, 32768),0)/32768),0))</f>
        <v>12</v>
      </c>
      <c r="P266" s="16" t="e">
        <f t="shared" ca="1" si="21"/>
        <v>#NAME?</v>
      </c>
      <c r="Q266" s="153">
        <f ca="1">VLOOKUP($AB$2,'RF Mod'!$A$2:$G$12,6,FALSE)+VLOOKUP($AD$2,'RF Mod'!$I$2:$O$11,6,FALSE)+(TRUNC(6+(24-6)*(TRUNC(MOD(($Z266*1103515245 +12345)/ 65536, 32768),0)/32768),0))</f>
        <v>10</v>
      </c>
      <c r="R266" s="16" t="e">
        <f t="shared" ca="1" si="22"/>
        <v>#NAME?</v>
      </c>
      <c r="S266" s="154">
        <f t="shared" ca="1" si="28"/>
        <v>24</v>
      </c>
      <c r="T266" s="154">
        <f t="shared" ca="1" si="23"/>
        <v>23</v>
      </c>
      <c r="U266" s="16" t="str">
        <f t="shared" ca="1" si="24"/>
        <v>Bloody</v>
      </c>
      <c r="V266" s="155">
        <f ca="1">IFERROR(__xludf.DUMMYFUNCTION("if(W266=""Middle Age"",QUERY(NPCVar!$K$2:$N1000, ""Select L where K = '""&amp;AB266&amp;""'""),if(W266=""Old"",QUERY(NPCVar!$K$2:$N1000, ""Select M where K = '""&amp;AB266&amp;""'""),if(W266=""Venerable"",QUERY(NPCVar!$K$2:$N1000, ""Select N where K = '""&amp;AB266&amp;""'""),fa"&amp;"lse)))*X266"),196.875)</f>
        <v>196.875</v>
      </c>
      <c r="W266" s="156" t="str">
        <f t="array" ref="W266">INDEX(NPCAgeType,TRUNC(1+(4-1)*(TRUNC(MOD((X266*1103515245 +12345)/ 65536, 32768),0)/32768),0))</f>
        <v>Old</v>
      </c>
      <c r="X266" s="117">
        <f t="shared" si="29"/>
        <v>0.7</v>
      </c>
      <c r="Y266" s="157" t="e">
        <f t="array" aca="1" ref="Y266" ca="1">LOOKUP(ABS(MAX(Z266 + MIN(ABS(INDIRECT("Class Jobs!B"&amp;MATCH(E266,'Class Jobs'!$A$1:$A1000,0)&amp;":"&amp;"AF"&amp;MATCH(E266,'Class Jobs'!$A$1:$A1000,0)&amp;"")-$Z266)) * SUM(IF(MIN(ABS(INDIRECT("Class Jobs!B"&amp;MATCH(E266,'Class Jobs'!$A$1:$A1000,0)&amp;":"&amp;"AF"&amp;MATCH(E266,'Class Jobs'!$A$1:$A1000,0)&amp;"")-$Z266))=ABS(INDIRECT("Class Jobs!B"&amp;MATCH(E266,'Class Jobs'!$A$1:$A1000,0)&amp;":"&amp;"AF"&amp;MATCH(E266,'Class Jobs'!$A$1:$A1000,0)&amp;"")-$Z266),SIGN(INDIRECT("Class Jobs!B"&amp;MATCH(E266,'Class Jobs'!$A$1:A1000,0)&amp;":"&amp;"AF"&amp;MATCH(E266,'Class Jobs'!$A$1:$A1000,0)&amp;"")-$Z266),0)),0)),INDIRECT("Class Jobs!B"&amp;MATCH(E266,'Class Jobs'!$A$1:$A1000,0)&amp;":"&amp;"AF"&amp;MATCH(E266,'Class Jobs'!$A$1:$A1000,1)&amp;""),'Class Jobs'!$B$1:$AF$1)</f>
        <v>#REF!</v>
      </c>
      <c r="Z266" s="158">
        <f t="shared" si="25"/>
        <v>0.26</v>
      </c>
      <c r="AA266" s="16" t="str">
        <f t="array" ref="AA266">INDEX(NPCGender,TRUNC(1+(COUNTA(NPCGender))*(TRUNC(MOD(($B266*1103515245 +12345)/ 65536, 32768),0)/32768),0))</f>
        <v>Male</v>
      </c>
      <c r="AB266" s="16" t="str">
        <f t="array" ref="AB266">INDEX(NPCRace,TRUNC(1+(COUNTA(NPCRace))*(TRUNC(MOD(($B266*1103515245 +12345)/ 65536, 32768),0)/32768),0))</f>
        <v>Elf</v>
      </c>
      <c r="AC266" s="16" t="str">
        <f t="array" ref="AC266">INDEX(NPCAL,TRUNC(1+(COUNTA(NPCAL))*(TRUNC(MOD(($B266*1103515245 +12345)/ 65536, 32768),0)/32768),0))</f>
        <v>CG</v>
      </c>
      <c r="AD266" s="72" t="str">
        <f ca="1">IFERROR(__xludf.DUMMYFUNCTION("if(V266&lt;15,QUERY(NPCVar!C:D,""Select D WHERE C = '""&amp;D266&amp;""'""),if((TRUNC(1+10)*(TRUNC(MOD((ROW(H266)*1103515245 +12345)/ 65536, 32768),0)/32768)/10) &gt; 0.85,INDEX(NPCFaction,TRUNC(1+(counta(NPCFaction)-1)*(TRUNC(MOD(($B266*1103515245 +12345)/ 65536, 3276"&amp;"8),0)/32768),0)),QUERY(NPCVar!C:D,""Select D WHERE C = '""&amp;D266&amp;""'"")))"),"Magic Guild")</f>
        <v>Magic Guild</v>
      </c>
      <c r="AE266" s="108" t="e">
        <f t="shared" ca="1" si="26"/>
        <v>#NAME?</v>
      </c>
      <c r="AF266" s="159">
        <f ca="1">IFERROR(__xludf.DUMMYFUNCTION("AE266*(V266 / QUERY(NPCVar!$K$2:$N$12, ""Select N WHERE K='""&amp;AB266&amp;""'""))*TRUNC(1+10)*(TRUNC(MOD(($B266*1103515245 +12345)/ 65536, 32768),0)/32768)"),0)</f>
        <v>0</v>
      </c>
      <c r="AG266" s="16"/>
      <c r="AH266" s="77"/>
      <c r="AI266" s="114"/>
    </row>
    <row r="267" spans="1:35" ht="16.2">
      <c r="A267" s="53">
        <v>266</v>
      </c>
      <c r="B267" s="118">
        <f t="shared" si="27"/>
        <v>1.4331</v>
      </c>
      <c r="C267" s="72" t="str">
        <f t="array" ref="C267">INDEX(NPCFName,TRUNC(1+(COUNTA(NPCFName))*(TRUNC(MOD(($B267*1103515245 +12345)/ 65536, 32768),0)/32768),0))</f>
        <v>Dasbeck</v>
      </c>
      <c r="D267" s="16" t="str">
        <f t="array" ref="D267">INDEX(NPCLName,TRUNC(1+(COUNTA(NPCLName))*(TRUNC(MOD(($B267*1103515245 +12345)/ 65536, 32768),0)/32768),0))</f>
        <v>Sacredgloom</v>
      </c>
      <c r="E267" s="16" t="str">
        <f t="array" ref="E267">INDEX(NPCClass,TRUNC(1+(COUNTA(NPCClass))*(TRUNC(MOD(($B267*1103515245 +12345)/ 65536, 32768),0)/32768),0))</f>
        <v>None</v>
      </c>
      <c r="F267" s="76">
        <v>8</v>
      </c>
      <c r="G267" s="153">
        <f ca="1">VLOOKUP($AB$2,'RF Mod'!$A$2:$G$12,2,FALSE)+VLOOKUP($AD$2,'RF Mod'!$I$2:$O$11,2,FALSE)+(TRUNC(6+(24-6)*(TRUNC(MOD(($Z267*1103515245 +12345)/ 65536, 32768),0)/32768),0))</f>
        <v>10</v>
      </c>
      <c r="H267" s="16" t="e">
        <f t="shared" ca="1" si="17"/>
        <v>#NAME?</v>
      </c>
      <c r="I267" s="153">
        <f ca="1">VLOOKUP($AB$2,'RF Mod'!$A$2:$G$12,3,FALSE)+VLOOKUP($AD$2,'RF Mod'!$I$2:$O$11,3,FALSE)+(TRUNC(6+(24-6)*(TRUNC(MOD(($Z267*1103515245 +12345)/ 65536, 32768),0)/32768),0))</f>
        <v>14</v>
      </c>
      <c r="J267" s="16" t="e">
        <f t="shared" ca="1" si="18"/>
        <v>#NAME?</v>
      </c>
      <c r="K267" s="153">
        <f ca="1">VLOOKUP($AB$2,'RF Mod'!$A$2:$G$12,3,FALSE)+VLOOKUP($AD$2,'RF Mod'!$I$2:$O$11,3,FALSE)+(TRUNC(6+(24-6)*(TRUNC(MOD(($Z267*1103515245 +12345)/ 65536, 32768),0)/32768),0))</f>
        <v>14</v>
      </c>
      <c r="L267" s="16" t="e">
        <f t="shared" ca="1" si="19"/>
        <v>#NAME?</v>
      </c>
      <c r="M267" s="153">
        <f ca="1">VLOOKUP($AB$2,'RF Mod'!$A$2:$G$12,4,FALSE)+VLOOKUP($AD$2,'RF Mod'!$I$2:$O$11,4,FALSE)+(TRUNC(6+(24-6)*(TRUNC(MOD(($Z267*1103515245 +12345)/ 65536, 32768),0)/32768),0))</f>
        <v>13</v>
      </c>
      <c r="N267" s="16" t="e">
        <f t="shared" ca="1" si="20"/>
        <v>#NAME?</v>
      </c>
      <c r="O267" s="153">
        <f ca="1">VLOOKUP($AB$2,'RF Mod'!$A$2:$G$12,5,FALSE)+VLOOKUP($AD$2,'RF Mod'!$I$2:$O$11,5,FALSE)+(TRUNC(6+(24-6)*(TRUNC(MOD(($Z267*1103515245 +12345)/ 65536, 32768),0)/32768),0))</f>
        <v>16</v>
      </c>
      <c r="P267" s="16" t="e">
        <f t="shared" ca="1" si="21"/>
        <v>#NAME?</v>
      </c>
      <c r="Q267" s="153">
        <f ca="1">VLOOKUP($AB$2,'RF Mod'!$A$2:$G$12,6,FALSE)+VLOOKUP($AD$2,'RF Mod'!$I$2:$O$11,6,FALSE)+(TRUNC(6+(24-6)*(TRUNC(MOD(($Z267*1103515245 +12345)/ 65536, 32768),0)/32768),0))</f>
        <v>14</v>
      </c>
      <c r="R267" s="16" t="e">
        <f t="shared" ca="1" si="22"/>
        <v>#NAME?</v>
      </c>
      <c r="S267" s="154">
        <f t="shared" ca="1" si="28"/>
        <v>256</v>
      </c>
      <c r="T267" s="154">
        <f t="shared" ca="1" si="23"/>
        <v>89</v>
      </c>
      <c r="U267" s="16" t="str">
        <f t="shared" ca="1" si="24"/>
        <v>Fine</v>
      </c>
      <c r="V267" s="155">
        <f ca="1">IFERROR(__xludf.DUMMYFUNCTION("if(W267=""Middle Age"",QUERY(NPCVar!$K$2:$N1000, ""Select L where K = '""&amp;AB267&amp;""'""),if(W267=""Old"",QUERY(NPCVar!$K$2:$N1000, ""Select M where K = '""&amp;AB267&amp;""'""),if(W267=""Venerable"",QUERY(NPCVar!$K$2:$N1000, ""Select N where K = '""&amp;AB267&amp;""'""),fa"&amp;"lse)))*X267"),180)</f>
        <v>180</v>
      </c>
      <c r="W267" s="156" t="str">
        <f t="array" ref="W267">INDEX(NPCAgeType,TRUNC(1+(4-1)*(TRUNC(MOD((X267*1103515245 +12345)/ 65536, 32768),0)/32768),0))</f>
        <v>Venerable</v>
      </c>
      <c r="X267" s="117">
        <f t="shared" si="29"/>
        <v>1.8</v>
      </c>
      <c r="Y267" s="157" t="e">
        <f t="array" aca="1" ref="Y267" ca="1">LOOKUP(ABS(MAX(Z267 + MIN(ABS(INDIRECT("Class Jobs!B"&amp;MATCH(E267,'Class Jobs'!$A$1:$A1000,0)&amp;":"&amp;"AF"&amp;MATCH(E267,'Class Jobs'!$A$1:$A1000,0)&amp;"")-$Z267)) * SUM(IF(MIN(ABS(INDIRECT("Class Jobs!B"&amp;MATCH(E267,'Class Jobs'!$A$1:$A1000,0)&amp;":"&amp;"AF"&amp;MATCH(E267,'Class Jobs'!$A$1:$A1000,0)&amp;"")-$Z267))=ABS(INDIRECT("Class Jobs!B"&amp;MATCH(E267,'Class Jobs'!$A$1:$A1000,0)&amp;":"&amp;"AF"&amp;MATCH(E267,'Class Jobs'!$A$1:$A1000,0)&amp;"")-$Z267),SIGN(INDIRECT("Class Jobs!B"&amp;MATCH(E267,'Class Jobs'!$A$1:A1000,0)&amp;":"&amp;"AF"&amp;MATCH(E267,'Class Jobs'!$A$1:$A1000,0)&amp;"")-$Z267),0)),0)),INDIRECT("Class Jobs!B"&amp;MATCH(E267,'Class Jobs'!$A$1:$A1000,0)&amp;":"&amp;"AF"&amp;MATCH(E267,'Class Jobs'!$A$1:$A1000,1)&amp;""),'Class Jobs'!$B$1:$AF$1)</f>
        <v>#REF!</v>
      </c>
      <c r="Z267" s="158">
        <f t="shared" si="25"/>
        <v>0.73</v>
      </c>
      <c r="AA267" s="16" t="str">
        <f t="array" ref="AA267">INDEX(NPCGender,TRUNC(1+(COUNTA(NPCGender))*(TRUNC(MOD(($B267*1103515245 +12345)/ 65536, 32768),0)/32768),0))</f>
        <v>Neutral</v>
      </c>
      <c r="AB267" s="16" t="str">
        <f t="array" ref="AB267">INDEX(NPCRace,TRUNC(1+(COUNTA(NPCRace))*(TRUNC(MOD(($B267*1103515245 +12345)/ 65536, 32768),0)/32768),0))</f>
        <v>Tiefling</v>
      </c>
      <c r="AC267" s="16" t="str">
        <f t="array" ref="AC267">INDEX(NPCAL,TRUNC(1+(COUNTA(NPCAL))*(TRUNC(MOD(($B267*1103515245 +12345)/ 65536, 32768),0)/32768),0))</f>
        <v>LG</v>
      </c>
      <c r="AD267" s="72" t="str">
        <f ca="1">IFERROR(__xludf.DUMMYFUNCTION("if(V267&lt;15,QUERY(NPCVar!C:D,""Select D WHERE C = '""&amp;D267&amp;""'""),if((TRUNC(1+10)*(TRUNC(MOD((ROW(H267)*1103515245 +12345)/ 65536, 32768),0)/32768)/10) &gt; 0.85,INDEX(NPCFaction,TRUNC(1+(counta(NPCFaction)-1)*(TRUNC(MOD(($B267*1103515245 +12345)/ 65536, 3276"&amp;"8),0)/32768),0)),QUERY(NPCVar!C:D,""Select D WHERE C = '""&amp;D267&amp;""'"")))"),"Adventures Guild")</f>
        <v>Adventures Guild</v>
      </c>
      <c r="AE267" s="108" t="e">
        <f t="shared" ca="1" si="26"/>
        <v>#NAME?</v>
      </c>
      <c r="AF267" s="159">
        <f ca="1">IFERROR(__xludf.DUMMYFUNCTION("AE267*(V267 / QUERY(NPCVar!$K$2:$N$12, ""Select N WHERE K='""&amp;AB267&amp;""'""))*TRUNC(1+10)*(TRUNC(MOD(($B267*1103515245 +12345)/ 65536, 32768),0)/32768)"),11.6648876953125)</f>
        <v>11.664887695312499</v>
      </c>
      <c r="AG267" s="16"/>
      <c r="AH267" s="77"/>
      <c r="AI267" s="114"/>
    </row>
    <row r="268" spans="1:35" ht="16.2">
      <c r="A268" s="53">
        <v>267</v>
      </c>
      <c r="B268" s="118">
        <f t="shared" si="27"/>
        <v>0.42725000000000002</v>
      </c>
      <c r="C268" s="72" t="str">
        <f t="array" ref="C268">INDEX(NPCFName,TRUNC(1+(COUNTA(NPCFName))*(TRUNC(MOD(($B268*1103515245 +12345)/ 65536, 32768),0)/32768),0))</f>
        <v>Othelen</v>
      </c>
      <c r="D268" s="16" t="str">
        <f t="array" ref="D268">INDEX(NPCLName,TRUNC(1+(COUNTA(NPCLName))*(TRUNC(MOD(($B268*1103515245 +12345)/ 65536, 32768),0)/32768),0))</f>
        <v>Stillsun</v>
      </c>
      <c r="E268" s="16" t="str">
        <f t="array" ref="E268">INDEX(NPCClass,TRUNC(1+(COUNTA(NPCClass))*(TRUNC(MOD(($B268*1103515245 +12345)/ 65536, 32768),0)/32768),0))</f>
        <v>Druid</v>
      </c>
      <c r="F268" s="76">
        <v>1</v>
      </c>
      <c r="G268" s="153">
        <f ca="1">VLOOKUP($AB$2,'RF Mod'!$A$2:$G$12,2,FALSE)+VLOOKUP($AD$2,'RF Mod'!$I$2:$O$11,2,FALSE)+(TRUNC(6+(24-6)*(TRUNC(MOD(($Z268*1103515245 +12345)/ 65536, 32768),0)/32768),0))</f>
        <v>6</v>
      </c>
      <c r="H268" s="16">
        <f t="shared" ca="1" si="17"/>
        <v>-2</v>
      </c>
      <c r="I268" s="153">
        <f ca="1">VLOOKUP($AB$2,'RF Mod'!$A$2:$G$12,3,FALSE)+VLOOKUP($AD$2,'RF Mod'!$I$2:$O$11,3,FALSE)+(TRUNC(6+(24-6)*(TRUNC(MOD(($Z268*1103515245 +12345)/ 65536, 32768),0)/32768),0))</f>
        <v>10</v>
      </c>
      <c r="J268" s="16" t="e">
        <f t="shared" ca="1" si="18"/>
        <v>#NAME?</v>
      </c>
      <c r="K268" s="153">
        <f ca="1">VLOOKUP($AB$2,'RF Mod'!$A$2:$G$12,3,FALSE)+VLOOKUP($AD$2,'RF Mod'!$I$2:$O$11,3,FALSE)+(TRUNC(6+(24-6)*(TRUNC(MOD(($Z268*1103515245 +12345)/ 65536, 32768),0)/32768),0))</f>
        <v>10</v>
      </c>
      <c r="L268" s="16" t="e">
        <f t="shared" ca="1" si="19"/>
        <v>#NAME?</v>
      </c>
      <c r="M268" s="153">
        <f ca="1">VLOOKUP($AB$2,'RF Mod'!$A$2:$G$12,4,FALSE)+VLOOKUP($AD$2,'RF Mod'!$I$2:$O$11,4,FALSE)+(TRUNC(6+(24-6)*(TRUNC(MOD(($Z268*1103515245 +12345)/ 65536, 32768),0)/32768),0))</f>
        <v>9</v>
      </c>
      <c r="N268" s="16">
        <f t="shared" ca="1" si="20"/>
        <v>-1</v>
      </c>
      <c r="O268" s="153">
        <f ca="1">VLOOKUP($AB$2,'RF Mod'!$A$2:$G$12,5,FALSE)+VLOOKUP($AD$2,'RF Mod'!$I$2:$O$11,5,FALSE)+(TRUNC(6+(24-6)*(TRUNC(MOD(($Z268*1103515245 +12345)/ 65536, 32768),0)/32768),0))</f>
        <v>12</v>
      </c>
      <c r="P268" s="16" t="e">
        <f t="shared" ca="1" si="21"/>
        <v>#NAME?</v>
      </c>
      <c r="Q268" s="153">
        <f ca="1">VLOOKUP($AB$2,'RF Mod'!$A$2:$G$12,6,FALSE)+VLOOKUP($AD$2,'RF Mod'!$I$2:$O$11,6,FALSE)+(TRUNC(6+(24-6)*(TRUNC(MOD(($Z268*1103515245 +12345)/ 65536, 32768),0)/32768),0))</f>
        <v>10</v>
      </c>
      <c r="R268" s="16" t="e">
        <f t="shared" ca="1" si="22"/>
        <v>#NAME?</v>
      </c>
      <c r="S268" s="154">
        <f t="shared" ca="1" si="28"/>
        <v>12</v>
      </c>
      <c r="T268" s="154">
        <f t="shared" ca="1" si="23"/>
        <v>12</v>
      </c>
      <c r="U268" s="16" t="str">
        <f t="shared" ca="1" si="24"/>
        <v>Unconscious</v>
      </c>
      <c r="V268" s="155">
        <f ca="1">IFERROR(__xludf.DUMMYFUNCTION("if(W268=""Middle Age"",QUERY(NPCVar!$K$2:$N1000, ""Select L where K = '""&amp;AB268&amp;""'""),if(W268=""Old"",QUERY(NPCVar!$K$2:$N1000, ""Select M where K = '""&amp;AB268&amp;""'""),if(W268=""Venerable"",QUERY(NPCVar!$K$2:$N1000, ""Select N where K = '""&amp;AB268&amp;""'""),fa"&amp;"lse)))*X268"),112.5)</f>
        <v>112.5</v>
      </c>
      <c r="W268" s="156" t="str">
        <f t="array" ref="W268">INDEX(NPCAgeType,TRUNC(1+(4-1)*(TRUNC(MOD((X268*1103515245 +12345)/ 65536, 32768),0)/32768),0))</f>
        <v>Middle Age</v>
      </c>
      <c r="X268" s="117">
        <f t="shared" si="29"/>
        <v>0.6</v>
      </c>
      <c r="Y268" s="157" t="e">
        <f t="array" aca="1" ref="Y268" ca="1">LOOKUP(ABS(MAX(Z268 + MIN(ABS(INDIRECT("Class Jobs!B"&amp;MATCH(E268,'Class Jobs'!$A$1:$A1000,0)&amp;":"&amp;"AF"&amp;MATCH(E268,'Class Jobs'!$A$1:$A1000,0)&amp;"")-$Z268)) * SUM(IF(MIN(ABS(INDIRECT("Class Jobs!B"&amp;MATCH(E268,'Class Jobs'!$A$1:$A1000,0)&amp;":"&amp;"AF"&amp;MATCH(E268,'Class Jobs'!$A$1:$A1000,0)&amp;"")-$Z268))=ABS(INDIRECT("Class Jobs!B"&amp;MATCH(E268,'Class Jobs'!$A$1:$A1000,0)&amp;":"&amp;"AF"&amp;MATCH(E268,'Class Jobs'!$A$1:$A1000,0)&amp;"")-$Z268),SIGN(INDIRECT("Class Jobs!B"&amp;MATCH(E268,'Class Jobs'!$A$1:A1000,0)&amp;":"&amp;"AF"&amp;MATCH(E268,'Class Jobs'!$A$1:$A1000,0)&amp;"")-$Z268),0)),0)),INDIRECT("Class Jobs!B"&amp;MATCH(E268,'Class Jobs'!$A$1:$A1000,0)&amp;":"&amp;"AF"&amp;MATCH(E268,'Class Jobs'!$A$1:$A1000,1)&amp;""),'Class Jobs'!$B$1:$AF$1)</f>
        <v>#REF!</v>
      </c>
      <c r="Z268" s="158">
        <f t="shared" si="25"/>
        <v>0.22</v>
      </c>
      <c r="AA268" s="16" t="str">
        <f t="array" ref="AA268">INDEX(NPCGender,TRUNC(1+(COUNTA(NPCGender))*(TRUNC(MOD(($B268*1103515245 +12345)/ 65536, 32768),0)/32768),0))</f>
        <v>Male</v>
      </c>
      <c r="AB268" s="16" t="str">
        <f t="array" ref="AB268">INDEX(NPCRace,TRUNC(1+(COUNTA(NPCRace))*(TRUNC(MOD(($B268*1103515245 +12345)/ 65536, 32768),0)/32768),0))</f>
        <v>Elf</v>
      </c>
      <c r="AC268" s="16" t="str">
        <f t="array" ref="AC268">INDEX(NPCAL,TRUNC(1+(COUNTA(NPCAL))*(TRUNC(MOD(($B268*1103515245 +12345)/ 65536, 32768),0)/32768),0))</f>
        <v>CE</v>
      </c>
      <c r="AD268" s="72" t="str">
        <f ca="1">IFERROR(__xludf.DUMMYFUNCTION("if(V268&lt;15,QUERY(NPCVar!C:D,""Select D WHERE C = '""&amp;D268&amp;""'""),if((TRUNC(1+10)*(TRUNC(MOD((ROW(H268)*1103515245 +12345)/ 65536, 32768),0)/32768)/10) &gt; 0.85,INDEX(NPCFaction,TRUNC(1+(counta(NPCFaction)-1)*(TRUNC(MOD(($B268*1103515245 +12345)/ 65536, 3276"&amp;"8),0)/32768),0)),QUERY(NPCVar!C:D,""Select D WHERE C = '""&amp;D268&amp;""'"")))"),"Necromancer")</f>
        <v>Necromancer</v>
      </c>
      <c r="AE268" s="108" t="e">
        <f t="shared" ca="1" si="26"/>
        <v>#NAME?</v>
      </c>
      <c r="AF268" s="159">
        <f ca="1">IFERROR(__xludf.DUMMYFUNCTION("AE268*(V268 / QUERY(NPCVar!$K$2:$N$12, ""Select N WHERE K='""&amp;AB268&amp;""'""))*TRUNC(1+10)*(TRUNC(MOD(($B268*1103515245 +12345)/ 65536, 32768),0)/32768)"),0)</f>
        <v>0</v>
      </c>
      <c r="AG268" s="16"/>
      <c r="AH268" s="77"/>
      <c r="AI268" s="114"/>
    </row>
    <row r="269" spans="1:35" ht="16.2">
      <c r="A269" s="53">
        <v>268</v>
      </c>
      <c r="B269" s="118">
        <f t="shared" si="27"/>
        <v>1.9213100000000001</v>
      </c>
      <c r="C269" s="72" t="str">
        <f t="array" ref="C269">INDEX(NPCFName,TRUNC(1+(COUNTA(NPCFName))*(TRUNC(MOD(($B269*1103515245 +12345)/ 65536, 32768),0)/32768),0))</f>
        <v>Xuio</v>
      </c>
      <c r="D269" s="16" t="str">
        <f t="array" ref="D269">INDEX(NPCLName,TRUNC(1+(COUNTA(NPCLName))*(TRUNC(MOD(($B269*1103515245 +12345)/ 65536, 32768),0)/32768),0))</f>
        <v>Stillspell</v>
      </c>
      <c r="E269" s="16" t="str">
        <f t="array" ref="E269">INDEX(NPCClass,TRUNC(1+(COUNTA(NPCClass))*(TRUNC(MOD(($B269*1103515245 +12345)/ 65536, 32768),0)/32768),0))</f>
        <v>Wizard</v>
      </c>
      <c r="F269" s="76">
        <v>8</v>
      </c>
      <c r="G269" s="153">
        <f ca="1">VLOOKUP($AB$2,'RF Mod'!$A$2:$G$12,2,FALSE)+VLOOKUP($AD$2,'RF Mod'!$I$2:$O$11,2,FALSE)+(TRUNC(6+(24-6)*(TRUNC(MOD(($Z269*1103515245 +12345)/ 65536, 32768),0)/32768),0))</f>
        <v>13</v>
      </c>
      <c r="H269" s="16" t="e">
        <f t="shared" ca="1" si="17"/>
        <v>#NAME?</v>
      </c>
      <c r="I269" s="153">
        <f ca="1">VLOOKUP($AB$2,'RF Mod'!$A$2:$G$12,3,FALSE)+VLOOKUP($AD$2,'RF Mod'!$I$2:$O$11,3,FALSE)+(TRUNC(6+(24-6)*(TRUNC(MOD(($Z269*1103515245 +12345)/ 65536, 32768),0)/32768),0))</f>
        <v>17</v>
      </c>
      <c r="J269" s="16" t="e">
        <f t="shared" ca="1" si="18"/>
        <v>#NAME?</v>
      </c>
      <c r="K269" s="153">
        <f ca="1">VLOOKUP($AB$2,'RF Mod'!$A$2:$G$12,3,FALSE)+VLOOKUP($AD$2,'RF Mod'!$I$2:$O$11,3,FALSE)+(TRUNC(6+(24-6)*(TRUNC(MOD(($Z269*1103515245 +12345)/ 65536, 32768),0)/32768),0))</f>
        <v>17</v>
      </c>
      <c r="L269" s="16" t="e">
        <f t="shared" ca="1" si="19"/>
        <v>#NAME?</v>
      </c>
      <c r="M269" s="153">
        <f ca="1">VLOOKUP($AB$2,'RF Mod'!$A$2:$G$12,4,FALSE)+VLOOKUP($AD$2,'RF Mod'!$I$2:$O$11,4,FALSE)+(TRUNC(6+(24-6)*(TRUNC(MOD(($Z269*1103515245 +12345)/ 65536, 32768),0)/32768),0))</f>
        <v>16</v>
      </c>
      <c r="N269" s="16" t="e">
        <f t="shared" ca="1" si="20"/>
        <v>#NAME?</v>
      </c>
      <c r="O269" s="153">
        <f ca="1">VLOOKUP($AB$2,'RF Mod'!$A$2:$G$12,5,FALSE)+VLOOKUP($AD$2,'RF Mod'!$I$2:$O$11,5,FALSE)+(TRUNC(6+(24-6)*(TRUNC(MOD(($Z269*1103515245 +12345)/ 65536, 32768),0)/32768),0))</f>
        <v>19</v>
      </c>
      <c r="P269" s="16" t="e">
        <f t="shared" ca="1" si="21"/>
        <v>#NAME?</v>
      </c>
      <c r="Q269" s="153">
        <f ca="1">VLOOKUP($AB$2,'RF Mod'!$A$2:$G$12,6,FALSE)+VLOOKUP($AD$2,'RF Mod'!$I$2:$O$11,6,FALSE)+(TRUNC(6+(24-6)*(TRUNC(MOD(($Z269*1103515245 +12345)/ 65536, 32768),0)/32768),0))</f>
        <v>17</v>
      </c>
      <c r="R269" s="16" t="e">
        <f t="shared" ca="1" si="22"/>
        <v>#NAME?</v>
      </c>
      <c r="S269" s="154">
        <f t="shared" ca="1" si="28"/>
        <v>248</v>
      </c>
      <c r="T269" s="154">
        <f t="shared" ca="1" si="23"/>
        <v>109</v>
      </c>
      <c r="U269" s="16" t="str">
        <f t="shared" ca="1" si="24"/>
        <v>Fine</v>
      </c>
      <c r="V269" s="155">
        <f ca="1">IFERROR(__xludf.DUMMYFUNCTION("if(W269=""Middle Age"",QUERY(NPCVar!$K$2:$N1000, ""Select L where K = '""&amp;AB269&amp;""'""),if(W269=""Old"",QUERY(NPCVar!$K$2:$N1000, ""Select M where K = '""&amp;AB269&amp;""'""),if(W269=""Venerable"",QUERY(NPCVar!$K$2:$N1000, ""Select N where K = '""&amp;AB269&amp;""'""),fa"&amp;"lse)))*X269"),72)</f>
        <v>72</v>
      </c>
      <c r="W269" s="156" t="str">
        <f t="array" ref="W269">INDEX(NPCAgeType,TRUNC(1+(4-1)*(TRUNC(MOD((X269*1103515245 +12345)/ 65536, 32768),0)/32768),0))</f>
        <v>Middle Age</v>
      </c>
      <c r="X269" s="117">
        <f t="shared" si="29"/>
        <v>2.4</v>
      </c>
      <c r="Y269" s="157" t="e">
        <f t="array" aca="1" ref="Y269" ca="1">LOOKUP(ABS(MAX(Z269 + MIN(ABS(INDIRECT("Class Jobs!B"&amp;MATCH(E269,'Class Jobs'!$A$1:$A1000,0)&amp;":"&amp;"AF"&amp;MATCH(E269,'Class Jobs'!$A$1:$A1000,0)&amp;"")-$Z269)) * SUM(IF(MIN(ABS(INDIRECT("Class Jobs!B"&amp;MATCH(E269,'Class Jobs'!$A$1:$A1000,0)&amp;":"&amp;"AF"&amp;MATCH(E269,'Class Jobs'!$A$1:$A1000,0)&amp;"")-$Z269))=ABS(INDIRECT("Class Jobs!B"&amp;MATCH(E269,'Class Jobs'!$A$1:$A1000,0)&amp;":"&amp;"AF"&amp;MATCH(E269,'Class Jobs'!$A$1:$A1000,0)&amp;"")-$Z269),SIGN(INDIRECT("Class Jobs!B"&amp;MATCH(E269,'Class Jobs'!$A$1:A1000,0)&amp;":"&amp;"AF"&amp;MATCH(E269,'Class Jobs'!$A$1:$A1000,0)&amp;"")-$Z269),0)),0)),INDIRECT("Class Jobs!B"&amp;MATCH(E269,'Class Jobs'!$A$1:$A1000,0)&amp;":"&amp;"AF"&amp;MATCH(E269,'Class Jobs'!$A$1:$A1000,1)&amp;""),'Class Jobs'!$B$1:$AF$1)</f>
        <v>#REF!</v>
      </c>
      <c r="Z269" s="158">
        <f t="shared" si="25"/>
        <v>0.98</v>
      </c>
      <c r="AA269" s="16" t="str">
        <f t="array" ref="AA269">INDEX(NPCGender,TRUNC(1+(COUNTA(NPCGender))*(TRUNC(MOD(($B269*1103515245 +12345)/ 65536, 32768),0)/32768),0))</f>
        <v>Neutral</v>
      </c>
      <c r="AB269" s="16" t="str">
        <f t="array" ref="AB269">INDEX(NPCRace,TRUNC(1+(COUNTA(NPCRace))*(TRUNC(MOD(($B269*1103515245 +12345)/ 65536, 32768),0)/32768),0))</f>
        <v>Goliath</v>
      </c>
      <c r="AC269" s="16" t="str">
        <f t="array" ref="AC269">INDEX(NPCAL,TRUNC(1+(COUNTA(NPCAL))*(TRUNC(MOD(($B269*1103515245 +12345)/ 65536, 32768),0)/32768),0))</f>
        <v>LE</v>
      </c>
      <c r="AD269" s="72" t="str">
        <f ca="1">IFERROR(__xludf.DUMMYFUNCTION("if(V269&lt;15,QUERY(NPCVar!C:D,""Select D WHERE C = '""&amp;D269&amp;""'""),if((TRUNC(1+10)*(TRUNC(MOD((ROW(H269)*1103515245 +12345)/ 65536, 32768),0)/32768)/10) &gt; 0.85,INDEX(NPCFaction,TRUNC(1+(counta(NPCFaction)-1)*(TRUNC(MOD(($B269*1103515245 +12345)/ 65536, 3276"&amp;"8),0)/32768),0)),QUERY(NPCVar!C:D,""Select D WHERE C = '""&amp;D269&amp;""'"")))"),"Followers of Isis")</f>
        <v>Followers of Isis</v>
      </c>
      <c r="AE269" s="108" t="e">
        <f t="shared" ca="1" si="26"/>
        <v>#NAME?</v>
      </c>
      <c r="AF269" s="159">
        <f ca="1">IFERROR(__xludf.DUMMYFUNCTION("AE269*(V269 / QUERY(NPCVar!$K$2:$N$12, ""Select N WHERE K='""&amp;AB269&amp;""'""))*TRUNC(1+10)*(TRUNC(MOD(($B269*1103515245 +12345)/ 65536, 32768),0)/32768)"),5.21280761718749)</f>
        <v>5.2128076171874902</v>
      </c>
      <c r="AG269" s="16"/>
      <c r="AH269" s="77"/>
      <c r="AI269" s="114"/>
    </row>
    <row r="270" spans="1:35" ht="16.2">
      <c r="A270" s="53">
        <v>269</v>
      </c>
      <c r="B270" s="118">
        <f t="shared" si="27"/>
        <v>0.91544999999999999</v>
      </c>
      <c r="C270" s="72" t="str">
        <f t="array" ref="C270">INDEX(NPCFName,TRUNC(1+(COUNTA(NPCFName))*(TRUNC(MOD(($B270*1103515245 +12345)/ 65536, 32768),0)/32768),0))</f>
        <v>Hyten</v>
      </c>
      <c r="D270" s="16" t="str">
        <f t="array" ref="D270">INDEX(NPCLName,TRUNC(1+(COUNTA(NPCLName))*(TRUNC(MOD(($B270*1103515245 +12345)/ 65536, 32768),0)/32768),0))</f>
        <v>Autumnglow</v>
      </c>
      <c r="E270" s="16" t="str">
        <f t="array" ref="E270">INDEX(NPCClass,TRUNC(1+(COUNTA(NPCClass))*(TRUNC(MOD(($B270*1103515245 +12345)/ 65536, 32768),0)/32768),0))</f>
        <v>Ranger</v>
      </c>
      <c r="F270" s="76">
        <v>8</v>
      </c>
      <c r="G270" s="153">
        <f ca="1">VLOOKUP($AB$2,'RF Mod'!$A$2:$G$12,2,FALSE)+VLOOKUP($AD$2,'RF Mod'!$I$2:$O$11,2,FALSE)+(TRUNC(6+(24-6)*(TRUNC(MOD(($Z270*1103515245 +12345)/ 65536, 32768),0)/32768),0))</f>
        <v>8</v>
      </c>
      <c r="H270" s="16">
        <f t="shared" ca="1" si="17"/>
        <v>-1</v>
      </c>
      <c r="I270" s="153">
        <f ca="1">VLOOKUP($AB$2,'RF Mod'!$A$2:$G$12,3,FALSE)+VLOOKUP($AD$2,'RF Mod'!$I$2:$O$11,3,FALSE)+(TRUNC(6+(24-6)*(TRUNC(MOD(($Z270*1103515245 +12345)/ 65536, 32768),0)/32768),0))</f>
        <v>12</v>
      </c>
      <c r="J270" s="16" t="e">
        <f t="shared" ca="1" si="18"/>
        <v>#NAME?</v>
      </c>
      <c r="K270" s="153">
        <f ca="1">VLOOKUP($AB$2,'RF Mod'!$A$2:$G$12,3,FALSE)+VLOOKUP($AD$2,'RF Mod'!$I$2:$O$11,3,FALSE)+(TRUNC(6+(24-6)*(TRUNC(MOD(($Z270*1103515245 +12345)/ 65536, 32768),0)/32768),0))</f>
        <v>12</v>
      </c>
      <c r="L270" s="16" t="e">
        <f t="shared" ca="1" si="19"/>
        <v>#NAME?</v>
      </c>
      <c r="M270" s="153">
        <f ca="1">VLOOKUP($AB$2,'RF Mod'!$A$2:$G$12,4,FALSE)+VLOOKUP($AD$2,'RF Mod'!$I$2:$O$11,4,FALSE)+(TRUNC(6+(24-6)*(TRUNC(MOD(($Z270*1103515245 +12345)/ 65536, 32768),0)/32768),0))</f>
        <v>11</v>
      </c>
      <c r="N270" s="16" t="e">
        <f t="shared" ca="1" si="20"/>
        <v>#NAME?</v>
      </c>
      <c r="O270" s="153">
        <f ca="1">VLOOKUP($AB$2,'RF Mod'!$A$2:$G$12,5,FALSE)+VLOOKUP($AD$2,'RF Mod'!$I$2:$O$11,5,FALSE)+(TRUNC(6+(24-6)*(TRUNC(MOD(($Z270*1103515245 +12345)/ 65536, 32768),0)/32768),0))</f>
        <v>14</v>
      </c>
      <c r="P270" s="16" t="e">
        <f t="shared" ca="1" si="21"/>
        <v>#NAME?</v>
      </c>
      <c r="Q270" s="153">
        <f ca="1">VLOOKUP($AB$2,'RF Mod'!$A$2:$G$12,6,FALSE)+VLOOKUP($AD$2,'RF Mod'!$I$2:$O$11,6,FALSE)+(TRUNC(6+(24-6)*(TRUNC(MOD(($Z270*1103515245 +12345)/ 65536, 32768),0)/32768),0))</f>
        <v>12</v>
      </c>
      <c r="R270" s="16" t="e">
        <f t="shared" ca="1" si="22"/>
        <v>#NAME?</v>
      </c>
      <c r="S270" s="154">
        <f t="shared" ca="1" si="28"/>
        <v>176</v>
      </c>
      <c r="T270" s="154">
        <f t="shared" ca="1" si="23"/>
        <v>71</v>
      </c>
      <c r="U270" s="16" t="str">
        <f t="shared" ca="1" si="24"/>
        <v>Fine</v>
      </c>
      <c r="V270" s="155">
        <f ca="1">IFERROR(__xludf.DUMMYFUNCTION("if(W270=""Middle Age"",QUERY(NPCVar!$K$2:$N1000, ""Select L where K = '""&amp;AB270&amp;""'""),if(W270=""Old"",QUERY(NPCVar!$K$2:$N1000, ""Select M where K = '""&amp;AB270&amp;""'""),if(W270=""Venerable"",QUERY(NPCVar!$K$2:$N1000, ""Select N where K = '""&amp;AB270&amp;""'""),fa"&amp;"lse)))*X270"),31.5)</f>
        <v>31.5</v>
      </c>
      <c r="W270" s="156" t="str">
        <f t="array" ref="W270">INDEX(NPCAgeType,TRUNC(1+(4-1)*(TRUNC(MOD((X270*1103515245 +12345)/ 65536, 32768),0)/32768),0))</f>
        <v>Old</v>
      </c>
      <c r="X270" s="117">
        <f t="shared" si="29"/>
        <v>1.2</v>
      </c>
      <c r="Y270" s="157" t="e">
        <f t="array" aca="1" ref="Y270" ca="1">LOOKUP(ABS(MAX(Z270 + MIN(ABS(INDIRECT("Class Jobs!B"&amp;MATCH(E270,'Class Jobs'!$A$1:$A1000,0)&amp;":"&amp;"AF"&amp;MATCH(E270,'Class Jobs'!$A$1:$A1000,0)&amp;"")-$Z270)) * SUM(IF(MIN(ABS(INDIRECT("Class Jobs!B"&amp;MATCH(E270,'Class Jobs'!$A$1:$A1000,0)&amp;":"&amp;"AF"&amp;MATCH(E270,'Class Jobs'!$A$1:$A1000,0)&amp;"")-$Z270))=ABS(INDIRECT("Class Jobs!B"&amp;MATCH(E270,'Class Jobs'!$A$1:$A1000,0)&amp;":"&amp;"AF"&amp;MATCH(E270,'Class Jobs'!$A$1:$A1000,0)&amp;"")-$Z270),SIGN(INDIRECT("Class Jobs!B"&amp;MATCH(E270,'Class Jobs'!$A$1:A1000,0)&amp;":"&amp;"AF"&amp;MATCH(E270,'Class Jobs'!$A$1:$A1000,0)&amp;"")-$Z270),0)),0)),INDIRECT("Class Jobs!B"&amp;MATCH(E270,'Class Jobs'!$A$1:$A1000,0)&amp;":"&amp;"AF"&amp;MATCH(E270,'Class Jobs'!$A$1:$A1000,1)&amp;""),'Class Jobs'!$B$1:$AF$1)</f>
        <v>#REF!</v>
      </c>
      <c r="Z270" s="158">
        <f t="shared" si="25"/>
        <v>0.47</v>
      </c>
      <c r="AA270" s="16" t="str">
        <f t="array" ref="AA270">INDEX(NPCGender,TRUNC(1+(COUNTA(NPCGender))*(TRUNC(MOD(($B270*1103515245 +12345)/ 65536, 32768),0)/32768),0))</f>
        <v>Female</v>
      </c>
      <c r="AB270" s="16" t="str">
        <f t="array" ref="AB270">INDEX(NPCRace,TRUNC(1+(COUNTA(NPCRace))*(TRUNC(MOD(($B270*1103515245 +12345)/ 65536, 32768),0)/32768),0))</f>
        <v>Half-Orc</v>
      </c>
      <c r="AC270" s="16" t="str">
        <f t="array" ref="AC270">INDEX(NPCAL,TRUNC(1+(COUNTA(NPCAL))*(TRUNC(MOD(($B270*1103515245 +12345)/ 65536, 32768),0)/32768),0))</f>
        <v>NN</v>
      </c>
      <c r="AD270" s="72" t="str">
        <f ca="1">IFERROR(__xludf.DUMMYFUNCTION("if(V270&lt;15,QUERY(NPCVar!C:D,""Select D WHERE C = '""&amp;D270&amp;""'""),if((TRUNC(1+10)*(TRUNC(MOD((ROW(H270)*1103515245 +12345)/ 65536, 32768),0)/32768)/10) &gt; 0.85,INDEX(NPCFaction,TRUNC(1+(counta(NPCFaction)-1)*(TRUNC(MOD(($B270*1103515245 +12345)/ 65536, 3276"&amp;"8),0)/32768),0)),QUERY(NPCVar!C:D,""Select D WHERE C = '""&amp;D270&amp;""'"")))"),"Traders Guild")</f>
        <v>Traders Guild</v>
      </c>
      <c r="AE270" s="108" t="e">
        <f t="shared" ca="1" si="26"/>
        <v>#NAME?</v>
      </c>
      <c r="AF270" s="159">
        <f ca="1">IFERROR(__xludf.DUMMYFUNCTION("AE270*(V270 / QUERY(NPCVar!$K$2:$N$12, ""Select N WHERE K='""&amp;AB270&amp;""'""))*TRUNC(1+10)*(TRUNC(MOD(($B270*1103515245 +12345)/ 65536, 32768),0)/32768)"),0.931387939453125)</f>
        <v>0.93138793945312504</v>
      </c>
      <c r="AG270" s="16"/>
      <c r="AH270" s="77"/>
      <c r="AI270" s="114"/>
    </row>
    <row r="271" spans="1:35" ht="16.2">
      <c r="A271" s="53">
        <v>270</v>
      </c>
      <c r="B271" s="118">
        <f t="shared" si="27"/>
        <v>2.4095900000000001</v>
      </c>
      <c r="C271" s="72" t="str">
        <f t="array" ref="C271">INDEX(NPCFName,TRUNC(1+(COUNTA(NPCFName))*(TRUNC(MOD(($B271*1103515245 +12345)/ 65536, 32768),0)/32768),0))</f>
        <v>Radag'mal</v>
      </c>
      <c r="D271" s="16" t="str">
        <f t="array" ref="D271">INDEX(NPCLName,TRUNC(1+(COUNTA(NPCLName))*(TRUNC(MOD(($B271*1103515245 +12345)/ 65536, 32768),0)/32768),0))</f>
        <v>Tuskleaf</v>
      </c>
      <c r="E271" s="16" t="str">
        <f t="array" ref="E271">INDEX(NPCClass,TRUNC(1+(COUNTA(NPCClass))*(TRUNC(MOD(($B271*1103515245 +12345)/ 65536, 32768),0)/32768),0))</f>
        <v>Druid</v>
      </c>
      <c r="F271" s="76">
        <v>1</v>
      </c>
      <c r="G271" s="153">
        <f ca="1">VLOOKUP($AB$2,'RF Mod'!$A$2:$G$12,2,FALSE)+VLOOKUP($AD$2,'RF Mod'!$I$2:$O$11,2,FALSE)+(TRUNC(6+(24-6)*(TRUNC(MOD(($Z271*1103515245 +12345)/ 65536, 32768),0)/32768),0))</f>
        <v>6</v>
      </c>
      <c r="H271" s="16">
        <f t="shared" ca="1" si="17"/>
        <v>-2</v>
      </c>
      <c r="I271" s="153">
        <f ca="1">VLOOKUP($AB$2,'RF Mod'!$A$2:$G$12,3,FALSE)+VLOOKUP($AD$2,'RF Mod'!$I$2:$O$11,3,FALSE)+(TRUNC(6+(24-6)*(TRUNC(MOD(($Z271*1103515245 +12345)/ 65536, 32768),0)/32768),0))</f>
        <v>10</v>
      </c>
      <c r="J271" s="16" t="e">
        <f t="shared" ca="1" si="18"/>
        <v>#NAME?</v>
      </c>
      <c r="K271" s="153">
        <f ca="1">VLOOKUP($AB$2,'RF Mod'!$A$2:$G$12,3,FALSE)+VLOOKUP($AD$2,'RF Mod'!$I$2:$O$11,3,FALSE)+(TRUNC(6+(24-6)*(TRUNC(MOD(($Z271*1103515245 +12345)/ 65536, 32768),0)/32768),0))</f>
        <v>10</v>
      </c>
      <c r="L271" s="16" t="e">
        <f t="shared" ca="1" si="19"/>
        <v>#NAME?</v>
      </c>
      <c r="M271" s="153">
        <f ca="1">VLOOKUP($AB$2,'RF Mod'!$A$2:$G$12,4,FALSE)+VLOOKUP($AD$2,'RF Mod'!$I$2:$O$11,4,FALSE)+(TRUNC(6+(24-6)*(TRUNC(MOD(($Z271*1103515245 +12345)/ 65536, 32768),0)/32768),0))</f>
        <v>9</v>
      </c>
      <c r="N271" s="16">
        <f t="shared" ca="1" si="20"/>
        <v>-1</v>
      </c>
      <c r="O271" s="153">
        <f ca="1">VLOOKUP($AB$2,'RF Mod'!$A$2:$G$12,5,FALSE)+VLOOKUP($AD$2,'RF Mod'!$I$2:$O$11,5,FALSE)+(TRUNC(6+(24-6)*(TRUNC(MOD(($Z271*1103515245 +12345)/ 65536, 32768),0)/32768),0))</f>
        <v>12</v>
      </c>
      <c r="P271" s="16" t="e">
        <f t="shared" ca="1" si="21"/>
        <v>#NAME?</v>
      </c>
      <c r="Q271" s="153">
        <f ca="1">VLOOKUP($AB$2,'RF Mod'!$A$2:$G$12,6,FALSE)+VLOOKUP($AD$2,'RF Mod'!$I$2:$O$11,6,FALSE)+(TRUNC(6+(24-6)*(TRUNC(MOD(($Z271*1103515245 +12345)/ 65536, 32768),0)/32768),0))</f>
        <v>10</v>
      </c>
      <c r="R271" s="16" t="e">
        <f t="shared" ca="1" si="22"/>
        <v>#NAME?</v>
      </c>
      <c r="S271" s="154">
        <f t="shared" ca="1" si="28"/>
        <v>12</v>
      </c>
      <c r="T271" s="154">
        <f t="shared" ca="1" si="23"/>
        <v>9</v>
      </c>
      <c r="U271" s="16" t="str">
        <f t="shared" ca="1" si="24"/>
        <v>Bloody</v>
      </c>
      <c r="V271" s="155">
        <f ca="1">IFERROR(__xludf.DUMMYFUNCTION("if(W271=""Middle Age"",QUERY(NPCVar!$K$2:$N1000, ""Select L where K = '""&amp;AB271&amp;""'""),if(W271=""Old"",QUERY(NPCVar!$K$2:$N1000, ""Select M where K = '""&amp;AB271&amp;""'""),if(W271=""Venerable"",QUERY(NPCVar!$K$2:$N1000, ""Select N where K = '""&amp;AB271&amp;""'""),fa"&amp;"lse)))*X271"),112.5)</f>
        <v>112.5</v>
      </c>
      <c r="W271" s="156" t="str">
        <f t="array" ref="W271">INDEX(NPCAgeType,TRUNC(1+(4-1)*(TRUNC(MOD((X271*1103515245 +12345)/ 65536, 32768),0)/32768),0))</f>
        <v>Middle Age</v>
      </c>
      <c r="X271" s="117">
        <f t="shared" si="29"/>
        <v>0.6</v>
      </c>
      <c r="Y271" s="157" t="e">
        <f t="array" aca="1" ref="Y271" ca="1">LOOKUP(ABS(MAX(Z271 + MIN(ABS(INDIRECT("Class Jobs!B"&amp;MATCH(E271,'Class Jobs'!$A$1:$A1000,0)&amp;":"&amp;"AF"&amp;MATCH(E271,'Class Jobs'!$A$1:$A1000,0)&amp;"")-$Z271)) * SUM(IF(MIN(ABS(INDIRECT("Class Jobs!B"&amp;MATCH(E271,'Class Jobs'!$A$1:$A1000,0)&amp;":"&amp;"AF"&amp;MATCH(E271,'Class Jobs'!$A$1:$A1000,0)&amp;"")-$Z271))=ABS(INDIRECT("Class Jobs!B"&amp;MATCH(E271,'Class Jobs'!$A$1:$A1000,0)&amp;":"&amp;"AF"&amp;MATCH(E271,'Class Jobs'!$A$1:$A1000,0)&amp;"")-$Z271),SIGN(INDIRECT("Class Jobs!B"&amp;MATCH(E271,'Class Jobs'!$A$1:A1000,0)&amp;":"&amp;"AF"&amp;MATCH(E271,'Class Jobs'!$A$1:$A1000,0)&amp;"")-$Z271),0)),0)),INDIRECT("Class Jobs!B"&amp;MATCH(E271,'Class Jobs'!$A$1:$A1000,0)&amp;":"&amp;"AF"&amp;MATCH(E271,'Class Jobs'!$A$1:$A1000,1)&amp;""),'Class Jobs'!$B$1:$AF$1)</f>
        <v>#REF!</v>
      </c>
      <c r="Z271" s="158">
        <f t="shared" si="25"/>
        <v>0.24</v>
      </c>
      <c r="AA271" s="16" t="str">
        <f t="array" ref="AA271">INDEX(NPCGender,TRUNC(1+(COUNTA(NPCGender))*(TRUNC(MOD(($B271*1103515245 +12345)/ 65536, 32768),0)/32768),0))</f>
        <v>Male</v>
      </c>
      <c r="AB271" s="16" t="str">
        <f t="array" ref="AB271">INDEX(NPCRace,TRUNC(1+(COUNTA(NPCRace))*(TRUNC(MOD(($B271*1103515245 +12345)/ 65536, 32768),0)/32768),0))</f>
        <v>Elf</v>
      </c>
      <c r="AC271" s="16" t="str">
        <f t="array" ref="AC271">INDEX(NPCAL,TRUNC(1+(COUNTA(NPCAL))*(TRUNC(MOD(($B271*1103515245 +12345)/ 65536, 32768),0)/32768),0))</f>
        <v>CG</v>
      </c>
      <c r="AD271" s="72" t="str">
        <f ca="1">IFERROR(__xludf.DUMMYFUNCTION("if(V271&lt;15,QUERY(NPCVar!C:D,""Select D WHERE C = '""&amp;D271&amp;""'""),if((TRUNC(1+10)*(TRUNC(MOD((ROW(H271)*1103515245 +12345)/ 65536, 32768),0)/32768)/10) &gt; 0.85,INDEX(NPCFaction,TRUNC(1+(counta(NPCFaction)-1)*(TRUNC(MOD(($B271*1103515245 +12345)/ 65536, 3276"&amp;"8),0)/32768),0)),QUERY(NPCVar!C:D,""Select D WHERE C = '""&amp;D271&amp;""'"")))"),"Magic Guild")</f>
        <v>Magic Guild</v>
      </c>
      <c r="AE271" s="108" t="e">
        <f t="shared" ca="1" si="26"/>
        <v>#NAME?</v>
      </c>
      <c r="AF271" s="159">
        <f ca="1">IFERROR(__xludf.DUMMYFUNCTION("AE271*(V271 / QUERY(NPCVar!$K$2:$N$12, ""Select N WHERE K='""&amp;AB271&amp;""'""))*TRUNC(1+10)*(TRUNC(MOD(($B271*1103515245 +12345)/ 65536, 32768),0)/32768)"),0.19650650024414)</f>
        <v>0.19650650024413999</v>
      </c>
      <c r="AG271" s="16"/>
      <c r="AH271" s="77"/>
      <c r="AI271" s="114"/>
    </row>
    <row r="272" spans="1:35" ht="16.2">
      <c r="A272" s="53">
        <v>271</v>
      </c>
      <c r="B272" s="118">
        <f t="shared" si="27"/>
        <v>1.4037299999999999</v>
      </c>
      <c r="C272" s="72" t="str">
        <f t="array" ref="C272">INDEX(NPCFName,TRUNC(1+(COUNTA(NPCFName))*(TRUNC(MOD(($B272*1103515245 +12345)/ 65536, 32768),0)/32768),0))</f>
        <v>Colthan</v>
      </c>
      <c r="D272" s="16" t="str">
        <f t="array" ref="D272">INDEX(NPCLName,TRUNC(1+(COUNTA(NPCLName))*(TRUNC(MOD(($B272*1103515245 +12345)/ 65536, 32768),0)/32768),0))</f>
        <v>Rockspell</v>
      </c>
      <c r="E272" s="16" t="str">
        <f t="array" ref="E272">INDEX(NPCClass,TRUNC(1+(COUNTA(NPCClass))*(TRUNC(MOD(($B272*1103515245 +12345)/ 65536, 32768),0)/32768),0))</f>
        <v>None</v>
      </c>
      <c r="F272" s="76">
        <v>8</v>
      </c>
      <c r="G272" s="153">
        <f ca="1">VLOOKUP($AB$2,'RF Mod'!$A$2:$G$12,2,FALSE)+VLOOKUP($AD$2,'RF Mod'!$I$2:$O$11,2,FALSE)+(TRUNC(6+(24-6)*(TRUNC(MOD(($Z272*1103515245 +12345)/ 65536, 32768),0)/32768),0))</f>
        <v>10</v>
      </c>
      <c r="H272" s="16" t="e">
        <f t="shared" ca="1" si="17"/>
        <v>#NAME?</v>
      </c>
      <c r="I272" s="153">
        <f ca="1">VLOOKUP($AB$2,'RF Mod'!$A$2:$G$12,3,FALSE)+VLOOKUP($AD$2,'RF Mod'!$I$2:$O$11,3,FALSE)+(TRUNC(6+(24-6)*(TRUNC(MOD(($Z272*1103515245 +12345)/ 65536, 32768),0)/32768),0))</f>
        <v>14</v>
      </c>
      <c r="J272" s="16" t="e">
        <f t="shared" ca="1" si="18"/>
        <v>#NAME?</v>
      </c>
      <c r="K272" s="153">
        <f ca="1">VLOOKUP($AB$2,'RF Mod'!$A$2:$G$12,3,FALSE)+VLOOKUP($AD$2,'RF Mod'!$I$2:$O$11,3,FALSE)+(TRUNC(6+(24-6)*(TRUNC(MOD(($Z272*1103515245 +12345)/ 65536, 32768),0)/32768),0))</f>
        <v>14</v>
      </c>
      <c r="L272" s="16" t="e">
        <f t="shared" ca="1" si="19"/>
        <v>#NAME?</v>
      </c>
      <c r="M272" s="153">
        <f ca="1">VLOOKUP($AB$2,'RF Mod'!$A$2:$G$12,4,FALSE)+VLOOKUP($AD$2,'RF Mod'!$I$2:$O$11,4,FALSE)+(TRUNC(6+(24-6)*(TRUNC(MOD(($Z272*1103515245 +12345)/ 65536, 32768),0)/32768),0))</f>
        <v>13</v>
      </c>
      <c r="N272" s="16" t="e">
        <f t="shared" ca="1" si="20"/>
        <v>#NAME?</v>
      </c>
      <c r="O272" s="153">
        <f ca="1">VLOOKUP($AB$2,'RF Mod'!$A$2:$G$12,5,FALSE)+VLOOKUP($AD$2,'RF Mod'!$I$2:$O$11,5,FALSE)+(TRUNC(6+(24-6)*(TRUNC(MOD(($Z272*1103515245 +12345)/ 65536, 32768),0)/32768),0))</f>
        <v>16</v>
      </c>
      <c r="P272" s="16" t="e">
        <f t="shared" ca="1" si="21"/>
        <v>#NAME?</v>
      </c>
      <c r="Q272" s="153">
        <f ca="1">VLOOKUP($AB$2,'RF Mod'!$A$2:$G$12,6,FALSE)+VLOOKUP($AD$2,'RF Mod'!$I$2:$O$11,6,FALSE)+(TRUNC(6+(24-6)*(TRUNC(MOD(($Z272*1103515245 +12345)/ 65536, 32768),0)/32768),0))</f>
        <v>14</v>
      </c>
      <c r="R272" s="16" t="e">
        <f t="shared" ca="1" si="22"/>
        <v>#NAME?</v>
      </c>
      <c r="S272" s="154">
        <f t="shared" ca="1" si="28"/>
        <v>256</v>
      </c>
      <c r="T272" s="154">
        <f t="shared" ca="1" si="23"/>
        <v>198</v>
      </c>
      <c r="U272" s="16" t="str">
        <f t="shared" ca="1" si="24"/>
        <v>Bloody</v>
      </c>
      <c r="V272" s="155">
        <f ca="1">IFERROR(__xludf.DUMMYFUNCTION("if(W272=""Middle Age"",QUERY(NPCVar!$K$2:$N1000, ""Select L where K = '""&amp;AB272&amp;""'""),if(W272=""Old"",QUERY(NPCVar!$K$2:$N1000, ""Select M where K = '""&amp;AB272&amp;""'""),if(W272=""Venerable"",QUERY(NPCVar!$K$2:$N1000, ""Select N where K = '""&amp;AB272&amp;""'""),fa"&amp;"lse)))*X272"),162)</f>
        <v>162</v>
      </c>
      <c r="W272" s="156" t="str">
        <f t="array" ref="W272">INDEX(NPCAgeType,TRUNC(1+(4-1)*(TRUNC(MOD((X272*1103515245 +12345)/ 65536, 32768),0)/32768),0))</f>
        <v>Venerable</v>
      </c>
      <c r="X272" s="117">
        <f t="shared" si="29"/>
        <v>1.8</v>
      </c>
      <c r="Y272" s="157" t="e">
        <f t="array" aca="1" ref="Y272" ca="1">LOOKUP(ABS(MAX(Z272 + MIN(ABS(INDIRECT("Class Jobs!B"&amp;MATCH(E272,'Class Jobs'!$A$1:$A1000,0)&amp;":"&amp;"AF"&amp;MATCH(E272,'Class Jobs'!$A$1:$A1000,0)&amp;"")-$Z272)) * SUM(IF(MIN(ABS(INDIRECT("Class Jobs!B"&amp;MATCH(E272,'Class Jobs'!$A$1:$A1000,0)&amp;":"&amp;"AF"&amp;MATCH(E272,'Class Jobs'!$A$1:$A1000,0)&amp;"")-$Z272))=ABS(INDIRECT("Class Jobs!B"&amp;MATCH(E272,'Class Jobs'!$A$1:$A1000,0)&amp;":"&amp;"AF"&amp;MATCH(E272,'Class Jobs'!$A$1:$A1000,0)&amp;"")-$Z272),SIGN(INDIRECT("Class Jobs!B"&amp;MATCH(E272,'Class Jobs'!$A$1:A1000,0)&amp;":"&amp;"AF"&amp;MATCH(E272,'Class Jobs'!$A$1:$A1000,0)&amp;"")-$Z272),0)),0)),INDIRECT("Class Jobs!B"&amp;MATCH(E272,'Class Jobs'!$A$1:$A1000,0)&amp;":"&amp;"AF"&amp;MATCH(E272,'Class Jobs'!$A$1:$A1000,1)&amp;""),'Class Jobs'!$B$1:$AF$1)</f>
        <v>#REF!</v>
      </c>
      <c r="Z272" s="158">
        <f t="shared" si="25"/>
        <v>0.72</v>
      </c>
      <c r="AA272" s="16" t="str">
        <f t="array" ref="AA272">INDEX(NPCGender,TRUNC(1+(COUNTA(NPCGender))*(TRUNC(MOD(($B272*1103515245 +12345)/ 65536, 32768),0)/32768),0))</f>
        <v>Neutral</v>
      </c>
      <c r="AB272" s="16" t="str">
        <f t="array" ref="AB272">INDEX(NPCRace,TRUNC(1+(COUNTA(NPCRace))*(TRUNC(MOD(($B272*1103515245 +12345)/ 65536, 32768),0)/32768),0))</f>
        <v>Human</v>
      </c>
      <c r="AC272" s="16" t="str">
        <f t="array" ref="AC272">INDEX(NPCAL,TRUNC(1+(COUNTA(NPCAL))*(TRUNC(MOD(($B272*1103515245 +12345)/ 65536, 32768),0)/32768),0))</f>
        <v>LG</v>
      </c>
      <c r="AD272" s="72" t="str">
        <f ca="1">IFERROR(__xludf.DUMMYFUNCTION("if(V272&lt;15,QUERY(NPCVar!C:D,""Select D WHERE C = '""&amp;D272&amp;""'""),if((TRUNC(1+10)*(TRUNC(MOD((ROW(H272)*1103515245 +12345)/ 65536, 32768),0)/32768)/10) &gt; 0.85,INDEX(NPCFaction,TRUNC(1+(counta(NPCFaction)-1)*(TRUNC(MOD(($B272*1103515245 +12345)/ 65536, 3276"&amp;"8),0)/32768),0)),QUERY(NPCVar!C:D,""Select D WHERE C = '""&amp;D272&amp;""'"")))"),"Traverlers Guild")</f>
        <v>Traverlers Guild</v>
      </c>
      <c r="AE272" s="108" t="e">
        <f t="shared" ca="1" si="26"/>
        <v>#NAME?</v>
      </c>
      <c r="AF272" s="159">
        <f ca="1">IFERROR(__xludf.DUMMYFUNCTION("AE272*(V272 / QUERY(NPCVar!$K$2:$N$12, ""Select N WHERE K='""&amp;AB272&amp;""'""))*TRUNC(1+10)*(TRUNC(MOD(($B272*1103515245 +12345)/ 65536, 32768),0)/32768)"),5.712802734375)</f>
        <v>5.7128027343749999</v>
      </c>
      <c r="AG272" s="16"/>
      <c r="AH272" s="77"/>
      <c r="AI272" s="114"/>
    </row>
    <row r="273" spans="1:35" ht="16.2">
      <c r="A273" s="53">
        <v>272</v>
      </c>
      <c r="B273" s="118">
        <f t="shared" si="27"/>
        <v>0.39788000000000001</v>
      </c>
      <c r="C273" s="72" t="str">
        <f t="array" ref="C273">INDEX(NPCFName,TRUNC(1+(COUNTA(NPCFName))*(TRUNC(MOD(($B273*1103515245 +12345)/ 65536, 32768),0)/32768),0))</f>
        <v>Naphates</v>
      </c>
      <c r="D273" s="16" t="str">
        <f t="array" ref="D273">INDEX(NPCLName,TRUNC(1+(COUNTA(NPCLName))*(TRUNC(MOD(($B273*1103515245 +12345)/ 65536, 32768),0)/32768),0))</f>
        <v>Stillsun</v>
      </c>
      <c r="E273" s="16" t="str">
        <f t="array" ref="E273">INDEX(NPCClass,TRUNC(1+(COUNTA(NPCClass))*(TRUNC(MOD(($B273*1103515245 +12345)/ 65536, 32768),0)/32768),0))</f>
        <v>Druid</v>
      </c>
      <c r="F273" s="76">
        <v>1</v>
      </c>
      <c r="G273" s="153">
        <f ca="1">VLOOKUP($AB$2,'RF Mod'!$A$2:$G$12,2,FALSE)+VLOOKUP($AD$2,'RF Mod'!$I$2:$O$11,2,FALSE)+(TRUNC(6+(24-6)*(TRUNC(MOD(($Z273*1103515245 +12345)/ 65536, 32768),0)/32768),0))</f>
        <v>5</v>
      </c>
      <c r="H273" s="16">
        <f t="shared" ca="1" si="17"/>
        <v>-3</v>
      </c>
      <c r="I273" s="153">
        <f ca="1">VLOOKUP($AB$2,'RF Mod'!$A$2:$G$12,3,FALSE)+VLOOKUP($AD$2,'RF Mod'!$I$2:$O$11,3,FALSE)+(TRUNC(6+(24-6)*(TRUNC(MOD(($Z273*1103515245 +12345)/ 65536, 32768),0)/32768),0))</f>
        <v>9</v>
      </c>
      <c r="J273" s="16">
        <f t="shared" ca="1" si="18"/>
        <v>-1</v>
      </c>
      <c r="K273" s="153">
        <f ca="1">VLOOKUP($AB$2,'RF Mod'!$A$2:$G$12,3,FALSE)+VLOOKUP($AD$2,'RF Mod'!$I$2:$O$11,3,FALSE)+(TRUNC(6+(24-6)*(TRUNC(MOD(($Z273*1103515245 +12345)/ 65536, 32768),0)/32768),0))</f>
        <v>9</v>
      </c>
      <c r="L273" s="16">
        <f t="shared" ca="1" si="19"/>
        <v>-1</v>
      </c>
      <c r="M273" s="153">
        <f ca="1">VLOOKUP($AB$2,'RF Mod'!$A$2:$G$12,4,FALSE)+VLOOKUP($AD$2,'RF Mod'!$I$2:$O$11,4,FALSE)+(TRUNC(6+(24-6)*(TRUNC(MOD(($Z273*1103515245 +12345)/ 65536, 32768),0)/32768),0))</f>
        <v>8</v>
      </c>
      <c r="N273" s="16">
        <f t="shared" ca="1" si="20"/>
        <v>-1</v>
      </c>
      <c r="O273" s="153">
        <f ca="1">VLOOKUP($AB$2,'RF Mod'!$A$2:$G$12,5,FALSE)+VLOOKUP($AD$2,'RF Mod'!$I$2:$O$11,5,FALSE)+(TRUNC(6+(24-6)*(TRUNC(MOD(($Z273*1103515245 +12345)/ 65536, 32768),0)/32768),0))</f>
        <v>11</v>
      </c>
      <c r="P273" s="16" t="e">
        <f t="shared" ca="1" si="21"/>
        <v>#NAME?</v>
      </c>
      <c r="Q273" s="153">
        <f ca="1">VLOOKUP($AB$2,'RF Mod'!$A$2:$G$12,6,FALSE)+VLOOKUP($AD$2,'RF Mod'!$I$2:$O$11,6,FALSE)+(TRUNC(6+(24-6)*(TRUNC(MOD(($Z273*1103515245 +12345)/ 65536, 32768),0)/32768),0))</f>
        <v>9</v>
      </c>
      <c r="R273" s="16">
        <f t="shared" ca="1" si="22"/>
        <v>-1</v>
      </c>
      <c r="S273" s="154">
        <f t="shared" ca="1" si="28"/>
        <v>11</v>
      </c>
      <c r="T273" s="154">
        <f t="shared" ca="1" si="23"/>
        <v>2</v>
      </c>
      <c r="U273" s="16" t="str">
        <f t="shared" ca="1" si="24"/>
        <v>Fine</v>
      </c>
      <c r="V273" s="155">
        <f ca="1">IFERROR(__xludf.DUMMYFUNCTION("if(W273=""Middle Age"",QUERY(NPCVar!$K$2:$N1000, ""Select L where K = '""&amp;AB273&amp;""'""),if(W273=""Old"",QUERY(NPCVar!$K$2:$N1000, ""Select M where K = '""&amp;AB273&amp;""'""),if(W273=""Venerable"",QUERY(NPCVar!$K$2:$N1000, ""Select N where K = '""&amp;AB273&amp;""'""),fa"&amp;"lse)))*X273"),93.75)</f>
        <v>93.75</v>
      </c>
      <c r="W273" s="156" t="str">
        <f t="array" ref="W273">INDEX(NPCAgeType,TRUNC(1+(4-1)*(TRUNC(MOD((X273*1103515245 +12345)/ 65536, 32768),0)/32768),0))</f>
        <v>Middle Age</v>
      </c>
      <c r="X273" s="117">
        <f t="shared" si="29"/>
        <v>0.5</v>
      </c>
      <c r="Y273" s="157" t="e">
        <f t="array" aca="1" ref="Y273" ca="1">LOOKUP(ABS(MAX(Z273 + MIN(ABS(INDIRECT("Class Jobs!B"&amp;MATCH(E273,'Class Jobs'!$A$1:$A1000,0)&amp;":"&amp;"AF"&amp;MATCH(E273,'Class Jobs'!$A$1:$A1000,0)&amp;"")-$Z273)) * SUM(IF(MIN(ABS(INDIRECT("Class Jobs!B"&amp;MATCH(E273,'Class Jobs'!$A$1:$A1000,0)&amp;":"&amp;"AF"&amp;MATCH(E273,'Class Jobs'!$A$1:$A1000,0)&amp;"")-$Z273))=ABS(INDIRECT("Class Jobs!B"&amp;MATCH(E273,'Class Jobs'!$A$1:$A1000,0)&amp;":"&amp;"AF"&amp;MATCH(E273,'Class Jobs'!$A$1:$A1000,0)&amp;"")-$Z273),SIGN(INDIRECT("Class Jobs!B"&amp;MATCH(E273,'Class Jobs'!$A$1:A1000,0)&amp;":"&amp;"AF"&amp;MATCH(E273,'Class Jobs'!$A$1:$A1000,0)&amp;"")-$Z273),0)),0)),INDIRECT("Class Jobs!B"&amp;MATCH(E273,'Class Jobs'!$A$1:$A1000,0)&amp;":"&amp;"AF"&amp;MATCH(E273,'Class Jobs'!$A$1:$A1000,1)&amp;""),'Class Jobs'!$B$1:$AF$1)</f>
        <v>#REF!</v>
      </c>
      <c r="Z273" s="158">
        <f t="shared" si="25"/>
        <v>0.21</v>
      </c>
      <c r="AA273" s="16" t="str">
        <f t="array" ref="AA273">INDEX(NPCGender,TRUNC(1+(COUNTA(NPCGender))*(TRUNC(MOD(($B273*1103515245 +12345)/ 65536, 32768),0)/32768),0))</f>
        <v>Male</v>
      </c>
      <c r="AB273" s="16" t="str">
        <f t="array" ref="AB273">INDEX(NPCRace,TRUNC(1+(COUNTA(NPCRace))*(TRUNC(MOD(($B273*1103515245 +12345)/ 65536, 32768),0)/32768),0))</f>
        <v>Elf</v>
      </c>
      <c r="AC273" s="16" t="str">
        <f t="array" ref="AC273">INDEX(NPCAL,TRUNC(1+(COUNTA(NPCAL))*(TRUNC(MOD(($B273*1103515245 +12345)/ 65536, 32768),0)/32768),0))</f>
        <v>CE</v>
      </c>
      <c r="AD273" s="72" t="str">
        <f ca="1">IFERROR(__xludf.DUMMYFUNCTION("if(V273&lt;15,QUERY(NPCVar!C:D,""Select D WHERE C = '""&amp;D273&amp;""'""),if((TRUNC(1+10)*(TRUNC(MOD((ROW(H273)*1103515245 +12345)/ 65536, 32768),0)/32768)/10) &gt; 0.85,INDEX(NPCFaction,TRUNC(1+(counta(NPCFaction)-1)*(TRUNC(MOD(($B273*1103515245 +12345)/ 65536, 3276"&amp;"8),0)/32768),0)),QUERY(NPCVar!C:D,""Select D WHERE C = '""&amp;D273&amp;""'"")))"),"Necromancer")</f>
        <v>Necromancer</v>
      </c>
      <c r="AE273" s="108" t="e">
        <f t="shared" ca="1" si="26"/>
        <v>#NAME?</v>
      </c>
      <c r="AF273" s="159">
        <f ca="1">IFERROR(__xludf.DUMMYFUNCTION("AE273*(V273 / QUERY(NPCVar!$K$2:$N$12, ""Select N WHERE K='""&amp;AB273&amp;""'""))*TRUNC(1+10)*(TRUNC(MOD(($B273*1103515245 +12345)/ 65536, 32768),0)/32768)"),0.112440490722656)</f>
        <v>0.11244049072265599</v>
      </c>
      <c r="AG273" s="16"/>
      <c r="AH273" s="77"/>
      <c r="AI273" s="114"/>
    </row>
    <row r="274" spans="1:35" ht="16.2">
      <c r="A274" s="53">
        <v>273</v>
      </c>
      <c r="B274" s="118">
        <f t="shared" si="27"/>
        <v>1.89201</v>
      </c>
      <c r="C274" s="72" t="str">
        <f t="array" ref="C274">INDEX(NPCFName,TRUNC(1+(COUNTA(NPCFName))*(TRUNC(MOD(($B274*1103515245 +12345)/ 65536, 32768),0)/32768),0))</f>
        <v>Volux</v>
      </c>
      <c r="D274" s="16" t="str">
        <f t="array" ref="D274">INDEX(NPCLName,TRUNC(1+(COUNTA(NPCLName))*(TRUNC(MOD(($B274*1103515245 +12345)/ 65536, 32768),0)/32768),0))</f>
        <v>Stillspell</v>
      </c>
      <c r="E274" s="16" t="str">
        <f t="array" ref="E274">INDEX(NPCClass,TRUNC(1+(COUNTA(NPCClass))*(TRUNC(MOD(($B274*1103515245 +12345)/ 65536, 32768),0)/32768),0))</f>
        <v>Wizard</v>
      </c>
      <c r="F274" s="76">
        <v>8</v>
      </c>
      <c r="G274" s="153">
        <f ca="1">VLOOKUP($AB$2,'RF Mod'!$A$2:$G$12,2,FALSE)+VLOOKUP($AD$2,'RF Mod'!$I$2:$O$11,2,FALSE)+(TRUNC(6+(24-6)*(TRUNC(MOD(($Z274*1103515245 +12345)/ 65536, 32768),0)/32768),0))</f>
        <v>12</v>
      </c>
      <c r="H274" s="16" t="e">
        <f t="shared" ca="1" si="17"/>
        <v>#NAME?</v>
      </c>
      <c r="I274" s="153">
        <f ca="1">VLOOKUP($AB$2,'RF Mod'!$A$2:$G$12,3,FALSE)+VLOOKUP($AD$2,'RF Mod'!$I$2:$O$11,3,FALSE)+(TRUNC(6+(24-6)*(TRUNC(MOD(($Z274*1103515245 +12345)/ 65536, 32768),0)/32768),0))</f>
        <v>16</v>
      </c>
      <c r="J274" s="16" t="e">
        <f t="shared" ca="1" si="18"/>
        <v>#NAME?</v>
      </c>
      <c r="K274" s="153">
        <f ca="1">VLOOKUP($AB$2,'RF Mod'!$A$2:$G$12,3,FALSE)+VLOOKUP($AD$2,'RF Mod'!$I$2:$O$11,3,FALSE)+(TRUNC(6+(24-6)*(TRUNC(MOD(($Z274*1103515245 +12345)/ 65536, 32768),0)/32768),0))</f>
        <v>16</v>
      </c>
      <c r="L274" s="16" t="e">
        <f t="shared" ca="1" si="19"/>
        <v>#NAME?</v>
      </c>
      <c r="M274" s="153">
        <f ca="1">VLOOKUP($AB$2,'RF Mod'!$A$2:$G$12,4,FALSE)+VLOOKUP($AD$2,'RF Mod'!$I$2:$O$11,4,FALSE)+(TRUNC(6+(24-6)*(TRUNC(MOD(($Z274*1103515245 +12345)/ 65536, 32768),0)/32768),0))</f>
        <v>15</v>
      </c>
      <c r="N274" s="16" t="e">
        <f t="shared" ca="1" si="20"/>
        <v>#NAME?</v>
      </c>
      <c r="O274" s="153">
        <f ca="1">VLOOKUP($AB$2,'RF Mod'!$A$2:$G$12,5,FALSE)+VLOOKUP($AD$2,'RF Mod'!$I$2:$O$11,5,FALSE)+(TRUNC(6+(24-6)*(TRUNC(MOD(($Z274*1103515245 +12345)/ 65536, 32768),0)/32768),0))</f>
        <v>18</v>
      </c>
      <c r="P274" s="16" t="e">
        <f t="shared" ca="1" si="21"/>
        <v>#NAME?</v>
      </c>
      <c r="Q274" s="153">
        <f ca="1">VLOOKUP($AB$2,'RF Mod'!$A$2:$G$12,6,FALSE)+VLOOKUP($AD$2,'RF Mod'!$I$2:$O$11,6,FALSE)+(TRUNC(6+(24-6)*(TRUNC(MOD(($Z274*1103515245 +12345)/ 65536, 32768),0)/32768),0))</f>
        <v>16</v>
      </c>
      <c r="R274" s="16" t="e">
        <f t="shared" ca="1" si="22"/>
        <v>#NAME?</v>
      </c>
      <c r="S274" s="154">
        <f t="shared" ca="1" si="28"/>
        <v>176</v>
      </c>
      <c r="T274" s="154">
        <f t="shared" ca="1" si="23"/>
        <v>171</v>
      </c>
      <c r="U274" s="16" t="str">
        <f t="shared" ca="1" si="24"/>
        <v>Bloody</v>
      </c>
      <c r="V274" s="155">
        <f ca="1">IFERROR(__xludf.DUMMYFUNCTION("if(W274=""Middle Age"",QUERY(NPCVar!$K$2:$N1000, ""Select L where K = '""&amp;AB274&amp;""'""),if(W274=""Old"",QUERY(NPCVar!$K$2:$N1000, ""Select M where K = '""&amp;AB274&amp;""'""),if(W274=""Venerable"",QUERY(NPCVar!$K$2:$N1000, ""Select N where K = '""&amp;AB274&amp;""'""),fa"&amp;"lse)))*X274"),72)</f>
        <v>72</v>
      </c>
      <c r="W274" s="156" t="str">
        <f t="array" ref="W274">INDEX(NPCAgeType,TRUNC(1+(4-1)*(TRUNC(MOD((X274*1103515245 +12345)/ 65536, 32768),0)/32768),0))</f>
        <v>Middle Age</v>
      </c>
      <c r="X274" s="117">
        <f t="shared" si="29"/>
        <v>2.4</v>
      </c>
      <c r="Y274" s="157" t="e">
        <f t="array" aca="1" ref="Y274" ca="1">LOOKUP(ABS(MAX(Z274 + MIN(ABS(INDIRECT("Class Jobs!B"&amp;MATCH(E274,'Class Jobs'!$A$1:$A1000,0)&amp;":"&amp;"AF"&amp;MATCH(E274,'Class Jobs'!$A$1:$A1000,0)&amp;"")-$Z274)) * SUM(IF(MIN(ABS(INDIRECT("Class Jobs!B"&amp;MATCH(E274,'Class Jobs'!$A$1:$A1000,0)&amp;":"&amp;"AF"&amp;MATCH(E274,'Class Jobs'!$A$1:$A1000,0)&amp;"")-$Z274))=ABS(INDIRECT("Class Jobs!B"&amp;MATCH(E274,'Class Jobs'!$A$1:$A1000,0)&amp;":"&amp;"AF"&amp;MATCH(E274,'Class Jobs'!$A$1:$A1000,0)&amp;"")-$Z274),SIGN(INDIRECT("Class Jobs!B"&amp;MATCH(E274,'Class Jobs'!$A$1:A1000,0)&amp;":"&amp;"AF"&amp;MATCH(E274,'Class Jobs'!$A$1:$A1000,0)&amp;"")-$Z274),0)),0)),INDIRECT("Class Jobs!B"&amp;MATCH(E274,'Class Jobs'!$A$1:$A1000,0)&amp;":"&amp;"AF"&amp;MATCH(E274,'Class Jobs'!$A$1:$A1000,1)&amp;""),'Class Jobs'!$B$1:$AF$1)</f>
        <v>#REF!</v>
      </c>
      <c r="Z274" s="158">
        <f t="shared" si="25"/>
        <v>0.97</v>
      </c>
      <c r="AA274" s="16" t="str">
        <f t="array" ref="AA274">INDEX(NPCGender,TRUNC(1+(COUNTA(NPCGender))*(TRUNC(MOD(($B274*1103515245 +12345)/ 65536, 32768),0)/32768),0))</f>
        <v>Neutral</v>
      </c>
      <c r="AB274" s="16" t="str">
        <f t="array" ref="AB274">INDEX(NPCRace,TRUNC(1+(COUNTA(NPCRace))*(TRUNC(MOD(($B274*1103515245 +12345)/ 65536, 32768),0)/32768),0))</f>
        <v>Goliath</v>
      </c>
      <c r="AC274" s="16" t="str">
        <f t="array" ref="AC274">INDEX(NPCAL,TRUNC(1+(COUNTA(NPCAL))*(TRUNC(MOD(($B274*1103515245 +12345)/ 65536, 32768),0)/32768),0))</f>
        <v>LE</v>
      </c>
      <c r="AD274" s="72" t="str">
        <f ca="1">IFERROR(__xludf.DUMMYFUNCTION("if(V274&lt;15,QUERY(NPCVar!C:D,""Select D WHERE C = '""&amp;D274&amp;""'""),if((TRUNC(1+10)*(TRUNC(MOD((ROW(H274)*1103515245 +12345)/ 65536, 32768),0)/32768)/10) &gt; 0.85,INDEX(NPCFaction,TRUNC(1+(counta(NPCFaction)-1)*(TRUNC(MOD(($B274*1103515245 +12345)/ 65536, 3276"&amp;"8),0)/32768),0)),QUERY(NPCVar!C:D,""Select D WHERE C = '""&amp;D274&amp;""'"")))"),"Traverlers Guild")</f>
        <v>Traverlers Guild</v>
      </c>
      <c r="AE274" s="108" t="e">
        <f t="shared" ca="1" si="26"/>
        <v>#NAME?</v>
      </c>
      <c r="AF274" s="159">
        <f ca="1">IFERROR(__xludf.DUMMYFUNCTION("AE274*(V274 / QUERY(NPCVar!$K$2:$N$12, ""Select N WHERE K='""&amp;AB274&amp;""'""))*TRUNC(1+10)*(TRUNC(MOD(($B274*1103515245 +12345)/ 65536, 32768),0)/32768)"),2.5666845703125)</f>
        <v>2.5666845703124999</v>
      </c>
      <c r="AG274" s="16"/>
      <c r="AH274" s="77"/>
      <c r="AI274" s="114"/>
    </row>
    <row r="275" spans="1:35" ht="16.2">
      <c r="A275" s="53">
        <v>274</v>
      </c>
      <c r="B275" s="118">
        <f t="shared" si="27"/>
        <v>0.88615999999999995</v>
      </c>
      <c r="C275" s="72" t="str">
        <f t="array" ref="C275">INDEX(NPCFName,TRUNC(1+(COUNTA(NPCFName))*(TRUNC(MOD(($B275*1103515245 +12345)/ 65536, 32768),0)/32768),0))</f>
        <v>Gosford</v>
      </c>
      <c r="D275" s="16" t="str">
        <f t="array" ref="D275">INDEX(NPCLName,TRUNC(1+(COUNTA(NPCLName))*(TRUNC(MOD(($B275*1103515245 +12345)/ 65536, 32768),0)/32768),0))</f>
        <v>Saurflame</v>
      </c>
      <c r="E275" s="16" t="str">
        <f t="array" ref="E275">INDEX(NPCClass,TRUNC(1+(COUNTA(NPCClass))*(TRUNC(MOD(($B275*1103515245 +12345)/ 65536, 32768),0)/32768),0))</f>
        <v>Ranger</v>
      </c>
      <c r="F275" s="76">
        <v>3</v>
      </c>
      <c r="G275" s="153">
        <f ca="1">VLOOKUP($AB$2,'RF Mod'!$A$2:$G$12,2,FALSE)+VLOOKUP($AD$2,'RF Mod'!$I$2:$O$11,2,FALSE)+(TRUNC(6+(24-6)*(TRUNC(MOD(($Z275*1103515245 +12345)/ 65536, 32768),0)/32768),0))</f>
        <v>8</v>
      </c>
      <c r="H275" s="16">
        <f t="shared" ca="1" si="17"/>
        <v>-1</v>
      </c>
      <c r="I275" s="153">
        <f ca="1">VLOOKUP($AB$2,'RF Mod'!$A$2:$G$12,3,FALSE)+VLOOKUP($AD$2,'RF Mod'!$I$2:$O$11,3,FALSE)+(TRUNC(6+(24-6)*(TRUNC(MOD(($Z275*1103515245 +12345)/ 65536, 32768),0)/32768),0))</f>
        <v>12</v>
      </c>
      <c r="J275" s="16" t="e">
        <f t="shared" ca="1" si="18"/>
        <v>#NAME?</v>
      </c>
      <c r="K275" s="153">
        <f ca="1">VLOOKUP($AB$2,'RF Mod'!$A$2:$G$12,3,FALSE)+VLOOKUP($AD$2,'RF Mod'!$I$2:$O$11,3,FALSE)+(TRUNC(6+(24-6)*(TRUNC(MOD(($Z275*1103515245 +12345)/ 65536, 32768),0)/32768),0))</f>
        <v>12</v>
      </c>
      <c r="L275" s="16" t="e">
        <f t="shared" ca="1" si="19"/>
        <v>#NAME?</v>
      </c>
      <c r="M275" s="153">
        <f ca="1">VLOOKUP($AB$2,'RF Mod'!$A$2:$G$12,4,FALSE)+VLOOKUP($AD$2,'RF Mod'!$I$2:$O$11,4,FALSE)+(TRUNC(6+(24-6)*(TRUNC(MOD(($Z275*1103515245 +12345)/ 65536, 32768),0)/32768),0))</f>
        <v>11</v>
      </c>
      <c r="N275" s="16" t="e">
        <f t="shared" ca="1" si="20"/>
        <v>#NAME?</v>
      </c>
      <c r="O275" s="153">
        <f ca="1">VLOOKUP($AB$2,'RF Mod'!$A$2:$G$12,5,FALSE)+VLOOKUP($AD$2,'RF Mod'!$I$2:$O$11,5,FALSE)+(TRUNC(6+(24-6)*(TRUNC(MOD(($Z275*1103515245 +12345)/ 65536, 32768),0)/32768),0))</f>
        <v>14</v>
      </c>
      <c r="P275" s="16" t="e">
        <f t="shared" ca="1" si="21"/>
        <v>#NAME?</v>
      </c>
      <c r="Q275" s="153">
        <f ca="1">VLOOKUP($AB$2,'RF Mod'!$A$2:$G$12,6,FALSE)+VLOOKUP($AD$2,'RF Mod'!$I$2:$O$11,6,FALSE)+(TRUNC(6+(24-6)*(TRUNC(MOD(($Z275*1103515245 +12345)/ 65536, 32768),0)/32768),0))</f>
        <v>12</v>
      </c>
      <c r="R275" s="16" t="e">
        <f t="shared" ca="1" si="22"/>
        <v>#NAME?</v>
      </c>
      <c r="S275" s="154">
        <f t="shared" ca="1" si="28"/>
        <v>90</v>
      </c>
      <c r="T275" s="154">
        <f t="shared" ca="1" si="23"/>
        <v>95</v>
      </c>
      <c r="U275" s="16" t="str">
        <f t="shared" ca="1" si="24"/>
        <v>Dead</v>
      </c>
      <c r="V275" s="155">
        <f ca="1">IFERROR(__xludf.DUMMYFUNCTION("if(W275=""Middle Age"",QUERY(NPCVar!$K$2:$N1000, ""Select L where K = '""&amp;AB275&amp;""'""),if(W275=""Old"",QUERY(NPCVar!$K$2:$N1000, ""Select M where K = '""&amp;AB275&amp;""'""),if(W275=""Venerable"",QUERY(NPCVar!$K$2:$N1000, ""Select N where K = '""&amp;AB275&amp;""'""),fa"&amp;"lse)))*X275"),28.875)</f>
        <v>28.875</v>
      </c>
      <c r="W275" s="156" t="str">
        <f t="array" ref="W275">INDEX(NPCAgeType,TRUNC(1+(4-1)*(TRUNC(MOD((X275*1103515245 +12345)/ 65536, 32768),0)/32768),0))</f>
        <v>Old</v>
      </c>
      <c r="X275" s="117">
        <f t="shared" si="29"/>
        <v>1.1000000000000001</v>
      </c>
      <c r="Y275" s="157" t="e">
        <f t="array" aca="1" ref="Y275" ca="1">LOOKUP(ABS(MAX(Z275 + MIN(ABS(INDIRECT("Class Jobs!B"&amp;MATCH(E275,'Class Jobs'!$A$1:$A1000,0)&amp;":"&amp;"AF"&amp;MATCH(E275,'Class Jobs'!$A$1:$A1000,0)&amp;"")-$Z275)) * SUM(IF(MIN(ABS(INDIRECT("Class Jobs!B"&amp;MATCH(E275,'Class Jobs'!$A$1:$A1000,0)&amp;":"&amp;"AF"&amp;MATCH(E275,'Class Jobs'!$A$1:$A1000,0)&amp;"")-$Z275))=ABS(INDIRECT("Class Jobs!B"&amp;MATCH(E275,'Class Jobs'!$A$1:$A1000,0)&amp;":"&amp;"AF"&amp;MATCH(E275,'Class Jobs'!$A$1:$A1000,0)&amp;"")-$Z275),SIGN(INDIRECT("Class Jobs!B"&amp;MATCH(E275,'Class Jobs'!$A$1:A1000,0)&amp;":"&amp;"AF"&amp;MATCH(E275,'Class Jobs'!$A$1:$A1000,0)&amp;"")-$Z275),0)),0)),INDIRECT("Class Jobs!B"&amp;MATCH(E275,'Class Jobs'!$A$1:$A1000,0)&amp;":"&amp;"AF"&amp;MATCH(E275,'Class Jobs'!$A$1:$A1000,1)&amp;""),'Class Jobs'!$B$1:$AF$1)</f>
        <v>#REF!</v>
      </c>
      <c r="Z275" s="158">
        <f t="shared" si="25"/>
        <v>0.46</v>
      </c>
      <c r="AA275" s="16" t="str">
        <f t="array" ref="AA275">INDEX(NPCGender,TRUNC(1+(COUNTA(NPCGender))*(TRUNC(MOD(($B275*1103515245 +12345)/ 65536, 32768),0)/32768),0))</f>
        <v>Female</v>
      </c>
      <c r="AB275" s="16" t="str">
        <f t="array" ref="AB275">INDEX(NPCRace,TRUNC(1+(COUNTA(NPCRace))*(TRUNC(MOD(($B275*1103515245 +12345)/ 65536, 32768),0)/32768),0))</f>
        <v>Half-Orc</v>
      </c>
      <c r="AC275" s="16" t="str">
        <f t="array" ref="AC275">INDEX(NPCAL,TRUNC(1+(COUNTA(NPCAL))*(TRUNC(MOD(($B275*1103515245 +12345)/ 65536, 32768),0)/32768),0))</f>
        <v>NN</v>
      </c>
      <c r="AD275" s="72" t="str">
        <f ca="1">IFERROR(__xludf.DUMMYFUNCTION("if(V275&lt;15,QUERY(NPCVar!C:D,""Select D WHERE C = '""&amp;D275&amp;""'""),if((TRUNC(1+10)*(TRUNC(MOD((ROW(H275)*1103515245 +12345)/ 65536, 32768),0)/32768)/10) &gt; 0.85,INDEX(NPCFaction,TRUNC(1+(counta(NPCFaction)-1)*(TRUNC(MOD(($B275*1103515245 +12345)/ 65536, 3276"&amp;"8),0)/32768),0)),QUERY(NPCVar!C:D,""Select D WHERE C = '""&amp;D275&amp;""'"")))"),"Farmers Guild")</f>
        <v>Farmers Guild</v>
      </c>
      <c r="AE275" s="108" t="e">
        <f t="shared" ca="1" si="26"/>
        <v>#NAME?</v>
      </c>
      <c r="AF275" s="159">
        <f ca="1">IFERROR(__xludf.DUMMYFUNCTION("AE275*(V275 / QUERY(NPCVar!$K$2:$N$12, ""Select N WHERE K='""&amp;AB275&amp;""'""))*TRUNC(1+10)*(TRUNC(MOD(($B275*1103515245 +12345)/ 65536, 32768),0)/32768)"),1.85954692840576)</f>
        <v>1.85954692840576</v>
      </c>
      <c r="AG275" s="16"/>
      <c r="AH275" s="77"/>
      <c r="AI275" s="114"/>
    </row>
    <row r="276" spans="1:35" ht="16.2">
      <c r="A276" s="53">
        <v>275</v>
      </c>
      <c r="B276" s="118">
        <f t="shared" si="27"/>
        <v>2.38029</v>
      </c>
      <c r="C276" s="72" t="str">
        <f t="array" ref="C276">INDEX(NPCFName,TRUNC(1+(COUNTA(NPCFName))*(TRUNC(MOD(($B276*1103515245 +12345)/ 65536, 32768),0)/32768),0))</f>
        <v>Peitar</v>
      </c>
      <c r="D276" s="16" t="str">
        <f t="array" ref="D276">INDEX(NPCLName,TRUNC(1+(COUNTA(NPCLName))*(TRUNC(MOD(($B276*1103515245 +12345)/ 65536, 32768),0)/32768),0))</f>
        <v>Stillsun</v>
      </c>
      <c r="E276" s="16" t="str">
        <f t="array" ref="E276">INDEX(NPCClass,TRUNC(1+(COUNTA(NPCClass))*(TRUNC(MOD(($B276*1103515245 +12345)/ 65536, 32768),0)/32768),0))</f>
        <v>Druid</v>
      </c>
      <c r="F276" s="76">
        <v>1</v>
      </c>
      <c r="G276" s="153">
        <f ca="1">VLOOKUP($AB$2,'RF Mod'!$A$2:$G$12,2,FALSE)+VLOOKUP($AD$2,'RF Mod'!$I$2:$O$11,2,FALSE)+(TRUNC(6+(24-6)*(TRUNC(MOD(($Z276*1103515245 +12345)/ 65536, 32768),0)/32768),0))</f>
        <v>6</v>
      </c>
      <c r="H276" s="16">
        <f t="shared" ca="1" si="17"/>
        <v>-2</v>
      </c>
      <c r="I276" s="153">
        <f ca="1">VLOOKUP($AB$2,'RF Mod'!$A$2:$G$12,3,FALSE)+VLOOKUP($AD$2,'RF Mod'!$I$2:$O$11,3,FALSE)+(TRUNC(6+(24-6)*(TRUNC(MOD(($Z276*1103515245 +12345)/ 65536, 32768),0)/32768),0))</f>
        <v>10</v>
      </c>
      <c r="J276" s="16" t="e">
        <f t="shared" ca="1" si="18"/>
        <v>#NAME?</v>
      </c>
      <c r="K276" s="153">
        <f ca="1">VLOOKUP($AB$2,'RF Mod'!$A$2:$G$12,3,FALSE)+VLOOKUP($AD$2,'RF Mod'!$I$2:$O$11,3,FALSE)+(TRUNC(6+(24-6)*(TRUNC(MOD(($Z276*1103515245 +12345)/ 65536, 32768),0)/32768),0))</f>
        <v>10</v>
      </c>
      <c r="L276" s="16" t="e">
        <f t="shared" ca="1" si="19"/>
        <v>#NAME?</v>
      </c>
      <c r="M276" s="153">
        <f ca="1">VLOOKUP($AB$2,'RF Mod'!$A$2:$G$12,4,FALSE)+VLOOKUP($AD$2,'RF Mod'!$I$2:$O$11,4,FALSE)+(TRUNC(6+(24-6)*(TRUNC(MOD(($Z276*1103515245 +12345)/ 65536, 32768),0)/32768),0))</f>
        <v>9</v>
      </c>
      <c r="N276" s="16">
        <f t="shared" ca="1" si="20"/>
        <v>-1</v>
      </c>
      <c r="O276" s="153">
        <f ca="1">VLOOKUP($AB$2,'RF Mod'!$A$2:$G$12,5,FALSE)+VLOOKUP($AD$2,'RF Mod'!$I$2:$O$11,5,FALSE)+(TRUNC(6+(24-6)*(TRUNC(MOD(($Z276*1103515245 +12345)/ 65536, 32768),0)/32768),0))</f>
        <v>12</v>
      </c>
      <c r="P276" s="16" t="e">
        <f t="shared" ca="1" si="21"/>
        <v>#NAME?</v>
      </c>
      <c r="Q276" s="153">
        <f ca="1">VLOOKUP($AB$2,'RF Mod'!$A$2:$G$12,6,FALSE)+VLOOKUP($AD$2,'RF Mod'!$I$2:$O$11,6,FALSE)+(TRUNC(6+(24-6)*(TRUNC(MOD(($Z276*1103515245 +12345)/ 65536, 32768),0)/32768),0))</f>
        <v>10</v>
      </c>
      <c r="R276" s="16" t="e">
        <f t="shared" ca="1" si="22"/>
        <v>#NAME?</v>
      </c>
      <c r="S276" s="154">
        <f t="shared" ca="1" si="28"/>
        <v>12</v>
      </c>
      <c r="T276" s="154">
        <f t="shared" ca="1" si="23"/>
        <v>1</v>
      </c>
      <c r="U276" s="16" t="str">
        <f t="shared" ca="1" si="24"/>
        <v>Fine</v>
      </c>
      <c r="V276" s="155">
        <f ca="1">IFERROR(__xludf.DUMMYFUNCTION("if(W276=""Middle Age"",QUERY(NPCVar!$K$2:$N1000, ""Select L where K = '""&amp;AB276&amp;""'""),if(W276=""Old"",QUERY(NPCVar!$K$2:$N1000, ""Select M where K = '""&amp;AB276&amp;""'""),if(W276=""Venerable"",QUERY(NPCVar!$K$2:$N1000, ""Select N where K = '""&amp;AB276&amp;""'""),fa"&amp;"lse)))*X276"),112.5)</f>
        <v>112.5</v>
      </c>
      <c r="W276" s="156" t="str">
        <f t="array" ref="W276">INDEX(NPCAgeType,TRUNC(1+(4-1)*(TRUNC(MOD((X276*1103515245 +12345)/ 65536, 32768),0)/32768),0))</f>
        <v>Middle Age</v>
      </c>
      <c r="X276" s="117">
        <f t="shared" si="29"/>
        <v>0.6</v>
      </c>
      <c r="Y276" s="157" t="e">
        <f t="array" aca="1" ref="Y276" ca="1">LOOKUP(ABS(MAX(Z276 + MIN(ABS(INDIRECT("Class Jobs!B"&amp;MATCH(E276,'Class Jobs'!$A$1:$A1000,0)&amp;":"&amp;"AF"&amp;MATCH(E276,'Class Jobs'!$A$1:$A1000,0)&amp;"")-$Z276)) * SUM(IF(MIN(ABS(INDIRECT("Class Jobs!B"&amp;MATCH(E276,'Class Jobs'!$A$1:$A1000,0)&amp;":"&amp;"AF"&amp;MATCH(E276,'Class Jobs'!$A$1:$A1000,0)&amp;"")-$Z276))=ABS(INDIRECT("Class Jobs!B"&amp;MATCH(E276,'Class Jobs'!$A$1:$A1000,0)&amp;":"&amp;"AF"&amp;MATCH(E276,'Class Jobs'!$A$1:$A1000,0)&amp;"")-$Z276),SIGN(INDIRECT("Class Jobs!B"&amp;MATCH(E276,'Class Jobs'!$A$1:A1000,0)&amp;":"&amp;"AF"&amp;MATCH(E276,'Class Jobs'!$A$1:$A1000,0)&amp;"")-$Z276),0)),0)),INDIRECT("Class Jobs!B"&amp;MATCH(E276,'Class Jobs'!$A$1:$A1000,0)&amp;":"&amp;"AF"&amp;MATCH(E276,'Class Jobs'!$A$1:$A1000,1)&amp;""),'Class Jobs'!$B$1:$AF$1)</f>
        <v>#REF!</v>
      </c>
      <c r="Z276" s="158">
        <f t="shared" si="25"/>
        <v>0.23</v>
      </c>
      <c r="AA276" s="16" t="str">
        <f t="array" ref="AA276">INDEX(NPCGender,TRUNC(1+(COUNTA(NPCGender))*(TRUNC(MOD(($B276*1103515245 +12345)/ 65536, 32768),0)/32768),0))</f>
        <v>Male</v>
      </c>
      <c r="AB276" s="16" t="str">
        <f t="array" ref="AB276">INDEX(NPCRace,TRUNC(1+(COUNTA(NPCRace))*(TRUNC(MOD(($B276*1103515245 +12345)/ 65536, 32768),0)/32768),0))</f>
        <v>Elf</v>
      </c>
      <c r="AC276" s="16" t="str">
        <f t="array" ref="AC276">INDEX(NPCAL,TRUNC(1+(COUNTA(NPCAL))*(TRUNC(MOD(($B276*1103515245 +12345)/ 65536, 32768),0)/32768),0))</f>
        <v>CG</v>
      </c>
      <c r="AD276" s="72" t="str">
        <f ca="1">IFERROR(__xludf.DUMMYFUNCTION("if(V276&lt;15,QUERY(NPCVar!C:D,""Select D WHERE C = '""&amp;D276&amp;""'""),if((TRUNC(1+10)*(TRUNC(MOD((ROW(H276)*1103515245 +12345)/ 65536, 32768),0)/32768)/10) &gt; 0.85,INDEX(NPCFaction,TRUNC(1+(counta(NPCFaction)-1)*(TRUNC(MOD(($B276*1103515245 +12345)/ 65536, 3276"&amp;"8),0)/32768),0)),QUERY(NPCVar!C:D,""Select D WHERE C = '""&amp;D276&amp;""'"")))"),"Traders Guild")</f>
        <v>Traders Guild</v>
      </c>
      <c r="AE276" s="108" t="e">
        <f t="shared" ca="1" si="26"/>
        <v>#NAME?</v>
      </c>
      <c r="AF276" s="159">
        <f ca="1">IFERROR(__xludf.DUMMYFUNCTION("AE276*(V276 / QUERY(NPCVar!$K$2:$N$12, ""Select N WHERE K='""&amp;AB276&amp;""'""))*TRUNC(1+10)*(TRUNC(MOD(($B276*1103515245 +12345)/ 65536, 32768),0)/32768)"),0.0368188476562499)</f>
        <v>3.6818847656249903E-2</v>
      </c>
      <c r="AG276" s="16"/>
      <c r="AH276" s="77"/>
      <c r="AI276" s="114"/>
    </row>
    <row r="277" spans="1:35" ht="16.2">
      <c r="A277" s="53">
        <v>276</v>
      </c>
      <c r="B277" s="118">
        <f t="shared" si="27"/>
        <v>1.37443</v>
      </c>
      <c r="C277" s="72" t="str">
        <f t="array" ref="C277">INDEX(NPCFName,TRUNC(1+(COUNTA(NPCFName))*(TRUNC(MOD(($B277*1103515245 +12345)/ 65536, 32768),0)/32768),0))</f>
        <v>Bue</v>
      </c>
      <c r="D277" s="16" t="str">
        <f t="array" ref="D277">INDEX(NPCLName,TRUNC(1+(COUNTA(NPCLName))*(TRUNC(MOD(($B277*1103515245 +12345)/ 65536, 32768),0)/32768),0))</f>
        <v>Rockspell</v>
      </c>
      <c r="E277" s="16" t="str">
        <f t="array" ref="E277">INDEX(NPCClass,TRUNC(1+(COUNTA(NPCClass))*(TRUNC(MOD(($B277*1103515245 +12345)/ 65536, 32768),0)/32768),0))</f>
        <v>None</v>
      </c>
      <c r="F277" s="76">
        <v>8</v>
      </c>
      <c r="G277" s="153">
        <f ca="1">VLOOKUP($AB$2,'RF Mod'!$A$2:$G$12,2,FALSE)+VLOOKUP($AD$2,'RF Mod'!$I$2:$O$11,2,FALSE)+(TRUNC(6+(24-6)*(TRUNC(MOD(($Z277*1103515245 +12345)/ 65536, 32768),0)/32768),0))</f>
        <v>10</v>
      </c>
      <c r="H277" s="16" t="e">
        <f t="shared" ca="1" si="17"/>
        <v>#NAME?</v>
      </c>
      <c r="I277" s="153">
        <f ca="1">VLOOKUP($AB$2,'RF Mod'!$A$2:$G$12,3,FALSE)+VLOOKUP($AD$2,'RF Mod'!$I$2:$O$11,3,FALSE)+(TRUNC(6+(24-6)*(TRUNC(MOD(($Z277*1103515245 +12345)/ 65536, 32768),0)/32768),0))</f>
        <v>14</v>
      </c>
      <c r="J277" s="16" t="e">
        <f t="shared" ca="1" si="18"/>
        <v>#NAME?</v>
      </c>
      <c r="K277" s="153">
        <f ca="1">VLOOKUP($AB$2,'RF Mod'!$A$2:$G$12,3,FALSE)+VLOOKUP($AD$2,'RF Mod'!$I$2:$O$11,3,FALSE)+(TRUNC(6+(24-6)*(TRUNC(MOD(($Z277*1103515245 +12345)/ 65536, 32768),0)/32768),0))</f>
        <v>14</v>
      </c>
      <c r="L277" s="16" t="e">
        <f t="shared" ca="1" si="19"/>
        <v>#NAME?</v>
      </c>
      <c r="M277" s="153">
        <f ca="1">VLOOKUP($AB$2,'RF Mod'!$A$2:$G$12,4,FALSE)+VLOOKUP($AD$2,'RF Mod'!$I$2:$O$11,4,FALSE)+(TRUNC(6+(24-6)*(TRUNC(MOD(($Z277*1103515245 +12345)/ 65536, 32768),0)/32768),0))</f>
        <v>13</v>
      </c>
      <c r="N277" s="16" t="e">
        <f t="shared" ca="1" si="20"/>
        <v>#NAME?</v>
      </c>
      <c r="O277" s="153">
        <f ca="1">VLOOKUP($AB$2,'RF Mod'!$A$2:$G$12,5,FALSE)+VLOOKUP($AD$2,'RF Mod'!$I$2:$O$11,5,FALSE)+(TRUNC(6+(24-6)*(TRUNC(MOD(($Z277*1103515245 +12345)/ 65536, 32768),0)/32768),0))</f>
        <v>16</v>
      </c>
      <c r="P277" s="16" t="e">
        <f t="shared" ca="1" si="21"/>
        <v>#NAME?</v>
      </c>
      <c r="Q277" s="153">
        <f ca="1">VLOOKUP($AB$2,'RF Mod'!$A$2:$G$12,6,FALSE)+VLOOKUP($AD$2,'RF Mod'!$I$2:$O$11,6,FALSE)+(TRUNC(6+(24-6)*(TRUNC(MOD(($Z277*1103515245 +12345)/ 65536, 32768),0)/32768),0))</f>
        <v>14</v>
      </c>
      <c r="R277" s="16" t="e">
        <f t="shared" ca="1" si="22"/>
        <v>#NAME?</v>
      </c>
      <c r="S277" s="154">
        <f t="shared" ca="1" si="28"/>
        <v>128</v>
      </c>
      <c r="T277" s="154">
        <f t="shared" ca="1" si="23"/>
        <v>13</v>
      </c>
      <c r="U277" s="16" t="str">
        <f t="shared" ca="1" si="24"/>
        <v>Fine</v>
      </c>
      <c r="V277" s="155">
        <f ca="1">IFERROR(__xludf.DUMMYFUNCTION("if(W277=""Middle Age"",QUERY(NPCVar!$K$2:$N1000, ""Select L where K = '""&amp;AB277&amp;""'""),if(W277=""Old"",QUERY(NPCVar!$K$2:$N1000, ""Select M where K = '""&amp;AB277&amp;""'""),if(W277=""Venerable"",QUERY(NPCVar!$K$2:$N1000, ""Select N where K = '""&amp;AB277&amp;""'""),fa"&amp;"lse)))*X277"),153)</f>
        <v>153</v>
      </c>
      <c r="W277" s="156" t="str">
        <f t="array" ref="W277">INDEX(NPCAgeType,TRUNC(1+(4-1)*(TRUNC(MOD((X277*1103515245 +12345)/ 65536, 32768),0)/32768),0))</f>
        <v>Venerable</v>
      </c>
      <c r="X277" s="117">
        <f t="shared" si="29"/>
        <v>1.7</v>
      </c>
      <c r="Y277" s="157" t="e">
        <f t="array" aca="1" ref="Y277" ca="1">LOOKUP(ABS(MAX(Z277 + MIN(ABS(INDIRECT("Class Jobs!B"&amp;MATCH(E277,'Class Jobs'!$A$1:$A1000,0)&amp;":"&amp;"AF"&amp;MATCH(E277,'Class Jobs'!$A$1:$A1000,0)&amp;"")-$Z277)) * SUM(IF(MIN(ABS(INDIRECT("Class Jobs!B"&amp;MATCH(E277,'Class Jobs'!$A$1:$A1000,0)&amp;":"&amp;"AF"&amp;MATCH(E277,'Class Jobs'!$A$1:$A1000,0)&amp;"")-$Z277))=ABS(INDIRECT("Class Jobs!B"&amp;MATCH(E277,'Class Jobs'!$A$1:$A1000,0)&amp;":"&amp;"AF"&amp;MATCH(E277,'Class Jobs'!$A$1:$A1000,0)&amp;"")-$Z277),SIGN(INDIRECT("Class Jobs!B"&amp;MATCH(E277,'Class Jobs'!$A$1:A1000,0)&amp;":"&amp;"AF"&amp;MATCH(E277,'Class Jobs'!$A$1:$A1000,0)&amp;"")-$Z277),0)),0)),INDIRECT("Class Jobs!B"&amp;MATCH(E277,'Class Jobs'!$A$1:$A1000,0)&amp;":"&amp;"AF"&amp;MATCH(E277,'Class Jobs'!$A$1:$A1000,1)&amp;""),'Class Jobs'!$B$1:$AF$1)</f>
        <v>#REF!</v>
      </c>
      <c r="Z277" s="158">
        <f t="shared" si="25"/>
        <v>0.7</v>
      </c>
      <c r="AA277" s="16" t="str">
        <f t="array" ref="AA277">INDEX(NPCGender,TRUNC(1+(COUNTA(NPCGender))*(TRUNC(MOD(($B277*1103515245 +12345)/ 65536, 32768),0)/32768),0))</f>
        <v>Neutral</v>
      </c>
      <c r="AB277" s="16" t="str">
        <f t="array" ref="AB277">INDEX(NPCRace,TRUNC(1+(COUNTA(NPCRace))*(TRUNC(MOD(($B277*1103515245 +12345)/ 65536, 32768),0)/32768),0))</f>
        <v>Human</v>
      </c>
      <c r="AC277" s="16" t="str">
        <f t="array" ref="AC277">INDEX(NPCAL,TRUNC(1+(COUNTA(NPCAL))*(TRUNC(MOD(($B277*1103515245 +12345)/ 65536, 32768),0)/32768),0))</f>
        <v>LG</v>
      </c>
      <c r="AD277" s="72" t="str">
        <f ca="1">IFERROR(__xludf.DUMMYFUNCTION("if(V277&lt;15,QUERY(NPCVar!C:D,""Select D WHERE C = '""&amp;D277&amp;""'""),if((TRUNC(1+10)*(TRUNC(MOD((ROW(H277)*1103515245 +12345)/ 65536, 32768),0)/32768)/10) &gt; 0.85,INDEX(NPCFaction,TRUNC(1+(counta(NPCFaction)-1)*(TRUNC(MOD(($B277*1103515245 +12345)/ 65536, 3276"&amp;"8),0)/32768),0)),QUERY(NPCVar!C:D,""Select D WHERE C = '""&amp;D277&amp;""'"")))"),"Traverlers Guild")</f>
        <v>Traverlers Guild</v>
      </c>
      <c r="AE277" s="108" t="e">
        <f t="shared" ca="1" si="26"/>
        <v>#NAME?</v>
      </c>
      <c r="AF277" s="159">
        <f ca="1">IFERROR(__xludf.DUMMYFUNCTION("AE277*(V277 / QUERY(NPCVar!$K$2:$N$12, ""Select N WHERE K='""&amp;AB277&amp;""'""))*TRUNC(1+10)*(TRUNC(MOD(($B277*1103515245 +12345)/ 65536, 32768),0)/32768)"),11.8864956665039)</f>
        <v>11.886495666503899</v>
      </c>
      <c r="AG277" s="16"/>
      <c r="AH277" s="77"/>
      <c r="AI277" s="114"/>
    </row>
    <row r="278" spans="1:35" ht="16.2">
      <c r="A278" s="53">
        <v>277</v>
      </c>
      <c r="B278" s="118">
        <f t="shared" si="27"/>
        <v>0.36849999999999999</v>
      </c>
      <c r="C278" s="72" t="str">
        <f t="array" ref="C278">INDEX(NPCFName,TRUNC(1+(COUNTA(NPCFName))*(TRUNC(MOD(($B278*1103515245 +12345)/ 65536, 32768),0)/32768),0))</f>
        <v>Meridan</v>
      </c>
      <c r="D278" s="16" t="str">
        <f t="array" ref="D278">INDEX(NPCLName,TRUNC(1+(COUNTA(NPCLName))*(TRUNC(MOD(($B278*1103515245 +12345)/ 65536, 32768),0)/32768),0))</f>
        <v>Ashcloud</v>
      </c>
      <c r="E278" s="16" t="str">
        <f t="array" ref="E278">INDEX(NPCClass,TRUNC(1+(COUNTA(NPCClass))*(TRUNC(MOD(($B278*1103515245 +12345)/ 65536, 32768),0)/32768),0))</f>
        <v>Druid</v>
      </c>
      <c r="F278" s="76">
        <v>1</v>
      </c>
      <c r="G278" s="153">
        <f ca="1">VLOOKUP($AB$2,'RF Mod'!$A$2:$G$12,2,FALSE)+VLOOKUP($AD$2,'RF Mod'!$I$2:$O$11,2,FALSE)+(TRUNC(6+(24-6)*(TRUNC(MOD(($Z278*1103515245 +12345)/ 65536, 32768),0)/32768),0))</f>
        <v>5</v>
      </c>
      <c r="H278" s="16">
        <f t="shared" ca="1" si="17"/>
        <v>-3</v>
      </c>
      <c r="I278" s="153">
        <f ca="1">VLOOKUP($AB$2,'RF Mod'!$A$2:$G$12,3,FALSE)+VLOOKUP($AD$2,'RF Mod'!$I$2:$O$11,3,FALSE)+(TRUNC(6+(24-6)*(TRUNC(MOD(($Z278*1103515245 +12345)/ 65536, 32768),0)/32768),0))</f>
        <v>9</v>
      </c>
      <c r="J278" s="16">
        <f t="shared" ca="1" si="18"/>
        <v>-1</v>
      </c>
      <c r="K278" s="153">
        <f ca="1">VLOOKUP($AB$2,'RF Mod'!$A$2:$G$12,3,FALSE)+VLOOKUP($AD$2,'RF Mod'!$I$2:$O$11,3,FALSE)+(TRUNC(6+(24-6)*(TRUNC(MOD(($Z278*1103515245 +12345)/ 65536, 32768),0)/32768),0))</f>
        <v>9</v>
      </c>
      <c r="L278" s="16">
        <f t="shared" ca="1" si="19"/>
        <v>-1</v>
      </c>
      <c r="M278" s="153">
        <f ca="1">VLOOKUP($AB$2,'RF Mod'!$A$2:$G$12,4,FALSE)+VLOOKUP($AD$2,'RF Mod'!$I$2:$O$11,4,FALSE)+(TRUNC(6+(24-6)*(TRUNC(MOD(($Z278*1103515245 +12345)/ 65536, 32768),0)/32768),0))</f>
        <v>8</v>
      </c>
      <c r="N278" s="16">
        <f t="shared" ca="1" si="20"/>
        <v>-1</v>
      </c>
      <c r="O278" s="153">
        <f ca="1">VLOOKUP($AB$2,'RF Mod'!$A$2:$G$12,5,FALSE)+VLOOKUP($AD$2,'RF Mod'!$I$2:$O$11,5,FALSE)+(TRUNC(6+(24-6)*(TRUNC(MOD(($Z278*1103515245 +12345)/ 65536, 32768),0)/32768),0))</f>
        <v>11</v>
      </c>
      <c r="P278" s="16" t="e">
        <f t="shared" ca="1" si="21"/>
        <v>#NAME?</v>
      </c>
      <c r="Q278" s="153">
        <f ca="1">VLOOKUP($AB$2,'RF Mod'!$A$2:$G$12,6,FALSE)+VLOOKUP($AD$2,'RF Mod'!$I$2:$O$11,6,FALSE)+(TRUNC(6+(24-6)*(TRUNC(MOD(($Z278*1103515245 +12345)/ 65536, 32768),0)/32768),0))</f>
        <v>9</v>
      </c>
      <c r="R278" s="16">
        <f t="shared" ca="1" si="22"/>
        <v>-1</v>
      </c>
      <c r="S278" s="154">
        <f t="shared" ca="1" si="28"/>
        <v>11</v>
      </c>
      <c r="T278" s="154">
        <f t="shared" ca="1" si="23"/>
        <v>7</v>
      </c>
      <c r="U278" s="16" t="str">
        <f t="shared" ca="1" si="24"/>
        <v>Bloody</v>
      </c>
      <c r="V278" s="155">
        <f ca="1">IFERROR(__xludf.DUMMYFUNCTION("if(W278=""Middle Age"",QUERY(NPCVar!$K$2:$N1000, ""Select L where K = '""&amp;AB278&amp;""'""),if(W278=""Old"",QUERY(NPCVar!$K$2:$N1000, ""Select M where K = '""&amp;AB278&amp;""'""),if(W278=""Venerable"",QUERY(NPCVar!$K$2:$N1000, ""Select N where K = '""&amp;AB278&amp;""'""),fa"&amp;"lse)))*X278"),93.75)</f>
        <v>93.75</v>
      </c>
      <c r="W278" s="156" t="str">
        <f t="array" ref="W278">INDEX(NPCAgeType,TRUNC(1+(4-1)*(TRUNC(MOD((X278*1103515245 +12345)/ 65536, 32768),0)/32768),0))</f>
        <v>Middle Age</v>
      </c>
      <c r="X278" s="117">
        <f t="shared" si="29"/>
        <v>0.5</v>
      </c>
      <c r="Y278" s="157" t="e">
        <f t="array" aca="1" ref="Y278" ca="1">LOOKUP(ABS(MAX(Z278 + MIN(ABS(INDIRECT("Class Jobs!B"&amp;MATCH(E278,'Class Jobs'!$A$1:$A1000,0)&amp;":"&amp;"AF"&amp;MATCH(E278,'Class Jobs'!$A$1:$A1000,0)&amp;"")-$Z278)) * SUM(IF(MIN(ABS(INDIRECT("Class Jobs!B"&amp;MATCH(E278,'Class Jobs'!$A$1:$A1000,0)&amp;":"&amp;"AF"&amp;MATCH(E278,'Class Jobs'!$A$1:$A1000,0)&amp;"")-$Z278))=ABS(INDIRECT("Class Jobs!B"&amp;MATCH(E278,'Class Jobs'!$A$1:$A1000,0)&amp;":"&amp;"AF"&amp;MATCH(E278,'Class Jobs'!$A$1:$A1000,0)&amp;"")-$Z278),SIGN(INDIRECT("Class Jobs!B"&amp;MATCH(E278,'Class Jobs'!$A$1:A1000,0)&amp;":"&amp;"AF"&amp;MATCH(E278,'Class Jobs'!$A$1:$A1000,0)&amp;"")-$Z278),0)),0)),INDIRECT("Class Jobs!B"&amp;MATCH(E278,'Class Jobs'!$A$1:$A1000,0)&amp;":"&amp;"AF"&amp;MATCH(E278,'Class Jobs'!$A$1:$A1000,1)&amp;""),'Class Jobs'!$B$1:$AF$1)</f>
        <v>#REF!</v>
      </c>
      <c r="Z278" s="158">
        <f t="shared" si="25"/>
        <v>0.19</v>
      </c>
      <c r="AA278" s="16" t="str">
        <f t="array" ref="AA278">INDEX(NPCGender,TRUNC(1+(COUNTA(NPCGender))*(TRUNC(MOD(($B278*1103515245 +12345)/ 65536, 32768),0)/32768),0))</f>
        <v>Male</v>
      </c>
      <c r="AB278" s="16" t="str">
        <f t="array" ref="AB278">INDEX(NPCRace,TRUNC(1+(COUNTA(NPCRace))*(TRUNC(MOD(($B278*1103515245 +12345)/ 65536, 32768),0)/32768),0))</f>
        <v>Elf</v>
      </c>
      <c r="AC278" s="16" t="str">
        <f t="array" ref="AC278">INDEX(NPCAL,TRUNC(1+(COUNTA(NPCAL))*(TRUNC(MOD(($B278*1103515245 +12345)/ 65536, 32768),0)/32768),0))</f>
        <v>CE</v>
      </c>
      <c r="AD278" s="72" t="str">
        <f ca="1">IFERROR(__xludf.DUMMYFUNCTION("if(V278&lt;15,QUERY(NPCVar!C:D,""Select D WHERE C = '""&amp;D278&amp;""'""),if((TRUNC(1+10)*(TRUNC(MOD((ROW(H278)*1103515245 +12345)/ 65536, 32768),0)/32768)/10) &gt; 0.85,INDEX(NPCFaction,TRUNC(1+(counta(NPCFaction)-1)*(TRUNC(MOD(($B278*1103515245 +12345)/ 65536, 3276"&amp;"8),0)/32768),0)),QUERY(NPCVar!C:D,""Select D WHERE C = '""&amp;D278&amp;""'"")))"),"Necromancer")</f>
        <v>Necromancer</v>
      </c>
      <c r="AE278" s="108" t="e">
        <f t="shared" ca="1" si="26"/>
        <v>#NAME?</v>
      </c>
      <c r="AF278" s="159">
        <f ca="1">IFERROR(__xludf.DUMMYFUNCTION("AE278*(V278 / QUERY(NPCVar!$K$2:$N$12, ""Select N WHERE K='""&amp;AB278&amp;""'""))*TRUNC(1+10)*(TRUNC(MOD(($B278*1103515245 +12345)/ 65536, 32768),0)/32768)"),0.0260372161865234)</f>
        <v>2.6037216186523399E-2</v>
      </c>
      <c r="AG278" s="16"/>
      <c r="AH278" s="77"/>
      <c r="AI278" s="114"/>
    </row>
    <row r="279" spans="1:35" ht="16.2">
      <c r="A279" s="53">
        <v>278</v>
      </c>
      <c r="B279" s="118">
        <f t="shared" si="27"/>
        <v>1.8626400000000001</v>
      </c>
      <c r="C279" s="72" t="str">
        <f t="array" ref="C279">INDEX(NPCFName,TRUNC(1+(COUNTA(NPCFName))*(TRUNC(MOD(($B279*1103515245 +12345)/ 65536, 32768),0)/32768),0))</f>
        <v>Towerlock</v>
      </c>
      <c r="D279" s="16" t="str">
        <f t="array" ref="D279">INDEX(NPCLName,TRUNC(1+(COUNTA(NPCLName))*(TRUNC(MOD(($B279*1103515245 +12345)/ 65536, 32768),0)/32768),0))</f>
        <v>Marblearm</v>
      </c>
      <c r="E279" s="16" t="str">
        <f t="array" ref="E279">INDEX(NPCClass,TRUNC(1+(COUNTA(NPCClass))*(TRUNC(MOD(($B279*1103515245 +12345)/ 65536, 32768),0)/32768),0))</f>
        <v>Wizard</v>
      </c>
      <c r="F279" s="76">
        <v>8</v>
      </c>
      <c r="G279" s="153">
        <f ca="1">VLOOKUP($AB$2,'RF Mod'!$A$2:$G$12,2,FALSE)+VLOOKUP($AD$2,'RF Mod'!$I$2:$O$11,2,FALSE)+(TRUNC(6+(24-6)*(TRUNC(MOD(($Z279*1103515245 +12345)/ 65536, 32768),0)/32768),0))</f>
        <v>12</v>
      </c>
      <c r="H279" s="16" t="e">
        <f t="shared" ca="1" si="17"/>
        <v>#NAME?</v>
      </c>
      <c r="I279" s="153">
        <f ca="1">VLOOKUP($AB$2,'RF Mod'!$A$2:$G$12,3,FALSE)+VLOOKUP($AD$2,'RF Mod'!$I$2:$O$11,3,FALSE)+(TRUNC(6+(24-6)*(TRUNC(MOD(($Z279*1103515245 +12345)/ 65536, 32768),0)/32768),0))</f>
        <v>16</v>
      </c>
      <c r="J279" s="16" t="e">
        <f t="shared" ca="1" si="18"/>
        <v>#NAME?</v>
      </c>
      <c r="K279" s="153">
        <f ca="1">VLOOKUP($AB$2,'RF Mod'!$A$2:$G$12,3,FALSE)+VLOOKUP($AD$2,'RF Mod'!$I$2:$O$11,3,FALSE)+(TRUNC(6+(24-6)*(TRUNC(MOD(($Z279*1103515245 +12345)/ 65536, 32768),0)/32768),0))</f>
        <v>16</v>
      </c>
      <c r="L279" s="16" t="e">
        <f t="shared" ca="1" si="19"/>
        <v>#NAME?</v>
      </c>
      <c r="M279" s="153">
        <f ca="1">VLOOKUP($AB$2,'RF Mod'!$A$2:$G$12,4,FALSE)+VLOOKUP($AD$2,'RF Mod'!$I$2:$O$11,4,FALSE)+(TRUNC(6+(24-6)*(TRUNC(MOD(($Z279*1103515245 +12345)/ 65536, 32768),0)/32768),0))</f>
        <v>15</v>
      </c>
      <c r="N279" s="16" t="e">
        <f t="shared" ca="1" si="20"/>
        <v>#NAME?</v>
      </c>
      <c r="O279" s="153">
        <f ca="1">VLOOKUP($AB$2,'RF Mod'!$A$2:$G$12,5,FALSE)+VLOOKUP($AD$2,'RF Mod'!$I$2:$O$11,5,FALSE)+(TRUNC(6+(24-6)*(TRUNC(MOD(($Z279*1103515245 +12345)/ 65536, 32768),0)/32768),0))</f>
        <v>18</v>
      </c>
      <c r="P279" s="16" t="e">
        <f t="shared" ca="1" si="21"/>
        <v>#NAME?</v>
      </c>
      <c r="Q279" s="153">
        <f ca="1">VLOOKUP($AB$2,'RF Mod'!$A$2:$G$12,6,FALSE)+VLOOKUP($AD$2,'RF Mod'!$I$2:$O$11,6,FALSE)+(TRUNC(6+(24-6)*(TRUNC(MOD(($Z279*1103515245 +12345)/ 65536, 32768),0)/32768),0))</f>
        <v>16</v>
      </c>
      <c r="R279" s="16" t="e">
        <f t="shared" ca="1" si="22"/>
        <v>#NAME?</v>
      </c>
      <c r="S279" s="154">
        <f t="shared" ca="1" si="28"/>
        <v>256</v>
      </c>
      <c r="T279" s="154">
        <f t="shared" ca="1" si="23"/>
        <v>307</v>
      </c>
      <c r="U279" s="16" t="str">
        <f t="shared" ca="1" si="24"/>
        <v>Dead</v>
      </c>
      <c r="V279" s="155">
        <f ca="1">IFERROR(__xludf.DUMMYFUNCTION("if(W279=""Middle Age"",QUERY(NPCVar!$K$2:$N1000, ""Select L where K = '""&amp;AB279&amp;""'""),if(W279=""Old"",QUERY(NPCVar!$K$2:$N1000, ""Select M where K = '""&amp;AB279&amp;""'""),if(W279=""Venerable"",QUERY(NPCVar!$K$2:$N1000, ""Select N where K = '""&amp;AB279&amp;""'""),fa"&amp;"lse)))*X279"),69)</f>
        <v>69</v>
      </c>
      <c r="W279" s="156" t="str">
        <f t="array" ref="W279">INDEX(NPCAgeType,TRUNC(1+(4-1)*(TRUNC(MOD((X279*1103515245 +12345)/ 65536, 32768),0)/32768),0))</f>
        <v>Middle Age</v>
      </c>
      <c r="X279" s="117">
        <f t="shared" si="29"/>
        <v>2.2999999999999998</v>
      </c>
      <c r="Y279" s="157" t="e">
        <f t="array" aca="1" ref="Y279" ca="1">LOOKUP(ABS(MAX(Z279 + MIN(ABS(INDIRECT("Class Jobs!B"&amp;MATCH(E279,'Class Jobs'!$A$1:$A1000,0)&amp;":"&amp;"AF"&amp;MATCH(E279,'Class Jobs'!$A$1:$A1000,0)&amp;"")-$Z279)) * SUM(IF(MIN(ABS(INDIRECT("Class Jobs!B"&amp;MATCH(E279,'Class Jobs'!$A$1:$A1000,0)&amp;":"&amp;"AF"&amp;MATCH(E279,'Class Jobs'!$A$1:$A1000,0)&amp;"")-$Z279))=ABS(INDIRECT("Class Jobs!B"&amp;MATCH(E279,'Class Jobs'!$A$1:$A1000,0)&amp;":"&amp;"AF"&amp;MATCH(E279,'Class Jobs'!$A$1:$A1000,0)&amp;"")-$Z279),SIGN(INDIRECT("Class Jobs!B"&amp;MATCH(E279,'Class Jobs'!$A$1:A1000,0)&amp;":"&amp;"AF"&amp;MATCH(E279,'Class Jobs'!$A$1:$A1000,0)&amp;"")-$Z279),0)),0)),INDIRECT("Class Jobs!B"&amp;MATCH(E279,'Class Jobs'!$A$1:$A1000,0)&amp;":"&amp;"AF"&amp;MATCH(E279,'Class Jobs'!$A$1:$A1000,1)&amp;""),'Class Jobs'!$B$1:$AF$1)</f>
        <v>#REF!</v>
      </c>
      <c r="Z279" s="158">
        <f t="shared" si="25"/>
        <v>0.95</v>
      </c>
      <c r="AA279" s="16" t="str">
        <f t="array" ref="AA279">INDEX(NPCGender,TRUNC(1+(COUNTA(NPCGender))*(TRUNC(MOD(($B279*1103515245 +12345)/ 65536, 32768),0)/32768),0))</f>
        <v>Neutral</v>
      </c>
      <c r="AB279" s="16" t="str">
        <f t="array" ref="AB279">INDEX(NPCRace,TRUNC(1+(COUNTA(NPCRace))*(TRUNC(MOD(($B279*1103515245 +12345)/ 65536, 32768),0)/32768),0))</f>
        <v>Goliath</v>
      </c>
      <c r="AC279" s="16" t="str">
        <f t="array" ref="AC279">INDEX(NPCAL,TRUNC(1+(COUNTA(NPCAL))*(TRUNC(MOD(($B279*1103515245 +12345)/ 65536, 32768),0)/32768),0))</f>
        <v>LE</v>
      </c>
      <c r="AD279" s="72" t="str">
        <f ca="1">IFERROR(__xludf.DUMMYFUNCTION("if(V279&lt;15,QUERY(NPCVar!C:D,""Select D WHERE C = '""&amp;D279&amp;""'""),if((TRUNC(1+10)*(TRUNC(MOD((ROW(H279)*1103515245 +12345)/ 65536, 32768),0)/32768)/10) &gt; 0.85,INDEX(NPCFaction,TRUNC(1+(counta(NPCFaction)-1)*(TRUNC(MOD(($B279*1103515245 +12345)/ 65536, 3276"&amp;"8),0)/32768),0)),QUERY(NPCVar!C:D,""Select D WHERE C = '""&amp;D279&amp;""'"")))"),"Thieves Guild")</f>
        <v>Thieves Guild</v>
      </c>
      <c r="AE279" s="108" t="e">
        <f t="shared" ca="1" si="26"/>
        <v>#NAME?</v>
      </c>
      <c r="AF279" s="159">
        <f ca="1">IFERROR(__xludf.DUMMYFUNCTION("AE279*(V279 / QUERY(NPCVar!$K$2:$N$12, ""Select N WHERE K='""&amp;AB279&amp;""'""))*TRUNC(1+10)*(TRUNC(MOD(($B279*1103515245 +12345)/ 65536, 32768),0)/32768)"),5.44842155456543)</f>
        <v>5.4484215545654298</v>
      </c>
      <c r="AG279" s="16"/>
      <c r="AH279" s="77"/>
      <c r="AI279" s="114"/>
    </row>
    <row r="280" spans="1:35" ht="16.2">
      <c r="A280" s="53">
        <v>279</v>
      </c>
      <c r="B280" s="118">
        <f t="shared" si="27"/>
        <v>0.85677999999999999</v>
      </c>
      <c r="C280" s="72" t="str">
        <f t="array" ref="C280">INDEX(NPCFName,TRUNC(1+(COUNTA(NPCFName))*(TRUNC(MOD(($B280*1103515245 +12345)/ 65536, 32768),0)/32768),0))</f>
        <v>Fickfylo</v>
      </c>
      <c r="D280" s="16" t="str">
        <f t="array" ref="D280">INDEX(NPCLName,TRUNC(1+(COUNTA(NPCLName))*(TRUNC(MOD(($B280*1103515245 +12345)/ 65536, 32768),0)/32768),0))</f>
        <v>Saurflame</v>
      </c>
      <c r="E280" s="16" t="str">
        <f t="array" ref="E280">INDEX(NPCClass,TRUNC(1+(COUNTA(NPCClass))*(TRUNC(MOD(($B280*1103515245 +12345)/ 65536, 32768),0)/32768),0))</f>
        <v>Ranger</v>
      </c>
      <c r="F280" s="76">
        <v>7</v>
      </c>
      <c r="G280" s="153">
        <f ca="1">VLOOKUP($AB$2,'RF Mod'!$A$2:$G$12,2,FALSE)+VLOOKUP($AD$2,'RF Mod'!$I$2:$O$11,2,FALSE)+(TRUNC(6+(24-6)*(TRUNC(MOD(($Z280*1103515245 +12345)/ 65536, 32768),0)/32768),0))</f>
        <v>8</v>
      </c>
      <c r="H280" s="16">
        <f t="shared" ca="1" si="17"/>
        <v>-1</v>
      </c>
      <c r="I280" s="153">
        <f ca="1">VLOOKUP($AB$2,'RF Mod'!$A$2:$G$12,3,FALSE)+VLOOKUP($AD$2,'RF Mod'!$I$2:$O$11,3,FALSE)+(TRUNC(6+(24-6)*(TRUNC(MOD(($Z280*1103515245 +12345)/ 65536, 32768),0)/32768),0))</f>
        <v>12</v>
      </c>
      <c r="J280" s="16" t="e">
        <f t="shared" ca="1" si="18"/>
        <v>#NAME?</v>
      </c>
      <c r="K280" s="153">
        <f ca="1">VLOOKUP($AB$2,'RF Mod'!$A$2:$G$12,3,FALSE)+VLOOKUP($AD$2,'RF Mod'!$I$2:$O$11,3,FALSE)+(TRUNC(6+(24-6)*(TRUNC(MOD(($Z280*1103515245 +12345)/ 65536, 32768),0)/32768),0))</f>
        <v>12</v>
      </c>
      <c r="L280" s="16" t="e">
        <f t="shared" ca="1" si="19"/>
        <v>#NAME?</v>
      </c>
      <c r="M280" s="153">
        <f ca="1">VLOOKUP($AB$2,'RF Mod'!$A$2:$G$12,4,FALSE)+VLOOKUP($AD$2,'RF Mod'!$I$2:$O$11,4,FALSE)+(TRUNC(6+(24-6)*(TRUNC(MOD(($Z280*1103515245 +12345)/ 65536, 32768),0)/32768),0))</f>
        <v>11</v>
      </c>
      <c r="N280" s="16" t="e">
        <f t="shared" ca="1" si="20"/>
        <v>#NAME?</v>
      </c>
      <c r="O280" s="153">
        <f ca="1">VLOOKUP($AB$2,'RF Mod'!$A$2:$G$12,5,FALSE)+VLOOKUP($AD$2,'RF Mod'!$I$2:$O$11,5,FALSE)+(TRUNC(6+(24-6)*(TRUNC(MOD(($Z280*1103515245 +12345)/ 65536, 32768),0)/32768),0))</f>
        <v>14</v>
      </c>
      <c r="P280" s="16" t="e">
        <f t="shared" ca="1" si="21"/>
        <v>#NAME?</v>
      </c>
      <c r="Q280" s="153">
        <f ca="1">VLOOKUP($AB$2,'RF Mod'!$A$2:$G$12,6,FALSE)+VLOOKUP($AD$2,'RF Mod'!$I$2:$O$11,6,FALSE)+(TRUNC(6+(24-6)*(TRUNC(MOD(($Z280*1103515245 +12345)/ 65536, 32768),0)/32768),0))</f>
        <v>12</v>
      </c>
      <c r="R280" s="16" t="e">
        <f t="shared" ca="1" si="22"/>
        <v>#NAME?</v>
      </c>
      <c r="S280" s="154">
        <f t="shared" ca="1" si="28"/>
        <v>154</v>
      </c>
      <c r="T280" s="154">
        <f t="shared" ca="1" si="23"/>
        <v>175</v>
      </c>
      <c r="U280" s="16" t="str">
        <f t="shared" ca="1" si="24"/>
        <v>Dead</v>
      </c>
      <c r="V280" s="155">
        <f ca="1">IFERROR(__xludf.DUMMYFUNCTION("if(W280=""Middle Age"",QUERY(NPCVar!$K$2:$N1000, ""Select L where K = '""&amp;AB280&amp;""'""),if(W280=""Old"",QUERY(NPCVar!$K$2:$N1000, ""Select M where K = '""&amp;AB280&amp;""'""),if(W280=""Venerable"",QUERY(NPCVar!$K$2:$N1000, ""Select N where K = '""&amp;AB280&amp;""'""),fa"&amp;"lse)))*X280"),74.25)</f>
        <v>74.25</v>
      </c>
      <c r="W280" s="156" t="str">
        <f t="array" ref="W280">INDEX(NPCAgeType,TRUNC(1+(4-1)*(TRUNC(MOD((X280*1103515245 +12345)/ 65536, 32768),0)/32768),0))</f>
        <v>Old</v>
      </c>
      <c r="X280" s="117">
        <f t="shared" si="29"/>
        <v>1.1000000000000001</v>
      </c>
      <c r="Y280" s="157" t="e">
        <f t="array" aca="1" ref="Y280" ca="1">LOOKUP(ABS(MAX(Z280 + MIN(ABS(INDIRECT("Class Jobs!B"&amp;MATCH(E280,'Class Jobs'!$A$1:$A1000,0)&amp;":"&amp;"AF"&amp;MATCH(E280,'Class Jobs'!$A$1:$A1000,0)&amp;"")-$Z280)) * SUM(IF(MIN(ABS(INDIRECT("Class Jobs!B"&amp;MATCH(E280,'Class Jobs'!$A$1:$A1000,0)&amp;":"&amp;"AF"&amp;MATCH(E280,'Class Jobs'!$A$1:$A1000,0)&amp;"")-$Z280))=ABS(INDIRECT("Class Jobs!B"&amp;MATCH(E280,'Class Jobs'!$A$1:$A1000,0)&amp;":"&amp;"AF"&amp;MATCH(E280,'Class Jobs'!$A$1:$A1000,0)&amp;"")-$Z280),SIGN(INDIRECT("Class Jobs!B"&amp;MATCH(E280,'Class Jobs'!$A$1:A1000,0)&amp;":"&amp;"AF"&amp;MATCH(E280,'Class Jobs'!$A$1:$A1000,0)&amp;"")-$Z280),0)),0)),INDIRECT("Class Jobs!B"&amp;MATCH(E280,'Class Jobs'!$A$1:$A1000,0)&amp;":"&amp;"AF"&amp;MATCH(E280,'Class Jobs'!$A$1:$A1000,1)&amp;""),'Class Jobs'!$B$1:$AF$1)</f>
        <v>#REF!</v>
      </c>
      <c r="Z280" s="158">
        <f t="shared" si="25"/>
        <v>0.44</v>
      </c>
      <c r="AA280" s="16" t="str">
        <f t="array" ref="AA280">INDEX(NPCGender,TRUNC(1+(COUNTA(NPCGender))*(TRUNC(MOD(($B280*1103515245 +12345)/ 65536, 32768),0)/32768),0))</f>
        <v>Female</v>
      </c>
      <c r="AB280" s="16" t="str">
        <f t="array" ref="AB280">INDEX(NPCRace,TRUNC(1+(COUNTA(NPCRace))*(TRUNC(MOD(($B280*1103515245 +12345)/ 65536, 32768),0)/32768),0))</f>
        <v>Half-Elf</v>
      </c>
      <c r="AC280" s="16" t="str">
        <f t="array" ref="AC280">INDEX(NPCAL,TRUNC(1+(COUNTA(NPCAL))*(TRUNC(MOD(($B280*1103515245 +12345)/ 65536, 32768),0)/32768),0))</f>
        <v>NG</v>
      </c>
      <c r="AD280" s="72" t="str">
        <f ca="1">IFERROR(__xludf.DUMMYFUNCTION("if(V280&lt;15,QUERY(NPCVar!C:D,""Select D WHERE C = '""&amp;D280&amp;""'""),if((TRUNC(1+10)*(TRUNC(MOD((ROW(H280)*1103515245 +12345)/ 65536, 32768),0)/32768)/10) &gt; 0.85,INDEX(NPCFaction,TRUNC(1+(counta(NPCFaction)-1)*(TRUNC(MOD(($B280*1103515245 +12345)/ 65536, 3276"&amp;"8),0)/32768),0)),QUERY(NPCVar!C:D,""Select D WHERE C = '""&amp;D280&amp;""'"")))"),"Adventures Guild")</f>
        <v>Adventures Guild</v>
      </c>
      <c r="AE280" s="108" t="e">
        <f t="shared" ca="1" si="26"/>
        <v>#NAME?</v>
      </c>
      <c r="AF280" s="159">
        <f ca="1">IFERROR(__xludf.DUMMYFUNCTION("AE280*(V280 / QUERY(NPCVar!$K$2:$N$12, ""Select N WHERE K='""&amp;AB280&amp;""'""))*TRUNC(1+10)*(TRUNC(MOD(($B280*1103515245 +12345)/ 65536, 32768),0)/32768)"),0.998809432983398)</f>
        <v>0.99880943298339797</v>
      </c>
      <c r="AG280" s="16"/>
      <c r="AH280" s="77"/>
      <c r="AI280" s="114"/>
    </row>
    <row r="281" spans="1:35" ht="16.2">
      <c r="A281" s="53">
        <v>280</v>
      </c>
      <c r="B281" s="118">
        <f t="shared" si="27"/>
        <v>2.3509199999999999</v>
      </c>
      <c r="C281" s="72" t="str">
        <f t="array" ref="C281">INDEX(NPCFName,TRUNC(1+(COUNTA(NPCFName))*(TRUNC(MOD(($B281*1103515245 +12345)/ 65536, 32768),0)/32768),0))</f>
        <v>Niro</v>
      </c>
      <c r="D281" s="16" t="str">
        <f t="array" ref="D281">INDEX(NPCLName,TRUNC(1+(COUNTA(NPCLName))*(TRUNC(MOD(($B281*1103515245 +12345)/ 65536, 32768),0)/32768),0))</f>
        <v>Stillsun</v>
      </c>
      <c r="E281" s="16" t="str">
        <f t="array" ref="E281">INDEX(NPCClass,TRUNC(1+(COUNTA(NPCClass))*(TRUNC(MOD(($B281*1103515245 +12345)/ 65536, 32768),0)/32768),0))</f>
        <v>Druid</v>
      </c>
      <c r="F281" s="76">
        <v>2</v>
      </c>
      <c r="G281" s="153">
        <f ca="1">VLOOKUP($AB$2,'RF Mod'!$A$2:$G$12,2,FALSE)+VLOOKUP($AD$2,'RF Mod'!$I$2:$O$11,2,FALSE)+(TRUNC(6+(24-6)*(TRUNC(MOD(($Z281*1103515245 +12345)/ 65536, 32768),0)/32768),0))</f>
        <v>5</v>
      </c>
      <c r="H281" s="16">
        <f t="shared" ca="1" si="17"/>
        <v>-3</v>
      </c>
      <c r="I281" s="153">
        <f ca="1">VLOOKUP($AB$2,'RF Mod'!$A$2:$G$12,3,FALSE)+VLOOKUP($AD$2,'RF Mod'!$I$2:$O$11,3,FALSE)+(TRUNC(6+(24-6)*(TRUNC(MOD(($Z281*1103515245 +12345)/ 65536, 32768),0)/32768),0))</f>
        <v>9</v>
      </c>
      <c r="J281" s="16">
        <f t="shared" ca="1" si="18"/>
        <v>-1</v>
      </c>
      <c r="K281" s="153">
        <f ca="1">VLOOKUP($AB$2,'RF Mod'!$A$2:$G$12,3,FALSE)+VLOOKUP($AD$2,'RF Mod'!$I$2:$O$11,3,FALSE)+(TRUNC(6+(24-6)*(TRUNC(MOD(($Z281*1103515245 +12345)/ 65536, 32768),0)/32768),0))</f>
        <v>9</v>
      </c>
      <c r="L281" s="16">
        <f t="shared" ca="1" si="19"/>
        <v>-1</v>
      </c>
      <c r="M281" s="153">
        <f ca="1">VLOOKUP($AB$2,'RF Mod'!$A$2:$G$12,4,FALSE)+VLOOKUP($AD$2,'RF Mod'!$I$2:$O$11,4,FALSE)+(TRUNC(6+(24-6)*(TRUNC(MOD(($Z281*1103515245 +12345)/ 65536, 32768),0)/32768),0))</f>
        <v>8</v>
      </c>
      <c r="N281" s="16">
        <f t="shared" ca="1" si="20"/>
        <v>-1</v>
      </c>
      <c r="O281" s="153">
        <f ca="1">VLOOKUP($AB$2,'RF Mod'!$A$2:$G$12,5,FALSE)+VLOOKUP($AD$2,'RF Mod'!$I$2:$O$11,5,FALSE)+(TRUNC(6+(24-6)*(TRUNC(MOD(($Z281*1103515245 +12345)/ 65536, 32768),0)/32768),0))</f>
        <v>11</v>
      </c>
      <c r="P281" s="16" t="e">
        <f t="shared" ca="1" si="21"/>
        <v>#NAME?</v>
      </c>
      <c r="Q281" s="153">
        <f ca="1">VLOOKUP($AB$2,'RF Mod'!$A$2:$G$12,6,FALSE)+VLOOKUP($AD$2,'RF Mod'!$I$2:$O$11,6,FALSE)+(TRUNC(6+(24-6)*(TRUNC(MOD(($Z281*1103515245 +12345)/ 65536, 32768),0)/32768),0))</f>
        <v>9</v>
      </c>
      <c r="R281" s="16">
        <f t="shared" ca="1" si="22"/>
        <v>-1</v>
      </c>
      <c r="S281" s="154">
        <f t="shared" ca="1" si="28"/>
        <v>22</v>
      </c>
      <c r="T281" s="154">
        <f t="shared" ca="1" si="23"/>
        <v>19</v>
      </c>
      <c r="U281" s="16" t="str">
        <f t="shared" ca="1" si="24"/>
        <v>Bloody</v>
      </c>
      <c r="V281" s="155">
        <f ca="1">IFERROR(__xludf.DUMMYFUNCTION("if(W281=""Middle Age"",QUERY(NPCVar!$K$2:$N1000, ""Select L where K = '""&amp;AB281&amp;""'""),if(W281=""Old"",QUERY(NPCVar!$K$2:$N1000, ""Select M where K = '""&amp;AB281&amp;""'""),if(W281=""Venerable"",QUERY(NPCVar!$K$2:$N1000, ""Select N where K = '""&amp;AB281&amp;""'""),fa"&amp;"lse)))*X281"),93.75)</f>
        <v>93.75</v>
      </c>
      <c r="W281" s="156" t="str">
        <f t="array" ref="W281">INDEX(NPCAgeType,TRUNC(1+(4-1)*(TRUNC(MOD((X281*1103515245 +12345)/ 65536, 32768),0)/32768),0))</f>
        <v>Middle Age</v>
      </c>
      <c r="X281" s="117">
        <f t="shared" si="29"/>
        <v>0.5</v>
      </c>
      <c r="Y281" s="157" t="e">
        <f t="array" aca="1" ref="Y281" ca="1">LOOKUP(ABS(MAX(Z281 + MIN(ABS(INDIRECT("Class Jobs!B"&amp;MATCH(E281,'Class Jobs'!$A$1:$A1000,0)&amp;":"&amp;"AF"&amp;MATCH(E281,'Class Jobs'!$A$1:$A1000,0)&amp;"")-$Z281)) * SUM(IF(MIN(ABS(INDIRECT("Class Jobs!B"&amp;MATCH(E281,'Class Jobs'!$A$1:$A1000,0)&amp;":"&amp;"AF"&amp;MATCH(E281,'Class Jobs'!$A$1:$A1000,0)&amp;"")-$Z281))=ABS(INDIRECT("Class Jobs!B"&amp;MATCH(E281,'Class Jobs'!$A$1:$A1000,0)&amp;":"&amp;"AF"&amp;MATCH(E281,'Class Jobs'!$A$1:$A1000,0)&amp;"")-$Z281),SIGN(INDIRECT("Class Jobs!B"&amp;MATCH(E281,'Class Jobs'!$A$1:A1000,0)&amp;":"&amp;"AF"&amp;MATCH(E281,'Class Jobs'!$A$1:$A1000,0)&amp;"")-$Z281),0)),0)),INDIRECT("Class Jobs!B"&amp;MATCH(E281,'Class Jobs'!$A$1:$A1000,0)&amp;":"&amp;"AF"&amp;MATCH(E281,'Class Jobs'!$A$1:$A1000,1)&amp;""),'Class Jobs'!$B$1:$AF$1)</f>
        <v>#REF!</v>
      </c>
      <c r="Z281" s="158">
        <f t="shared" si="25"/>
        <v>0.21</v>
      </c>
      <c r="AA281" s="16" t="str">
        <f t="array" ref="AA281">INDEX(NPCGender,TRUNC(1+(COUNTA(NPCGender))*(TRUNC(MOD(($B281*1103515245 +12345)/ 65536, 32768),0)/32768),0))</f>
        <v>Male</v>
      </c>
      <c r="AB281" s="16" t="str">
        <f t="array" ref="AB281">INDEX(NPCRace,TRUNC(1+(COUNTA(NPCRace))*(TRUNC(MOD(($B281*1103515245 +12345)/ 65536, 32768),0)/32768),0))</f>
        <v>Elf</v>
      </c>
      <c r="AC281" s="16" t="str">
        <f t="array" ref="AC281">INDEX(NPCAL,TRUNC(1+(COUNTA(NPCAL))*(TRUNC(MOD(($B281*1103515245 +12345)/ 65536, 32768),0)/32768),0))</f>
        <v>CE</v>
      </c>
      <c r="AD281" s="72" t="str">
        <f ca="1">IFERROR(__xludf.DUMMYFUNCTION("if(V281&lt;15,QUERY(NPCVar!C:D,""Select D WHERE C = '""&amp;D281&amp;""'""),if((TRUNC(1+10)*(TRUNC(MOD((ROW(H281)*1103515245 +12345)/ 65536, 32768),0)/32768)/10) &gt; 0.85,INDEX(NPCFaction,TRUNC(1+(counta(NPCFaction)-1)*(TRUNC(MOD(($B281*1103515245 +12345)/ 65536, 3276"&amp;"8),0)/32768),0)),QUERY(NPCVar!C:D,""Select D WHERE C = '""&amp;D281&amp;""'"")))"),"Necromancer")</f>
        <v>Necromancer</v>
      </c>
      <c r="AE281" s="108" t="e">
        <f t="shared" ca="1" si="26"/>
        <v>#NAME?</v>
      </c>
      <c r="AF281" s="159">
        <f ca="1">IFERROR(__xludf.DUMMYFUNCTION("AE281*(V281 / QUERY(NPCVar!$K$2:$N$12, ""Select N WHERE K='""&amp;AB281&amp;""'""))*TRUNC(1+10)*(TRUNC(MOD(($B281*1103515245 +12345)/ 65536, 32768),0)/32768)"),0.14302635192871)</f>
        <v>0.14302635192870999</v>
      </c>
      <c r="AG281" s="16"/>
      <c r="AH281" s="77"/>
      <c r="AI281" s="114"/>
    </row>
    <row r="282" spans="1:35" ht="16.2">
      <c r="A282" s="53">
        <v>281</v>
      </c>
      <c r="B282" s="118">
        <f t="shared" si="27"/>
        <v>1.3450599999999999</v>
      </c>
      <c r="C282" s="72" t="str">
        <f t="array" ref="C282">INDEX(NPCFName,TRUNC(1+(COUNTA(NPCFName))*(TRUNC(MOD(($B282*1103515245 +12345)/ 65536, 32768),0)/32768),0))</f>
        <v>Baduk</v>
      </c>
      <c r="D282" s="16" t="str">
        <f t="array" ref="D282">INDEX(NPCLName,TRUNC(1+(COUNTA(NPCLName))*(TRUNC(MOD(($B282*1103515245 +12345)/ 65536, 32768),0)/32768),0))</f>
        <v>Emberhell</v>
      </c>
      <c r="E282" s="16" t="str">
        <f t="array" ref="E282">INDEX(NPCClass,TRUNC(1+(COUNTA(NPCClass))*(TRUNC(MOD(($B282*1103515245 +12345)/ 65536, 32768),0)/32768),0))</f>
        <v>None</v>
      </c>
      <c r="F282" s="76">
        <v>8</v>
      </c>
      <c r="G282" s="153">
        <f ca="1">VLOOKUP($AB$2,'RF Mod'!$A$2:$G$12,2,FALSE)+VLOOKUP($AD$2,'RF Mod'!$I$2:$O$11,2,FALSE)+(TRUNC(6+(24-6)*(TRUNC(MOD(($Z282*1103515245 +12345)/ 65536, 32768),0)/32768),0))</f>
        <v>10</v>
      </c>
      <c r="H282" s="16" t="e">
        <f t="shared" ca="1" si="17"/>
        <v>#NAME?</v>
      </c>
      <c r="I282" s="153">
        <f ca="1">VLOOKUP($AB$2,'RF Mod'!$A$2:$G$12,3,FALSE)+VLOOKUP($AD$2,'RF Mod'!$I$2:$O$11,3,FALSE)+(TRUNC(6+(24-6)*(TRUNC(MOD(($Z282*1103515245 +12345)/ 65536, 32768),0)/32768),0))</f>
        <v>14</v>
      </c>
      <c r="J282" s="16" t="e">
        <f t="shared" ca="1" si="18"/>
        <v>#NAME?</v>
      </c>
      <c r="K282" s="153">
        <f ca="1">VLOOKUP($AB$2,'RF Mod'!$A$2:$G$12,3,FALSE)+VLOOKUP($AD$2,'RF Mod'!$I$2:$O$11,3,FALSE)+(TRUNC(6+(24-6)*(TRUNC(MOD(($Z282*1103515245 +12345)/ 65536, 32768),0)/32768),0))</f>
        <v>14</v>
      </c>
      <c r="L282" s="16" t="e">
        <f t="shared" ca="1" si="19"/>
        <v>#NAME?</v>
      </c>
      <c r="M282" s="153">
        <f ca="1">VLOOKUP($AB$2,'RF Mod'!$A$2:$G$12,4,FALSE)+VLOOKUP($AD$2,'RF Mod'!$I$2:$O$11,4,FALSE)+(TRUNC(6+(24-6)*(TRUNC(MOD(($Z282*1103515245 +12345)/ 65536, 32768),0)/32768),0))</f>
        <v>13</v>
      </c>
      <c r="N282" s="16" t="e">
        <f t="shared" ca="1" si="20"/>
        <v>#NAME?</v>
      </c>
      <c r="O282" s="153">
        <f ca="1">VLOOKUP($AB$2,'RF Mod'!$A$2:$G$12,5,FALSE)+VLOOKUP($AD$2,'RF Mod'!$I$2:$O$11,5,FALSE)+(TRUNC(6+(24-6)*(TRUNC(MOD(($Z282*1103515245 +12345)/ 65536, 32768),0)/32768),0))</f>
        <v>16</v>
      </c>
      <c r="P282" s="16" t="e">
        <f t="shared" ca="1" si="21"/>
        <v>#NAME?</v>
      </c>
      <c r="Q282" s="153">
        <f ca="1">VLOOKUP($AB$2,'RF Mod'!$A$2:$G$12,6,FALSE)+VLOOKUP($AD$2,'RF Mod'!$I$2:$O$11,6,FALSE)+(TRUNC(6+(24-6)*(TRUNC(MOD(($Z282*1103515245 +12345)/ 65536, 32768),0)/32768),0))</f>
        <v>14</v>
      </c>
      <c r="R282" s="16" t="e">
        <f t="shared" ca="1" si="22"/>
        <v>#NAME?</v>
      </c>
      <c r="S282" s="154">
        <f t="shared" ca="1" si="28"/>
        <v>160</v>
      </c>
      <c r="T282" s="154">
        <f t="shared" ca="1" si="23"/>
        <v>123</v>
      </c>
      <c r="U282" s="16" t="str">
        <f t="shared" ca="1" si="24"/>
        <v>Bloody</v>
      </c>
      <c r="V282" s="155">
        <f ca="1">IFERROR(__xludf.DUMMYFUNCTION("if(W282=""Middle Age"",QUERY(NPCVar!$K$2:$N1000, ""Select L where K = '""&amp;AB282&amp;""'""),if(W282=""Old"",QUERY(NPCVar!$K$2:$N1000, ""Select M where K = '""&amp;AB282&amp;""'""),if(W282=""Venerable"",QUERY(NPCVar!$K$2:$N1000, ""Select N where K = '""&amp;AB282&amp;""'""),fa"&amp;"lse)))*X282"),153)</f>
        <v>153</v>
      </c>
      <c r="W282" s="156" t="str">
        <f t="array" ref="W282">INDEX(NPCAgeType,TRUNC(1+(4-1)*(TRUNC(MOD((X282*1103515245 +12345)/ 65536, 32768),0)/32768),0))</f>
        <v>Venerable</v>
      </c>
      <c r="X282" s="117">
        <f t="shared" si="29"/>
        <v>1.7</v>
      </c>
      <c r="Y282" s="157" t="e">
        <f t="array" aca="1" ref="Y282" ca="1">LOOKUP(ABS(MAX(Z282 + MIN(ABS(INDIRECT("Class Jobs!B"&amp;MATCH(E282,'Class Jobs'!$A$1:$A1000,0)&amp;":"&amp;"AF"&amp;MATCH(E282,'Class Jobs'!$A$1:$A1000,0)&amp;"")-$Z282)) * SUM(IF(MIN(ABS(INDIRECT("Class Jobs!B"&amp;MATCH(E282,'Class Jobs'!$A$1:$A1000,0)&amp;":"&amp;"AF"&amp;MATCH(E282,'Class Jobs'!$A$1:$A1000,0)&amp;"")-$Z282))=ABS(INDIRECT("Class Jobs!B"&amp;MATCH(E282,'Class Jobs'!$A$1:$A1000,0)&amp;":"&amp;"AF"&amp;MATCH(E282,'Class Jobs'!$A$1:$A1000,0)&amp;"")-$Z282),SIGN(INDIRECT("Class Jobs!B"&amp;MATCH(E282,'Class Jobs'!$A$1:A1000,0)&amp;":"&amp;"AF"&amp;MATCH(E282,'Class Jobs'!$A$1:$A1000,0)&amp;"")-$Z282),0)),0)),INDIRECT("Class Jobs!B"&amp;MATCH(E282,'Class Jobs'!$A$1:$A1000,0)&amp;":"&amp;"AF"&amp;MATCH(E282,'Class Jobs'!$A$1:$A1000,1)&amp;""),'Class Jobs'!$B$1:$AF$1)</f>
        <v>#REF!</v>
      </c>
      <c r="Z282" s="158">
        <f t="shared" si="25"/>
        <v>0.69</v>
      </c>
      <c r="AA282" s="16" t="str">
        <f t="array" ref="AA282">INDEX(NPCGender,TRUNC(1+(COUNTA(NPCGender))*(TRUNC(MOD(($B282*1103515245 +12345)/ 65536, 32768),0)/32768),0))</f>
        <v>Neutral</v>
      </c>
      <c r="AB282" s="16" t="str">
        <f t="array" ref="AB282">INDEX(NPCRace,TRUNC(1+(COUNTA(NPCRace))*(TRUNC(MOD(($B282*1103515245 +12345)/ 65536, 32768),0)/32768),0))</f>
        <v>Human</v>
      </c>
      <c r="AC282" s="16" t="str">
        <f t="array" ref="AC282">INDEX(NPCAL,TRUNC(1+(COUNTA(NPCAL))*(TRUNC(MOD(($B282*1103515245 +12345)/ 65536, 32768),0)/32768),0))</f>
        <v>LG</v>
      </c>
      <c r="AD282" s="72" t="str">
        <f ca="1">IFERROR(__xludf.DUMMYFUNCTION("if(V282&lt;15,QUERY(NPCVar!C:D,""Select D WHERE C = '""&amp;D282&amp;""'""),if((TRUNC(1+10)*(TRUNC(MOD((ROW(H282)*1103515245 +12345)/ 65536, 32768),0)/32768)/10) &gt; 0.85,INDEX(NPCFaction,TRUNC(1+(counta(NPCFaction)-1)*(TRUNC(MOD(($B282*1103515245 +12345)/ 65536, 3276"&amp;"8),0)/32768),0)),QUERY(NPCVar!C:D,""Select D WHERE C = '""&amp;D282&amp;""'"")))"),"Magic Guild")</f>
        <v>Magic Guild</v>
      </c>
      <c r="AE282" s="108" t="e">
        <f t="shared" ca="1" si="26"/>
        <v>#NAME?</v>
      </c>
      <c r="AF282" s="159">
        <f ca="1">IFERROR(__xludf.DUMMYFUNCTION("AE282*(V282 / QUERY(NPCVar!$K$2:$N$12, ""Select N WHERE K='""&amp;AB282&amp;""'""))*TRUNC(1+10)*(TRUNC(MOD(($B282*1103515245 +12345)/ 65536, 32768),0)/32768)"),6.46236572265625)</f>
        <v>6.4623657226562496</v>
      </c>
      <c r="AG282" s="16"/>
      <c r="AH282" s="77"/>
      <c r="AI282" s="114"/>
    </row>
    <row r="283" spans="1:35" ht="16.2">
      <c r="A283" s="53">
        <v>282</v>
      </c>
      <c r="B283" s="118">
        <f t="shared" si="27"/>
        <v>0.33921000000000001</v>
      </c>
      <c r="C283" s="72" t="str">
        <f t="array" ref="C283">INDEX(NPCFName,TRUNC(1+(COUNTA(NPCFName))*(TRUNC(MOD(($B283*1103515245 +12345)/ 65536, 32768),0)/32768),0))</f>
        <v>Letor</v>
      </c>
      <c r="D283" s="16" t="str">
        <f t="array" ref="D283">INDEX(NPCLName,TRUNC(1+(COUNTA(NPCLName))*(TRUNC(MOD(($B283*1103515245 +12345)/ 65536, 32768),0)/32768),0))</f>
        <v>Ashcloud</v>
      </c>
      <c r="E283" s="16" t="str">
        <f t="array" ref="E283">INDEX(NPCClass,TRUNC(1+(COUNTA(NPCClass))*(TRUNC(MOD(($B283*1103515245 +12345)/ 65536, 32768),0)/32768),0))</f>
        <v>Druid</v>
      </c>
      <c r="F283" s="76">
        <v>2</v>
      </c>
      <c r="G283" s="153">
        <f ca="1">VLOOKUP($AB$2,'RF Mod'!$A$2:$G$12,2,FALSE)+VLOOKUP($AD$2,'RF Mod'!$I$2:$O$11,2,FALSE)+(TRUNC(6+(24-6)*(TRUNC(MOD(($Z283*1103515245 +12345)/ 65536, 32768),0)/32768),0))</f>
        <v>5</v>
      </c>
      <c r="H283" s="16">
        <f t="shared" ca="1" si="17"/>
        <v>-3</v>
      </c>
      <c r="I283" s="153">
        <f ca="1">VLOOKUP($AB$2,'RF Mod'!$A$2:$G$12,3,FALSE)+VLOOKUP($AD$2,'RF Mod'!$I$2:$O$11,3,FALSE)+(TRUNC(6+(24-6)*(TRUNC(MOD(($Z283*1103515245 +12345)/ 65536, 32768),0)/32768),0))</f>
        <v>9</v>
      </c>
      <c r="J283" s="16">
        <f t="shared" ca="1" si="18"/>
        <v>-1</v>
      </c>
      <c r="K283" s="153">
        <f ca="1">VLOOKUP($AB$2,'RF Mod'!$A$2:$G$12,3,FALSE)+VLOOKUP($AD$2,'RF Mod'!$I$2:$O$11,3,FALSE)+(TRUNC(6+(24-6)*(TRUNC(MOD(($Z283*1103515245 +12345)/ 65536, 32768),0)/32768),0))</f>
        <v>9</v>
      </c>
      <c r="L283" s="16">
        <f t="shared" ca="1" si="19"/>
        <v>-1</v>
      </c>
      <c r="M283" s="153">
        <f ca="1">VLOOKUP($AB$2,'RF Mod'!$A$2:$G$12,4,FALSE)+VLOOKUP($AD$2,'RF Mod'!$I$2:$O$11,4,FALSE)+(TRUNC(6+(24-6)*(TRUNC(MOD(($Z283*1103515245 +12345)/ 65536, 32768),0)/32768),0))</f>
        <v>8</v>
      </c>
      <c r="N283" s="16">
        <f t="shared" ca="1" si="20"/>
        <v>-1</v>
      </c>
      <c r="O283" s="153">
        <f ca="1">VLOOKUP($AB$2,'RF Mod'!$A$2:$G$12,5,FALSE)+VLOOKUP($AD$2,'RF Mod'!$I$2:$O$11,5,FALSE)+(TRUNC(6+(24-6)*(TRUNC(MOD(($Z283*1103515245 +12345)/ 65536, 32768),0)/32768),0))</f>
        <v>11</v>
      </c>
      <c r="P283" s="16" t="e">
        <f t="shared" ca="1" si="21"/>
        <v>#NAME?</v>
      </c>
      <c r="Q283" s="153">
        <f ca="1">VLOOKUP($AB$2,'RF Mod'!$A$2:$G$12,6,FALSE)+VLOOKUP($AD$2,'RF Mod'!$I$2:$O$11,6,FALSE)+(TRUNC(6+(24-6)*(TRUNC(MOD(($Z283*1103515245 +12345)/ 65536, 32768),0)/32768),0))</f>
        <v>9</v>
      </c>
      <c r="R283" s="16">
        <f t="shared" ca="1" si="22"/>
        <v>-1</v>
      </c>
      <c r="S283" s="154">
        <f t="shared" ca="1" si="28"/>
        <v>22</v>
      </c>
      <c r="T283" s="154">
        <f t="shared" ca="1" si="23"/>
        <v>24</v>
      </c>
      <c r="U283" s="16" t="str">
        <f t="shared" ca="1" si="24"/>
        <v>Dead</v>
      </c>
      <c r="V283" s="155">
        <f ca="1">IFERROR(__xludf.DUMMYFUNCTION("if(W283=""Middle Age"",QUERY(NPCVar!$K$2:$N1000, ""Select L where K = '""&amp;AB283&amp;""'""),if(W283=""Old"",QUERY(NPCVar!$K$2:$N1000, ""Select M where K = '""&amp;AB283&amp;""'""),if(W283=""Venerable"",QUERY(NPCVar!$K$2:$N1000, ""Select N where K = '""&amp;AB283&amp;""'""),fa"&amp;"lse)))*X283"),40)</f>
        <v>40</v>
      </c>
      <c r="W283" s="156" t="str">
        <f t="array" ref="W283">INDEX(NPCAgeType,TRUNC(1+(4-1)*(TRUNC(MOD((X283*1103515245 +12345)/ 65536, 32768),0)/32768),0))</f>
        <v>Middle Age</v>
      </c>
      <c r="X283" s="117">
        <f t="shared" si="29"/>
        <v>0.5</v>
      </c>
      <c r="Y283" s="157" t="e">
        <f t="array" aca="1" ref="Y283" ca="1">LOOKUP(ABS(MAX(Z283 + MIN(ABS(INDIRECT("Class Jobs!B"&amp;MATCH(E283,'Class Jobs'!$A$1:$A1000,0)&amp;":"&amp;"AF"&amp;MATCH(E283,'Class Jobs'!$A$1:$A1000,0)&amp;"")-$Z283)) * SUM(IF(MIN(ABS(INDIRECT("Class Jobs!B"&amp;MATCH(E283,'Class Jobs'!$A$1:$A1000,0)&amp;":"&amp;"AF"&amp;MATCH(E283,'Class Jobs'!$A$1:$A1000,0)&amp;"")-$Z283))=ABS(INDIRECT("Class Jobs!B"&amp;MATCH(E283,'Class Jobs'!$A$1:$A1000,0)&amp;":"&amp;"AF"&amp;MATCH(E283,'Class Jobs'!$A$1:$A1000,0)&amp;"")-$Z283),SIGN(INDIRECT("Class Jobs!B"&amp;MATCH(E283,'Class Jobs'!$A$1:A1000,0)&amp;":"&amp;"AF"&amp;MATCH(E283,'Class Jobs'!$A$1:$A1000,0)&amp;"")-$Z283),0)),0)),INDIRECT("Class Jobs!B"&amp;MATCH(E283,'Class Jobs'!$A$1:$A1000,0)&amp;":"&amp;"AF"&amp;MATCH(E283,'Class Jobs'!$A$1:$A1000,1)&amp;""),'Class Jobs'!$B$1:$AF$1)</f>
        <v>#REF!</v>
      </c>
      <c r="Z283" s="158">
        <f t="shared" si="25"/>
        <v>0.18</v>
      </c>
      <c r="AA283" s="16" t="str">
        <f t="array" ref="AA283">INDEX(NPCGender,TRUNC(1+(COUNTA(NPCGender))*(TRUNC(MOD(($B283*1103515245 +12345)/ 65536, 32768),0)/32768),0))</f>
        <v>Male</v>
      </c>
      <c r="AB283" s="16" t="str">
        <f t="array" ref="AB283">INDEX(NPCRace,TRUNC(1+(COUNTA(NPCRace))*(TRUNC(MOD(($B283*1103515245 +12345)/ 65536, 32768),0)/32768),0))</f>
        <v>Dwarf</v>
      </c>
      <c r="AC283" s="16" t="str">
        <f t="array" ref="AC283">INDEX(NPCAL,TRUNC(1+(COUNTA(NPCAL))*(TRUNC(MOD(($B283*1103515245 +12345)/ 65536, 32768),0)/32768),0))</f>
        <v>CE</v>
      </c>
      <c r="AD283" s="72" t="str">
        <f ca="1">IFERROR(__xludf.DUMMYFUNCTION("if(V283&lt;15,QUERY(NPCVar!C:D,""Select D WHERE C = '""&amp;D283&amp;""'""),if((TRUNC(1+10)*(TRUNC(MOD((ROW(H283)*1103515245 +12345)/ 65536, 32768),0)/32768)/10) &gt; 0.85,INDEX(NPCFaction,TRUNC(1+(counta(NPCFaction)-1)*(TRUNC(MOD(($B283*1103515245 +12345)/ 65536, 3276"&amp;"8),0)/32768),0)),QUERY(NPCVar!C:D,""Select D WHERE C = '""&amp;D283&amp;""'"")))"),"Magic Guild")</f>
        <v>Magic Guild</v>
      </c>
      <c r="AE283" s="108" t="e">
        <f t="shared" ca="1" si="26"/>
        <v>#NAME?</v>
      </c>
      <c r="AF283" s="159">
        <f ca="1">IFERROR(__xludf.DUMMYFUNCTION("AE283*(V283 / QUERY(NPCVar!$K$2:$N$12, ""Select N WHERE K='""&amp;AB283&amp;""'""))*TRUNC(1+10)*(TRUNC(MOD(($B283*1103515245 +12345)/ 65536, 32768),0)/32768)"),0.143785858154296)</f>
        <v>0.14378585815429601</v>
      </c>
      <c r="AG283" s="16"/>
      <c r="AH283" s="77"/>
      <c r="AI283" s="114"/>
    </row>
    <row r="284" spans="1:35" ht="16.2">
      <c r="A284" s="53">
        <v>283</v>
      </c>
      <c r="B284" s="118">
        <f t="shared" si="27"/>
        <v>1.83334</v>
      </c>
      <c r="C284" s="72" t="str">
        <f t="array" ref="C284">INDEX(NPCFName,TRUNC(1+(COUNTA(NPCFName))*(TRUNC(MOD(($B284*1103515245 +12345)/ 65536, 32768),0)/32768),0))</f>
        <v>Syr</v>
      </c>
      <c r="D284" s="16" t="str">
        <f t="array" ref="D284">INDEX(NPCLName,TRUNC(1+(COUNTA(NPCLName))*(TRUNC(MOD(($B284*1103515245 +12345)/ 65536, 32768),0)/32768),0))</f>
        <v>Marblearm</v>
      </c>
      <c r="E284" s="16" t="str">
        <f t="array" ref="E284">INDEX(NPCClass,TRUNC(1+(COUNTA(NPCClass))*(TRUNC(MOD(($B284*1103515245 +12345)/ 65536, 32768),0)/32768),0))</f>
        <v>Wizard</v>
      </c>
      <c r="F284" s="76">
        <v>8</v>
      </c>
      <c r="G284" s="153">
        <f ca="1">VLOOKUP($AB$2,'RF Mod'!$A$2:$G$12,2,FALSE)+VLOOKUP($AD$2,'RF Mod'!$I$2:$O$11,2,FALSE)+(TRUNC(6+(24-6)*(TRUNC(MOD(($Z284*1103515245 +12345)/ 65536, 32768),0)/32768),0))</f>
        <v>12</v>
      </c>
      <c r="H284" s="16" t="e">
        <f t="shared" ca="1" si="17"/>
        <v>#NAME?</v>
      </c>
      <c r="I284" s="153">
        <f ca="1">VLOOKUP($AB$2,'RF Mod'!$A$2:$G$12,3,FALSE)+VLOOKUP($AD$2,'RF Mod'!$I$2:$O$11,3,FALSE)+(TRUNC(6+(24-6)*(TRUNC(MOD(($Z284*1103515245 +12345)/ 65536, 32768),0)/32768),0))</f>
        <v>16</v>
      </c>
      <c r="J284" s="16" t="e">
        <f t="shared" ca="1" si="18"/>
        <v>#NAME?</v>
      </c>
      <c r="K284" s="153">
        <f ca="1">VLOOKUP($AB$2,'RF Mod'!$A$2:$G$12,3,FALSE)+VLOOKUP($AD$2,'RF Mod'!$I$2:$O$11,3,FALSE)+(TRUNC(6+(24-6)*(TRUNC(MOD(($Z284*1103515245 +12345)/ 65536, 32768),0)/32768),0))</f>
        <v>16</v>
      </c>
      <c r="L284" s="16" t="e">
        <f t="shared" ca="1" si="19"/>
        <v>#NAME?</v>
      </c>
      <c r="M284" s="153">
        <f ca="1">VLOOKUP($AB$2,'RF Mod'!$A$2:$G$12,4,FALSE)+VLOOKUP($AD$2,'RF Mod'!$I$2:$O$11,4,FALSE)+(TRUNC(6+(24-6)*(TRUNC(MOD(($Z284*1103515245 +12345)/ 65536, 32768),0)/32768),0))</f>
        <v>15</v>
      </c>
      <c r="N284" s="16" t="e">
        <f t="shared" ca="1" si="20"/>
        <v>#NAME?</v>
      </c>
      <c r="O284" s="153">
        <f ca="1">VLOOKUP($AB$2,'RF Mod'!$A$2:$G$12,5,FALSE)+VLOOKUP($AD$2,'RF Mod'!$I$2:$O$11,5,FALSE)+(TRUNC(6+(24-6)*(TRUNC(MOD(($Z284*1103515245 +12345)/ 65536, 32768),0)/32768),0))</f>
        <v>18</v>
      </c>
      <c r="P284" s="16" t="e">
        <f t="shared" ca="1" si="21"/>
        <v>#NAME?</v>
      </c>
      <c r="Q284" s="153">
        <f ca="1">VLOOKUP($AB$2,'RF Mod'!$A$2:$G$12,6,FALSE)+VLOOKUP($AD$2,'RF Mod'!$I$2:$O$11,6,FALSE)+(TRUNC(6+(24-6)*(TRUNC(MOD(($Z284*1103515245 +12345)/ 65536, 32768),0)/32768),0))</f>
        <v>16</v>
      </c>
      <c r="R284" s="16" t="e">
        <f t="shared" ca="1" si="22"/>
        <v>#NAME?</v>
      </c>
      <c r="S284" s="154">
        <f t="shared" ca="1" si="28"/>
        <v>208</v>
      </c>
      <c r="T284" s="154">
        <f t="shared" ca="1" si="23"/>
        <v>198</v>
      </c>
      <c r="U284" s="16" t="str">
        <f t="shared" ca="1" si="24"/>
        <v>Bloody</v>
      </c>
      <c r="V284" s="155">
        <f ca="1">IFERROR(__xludf.DUMMYFUNCTION("if(W284=""Middle Age"",QUERY(NPCVar!$K$2:$N1000, ""Select L where K = '""&amp;AB284&amp;""'""),if(W284=""Old"",QUERY(NPCVar!$K$2:$N1000, ""Select M where K = '""&amp;AB284&amp;""'""),if(W284=""Venerable"",QUERY(NPCVar!$K$2:$N1000, ""Select N where K = '""&amp;AB284&amp;""'""),fa"&amp;"lse)))*X284"),69)</f>
        <v>69</v>
      </c>
      <c r="W284" s="156" t="str">
        <f t="array" ref="W284">INDEX(NPCAgeType,TRUNC(1+(4-1)*(TRUNC(MOD((X284*1103515245 +12345)/ 65536, 32768),0)/32768),0))</f>
        <v>Middle Age</v>
      </c>
      <c r="X284" s="117">
        <f t="shared" si="29"/>
        <v>2.2999999999999998</v>
      </c>
      <c r="Y284" s="157" t="e">
        <f t="array" aca="1" ref="Y284" ca="1">LOOKUP(ABS(MAX(Z284 + MIN(ABS(INDIRECT("Class Jobs!B"&amp;MATCH(E284,'Class Jobs'!$A$1:$A1000,0)&amp;":"&amp;"AF"&amp;MATCH(E284,'Class Jobs'!$A$1:$A1000,0)&amp;"")-$Z284)) * SUM(IF(MIN(ABS(INDIRECT("Class Jobs!B"&amp;MATCH(E284,'Class Jobs'!$A$1:$A1000,0)&amp;":"&amp;"AF"&amp;MATCH(E284,'Class Jobs'!$A$1:$A1000,0)&amp;"")-$Z284))=ABS(INDIRECT("Class Jobs!B"&amp;MATCH(E284,'Class Jobs'!$A$1:$A1000,0)&amp;":"&amp;"AF"&amp;MATCH(E284,'Class Jobs'!$A$1:$A1000,0)&amp;"")-$Z284),SIGN(INDIRECT("Class Jobs!B"&amp;MATCH(E284,'Class Jobs'!$A$1:A1000,0)&amp;":"&amp;"AF"&amp;MATCH(E284,'Class Jobs'!$A$1:$A1000,0)&amp;"")-$Z284),0)),0)),INDIRECT("Class Jobs!B"&amp;MATCH(E284,'Class Jobs'!$A$1:$A1000,0)&amp;":"&amp;"AF"&amp;MATCH(E284,'Class Jobs'!$A$1:$A1000,1)&amp;""),'Class Jobs'!$B$1:$AF$1)</f>
        <v>#REF!</v>
      </c>
      <c r="Z284" s="158">
        <f t="shared" si="25"/>
        <v>0.94</v>
      </c>
      <c r="AA284" s="16" t="str">
        <f t="array" ref="AA284">INDEX(NPCGender,TRUNC(1+(COUNTA(NPCGender))*(TRUNC(MOD(($B284*1103515245 +12345)/ 65536, 32768),0)/32768),0))</f>
        <v>Neutral</v>
      </c>
      <c r="AB284" s="16" t="str">
        <f t="array" ref="AB284">INDEX(NPCRace,TRUNC(1+(COUNTA(NPCRace))*(TRUNC(MOD(($B284*1103515245 +12345)/ 65536, 32768),0)/32768),0))</f>
        <v>Goliath</v>
      </c>
      <c r="AC284" s="16" t="str">
        <f t="array" ref="AC284">INDEX(NPCAL,TRUNC(1+(COUNTA(NPCAL))*(TRUNC(MOD(($B284*1103515245 +12345)/ 65536, 32768),0)/32768),0))</f>
        <v>LE</v>
      </c>
      <c r="AD284" s="72" t="str">
        <f ca="1">IFERROR(__xludf.DUMMYFUNCTION("if(V284&lt;15,QUERY(NPCVar!C:D,""Select D WHERE C = '""&amp;D284&amp;""'""),if((TRUNC(1+10)*(TRUNC(MOD((ROW(H284)*1103515245 +12345)/ 65536, 32768),0)/32768)/10) &gt; 0.85,INDEX(NPCFaction,TRUNC(1+(counta(NPCFaction)-1)*(TRUNC(MOD(($B284*1103515245 +12345)/ 65536, 3276"&amp;"8),0)/32768),0)),QUERY(NPCVar!C:D,""Select D WHERE C = '""&amp;D284&amp;""'"")))"),"Traverlers Guild")</f>
        <v>Traverlers Guild</v>
      </c>
      <c r="AE284" s="108" t="e">
        <f t="shared" ca="1" si="26"/>
        <v>#NAME?</v>
      </c>
      <c r="AF284" s="159">
        <f ca="1">IFERROR(__xludf.DUMMYFUNCTION("AE284*(V284 / QUERY(NPCVar!$K$2:$N$12, ""Select N WHERE K='""&amp;AB284&amp;""'""))*TRUNC(1+10)*(TRUNC(MOD(($B284*1103515245 +12345)/ 65536, 32768),0)/32768)"),2.97932052612304)</f>
        <v>2.9793205261230402</v>
      </c>
      <c r="AG284" s="16"/>
      <c r="AH284" s="77"/>
      <c r="AI284" s="114"/>
    </row>
    <row r="285" spans="1:35" ht="16.2">
      <c r="A285" s="53">
        <v>284</v>
      </c>
      <c r="B285" s="118">
        <f t="shared" si="27"/>
        <v>0.82748999999999995</v>
      </c>
      <c r="C285" s="72" t="str">
        <f t="array" ref="C285">INDEX(NPCFName,TRUNC(1+(COUNTA(NPCFName))*(TRUNC(MOD(($B285*1103515245 +12345)/ 65536, 32768),0)/32768),0))</f>
        <v>Eli</v>
      </c>
      <c r="D285" s="16" t="str">
        <f t="array" ref="D285">INDEX(NPCLName,TRUNC(1+(COUNTA(NPCLName))*(TRUNC(MOD(($B285*1103515245 +12345)/ 65536, 32768),0)/32768),0))</f>
        <v>Windshade</v>
      </c>
      <c r="E285" s="16" t="str">
        <f t="array" ref="E285">INDEX(NPCClass,TRUNC(1+(COUNTA(NPCClass))*(TRUNC(MOD(($B285*1103515245 +12345)/ 65536, 32768),0)/32768),0))</f>
        <v>Ranger</v>
      </c>
      <c r="F285" s="76">
        <v>6</v>
      </c>
      <c r="G285" s="153">
        <f ca="1">VLOOKUP($AB$2,'RF Mod'!$A$2:$G$12,2,FALSE)+VLOOKUP($AD$2,'RF Mod'!$I$2:$O$11,2,FALSE)+(TRUNC(6+(24-6)*(TRUNC(MOD(($Z285*1103515245 +12345)/ 65536, 32768),0)/32768),0))</f>
        <v>7</v>
      </c>
      <c r="H285" s="16">
        <f t="shared" ca="1" si="17"/>
        <v>-2</v>
      </c>
      <c r="I285" s="153">
        <f ca="1">VLOOKUP($AB$2,'RF Mod'!$A$2:$G$12,3,FALSE)+VLOOKUP($AD$2,'RF Mod'!$I$2:$O$11,3,FALSE)+(TRUNC(6+(24-6)*(TRUNC(MOD(($Z285*1103515245 +12345)/ 65536, 32768),0)/32768),0))</f>
        <v>11</v>
      </c>
      <c r="J285" s="16" t="e">
        <f t="shared" ca="1" si="18"/>
        <v>#NAME?</v>
      </c>
      <c r="K285" s="153">
        <f ca="1">VLOOKUP($AB$2,'RF Mod'!$A$2:$G$12,3,FALSE)+VLOOKUP($AD$2,'RF Mod'!$I$2:$O$11,3,FALSE)+(TRUNC(6+(24-6)*(TRUNC(MOD(($Z285*1103515245 +12345)/ 65536, 32768),0)/32768),0))</f>
        <v>11</v>
      </c>
      <c r="L285" s="16" t="e">
        <f t="shared" ca="1" si="19"/>
        <v>#NAME?</v>
      </c>
      <c r="M285" s="153">
        <f ca="1">VLOOKUP($AB$2,'RF Mod'!$A$2:$G$12,4,FALSE)+VLOOKUP($AD$2,'RF Mod'!$I$2:$O$11,4,FALSE)+(TRUNC(6+(24-6)*(TRUNC(MOD(($Z285*1103515245 +12345)/ 65536, 32768),0)/32768),0))</f>
        <v>10</v>
      </c>
      <c r="N285" s="16" t="e">
        <f t="shared" ca="1" si="20"/>
        <v>#NAME?</v>
      </c>
      <c r="O285" s="153">
        <f ca="1">VLOOKUP($AB$2,'RF Mod'!$A$2:$G$12,5,FALSE)+VLOOKUP($AD$2,'RF Mod'!$I$2:$O$11,5,FALSE)+(TRUNC(6+(24-6)*(TRUNC(MOD(($Z285*1103515245 +12345)/ 65536, 32768),0)/32768),0))</f>
        <v>13</v>
      </c>
      <c r="P285" s="16" t="e">
        <f t="shared" ca="1" si="21"/>
        <v>#NAME?</v>
      </c>
      <c r="Q285" s="153">
        <f ca="1">VLOOKUP($AB$2,'RF Mod'!$A$2:$G$12,6,FALSE)+VLOOKUP($AD$2,'RF Mod'!$I$2:$O$11,6,FALSE)+(TRUNC(6+(24-6)*(TRUNC(MOD(($Z285*1103515245 +12345)/ 65536, 32768),0)/32768),0))</f>
        <v>11</v>
      </c>
      <c r="R285" s="16" t="e">
        <f t="shared" ca="1" si="22"/>
        <v>#NAME?</v>
      </c>
      <c r="S285" s="154">
        <f t="shared" ca="1" si="28"/>
        <v>162</v>
      </c>
      <c r="T285" s="154">
        <f t="shared" ca="1" si="23"/>
        <v>64</v>
      </c>
      <c r="U285" s="16" t="str">
        <f t="shared" ca="1" si="24"/>
        <v>Fine</v>
      </c>
      <c r="V285" s="155">
        <f ca="1">IFERROR(__xludf.DUMMYFUNCTION("if(W285=""Middle Age"",QUERY(NPCVar!$K$2:$N1000, ""Select L where K = '""&amp;AB285&amp;""'""),if(W285=""Old"",QUERY(NPCVar!$K$2:$N1000, ""Select M where K = '""&amp;AB285&amp;""'""),if(W285=""Venerable"",QUERY(NPCVar!$K$2:$N1000, ""Select N where K = '""&amp;AB285&amp;""'""),fa"&amp;"lse)))*X285"),74.25)</f>
        <v>74.25</v>
      </c>
      <c r="W285" s="156" t="str">
        <f t="array" ref="W285">INDEX(NPCAgeType,TRUNC(1+(4-1)*(TRUNC(MOD((X285*1103515245 +12345)/ 65536, 32768),0)/32768),0))</f>
        <v>Old</v>
      </c>
      <c r="X285" s="117">
        <f t="shared" si="29"/>
        <v>1.1000000000000001</v>
      </c>
      <c r="Y285" s="157" t="e">
        <f t="array" aca="1" ref="Y285" ca="1">LOOKUP(ABS(MAX(Z285 + MIN(ABS(INDIRECT("Class Jobs!B"&amp;MATCH(E285,'Class Jobs'!$A$1:$A1000,0)&amp;":"&amp;"AF"&amp;MATCH(E285,'Class Jobs'!$A$1:$A1000,0)&amp;"")-$Z285)) * SUM(IF(MIN(ABS(INDIRECT("Class Jobs!B"&amp;MATCH(E285,'Class Jobs'!$A$1:$A1000,0)&amp;":"&amp;"AF"&amp;MATCH(E285,'Class Jobs'!$A$1:$A1000,0)&amp;"")-$Z285))=ABS(INDIRECT("Class Jobs!B"&amp;MATCH(E285,'Class Jobs'!$A$1:$A1000,0)&amp;":"&amp;"AF"&amp;MATCH(E285,'Class Jobs'!$A$1:$A1000,0)&amp;"")-$Z285),SIGN(INDIRECT("Class Jobs!B"&amp;MATCH(E285,'Class Jobs'!$A$1:A1000,0)&amp;":"&amp;"AF"&amp;MATCH(E285,'Class Jobs'!$A$1:$A1000,0)&amp;"")-$Z285),0)),0)),INDIRECT("Class Jobs!B"&amp;MATCH(E285,'Class Jobs'!$A$1:$A1000,0)&amp;":"&amp;"AF"&amp;MATCH(E285,'Class Jobs'!$A$1:$A1000,1)&amp;""),'Class Jobs'!$B$1:$AF$1)</f>
        <v>#REF!</v>
      </c>
      <c r="Z285" s="158">
        <f t="shared" si="25"/>
        <v>0.43</v>
      </c>
      <c r="AA285" s="16" t="str">
        <f t="array" ref="AA285">INDEX(NPCGender,TRUNC(1+(COUNTA(NPCGender))*(TRUNC(MOD(($B285*1103515245 +12345)/ 65536, 32768),0)/32768),0))</f>
        <v>Female</v>
      </c>
      <c r="AB285" s="16" t="str">
        <f t="array" ref="AB285">INDEX(NPCRace,TRUNC(1+(COUNTA(NPCRace))*(TRUNC(MOD(($B285*1103515245 +12345)/ 65536, 32768),0)/32768),0))</f>
        <v>Half-Elf</v>
      </c>
      <c r="AC285" s="16" t="str">
        <f t="array" ref="AC285">INDEX(NPCAL,TRUNC(1+(COUNTA(NPCAL))*(TRUNC(MOD(($B285*1103515245 +12345)/ 65536, 32768),0)/32768),0))</f>
        <v>NG</v>
      </c>
      <c r="AD285" s="72" t="str">
        <f ca="1">IFERROR(__xludf.DUMMYFUNCTION("if(V285&lt;15,QUERY(NPCVar!C:D,""Select D WHERE C = '""&amp;D285&amp;""'""),if((TRUNC(1+10)*(TRUNC(MOD((ROW(H285)*1103515245 +12345)/ 65536, 32768),0)/32768)/10) &gt; 0.85,INDEX(NPCFaction,TRUNC(1+(counta(NPCFaction)-1)*(TRUNC(MOD(($B285*1103515245 +12345)/ 65536, 3276"&amp;"8),0)/32768),0)),QUERY(NPCVar!C:D,""Select D WHERE C = '""&amp;D285&amp;""'"")))"),"Traders Guild")</f>
        <v>Traders Guild</v>
      </c>
      <c r="AE285" s="108" t="e">
        <f t="shared" ca="1" si="26"/>
        <v>#NAME?</v>
      </c>
      <c r="AF285" s="159">
        <f ca="1">IFERROR(__xludf.DUMMYFUNCTION("AE285*(V285 / QUERY(NPCVar!$K$2:$N$12, ""Select N WHERE K='""&amp;AB285&amp;""'""))*TRUNC(1+10)*(TRUNC(MOD(($B285*1103515245 +12345)/ 65536, 32768),0)/32768)"),1.54348114013671)</f>
        <v>1.5434811401367099</v>
      </c>
      <c r="AG285" s="16"/>
      <c r="AH285" s="77"/>
      <c r="AI285" s="114"/>
    </row>
    <row r="286" spans="1:35" ht="16.2">
      <c r="A286" s="53">
        <v>285</v>
      </c>
      <c r="B286" s="118">
        <f t="shared" si="27"/>
        <v>2.3215400000000002</v>
      </c>
      <c r="C286" s="72" t="str">
        <f t="array" ref="C286">INDEX(NPCFName,TRUNC(1+(COUNTA(NPCFName))*(TRUNC(MOD(($B286*1103515245 +12345)/ 65536, 32768),0)/32768),0))</f>
        <v>Mezo</v>
      </c>
      <c r="D286" s="16" t="str">
        <f t="array" ref="D286">INDEX(NPCLName,TRUNC(1+(COUNTA(NPCLName))*(TRUNC(MOD(($B286*1103515245 +12345)/ 65536, 32768),0)/32768),0))</f>
        <v>Ashcloud</v>
      </c>
      <c r="E286" s="16" t="str">
        <f t="array" ref="E286">INDEX(NPCClass,TRUNC(1+(COUNTA(NPCClass))*(TRUNC(MOD(($B286*1103515245 +12345)/ 65536, 32768),0)/32768),0))</f>
        <v>Druid</v>
      </c>
      <c r="F286" s="76">
        <v>1</v>
      </c>
      <c r="G286" s="153">
        <f ca="1">VLOOKUP($AB$2,'RF Mod'!$A$2:$G$12,2,FALSE)+VLOOKUP($AD$2,'RF Mod'!$I$2:$O$11,2,FALSE)+(TRUNC(6+(24-6)*(TRUNC(MOD(($Z286*1103515245 +12345)/ 65536, 32768),0)/32768),0))</f>
        <v>5</v>
      </c>
      <c r="H286" s="16">
        <f t="shared" ca="1" si="17"/>
        <v>-3</v>
      </c>
      <c r="I286" s="153">
        <f ca="1">VLOOKUP($AB$2,'RF Mod'!$A$2:$G$12,3,FALSE)+VLOOKUP($AD$2,'RF Mod'!$I$2:$O$11,3,FALSE)+(TRUNC(6+(24-6)*(TRUNC(MOD(($Z286*1103515245 +12345)/ 65536, 32768),0)/32768),0))</f>
        <v>9</v>
      </c>
      <c r="J286" s="16">
        <f t="shared" ca="1" si="18"/>
        <v>-1</v>
      </c>
      <c r="K286" s="153">
        <f ca="1">VLOOKUP($AB$2,'RF Mod'!$A$2:$G$12,3,FALSE)+VLOOKUP($AD$2,'RF Mod'!$I$2:$O$11,3,FALSE)+(TRUNC(6+(24-6)*(TRUNC(MOD(($Z286*1103515245 +12345)/ 65536, 32768),0)/32768),0))</f>
        <v>9</v>
      </c>
      <c r="L286" s="16">
        <f t="shared" ca="1" si="19"/>
        <v>-1</v>
      </c>
      <c r="M286" s="153">
        <f ca="1">VLOOKUP($AB$2,'RF Mod'!$A$2:$G$12,4,FALSE)+VLOOKUP($AD$2,'RF Mod'!$I$2:$O$11,4,FALSE)+(TRUNC(6+(24-6)*(TRUNC(MOD(($Z286*1103515245 +12345)/ 65536, 32768),0)/32768),0))</f>
        <v>8</v>
      </c>
      <c r="N286" s="16">
        <f t="shared" ca="1" si="20"/>
        <v>-1</v>
      </c>
      <c r="O286" s="153">
        <f ca="1">VLOOKUP($AB$2,'RF Mod'!$A$2:$G$12,5,FALSE)+VLOOKUP($AD$2,'RF Mod'!$I$2:$O$11,5,FALSE)+(TRUNC(6+(24-6)*(TRUNC(MOD(($Z286*1103515245 +12345)/ 65536, 32768),0)/32768),0))</f>
        <v>11</v>
      </c>
      <c r="P286" s="16" t="e">
        <f t="shared" ca="1" si="21"/>
        <v>#NAME?</v>
      </c>
      <c r="Q286" s="153">
        <f ca="1">VLOOKUP($AB$2,'RF Mod'!$A$2:$G$12,6,FALSE)+VLOOKUP($AD$2,'RF Mod'!$I$2:$O$11,6,FALSE)+(TRUNC(6+(24-6)*(TRUNC(MOD(($Z286*1103515245 +12345)/ 65536, 32768),0)/32768),0))</f>
        <v>9</v>
      </c>
      <c r="R286" s="16">
        <f t="shared" ca="1" si="22"/>
        <v>-1</v>
      </c>
      <c r="S286" s="154">
        <f t="shared" ca="1" si="28"/>
        <v>11</v>
      </c>
      <c r="T286" s="154">
        <f t="shared" ca="1" si="23"/>
        <v>2</v>
      </c>
      <c r="U286" s="16" t="str">
        <f t="shared" ca="1" si="24"/>
        <v>Fine</v>
      </c>
      <c r="V286" s="155">
        <f ca="1">IFERROR(__xludf.DUMMYFUNCTION("if(W286=""Middle Age"",QUERY(NPCVar!$K$2:$N1000, ""Select L where K = '""&amp;AB286&amp;""'""),if(W286=""Old"",QUERY(NPCVar!$K$2:$N1000, ""Select M where K = '""&amp;AB286&amp;""'""),if(W286=""Venerable"",QUERY(NPCVar!$K$2:$N1000, ""Select N where K = '""&amp;AB286&amp;""'""),fa"&amp;"lse)))*X286"),93.75)</f>
        <v>93.75</v>
      </c>
      <c r="W286" s="156" t="str">
        <f t="array" ref="W286">INDEX(NPCAgeType,TRUNC(1+(4-1)*(TRUNC(MOD((X286*1103515245 +12345)/ 65536, 32768),0)/32768),0))</f>
        <v>Middle Age</v>
      </c>
      <c r="X286" s="117">
        <f t="shared" si="29"/>
        <v>0.5</v>
      </c>
      <c r="Y286" s="157" t="e">
        <f t="array" aca="1" ref="Y286" ca="1">LOOKUP(ABS(MAX(Z286 + MIN(ABS(INDIRECT("Class Jobs!B"&amp;MATCH(E286,'Class Jobs'!$A$1:$A1000,0)&amp;":"&amp;"AF"&amp;MATCH(E286,'Class Jobs'!$A$1:$A1000,0)&amp;"")-$Z286)) * SUM(IF(MIN(ABS(INDIRECT("Class Jobs!B"&amp;MATCH(E286,'Class Jobs'!$A$1:$A1000,0)&amp;":"&amp;"AF"&amp;MATCH(E286,'Class Jobs'!$A$1:$A1000,0)&amp;"")-$Z286))=ABS(INDIRECT("Class Jobs!B"&amp;MATCH(E286,'Class Jobs'!$A$1:$A1000,0)&amp;":"&amp;"AF"&amp;MATCH(E286,'Class Jobs'!$A$1:$A1000,0)&amp;"")-$Z286),SIGN(INDIRECT("Class Jobs!B"&amp;MATCH(E286,'Class Jobs'!$A$1:A1000,0)&amp;":"&amp;"AF"&amp;MATCH(E286,'Class Jobs'!$A$1:$A1000,0)&amp;"")-$Z286),0)),0)),INDIRECT("Class Jobs!B"&amp;MATCH(E286,'Class Jobs'!$A$1:$A1000,0)&amp;":"&amp;"AF"&amp;MATCH(E286,'Class Jobs'!$A$1:$A1000,1)&amp;""),'Class Jobs'!$B$1:$AF$1)</f>
        <v>#REF!</v>
      </c>
      <c r="Z286" s="158">
        <f t="shared" si="25"/>
        <v>0.2</v>
      </c>
      <c r="AA286" s="16" t="str">
        <f t="array" ref="AA286">INDEX(NPCGender,TRUNC(1+(COUNTA(NPCGender))*(TRUNC(MOD(($B286*1103515245 +12345)/ 65536, 32768),0)/32768),0))</f>
        <v>Male</v>
      </c>
      <c r="AB286" s="16" t="str">
        <f t="array" ref="AB286">INDEX(NPCRace,TRUNC(1+(COUNTA(NPCRace))*(TRUNC(MOD(($B286*1103515245 +12345)/ 65536, 32768),0)/32768),0))</f>
        <v>Elf</v>
      </c>
      <c r="AC286" s="16" t="str">
        <f t="array" ref="AC286">INDEX(NPCAL,TRUNC(1+(COUNTA(NPCAL))*(TRUNC(MOD(($B286*1103515245 +12345)/ 65536, 32768),0)/32768),0))</f>
        <v>CE</v>
      </c>
      <c r="AD286" s="72" t="str">
        <f ca="1">IFERROR(__xludf.DUMMYFUNCTION("if(V286&lt;15,QUERY(NPCVar!C:D,""Select D WHERE C = '""&amp;D286&amp;""'""),if((TRUNC(1+10)*(TRUNC(MOD((ROW(H286)*1103515245 +12345)/ 65536, 32768),0)/32768)/10) &gt; 0.85,INDEX(NPCFaction,TRUNC(1+(counta(NPCFaction)-1)*(TRUNC(MOD(($B286*1103515245 +12345)/ 65536, 3276"&amp;"8),0)/32768),0)),QUERY(NPCVar!C:D,""Select D WHERE C = '""&amp;D286&amp;""'"")))"),"Necromancer")</f>
        <v>Necromancer</v>
      </c>
      <c r="AE286" s="108" t="e">
        <f t="shared" ca="1" si="26"/>
        <v>#NAME?</v>
      </c>
      <c r="AF286" s="159">
        <f ca="1">IFERROR(__xludf.DUMMYFUNCTION("AE286*(V286 / QUERY(NPCVar!$K$2:$N$12, ""Select N WHERE K='""&amp;AB286&amp;""'""))*TRUNC(1+10)*(TRUNC(MOD(($B286*1103515245 +12345)/ 65536, 32768),0)/32768)"),0.0530563354492187)</f>
        <v>5.30563354492187E-2</v>
      </c>
      <c r="AG286" s="16"/>
      <c r="AH286" s="77"/>
      <c r="AI286" s="114"/>
    </row>
    <row r="287" spans="1:35" ht="16.2">
      <c r="A287" s="53">
        <v>286</v>
      </c>
      <c r="B287" s="118">
        <f t="shared" si="27"/>
        <v>1.31569</v>
      </c>
      <c r="C287" s="72" t="str">
        <f t="array" ref="C287">INDEX(NPCFName,TRUNC(1+(COUNTA(NPCFName))*(TRUNC(MOD(($B287*1103515245 +12345)/ 65536, 32768),0)/32768),0))</f>
        <v>Albright</v>
      </c>
      <c r="D287" s="16" t="str">
        <f t="array" ref="D287">INDEX(NPCLName,TRUNC(1+(COUNTA(NPCLName))*(TRUNC(MOD(($B287*1103515245 +12345)/ 65536, 32768),0)/32768),0))</f>
        <v>Emberhell</v>
      </c>
      <c r="E287" s="16" t="str">
        <f t="array" ref="E287">INDEX(NPCClass,TRUNC(1+(COUNTA(NPCClass))*(TRUNC(MOD(($B287*1103515245 +12345)/ 65536, 32768),0)/32768),0))</f>
        <v>None</v>
      </c>
      <c r="F287" s="76">
        <v>8</v>
      </c>
      <c r="G287" s="153">
        <f ca="1">VLOOKUP($AB$2,'RF Mod'!$A$2:$G$12,2,FALSE)+VLOOKUP($AD$2,'RF Mod'!$I$2:$O$11,2,FALSE)+(TRUNC(6+(24-6)*(TRUNC(MOD(($Z287*1103515245 +12345)/ 65536, 32768),0)/32768),0))</f>
        <v>10</v>
      </c>
      <c r="H287" s="16" t="e">
        <f t="shared" ca="1" si="17"/>
        <v>#NAME?</v>
      </c>
      <c r="I287" s="153">
        <f ca="1">VLOOKUP($AB$2,'RF Mod'!$A$2:$G$12,3,FALSE)+VLOOKUP($AD$2,'RF Mod'!$I$2:$O$11,3,FALSE)+(TRUNC(6+(24-6)*(TRUNC(MOD(($Z287*1103515245 +12345)/ 65536, 32768),0)/32768),0))</f>
        <v>14</v>
      </c>
      <c r="J287" s="16" t="e">
        <f t="shared" ca="1" si="18"/>
        <v>#NAME?</v>
      </c>
      <c r="K287" s="153">
        <f ca="1">VLOOKUP($AB$2,'RF Mod'!$A$2:$G$12,3,FALSE)+VLOOKUP($AD$2,'RF Mod'!$I$2:$O$11,3,FALSE)+(TRUNC(6+(24-6)*(TRUNC(MOD(($Z287*1103515245 +12345)/ 65536, 32768),0)/32768),0))</f>
        <v>14</v>
      </c>
      <c r="L287" s="16" t="e">
        <f t="shared" ca="1" si="19"/>
        <v>#NAME?</v>
      </c>
      <c r="M287" s="153">
        <f ca="1">VLOOKUP($AB$2,'RF Mod'!$A$2:$G$12,4,FALSE)+VLOOKUP($AD$2,'RF Mod'!$I$2:$O$11,4,FALSE)+(TRUNC(6+(24-6)*(TRUNC(MOD(($Z287*1103515245 +12345)/ 65536, 32768),0)/32768),0))</f>
        <v>13</v>
      </c>
      <c r="N287" s="16" t="e">
        <f t="shared" ca="1" si="20"/>
        <v>#NAME?</v>
      </c>
      <c r="O287" s="153">
        <f ca="1">VLOOKUP($AB$2,'RF Mod'!$A$2:$G$12,5,FALSE)+VLOOKUP($AD$2,'RF Mod'!$I$2:$O$11,5,FALSE)+(TRUNC(6+(24-6)*(TRUNC(MOD(($Z287*1103515245 +12345)/ 65536, 32768),0)/32768),0))</f>
        <v>16</v>
      </c>
      <c r="P287" s="16" t="e">
        <f t="shared" ca="1" si="21"/>
        <v>#NAME?</v>
      </c>
      <c r="Q287" s="153">
        <f ca="1">VLOOKUP($AB$2,'RF Mod'!$A$2:$G$12,6,FALSE)+VLOOKUP($AD$2,'RF Mod'!$I$2:$O$11,6,FALSE)+(TRUNC(6+(24-6)*(TRUNC(MOD(($Z287*1103515245 +12345)/ 65536, 32768),0)/32768),0))</f>
        <v>14</v>
      </c>
      <c r="R287" s="16" t="e">
        <f t="shared" ca="1" si="22"/>
        <v>#NAME?</v>
      </c>
      <c r="S287" s="154">
        <f t="shared" ca="1" si="28"/>
        <v>192</v>
      </c>
      <c r="T287" s="154">
        <f t="shared" ca="1" si="23"/>
        <v>48</v>
      </c>
      <c r="U287" s="16" t="str">
        <f t="shared" ca="1" si="24"/>
        <v>Fine</v>
      </c>
      <c r="V287" s="155">
        <f ca="1">IFERROR(__xludf.DUMMYFUNCTION("if(W287=""Middle Age"",QUERY(NPCVar!$K$2:$N1000, ""Select L where K = '""&amp;AB287&amp;""'""),if(W287=""Old"",QUERY(NPCVar!$K$2:$N1000, ""Select M where K = '""&amp;AB287&amp;""'""),if(W287=""Venerable"",QUERY(NPCVar!$K$2:$N1000, ""Select N where K = '""&amp;AB287&amp;""'""),fa"&amp;"lse)))*X287"),153)</f>
        <v>153</v>
      </c>
      <c r="W287" s="156" t="str">
        <f t="array" ref="W287">INDEX(NPCAgeType,TRUNC(1+(4-1)*(TRUNC(MOD((X287*1103515245 +12345)/ 65536, 32768),0)/32768),0))</f>
        <v>Venerable</v>
      </c>
      <c r="X287" s="117">
        <f t="shared" si="29"/>
        <v>1.7</v>
      </c>
      <c r="Y287" s="157" t="e">
        <f t="array" aca="1" ref="Y287" ca="1">LOOKUP(ABS(MAX(Z287 + MIN(ABS(INDIRECT("Class Jobs!B"&amp;MATCH(E287,'Class Jobs'!$A$1:$A1000,0)&amp;":"&amp;"AF"&amp;MATCH(E287,'Class Jobs'!$A$1:$A1000,0)&amp;"")-$Z287)) * SUM(IF(MIN(ABS(INDIRECT("Class Jobs!B"&amp;MATCH(E287,'Class Jobs'!$A$1:$A1000,0)&amp;":"&amp;"AF"&amp;MATCH(E287,'Class Jobs'!$A$1:$A1000,0)&amp;"")-$Z287))=ABS(INDIRECT("Class Jobs!B"&amp;MATCH(E287,'Class Jobs'!$A$1:$A1000,0)&amp;":"&amp;"AF"&amp;MATCH(E287,'Class Jobs'!$A$1:$A1000,0)&amp;"")-$Z287),SIGN(INDIRECT("Class Jobs!B"&amp;MATCH(E287,'Class Jobs'!$A$1:A1000,0)&amp;":"&amp;"AF"&amp;MATCH(E287,'Class Jobs'!$A$1:$A1000,0)&amp;"")-$Z287),0)),0)),INDIRECT("Class Jobs!B"&amp;MATCH(E287,'Class Jobs'!$A$1:$A1000,0)&amp;":"&amp;"AF"&amp;MATCH(E287,'Class Jobs'!$A$1:$A1000,1)&amp;""),'Class Jobs'!$B$1:$AF$1)</f>
        <v>#REF!</v>
      </c>
      <c r="Z287" s="158">
        <f t="shared" si="25"/>
        <v>0.67</v>
      </c>
      <c r="AA287" s="16" t="str">
        <f t="array" ref="AA287">INDEX(NPCGender,TRUNC(1+(COUNTA(NPCGender))*(TRUNC(MOD(($B287*1103515245 +12345)/ 65536, 32768),0)/32768),0))</f>
        <v>Neutral</v>
      </c>
      <c r="AB287" s="16" t="str">
        <f t="array" ref="AB287">INDEX(NPCRace,TRUNC(1+(COUNTA(NPCRace))*(TRUNC(MOD(($B287*1103515245 +12345)/ 65536, 32768),0)/32768),0))</f>
        <v>Human</v>
      </c>
      <c r="AC287" s="16" t="str">
        <f t="array" ref="AC287">INDEX(NPCAL,TRUNC(1+(COUNTA(NPCAL))*(TRUNC(MOD(($B287*1103515245 +12345)/ 65536, 32768),0)/32768),0))</f>
        <v>LG</v>
      </c>
      <c r="AD287" s="72" t="str">
        <f ca="1">IFERROR(__xludf.DUMMYFUNCTION("if(V287&lt;15,QUERY(NPCVar!C:D,""Select D WHERE C = '""&amp;D287&amp;""'""),if((TRUNC(1+10)*(TRUNC(MOD((ROW(H287)*1103515245 +12345)/ 65536, 32768),0)/32768)/10) &gt; 0.85,INDEX(NPCFaction,TRUNC(1+(counta(NPCFaction)-1)*(TRUNC(MOD(($B287*1103515245 +12345)/ 65536, 3276"&amp;"8),0)/32768),0)),QUERY(NPCVar!C:D,""Select D WHERE C = '""&amp;D287&amp;""'"")))"),"Adventures Guild")</f>
        <v>Adventures Guild</v>
      </c>
      <c r="AE287" s="108" t="e">
        <f t="shared" ca="1" si="26"/>
        <v>#NAME?</v>
      </c>
      <c r="AF287" s="159">
        <f ca="1">IFERROR(__xludf.DUMMYFUNCTION("AE287*(V287 / QUERY(NPCVar!$K$2:$N$12, ""Select N WHERE K='""&amp;AB287&amp;""'""))*TRUNC(1+10)*(TRUNC(MOD(($B287*1103515245 +12345)/ 65536, 32768),0)/32768)"),12.6428161621093)</f>
        <v>12.6428161621093</v>
      </c>
      <c r="AG287" s="16"/>
      <c r="AH287" s="77"/>
      <c r="AI287" s="114"/>
    </row>
    <row r="288" spans="1:35" ht="16.2">
      <c r="A288" s="53">
        <v>287</v>
      </c>
      <c r="B288" s="118">
        <f t="shared" si="27"/>
        <v>0.30982999999999999</v>
      </c>
      <c r="C288" s="72" t="str">
        <f t="array" ref="C288">INDEX(NPCFName,TRUNC(1+(COUNTA(NPCFName))*(TRUNC(MOD(($B288*1103515245 +12345)/ 65536, 32768),0)/32768),0))</f>
        <v>Keran</v>
      </c>
      <c r="D288" s="16" t="str">
        <f t="array" ref="D288">INDEX(NPCLName,TRUNC(1+(COUNTA(NPCLName))*(TRUNC(MOD(($B288*1103515245 +12345)/ 65536, 32768),0)/32768),0))</f>
        <v>Fistwing</v>
      </c>
      <c r="E288" s="16" t="str">
        <f t="array" ref="E288">INDEX(NPCClass,TRUNC(1+(COUNTA(NPCClass))*(TRUNC(MOD(($B288*1103515245 +12345)/ 65536, 32768),0)/32768),0))</f>
        <v>Bard</v>
      </c>
      <c r="F288" s="76">
        <v>1</v>
      </c>
      <c r="G288" s="153">
        <f ca="1">VLOOKUP($AB$2,'RF Mod'!$A$2:$G$12,2,FALSE)+VLOOKUP($AD$2,'RF Mod'!$I$2:$O$11,2,FALSE)+(TRUNC(6+(24-6)*(TRUNC(MOD(($Z288*1103515245 +12345)/ 65536, 32768),0)/32768),0))</f>
        <v>5</v>
      </c>
      <c r="H288" s="16">
        <f t="shared" ca="1" si="17"/>
        <v>-3</v>
      </c>
      <c r="I288" s="153">
        <f ca="1">VLOOKUP($AB$2,'RF Mod'!$A$2:$G$12,3,FALSE)+VLOOKUP($AD$2,'RF Mod'!$I$2:$O$11,3,FALSE)+(TRUNC(6+(24-6)*(TRUNC(MOD(($Z288*1103515245 +12345)/ 65536, 32768),0)/32768),0))</f>
        <v>9</v>
      </c>
      <c r="J288" s="16">
        <f t="shared" ca="1" si="18"/>
        <v>-1</v>
      </c>
      <c r="K288" s="153">
        <f ca="1">VLOOKUP($AB$2,'RF Mod'!$A$2:$G$12,3,FALSE)+VLOOKUP($AD$2,'RF Mod'!$I$2:$O$11,3,FALSE)+(TRUNC(6+(24-6)*(TRUNC(MOD(($Z288*1103515245 +12345)/ 65536, 32768),0)/32768),0))</f>
        <v>9</v>
      </c>
      <c r="L288" s="16">
        <f t="shared" ca="1" si="19"/>
        <v>-1</v>
      </c>
      <c r="M288" s="153">
        <f ca="1">VLOOKUP($AB$2,'RF Mod'!$A$2:$G$12,4,FALSE)+VLOOKUP($AD$2,'RF Mod'!$I$2:$O$11,4,FALSE)+(TRUNC(6+(24-6)*(TRUNC(MOD(($Z288*1103515245 +12345)/ 65536, 32768),0)/32768),0))</f>
        <v>8</v>
      </c>
      <c r="N288" s="16">
        <f t="shared" ca="1" si="20"/>
        <v>-1</v>
      </c>
      <c r="O288" s="153">
        <f ca="1">VLOOKUP($AB$2,'RF Mod'!$A$2:$G$12,5,FALSE)+VLOOKUP($AD$2,'RF Mod'!$I$2:$O$11,5,FALSE)+(TRUNC(6+(24-6)*(TRUNC(MOD(($Z288*1103515245 +12345)/ 65536, 32768),0)/32768),0))</f>
        <v>11</v>
      </c>
      <c r="P288" s="16" t="e">
        <f t="shared" ca="1" si="21"/>
        <v>#NAME?</v>
      </c>
      <c r="Q288" s="153">
        <f ca="1">VLOOKUP($AB$2,'RF Mod'!$A$2:$G$12,6,FALSE)+VLOOKUP($AD$2,'RF Mod'!$I$2:$O$11,6,FALSE)+(TRUNC(6+(24-6)*(TRUNC(MOD(($Z288*1103515245 +12345)/ 65536, 32768),0)/32768),0))</f>
        <v>9</v>
      </c>
      <c r="R288" s="16">
        <f t="shared" ca="1" si="22"/>
        <v>-1</v>
      </c>
      <c r="S288" s="154">
        <f t="shared" ca="1" si="28"/>
        <v>11</v>
      </c>
      <c r="T288" s="154">
        <f t="shared" ca="1" si="23"/>
        <v>5</v>
      </c>
      <c r="U288" s="16" t="str">
        <f t="shared" ca="1" si="24"/>
        <v>Fine</v>
      </c>
      <c r="V288" s="155">
        <f ca="1">IFERROR(__xludf.DUMMYFUNCTION("if(W288=""Middle Age"",QUERY(NPCVar!$K$2:$N1000, ""Select L where K = '""&amp;AB288&amp;""'""),if(W288=""Old"",QUERY(NPCVar!$K$2:$N1000, ""Select M where K = '""&amp;AB288&amp;""'""),if(W288=""Venerable"",QUERY(NPCVar!$K$2:$N1000, ""Select N where K = '""&amp;AB288&amp;""'""),fa"&amp;"lse)))*X288"),32)</f>
        <v>32</v>
      </c>
      <c r="W288" s="156" t="str">
        <f t="array" ref="W288">INDEX(NPCAgeType,TRUNC(1+(4-1)*(TRUNC(MOD((X288*1103515245 +12345)/ 65536, 32768),0)/32768),0))</f>
        <v>Middle Age</v>
      </c>
      <c r="X288" s="117">
        <f t="shared" si="29"/>
        <v>0.4</v>
      </c>
      <c r="Y288" s="157" t="e">
        <f t="array" aca="1" ref="Y288" ca="1">LOOKUP(ABS(MAX(Z288 + MIN(ABS(INDIRECT("Class Jobs!B"&amp;MATCH(E288,'Class Jobs'!$A$1:$A1000,0)&amp;":"&amp;"AF"&amp;MATCH(E288,'Class Jobs'!$A$1:$A1000,0)&amp;"")-$Z288)) * SUM(IF(MIN(ABS(INDIRECT("Class Jobs!B"&amp;MATCH(E288,'Class Jobs'!$A$1:$A1000,0)&amp;":"&amp;"AF"&amp;MATCH(E288,'Class Jobs'!$A$1:$A1000,0)&amp;"")-$Z288))=ABS(INDIRECT("Class Jobs!B"&amp;MATCH(E288,'Class Jobs'!$A$1:$A1000,0)&amp;":"&amp;"AF"&amp;MATCH(E288,'Class Jobs'!$A$1:$A1000,0)&amp;"")-$Z288),SIGN(INDIRECT("Class Jobs!B"&amp;MATCH(E288,'Class Jobs'!$A$1:A1000,0)&amp;":"&amp;"AF"&amp;MATCH(E288,'Class Jobs'!$A$1:$A1000,0)&amp;"")-$Z288),0)),0)),INDIRECT("Class Jobs!B"&amp;MATCH(E288,'Class Jobs'!$A$1:$A1000,0)&amp;":"&amp;"AF"&amp;MATCH(E288,'Class Jobs'!$A$1:$A1000,1)&amp;""),'Class Jobs'!$B$1:$AF$1)</f>
        <v>#REF!</v>
      </c>
      <c r="Z288" s="158">
        <f t="shared" si="25"/>
        <v>0.16</v>
      </c>
      <c r="AA288" s="16" t="str">
        <f t="array" ref="AA288">INDEX(NPCGender,TRUNC(1+(COUNTA(NPCGender))*(TRUNC(MOD(($B288*1103515245 +12345)/ 65536, 32768),0)/32768),0))</f>
        <v>Male</v>
      </c>
      <c r="AB288" s="16" t="str">
        <f t="array" ref="AB288">INDEX(NPCRace,TRUNC(1+(COUNTA(NPCRace))*(TRUNC(MOD(($B288*1103515245 +12345)/ 65536, 32768),0)/32768),0))</f>
        <v>Dwarf</v>
      </c>
      <c r="AC288" s="16" t="str">
        <f t="array" ref="AC288">INDEX(NPCAL,TRUNC(1+(COUNTA(NPCAL))*(TRUNC(MOD(($B288*1103515245 +12345)/ 65536, 32768),0)/32768),0))</f>
        <v>CE</v>
      </c>
      <c r="AD288" s="72" t="str">
        <f ca="1">IFERROR(__xludf.DUMMYFUNCTION("if(V288&lt;15,QUERY(NPCVar!C:D,""Select D WHERE C = '""&amp;D288&amp;""'""),if((TRUNC(1+10)*(TRUNC(MOD((ROW(H288)*1103515245 +12345)/ 65536, 32768),0)/32768)/10) &gt; 0.85,INDEX(NPCFaction,TRUNC(1+(counta(NPCFaction)-1)*(TRUNC(MOD(($B288*1103515245 +12345)/ 65536, 3276"&amp;"8),0)/32768),0)),QUERY(NPCVar!C:D,""Select D WHERE C = '""&amp;D288&amp;""'"")))"),"Necromancer")</f>
        <v>Necromancer</v>
      </c>
      <c r="AE288" s="108" t="e">
        <f t="shared" ca="1" si="26"/>
        <v>#NAME?</v>
      </c>
      <c r="AF288" s="159">
        <f ca="1">IFERROR(__xludf.DUMMYFUNCTION("AE288*(V288 / QUERY(NPCVar!$K$2:$N$12, ""Select N WHERE K='""&amp;AB288&amp;""'""))*TRUNC(1+10)*(TRUNC(MOD(($B288*1103515245 +12345)/ 65536, 32768),0)/32768)"),0.0350262451171875)</f>
        <v>3.50262451171875E-2</v>
      </c>
      <c r="AG288" s="16"/>
      <c r="AH288" s="77"/>
      <c r="AI288" s="114"/>
    </row>
    <row r="289" spans="1:35" ht="16.2">
      <c r="A289" s="53">
        <v>288</v>
      </c>
      <c r="B289" s="118">
        <f t="shared" si="27"/>
        <v>1.8039700000000001</v>
      </c>
      <c r="C289" s="72" t="str">
        <f t="array" ref="C289">INDEX(NPCFName,TRUNC(1+(COUNTA(NPCFName))*(TRUNC(MOD(($B289*1103515245 +12345)/ 65536, 32768),0)/32768),0))</f>
        <v>Senick</v>
      </c>
      <c r="D289" s="16" t="str">
        <f t="array" ref="D289">INDEX(NPCLName,TRUNC(1+(COUNTA(NPCLName))*(TRUNC(MOD(($B289*1103515245 +12345)/ 65536, 32768),0)/32768),0))</f>
        <v>Stormwolf</v>
      </c>
      <c r="E289" s="16" t="str">
        <f t="array" ref="E289">INDEX(NPCClass,TRUNC(1+(COUNTA(NPCClass))*(TRUNC(MOD(($B289*1103515245 +12345)/ 65536, 32768),0)/32768),0))</f>
        <v>Wizard</v>
      </c>
      <c r="F289" s="76">
        <v>8</v>
      </c>
      <c r="G289" s="153">
        <f ca="1">VLOOKUP($AB$2,'RF Mod'!$A$2:$G$12,2,FALSE)+VLOOKUP($AD$2,'RF Mod'!$I$2:$O$11,2,FALSE)+(TRUNC(6+(24-6)*(TRUNC(MOD(($Z289*1103515245 +12345)/ 65536, 32768),0)/32768),0))</f>
        <v>12</v>
      </c>
      <c r="H289" s="16" t="e">
        <f t="shared" ca="1" si="17"/>
        <v>#NAME?</v>
      </c>
      <c r="I289" s="153">
        <f ca="1">VLOOKUP($AB$2,'RF Mod'!$A$2:$G$12,3,FALSE)+VLOOKUP($AD$2,'RF Mod'!$I$2:$O$11,3,FALSE)+(TRUNC(6+(24-6)*(TRUNC(MOD(($Z289*1103515245 +12345)/ 65536, 32768),0)/32768),0))</f>
        <v>16</v>
      </c>
      <c r="J289" s="16" t="e">
        <f t="shared" ca="1" si="18"/>
        <v>#NAME?</v>
      </c>
      <c r="K289" s="153">
        <f ca="1">VLOOKUP($AB$2,'RF Mod'!$A$2:$G$12,3,FALSE)+VLOOKUP($AD$2,'RF Mod'!$I$2:$O$11,3,FALSE)+(TRUNC(6+(24-6)*(TRUNC(MOD(($Z289*1103515245 +12345)/ 65536, 32768),0)/32768),0))</f>
        <v>16</v>
      </c>
      <c r="L289" s="16" t="e">
        <f t="shared" ca="1" si="19"/>
        <v>#NAME?</v>
      </c>
      <c r="M289" s="153">
        <f ca="1">VLOOKUP($AB$2,'RF Mod'!$A$2:$G$12,4,FALSE)+VLOOKUP($AD$2,'RF Mod'!$I$2:$O$11,4,FALSE)+(TRUNC(6+(24-6)*(TRUNC(MOD(($Z289*1103515245 +12345)/ 65536, 32768),0)/32768),0))</f>
        <v>15</v>
      </c>
      <c r="N289" s="16" t="e">
        <f t="shared" ca="1" si="20"/>
        <v>#NAME?</v>
      </c>
      <c r="O289" s="153">
        <f ca="1">VLOOKUP($AB$2,'RF Mod'!$A$2:$G$12,5,FALSE)+VLOOKUP($AD$2,'RF Mod'!$I$2:$O$11,5,FALSE)+(TRUNC(6+(24-6)*(TRUNC(MOD(($Z289*1103515245 +12345)/ 65536, 32768),0)/32768),0))</f>
        <v>18</v>
      </c>
      <c r="P289" s="16" t="e">
        <f t="shared" ca="1" si="21"/>
        <v>#NAME?</v>
      </c>
      <c r="Q289" s="153">
        <f ca="1">VLOOKUP($AB$2,'RF Mod'!$A$2:$G$12,6,FALSE)+VLOOKUP($AD$2,'RF Mod'!$I$2:$O$11,6,FALSE)+(TRUNC(6+(24-6)*(TRUNC(MOD(($Z289*1103515245 +12345)/ 65536, 32768),0)/32768),0))</f>
        <v>16</v>
      </c>
      <c r="R289" s="16" t="e">
        <f t="shared" ca="1" si="22"/>
        <v>#NAME?</v>
      </c>
      <c r="S289" s="154">
        <f t="shared" ca="1" si="28"/>
        <v>144</v>
      </c>
      <c r="T289" s="154">
        <f t="shared" ca="1" si="23"/>
        <v>10</v>
      </c>
      <c r="U289" s="16" t="str">
        <f t="shared" ca="1" si="24"/>
        <v>Fine</v>
      </c>
      <c r="V289" s="155">
        <f ca="1">IFERROR(__xludf.DUMMYFUNCTION("if(W289=""Middle Age"",QUERY(NPCVar!$K$2:$N1000, ""Select L where K = '""&amp;AB289&amp;""'""),if(W289=""Old"",QUERY(NPCVar!$K$2:$N1000, ""Select M where K = '""&amp;AB289&amp;""'""),if(W289=""Venerable"",QUERY(NPCVar!$K$2:$N1000, ""Select N where K = '""&amp;AB289&amp;""'""),fa"&amp;"lse)))*X289"),69)</f>
        <v>69</v>
      </c>
      <c r="W289" s="156" t="str">
        <f t="array" ref="W289">INDEX(NPCAgeType,TRUNC(1+(4-1)*(TRUNC(MOD((X289*1103515245 +12345)/ 65536, 32768),0)/32768),0))</f>
        <v>Middle Age</v>
      </c>
      <c r="X289" s="117">
        <f t="shared" si="29"/>
        <v>2.2999999999999998</v>
      </c>
      <c r="Y289" s="157" t="e">
        <f t="array" aca="1" ref="Y289" ca="1">LOOKUP(ABS(MAX(Z289 + MIN(ABS(INDIRECT("Class Jobs!B"&amp;MATCH(E289,'Class Jobs'!$A$1:$A1000,0)&amp;":"&amp;"AF"&amp;MATCH(E289,'Class Jobs'!$A$1:$A1000,0)&amp;"")-$Z289)) * SUM(IF(MIN(ABS(INDIRECT("Class Jobs!B"&amp;MATCH(E289,'Class Jobs'!$A$1:$A1000,0)&amp;":"&amp;"AF"&amp;MATCH(E289,'Class Jobs'!$A$1:$A1000,0)&amp;"")-$Z289))=ABS(INDIRECT("Class Jobs!B"&amp;MATCH(E289,'Class Jobs'!$A$1:$A1000,0)&amp;":"&amp;"AF"&amp;MATCH(E289,'Class Jobs'!$A$1:$A1000,0)&amp;"")-$Z289),SIGN(INDIRECT("Class Jobs!B"&amp;MATCH(E289,'Class Jobs'!$A$1:A1000,0)&amp;":"&amp;"AF"&amp;MATCH(E289,'Class Jobs'!$A$1:$A1000,0)&amp;"")-$Z289),0)),0)),INDIRECT("Class Jobs!B"&amp;MATCH(E289,'Class Jobs'!$A$1:$A1000,0)&amp;":"&amp;"AF"&amp;MATCH(E289,'Class Jobs'!$A$1:$A1000,1)&amp;""),'Class Jobs'!$B$1:$AF$1)</f>
        <v>#REF!</v>
      </c>
      <c r="Z289" s="158">
        <f t="shared" si="25"/>
        <v>0.92</v>
      </c>
      <c r="AA289" s="16" t="str">
        <f t="array" ref="AA289">INDEX(NPCGender,TRUNC(1+(COUNTA(NPCGender))*(TRUNC(MOD(($B289*1103515245 +12345)/ 65536, 32768),0)/32768),0))</f>
        <v>Neutral</v>
      </c>
      <c r="AB289" s="16" t="str">
        <f t="array" ref="AB289">INDEX(NPCRace,TRUNC(1+(COUNTA(NPCRace))*(TRUNC(MOD(($B289*1103515245 +12345)/ 65536, 32768),0)/32768),0))</f>
        <v>Goliath</v>
      </c>
      <c r="AC289" s="16" t="str">
        <f t="array" ref="AC289">INDEX(NPCAL,TRUNC(1+(COUNTA(NPCAL))*(TRUNC(MOD(($B289*1103515245 +12345)/ 65536, 32768),0)/32768),0))</f>
        <v>LE</v>
      </c>
      <c r="AD289" s="72" t="str">
        <f ca="1">IFERROR(__xludf.DUMMYFUNCTION("if(V289&lt;15,QUERY(NPCVar!C:D,""Select D WHERE C = '""&amp;D289&amp;""'""),if((TRUNC(1+10)*(TRUNC(MOD((ROW(H289)*1103515245 +12345)/ 65536, 32768),0)/32768)/10) &gt; 0.85,INDEX(NPCFaction,TRUNC(1+(counta(NPCFaction)-1)*(TRUNC(MOD(($B289*1103515245 +12345)/ 65536, 3276"&amp;"8),0)/32768),0)),QUERY(NPCVar!C:D,""Select D WHERE C = '""&amp;D289&amp;""'"")))"),"Followers of Isis")</f>
        <v>Followers of Isis</v>
      </c>
      <c r="AE289" s="108" t="e">
        <f t="shared" ca="1" si="26"/>
        <v>#NAME?</v>
      </c>
      <c r="AF289" s="159">
        <f ca="1">IFERROR(__xludf.DUMMYFUNCTION("AE289*(V289 / QUERY(NPCVar!$K$2:$N$12, ""Select N WHERE K='""&amp;AB289&amp;""'""))*TRUNC(1+10)*(TRUNC(MOD(($B289*1103515245 +12345)/ 65536, 32768),0)/32768)"),5.86309432983398)</f>
        <v>5.8630943298339799</v>
      </c>
      <c r="AG289" s="16"/>
      <c r="AH289" s="77"/>
      <c r="AI289" s="114"/>
    </row>
    <row r="290" spans="1:35" ht="16.2">
      <c r="A290" s="53">
        <v>289</v>
      </c>
      <c r="B290" s="118">
        <f t="shared" si="27"/>
        <v>0.79810999999999999</v>
      </c>
      <c r="C290" s="72" t="str">
        <f t="array" ref="C290">INDEX(NPCFName,TRUNC(1+(COUNTA(NPCFName))*(TRUNC(MOD(($B290*1103515245 +12345)/ 65536, 32768),0)/32768),0))</f>
        <v>Dochrohan</v>
      </c>
      <c r="D290" s="16" t="str">
        <f t="array" ref="D290">INDEX(NPCLName,TRUNC(1+(COUNTA(NPCLName))*(TRUNC(MOD(($B290*1103515245 +12345)/ 65536, 32768),0)/32768),0))</f>
        <v>Windshade</v>
      </c>
      <c r="E290" s="16" t="str">
        <f t="array" ref="E290">INDEX(NPCClass,TRUNC(1+(COUNTA(NPCClass))*(TRUNC(MOD(($B290*1103515245 +12345)/ 65536, 32768),0)/32768),0))</f>
        <v>Paladin</v>
      </c>
      <c r="F290" s="76">
        <v>3</v>
      </c>
      <c r="G290" s="153">
        <f ca="1">VLOOKUP($AB$2,'RF Mod'!$A$2:$G$12,2,FALSE)+VLOOKUP($AD$2,'RF Mod'!$I$2:$O$11,2,FALSE)+(TRUNC(6+(24-6)*(TRUNC(MOD(($Z290*1103515245 +12345)/ 65536, 32768),0)/32768),0))</f>
        <v>7</v>
      </c>
      <c r="H290" s="16">
        <f t="shared" ca="1" si="17"/>
        <v>-2</v>
      </c>
      <c r="I290" s="153">
        <f ca="1">VLOOKUP($AB$2,'RF Mod'!$A$2:$G$12,3,FALSE)+VLOOKUP($AD$2,'RF Mod'!$I$2:$O$11,3,FALSE)+(TRUNC(6+(24-6)*(TRUNC(MOD(($Z290*1103515245 +12345)/ 65536, 32768),0)/32768),0))</f>
        <v>11</v>
      </c>
      <c r="J290" s="16" t="e">
        <f t="shared" ca="1" si="18"/>
        <v>#NAME?</v>
      </c>
      <c r="K290" s="153">
        <f ca="1">VLOOKUP($AB$2,'RF Mod'!$A$2:$G$12,3,FALSE)+VLOOKUP($AD$2,'RF Mod'!$I$2:$O$11,3,FALSE)+(TRUNC(6+(24-6)*(TRUNC(MOD(($Z290*1103515245 +12345)/ 65536, 32768),0)/32768),0))</f>
        <v>11</v>
      </c>
      <c r="L290" s="16" t="e">
        <f t="shared" ca="1" si="19"/>
        <v>#NAME?</v>
      </c>
      <c r="M290" s="153">
        <f ca="1">VLOOKUP($AB$2,'RF Mod'!$A$2:$G$12,4,FALSE)+VLOOKUP($AD$2,'RF Mod'!$I$2:$O$11,4,FALSE)+(TRUNC(6+(24-6)*(TRUNC(MOD(($Z290*1103515245 +12345)/ 65536, 32768),0)/32768),0))</f>
        <v>10</v>
      </c>
      <c r="N290" s="16" t="e">
        <f t="shared" ca="1" si="20"/>
        <v>#NAME?</v>
      </c>
      <c r="O290" s="153">
        <f ca="1">VLOOKUP($AB$2,'RF Mod'!$A$2:$G$12,5,FALSE)+VLOOKUP($AD$2,'RF Mod'!$I$2:$O$11,5,FALSE)+(TRUNC(6+(24-6)*(TRUNC(MOD(($Z290*1103515245 +12345)/ 65536, 32768),0)/32768),0))</f>
        <v>13</v>
      </c>
      <c r="P290" s="16" t="e">
        <f t="shared" ca="1" si="21"/>
        <v>#NAME?</v>
      </c>
      <c r="Q290" s="153">
        <f ca="1">VLOOKUP($AB$2,'RF Mod'!$A$2:$G$12,6,FALSE)+VLOOKUP($AD$2,'RF Mod'!$I$2:$O$11,6,FALSE)+(TRUNC(6+(24-6)*(TRUNC(MOD(($Z290*1103515245 +12345)/ 65536, 32768),0)/32768),0))</f>
        <v>11</v>
      </c>
      <c r="R290" s="16" t="e">
        <f t="shared" ca="1" si="22"/>
        <v>#NAME?</v>
      </c>
      <c r="S290" s="154">
        <f t="shared" ca="1" si="28"/>
        <v>57</v>
      </c>
      <c r="T290" s="154">
        <f t="shared" ca="1" si="23"/>
        <v>60</v>
      </c>
      <c r="U290" s="16" t="str">
        <f t="shared" ca="1" si="24"/>
        <v>Dead</v>
      </c>
      <c r="V290" s="155">
        <f ca="1">IFERROR(__xludf.DUMMYFUNCTION("if(W290=""Middle Age"",QUERY(NPCVar!$K$2:$N1000, ""Select L where K = '""&amp;AB290&amp;""'""),if(W290=""Old"",QUERY(NPCVar!$K$2:$N1000, ""Select M where K = '""&amp;AB290&amp;""'""),if(W290=""Venerable"",QUERY(NPCVar!$K$2:$N1000, ""Select N where K = '""&amp;AB290&amp;""'""),fa"&amp;"lse)))*X290"),67.5)</f>
        <v>67.5</v>
      </c>
      <c r="W290" s="156" t="str">
        <f t="array" ref="W290">INDEX(NPCAgeType,TRUNC(1+(4-1)*(TRUNC(MOD((X290*1103515245 +12345)/ 65536, 32768),0)/32768),0))</f>
        <v>Old</v>
      </c>
      <c r="X290" s="117">
        <f t="shared" si="29"/>
        <v>1</v>
      </c>
      <c r="Y290" s="157" t="e">
        <f t="array" aca="1" ref="Y290" ca="1">LOOKUP(ABS(MAX(Z290 + MIN(ABS(INDIRECT("Class Jobs!B"&amp;MATCH(E290,'Class Jobs'!$A$1:$A1000,0)&amp;":"&amp;"AF"&amp;MATCH(E290,'Class Jobs'!$A$1:$A1000,0)&amp;"")-$Z290)) * SUM(IF(MIN(ABS(INDIRECT("Class Jobs!B"&amp;MATCH(E290,'Class Jobs'!$A$1:$A1000,0)&amp;":"&amp;"AF"&amp;MATCH(E290,'Class Jobs'!$A$1:$A1000,0)&amp;"")-$Z290))=ABS(INDIRECT("Class Jobs!B"&amp;MATCH(E290,'Class Jobs'!$A$1:$A1000,0)&amp;":"&amp;"AF"&amp;MATCH(E290,'Class Jobs'!$A$1:$A1000,0)&amp;"")-$Z290),SIGN(INDIRECT("Class Jobs!B"&amp;MATCH(E290,'Class Jobs'!$A$1:A1000,0)&amp;":"&amp;"AF"&amp;MATCH(E290,'Class Jobs'!$A$1:$A1000,0)&amp;"")-$Z290),0)),0)),INDIRECT("Class Jobs!B"&amp;MATCH(E290,'Class Jobs'!$A$1:$A1000,0)&amp;":"&amp;"AF"&amp;MATCH(E290,'Class Jobs'!$A$1:$A1000,1)&amp;""),'Class Jobs'!$B$1:$AF$1)</f>
        <v>#REF!</v>
      </c>
      <c r="Z290" s="158">
        <f t="shared" si="25"/>
        <v>0.41</v>
      </c>
      <c r="AA290" s="16" t="str">
        <f t="array" ref="AA290">INDEX(NPCGender,TRUNC(1+(COUNTA(NPCGender))*(TRUNC(MOD(($B290*1103515245 +12345)/ 65536, 32768),0)/32768),0))</f>
        <v>Female</v>
      </c>
      <c r="AB290" s="16" t="str">
        <f t="array" ref="AB290">INDEX(NPCRace,TRUNC(1+(COUNTA(NPCRace))*(TRUNC(MOD(($B290*1103515245 +12345)/ 65536, 32768),0)/32768),0))</f>
        <v>Half-Elf</v>
      </c>
      <c r="AC290" s="16" t="str">
        <f t="array" ref="AC290">INDEX(NPCAL,TRUNC(1+(COUNTA(NPCAL))*(TRUNC(MOD(($B290*1103515245 +12345)/ 65536, 32768),0)/32768),0))</f>
        <v>NG</v>
      </c>
      <c r="AD290" s="72" t="str">
        <f ca="1">IFERROR(__xludf.DUMMYFUNCTION("if(V290&lt;15,QUERY(NPCVar!C:D,""Select D WHERE C = '""&amp;D290&amp;""'""),if((TRUNC(1+10)*(TRUNC(MOD((ROW(H290)*1103515245 +12345)/ 65536, 32768),0)/32768)/10) &gt; 0.85,INDEX(NPCFaction,TRUNC(1+(counta(NPCFaction)-1)*(TRUNC(MOD(($B290*1103515245 +12345)/ 65536, 3276"&amp;"8),0)/32768),0)),QUERY(NPCVar!C:D,""Select D WHERE C = '""&amp;D290&amp;""'"")))"),"Traders Guild")</f>
        <v>Traders Guild</v>
      </c>
      <c r="AE290" s="108" t="e">
        <f t="shared" ca="1" si="26"/>
        <v>#NAME?</v>
      </c>
      <c r="AF290" s="159">
        <f ca="1">IFERROR(__xludf.DUMMYFUNCTION("AE290*(V290 / QUERY(NPCVar!$K$2:$N$12, ""Select N WHERE K='""&amp;AB290&amp;""'""))*TRUNC(1+10)*(TRUNC(MOD(($B290*1103515245 +12345)/ 65536, 32768),0)/32768)"),0.676707458496093)</f>
        <v>0.67670745849609304</v>
      </c>
      <c r="AG290" s="16"/>
      <c r="AH290" s="77"/>
      <c r="AI290" s="114"/>
    </row>
    <row r="291" spans="1:35" ht="16.2">
      <c r="A291" s="53">
        <v>290</v>
      </c>
      <c r="B291" s="118">
        <f t="shared" si="27"/>
        <v>2.2922500000000001</v>
      </c>
      <c r="C291" s="72" t="str">
        <f t="array" ref="C291">INDEX(NPCFName,TRUNC(1+(COUNTA(NPCFName))*(TRUNC(MOD(($B291*1103515245 +12345)/ 65536, 32768),0)/32768),0))</f>
        <v>Ludokrin</v>
      </c>
      <c r="D291" s="16" t="str">
        <f t="array" ref="D291">INDEX(NPCLName,TRUNC(1+(COUNTA(NPCLName))*(TRUNC(MOD(($B291*1103515245 +12345)/ 65536, 32768),0)/32768),0))</f>
        <v>Ashcloud</v>
      </c>
      <c r="E291" s="16" t="str">
        <f t="array" ref="E291">INDEX(NPCClass,TRUNC(1+(COUNTA(NPCClass))*(TRUNC(MOD(($B291*1103515245 +12345)/ 65536, 32768),0)/32768),0))</f>
        <v>Druid</v>
      </c>
      <c r="F291" s="76">
        <v>1</v>
      </c>
      <c r="G291" s="153">
        <f ca="1">VLOOKUP($AB$2,'RF Mod'!$A$2:$G$12,2,FALSE)+VLOOKUP($AD$2,'RF Mod'!$I$2:$O$11,2,FALSE)+(TRUNC(6+(24-6)*(TRUNC(MOD(($Z291*1103515245 +12345)/ 65536, 32768),0)/32768),0))</f>
        <v>5</v>
      </c>
      <c r="H291" s="16">
        <f t="shared" ca="1" si="17"/>
        <v>-3</v>
      </c>
      <c r="I291" s="153">
        <f ca="1">VLOOKUP($AB$2,'RF Mod'!$A$2:$G$12,3,FALSE)+VLOOKUP($AD$2,'RF Mod'!$I$2:$O$11,3,FALSE)+(TRUNC(6+(24-6)*(TRUNC(MOD(($Z291*1103515245 +12345)/ 65536, 32768),0)/32768),0))</f>
        <v>9</v>
      </c>
      <c r="J291" s="16">
        <f t="shared" ca="1" si="18"/>
        <v>-1</v>
      </c>
      <c r="K291" s="153">
        <f ca="1">VLOOKUP($AB$2,'RF Mod'!$A$2:$G$12,3,FALSE)+VLOOKUP($AD$2,'RF Mod'!$I$2:$O$11,3,FALSE)+(TRUNC(6+(24-6)*(TRUNC(MOD(($Z291*1103515245 +12345)/ 65536, 32768),0)/32768),0))</f>
        <v>9</v>
      </c>
      <c r="L291" s="16">
        <f t="shared" ca="1" si="19"/>
        <v>-1</v>
      </c>
      <c r="M291" s="153">
        <f ca="1">VLOOKUP($AB$2,'RF Mod'!$A$2:$G$12,4,FALSE)+VLOOKUP($AD$2,'RF Mod'!$I$2:$O$11,4,FALSE)+(TRUNC(6+(24-6)*(TRUNC(MOD(($Z291*1103515245 +12345)/ 65536, 32768),0)/32768),0))</f>
        <v>8</v>
      </c>
      <c r="N291" s="16">
        <f t="shared" ca="1" si="20"/>
        <v>-1</v>
      </c>
      <c r="O291" s="153">
        <f ca="1">VLOOKUP($AB$2,'RF Mod'!$A$2:$G$12,5,FALSE)+VLOOKUP($AD$2,'RF Mod'!$I$2:$O$11,5,FALSE)+(TRUNC(6+(24-6)*(TRUNC(MOD(($Z291*1103515245 +12345)/ 65536, 32768),0)/32768),0))</f>
        <v>11</v>
      </c>
      <c r="P291" s="16" t="e">
        <f t="shared" ca="1" si="21"/>
        <v>#NAME?</v>
      </c>
      <c r="Q291" s="153">
        <f ca="1">VLOOKUP($AB$2,'RF Mod'!$A$2:$G$12,6,FALSE)+VLOOKUP($AD$2,'RF Mod'!$I$2:$O$11,6,FALSE)+(TRUNC(6+(24-6)*(TRUNC(MOD(($Z291*1103515245 +12345)/ 65536, 32768),0)/32768),0))</f>
        <v>9</v>
      </c>
      <c r="R291" s="16">
        <f t="shared" ca="1" si="22"/>
        <v>-1</v>
      </c>
      <c r="S291" s="154">
        <f t="shared" ca="1" si="28"/>
        <v>27</v>
      </c>
      <c r="T291" s="154">
        <f t="shared" ca="1" si="23"/>
        <v>21</v>
      </c>
      <c r="U291" s="16" t="str">
        <f t="shared" ca="1" si="24"/>
        <v>Bloody</v>
      </c>
      <c r="V291" s="155">
        <f ca="1">IFERROR(__xludf.DUMMYFUNCTION("if(W291=""Middle Age"",QUERY(NPCVar!$K$2:$N1000, ""Select L where K = '""&amp;AB291&amp;""'""),if(W291=""Old"",QUERY(NPCVar!$K$2:$N1000, ""Select M where K = '""&amp;AB291&amp;""'""),if(W291=""Venerable"",QUERY(NPCVar!$K$2:$N1000, ""Select N where K = '""&amp;AB291&amp;""'""),fa"&amp;"lse)))*X291"),40)</f>
        <v>40</v>
      </c>
      <c r="W291" s="156" t="str">
        <f t="array" ref="W291">INDEX(NPCAgeType,TRUNC(1+(4-1)*(TRUNC(MOD((X291*1103515245 +12345)/ 65536, 32768),0)/32768),0))</f>
        <v>Middle Age</v>
      </c>
      <c r="X291" s="117">
        <f t="shared" si="29"/>
        <v>0.5</v>
      </c>
      <c r="Y291" s="157" t="e">
        <f t="array" aca="1" ref="Y291" ca="1">LOOKUP(ABS(MAX(Z291 + MIN(ABS(INDIRECT("Class Jobs!B"&amp;MATCH(E291,'Class Jobs'!$A$1:$A1000,0)&amp;":"&amp;"AF"&amp;MATCH(E291,'Class Jobs'!$A$1:$A1000,0)&amp;"")-$Z291)) * SUM(IF(MIN(ABS(INDIRECT("Class Jobs!B"&amp;MATCH(E291,'Class Jobs'!$A$1:$A1000,0)&amp;":"&amp;"AF"&amp;MATCH(E291,'Class Jobs'!$A$1:$A1000,0)&amp;"")-$Z291))=ABS(INDIRECT("Class Jobs!B"&amp;MATCH(E291,'Class Jobs'!$A$1:$A1000,0)&amp;":"&amp;"AF"&amp;MATCH(E291,'Class Jobs'!$A$1:$A1000,0)&amp;"")-$Z291),SIGN(INDIRECT("Class Jobs!B"&amp;MATCH(E291,'Class Jobs'!$A$1:A1000,0)&amp;":"&amp;"AF"&amp;MATCH(E291,'Class Jobs'!$A$1:$A1000,0)&amp;"")-$Z291),0)),0)),INDIRECT("Class Jobs!B"&amp;MATCH(E291,'Class Jobs'!$A$1:$A1000,0)&amp;":"&amp;"AF"&amp;MATCH(E291,'Class Jobs'!$A$1:$A1000,1)&amp;""),'Class Jobs'!$B$1:$AF$1)</f>
        <v>#REF!</v>
      </c>
      <c r="Z291" s="158">
        <f t="shared" si="25"/>
        <v>0.18</v>
      </c>
      <c r="AA291" s="16" t="str">
        <f t="array" ref="AA291">INDEX(NPCGender,TRUNC(1+(COUNTA(NPCGender))*(TRUNC(MOD(($B291*1103515245 +12345)/ 65536, 32768),0)/32768),0))</f>
        <v>Male</v>
      </c>
      <c r="AB291" s="16" t="str">
        <f t="array" ref="AB291">INDEX(NPCRace,TRUNC(1+(COUNTA(NPCRace))*(TRUNC(MOD(($B291*1103515245 +12345)/ 65536, 32768),0)/32768),0))</f>
        <v>Dwarf</v>
      </c>
      <c r="AC291" s="16" t="str">
        <f t="array" ref="AC291">INDEX(NPCAL,TRUNC(1+(COUNTA(NPCAL))*(TRUNC(MOD(($B291*1103515245 +12345)/ 65536, 32768),0)/32768),0))</f>
        <v>CE</v>
      </c>
      <c r="AD291" s="72" t="str">
        <f ca="1">IFERROR(__xludf.DUMMYFUNCTION("if(V291&lt;15,QUERY(NPCVar!C:D,""Select D WHERE C = '""&amp;D291&amp;""'""),if((TRUNC(1+10)*(TRUNC(MOD((ROW(H291)*1103515245 +12345)/ 65536, 32768),0)/32768)/10) &gt; 0.85,INDEX(NPCFaction,TRUNC(1+(counta(NPCFaction)-1)*(TRUNC(MOD(($B291*1103515245 +12345)/ 65536, 3276"&amp;"8),0)/32768),0)),QUERY(NPCVar!C:D,""Select D WHERE C = '""&amp;D291&amp;""'"")))"),"Magic Guild")</f>
        <v>Magic Guild</v>
      </c>
      <c r="AE291" s="108" t="e">
        <f t="shared" ca="1" si="26"/>
        <v>#NAME?</v>
      </c>
      <c r="AF291" s="159">
        <f ca="1">IFERROR(__xludf.DUMMYFUNCTION("AE291*(V291 / QUERY(NPCVar!$K$2:$N$12, ""Select N WHERE K='""&amp;AB291&amp;""'""))*TRUNC(1+10)*(TRUNC(MOD(($B291*1103515245 +12345)/ 65536, 32768),0)/32768)"),-0.0489189147949218)</f>
        <v>-4.8918914794921803E-2</v>
      </c>
      <c r="AG291" s="16"/>
      <c r="AH291" s="77"/>
      <c r="AI291" s="114"/>
    </row>
    <row r="292" spans="1:35" ht="16.2">
      <c r="A292" s="53">
        <v>291</v>
      </c>
      <c r="B292" s="118">
        <f t="shared" si="27"/>
        <v>1.2863899999999999</v>
      </c>
      <c r="C292" s="72" t="str">
        <f t="array" ref="C292">INDEX(NPCFName,TRUNC(1+(COUNTA(NPCFName))*(TRUNC(MOD(($B292*1103515245 +12345)/ 65536, 32768),0)/32768),0))</f>
        <v>Zerin</v>
      </c>
      <c r="D292" s="16" t="str">
        <f t="array" ref="D292">INDEX(NPCLName,TRUNC(1+(COUNTA(NPCLName))*(TRUNC(MOD(($B292*1103515245 +12345)/ 65536, 32768),0)/32768),0))</f>
        <v>Mourninglash</v>
      </c>
      <c r="E292" s="16" t="str">
        <f t="array" ref="E292">INDEX(NPCClass,TRUNC(1+(COUNTA(NPCClass))*(TRUNC(MOD(($B292*1103515245 +12345)/ 65536, 32768),0)/32768),0))</f>
        <v>Warlock</v>
      </c>
      <c r="F292" s="76">
        <v>8</v>
      </c>
      <c r="G292" s="153">
        <f ca="1">VLOOKUP($AB$2,'RF Mod'!$A$2:$G$12,2,FALSE)+VLOOKUP($AD$2,'RF Mod'!$I$2:$O$11,2,FALSE)+(TRUNC(6+(24-6)*(TRUNC(MOD(($Z292*1103515245 +12345)/ 65536, 32768),0)/32768),0))</f>
        <v>10</v>
      </c>
      <c r="H292" s="16" t="e">
        <f t="shared" ca="1" si="17"/>
        <v>#NAME?</v>
      </c>
      <c r="I292" s="153">
        <f ca="1">VLOOKUP($AB$2,'RF Mod'!$A$2:$G$12,3,FALSE)+VLOOKUP($AD$2,'RF Mod'!$I$2:$O$11,3,FALSE)+(TRUNC(6+(24-6)*(TRUNC(MOD(($Z292*1103515245 +12345)/ 65536, 32768),0)/32768),0))</f>
        <v>14</v>
      </c>
      <c r="J292" s="16" t="e">
        <f t="shared" ca="1" si="18"/>
        <v>#NAME?</v>
      </c>
      <c r="K292" s="153">
        <f ca="1">VLOOKUP($AB$2,'RF Mod'!$A$2:$G$12,3,FALSE)+VLOOKUP($AD$2,'RF Mod'!$I$2:$O$11,3,FALSE)+(TRUNC(6+(24-6)*(TRUNC(MOD(($Z292*1103515245 +12345)/ 65536, 32768),0)/32768),0))</f>
        <v>14</v>
      </c>
      <c r="L292" s="16" t="e">
        <f t="shared" ca="1" si="19"/>
        <v>#NAME?</v>
      </c>
      <c r="M292" s="153">
        <f ca="1">VLOOKUP($AB$2,'RF Mod'!$A$2:$G$12,4,FALSE)+VLOOKUP($AD$2,'RF Mod'!$I$2:$O$11,4,FALSE)+(TRUNC(6+(24-6)*(TRUNC(MOD(($Z292*1103515245 +12345)/ 65536, 32768),0)/32768),0))</f>
        <v>13</v>
      </c>
      <c r="N292" s="16" t="e">
        <f t="shared" ca="1" si="20"/>
        <v>#NAME?</v>
      </c>
      <c r="O292" s="153">
        <f ca="1">VLOOKUP($AB$2,'RF Mod'!$A$2:$G$12,5,FALSE)+VLOOKUP($AD$2,'RF Mod'!$I$2:$O$11,5,FALSE)+(TRUNC(6+(24-6)*(TRUNC(MOD(($Z292*1103515245 +12345)/ 65536, 32768),0)/32768),0))</f>
        <v>16</v>
      </c>
      <c r="P292" s="16" t="e">
        <f t="shared" ca="1" si="21"/>
        <v>#NAME?</v>
      </c>
      <c r="Q292" s="153">
        <f ca="1">VLOOKUP($AB$2,'RF Mod'!$A$2:$G$12,6,FALSE)+VLOOKUP($AD$2,'RF Mod'!$I$2:$O$11,6,FALSE)+(TRUNC(6+(24-6)*(TRUNC(MOD(($Z292*1103515245 +12345)/ 65536, 32768),0)/32768),0))</f>
        <v>14</v>
      </c>
      <c r="R292" s="16" t="e">
        <f t="shared" ca="1" si="22"/>
        <v>#NAME?</v>
      </c>
      <c r="S292" s="154">
        <f t="shared" ca="1" si="28"/>
        <v>208</v>
      </c>
      <c r="T292" s="154">
        <f t="shared" ca="1" si="23"/>
        <v>146</v>
      </c>
      <c r="U292" s="16" t="str">
        <f t="shared" ca="1" si="24"/>
        <v>Bloody</v>
      </c>
      <c r="V292" s="155">
        <f ca="1">IFERROR(__xludf.DUMMYFUNCTION("if(W292=""Middle Age"",QUERY(NPCVar!$K$2:$N1000, ""Select L where K = '""&amp;AB292&amp;""'""),if(W292=""Old"",QUERY(NPCVar!$K$2:$N1000, ""Select M where K = '""&amp;AB292&amp;""'""),if(W292=""Venerable"",QUERY(NPCVar!$K$2:$N1000, ""Select N where K = '""&amp;AB292&amp;""'""),fa"&amp;"lse)))*X292"),144)</f>
        <v>144</v>
      </c>
      <c r="W292" s="156" t="str">
        <f t="array" ref="W292">INDEX(NPCAgeType,TRUNC(1+(4-1)*(TRUNC(MOD((X292*1103515245 +12345)/ 65536, 32768),0)/32768),0))</f>
        <v>Venerable</v>
      </c>
      <c r="X292" s="117">
        <f t="shared" si="29"/>
        <v>1.6</v>
      </c>
      <c r="Y292" s="157" t="e">
        <f t="array" aca="1" ref="Y292" ca="1">LOOKUP(ABS(MAX(Z292 + MIN(ABS(INDIRECT("Class Jobs!B"&amp;MATCH(E292,'Class Jobs'!$A$1:$A1000,0)&amp;":"&amp;"AF"&amp;MATCH(E292,'Class Jobs'!$A$1:$A1000,0)&amp;"")-$Z292)) * SUM(IF(MIN(ABS(INDIRECT("Class Jobs!B"&amp;MATCH(E292,'Class Jobs'!$A$1:$A1000,0)&amp;":"&amp;"AF"&amp;MATCH(E292,'Class Jobs'!$A$1:$A1000,0)&amp;"")-$Z292))=ABS(INDIRECT("Class Jobs!B"&amp;MATCH(E292,'Class Jobs'!$A$1:$A1000,0)&amp;":"&amp;"AF"&amp;MATCH(E292,'Class Jobs'!$A$1:$A1000,0)&amp;"")-$Z292),SIGN(INDIRECT("Class Jobs!B"&amp;MATCH(E292,'Class Jobs'!$A$1:A1000,0)&amp;":"&amp;"AF"&amp;MATCH(E292,'Class Jobs'!$A$1:$A1000,0)&amp;"")-$Z292),0)),0)),INDIRECT("Class Jobs!B"&amp;MATCH(E292,'Class Jobs'!$A$1:$A1000,0)&amp;":"&amp;"AF"&amp;MATCH(E292,'Class Jobs'!$A$1:$A1000,1)&amp;""),'Class Jobs'!$B$1:$AF$1)</f>
        <v>#REF!</v>
      </c>
      <c r="Z292" s="158">
        <f t="shared" si="25"/>
        <v>0.66</v>
      </c>
      <c r="AA292" s="16" t="str">
        <f t="array" ref="AA292">INDEX(NPCGender,TRUNC(1+(COUNTA(NPCGender))*(TRUNC(MOD(($B292*1103515245 +12345)/ 65536, 32768),0)/32768),0))</f>
        <v>Female</v>
      </c>
      <c r="AB292" s="16" t="str">
        <f t="array" ref="AB292">INDEX(NPCRace,TRUNC(1+(COUNTA(NPCRace))*(TRUNC(MOD(($B292*1103515245 +12345)/ 65536, 32768),0)/32768),0))</f>
        <v>Human</v>
      </c>
      <c r="AC292" s="16" t="str">
        <f t="array" ref="AC292">INDEX(NPCAL,TRUNC(1+(COUNTA(NPCAL))*(TRUNC(MOD(($B292*1103515245 +12345)/ 65536, 32768),0)/32768),0))</f>
        <v>NE</v>
      </c>
      <c r="AD292" s="72" t="str">
        <f ca="1">IFERROR(__xludf.DUMMYFUNCTION("if(V292&lt;15,QUERY(NPCVar!C:D,""Select D WHERE C = '""&amp;D292&amp;""'""),if((TRUNC(1+10)*(TRUNC(MOD((ROW(H292)*1103515245 +12345)/ 65536, 32768),0)/32768)/10) &gt; 0.85,INDEX(NPCFaction,TRUNC(1+(counta(NPCFaction)-1)*(TRUNC(MOD(($B292*1103515245 +12345)/ 65536, 3276"&amp;"8),0)/32768),0)),QUERY(NPCVar!C:D,""Select D WHERE C = '""&amp;D292&amp;""'"")))"),"Traverlers Guild")</f>
        <v>Traverlers Guild</v>
      </c>
      <c r="AE292" s="108" t="e">
        <f t="shared" ca="1" si="26"/>
        <v>#NAME?</v>
      </c>
      <c r="AF292" s="159">
        <f ca="1">IFERROR(__xludf.DUMMYFUNCTION("AE292*(V292 / QUERY(NPCVar!$K$2:$N$12, ""Select N WHERE K='""&amp;AB292&amp;""'""))*TRUNC(1+10)*(TRUNC(MOD(($B292*1103515245 +12345)/ 65536, 32768),0)/32768)"),6.98027343749999)</f>
        <v>6.9802734374999904</v>
      </c>
      <c r="AG292" s="16"/>
      <c r="AH292" s="77"/>
      <c r="AI292" s="114"/>
    </row>
    <row r="293" spans="1:35" ht="16.2">
      <c r="A293" s="53">
        <v>292</v>
      </c>
      <c r="B293" s="118">
        <f t="shared" si="27"/>
        <v>0.28054000000000001</v>
      </c>
      <c r="C293" s="72" t="str">
        <f t="array" ref="C293">INDEX(NPCFName,TRUNC(1+(COUNTA(NPCFName))*(TRUNC(MOD(($B293*1103515245 +12345)/ 65536, 32768),0)/32768),0))</f>
        <v>Ipedorn</v>
      </c>
      <c r="D293" s="16" t="str">
        <f t="array" ref="D293">INDEX(NPCLName,TRUNC(1+(COUNTA(NPCLName))*(TRUNC(MOD(($B293*1103515245 +12345)/ 65536, 32768),0)/32768),0))</f>
        <v>Fistwing</v>
      </c>
      <c r="E293" s="16" t="str">
        <f t="array" ref="E293">INDEX(NPCClass,TRUNC(1+(COUNTA(NPCClass))*(TRUNC(MOD(($B293*1103515245 +12345)/ 65536, 32768),0)/32768),0))</f>
        <v>Bard</v>
      </c>
      <c r="F293" s="76">
        <v>1</v>
      </c>
      <c r="G293" s="153">
        <f ca="1">VLOOKUP($AB$2,'RF Mod'!$A$2:$G$12,2,FALSE)+VLOOKUP($AD$2,'RF Mod'!$I$2:$O$11,2,FALSE)+(TRUNC(6+(24-6)*(TRUNC(MOD(($Z293*1103515245 +12345)/ 65536, 32768),0)/32768),0))</f>
        <v>5</v>
      </c>
      <c r="H293" s="16">
        <f t="shared" ca="1" si="17"/>
        <v>-3</v>
      </c>
      <c r="I293" s="153">
        <f ca="1">VLOOKUP($AB$2,'RF Mod'!$A$2:$G$12,3,FALSE)+VLOOKUP($AD$2,'RF Mod'!$I$2:$O$11,3,FALSE)+(TRUNC(6+(24-6)*(TRUNC(MOD(($Z293*1103515245 +12345)/ 65536, 32768),0)/32768),0))</f>
        <v>9</v>
      </c>
      <c r="J293" s="16">
        <f t="shared" ca="1" si="18"/>
        <v>-1</v>
      </c>
      <c r="K293" s="153">
        <f ca="1">VLOOKUP($AB$2,'RF Mod'!$A$2:$G$12,3,FALSE)+VLOOKUP($AD$2,'RF Mod'!$I$2:$O$11,3,FALSE)+(TRUNC(6+(24-6)*(TRUNC(MOD(($Z293*1103515245 +12345)/ 65536, 32768),0)/32768),0))</f>
        <v>9</v>
      </c>
      <c r="L293" s="16">
        <f t="shared" ca="1" si="19"/>
        <v>-1</v>
      </c>
      <c r="M293" s="153">
        <f ca="1">VLOOKUP($AB$2,'RF Mod'!$A$2:$G$12,4,FALSE)+VLOOKUP($AD$2,'RF Mod'!$I$2:$O$11,4,FALSE)+(TRUNC(6+(24-6)*(TRUNC(MOD(($Z293*1103515245 +12345)/ 65536, 32768),0)/32768),0))</f>
        <v>8</v>
      </c>
      <c r="N293" s="16">
        <f t="shared" ca="1" si="20"/>
        <v>-1</v>
      </c>
      <c r="O293" s="153">
        <f ca="1">VLOOKUP($AB$2,'RF Mod'!$A$2:$G$12,5,FALSE)+VLOOKUP($AD$2,'RF Mod'!$I$2:$O$11,5,FALSE)+(TRUNC(6+(24-6)*(TRUNC(MOD(($Z293*1103515245 +12345)/ 65536, 32768),0)/32768),0))</f>
        <v>11</v>
      </c>
      <c r="P293" s="16" t="e">
        <f t="shared" ca="1" si="21"/>
        <v>#NAME?</v>
      </c>
      <c r="Q293" s="153">
        <f ca="1">VLOOKUP($AB$2,'RF Mod'!$A$2:$G$12,6,FALSE)+VLOOKUP($AD$2,'RF Mod'!$I$2:$O$11,6,FALSE)+(TRUNC(6+(24-6)*(TRUNC(MOD(($Z293*1103515245 +12345)/ 65536, 32768),0)/32768),0))</f>
        <v>9</v>
      </c>
      <c r="R293" s="16">
        <f t="shared" ca="1" si="22"/>
        <v>-1</v>
      </c>
      <c r="S293" s="154">
        <f t="shared" ca="1" si="28"/>
        <v>27</v>
      </c>
      <c r="T293" s="154">
        <f t="shared" ca="1" si="23"/>
        <v>29</v>
      </c>
      <c r="U293" s="16" t="str">
        <f t="shared" ca="1" si="24"/>
        <v>Dead</v>
      </c>
      <c r="V293" s="155">
        <f ca="1">IFERROR(__xludf.DUMMYFUNCTION("if(W293=""Middle Age"",QUERY(NPCVar!$K$2:$N1000, ""Select L where K = '""&amp;AB293&amp;""'""),if(W293=""Old"",QUERY(NPCVar!$K$2:$N1000, ""Select M where K = '""&amp;AB293&amp;""'""),if(W293=""Venerable"",QUERY(NPCVar!$K$2:$N1000, ""Select N where K = '""&amp;AB293&amp;""'""),fa"&amp;"lse)))*X293"),32)</f>
        <v>32</v>
      </c>
      <c r="W293" s="156" t="str">
        <f t="array" ref="W293">INDEX(NPCAgeType,TRUNC(1+(4-1)*(TRUNC(MOD((X293*1103515245 +12345)/ 65536, 32768),0)/32768),0))</f>
        <v>Middle Age</v>
      </c>
      <c r="X293" s="117">
        <f t="shared" si="29"/>
        <v>0.4</v>
      </c>
      <c r="Y293" s="157" t="e">
        <f t="array" aca="1" ref="Y293" ca="1">LOOKUP(ABS(MAX(Z293 + MIN(ABS(INDIRECT("Class Jobs!B"&amp;MATCH(E293,'Class Jobs'!$A$1:$A1000,0)&amp;":"&amp;"AF"&amp;MATCH(E293,'Class Jobs'!$A$1:$A1000,0)&amp;"")-$Z293)) * SUM(IF(MIN(ABS(INDIRECT("Class Jobs!B"&amp;MATCH(E293,'Class Jobs'!$A$1:$A1000,0)&amp;":"&amp;"AF"&amp;MATCH(E293,'Class Jobs'!$A$1:$A1000,0)&amp;"")-$Z293))=ABS(INDIRECT("Class Jobs!B"&amp;MATCH(E293,'Class Jobs'!$A$1:$A1000,0)&amp;":"&amp;"AF"&amp;MATCH(E293,'Class Jobs'!$A$1:$A1000,0)&amp;"")-$Z293),SIGN(INDIRECT("Class Jobs!B"&amp;MATCH(E293,'Class Jobs'!$A$1:A1000,0)&amp;":"&amp;"AF"&amp;MATCH(E293,'Class Jobs'!$A$1:$A1000,0)&amp;"")-$Z293),0)),0)),INDIRECT("Class Jobs!B"&amp;MATCH(E293,'Class Jobs'!$A$1:$A1000,0)&amp;":"&amp;"AF"&amp;MATCH(E293,'Class Jobs'!$A$1:$A1000,1)&amp;""),'Class Jobs'!$B$1:$AF$1)</f>
        <v>#REF!</v>
      </c>
      <c r="Z293" s="158">
        <f t="shared" si="25"/>
        <v>0.15</v>
      </c>
      <c r="AA293" s="16" t="str">
        <f t="array" ref="AA293">INDEX(NPCGender,TRUNC(1+(COUNTA(NPCGender))*(TRUNC(MOD(($B293*1103515245 +12345)/ 65536, 32768),0)/32768),0))</f>
        <v>Male</v>
      </c>
      <c r="AB293" s="16" t="str">
        <f t="array" ref="AB293">INDEX(NPCRace,TRUNC(1+(COUNTA(NPCRace))*(TRUNC(MOD(($B293*1103515245 +12345)/ 65536, 32768),0)/32768),0))</f>
        <v>Dwarf</v>
      </c>
      <c r="AC293" s="16" t="str">
        <f t="array" ref="AC293">INDEX(NPCAL,TRUNC(1+(COUNTA(NPCAL))*(TRUNC(MOD(($B293*1103515245 +12345)/ 65536, 32768),0)/32768),0))</f>
        <v>CE</v>
      </c>
      <c r="AD293" s="72" t="str">
        <f ca="1">IFERROR(__xludf.DUMMYFUNCTION("if(V293&lt;15,QUERY(NPCVar!C:D,""Select D WHERE C = '""&amp;D293&amp;""'""),if((TRUNC(1+10)*(TRUNC(MOD((ROW(H293)*1103515245 +12345)/ 65536, 32768),0)/32768)/10) &gt; 0.85,INDEX(NPCFaction,TRUNC(1+(counta(NPCFaction)-1)*(TRUNC(MOD(($B293*1103515245 +12345)/ 65536, 3276"&amp;"8),0)/32768),0)),QUERY(NPCVar!C:D,""Select D WHERE C = '""&amp;D293&amp;""'"")))"),"Royalty")</f>
        <v>Royalty</v>
      </c>
      <c r="AE293" s="108" t="e">
        <f t="shared" ca="1" si="26"/>
        <v>#NAME?</v>
      </c>
      <c r="AF293" s="159">
        <f ca="1">IFERROR(__xludf.DUMMYFUNCTION("AE293*(V293 / QUERY(NPCVar!$K$2:$N$12, ""Select N WHERE K='""&amp;AB293&amp;""'""))*TRUNC(1+10)*(TRUNC(MOD(($B293*1103515245 +12345)/ 65536, 32768),0)/32768)"),-0.03171630859375)</f>
        <v>-3.1716308593749999E-2</v>
      </c>
      <c r="AG293" s="16"/>
      <c r="AH293" s="77"/>
      <c r="AI293" s="114"/>
    </row>
    <row r="294" spans="1:35" ht="16.2">
      <c r="A294" s="53">
        <v>293</v>
      </c>
      <c r="B294" s="118">
        <f t="shared" si="27"/>
        <v>1.7746</v>
      </c>
      <c r="C294" s="72" t="str">
        <f t="array" ref="C294">INDEX(NPCFName,TRUNC(1+(COUNTA(NPCFName))*(TRUNC(MOD(($B294*1103515245 +12345)/ 65536, 32768),0)/32768),0))</f>
        <v>Riss</v>
      </c>
      <c r="D294" s="16" t="str">
        <f t="array" ref="D294">INDEX(NPCLName,TRUNC(1+(COUNTA(NPCLName))*(TRUNC(MOD(($B294*1103515245 +12345)/ 65536, 32768),0)/32768),0))</f>
        <v>Stormwolf</v>
      </c>
      <c r="E294" s="16" t="str">
        <f t="array" ref="E294">INDEX(NPCClass,TRUNC(1+(COUNTA(NPCClass))*(TRUNC(MOD(($B294*1103515245 +12345)/ 65536, 32768),0)/32768),0))</f>
        <v>Fighter</v>
      </c>
      <c r="F294" s="76">
        <v>8</v>
      </c>
      <c r="G294" s="153">
        <f ca="1">VLOOKUP($AB$2,'RF Mod'!$A$2:$G$12,2,FALSE)+VLOOKUP($AD$2,'RF Mod'!$I$2:$O$11,2,FALSE)+(TRUNC(6+(24-6)*(TRUNC(MOD(($Z294*1103515245 +12345)/ 65536, 32768),0)/32768),0))</f>
        <v>12</v>
      </c>
      <c r="H294" s="16" t="e">
        <f t="shared" ca="1" si="17"/>
        <v>#NAME?</v>
      </c>
      <c r="I294" s="153">
        <f ca="1">VLOOKUP($AB$2,'RF Mod'!$A$2:$G$12,3,FALSE)+VLOOKUP($AD$2,'RF Mod'!$I$2:$O$11,3,FALSE)+(TRUNC(6+(24-6)*(TRUNC(MOD(($Z294*1103515245 +12345)/ 65536, 32768),0)/32768),0))</f>
        <v>16</v>
      </c>
      <c r="J294" s="16" t="e">
        <f t="shared" ca="1" si="18"/>
        <v>#NAME?</v>
      </c>
      <c r="K294" s="153">
        <f ca="1">VLOOKUP($AB$2,'RF Mod'!$A$2:$G$12,3,FALSE)+VLOOKUP($AD$2,'RF Mod'!$I$2:$O$11,3,FALSE)+(TRUNC(6+(24-6)*(TRUNC(MOD(($Z294*1103515245 +12345)/ 65536, 32768),0)/32768),0))</f>
        <v>16</v>
      </c>
      <c r="L294" s="16" t="e">
        <f t="shared" ca="1" si="19"/>
        <v>#NAME?</v>
      </c>
      <c r="M294" s="153">
        <f ca="1">VLOOKUP($AB$2,'RF Mod'!$A$2:$G$12,4,FALSE)+VLOOKUP($AD$2,'RF Mod'!$I$2:$O$11,4,FALSE)+(TRUNC(6+(24-6)*(TRUNC(MOD(($Z294*1103515245 +12345)/ 65536, 32768),0)/32768),0))</f>
        <v>15</v>
      </c>
      <c r="N294" s="16" t="e">
        <f t="shared" ca="1" si="20"/>
        <v>#NAME?</v>
      </c>
      <c r="O294" s="153">
        <f ca="1">VLOOKUP($AB$2,'RF Mod'!$A$2:$G$12,5,FALSE)+VLOOKUP($AD$2,'RF Mod'!$I$2:$O$11,5,FALSE)+(TRUNC(6+(24-6)*(TRUNC(MOD(($Z294*1103515245 +12345)/ 65536, 32768),0)/32768),0))</f>
        <v>18</v>
      </c>
      <c r="P294" s="16" t="e">
        <f t="shared" ca="1" si="21"/>
        <v>#NAME?</v>
      </c>
      <c r="Q294" s="153">
        <f ca="1">VLOOKUP($AB$2,'RF Mod'!$A$2:$G$12,6,FALSE)+VLOOKUP($AD$2,'RF Mod'!$I$2:$O$11,6,FALSE)+(TRUNC(6+(24-6)*(TRUNC(MOD(($Z294*1103515245 +12345)/ 65536, 32768),0)/32768),0))</f>
        <v>16</v>
      </c>
      <c r="R294" s="16" t="e">
        <f t="shared" ca="1" si="22"/>
        <v>#NAME?</v>
      </c>
      <c r="S294" s="154">
        <f t="shared" ca="1" si="28"/>
        <v>272</v>
      </c>
      <c r="T294" s="154">
        <f t="shared" ca="1" si="23"/>
        <v>63</v>
      </c>
      <c r="U294" s="16" t="str">
        <f t="shared" ca="1" si="24"/>
        <v>Fine</v>
      </c>
      <c r="V294" s="155">
        <f ca="1">IFERROR(__xludf.DUMMYFUNCTION("if(W294=""Middle Age"",QUERY(NPCVar!$K$2:$N1000, ""Select L where K = '""&amp;AB294&amp;""'""),if(W294=""Old"",QUERY(NPCVar!$K$2:$N1000, ""Select M where K = '""&amp;AB294&amp;""'""),if(W294=""Venerable"",QUERY(NPCVar!$K$2:$N1000, ""Select N where K = '""&amp;AB294&amp;""'""),fa"&amp;"lse)))*X294"),66)</f>
        <v>66</v>
      </c>
      <c r="W294" s="156" t="str">
        <f t="array" ref="W294">INDEX(NPCAgeType,TRUNC(1+(4-1)*(TRUNC(MOD((X294*1103515245 +12345)/ 65536, 32768),0)/32768),0))</f>
        <v>Middle Age</v>
      </c>
      <c r="X294" s="117">
        <f t="shared" si="29"/>
        <v>2.2000000000000002</v>
      </c>
      <c r="Y294" s="157" t="e">
        <f t="array" aca="1" ref="Y294" ca="1">LOOKUP(ABS(MAX(Z294 + MIN(ABS(INDIRECT("Class Jobs!B"&amp;MATCH(E294,'Class Jobs'!$A$1:$A1000,0)&amp;":"&amp;"AF"&amp;MATCH(E294,'Class Jobs'!$A$1:$A1000,0)&amp;"")-$Z294)) * SUM(IF(MIN(ABS(INDIRECT("Class Jobs!B"&amp;MATCH(E294,'Class Jobs'!$A$1:$A1000,0)&amp;":"&amp;"AF"&amp;MATCH(E294,'Class Jobs'!$A$1:$A1000,0)&amp;"")-$Z294))=ABS(INDIRECT("Class Jobs!B"&amp;MATCH(E294,'Class Jobs'!$A$1:$A1000,0)&amp;":"&amp;"AF"&amp;MATCH(E294,'Class Jobs'!$A$1:$A1000,0)&amp;"")-$Z294),SIGN(INDIRECT("Class Jobs!B"&amp;MATCH(E294,'Class Jobs'!$A$1:A1000,0)&amp;":"&amp;"AF"&amp;MATCH(E294,'Class Jobs'!$A$1:$A1000,0)&amp;"")-$Z294),0)),0)),INDIRECT("Class Jobs!B"&amp;MATCH(E294,'Class Jobs'!$A$1:$A1000,0)&amp;":"&amp;"AF"&amp;MATCH(E294,'Class Jobs'!$A$1:$A1000,1)&amp;""),'Class Jobs'!$B$1:$AF$1)</f>
        <v>#REF!</v>
      </c>
      <c r="Z294" s="158">
        <f t="shared" si="25"/>
        <v>0.91</v>
      </c>
      <c r="AA294" s="16" t="str">
        <f t="array" ref="AA294">INDEX(NPCGender,TRUNC(1+(COUNTA(NPCGender))*(TRUNC(MOD(($B294*1103515245 +12345)/ 65536, 32768),0)/32768),0))</f>
        <v>Neutral</v>
      </c>
      <c r="AB294" s="16" t="str">
        <f t="array" ref="AB294">INDEX(NPCRace,TRUNC(1+(COUNTA(NPCRace))*(TRUNC(MOD(($B294*1103515245 +12345)/ 65536, 32768),0)/32768),0))</f>
        <v>Goliath</v>
      </c>
      <c r="AC294" s="16" t="str">
        <f t="array" ref="AC294">INDEX(NPCAL,TRUNC(1+(COUNTA(NPCAL))*(TRUNC(MOD(($B294*1103515245 +12345)/ 65536, 32768),0)/32768),0))</f>
        <v>LE</v>
      </c>
      <c r="AD294" s="72" t="str">
        <f ca="1">IFERROR(__xludf.DUMMYFUNCTION("if(V294&lt;15,QUERY(NPCVar!C:D,""Select D WHERE C = '""&amp;D294&amp;""'""),if((TRUNC(1+10)*(TRUNC(MOD((ROW(H294)*1103515245 +12345)/ 65536, 32768),0)/32768)/10) &gt; 0.85,INDEX(NPCFaction,TRUNC(1+(counta(NPCFaction)-1)*(TRUNC(MOD(($B294*1103515245 +12345)/ 65536, 3276"&amp;"8),0)/32768),0)),QUERY(NPCVar!C:D,""Select D WHERE C = '""&amp;D294&amp;""'"")))"),"Followers of Isis")</f>
        <v>Followers of Isis</v>
      </c>
      <c r="AE294" s="108" t="e">
        <f t="shared" ca="1" si="26"/>
        <v>#NAME?</v>
      </c>
      <c r="AF294" s="159">
        <f ca="1">IFERROR(__xludf.DUMMYFUNCTION("AE294*(V294 / QUERY(NPCVar!$K$2:$N$12, ""Select N WHERE K='""&amp;AB294&amp;""'""))*TRUNC(1+10)*(TRUNC(MOD(($B294*1103515245 +12345)/ 65536, 32768),0)/32768)"),3.86187850952148)</f>
        <v>3.86187850952148</v>
      </c>
      <c r="AG294" s="16"/>
      <c r="AH294" s="77"/>
      <c r="AI294" s="114"/>
    </row>
    <row r="295" spans="1:35" ht="16.2">
      <c r="A295" s="53">
        <v>294</v>
      </c>
      <c r="B295" s="118">
        <f t="shared" si="27"/>
        <v>0.76873999999999998</v>
      </c>
      <c r="C295" s="72" t="str">
        <f t="array" ref="C295">INDEX(NPCFName,TRUNC(1+(COUNTA(NPCFName))*(TRUNC(MOD(($B295*1103515245 +12345)/ 65536, 32768),0)/32768),0))</f>
        <v>Cyton</v>
      </c>
      <c r="D295" s="16" t="str">
        <f t="array" ref="D295">INDEX(NPCLName,TRUNC(1+(COUNTA(NPCLName))*(TRUNC(MOD(($B295*1103515245 +12345)/ 65536, 32768),0)/32768),0))</f>
        <v>Fistroot</v>
      </c>
      <c r="E295" s="16" t="str">
        <f t="array" ref="E295">INDEX(NPCClass,TRUNC(1+(COUNTA(NPCClass))*(TRUNC(MOD(($B295*1103515245 +12345)/ 65536, 32768),0)/32768),0))</f>
        <v>Paladin</v>
      </c>
      <c r="F295" s="76">
        <v>6</v>
      </c>
      <c r="G295" s="153">
        <f ca="1">VLOOKUP($AB$2,'RF Mod'!$A$2:$G$12,2,FALSE)+VLOOKUP($AD$2,'RF Mod'!$I$2:$O$11,2,FALSE)+(TRUNC(6+(24-6)*(TRUNC(MOD(($Z295*1103515245 +12345)/ 65536, 32768),0)/32768),0))</f>
        <v>7</v>
      </c>
      <c r="H295" s="16">
        <f t="shared" ca="1" si="17"/>
        <v>-2</v>
      </c>
      <c r="I295" s="153">
        <f ca="1">VLOOKUP($AB$2,'RF Mod'!$A$2:$G$12,3,FALSE)+VLOOKUP($AD$2,'RF Mod'!$I$2:$O$11,3,FALSE)+(TRUNC(6+(24-6)*(TRUNC(MOD(($Z295*1103515245 +12345)/ 65536, 32768),0)/32768),0))</f>
        <v>11</v>
      </c>
      <c r="J295" s="16" t="e">
        <f t="shared" ca="1" si="18"/>
        <v>#NAME?</v>
      </c>
      <c r="K295" s="153">
        <f ca="1">VLOOKUP($AB$2,'RF Mod'!$A$2:$G$12,3,FALSE)+VLOOKUP($AD$2,'RF Mod'!$I$2:$O$11,3,FALSE)+(TRUNC(6+(24-6)*(TRUNC(MOD(($Z295*1103515245 +12345)/ 65536, 32768),0)/32768),0))</f>
        <v>11</v>
      </c>
      <c r="L295" s="16" t="e">
        <f t="shared" ca="1" si="19"/>
        <v>#NAME?</v>
      </c>
      <c r="M295" s="153">
        <f ca="1">VLOOKUP($AB$2,'RF Mod'!$A$2:$G$12,4,FALSE)+VLOOKUP($AD$2,'RF Mod'!$I$2:$O$11,4,FALSE)+(TRUNC(6+(24-6)*(TRUNC(MOD(($Z295*1103515245 +12345)/ 65536, 32768),0)/32768),0))</f>
        <v>10</v>
      </c>
      <c r="N295" s="16" t="e">
        <f t="shared" ca="1" si="20"/>
        <v>#NAME?</v>
      </c>
      <c r="O295" s="153">
        <f ca="1">VLOOKUP($AB$2,'RF Mod'!$A$2:$G$12,5,FALSE)+VLOOKUP($AD$2,'RF Mod'!$I$2:$O$11,5,FALSE)+(TRUNC(6+(24-6)*(TRUNC(MOD(($Z295*1103515245 +12345)/ 65536, 32768),0)/32768),0))</f>
        <v>13</v>
      </c>
      <c r="P295" s="16" t="e">
        <f t="shared" ca="1" si="21"/>
        <v>#NAME?</v>
      </c>
      <c r="Q295" s="153">
        <f ca="1">VLOOKUP($AB$2,'RF Mod'!$A$2:$G$12,6,FALSE)+VLOOKUP($AD$2,'RF Mod'!$I$2:$O$11,6,FALSE)+(TRUNC(6+(24-6)*(TRUNC(MOD(($Z295*1103515245 +12345)/ 65536, 32768),0)/32768),0))</f>
        <v>11</v>
      </c>
      <c r="R295" s="16" t="e">
        <f t="shared" ca="1" si="22"/>
        <v>#NAME?</v>
      </c>
      <c r="S295" s="154">
        <f t="shared" ca="1" si="28"/>
        <v>78</v>
      </c>
      <c r="T295" s="154">
        <f t="shared" ca="1" si="23"/>
        <v>45</v>
      </c>
      <c r="U295" s="16" t="str">
        <f t="shared" ca="1" si="24"/>
        <v>Bloody</v>
      </c>
      <c r="V295" s="155">
        <f ca="1">IFERROR(__xludf.DUMMYFUNCTION("if(W295=""Middle Age"",QUERY(NPCVar!$K$2:$N1000, ""Select L where K = '""&amp;AB295&amp;""'""),if(W295=""Old"",QUERY(NPCVar!$K$2:$N1000, ""Select M where K = '""&amp;AB295&amp;""'""),if(W295=""Venerable"",QUERY(NPCVar!$K$2:$N1000, ""Select N where K = '""&amp;AB295&amp;""'""),fa"&amp;"lse)))*X295"),67.5)</f>
        <v>67.5</v>
      </c>
      <c r="W295" s="156" t="str">
        <f t="array" ref="W295">INDEX(NPCAgeType,TRUNC(1+(4-1)*(TRUNC(MOD((X295*1103515245 +12345)/ 65536, 32768),0)/32768),0))</f>
        <v>Old</v>
      </c>
      <c r="X295" s="117">
        <f t="shared" si="29"/>
        <v>1</v>
      </c>
      <c r="Y295" s="157" t="e">
        <f t="array" aca="1" ref="Y295" ca="1">LOOKUP(ABS(MAX(Z295 + MIN(ABS(INDIRECT("Class Jobs!B"&amp;MATCH(E295,'Class Jobs'!$A$1:$A1000,0)&amp;":"&amp;"AF"&amp;MATCH(E295,'Class Jobs'!$A$1:$A1000,0)&amp;"")-$Z295)) * SUM(IF(MIN(ABS(INDIRECT("Class Jobs!B"&amp;MATCH(E295,'Class Jobs'!$A$1:$A1000,0)&amp;":"&amp;"AF"&amp;MATCH(E295,'Class Jobs'!$A$1:$A1000,0)&amp;"")-$Z295))=ABS(INDIRECT("Class Jobs!B"&amp;MATCH(E295,'Class Jobs'!$A$1:$A1000,0)&amp;":"&amp;"AF"&amp;MATCH(E295,'Class Jobs'!$A$1:$A1000,0)&amp;"")-$Z295),SIGN(INDIRECT("Class Jobs!B"&amp;MATCH(E295,'Class Jobs'!$A$1:A1000,0)&amp;":"&amp;"AF"&amp;MATCH(E295,'Class Jobs'!$A$1:$A1000,0)&amp;"")-$Z295),0)),0)),INDIRECT("Class Jobs!B"&amp;MATCH(E295,'Class Jobs'!$A$1:$A1000,0)&amp;":"&amp;"AF"&amp;MATCH(E295,'Class Jobs'!$A$1:$A1000,1)&amp;""),'Class Jobs'!$B$1:$AF$1)</f>
        <v>#REF!</v>
      </c>
      <c r="Z295" s="158">
        <f t="shared" si="25"/>
        <v>0.4</v>
      </c>
      <c r="AA295" s="16" t="str">
        <f t="array" ref="AA295">INDEX(NPCGender,TRUNC(1+(COUNTA(NPCGender))*(TRUNC(MOD(($B295*1103515245 +12345)/ 65536, 32768),0)/32768),0))</f>
        <v>Female</v>
      </c>
      <c r="AB295" s="16" t="str">
        <f t="array" ref="AB295">INDEX(NPCRace,TRUNC(1+(COUNTA(NPCRace))*(TRUNC(MOD(($B295*1103515245 +12345)/ 65536, 32768),0)/32768),0))</f>
        <v>Half-Elf</v>
      </c>
      <c r="AC295" s="16" t="str">
        <f t="array" ref="AC295">INDEX(NPCAL,TRUNC(1+(COUNTA(NPCAL))*(TRUNC(MOD(($B295*1103515245 +12345)/ 65536, 32768),0)/32768),0))</f>
        <v>NG</v>
      </c>
      <c r="AD295" s="72" t="str">
        <f ca="1">IFERROR(__xludf.DUMMYFUNCTION("if(V295&lt;15,QUERY(NPCVar!C:D,""Select D WHERE C = '""&amp;D295&amp;""'""),if((TRUNC(1+10)*(TRUNC(MOD((ROW(H295)*1103515245 +12345)/ 65536, 32768),0)/32768)/10) &gt; 0.85,INDEX(NPCFaction,TRUNC(1+(counta(NPCFaction)-1)*(TRUNC(MOD(($B295*1103515245 +12345)/ 65536, 3276"&amp;"8),0)/32768),0)),QUERY(NPCVar!C:D,""Select D WHERE C = '""&amp;D295&amp;""'"")))"),"Magic Guild")</f>
        <v>Magic Guild</v>
      </c>
      <c r="AE295" s="108" t="e">
        <f t="shared" ca="1" si="26"/>
        <v>#NAME?</v>
      </c>
      <c r="AF295" s="159">
        <f ca="1">IFERROR(__xludf.DUMMYFUNCTION("AE295*(V295 / QUERY(NPCVar!$K$2:$N$12, ""Select N WHERE K='""&amp;AB295&amp;""'""))*TRUNC(1+10)*(TRUNC(MOD(($B295*1103515245 +12345)/ 65536, 32768),0)/32768)"),0)</f>
        <v>0</v>
      </c>
      <c r="AG295" s="16"/>
      <c r="AH295" s="77"/>
      <c r="AI295" s="114"/>
    </row>
    <row r="296" spans="1:35" ht="16.2">
      <c r="A296" s="53">
        <v>295</v>
      </c>
      <c r="B296" s="118">
        <f t="shared" si="27"/>
        <v>2.2628699999999999</v>
      </c>
      <c r="C296" s="72" t="str">
        <f t="array" ref="C296">INDEX(NPCFName,TRUNC(1+(COUNTA(NPCFName))*(TRUNC(MOD(($B296*1103515245 +12345)/ 65536, 32768),0)/32768),0))</f>
        <v>Kildarien</v>
      </c>
      <c r="D296" s="16" t="str">
        <f t="array" ref="D296">INDEX(NPCLName,TRUNC(1+(COUNTA(NPCLName))*(TRUNC(MOD(($B296*1103515245 +12345)/ 65536, 32768),0)/32768),0))</f>
        <v>Fistwing</v>
      </c>
      <c r="E296" s="16" t="str">
        <f t="array" ref="E296">INDEX(NPCClass,TRUNC(1+(COUNTA(NPCClass))*(TRUNC(MOD(($B296*1103515245 +12345)/ 65536, 32768),0)/32768),0))</f>
        <v>Bard</v>
      </c>
      <c r="F296" s="76">
        <v>1</v>
      </c>
      <c r="G296" s="153">
        <f ca="1">VLOOKUP($AB$2,'RF Mod'!$A$2:$G$12,2,FALSE)+VLOOKUP($AD$2,'RF Mod'!$I$2:$O$11,2,FALSE)+(TRUNC(6+(24-6)*(TRUNC(MOD(($Z296*1103515245 +12345)/ 65536, 32768),0)/32768),0))</f>
        <v>5</v>
      </c>
      <c r="H296" s="16">
        <f t="shared" ca="1" si="17"/>
        <v>-3</v>
      </c>
      <c r="I296" s="153">
        <f ca="1">VLOOKUP($AB$2,'RF Mod'!$A$2:$G$12,3,FALSE)+VLOOKUP($AD$2,'RF Mod'!$I$2:$O$11,3,FALSE)+(TRUNC(6+(24-6)*(TRUNC(MOD(($Z296*1103515245 +12345)/ 65536, 32768),0)/32768),0))</f>
        <v>9</v>
      </c>
      <c r="J296" s="16">
        <f t="shared" ca="1" si="18"/>
        <v>-1</v>
      </c>
      <c r="K296" s="153">
        <f ca="1">VLOOKUP($AB$2,'RF Mod'!$A$2:$G$12,3,FALSE)+VLOOKUP($AD$2,'RF Mod'!$I$2:$O$11,3,FALSE)+(TRUNC(6+(24-6)*(TRUNC(MOD(($Z296*1103515245 +12345)/ 65536, 32768),0)/32768),0))</f>
        <v>9</v>
      </c>
      <c r="L296" s="16">
        <f t="shared" ca="1" si="19"/>
        <v>-1</v>
      </c>
      <c r="M296" s="153">
        <f ca="1">VLOOKUP($AB$2,'RF Mod'!$A$2:$G$12,4,FALSE)+VLOOKUP($AD$2,'RF Mod'!$I$2:$O$11,4,FALSE)+(TRUNC(6+(24-6)*(TRUNC(MOD(($Z296*1103515245 +12345)/ 65536, 32768),0)/32768),0))</f>
        <v>8</v>
      </c>
      <c r="N296" s="16">
        <f t="shared" ca="1" si="20"/>
        <v>-1</v>
      </c>
      <c r="O296" s="153">
        <f ca="1">VLOOKUP($AB$2,'RF Mod'!$A$2:$G$12,5,FALSE)+VLOOKUP($AD$2,'RF Mod'!$I$2:$O$11,5,FALSE)+(TRUNC(6+(24-6)*(TRUNC(MOD(($Z296*1103515245 +12345)/ 65536, 32768),0)/32768),0))</f>
        <v>11</v>
      </c>
      <c r="P296" s="16" t="e">
        <f t="shared" ca="1" si="21"/>
        <v>#NAME?</v>
      </c>
      <c r="Q296" s="153">
        <f ca="1">VLOOKUP($AB$2,'RF Mod'!$A$2:$G$12,6,FALSE)+VLOOKUP($AD$2,'RF Mod'!$I$2:$O$11,6,FALSE)+(TRUNC(6+(24-6)*(TRUNC(MOD(($Z296*1103515245 +12345)/ 65536, 32768),0)/32768),0))</f>
        <v>9</v>
      </c>
      <c r="R296" s="16">
        <f t="shared" ca="1" si="22"/>
        <v>-1</v>
      </c>
      <c r="S296" s="154">
        <f t="shared" ca="1" si="28"/>
        <v>11</v>
      </c>
      <c r="T296" s="154">
        <f t="shared" ca="1" si="23"/>
        <v>2</v>
      </c>
      <c r="U296" s="16" t="str">
        <f t="shared" ca="1" si="24"/>
        <v>Fine</v>
      </c>
      <c r="V296" s="155">
        <f ca="1">IFERROR(__xludf.DUMMYFUNCTION("if(W296=""Middle Age"",QUERY(NPCVar!$K$2:$N1000, ""Select L where K = '""&amp;AB296&amp;""'""),if(W296=""Old"",QUERY(NPCVar!$K$2:$N1000, ""Select M where K = '""&amp;AB296&amp;""'""),if(W296=""Venerable"",QUERY(NPCVar!$K$2:$N1000, ""Select N where K = '""&amp;AB296&amp;""'""),fa"&amp;"lse)))*X296"),32)</f>
        <v>32</v>
      </c>
      <c r="W296" s="156" t="str">
        <f t="array" ref="W296">INDEX(NPCAgeType,TRUNC(1+(4-1)*(TRUNC(MOD((X296*1103515245 +12345)/ 65536, 32768),0)/32768),0))</f>
        <v>Middle Age</v>
      </c>
      <c r="X296" s="117">
        <f t="shared" si="29"/>
        <v>0.4</v>
      </c>
      <c r="Y296" s="157" t="e">
        <f t="array" aca="1" ref="Y296" ca="1">LOOKUP(ABS(MAX(Z296 + MIN(ABS(INDIRECT("Class Jobs!B"&amp;MATCH(E296,'Class Jobs'!$A$1:$A1000,0)&amp;":"&amp;"AF"&amp;MATCH(E296,'Class Jobs'!$A$1:$A1000,0)&amp;"")-$Z296)) * SUM(IF(MIN(ABS(INDIRECT("Class Jobs!B"&amp;MATCH(E296,'Class Jobs'!$A$1:$A1000,0)&amp;":"&amp;"AF"&amp;MATCH(E296,'Class Jobs'!$A$1:$A1000,0)&amp;"")-$Z296))=ABS(INDIRECT("Class Jobs!B"&amp;MATCH(E296,'Class Jobs'!$A$1:$A1000,0)&amp;":"&amp;"AF"&amp;MATCH(E296,'Class Jobs'!$A$1:$A1000,0)&amp;"")-$Z296),SIGN(INDIRECT("Class Jobs!B"&amp;MATCH(E296,'Class Jobs'!$A$1:A1000,0)&amp;":"&amp;"AF"&amp;MATCH(E296,'Class Jobs'!$A$1:$A1000,0)&amp;"")-$Z296),0)),0)),INDIRECT("Class Jobs!B"&amp;MATCH(E296,'Class Jobs'!$A$1:$A1000,0)&amp;":"&amp;"AF"&amp;MATCH(E296,'Class Jobs'!$A$1:$A1000,1)&amp;""),'Class Jobs'!$B$1:$AF$1)</f>
        <v>#REF!</v>
      </c>
      <c r="Z296" s="158">
        <f t="shared" si="25"/>
        <v>0.17</v>
      </c>
      <c r="AA296" s="16" t="str">
        <f t="array" ref="AA296">INDEX(NPCGender,TRUNC(1+(COUNTA(NPCGender))*(TRUNC(MOD(($B296*1103515245 +12345)/ 65536, 32768),0)/32768),0))</f>
        <v>Male</v>
      </c>
      <c r="AB296" s="16" t="str">
        <f t="array" ref="AB296">INDEX(NPCRace,TRUNC(1+(COUNTA(NPCRace))*(TRUNC(MOD(($B296*1103515245 +12345)/ 65536, 32768),0)/32768),0))</f>
        <v>Dwarf</v>
      </c>
      <c r="AC296" s="16" t="str">
        <f t="array" ref="AC296">INDEX(NPCAL,TRUNC(1+(COUNTA(NPCAL))*(TRUNC(MOD(($B296*1103515245 +12345)/ 65536, 32768),0)/32768),0))</f>
        <v>CE</v>
      </c>
      <c r="AD296" s="72" t="str">
        <f ca="1">IFERROR(__xludf.DUMMYFUNCTION("if(V296&lt;15,QUERY(NPCVar!C:D,""Select D WHERE C = '""&amp;D296&amp;""'""),if((TRUNC(1+10)*(TRUNC(MOD((ROW(H296)*1103515245 +12345)/ 65536, 32768),0)/32768)/10) &gt; 0.85,INDEX(NPCFaction,TRUNC(1+(counta(NPCFaction)-1)*(TRUNC(MOD(($B296*1103515245 +12345)/ 65536, 3276"&amp;"8),0)/32768),0)),QUERY(NPCVar!C:D,""Select D WHERE C = '""&amp;D296&amp;""'"")))"),"Royalty")</f>
        <v>Royalty</v>
      </c>
      <c r="AE296" s="108" t="e">
        <f t="shared" ca="1" si="26"/>
        <v>#NAME?</v>
      </c>
      <c r="AF296" s="159">
        <f ca="1">IFERROR(__xludf.DUMMYFUNCTION("AE296*(V296 / QUERY(NPCVar!$K$2:$N$12, ""Select N WHERE K='""&amp;AB296&amp;""'""))*TRUNC(1+10)*(TRUNC(MOD(($B296*1103515245 +12345)/ 65536, 32768),0)/32768)"),0.0537277221679687)</f>
        <v>5.37277221679687E-2</v>
      </c>
      <c r="AG296" s="16"/>
      <c r="AH296" s="77"/>
      <c r="AI296" s="114"/>
    </row>
    <row r="297" spans="1:35" ht="16.2">
      <c r="A297" s="53">
        <v>296</v>
      </c>
      <c r="B297" s="118">
        <f t="shared" si="27"/>
        <v>1.25702</v>
      </c>
      <c r="C297" s="72" t="str">
        <f t="array" ref="C297">INDEX(NPCFName,TRUNC(1+(COUNTA(NPCFName))*(TRUNC(MOD(($B297*1103515245 +12345)/ 65536, 32768),0)/32768),0))</f>
        <v>Willican</v>
      </c>
      <c r="D297" s="16" t="str">
        <f t="array" ref="D297">INDEX(NPCLName,TRUNC(1+(COUNTA(NPCLName))*(TRUNC(MOD(($B297*1103515245 +12345)/ 65536, 32768),0)/32768),0))</f>
        <v>Mourninglash</v>
      </c>
      <c r="E297" s="16" t="str">
        <f t="array" ref="E297">INDEX(NPCClass,TRUNC(1+(COUNTA(NPCClass))*(TRUNC(MOD(($B297*1103515245 +12345)/ 65536, 32768),0)/32768),0))</f>
        <v>Warlock</v>
      </c>
      <c r="F297" s="76">
        <v>8</v>
      </c>
      <c r="G297" s="153">
        <f ca="1">VLOOKUP($AB$2,'RF Mod'!$A$2:$G$12,2,FALSE)+VLOOKUP($AD$2,'RF Mod'!$I$2:$O$11,2,FALSE)+(TRUNC(6+(24-6)*(TRUNC(MOD(($Z297*1103515245 +12345)/ 65536, 32768),0)/32768),0))</f>
        <v>9</v>
      </c>
      <c r="H297" s="16">
        <f t="shared" ca="1" si="17"/>
        <v>-1</v>
      </c>
      <c r="I297" s="153">
        <f ca="1">VLOOKUP($AB$2,'RF Mod'!$A$2:$G$12,3,FALSE)+VLOOKUP($AD$2,'RF Mod'!$I$2:$O$11,3,FALSE)+(TRUNC(6+(24-6)*(TRUNC(MOD(($Z297*1103515245 +12345)/ 65536, 32768),0)/32768),0))</f>
        <v>13</v>
      </c>
      <c r="J297" s="16" t="e">
        <f t="shared" ca="1" si="18"/>
        <v>#NAME?</v>
      </c>
      <c r="K297" s="153">
        <f ca="1">VLOOKUP($AB$2,'RF Mod'!$A$2:$G$12,3,FALSE)+VLOOKUP($AD$2,'RF Mod'!$I$2:$O$11,3,FALSE)+(TRUNC(6+(24-6)*(TRUNC(MOD(($Z297*1103515245 +12345)/ 65536, 32768),0)/32768),0))</f>
        <v>13</v>
      </c>
      <c r="L297" s="16" t="e">
        <f t="shared" ca="1" si="19"/>
        <v>#NAME?</v>
      </c>
      <c r="M297" s="153">
        <f ca="1">VLOOKUP($AB$2,'RF Mod'!$A$2:$G$12,4,FALSE)+VLOOKUP($AD$2,'RF Mod'!$I$2:$O$11,4,FALSE)+(TRUNC(6+(24-6)*(TRUNC(MOD(($Z297*1103515245 +12345)/ 65536, 32768),0)/32768),0))</f>
        <v>12</v>
      </c>
      <c r="N297" s="16" t="e">
        <f t="shared" ca="1" si="20"/>
        <v>#NAME?</v>
      </c>
      <c r="O297" s="153">
        <f ca="1">VLOOKUP($AB$2,'RF Mod'!$A$2:$G$12,5,FALSE)+VLOOKUP($AD$2,'RF Mod'!$I$2:$O$11,5,FALSE)+(TRUNC(6+(24-6)*(TRUNC(MOD(($Z297*1103515245 +12345)/ 65536, 32768),0)/32768),0))</f>
        <v>15</v>
      </c>
      <c r="P297" s="16" t="e">
        <f t="shared" ca="1" si="21"/>
        <v>#NAME?</v>
      </c>
      <c r="Q297" s="153">
        <f ca="1">VLOOKUP($AB$2,'RF Mod'!$A$2:$G$12,6,FALSE)+VLOOKUP($AD$2,'RF Mod'!$I$2:$O$11,6,FALSE)+(TRUNC(6+(24-6)*(TRUNC(MOD(($Z297*1103515245 +12345)/ 65536, 32768),0)/32768),0))</f>
        <v>13</v>
      </c>
      <c r="R297" s="16" t="e">
        <f t="shared" ca="1" si="22"/>
        <v>#NAME?</v>
      </c>
      <c r="S297" s="154">
        <f t="shared" ca="1" si="28"/>
        <v>136</v>
      </c>
      <c r="T297" s="154">
        <f t="shared" ca="1" si="23"/>
        <v>162</v>
      </c>
      <c r="U297" s="16" t="str">
        <f t="shared" ca="1" si="24"/>
        <v>Dead</v>
      </c>
      <c r="V297" s="155">
        <f ca="1">IFERROR(__xludf.DUMMYFUNCTION("if(W297=""Middle Age"",QUERY(NPCVar!$K$2:$N1000, ""Select L where K = '""&amp;AB297&amp;""'""),if(W297=""Old"",QUERY(NPCVar!$K$2:$N1000, ""Select M where K = '""&amp;AB297&amp;""'""),if(W297=""Venerable"",QUERY(NPCVar!$K$2:$N1000, ""Select N where K = '""&amp;AB297&amp;""'""),fa"&amp;"lse)))*X297"),144)</f>
        <v>144</v>
      </c>
      <c r="W297" s="156" t="str">
        <f t="array" ref="W297">INDEX(NPCAgeType,TRUNC(1+(4-1)*(TRUNC(MOD((X297*1103515245 +12345)/ 65536, 32768),0)/32768),0))</f>
        <v>Venerable</v>
      </c>
      <c r="X297" s="117">
        <f t="shared" si="29"/>
        <v>1.6</v>
      </c>
      <c r="Y297" s="157" t="e">
        <f t="array" aca="1" ref="Y297" ca="1">LOOKUP(ABS(MAX(Z297 + MIN(ABS(INDIRECT("Class Jobs!B"&amp;MATCH(E297,'Class Jobs'!$A$1:$A1000,0)&amp;":"&amp;"AF"&amp;MATCH(E297,'Class Jobs'!$A$1:$A1000,0)&amp;"")-$Z297)) * SUM(IF(MIN(ABS(INDIRECT("Class Jobs!B"&amp;MATCH(E297,'Class Jobs'!$A$1:$A1000,0)&amp;":"&amp;"AF"&amp;MATCH(E297,'Class Jobs'!$A$1:$A1000,0)&amp;"")-$Z297))=ABS(INDIRECT("Class Jobs!B"&amp;MATCH(E297,'Class Jobs'!$A$1:$A1000,0)&amp;":"&amp;"AF"&amp;MATCH(E297,'Class Jobs'!$A$1:$A1000,0)&amp;"")-$Z297),SIGN(INDIRECT("Class Jobs!B"&amp;MATCH(E297,'Class Jobs'!$A$1:A1000,0)&amp;":"&amp;"AF"&amp;MATCH(E297,'Class Jobs'!$A$1:$A1000,0)&amp;"")-$Z297),0)),0)),INDIRECT("Class Jobs!B"&amp;MATCH(E297,'Class Jobs'!$A$1:$A1000,0)&amp;":"&amp;"AF"&amp;MATCH(E297,'Class Jobs'!$A$1:$A1000,1)&amp;""),'Class Jobs'!$B$1:$AF$1)</f>
        <v>#REF!</v>
      </c>
      <c r="Z297" s="158">
        <f t="shared" si="25"/>
        <v>0.64</v>
      </c>
      <c r="AA297" s="16" t="str">
        <f t="array" ref="AA297">INDEX(NPCGender,TRUNC(1+(COUNTA(NPCGender))*(TRUNC(MOD(($B297*1103515245 +12345)/ 65536, 32768),0)/32768),0))</f>
        <v>Female</v>
      </c>
      <c r="AB297" s="16" t="str">
        <f t="array" ref="AB297">INDEX(NPCRace,TRUNC(1+(COUNTA(NPCRace))*(TRUNC(MOD(($B297*1103515245 +12345)/ 65536, 32768),0)/32768),0))</f>
        <v>Human</v>
      </c>
      <c r="AC297" s="16" t="str">
        <f t="array" ref="AC297">INDEX(NPCAL,TRUNC(1+(COUNTA(NPCAL))*(TRUNC(MOD(($B297*1103515245 +12345)/ 65536, 32768),0)/32768),0))</f>
        <v>NE</v>
      </c>
      <c r="AD297" s="72" t="str">
        <f ca="1">IFERROR(__xludf.DUMMYFUNCTION("if(V297&lt;15,QUERY(NPCVar!C:D,""Select D WHERE C = '""&amp;D297&amp;""'""),if((TRUNC(1+10)*(TRUNC(MOD((ROW(H297)*1103515245 +12345)/ 65536, 32768),0)/32768)/10) &gt; 0.85,INDEX(NPCFaction,TRUNC(1+(counta(NPCFaction)-1)*(TRUNC(MOD(($B297*1103515245 +12345)/ 65536, 3276"&amp;"8),0)/32768),0)),QUERY(NPCVar!C:D,""Select D WHERE C = '""&amp;D297&amp;""'"")))"),"Traverlers Guild")</f>
        <v>Traverlers Guild</v>
      </c>
      <c r="AE297" s="108" t="e">
        <f t="shared" ca="1" si="26"/>
        <v>#NAME?</v>
      </c>
      <c r="AF297" s="159">
        <f ca="1">IFERROR(__xludf.DUMMYFUNCTION("AE297*(V297 / QUERY(NPCVar!$K$2:$N$12, ""Select N WHERE K='""&amp;AB297&amp;""'""))*TRUNC(1+10)*(TRUNC(MOD(($B297*1103515245 +12345)/ 65536, 32768),0)/32768)"),2.27369140625)</f>
        <v>2.2736914062500002</v>
      </c>
      <c r="AG297" s="16"/>
      <c r="AH297" s="77"/>
      <c r="AI297" s="114"/>
    </row>
    <row r="298" spans="1:35" ht="16.2">
      <c r="A298" s="53">
        <v>297</v>
      </c>
      <c r="B298" s="118">
        <f t="shared" si="27"/>
        <v>0.25115999999999999</v>
      </c>
      <c r="C298" s="72" t="str">
        <f t="array" ref="C298">INDEX(NPCFName,TRUNC(1+(COUNTA(NPCFName))*(TRUNC(MOD(($B298*1103515245 +12345)/ 65536, 32768),0)/32768),0))</f>
        <v>Gyin</v>
      </c>
      <c r="D298" s="16" t="str">
        <f t="array" ref="D298">INDEX(NPCLName,TRUNC(1+(COUNTA(NPCLName))*(TRUNC(MOD(($B298*1103515245 +12345)/ 65536, 32768),0)/32768),0))</f>
        <v>Distantlash</v>
      </c>
      <c r="E298" s="16" t="str">
        <f t="array" ref="E298">INDEX(NPCClass,TRUNC(1+(COUNTA(NPCClass))*(TRUNC(MOD(($B298*1103515245 +12345)/ 65536, 32768),0)/32768),0))</f>
        <v>Bard</v>
      </c>
      <c r="F298" s="76">
        <v>1</v>
      </c>
      <c r="G298" s="153">
        <f ca="1">VLOOKUP($AB$2,'RF Mod'!$A$2:$G$12,2,FALSE)+VLOOKUP($AD$2,'RF Mod'!$I$2:$O$11,2,FALSE)+(TRUNC(6+(24-6)*(TRUNC(MOD(($Z298*1103515245 +12345)/ 65536, 32768),0)/32768),0))</f>
        <v>5</v>
      </c>
      <c r="H298" s="16">
        <f t="shared" ca="1" si="17"/>
        <v>-3</v>
      </c>
      <c r="I298" s="153">
        <f ca="1">VLOOKUP($AB$2,'RF Mod'!$A$2:$G$12,3,FALSE)+VLOOKUP($AD$2,'RF Mod'!$I$2:$O$11,3,FALSE)+(TRUNC(6+(24-6)*(TRUNC(MOD(($Z298*1103515245 +12345)/ 65536, 32768),0)/32768),0))</f>
        <v>9</v>
      </c>
      <c r="J298" s="16">
        <f t="shared" ca="1" si="18"/>
        <v>-1</v>
      </c>
      <c r="K298" s="153">
        <f ca="1">VLOOKUP($AB$2,'RF Mod'!$A$2:$G$12,3,FALSE)+VLOOKUP($AD$2,'RF Mod'!$I$2:$O$11,3,FALSE)+(TRUNC(6+(24-6)*(TRUNC(MOD(($Z298*1103515245 +12345)/ 65536, 32768),0)/32768),0))</f>
        <v>9</v>
      </c>
      <c r="L298" s="16">
        <f t="shared" ca="1" si="19"/>
        <v>-1</v>
      </c>
      <c r="M298" s="153">
        <f ca="1">VLOOKUP($AB$2,'RF Mod'!$A$2:$G$12,4,FALSE)+VLOOKUP($AD$2,'RF Mod'!$I$2:$O$11,4,FALSE)+(TRUNC(6+(24-6)*(TRUNC(MOD(($Z298*1103515245 +12345)/ 65536, 32768),0)/32768),0))</f>
        <v>8</v>
      </c>
      <c r="N298" s="16">
        <f t="shared" ca="1" si="20"/>
        <v>-1</v>
      </c>
      <c r="O298" s="153">
        <f ca="1">VLOOKUP($AB$2,'RF Mod'!$A$2:$G$12,5,FALSE)+VLOOKUP($AD$2,'RF Mod'!$I$2:$O$11,5,FALSE)+(TRUNC(6+(24-6)*(TRUNC(MOD(($Z298*1103515245 +12345)/ 65536, 32768),0)/32768),0))</f>
        <v>11</v>
      </c>
      <c r="P298" s="16" t="e">
        <f t="shared" ca="1" si="21"/>
        <v>#NAME?</v>
      </c>
      <c r="Q298" s="153">
        <f ca="1">VLOOKUP($AB$2,'RF Mod'!$A$2:$G$12,6,FALSE)+VLOOKUP($AD$2,'RF Mod'!$I$2:$O$11,6,FALSE)+(TRUNC(6+(24-6)*(TRUNC(MOD(($Z298*1103515245 +12345)/ 65536, 32768),0)/32768),0))</f>
        <v>9</v>
      </c>
      <c r="R298" s="16">
        <f t="shared" ca="1" si="22"/>
        <v>-1</v>
      </c>
      <c r="S298" s="154">
        <f t="shared" ca="1" si="28"/>
        <v>11</v>
      </c>
      <c r="T298" s="154">
        <f t="shared" ca="1" si="23"/>
        <v>7</v>
      </c>
      <c r="U298" s="16" t="str">
        <f t="shared" ca="1" si="24"/>
        <v>Bloody</v>
      </c>
      <c r="V298" s="155">
        <f ca="1">IFERROR(__xludf.DUMMYFUNCTION("if(W298=""Middle Age"",QUERY(NPCVar!$K$2:$N1000, ""Select L where K = '""&amp;AB298&amp;""'""),if(W298=""Old"",QUERY(NPCVar!$K$2:$N1000, ""Select M where K = '""&amp;AB298&amp;""'""),if(W298=""Venerable"",QUERY(NPCVar!$K$2:$N1000, ""Select N where K = '""&amp;AB298&amp;""'""),fa"&amp;"lse)))*X298"),32)</f>
        <v>32</v>
      </c>
      <c r="W298" s="156" t="str">
        <f t="array" ref="W298">INDEX(NPCAgeType,TRUNC(1+(4-1)*(TRUNC(MOD((X298*1103515245 +12345)/ 65536, 32768),0)/32768),0))</f>
        <v>Middle Age</v>
      </c>
      <c r="X298" s="117">
        <f t="shared" si="29"/>
        <v>0.4</v>
      </c>
      <c r="Y298" s="157" t="e">
        <f t="array" aca="1" ref="Y298" ca="1">LOOKUP(ABS(MAX(Z298 + MIN(ABS(INDIRECT("Class Jobs!B"&amp;MATCH(E298,'Class Jobs'!$A$1:$A1000,0)&amp;":"&amp;"AF"&amp;MATCH(E298,'Class Jobs'!$A$1:$A1000,0)&amp;"")-$Z298)) * SUM(IF(MIN(ABS(INDIRECT("Class Jobs!B"&amp;MATCH(E298,'Class Jobs'!$A$1:$A1000,0)&amp;":"&amp;"AF"&amp;MATCH(E298,'Class Jobs'!$A$1:$A1000,0)&amp;"")-$Z298))=ABS(INDIRECT("Class Jobs!B"&amp;MATCH(E298,'Class Jobs'!$A$1:$A1000,0)&amp;":"&amp;"AF"&amp;MATCH(E298,'Class Jobs'!$A$1:$A1000,0)&amp;"")-$Z298),SIGN(INDIRECT("Class Jobs!B"&amp;MATCH(E298,'Class Jobs'!$A$1:A1000,0)&amp;":"&amp;"AF"&amp;MATCH(E298,'Class Jobs'!$A$1:$A1000,0)&amp;"")-$Z298),0)),0)),INDIRECT("Class Jobs!B"&amp;MATCH(E298,'Class Jobs'!$A$1:$A1000,0)&amp;":"&amp;"AF"&amp;MATCH(E298,'Class Jobs'!$A$1:$A1000,1)&amp;""),'Class Jobs'!$B$1:$AF$1)</f>
        <v>#REF!</v>
      </c>
      <c r="Z298" s="158">
        <f t="shared" si="25"/>
        <v>0.13</v>
      </c>
      <c r="AA298" s="16" t="str">
        <f t="array" ref="AA298">INDEX(NPCGender,TRUNC(1+(COUNTA(NPCGender))*(TRUNC(MOD(($B298*1103515245 +12345)/ 65536, 32768),0)/32768),0))</f>
        <v>Male</v>
      </c>
      <c r="AB298" s="16" t="str">
        <f t="array" ref="AB298">INDEX(NPCRace,TRUNC(1+(COUNTA(NPCRace))*(TRUNC(MOD(($B298*1103515245 +12345)/ 65536, 32768),0)/32768),0))</f>
        <v>Dwarf</v>
      </c>
      <c r="AC298" s="16" t="str">
        <f t="array" ref="AC298">INDEX(NPCAL,TRUNC(1+(COUNTA(NPCAL))*(TRUNC(MOD(($B298*1103515245 +12345)/ 65536, 32768),0)/32768),0))</f>
        <v>CE</v>
      </c>
      <c r="AD298" s="72" t="str">
        <f ca="1">IFERROR(__xludf.DUMMYFUNCTION("if(V298&lt;15,QUERY(NPCVar!C:D,""Select D WHERE C = '""&amp;D298&amp;""'""),if((TRUNC(1+10)*(TRUNC(MOD((ROW(H298)*1103515245 +12345)/ 65536, 32768),0)/32768)/10) &gt; 0.85,INDEX(NPCFaction,TRUNC(1+(counta(NPCFaction)-1)*(TRUNC(MOD(($B298*1103515245 +12345)/ 65536, 3276"&amp;"8),0)/32768),0)),QUERY(NPCVar!C:D,""Select D WHERE C = '""&amp;D298&amp;""'"")))"),"Death Guild")</f>
        <v>Death Guild</v>
      </c>
      <c r="AE298" s="108" t="e">
        <f t="shared" ca="1" si="26"/>
        <v>#NAME?</v>
      </c>
      <c r="AF298" s="159">
        <f ca="1">IFERROR(__xludf.DUMMYFUNCTION("AE298*(V298 / QUERY(NPCVar!$K$2:$N$12, ""Select N WHERE K='""&amp;AB298&amp;""'""))*TRUNC(1+10)*(TRUNC(MOD(($B298*1103515245 +12345)/ 65536, 32768),0)/32768)"),0.0425894165039062)</f>
        <v>4.2589416503906199E-2</v>
      </c>
      <c r="AG298" s="16"/>
      <c r="AH298" s="77"/>
      <c r="AI298" s="114"/>
    </row>
    <row r="299" spans="1:35" ht="16.2">
      <c r="A299" s="53">
        <v>298</v>
      </c>
      <c r="B299" s="118">
        <f t="shared" si="27"/>
        <v>1.7453000000000001</v>
      </c>
      <c r="C299" s="72" t="str">
        <f t="array" ref="C299">INDEX(NPCFName,TRUNC(1+(COUNTA(NPCFName))*(TRUNC(MOD(($B299*1103515245 +12345)/ 65536, 32768),0)/32768),0))</f>
        <v>Poscidion</v>
      </c>
      <c r="D299" s="16" t="str">
        <f t="array" ref="D299">INDEX(NPCLName,TRUNC(1+(COUNTA(NPCLName))*(TRUNC(MOD(($B299*1103515245 +12345)/ 65536, 32768),0)/32768),0))</f>
        <v>Forestbluff</v>
      </c>
      <c r="E299" s="16" t="str">
        <f t="array" ref="E299">INDEX(NPCClass,TRUNC(1+(COUNTA(NPCClass))*(TRUNC(MOD(($B299*1103515245 +12345)/ 65536, 32768),0)/32768),0))</f>
        <v>Fighter</v>
      </c>
      <c r="F299" s="76">
        <v>8</v>
      </c>
      <c r="G299" s="153">
        <f ca="1">VLOOKUP($AB$2,'RF Mod'!$A$2:$G$12,2,FALSE)+VLOOKUP($AD$2,'RF Mod'!$I$2:$O$11,2,FALSE)+(TRUNC(6+(24-6)*(TRUNC(MOD(($Z299*1103515245 +12345)/ 65536, 32768),0)/32768),0))</f>
        <v>12</v>
      </c>
      <c r="H299" s="16" t="e">
        <f t="shared" ca="1" si="17"/>
        <v>#NAME?</v>
      </c>
      <c r="I299" s="153">
        <f ca="1">VLOOKUP($AB$2,'RF Mod'!$A$2:$G$12,3,FALSE)+VLOOKUP($AD$2,'RF Mod'!$I$2:$O$11,3,FALSE)+(TRUNC(6+(24-6)*(TRUNC(MOD(($Z299*1103515245 +12345)/ 65536, 32768),0)/32768),0))</f>
        <v>16</v>
      </c>
      <c r="J299" s="16" t="e">
        <f t="shared" ca="1" si="18"/>
        <v>#NAME?</v>
      </c>
      <c r="K299" s="153">
        <f ca="1">VLOOKUP($AB$2,'RF Mod'!$A$2:$G$12,3,FALSE)+VLOOKUP($AD$2,'RF Mod'!$I$2:$O$11,3,FALSE)+(TRUNC(6+(24-6)*(TRUNC(MOD(($Z299*1103515245 +12345)/ 65536, 32768),0)/32768),0))</f>
        <v>16</v>
      </c>
      <c r="L299" s="16" t="e">
        <f t="shared" ca="1" si="19"/>
        <v>#NAME?</v>
      </c>
      <c r="M299" s="153">
        <f ca="1">VLOOKUP($AB$2,'RF Mod'!$A$2:$G$12,4,FALSE)+VLOOKUP($AD$2,'RF Mod'!$I$2:$O$11,4,FALSE)+(TRUNC(6+(24-6)*(TRUNC(MOD(($Z299*1103515245 +12345)/ 65536, 32768),0)/32768),0))</f>
        <v>15</v>
      </c>
      <c r="N299" s="16" t="e">
        <f t="shared" ca="1" si="20"/>
        <v>#NAME?</v>
      </c>
      <c r="O299" s="153">
        <f ca="1">VLOOKUP($AB$2,'RF Mod'!$A$2:$G$12,5,FALSE)+VLOOKUP($AD$2,'RF Mod'!$I$2:$O$11,5,FALSE)+(TRUNC(6+(24-6)*(TRUNC(MOD(($Z299*1103515245 +12345)/ 65536, 32768),0)/32768),0))</f>
        <v>18</v>
      </c>
      <c r="P299" s="16" t="e">
        <f t="shared" ca="1" si="21"/>
        <v>#NAME?</v>
      </c>
      <c r="Q299" s="153">
        <f ca="1">VLOOKUP($AB$2,'RF Mod'!$A$2:$G$12,6,FALSE)+VLOOKUP($AD$2,'RF Mod'!$I$2:$O$11,6,FALSE)+(TRUNC(6+(24-6)*(TRUNC(MOD(($Z299*1103515245 +12345)/ 65536, 32768),0)/32768),0))</f>
        <v>16</v>
      </c>
      <c r="R299" s="16" t="e">
        <f t="shared" ca="1" si="22"/>
        <v>#NAME?</v>
      </c>
      <c r="S299" s="154">
        <f t="shared" ca="1" si="28"/>
        <v>256</v>
      </c>
      <c r="T299" s="154">
        <f t="shared" ca="1" si="23"/>
        <v>122</v>
      </c>
      <c r="U299" s="16" t="str">
        <f t="shared" ca="1" si="24"/>
        <v>Fine</v>
      </c>
      <c r="V299" s="155">
        <f ca="1">IFERROR(__xludf.DUMMYFUNCTION("if(W299=""Middle Age"",QUERY(NPCVar!$K$2:$N1000, ""Select L where K = '""&amp;AB299&amp;""'""),if(W299=""Old"",QUERY(NPCVar!$K$2:$N1000, ""Select M where K = '""&amp;AB299&amp;""'""),if(W299=""Venerable"",QUERY(NPCVar!$K$2:$N1000, ""Select N where K = '""&amp;AB299&amp;""'""),fa"&amp;"lse)))*X299"),60.5)</f>
        <v>60.5</v>
      </c>
      <c r="W299" s="156" t="str">
        <f t="array" ref="W299">INDEX(NPCAgeType,TRUNC(1+(4-1)*(TRUNC(MOD((X299*1103515245 +12345)/ 65536, 32768),0)/32768),0))</f>
        <v>Middle Age</v>
      </c>
      <c r="X299" s="117">
        <f t="shared" si="29"/>
        <v>2.2000000000000002</v>
      </c>
      <c r="Y299" s="157" t="e">
        <f t="array" aca="1" ref="Y299" ca="1">LOOKUP(ABS(MAX(Z299 + MIN(ABS(INDIRECT("Class Jobs!B"&amp;MATCH(E299,'Class Jobs'!$A$1:$A1000,0)&amp;":"&amp;"AF"&amp;MATCH(E299,'Class Jobs'!$A$1:$A1000,0)&amp;"")-$Z299)) * SUM(IF(MIN(ABS(INDIRECT("Class Jobs!B"&amp;MATCH(E299,'Class Jobs'!$A$1:$A1000,0)&amp;":"&amp;"AF"&amp;MATCH(E299,'Class Jobs'!$A$1:$A1000,0)&amp;"")-$Z299))=ABS(INDIRECT("Class Jobs!B"&amp;MATCH(E299,'Class Jobs'!$A$1:$A1000,0)&amp;":"&amp;"AF"&amp;MATCH(E299,'Class Jobs'!$A$1:$A1000,0)&amp;"")-$Z299),SIGN(INDIRECT("Class Jobs!B"&amp;MATCH(E299,'Class Jobs'!$A$1:A1000,0)&amp;":"&amp;"AF"&amp;MATCH(E299,'Class Jobs'!$A$1:$A1000,0)&amp;"")-$Z299),0)),0)),INDIRECT("Class Jobs!B"&amp;MATCH(E299,'Class Jobs'!$A$1:$A1000,0)&amp;":"&amp;"AF"&amp;MATCH(E299,'Class Jobs'!$A$1:$A1000,1)&amp;""),'Class Jobs'!$B$1:$AF$1)</f>
        <v>#REF!</v>
      </c>
      <c r="Z299" s="158">
        <f t="shared" si="25"/>
        <v>0.89</v>
      </c>
      <c r="AA299" s="16" t="str">
        <f t="array" ref="AA299">INDEX(NPCGender,TRUNC(1+(COUNTA(NPCGender))*(TRUNC(MOD(($B299*1103515245 +12345)/ 65536, 32768),0)/32768),0))</f>
        <v>Neutral</v>
      </c>
      <c r="AB299" s="16" t="str">
        <f t="array" ref="AB299">INDEX(NPCRace,TRUNC(1+(COUNTA(NPCRace))*(TRUNC(MOD(($B299*1103515245 +12345)/ 65536, 32768),0)/32768),0))</f>
        <v>Genasi</v>
      </c>
      <c r="AC299" s="16" t="str">
        <f t="array" ref="AC299">INDEX(NPCAL,TRUNC(1+(COUNTA(NPCAL))*(TRUNC(MOD(($B299*1103515245 +12345)/ 65536, 32768),0)/32768),0))</f>
        <v>LE</v>
      </c>
      <c r="AD299" s="72" t="str">
        <f ca="1">IFERROR(__xludf.DUMMYFUNCTION("if(V299&lt;15,QUERY(NPCVar!C:D,""Select D WHERE C = '""&amp;D299&amp;""'""),if((TRUNC(1+10)*(TRUNC(MOD((ROW(H299)*1103515245 +12345)/ 65536, 32768),0)/32768)/10) &gt; 0.85,INDEX(NPCFaction,TRUNC(1+(counta(NPCFaction)-1)*(TRUNC(MOD(($B299*1103515245 +12345)/ 65536, 3276"&amp;"8),0)/32768),0)),QUERY(NPCVar!C:D,""Select D WHERE C = '""&amp;D299&amp;""'"")))"),"Thieves Guild")</f>
        <v>Thieves Guild</v>
      </c>
      <c r="AE299" s="108" t="e">
        <f t="shared" ca="1" si="26"/>
        <v>#NAME?</v>
      </c>
      <c r="AF299" s="159">
        <f ca="1">IFERROR(__xludf.DUMMYFUNCTION("AE299*(V299 / QUERY(NPCVar!$K$2:$N$12, ""Select N WHERE K='""&amp;AB299&amp;""'""))*TRUNC(1+10)*(TRUNC(MOD(($B299*1103515245 +12345)/ 65536, 32768),0)/32768)"),1.62778381347656)</f>
        <v>1.6277838134765601</v>
      </c>
      <c r="AG299" s="16"/>
      <c r="AH299" s="77"/>
      <c r="AI299" s="114"/>
    </row>
    <row r="300" spans="1:35" ht="16.2">
      <c r="A300" s="53">
        <v>299</v>
      </c>
      <c r="B300" s="118">
        <f t="shared" si="27"/>
        <v>0.73943999999999999</v>
      </c>
      <c r="C300" s="72" t="str">
        <f t="array" ref="C300">INDEX(NPCFName,TRUNC(1+(COUNTA(NPCFName))*(TRUNC(MOD(($B300*1103515245 +12345)/ 65536, 32768),0)/32768),0))</f>
        <v>Cayold</v>
      </c>
      <c r="D300" s="16" t="str">
        <f t="array" ref="D300">INDEX(NPCLName,TRUNC(1+(COUNTA(NPCLName))*(TRUNC(MOD(($B300*1103515245 +12345)/ 65536, 32768),0)/32768),0))</f>
        <v>Fistroot</v>
      </c>
      <c r="E300" s="16" t="str">
        <f t="array" ref="E300">INDEX(NPCClass,TRUNC(1+(COUNTA(NPCClass))*(TRUNC(MOD(($B300*1103515245 +12345)/ 65536, 32768),0)/32768),0))</f>
        <v>Paladin</v>
      </c>
      <c r="F300" s="76">
        <v>2</v>
      </c>
      <c r="G300" s="153">
        <f ca="1">VLOOKUP($AB$2,'RF Mod'!$A$2:$G$12,2,FALSE)+VLOOKUP($AD$2,'RF Mod'!$I$2:$O$11,2,FALSE)+(TRUNC(6+(24-6)*(TRUNC(MOD(($Z300*1103515245 +12345)/ 65536, 32768),0)/32768),0))</f>
        <v>7</v>
      </c>
      <c r="H300" s="16">
        <f t="shared" ca="1" si="17"/>
        <v>-2</v>
      </c>
      <c r="I300" s="153">
        <f ca="1">VLOOKUP($AB$2,'RF Mod'!$A$2:$G$12,3,FALSE)+VLOOKUP($AD$2,'RF Mod'!$I$2:$O$11,3,FALSE)+(TRUNC(6+(24-6)*(TRUNC(MOD(($Z300*1103515245 +12345)/ 65536, 32768),0)/32768),0))</f>
        <v>11</v>
      </c>
      <c r="J300" s="16" t="e">
        <f t="shared" ca="1" si="18"/>
        <v>#NAME?</v>
      </c>
      <c r="K300" s="153">
        <f ca="1">VLOOKUP($AB$2,'RF Mod'!$A$2:$G$12,3,FALSE)+VLOOKUP($AD$2,'RF Mod'!$I$2:$O$11,3,FALSE)+(TRUNC(6+(24-6)*(TRUNC(MOD(($Z300*1103515245 +12345)/ 65536, 32768),0)/32768),0))</f>
        <v>11</v>
      </c>
      <c r="L300" s="16" t="e">
        <f t="shared" ca="1" si="19"/>
        <v>#NAME?</v>
      </c>
      <c r="M300" s="153">
        <f ca="1">VLOOKUP($AB$2,'RF Mod'!$A$2:$G$12,4,FALSE)+VLOOKUP($AD$2,'RF Mod'!$I$2:$O$11,4,FALSE)+(TRUNC(6+(24-6)*(TRUNC(MOD(($Z300*1103515245 +12345)/ 65536, 32768),0)/32768),0))</f>
        <v>10</v>
      </c>
      <c r="N300" s="16" t="e">
        <f t="shared" ca="1" si="20"/>
        <v>#NAME?</v>
      </c>
      <c r="O300" s="153">
        <f ca="1">VLOOKUP($AB$2,'RF Mod'!$A$2:$G$12,5,FALSE)+VLOOKUP($AD$2,'RF Mod'!$I$2:$O$11,5,FALSE)+(TRUNC(6+(24-6)*(TRUNC(MOD(($Z300*1103515245 +12345)/ 65536, 32768),0)/32768),0))</f>
        <v>13</v>
      </c>
      <c r="P300" s="16" t="e">
        <f t="shared" ca="1" si="21"/>
        <v>#NAME?</v>
      </c>
      <c r="Q300" s="153">
        <f ca="1">VLOOKUP($AB$2,'RF Mod'!$A$2:$G$12,6,FALSE)+VLOOKUP($AD$2,'RF Mod'!$I$2:$O$11,6,FALSE)+(TRUNC(6+(24-6)*(TRUNC(MOD(($Z300*1103515245 +12345)/ 65536, 32768),0)/32768),0))</f>
        <v>11</v>
      </c>
      <c r="R300" s="16" t="e">
        <f t="shared" ca="1" si="22"/>
        <v>#NAME?</v>
      </c>
      <c r="S300" s="154">
        <f t="shared" ca="1" si="28"/>
        <v>38</v>
      </c>
      <c r="T300" s="154">
        <f t="shared" ca="1" si="23"/>
        <v>14</v>
      </c>
      <c r="U300" s="16" t="str">
        <f t="shared" ca="1" si="24"/>
        <v>Fine</v>
      </c>
      <c r="V300" s="155">
        <f ca="1">IFERROR(__xludf.DUMMYFUNCTION("if(W300=""Middle Age"",QUERY(NPCVar!$K$2:$N1000, ""Select L where K = '""&amp;AB300&amp;""'""),if(W300=""Old"",QUERY(NPCVar!$K$2:$N1000, ""Select M where K = '""&amp;AB300&amp;""'""),if(W300=""Venerable"",QUERY(NPCVar!$K$2:$N1000, ""Select N where K = '""&amp;AB300&amp;""'""),fa"&amp;"lse)))*X300"),67.5)</f>
        <v>67.5</v>
      </c>
      <c r="W300" s="156" t="str">
        <f t="array" ref="W300">INDEX(NPCAgeType,TRUNC(1+(4-1)*(TRUNC(MOD((X300*1103515245 +12345)/ 65536, 32768),0)/32768),0))</f>
        <v>Old</v>
      </c>
      <c r="X300" s="117">
        <f t="shared" si="29"/>
        <v>1</v>
      </c>
      <c r="Y300" s="157" t="e">
        <f t="array" aca="1" ref="Y300" ca="1">LOOKUP(ABS(MAX(Z300 + MIN(ABS(INDIRECT("Class Jobs!B"&amp;MATCH(E300,'Class Jobs'!$A$1:$A1000,0)&amp;":"&amp;"AF"&amp;MATCH(E300,'Class Jobs'!$A$1:$A1000,0)&amp;"")-$Z300)) * SUM(IF(MIN(ABS(INDIRECT("Class Jobs!B"&amp;MATCH(E300,'Class Jobs'!$A$1:$A1000,0)&amp;":"&amp;"AF"&amp;MATCH(E300,'Class Jobs'!$A$1:$A1000,0)&amp;"")-$Z300))=ABS(INDIRECT("Class Jobs!B"&amp;MATCH(E300,'Class Jobs'!$A$1:$A1000,0)&amp;":"&amp;"AF"&amp;MATCH(E300,'Class Jobs'!$A$1:$A1000,0)&amp;"")-$Z300),SIGN(INDIRECT("Class Jobs!B"&amp;MATCH(E300,'Class Jobs'!$A$1:A1000,0)&amp;":"&amp;"AF"&amp;MATCH(E300,'Class Jobs'!$A$1:$A1000,0)&amp;"")-$Z300),0)),0)),INDIRECT("Class Jobs!B"&amp;MATCH(E300,'Class Jobs'!$A$1:$A1000,0)&amp;":"&amp;"AF"&amp;MATCH(E300,'Class Jobs'!$A$1:$A1000,1)&amp;""),'Class Jobs'!$B$1:$AF$1)</f>
        <v>#REF!</v>
      </c>
      <c r="Z300" s="158">
        <f t="shared" si="25"/>
        <v>0.38</v>
      </c>
      <c r="AA300" s="16" t="str">
        <f t="array" ref="AA300">INDEX(NPCGender,TRUNC(1+(COUNTA(NPCGender))*(TRUNC(MOD(($B300*1103515245 +12345)/ 65536, 32768),0)/32768),0))</f>
        <v>Female</v>
      </c>
      <c r="AB300" s="16" t="str">
        <f t="array" ref="AB300">INDEX(NPCRace,TRUNC(1+(COUNTA(NPCRace))*(TRUNC(MOD(($B300*1103515245 +12345)/ 65536, 32768),0)/32768),0))</f>
        <v>Half-Elf</v>
      </c>
      <c r="AC300" s="16" t="str">
        <f t="array" ref="AC300">INDEX(NPCAL,TRUNC(1+(COUNTA(NPCAL))*(TRUNC(MOD(($B300*1103515245 +12345)/ 65536, 32768),0)/32768),0))</f>
        <v>NG</v>
      </c>
      <c r="AD300" s="72" t="str">
        <f ca="1">IFERROR(__xludf.DUMMYFUNCTION("if(V300&lt;15,QUERY(NPCVar!C:D,""Select D WHERE C = '""&amp;D300&amp;""'""),if((TRUNC(1+10)*(TRUNC(MOD((ROW(H300)*1103515245 +12345)/ 65536, 32768),0)/32768)/10) &gt; 0.85,INDEX(NPCFaction,TRUNC(1+(counta(NPCFaction)-1)*(TRUNC(MOD(($B300*1103515245 +12345)/ 65536, 3276"&amp;"8),0)/32768),0)),QUERY(NPCVar!C:D,""Select D WHERE C = '""&amp;D300&amp;""'"")))"),"Magic Guild")</f>
        <v>Magic Guild</v>
      </c>
      <c r="AE300" s="108" t="e">
        <f t="shared" ca="1" si="26"/>
        <v>#NAME?</v>
      </c>
      <c r="AF300" s="159">
        <f ca="1">IFERROR(__xludf.DUMMYFUNCTION("AE300*(V300 / QUERY(NPCVar!$K$2:$N$12, ""Select N WHERE K='""&amp;AB300&amp;""'""))*TRUNC(1+10)*(TRUNC(MOD(($B300*1103515245 +12345)/ 65536, 32768),0)/32768)"),0.783697128295898)</f>
        <v>0.78369712829589799</v>
      </c>
      <c r="AG300" s="16"/>
      <c r="AH300" s="77"/>
      <c r="AI300" s="114"/>
    </row>
    <row r="301" spans="1:35" ht="16.2">
      <c r="A301" s="53">
        <v>300</v>
      </c>
      <c r="B301" s="118">
        <f t="shared" si="27"/>
        <v>2.2335799999999999</v>
      </c>
      <c r="C301" s="72" t="str">
        <f t="array" ref="C301">INDEX(NPCFName,TRUNC(1+(COUNTA(NPCFName))*(TRUNC(MOD(($B301*1103515245 +12345)/ 65536, 32768),0)/32768),0))</f>
        <v>Jackson</v>
      </c>
      <c r="D301" s="16" t="str">
        <f t="array" ref="D301">INDEX(NPCLName,TRUNC(1+(COUNTA(NPCLName))*(TRUNC(MOD(($B301*1103515245 +12345)/ 65536, 32768),0)/32768),0))</f>
        <v>Fistwing</v>
      </c>
      <c r="E301" s="16" t="str">
        <f t="array" ref="E301">INDEX(NPCClass,TRUNC(1+(COUNTA(NPCClass))*(TRUNC(MOD(($B301*1103515245 +12345)/ 65536, 32768),0)/32768),0))</f>
        <v>Bard</v>
      </c>
      <c r="F301" s="76">
        <v>1</v>
      </c>
      <c r="G301" s="153">
        <f ca="1">VLOOKUP($AB$2,'RF Mod'!$A$2:$G$12,2,FALSE)+VLOOKUP($AD$2,'RF Mod'!$I$2:$O$11,2,FALSE)+(TRUNC(6+(24-6)*(TRUNC(MOD(($Z301*1103515245 +12345)/ 65536, 32768),0)/32768),0))</f>
        <v>5</v>
      </c>
      <c r="H301" s="16">
        <f t="shared" ca="1" si="17"/>
        <v>-3</v>
      </c>
      <c r="I301" s="153">
        <f ca="1">VLOOKUP($AB$2,'RF Mod'!$A$2:$G$12,3,FALSE)+VLOOKUP($AD$2,'RF Mod'!$I$2:$O$11,3,FALSE)+(TRUNC(6+(24-6)*(TRUNC(MOD(($Z301*1103515245 +12345)/ 65536, 32768),0)/32768),0))</f>
        <v>9</v>
      </c>
      <c r="J301" s="16">
        <f t="shared" ca="1" si="18"/>
        <v>-1</v>
      </c>
      <c r="K301" s="153">
        <f ca="1">VLOOKUP($AB$2,'RF Mod'!$A$2:$G$12,3,FALSE)+VLOOKUP($AD$2,'RF Mod'!$I$2:$O$11,3,FALSE)+(TRUNC(6+(24-6)*(TRUNC(MOD(($Z301*1103515245 +12345)/ 65536, 32768),0)/32768),0))</f>
        <v>9</v>
      </c>
      <c r="L301" s="16">
        <f t="shared" ca="1" si="19"/>
        <v>-1</v>
      </c>
      <c r="M301" s="153">
        <f ca="1">VLOOKUP($AB$2,'RF Mod'!$A$2:$G$12,4,FALSE)+VLOOKUP($AD$2,'RF Mod'!$I$2:$O$11,4,FALSE)+(TRUNC(6+(24-6)*(TRUNC(MOD(($Z301*1103515245 +12345)/ 65536, 32768),0)/32768),0))</f>
        <v>8</v>
      </c>
      <c r="N301" s="16">
        <f t="shared" ca="1" si="20"/>
        <v>-1</v>
      </c>
      <c r="O301" s="153">
        <f ca="1">VLOOKUP($AB$2,'RF Mod'!$A$2:$G$12,5,FALSE)+VLOOKUP($AD$2,'RF Mod'!$I$2:$O$11,5,FALSE)+(TRUNC(6+(24-6)*(TRUNC(MOD(($Z301*1103515245 +12345)/ 65536, 32768),0)/32768),0))</f>
        <v>11</v>
      </c>
      <c r="P301" s="16" t="e">
        <f t="shared" ca="1" si="21"/>
        <v>#NAME?</v>
      </c>
      <c r="Q301" s="153">
        <f ca="1">VLOOKUP($AB$2,'RF Mod'!$A$2:$G$12,6,FALSE)+VLOOKUP($AD$2,'RF Mod'!$I$2:$O$11,6,FALSE)+(TRUNC(6+(24-6)*(TRUNC(MOD(($Z301*1103515245 +12345)/ 65536, 32768),0)/32768),0))</f>
        <v>9</v>
      </c>
      <c r="R301" s="16">
        <f t="shared" ca="1" si="22"/>
        <v>-1</v>
      </c>
      <c r="S301" s="154">
        <f t="shared" ca="1" si="28"/>
        <v>27</v>
      </c>
      <c r="T301" s="154">
        <f t="shared" ca="1" si="23"/>
        <v>12</v>
      </c>
      <c r="U301" s="16" t="str">
        <f t="shared" ca="1" si="24"/>
        <v>Fine</v>
      </c>
      <c r="V301" s="155">
        <f ca="1">IFERROR(__xludf.DUMMYFUNCTION("if(W301=""Middle Age"",QUERY(NPCVar!$K$2:$N1000, ""Select L where K = '""&amp;AB301&amp;""'""),if(W301=""Old"",QUERY(NPCVar!$K$2:$N1000, ""Select M where K = '""&amp;AB301&amp;""'""),if(W301=""Venerable"",QUERY(NPCVar!$K$2:$N1000, ""Select N where K = '""&amp;AB301&amp;""'""),fa"&amp;"lse)))*X301"),32)</f>
        <v>32</v>
      </c>
      <c r="W301" s="156" t="str">
        <f t="array" ref="W301">INDEX(NPCAgeType,TRUNC(1+(4-1)*(TRUNC(MOD((X301*1103515245 +12345)/ 65536, 32768),0)/32768),0))</f>
        <v>Middle Age</v>
      </c>
      <c r="X301" s="117">
        <f t="shared" si="29"/>
        <v>0.4</v>
      </c>
      <c r="Y301" s="157" t="e">
        <f t="array" aca="1" ref="Y301" ca="1">LOOKUP(ABS(MAX(Z301 + MIN(ABS(INDIRECT("Class Jobs!B"&amp;MATCH(E301,'Class Jobs'!$A$1:$A1000,0)&amp;":"&amp;"AF"&amp;MATCH(E301,'Class Jobs'!$A$1:$A1000,0)&amp;"")-$Z301)) * SUM(IF(MIN(ABS(INDIRECT("Class Jobs!B"&amp;MATCH(E301,'Class Jobs'!$A$1:$A1000,0)&amp;":"&amp;"AF"&amp;MATCH(E301,'Class Jobs'!$A$1:$A1000,0)&amp;"")-$Z301))=ABS(INDIRECT("Class Jobs!B"&amp;MATCH(E301,'Class Jobs'!$A$1:$A1000,0)&amp;":"&amp;"AF"&amp;MATCH(E301,'Class Jobs'!$A$1:$A1000,0)&amp;"")-$Z301),SIGN(INDIRECT("Class Jobs!B"&amp;MATCH(E301,'Class Jobs'!$A$1:A1000,0)&amp;":"&amp;"AF"&amp;MATCH(E301,'Class Jobs'!$A$1:$A1000,0)&amp;"")-$Z301),0)),0)),INDIRECT("Class Jobs!B"&amp;MATCH(E301,'Class Jobs'!$A$1:$A1000,0)&amp;":"&amp;"AF"&amp;MATCH(E301,'Class Jobs'!$A$1:$A1000,1)&amp;""),'Class Jobs'!$B$1:$AF$1)</f>
        <v>#REF!</v>
      </c>
      <c r="Z301" s="158">
        <f t="shared" si="25"/>
        <v>0.15</v>
      </c>
      <c r="AA301" s="16" t="str">
        <f t="array" ref="AA301">INDEX(NPCGender,TRUNC(1+(COUNTA(NPCGender))*(TRUNC(MOD(($B301*1103515245 +12345)/ 65536, 32768),0)/32768),0))</f>
        <v>Male</v>
      </c>
      <c r="AB301" s="16" t="str">
        <f t="array" ref="AB301">INDEX(NPCRace,TRUNC(1+(COUNTA(NPCRace))*(TRUNC(MOD(($B301*1103515245 +12345)/ 65536, 32768),0)/32768),0))</f>
        <v>Dwarf</v>
      </c>
      <c r="AC301" s="16" t="str">
        <f t="array" ref="AC301">INDEX(NPCAL,TRUNC(1+(COUNTA(NPCAL))*(TRUNC(MOD(($B301*1103515245 +12345)/ 65536, 32768),0)/32768),0))</f>
        <v>CE</v>
      </c>
      <c r="AD301" s="72" t="str">
        <f ca="1">IFERROR(__xludf.DUMMYFUNCTION("if(V301&lt;15,QUERY(NPCVar!C:D,""Select D WHERE C = '""&amp;D301&amp;""'""),if((TRUNC(1+10)*(TRUNC(MOD((ROW(H301)*1103515245 +12345)/ 65536, 32768),0)/32768)/10) &gt; 0.85,INDEX(NPCFaction,TRUNC(1+(counta(NPCFaction)-1)*(TRUNC(MOD(($B301*1103515245 +12345)/ 65536, 3276"&amp;"8),0)/32768),0)),QUERY(NPCVar!C:D,""Select D WHERE C = '""&amp;D301&amp;""'"")))"),"Royalty")</f>
        <v>Royalty</v>
      </c>
      <c r="AE301" s="108" t="e">
        <f t="shared" ca="1" si="26"/>
        <v>#NAME?</v>
      </c>
      <c r="AF301" s="159">
        <f ca="1">IFERROR(__xludf.DUMMYFUNCTION("AE301*(V301 / QUERY(NPCVar!$K$2:$N$12, ""Select N WHERE K='""&amp;AB301&amp;""'""))*TRUNC(1+10)*(TRUNC(MOD(($B301*1103515245 +12345)/ 65536, 32768),0)/32768)"),-0.0162509155273437)</f>
        <v>-1.6250915527343701E-2</v>
      </c>
      <c r="AG301" s="16"/>
      <c r="AH301" s="77"/>
      <c r="AI301" s="114"/>
    </row>
    <row r="302" spans="1:35" ht="16.2">
      <c r="A302" s="53">
        <v>301</v>
      </c>
      <c r="B302" s="118">
        <f t="shared" si="27"/>
        <v>1.2277199999999999</v>
      </c>
      <c r="C302" s="72" t="str">
        <f t="array" ref="C302">INDEX(NPCFName,TRUNC(1+(COUNTA(NPCFName))*(TRUNC(MOD(($B302*1103515245 +12345)/ 65536, 32768),0)/32768),0))</f>
        <v>Vacone</v>
      </c>
      <c r="D302" s="16" t="str">
        <f t="array" ref="D302">INDEX(NPCLName,TRUNC(1+(COUNTA(NPCLName))*(TRUNC(MOD(($B302*1103515245 +12345)/ 65536, 32768),0)/32768),0))</f>
        <v>Gloomrage</v>
      </c>
      <c r="E302" s="16" t="str">
        <f t="array" ref="E302">INDEX(NPCClass,TRUNC(1+(COUNTA(NPCClass))*(TRUNC(MOD(($B302*1103515245 +12345)/ 65536, 32768),0)/32768),0))</f>
        <v>Warlock</v>
      </c>
      <c r="F302" s="76">
        <v>8</v>
      </c>
      <c r="G302" s="153">
        <f ca="1">VLOOKUP($AB$2,'RF Mod'!$A$2:$G$12,2,FALSE)+VLOOKUP($AD$2,'RF Mod'!$I$2:$O$11,2,FALSE)+(TRUNC(6+(24-6)*(TRUNC(MOD(($Z302*1103515245 +12345)/ 65536, 32768),0)/32768),0))</f>
        <v>9</v>
      </c>
      <c r="H302" s="16">
        <f t="shared" ca="1" si="17"/>
        <v>-1</v>
      </c>
      <c r="I302" s="153">
        <f ca="1">VLOOKUP($AB$2,'RF Mod'!$A$2:$G$12,3,FALSE)+VLOOKUP($AD$2,'RF Mod'!$I$2:$O$11,3,FALSE)+(TRUNC(6+(24-6)*(TRUNC(MOD(($Z302*1103515245 +12345)/ 65536, 32768),0)/32768),0))</f>
        <v>13</v>
      </c>
      <c r="J302" s="16" t="e">
        <f t="shared" ca="1" si="18"/>
        <v>#NAME?</v>
      </c>
      <c r="K302" s="153">
        <f ca="1">VLOOKUP($AB$2,'RF Mod'!$A$2:$G$12,3,FALSE)+VLOOKUP($AD$2,'RF Mod'!$I$2:$O$11,3,FALSE)+(TRUNC(6+(24-6)*(TRUNC(MOD(($Z302*1103515245 +12345)/ 65536, 32768),0)/32768),0))</f>
        <v>13</v>
      </c>
      <c r="L302" s="16" t="e">
        <f t="shared" ca="1" si="19"/>
        <v>#NAME?</v>
      </c>
      <c r="M302" s="153">
        <f ca="1">VLOOKUP($AB$2,'RF Mod'!$A$2:$G$12,4,FALSE)+VLOOKUP($AD$2,'RF Mod'!$I$2:$O$11,4,FALSE)+(TRUNC(6+(24-6)*(TRUNC(MOD(($Z302*1103515245 +12345)/ 65536, 32768),0)/32768),0))</f>
        <v>12</v>
      </c>
      <c r="N302" s="16" t="e">
        <f t="shared" ca="1" si="20"/>
        <v>#NAME?</v>
      </c>
      <c r="O302" s="153">
        <f ca="1">VLOOKUP($AB$2,'RF Mod'!$A$2:$G$12,5,FALSE)+VLOOKUP($AD$2,'RF Mod'!$I$2:$O$11,5,FALSE)+(TRUNC(6+(24-6)*(TRUNC(MOD(($Z302*1103515245 +12345)/ 65536, 32768),0)/32768),0))</f>
        <v>15</v>
      </c>
      <c r="P302" s="16" t="e">
        <f t="shared" ca="1" si="21"/>
        <v>#NAME?</v>
      </c>
      <c r="Q302" s="153">
        <f ca="1">VLOOKUP($AB$2,'RF Mod'!$A$2:$G$12,6,FALSE)+VLOOKUP($AD$2,'RF Mod'!$I$2:$O$11,6,FALSE)+(TRUNC(6+(24-6)*(TRUNC(MOD(($Z302*1103515245 +12345)/ 65536, 32768),0)/32768),0))</f>
        <v>13</v>
      </c>
      <c r="R302" s="16" t="e">
        <f t="shared" ca="1" si="22"/>
        <v>#NAME?</v>
      </c>
      <c r="S302" s="154">
        <f t="shared" ca="1" si="28"/>
        <v>200</v>
      </c>
      <c r="T302" s="154">
        <f t="shared" ca="1" si="23"/>
        <v>121</v>
      </c>
      <c r="U302" s="16" t="str">
        <f t="shared" ca="1" si="24"/>
        <v>Bloody</v>
      </c>
      <c r="V302" s="155">
        <f ca="1">IFERROR(__xludf.DUMMYFUNCTION("if(W302=""Middle Age"",QUERY(NPCVar!$K$2:$N1000, ""Select L where K = '""&amp;AB302&amp;""'""),if(W302=""Old"",QUERY(NPCVar!$K$2:$N1000, ""Select M where K = '""&amp;AB302&amp;""'""),if(W302=""Venerable"",QUERY(NPCVar!$K$2:$N1000, ""Select N where K = '""&amp;AB302&amp;""'""),fa"&amp;"lse)))*X302"),320)</f>
        <v>320</v>
      </c>
      <c r="W302" s="156" t="str">
        <f t="array" ref="W302">INDEX(NPCAgeType,TRUNC(1+(4-1)*(TRUNC(MOD((X302*1103515245 +12345)/ 65536, 32768),0)/32768),0))</f>
        <v>Venerable</v>
      </c>
      <c r="X302" s="117">
        <f t="shared" si="29"/>
        <v>1.6</v>
      </c>
      <c r="Y302" s="157" t="e">
        <f t="array" aca="1" ref="Y302" ca="1">LOOKUP(ABS(MAX(Z302 + MIN(ABS(INDIRECT("Class Jobs!B"&amp;MATCH(E302,'Class Jobs'!$A$1:$A1000,0)&amp;":"&amp;"AF"&amp;MATCH(E302,'Class Jobs'!$A$1:$A1000,0)&amp;"")-$Z302)) * SUM(IF(MIN(ABS(INDIRECT("Class Jobs!B"&amp;MATCH(E302,'Class Jobs'!$A$1:$A1000,0)&amp;":"&amp;"AF"&amp;MATCH(E302,'Class Jobs'!$A$1:$A1000,0)&amp;"")-$Z302))=ABS(INDIRECT("Class Jobs!B"&amp;MATCH(E302,'Class Jobs'!$A$1:$A1000,0)&amp;":"&amp;"AF"&amp;MATCH(E302,'Class Jobs'!$A$1:$A1000,0)&amp;"")-$Z302),SIGN(INDIRECT("Class Jobs!B"&amp;MATCH(E302,'Class Jobs'!$A$1:A1000,0)&amp;":"&amp;"AF"&amp;MATCH(E302,'Class Jobs'!$A$1:$A1000,0)&amp;"")-$Z302),0)),0)),INDIRECT("Class Jobs!B"&amp;MATCH(E302,'Class Jobs'!$A$1:$A1000,0)&amp;":"&amp;"AF"&amp;MATCH(E302,'Class Jobs'!$A$1:$A1000,1)&amp;""),'Class Jobs'!$B$1:$AF$1)</f>
        <v>#REF!</v>
      </c>
      <c r="Z302" s="158">
        <f t="shared" si="25"/>
        <v>0.63</v>
      </c>
      <c r="AA302" s="16" t="str">
        <f t="array" ref="AA302">INDEX(NPCGender,TRUNC(1+(COUNTA(NPCGender))*(TRUNC(MOD(($B302*1103515245 +12345)/ 65536, 32768),0)/32768),0))</f>
        <v>Female</v>
      </c>
      <c r="AB302" s="16" t="str">
        <f t="array" ref="AB302">INDEX(NPCRace,TRUNC(1+(COUNTA(NPCRace))*(TRUNC(MOD(($B302*1103515245 +12345)/ 65536, 32768),0)/32768),0))</f>
        <v>Halfling</v>
      </c>
      <c r="AC302" s="16" t="str">
        <f t="array" ref="AC302">INDEX(NPCAL,TRUNC(1+(COUNTA(NPCAL))*(TRUNC(MOD(($B302*1103515245 +12345)/ 65536, 32768),0)/32768),0))</f>
        <v>NE</v>
      </c>
      <c r="AD302" s="72" t="str">
        <f ca="1">IFERROR(__xludf.DUMMYFUNCTION("if(V302&lt;15,QUERY(NPCVar!C:D,""Select D WHERE C = '""&amp;D302&amp;""'""),if((TRUNC(1+10)*(TRUNC(MOD((ROW(H302)*1103515245 +12345)/ 65536, 32768),0)/32768)/10) &gt; 0.85,INDEX(NPCFaction,TRUNC(1+(counta(NPCFaction)-1)*(TRUNC(MOD(($B302*1103515245 +12345)/ 65536, 3276"&amp;"8),0)/32768),0)),QUERY(NPCVar!C:D,""Select D WHERE C = '""&amp;D302&amp;""'"")))"),"Traders Guild")</f>
        <v>Traders Guild</v>
      </c>
      <c r="AE302" s="108" t="e">
        <f t="shared" ca="1" si="26"/>
        <v>#NAME?</v>
      </c>
      <c r="AF302" s="159">
        <f ca="1">IFERROR(__xludf.DUMMYFUNCTION("AE302*(V302 / QUERY(NPCVar!$K$2:$N$12, ""Select N WHERE K='""&amp;AB302&amp;""'""))*TRUNC(1+10)*(TRUNC(MOD(($B302*1103515245 +12345)/ 65536, 32768),0)/32768)"),8.8825)</f>
        <v>8.8825000000000003</v>
      </c>
      <c r="AG302" s="16"/>
      <c r="AH302" s="77"/>
      <c r="AI302" s="114"/>
    </row>
    <row r="303" spans="1:35" ht="16.2">
      <c r="A303" s="53">
        <v>302</v>
      </c>
      <c r="B303" s="118">
        <f t="shared" si="27"/>
        <v>0.22178999999999999</v>
      </c>
      <c r="C303" s="72" t="str">
        <f t="array" ref="C303">INDEX(NPCFName,TRUNC(1+(COUNTA(NPCFName))*(TRUNC(MOD(($B303*1103515245 +12345)/ 65536, 32768),0)/32768),0))</f>
        <v>Gafolern</v>
      </c>
      <c r="D303" s="16" t="str">
        <f t="array" ref="D303">INDEX(NPCLName,TRUNC(1+(COUNTA(NPCLName))*(TRUNC(MOD(($B303*1103515245 +12345)/ 65536, 32768),0)/32768),0))</f>
        <v>Distantlash</v>
      </c>
      <c r="E303" s="16" t="str">
        <f t="array" ref="E303">INDEX(NPCClass,TRUNC(1+(COUNTA(NPCClass))*(TRUNC(MOD(($B303*1103515245 +12345)/ 65536, 32768),0)/32768),0))</f>
        <v>Bard</v>
      </c>
      <c r="F303" s="76">
        <v>1</v>
      </c>
      <c r="G303" s="153">
        <f ca="1">VLOOKUP($AB$2,'RF Mod'!$A$2:$G$12,2,FALSE)+VLOOKUP($AD$2,'RF Mod'!$I$2:$O$11,2,FALSE)+(TRUNC(6+(24-6)*(TRUNC(MOD(($Z303*1103515245 +12345)/ 65536, 32768),0)/32768),0))</f>
        <v>5</v>
      </c>
      <c r="H303" s="16">
        <f t="shared" ca="1" si="17"/>
        <v>-3</v>
      </c>
      <c r="I303" s="153">
        <f ca="1">VLOOKUP($AB$2,'RF Mod'!$A$2:$G$12,3,FALSE)+VLOOKUP($AD$2,'RF Mod'!$I$2:$O$11,3,FALSE)+(TRUNC(6+(24-6)*(TRUNC(MOD(($Z303*1103515245 +12345)/ 65536, 32768),0)/32768),0))</f>
        <v>9</v>
      </c>
      <c r="J303" s="16">
        <f t="shared" ca="1" si="18"/>
        <v>-1</v>
      </c>
      <c r="K303" s="153">
        <f ca="1">VLOOKUP($AB$2,'RF Mod'!$A$2:$G$12,3,FALSE)+VLOOKUP($AD$2,'RF Mod'!$I$2:$O$11,3,FALSE)+(TRUNC(6+(24-6)*(TRUNC(MOD(($Z303*1103515245 +12345)/ 65536, 32768),0)/32768),0))</f>
        <v>9</v>
      </c>
      <c r="L303" s="16">
        <f t="shared" ca="1" si="19"/>
        <v>-1</v>
      </c>
      <c r="M303" s="153">
        <f ca="1">VLOOKUP($AB$2,'RF Mod'!$A$2:$G$12,4,FALSE)+VLOOKUP($AD$2,'RF Mod'!$I$2:$O$11,4,FALSE)+(TRUNC(6+(24-6)*(TRUNC(MOD(($Z303*1103515245 +12345)/ 65536, 32768),0)/32768),0))</f>
        <v>8</v>
      </c>
      <c r="N303" s="16">
        <f t="shared" ca="1" si="20"/>
        <v>-1</v>
      </c>
      <c r="O303" s="153">
        <f ca="1">VLOOKUP($AB$2,'RF Mod'!$A$2:$G$12,5,FALSE)+VLOOKUP($AD$2,'RF Mod'!$I$2:$O$11,5,FALSE)+(TRUNC(6+(24-6)*(TRUNC(MOD(($Z303*1103515245 +12345)/ 65536, 32768),0)/32768),0))</f>
        <v>11</v>
      </c>
      <c r="P303" s="16" t="e">
        <f t="shared" ca="1" si="21"/>
        <v>#NAME?</v>
      </c>
      <c r="Q303" s="153">
        <f ca="1">VLOOKUP($AB$2,'RF Mod'!$A$2:$G$12,6,FALSE)+VLOOKUP($AD$2,'RF Mod'!$I$2:$O$11,6,FALSE)+(TRUNC(6+(24-6)*(TRUNC(MOD(($Z303*1103515245 +12345)/ 65536, 32768),0)/32768),0))</f>
        <v>9</v>
      </c>
      <c r="R303" s="16">
        <f t="shared" ca="1" si="22"/>
        <v>-1</v>
      </c>
      <c r="S303" s="154">
        <f t="shared" ca="1" si="28"/>
        <v>27</v>
      </c>
      <c r="T303" s="154">
        <f t="shared" ca="1" si="23"/>
        <v>17</v>
      </c>
      <c r="U303" s="16" t="str">
        <f t="shared" ca="1" si="24"/>
        <v>Bloody</v>
      </c>
      <c r="V303" s="155">
        <f ca="1">IFERROR(__xludf.DUMMYFUNCTION("if(W303=""Middle Age"",QUERY(NPCVar!$K$2:$N1000, ""Select L where K = '""&amp;AB303&amp;""'""),if(W303=""Old"",QUERY(NPCVar!$K$2:$N1000, ""Select M where K = '""&amp;AB303&amp;""'""),if(W303=""Venerable"",QUERY(NPCVar!$K$2:$N1000, ""Select N where K = '""&amp;AB303&amp;""'""),fa"&amp;"lse)))*X303"),24)</f>
        <v>24</v>
      </c>
      <c r="W303" s="156" t="str">
        <f t="array" ref="W303">INDEX(NPCAgeType,TRUNC(1+(4-1)*(TRUNC(MOD((X303*1103515245 +12345)/ 65536, 32768),0)/32768),0))</f>
        <v>Middle Age</v>
      </c>
      <c r="X303" s="117">
        <f t="shared" si="29"/>
        <v>0.3</v>
      </c>
      <c r="Y303" s="157" t="e">
        <f t="array" aca="1" ref="Y303" ca="1">LOOKUP(ABS(MAX(Z303 + MIN(ABS(INDIRECT("Class Jobs!B"&amp;MATCH(E303,'Class Jobs'!$A$1:$A1000,0)&amp;":"&amp;"AF"&amp;MATCH(E303,'Class Jobs'!$A$1:$A1000,0)&amp;"")-$Z303)) * SUM(IF(MIN(ABS(INDIRECT("Class Jobs!B"&amp;MATCH(E303,'Class Jobs'!$A$1:$A1000,0)&amp;":"&amp;"AF"&amp;MATCH(E303,'Class Jobs'!$A$1:$A1000,0)&amp;"")-$Z303))=ABS(INDIRECT("Class Jobs!B"&amp;MATCH(E303,'Class Jobs'!$A$1:$A1000,0)&amp;":"&amp;"AF"&amp;MATCH(E303,'Class Jobs'!$A$1:$A1000,0)&amp;"")-$Z303),SIGN(INDIRECT("Class Jobs!B"&amp;MATCH(E303,'Class Jobs'!$A$1:A1000,0)&amp;":"&amp;"AF"&amp;MATCH(E303,'Class Jobs'!$A$1:$A1000,0)&amp;"")-$Z303),0)),0)),INDIRECT("Class Jobs!B"&amp;MATCH(E303,'Class Jobs'!$A$1:$A1000,0)&amp;":"&amp;"AF"&amp;MATCH(E303,'Class Jobs'!$A$1:$A1000,1)&amp;""),'Class Jobs'!$B$1:$AF$1)</f>
        <v>#REF!</v>
      </c>
      <c r="Z303" s="158">
        <f t="shared" si="25"/>
        <v>0.12</v>
      </c>
      <c r="AA303" s="16" t="str">
        <f t="array" ref="AA303">INDEX(NPCGender,TRUNC(1+(COUNTA(NPCGender))*(TRUNC(MOD(($B303*1103515245 +12345)/ 65536, 32768),0)/32768),0))</f>
        <v>Male</v>
      </c>
      <c r="AB303" s="16" t="str">
        <f t="array" ref="AB303">INDEX(NPCRace,TRUNC(1+(COUNTA(NPCRace))*(TRUNC(MOD(($B303*1103515245 +12345)/ 65536, 32768),0)/32768),0))</f>
        <v>Dwarf</v>
      </c>
      <c r="AC303" s="16" t="str">
        <f t="array" ref="AC303">INDEX(NPCAL,TRUNC(1+(COUNTA(NPCAL))*(TRUNC(MOD(($B303*1103515245 +12345)/ 65536, 32768),0)/32768),0))</f>
        <v>CE</v>
      </c>
      <c r="AD303" s="72" t="str">
        <f ca="1">IFERROR(__xludf.DUMMYFUNCTION("if(V303&lt;15,QUERY(NPCVar!C:D,""Select D WHERE C = '""&amp;D303&amp;""'""),if((TRUNC(1+10)*(TRUNC(MOD((ROW(H303)*1103515245 +12345)/ 65536, 32768),0)/32768)/10) &gt; 0.85,INDEX(NPCFaction,TRUNC(1+(counta(NPCFaction)-1)*(TRUNC(MOD(($B303*1103515245 +12345)/ 65536, 3276"&amp;"8),0)/32768),0)),QUERY(NPCVar!C:D,""Select D WHERE C = '""&amp;D303&amp;""'"")))"),"Death Guild")</f>
        <v>Death Guild</v>
      </c>
      <c r="AE303" s="108" t="e">
        <f t="shared" ca="1" si="26"/>
        <v>#NAME?</v>
      </c>
      <c r="AF303" s="159">
        <f ca="1">IFERROR(__xludf.DUMMYFUNCTION("AE303*(V303 / QUERY(NPCVar!$K$2:$N$12, ""Select N WHERE K='""&amp;AB303&amp;""'""))*TRUNC(1+10)*(TRUNC(MOD(($B303*1103515245 +12345)/ 65536, 32768),0)/32768)"),-0.00940109252929687)</f>
        <v>-9.40109252929687E-3</v>
      </c>
      <c r="AG303" s="16"/>
      <c r="AH303" s="77"/>
      <c r="AI303" s="114"/>
    </row>
    <row r="304" spans="1:35" ht="16.2">
      <c r="A304" s="53">
        <v>303</v>
      </c>
      <c r="B304" s="118">
        <f t="shared" si="27"/>
        <v>1.71593</v>
      </c>
      <c r="C304" s="72" t="str">
        <f t="array" ref="C304">INDEX(NPCFName,TRUNC(1+(COUNTA(NPCFName))*(TRUNC(MOD(($B304*1103515245 +12345)/ 65536, 32768),0)/32768),0))</f>
        <v>Odeir</v>
      </c>
      <c r="D304" s="16" t="str">
        <f t="array" ref="D304">INDEX(NPCLName,TRUNC(1+(COUNTA(NPCLName))*(TRUNC(MOD(($B304*1103515245 +12345)/ 65536, 32768),0)/32768),0))</f>
        <v>Forestbluff</v>
      </c>
      <c r="E304" s="16" t="str">
        <f t="array" ref="E304">INDEX(NPCClass,TRUNC(1+(COUNTA(NPCClass))*(TRUNC(MOD(($B304*1103515245 +12345)/ 65536, 32768),0)/32768),0))</f>
        <v>Fighter</v>
      </c>
      <c r="F304" s="76">
        <v>8</v>
      </c>
      <c r="G304" s="153">
        <f ca="1">VLOOKUP($AB$2,'RF Mod'!$A$2:$G$12,2,FALSE)+VLOOKUP($AD$2,'RF Mod'!$I$2:$O$11,2,FALSE)+(TRUNC(6+(24-6)*(TRUNC(MOD(($Z304*1103515245 +12345)/ 65536, 32768),0)/32768),0))</f>
        <v>12</v>
      </c>
      <c r="H304" s="16" t="e">
        <f t="shared" ca="1" si="17"/>
        <v>#NAME?</v>
      </c>
      <c r="I304" s="153">
        <f ca="1">VLOOKUP($AB$2,'RF Mod'!$A$2:$G$12,3,FALSE)+VLOOKUP($AD$2,'RF Mod'!$I$2:$O$11,3,FALSE)+(TRUNC(6+(24-6)*(TRUNC(MOD(($Z304*1103515245 +12345)/ 65536, 32768),0)/32768),0))</f>
        <v>16</v>
      </c>
      <c r="J304" s="16" t="e">
        <f t="shared" ca="1" si="18"/>
        <v>#NAME?</v>
      </c>
      <c r="K304" s="153">
        <f ca="1">VLOOKUP($AB$2,'RF Mod'!$A$2:$G$12,3,FALSE)+VLOOKUP($AD$2,'RF Mod'!$I$2:$O$11,3,FALSE)+(TRUNC(6+(24-6)*(TRUNC(MOD(($Z304*1103515245 +12345)/ 65536, 32768),0)/32768),0))</f>
        <v>16</v>
      </c>
      <c r="L304" s="16" t="e">
        <f t="shared" ca="1" si="19"/>
        <v>#NAME?</v>
      </c>
      <c r="M304" s="153">
        <f ca="1">VLOOKUP($AB$2,'RF Mod'!$A$2:$G$12,4,FALSE)+VLOOKUP($AD$2,'RF Mod'!$I$2:$O$11,4,FALSE)+(TRUNC(6+(24-6)*(TRUNC(MOD(($Z304*1103515245 +12345)/ 65536, 32768),0)/32768),0))</f>
        <v>15</v>
      </c>
      <c r="N304" s="16" t="e">
        <f t="shared" ca="1" si="20"/>
        <v>#NAME?</v>
      </c>
      <c r="O304" s="153">
        <f ca="1">VLOOKUP($AB$2,'RF Mod'!$A$2:$G$12,5,FALSE)+VLOOKUP($AD$2,'RF Mod'!$I$2:$O$11,5,FALSE)+(TRUNC(6+(24-6)*(TRUNC(MOD(($Z304*1103515245 +12345)/ 65536, 32768),0)/32768),0))</f>
        <v>18</v>
      </c>
      <c r="P304" s="16" t="e">
        <f t="shared" ca="1" si="21"/>
        <v>#NAME?</v>
      </c>
      <c r="Q304" s="153">
        <f ca="1">VLOOKUP($AB$2,'RF Mod'!$A$2:$G$12,6,FALSE)+VLOOKUP($AD$2,'RF Mod'!$I$2:$O$11,6,FALSE)+(TRUNC(6+(24-6)*(TRUNC(MOD(($Z304*1103515245 +12345)/ 65536, 32768),0)/32768),0))</f>
        <v>16</v>
      </c>
      <c r="R304" s="16" t="e">
        <f t="shared" ca="1" si="22"/>
        <v>#NAME?</v>
      </c>
      <c r="S304" s="154">
        <f t="shared" ca="1" si="28"/>
        <v>160</v>
      </c>
      <c r="T304" s="154">
        <f t="shared" ca="1" si="23"/>
        <v>108</v>
      </c>
      <c r="U304" s="16" t="str">
        <f t="shared" ca="1" si="24"/>
        <v>Bloody</v>
      </c>
      <c r="V304" s="155">
        <f ca="1">IFERROR(__xludf.DUMMYFUNCTION("if(W304=""Middle Age"",QUERY(NPCVar!$K$2:$N1000, ""Select L where K = '""&amp;AB304&amp;""'""),if(W304=""Old"",QUERY(NPCVar!$K$2:$N1000, ""Select M where K = '""&amp;AB304&amp;""'""),if(W304=""Venerable"",QUERY(NPCVar!$K$2:$N1000, ""Select N where K = '""&amp;AB304&amp;""'""),fa"&amp;"lse)))*X304"),60.5)</f>
        <v>60.5</v>
      </c>
      <c r="W304" s="156" t="str">
        <f t="array" ref="W304">INDEX(NPCAgeType,TRUNC(1+(4-1)*(TRUNC(MOD((X304*1103515245 +12345)/ 65536, 32768),0)/32768),0))</f>
        <v>Middle Age</v>
      </c>
      <c r="X304" s="117">
        <f t="shared" si="29"/>
        <v>2.2000000000000002</v>
      </c>
      <c r="Y304" s="157" t="e">
        <f t="array" aca="1" ref="Y304" ca="1">LOOKUP(ABS(MAX(Z304 + MIN(ABS(INDIRECT("Class Jobs!B"&amp;MATCH(E304,'Class Jobs'!$A$1:$A1000,0)&amp;":"&amp;"AF"&amp;MATCH(E304,'Class Jobs'!$A$1:$A1000,0)&amp;"")-$Z304)) * SUM(IF(MIN(ABS(INDIRECT("Class Jobs!B"&amp;MATCH(E304,'Class Jobs'!$A$1:$A1000,0)&amp;":"&amp;"AF"&amp;MATCH(E304,'Class Jobs'!$A$1:$A1000,0)&amp;"")-$Z304))=ABS(INDIRECT("Class Jobs!B"&amp;MATCH(E304,'Class Jobs'!$A$1:$A1000,0)&amp;":"&amp;"AF"&amp;MATCH(E304,'Class Jobs'!$A$1:$A1000,0)&amp;"")-$Z304),SIGN(INDIRECT("Class Jobs!B"&amp;MATCH(E304,'Class Jobs'!$A$1:A1000,0)&amp;":"&amp;"AF"&amp;MATCH(E304,'Class Jobs'!$A$1:$A1000,0)&amp;"")-$Z304),0)),0)),INDIRECT("Class Jobs!B"&amp;MATCH(E304,'Class Jobs'!$A$1:$A1000,0)&amp;":"&amp;"AF"&amp;MATCH(E304,'Class Jobs'!$A$1:$A1000,1)&amp;""),'Class Jobs'!$B$1:$AF$1)</f>
        <v>#REF!</v>
      </c>
      <c r="Z304" s="158">
        <f t="shared" si="25"/>
        <v>0.88</v>
      </c>
      <c r="AA304" s="16" t="str">
        <f t="array" ref="AA304">INDEX(NPCGender,TRUNC(1+(COUNTA(NPCGender))*(TRUNC(MOD(($B304*1103515245 +12345)/ 65536, 32768),0)/32768),0))</f>
        <v>Neutral</v>
      </c>
      <c r="AB304" s="16" t="str">
        <f t="array" ref="AB304">INDEX(NPCRace,TRUNC(1+(COUNTA(NPCRace))*(TRUNC(MOD(($B304*1103515245 +12345)/ 65536, 32768),0)/32768),0))</f>
        <v>Genasi</v>
      </c>
      <c r="AC304" s="16" t="str">
        <f t="array" ref="AC304">INDEX(NPCAL,TRUNC(1+(COUNTA(NPCAL))*(TRUNC(MOD(($B304*1103515245 +12345)/ 65536, 32768),0)/32768),0))</f>
        <v>LN</v>
      </c>
      <c r="AD304" s="72" t="str">
        <f ca="1">IFERROR(__xludf.DUMMYFUNCTION("if(V304&lt;15,QUERY(NPCVar!C:D,""Select D WHERE C = '""&amp;D304&amp;""'""),if((TRUNC(1+10)*(TRUNC(MOD((ROW(H304)*1103515245 +12345)/ 65536, 32768),0)/32768)/10) &gt; 0.85,INDEX(NPCFaction,TRUNC(1+(counta(NPCFaction)-1)*(TRUNC(MOD(($B304*1103515245 +12345)/ 65536, 3276"&amp;"8),0)/32768),0)),QUERY(NPCVar!C:D,""Select D WHERE C = '""&amp;D304&amp;""'"")))"),"Thieves Guild")</f>
        <v>Thieves Guild</v>
      </c>
      <c r="AE304" s="108" t="e">
        <f t="shared" ca="1" si="26"/>
        <v>#NAME?</v>
      </c>
      <c r="AF304" s="159">
        <f ca="1">IFERROR(__xludf.DUMMYFUNCTION("AE304*(V304 / QUERY(NPCVar!$K$2:$N$12, ""Select N WHERE K='""&amp;AB304&amp;""'""))*TRUNC(1+10)*(TRUNC(MOD(($B304*1103515245 +12345)/ 65536, 32768),0)/32768)"),4.26764282226562)</f>
        <v>4.2676428222656204</v>
      </c>
      <c r="AG304" s="16"/>
      <c r="AH304" s="77"/>
      <c r="AI304" s="114"/>
    </row>
    <row r="305" spans="1:35" ht="16.2">
      <c r="A305" s="53">
        <v>304</v>
      </c>
      <c r="B305" s="118">
        <f t="shared" si="27"/>
        <v>0.71006999999999998</v>
      </c>
      <c r="C305" s="72" t="str">
        <f t="array" ref="C305">INDEX(NPCFName,TRUNC(1+(COUNTA(NPCFName))*(TRUNC(MOD(($B305*1103515245 +12345)/ 65536, 32768),0)/32768),0))</f>
        <v>Biedgar</v>
      </c>
      <c r="D305" s="16" t="str">
        <f t="array" ref="D305">INDEX(NPCLName,TRUNC(1+(COUNTA(NPCLName))*(TRUNC(MOD(($B305*1103515245 +12345)/ 65536, 32768),0)/32768),0))</f>
        <v>Leafblight</v>
      </c>
      <c r="E305" s="16" t="str">
        <f t="array" ref="E305">INDEX(NPCClass,TRUNC(1+(COUNTA(NPCClass))*(TRUNC(MOD(($B305*1103515245 +12345)/ 65536, 32768),0)/32768),0))</f>
        <v>Paladin</v>
      </c>
      <c r="F305" s="76">
        <v>5</v>
      </c>
      <c r="G305" s="153">
        <f ca="1">VLOOKUP($AB$2,'RF Mod'!$A$2:$G$12,2,FALSE)+VLOOKUP($AD$2,'RF Mod'!$I$2:$O$11,2,FALSE)+(TRUNC(6+(24-6)*(TRUNC(MOD(($Z305*1103515245 +12345)/ 65536, 32768),0)/32768),0))</f>
        <v>7</v>
      </c>
      <c r="H305" s="16">
        <f t="shared" ca="1" si="17"/>
        <v>-2</v>
      </c>
      <c r="I305" s="153">
        <f ca="1">VLOOKUP($AB$2,'RF Mod'!$A$2:$G$12,3,FALSE)+VLOOKUP($AD$2,'RF Mod'!$I$2:$O$11,3,FALSE)+(TRUNC(6+(24-6)*(TRUNC(MOD(($Z305*1103515245 +12345)/ 65536, 32768),0)/32768),0))</f>
        <v>11</v>
      </c>
      <c r="J305" s="16" t="e">
        <f t="shared" ca="1" si="18"/>
        <v>#NAME?</v>
      </c>
      <c r="K305" s="153">
        <f ca="1">VLOOKUP($AB$2,'RF Mod'!$A$2:$G$12,3,FALSE)+VLOOKUP($AD$2,'RF Mod'!$I$2:$O$11,3,FALSE)+(TRUNC(6+(24-6)*(TRUNC(MOD(($Z305*1103515245 +12345)/ 65536, 32768),0)/32768),0))</f>
        <v>11</v>
      </c>
      <c r="L305" s="16" t="e">
        <f t="shared" ca="1" si="19"/>
        <v>#NAME?</v>
      </c>
      <c r="M305" s="153">
        <f ca="1">VLOOKUP($AB$2,'RF Mod'!$A$2:$G$12,4,FALSE)+VLOOKUP($AD$2,'RF Mod'!$I$2:$O$11,4,FALSE)+(TRUNC(6+(24-6)*(TRUNC(MOD(($Z305*1103515245 +12345)/ 65536, 32768),0)/32768),0))</f>
        <v>10</v>
      </c>
      <c r="N305" s="16" t="e">
        <f t="shared" ca="1" si="20"/>
        <v>#NAME?</v>
      </c>
      <c r="O305" s="153">
        <f ca="1">VLOOKUP($AB$2,'RF Mod'!$A$2:$G$12,5,FALSE)+VLOOKUP($AD$2,'RF Mod'!$I$2:$O$11,5,FALSE)+(TRUNC(6+(24-6)*(TRUNC(MOD(($Z305*1103515245 +12345)/ 65536, 32768),0)/32768),0))</f>
        <v>13</v>
      </c>
      <c r="P305" s="16" t="e">
        <f t="shared" ca="1" si="21"/>
        <v>#NAME?</v>
      </c>
      <c r="Q305" s="153">
        <f ca="1">VLOOKUP($AB$2,'RF Mod'!$A$2:$G$12,6,FALSE)+VLOOKUP($AD$2,'RF Mod'!$I$2:$O$11,6,FALSE)+(TRUNC(6+(24-6)*(TRUNC(MOD(($Z305*1103515245 +12345)/ 65536, 32768),0)/32768),0))</f>
        <v>11</v>
      </c>
      <c r="R305" s="16" t="e">
        <f t="shared" ca="1" si="22"/>
        <v>#NAME?</v>
      </c>
      <c r="S305" s="154">
        <f t="shared" ca="1" si="28"/>
        <v>65</v>
      </c>
      <c r="T305" s="154">
        <f t="shared" ca="1" si="23"/>
        <v>27</v>
      </c>
      <c r="U305" s="16" t="str">
        <f t="shared" ca="1" si="24"/>
        <v>Fine</v>
      </c>
      <c r="V305" s="155">
        <f ca="1">IFERROR(__xludf.DUMMYFUNCTION("if(W305=""Middle Age"",QUERY(NPCVar!$K$2:$N1000, ""Select L where K = '""&amp;AB305&amp;""'""),if(W305=""Old"",QUERY(NPCVar!$K$2:$N1000, ""Select M where K = '""&amp;AB305&amp;""'""),if(W305=""Venerable"",QUERY(NPCVar!$K$2:$N1000, ""Select N where K = '""&amp;AB305&amp;""'""),fa"&amp;"lse)))*X305"),60.75)</f>
        <v>60.75</v>
      </c>
      <c r="W305" s="156" t="str">
        <f t="array" ref="W305">INDEX(NPCAgeType,TRUNC(1+(4-1)*(TRUNC(MOD((X305*1103515245 +12345)/ 65536, 32768),0)/32768),0))</f>
        <v>Old</v>
      </c>
      <c r="X305" s="117">
        <f t="shared" si="29"/>
        <v>0.9</v>
      </c>
      <c r="Y305" s="157" t="e">
        <f t="array" aca="1" ref="Y305" ca="1">LOOKUP(ABS(MAX(Z305 + MIN(ABS(INDIRECT("Class Jobs!B"&amp;MATCH(E305,'Class Jobs'!$A$1:$A1000,0)&amp;":"&amp;"AF"&amp;MATCH(E305,'Class Jobs'!$A$1:$A1000,0)&amp;"")-$Z305)) * SUM(IF(MIN(ABS(INDIRECT("Class Jobs!B"&amp;MATCH(E305,'Class Jobs'!$A$1:$A1000,0)&amp;":"&amp;"AF"&amp;MATCH(E305,'Class Jobs'!$A$1:$A1000,0)&amp;"")-$Z305))=ABS(INDIRECT("Class Jobs!B"&amp;MATCH(E305,'Class Jobs'!$A$1:$A1000,0)&amp;":"&amp;"AF"&amp;MATCH(E305,'Class Jobs'!$A$1:$A1000,0)&amp;"")-$Z305),SIGN(INDIRECT("Class Jobs!B"&amp;MATCH(E305,'Class Jobs'!$A$1:A1000,0)&amp;":"&amp;"AF"&amp;MATCH(E305,'Class Jobs'!$A$1:$A1000,0)&amp;"")-$Z305),0)),0)),INDIRECT("Class Jobs!B"&amp;MATCH(E305,'Class Jobs'!$A$1:$A1000,0)&amp;":"&amp;"AF"&amp;MATCH(E305,'Class Jobs'!$A$1:$A1000,1)&amp;""),'Class Jobs'!$B$1:$AF$1)</f>
        <v>#REF!</v>
      </c>
      <c r="Z305" s="158">
        <f t="shared" si="25"/>
        <v>0.37</v>
      </c>
      <c r="AA305" s="16" t="str">
        <f t="array" ref="AA305">INDEX(NPCGender,TRUNC(1+(COUNTA(NPCGender))*(TRUNC(MOD(($B305*1103515245 +12345)/ 65536, 32768),0)/32768),0))</f>
        <v>Female</v>
      </c>
      <c r="AB305" s="16" t="str">
        <f t="array" ref="AB305">INDEX(NPCRace,TRUNC(1+(COUNTA(NPCRace))*(TRUNC(MOD(($B305*1103515245 +12345)/ 65536, 32768),0)/32768),0))</f>
        <v>Half-Elf</v>
      </c>
      <c r="AC305" s="16" t="str">
        <f t="array" ref="AC305">INDEX(NPCAL,TRUNC(1+(COUNTA(NPCAL))*(TRUNC(MOD(($B305*1103515245 +12345)/ 65536, 32768),0)/32768),0))</f>
        <v>NG</v>
      </c>
      <c r="AD305" s="72" t="str">
        <f ca="1">IFERROR(__xludf.DUMMYFUNCTION("if(V305&lt;15,QUERY(NPCVar!C:D,""Select D WHERE C = '""&amp;D305&amp;""'""),if((TRUNC(1+10)*(TRUNC(MOD((ROW(H305)*1103515245 +12345)/ 65536, 32768),0)/32768)/10) &gt; 0.85,INDEX(NPCFaction,TRUNC(1+(counta(NPCFaction)-1)*(TRUNC(MOD(($B305*1103515245 +12345)/ 65536, 3276"&amp;"8),0)/32768),0)),QUERY(NPCVar!C:D,""Select D WHERE C = '""&amp;D305&amp;""'"")))"),"Necromancer")</f>
        <v>Necromancer</v>
      </c>
      <c r="AE305" s="108" t="e">
        <f t="shared" ca="1" si="26"/>
        <v>#NAME?</v>
      </c>
      <c r="AF305" s="159">
        <f ca="1">IFERROR(__xludf.DUMMYFUNCTION("AE305*(V305 / QUERY(NPCVar!$K$2:$N$12, ""Select N WHERE K='""&amp;AB305&amp;""'""))*TRUNC(1+10)*(TRUNC(MOD(($B305*1103515245 +12345)/ 65536, 32768),0)/32768)"),0.135457305908203)</f>
        <v>0.13545730590820301</v>
      </c>
      <c r="AG305" s="16"/>
      <c r="AH305" s="77"/>
      <c r="AI305" s="114"/>
    </row>
    <row r="306" spans="1:35" ht="16.2">
      <c r="A306" s="53">
        <v>305</v>
      </c>
      <c r="B306" s="118">
        <f t="shared" si="27"/>
        <v>2.2042000000000002</v>
      </c>
      <c r="C306" s="72" t="str">
        <f t="array" ref="C306">INDEX(NPCFName,TRUNC(1+(COUNTA(NPCFName))*(TRUNC(MOD(($B306*1103515245 +12345)/ 65536, 32768),0)/32768),0))</f>
        <v>Hectar</v>
      </c>
      <c r="D306" s="16" t="str">
        <f t="array" ref="D306">INDEX(NPCLName,TRUNC(1+(COUNTA(NPCLName))*(TRUNC(MOD(($B306*1103515245 +12345)/ 65536, 32768),0)/32768),0))</f>
        <v>Distantlash</v>
      </c>
      <c r="E306" s="16" t="str">
        <f t="array" ref="E306">INDEX(NPCClass,TRUNC(1+(COUNTA(NPCClass))*(TRUNC(MOD(($B306*1103515245 +12345)/ 65536, 32768),0)/32768),0))</f>
        <v>Bard</v>
      </c>
      <c r="F306" s="76">
        <v>1</v>
      </c>
      <c r="G306" s="153">
        <f ca="1">VLOOKUP($AB$2,'RF Mod'!$A$2:$G$12,2,FALSE)+VLOOKUP($AD$2,'RF Mod'!$I$2:$O$11,2,FALSE)+(TRUNC(6+(24-6)*(TRUNC(MOD(($Z306*1103515245 +12345)/ 65536, 32768),0)/32768),0))</f>
        <v>5</v>
      </c>
      <c r="H306" s="16">
        <f t="shared" ca="1" si="17"/>
        <v>-3</v>
      </c>
      <c r="I306" s="153">
        <f ca="1">VLOOKUP($AB$2,'RF Mod'!$A$2:$G$12,3,FALSE)+VLOOKUP($AD$2,'RF Mod'!$I$2:$O$11,3,FALSE)+(TRUNC(6+(24-6)*(TRUNC(MOD(($Z306*1103515245 +12345)/ 65536, 32768),0)/32768),0))</f>
        <v>9</v>
      </c>
      <c r="J306" s="16">
        <f t="shared" ca="1" si="18"/>
        <v>-1</v>
      </c>
      <c r="K306" s="153">
        <f ca="1">VLOOKUP($AB$2,'RF Mod'!$A$2:$G$12,3,FALSE)+VLOOKUP($AD$2,'RF Mod'!$I$2:$O$11,3,FALSE)+(TRUNC(6+(24-6)*(TRUNC(MOD(($Z306*1103515245 +12345)/ 65536, 32768),0)/32768),0))</f>
        <v>9</v>
      </c>
      <c r="L306" s="16">
        <f t="shared" ca="1" si="19"/>
        <v>-1</v>
      </c>
      <c r="M306" s="153">
        <f ca="1">VLOOKUP($AB$2,'RF Mod'!$A$2:$G$12,4,FALSE)+VLOOKUP($AD$2,'RF Mod'!$I$2:$O$11,4,FALSE)+(TRUNC(6+(24-6)*(TRUNC(MOD(($Z306*1103515245 +12345)/ 65536, 32768),0)/32768),0))</f>
        <v>8</v>
      </c>
      <c r="N306" s="16">
        <f t="shared" ca="1" si="20"/>
        <v>-1</v>
      </c>
      <c r="O306" s="153">
        <f ca="1">VLOOKUP($AB$2,'RF Mod'!$A$2:$G$12,5,FALSE)+VLOOKUP($AD$2,'RF Mod'!$I$2:$O$11,5,FALSE)+(TRUNC(6+(24-6)*(TRUNC(MOD(($Z306*1103515245 +12345)/ 65536, 32768),0)/32768),0))</f>
        <v>11</v>
      </c>
      <c r="P306" s="16" t="e">
        <f t="shared" ca="1" si="21"/>
        <v>#NAME?</v>
      </c>
      <c r="Q306" s="153">
        <f ca="1">VLOOKUP($AB$2,'RF Mod'!$A$2:$G$12,6,FALSE)+VLOOKUP($AD$2,'RF Mod'!$I$2:$O$11,6,FALSE)+(TRUNC(6+(24-6)*(TRUNC(MOD(($Z306*1103515245 +12345)/ 65536, 32768),0)/32768),0))</f>
        <v>9</v>
      </c>
      <c r="R306" s="16">
        <f t="shared" ca="1" si="22"/>
        <v>-1</v>
      </c>
      <c r="S306" s="154">
        <f t="shared" ca="1" si="28"/>
        <v>11</v>
      </c>
      <c r="T306" s="154">
        <f t="shared" ca="1" si="23"/>
        <v>8</v>
      </c>
      <c r="U306" s="16" t="str">
        <f t="shared" ca="1" si="24"/>
        <v>Bloody</v>
      </c>
      <c r="V306" s="155">
        <f ca="1">IFERROR(__xludf.DUMMYFUNCTION("if(W306=""Middle Age"",QUERY(NPCVar!$K$2:$N1000, ""Select L where K = '""&amp;AB306&amp;""'""),if(W306=""Old"",QUERY(NPCVar!$K$2:$N1000, ""Select M where K = '""&amp;AB306&amp;""'""),if(W306=""Venerable"",QUERY(NPCVar!$K$2:$N1000, ""Select N where K = '""&amp;AB306&amp;""'""),fa"&amp;"lse)))*X306"),32)</f>
        <v>32</v>
      </c>
      <c r="W306" s="156" t="str">
        <f t="array" ref="W306">INDEX(NPCAgeType,TRUNC(1+(4-1)*(TRUNC(MOD((X306*1103515245 +12345)/ 65536, 32768),0)/32768),0))</f>
        <v>Middle Age</v>
      </c>
      <c r="X306" s="117">
        <f t="shared" si="29"/>
        <v>0.4</v>
      </c>
      <c r="Y306" s="157" t="e">
        <f t="array" aca="1" ref="Y306" ca="1">LOOKUP(ABS(MAX(Z306 + MIN(ABS(INDIRECT("Class Jobs!B"&amp;MATCH(E306,'Class Jobs'!$A$1:$A1000,0)&amp;":"&amp;"AF"&amp;MATCH(E306,'Class Jobs'!$A$1:$A1000,0)&amp;"")-$Z306)) * SUM(IF(MIN(ABS(INDIRECT("Class Jobs!B"&amp;MATCH(E306,'Class Jobs'!$A$1:$A1000,0)&amp;":"&amp;"AF"&amp;MATCH(E306,'Class Jobs'!$A$1:$A1000,0)&amp;"")-$Z306))=ABS(INDIRECT("Class Jobs!B"&amp;MATCH(E306,'Class Jobs'!$A$1:$A1000,0)&amp;":"&amp;"AF"&amp;MATCH(E306,'Class Jobs'!$A$1:$A1000,0)&amp;"")-$Z306),SIGN(INDIRECT("Class Jobs!B"&amp;MATCH(E306,'Class Jobs'!$A$1:A1000,0)&amp;":"&amp;"AF"&amp;MATCH(E306,'Class Jobs'!$A$1:$A1000,0)&amp;"")-$Z306),0)),0)),INDIRECT("Class Jobs!B"&amp;MATCH(E306,'Class Jobs'!$A$1:$A1000,0)&amp;":"&amp;"AF"&amp;MATCH(E306,'Class Jobs'!$A$1:$A1000,1)&amp;""),'Class Jobs'!$B$1:$AF$1)</f>
        <v>#REF!</v>
      </c>
      <c r="Z306" s="158">
        <f t="shared" si="25"/>
        <v>0.14000000000000001</v>
      </c>
      <c r="AA306" s="16" t="str">
        <f t="array" ref="AA306">INDEX(NPCGender,TRUNC(1+(COUNTA(NPCGender))*(TRUNC(MOD(($B306*1103515245 +12345)/ 65536, 32768),0)/32768),0))</f>
        <v>Male</v>
      </c>
      <c r="AB306" s="16" t="str">
        <f t="array" ref="AB306">INDEX(NPCRace,TRUNC(1+(COUNTA(NPCRace))*(TRUNC(MOD(($B306*1103515245 +12345)/ 65536, 32768),0)/32768),0))</f>
        <v>Dwarf</v>
      </c>
      <c r="AC306" s="16" t="str">
        <f t="array" ref="AC306">INDEX(NPCAL,TRUNC(1+(COUNTA(NPCAL))*(TRUNC(MOD(($B306*1103515245 +12345)/ 65536, 32768),0)/32768),0))</f>
        <v>CE</v>
      </c>
      <c r="AD306" s="72" t="str">
        <f ca="1">IFERROR(__xludf.DUMMYFUNCTION("if(V306&lt;15,QUERY(NPCVar!C:D,""Select D WHERE C = '""&amp;D306&amp;""'""),if((TRUNC(1+10)*(TRUNC(MOD((ROW(H306)*1103515245 +12345)/ 65536, 32768),0)/32768)/10) &gt; 0.85,INDEX(NPCFaction,TRUNC(1+(counta(NPCFaction)-1)*(TRUNC(MOD(($B306*1103515245 +12345)/ 65536, 3276"&amp;"8),0)/32768),0)),QUERY(NPCVar!C:D,""Select D WHERE C = '""&amp;D306&amp;""'"")))"),"Death Guild")</f>
        <v>Death Guild</v>
      </c>
      <c r="AE306" s="108" t="e">
        <f t="shared" ca="1" si="26"/>
        <v>#NAME?</v>
      </c>
      <c r="AF306" s="159">
        <f ca="1">IFERROR(__xludf.DUMMYFUNCTION("AE306*(V306 / QUERY(NPCVar!$K$2:$N$12, ""Select N WHERE K='""&amp;AB306&amp;""'""))*TRUNC(1+10)*(TRUNC(MOD(($B306*1103515245 +12345)/ 65536, 32768),0)/32768)"),0.058370361328125)</f>
        <v>5.8370361328125002E-2</v>
      </c>
      <c r="AG306" s="16"/>
      <c r="AH306" s="77"/>
      <c r="AI306" s="114"/>
    </row>
    <row r="307" spans="1:35" ht="16.2">
      <c r="A307" s="53">
        <v>306</v>
      </c>
      <c r="B307" s="118">
        <f t="shared" si="27"/>
        <v>1.19835</v>
      </c>
      <c r="C307" s="72" t="str">
        <f t="array" ref="C307">INDEX(NPCFName,TRUNC(1+(COUNTA(NPCFName))*(TRUNC(MOD(($B307*1103515245 +12345)/ 65536, 32768),0)/32768),0))</f>
        <v>Tholan</v>
      </c>
      <c r="D307" s="16" t="str">
        <f t="array" ref="D307">INDEX(NPCLName,TRUNC(1+(COUNTA(NPCLName))*(TRUNC(MOD(($B307*1103515245 +12345)/ 65536, 32768),0)/32768),0))</f>
        <v>Gloomrage</v>
      </c>
      <c r="E307" s="16" t="str">
        <f t="array" ref="E307">INDEX(NPCClass,TRUNC(1+(COUNTA(NPCClass))*(TRUNC(MOD(($B307*1103515245 +12345)/ 65536, 32768),0)/32768),0))</f>
        <v>Warlock</v>
      </c>
      <c r="F307" s="76">
        <v>8</v>
      </c>
      <c r="G307" s="153">
        <f ca="1">VLOOKUP($AB$2,'RF Mod'!$A$2:$G$12,2,FALSE)+VLOOKUP($AD$2,'RF Mod'!$I$2:$O$11,2,FALSE)+(TRUNC(6+(24-6)*(TRUNC(MOD(($Z307*1103515245 +12345)/ 65536, 32768),0)/32768),0))</f>
        <v>9</v>
      </c>
      <c r="H307" s="16">
        <f t="shared" ca="1" si="17"/>
        <v>-1</v>
      </c>
      <c r="I307" s="153">
        <f ca="1">VLOOKUP($AB$2,'RF Mod'!$A$2:$G$12,3,FALSE)+VLOOKUP($AD$2,'RF Mod'!$I$2:$O$11,3,FALSE)+(TRUNC(6+(24-6)*(TRUNC(MOD(($Z307*1103515245 +12345)/ 65536, 32768),0)/32768),0))</f>
        <v>13</v>
      </c>
      <c r="J307" s="16" t="e">
        <f t="shared" ca="1" si="18"/>
        <v>#NAME?</v>
      </c>
      <c r="K307" s="153">
        <f ca="1">VLOOKUP($AB$2,'RF Mod'!$A$2:$G$12,3,FALSE)+VLOOKUP($AD$2,'RF Mod'!$I$2:$O$11,3,FALSE)+(TRUNC(6+(24-6)*(TRUNC(MOD(($Z307*1103515245 +12345)/ 65536, 32768),0)/32768),0))</f>
        <v>13</v>
      </c>
      <c r="L307" s="16" t="e">
        <f t="shared" ca="1" si="19"/>
        <v>#NAME?</v>
      </c>
      <c r="M307" s="153">
        <f ca="1">VLOOKUP($AB$2,'RF Mod'!$A$2:$G$12,4,FALSE)+VLOOKUP($AD$2,'RF Mod'!$I$2:$O$11,4,FALSE)+(TRUNC(6+(24-6)*(TRUNC(MOD(($Z307*1103515245 +12345)/ 65536, 32768),0)/32768),0))</f>
        <v>12</v>
      </c>
      <c r="N307" s="16" t="e">
        <f t="shared" ca="1" si="20"/>
        <v>#NAME?</v>
      </c>
      <c r="O307" s="153">
        <f ca="1">VLOOKUP($AB$2,'RF Mod'!$A$2:$G$12,5,FALSE)+VLOOKUP($AD$2,'RF Mod'!$I$2:$O$11,5,FALSE)+(TRUNC(6+(24-6)*(TRUNC(MOD(($Z307*1103515245 +12345)/ 65536, 32768),0)/32768),0))</f>
        <v>15</v>
      </c>
      <c r="P307" s="16" t="e">
        <f t="shared" ca="1" si="21"/>
        <v>#NAME?</v>
      </c>
      <c r="Q307" s="153">
        <f ca="1">VLOOKUP($AB$2,'RF Mod'!$A$2:$G$12,6,FALSE)+VLOOKUP($AD$2,'RF Mod'!$I$2:$O$11,6,FALSE)+(TRUNC(6+(24-6)*(TRUNC(MOD(($Z307*1103515245 +12345)/ 65536, 32768),0)/32768),0))</f>
        <v>13</v>
      </c>
      <c r="R307" s="16" t="e">
        <f t="shared" ca="1" si="22"/>
        <v>#NAME?</v>
      </c>
      <c r="S307" s="154">
        <f t="shared" ca="1" si="28"/>
        <v>120</v>
      </c>
      <c r="T307" s="154">
        <f t="shared" ca="1" si="23"/>
        <v>98</v>
      </c>
      <c r="U307" s="16" t="str">
        <f t="shared" ca="1" si="24"/>
        <v>Bloody</v>
      </c>
      <c r="V307" s="155">
        <f ca="1">IFERROR(__xludf.DUMMYFUNCTION("if(W307=""Middle Age"",QUERY(NPCVar!$K$2:$N1000, ""Select L where K = '""&amp;AB307&amp;""'""),if(W307=""Old"",QUERY(NPCVar!$K$2:$N1000, ""Select M where K = '""&amp;AB307&amp;""'""),if(W307=""Venerable"",QUERY(NPCVar!$K$2:$N1000, ""Select N where K = '""&amp;AB307&amp;""'""),fa"&amp;"lse)))*X307"),300)</f>
        <v>300</v>
      </c>
      <c r="W307" s="156" t="str">
        <f t="array" ref="W307">INDEX(NPCAgeType,TRUNC(1+(4-1)*(TRUNC(MOD((X307*1103515245 +12345)/ 65536, 32768),0)/32768),0))</f>
        <v>Venerable</v>
      </c>
      <c r="X307" s="117">
        <f t="shared" si="29"/>
        <v>1.5</v>
      </c>
      <c r="Y307" s="157" t="e">
        <f t="array" aca="1" ref="Y307" ca="1">LOOKUP(ABS(MAX(Z307 + MIN(ABS(INDIRECT("Class Jobs!B"&amp;MATCH(E307,'Class Jobs'!$A$1:$A1000,0)&amp;":"&amp;"AF"&amp;MATCH(E307,'Class Jobs'!$A$1:$A1000,0)&amp;"")-$Z307)) * SUM(IF(MIN(ABS(INDIRECT("Class Jobs!B"&amp;MATCH(E307,'Class Jobs'!$A$1:$A1000,0)&amp;":"&amp;"AF"&amp;MATCH(E307,'Class Jobs'!$A$1:$A1000,0)&amp;"")-$Z307))=ABS(INDIRECT("Class Jobs!B"&amp;MATCH(E307,'Class Jobs'!$A$1:$A1000,0)&amp;":"&amp;"AF"&amp;MATCH(E307,'Class Jobs'!$A$1:$A1000,0)&amp;"")-$Z307),SIGN(INDIRECT("Class Jobs!B"&amp;MATCH(E307,'Class Jobs'!$A$1:A1000,0)&amp;":"&amp;"AF"&amp;MATCH(E307,'Class Jobs'!$A$1:$A1000,0)&amp;"")-$Z307),0)),0)),INDIRECT("Class Jobs!B"&amp;MATCH(E307,'Class Jobs'!$A$1:$A1000,0)&amp;":"&amp;"AF"&amp;MATCH(E307,'Class Jobs'!$A$1:$A1000,1)&amp;""),'Class Jobs'!$B$1:$AF$1)</f>
        <v>#REF!</v>
      </c>
      <c r="Z307" s="158">
        <f t="shared" si="25"/>
        <v>0.61</v>
      </c>
      <c r="AA307" s="16" t="str">
        <f t="array" ref="AA307">INDEX(NPCGender,TRUNC(1+(COUNTA(NPCGender))*(TRUNC(MOD(($B307*1103515245 +12345)/ 65536, 32768),0)/32768),0))</f>
        <v>Female</v>
      </c>
      <c r="AB307" s="16" t="str">
        <f t="array" ref="AB307">INDEX(NPCRace,TRUNC(1+(COUNTA(NPCRace))*(TRUNC(MOD(($B307*1103515245 +12345)/ 65536, 32768),0)/32768),0))</f>
        <v>Halfling</v>
      </c>
      <c r="AC307" s="16" t="str">
        <f t="array" ref="AC307">INDEX(NPCAL,TRUNC(1+(COUNTA(NPCAL))*(TRUNC(MOD(($B307*1103515245 +12345)/ 65536, 32768),0)/32768),0))</f>
        <v>NE</v>
      </c>
      <c r="AD307" s="72" t="str">
        <f ca="1">IFERROR(__xludf.DUMMYFUNCTION("if(V307&lt;15,QUERY(NPCVar!C:D,""Select D WHERE C = '""&amp;D307&amp;""'""),if((TRUNC(1+10)*(TRUNC(MOD((ROW(H307)*1103515245 +12345)/ 65536, 32768),0)/32768)/10) &gt; 0.85,INDEX(NPCFaction,TRUNC(1+(counta(NPCFaction)-1)*(TRUNC(MOD(($B307*1103515245 +12345)/ 65536, 3276"&amp;"8),0)/32768),0)),QUERY(NPCVar!C:D,""Select D WHERE C = '""&amp;D307&amp;""'"")))"),"Traders Guild")</f>
        <v>Traders Guild</v>
      </c>
      <c r="AE307" s="108" t="e">
        <f t="shared" ca="1" si="26"/>
        <v>#NAME?</v>
      </c>
      <c r="AF307" s="159">
        <f ca="1">IFERROR(__xludf.DUMMYFUNCTION("AE307*(V307 / QUERY(NPCVar!$K$2:$N$12, ""Select N WHERE K='""&amp;AB307&amp;""'""))*TRUNC(1+10)*(TRUNC(MOD(($B307*1103515245 +12345)/ 65536, 32768),0)/32768)"),4.06417236328125)</f>
        <v>4.0641723632812496</v>
      </c>
      <c r="AG307" s="16"/>
      <c r="AH307" s="77"/>
      <c r="AI307" s="114"/>
    </row>
    <row r="308" spans="1:35" ht="16.2">
      <c r="A308" s="53">
        <v>307</v>
      </c>
      <c r="B308" s="118">
        <f t="shared" si="27"/>
        <v>0.19248999999999999</v>
      </c>
      <c r="C308" s="72" t="str">
        <f t="array" ref="C308">INDEX(NPCFName,TRUNC(1+(COUNTA(NPCFName))*(TRUNC(MOD(($B308*1103515245 +12345)/ 65536, 32768),0)/32768),0))</f>
        <v>Etar</v>
      </c>
      <c r="D308" s="16" t="str">
        <f t="array" ref="D308">INDEX(NPCLName,TRUNC(1+(COUNTA(NPCLName))*(TRUNC(MOD(($B308*1103515245 +12345)/ 65536, 32768),0)/32768),0))</f>
        <v>Autumnorb</v>
      </c>
      <c r="E308" s="16" t="str">
        <f t="array" ref="E308">INDEX(NPCClass,TRUNC(1+(COUNTA(NPCClass))*(TRUNC(MOD(($B308*1103515245 +12345)/ 65536, 32768),0)/32768),0))</f>
        <v>Bard</v>
      </c>
      <c r="F308" s="76">
        <v>1</v>
      </c>
      <c r="G308" s="153">
        <f ca="1">VLOOKUP($AB$2,'RF Mod'!$A$2:$G$12,2,FALSE)+VLOOKUP($AD$2,'RF Mod'!$I$2:$O$11,2,FALSE)+(TRUNC(6+(24-6)*(TRUNC(MOD(($Z308*1103515245 +12345)/ 65536, 32768),0)/32768),0))</f>
        <v>4</v>
      </c>
      <c r="H308" s="16">
        <f t="shared" ca="1" si="17"/>
        <v>-3</v>
      </c>
      <c r="I308" s="153">
        <f ca="1">VLOOKUP($AB$2,'RF Mod'!$A$2:$G$12,3,FALSE)+VLOOKUP($AD$2,'RF Mod'!$I$2:$O$11,3,FALSE)+(TRUNC(6+(24-6)*(TRUNC(MOD(($Z308*1103515245 +12345)/ 65536, 32768),0)/32768),0))</f>
        <v>8</v>
      </c>
      <c r="J308" s="16">
        <f t="shared" ca="1" si="18"/>
        <v>-1</v>
      </c>
      <c r="K308" s="153">
        <f ca="1">VLOOKUP($AB$2,'RF Mod'!$A$2:$G$12,3,FALSE)+VLOOKUP($AD$2,'RF Mod'!$I$2:$O$11,3,FALSE)+(TRUNC(6+(24-6)*(TRUNC(MOD(($Z308*1103515245 +12345)/ 65536, 32768),0)/32768),0))</f>
        <v>8</v>
      </c>
      <c r="L308" s="16">
        <f t="shared" ca="1" si="19"/>
        <v>-1</v>
      </c>
      <c r="M308" s="153">
        <f ca="1">VLOOKUP($AB$2,'RF Mod'!$A$2:$G$12,4,FALSE)+VLOOKUP($AD$2,'RF Mod'!$I$2:$O$11,4,FALSE)+(TRUNC(6+(24-6)*(TRUNC(MOD(($Z308*1103515245 +12345)/ 65536, 32768),0)/32768),0))</f>
        <v>7</v>
      </c>
      <c r="N308" s="16">
        <f t="shared" ca="1" si="20"/>
        <v>-2</v>
      </c>
      <c r="O308" s="153">
        <f ca="1">VLOOKUP($AB$2,'RF Mod'!$A$2:$G$12,5,FALSE)+VLOOKUP($AD$2,'RF Mod'!$I$2:$O$11,5,FALSE)+(TRUNC(6+(24-6)*(TRUNC(MOD(($Z308*1103515245 +12345)/ 65536, 32768),0)/32768),0))</f>
        <v>10</v>
      </c>
      <c r="P308" s="16" t="e">
        <f t="shared" ca="1" si="21"/>
        <v>#NAME?</v>
      </c>
      <c r="Q308" s="153">
        <f ca="1">VLOOKUP($AB$2,'RF Mod'!$A$2:$G$12,6,FALSE)+VLOOKUP($AD$2,'RF Mod'!$I$2:$O$11,6,FALSE)+(TRUNC(6+(24-6)*(TRUNC(MOD(($Z308*1103515245 +12345)/ 65536, 32768),0)/32768),0))</f>
        <v>8</v>
      </c>
      <c r="R308" s="16">
        <f t="shared" ca="1" si="22"/>
        <v>-1</v>
      </c>
      <c r="S308" s="154">
        <f t="shared" ca="1" si="28"/>
        <v>10</v>
      </c>
      <c r="T308" s="154">
        <f t="shared" ca="1" si="23"/>
        <v>11</v>
      </c>
      <c r="U308" s="16" t="str">
        <f t="shared" ca="1" si="24"/>
        <v>Dead</v>
      </c>
      <c r="V308" s="155">
        <f ca="1">IFERROR(__xludf.DUMMYFUNCTION("if(W308=""Middle Age"",QUERY(NPCVar!$K$2:$N1000, ""Select L where K = '""&amp;AB308&amp;""'""),if(W308=""Old"",QUERY(NPCVar!$K$2:$N1000, ""Select M where K = '""&amp;AB308&amp;""'""),if(W308=""Venerable"",QUERY(NPCVar!$K$2:$N1000, ""Select N where K = '""&amp;AB308&amp;""'""),fa"&amp;"lse)))*X308"),24)</f>
        <v>24</v>
      </c>
      <c r="W308" s="156" t="str">
        <f t="array" ref="W308">INDEX(NPCAgeType,TRUNC(1+(4-1)*(TRUNC(MOD((X308*1103515245 +12345)/ 65536, 32768),0)/32768),0))</f>
        <v>Middle Age</v>
      </c>
      <c r="X308" s="117">
        <f t="shared" si="29"/>
        <v>0.3</v>
      </c>
      <c r="Y308" s="157" t="e">
        <f t="array" aca="1" ref="Y308" ca="1">LOOKUP(ABS(MAX(Z308 + MIN(ABS(INDIRECT("Class Jobs!B"&amp;MATCH(E308,'Class Jobs'!$A$1:$A1000,0)&amp;":"&amp;"AF"&amp;MATCH(E308,'Class Jobs'!$A$1:$A1000,0)&amp;"")-$Z308)) * SUM(IF(MIN(ABS(INDIRECT("Class Jobs!B"&amp;MATCH(E308,'Class Jobs'!$A$1:$A1000,0)&amp;":"&amp;"AF"&amp;MATCH(E308,'Class Jobs'!$A$1:$A1000,0)&amp;"")-$Z308))=ABS(INDIRECT("Class Jobs!B"&amp;MATCH(E308,'Class Jobs'!$A$1:$A1000,0)&amp;":"&amp;"AF"&amp;MATCH(E308,'Class Jobs'!$A$1:$A1000,0)&amp;"")-$Z308),SIGN(INDIRECT("Class Jobs!B"&amp;MATCH(E308,'Class Jobs'!$A$1:A1000,0)&amp;":"&amp;"AF"&amp;MATCH(E308,'Class Jobs'!$A$1:$A1000,0)&amp;"")-$Z308),0)),0)),INDIRECT("Class Jobs!B"&amp;MATCH(E308,'Class Jobs'!$A$1:$A1000,0)&amp;":"&amp;"AF"&amp;MATCH(E308,'Class Jobs'!$A$1:$A1000,1)&amp;""),'Class Jobs'!$B$1:$AF$1)</f>
        <v>#REF!</v>
      </c>
      <c r="Z308" s="158">
        <f t="shared" si="25"/>
        <v>0.1</v>
      </c>
      <c r="AA308" s="16" t="str">
        <f t="array" ref="AA308">INDEX(NPCGender,TRUNC(1+(COUNTA(NPCGender))*(TRUNC(MOD(($B308*1103515245 +12345)/ 65536, 32768),0)/32768),0))</f>
        <v>Male</v>
      </c>
      <c r="AB308" s="16" t="str">
        <f t="array" ref="AB308">INDEX(NPCRace,TRUNC(1+(COUNTA(NPCRace))*(TRUNC(MOD(($B308*1103515245 +12345)/ 65536, 32768),0)/32768),0))</f>
        <v>Dwarf</v>
      </c>
      <c r="AC308" s="16" t="str">
        <f t="array" ref="AC308">INDEX(NPCAL,TRUNC(1+(COUNTA(NPCAL))*(TRUNC(MOD(($B308*1103515245 +12345)/ 65536, 32768),0)/32768),0))</f>
        <v>CN</v>
      </c>
      <c r="AD308" s="72" t="str">
        <f ca="1">IFERROR(__xludf.DUMMYFUNCTION("if(V308&lt;15,QUERY(NPCVar!C:D,""Select D WHERE C = '""&amp;D308&amp;""'""),if((TRUNC(1+10)*(TRUNC(MOD((ROW(H308)*1103515245 +12345)/ 65536, 32768),0)/32768)/10) &gt; 0.85,INDEX(NPCFaction,TRUNC(1+(counta(NPCFaction)-1)*(TRUNC(MOD(($B308*1103515245 +12345)/ 65536, 3276"&amp;"8),0)/32768),0)),QUERY(NPCVar!C:D,""Select D WHERE C = '""&amp;D308&amp;""'"")))"),"Royalty")</f>
        <v>Royalty</v>
      </c>
      <c r="AE308" s="108" t="e">
        <f t="shared" ca="1" si="26"/>
        <v>#NAME?</v>
      </c>
      <c r="AF308" s="159">
        <f ca="1">IFERROR(__xludf.DUMMYFUNCTION("AE308*(V308 / QUERY(NPCVar!$K$2:$N$12, ""Select N WHERE K='""&amp;AB308&amp;""'""))*TRUNC(1+10)*(TRUNC(MOD(($B308*1103515245 +12345)/ 65536, 32768),0)/32768)"),0.0326394653320312)</f>
        <v>3.2639465332031201E-2</v>
      </c>
      <c r="AG308" s="16"/>
      <c r="AH308" s="77"/>
      <c r="AI308" s="114"/>
    </row>
    <row r="309" spans="1:35" ht="16.2">
      <c r="A309" s="53">
        <v>308</v>
      </c>
      <c r="B309" s="118">
        <f t="shared" si="27"/>
        <v>1.6866300000000001</v>
      </c>
      <c r="C309" s="72" t="str">
        <f t="array" ref="C309">INDEX(NPCFName,TRUNC(1+(COUNTA(NPCFName))*(TRUNC(MOD(($B309*1103515245 +12345)/ 65536, 32768),0)/32768),0))</f>
        <v>Mylo</v>
      </c>
      <c r="D309" s="16" t="str">
        <f t="array" ref="D309">INDEX(NPCLName,TRUNC(1+(COUNTA(NPCLName))*(TRUNC(MOD(($B309*1103515245 +12345)/ 65536, 32768),0)/32768),0))</f>
        <v>Forestbluff</v>
      </c>
      <c r="E309" s="16" t="str">
        <f t="array" ref="E309">INDEX(NPCClass,TRUNC(1+(COUNTA(NPCClass))*(TRUNC(MOD(($B309*1103515245 +12345)/ 65536, 32768),0)/32768),0))</f>
        <v>Fighter</v>
      </c>
      <c r="F309" s="76">
        <v>8</v>
      </c>
      <c r="G309" s="153">
        <f ca="1">VLOOKUP($AB$2,'RF Mod'!$A$2:$G$12,2,FALSE)+VLOOKUP($AD$2,'RF Mod'!$I$2:$O$11,2,FALSE)+(TRUNC(6+(24-6)*(TRUNC(MOD(($Z309*1103515245 +12345)/ 65536, 32768),0)/32768),0))</f>
        <v>11</v>
      </c>
      <c r="H309" s="16" t="e">
        <f t="shared" ca="1" si="17"/>
        <v>#NAME?</v>
      </c>
      <c r="I309" s="153">
        <f ca="1">VLOOKUP($AB$2,'RF Mod'!$A$2:$G$12,3,FALSE)+VLOOKUP($AD$2,'RF Mod'!$I$2:$O$11,3,FALSE)+(TRUNC(6+(24-6)*(TRUNC(MOD(($Z309*1103515245 +12345)/ 65536, 32768),0)/32768),0))</f>
        <v>15</v>
      </c>
      <c r="J309" s="16" t="e">
        <f t="shared" ca="1" si="18"/>
        <v>#NAME?</v>
      </c>
      <c r="K309" s="153">
        <f ca="1">VLOOKUP($AB$2,'RF Mod'!$A$2:$G$12,3,FALSE)+VLOOKUP($AD$2,'RF Mod'!$I$2:$O$11,3,FALSE)+(TRUNC(6+(24-6)*(TRUNC(MOD(($Z309*1103515245 +12345)/ 65536, 32768),0)/32768),0))</f>
        <v>15</v>
      </c>
      <c r="L309" s="16" t="e">
        <f t="shared" ca="1" si="19"/>
        <v>#NAME?</v>
      </c>
      <c r="M309" s="153">
        <f ca="1">VLOOKUP($AB$2,'RF Mod'!$A$2:$G$12,4,FALSE)+VLOOKUP($AD$2,'RF Mod'!$I$2:$O$11,4,FALSE)+(TRUNC(6+(24-6)*(TRUNC(MOD(($Z309*1103515245 +12345)/ 65536, 32768),0)/32768),0))</f>
        <v>14</v>
      </c>
      <c r="N309" s="16" t="e">
        <f t="shared" ca="1" si="20"/>
        <v>#NAME?</v>
      </c>
      <c r="O309" s="153">
        <f ca="1">VLOOKUP($AB$2,'RF Mod'!$A$2:$G$12,5,FALSE)+VLOOKUP($AD$2,'RF Mod'!$I$2:$O$11,5,FALSE)+(TRUNC(6+(24-6)*(TRUNC(MOD(($Z309*1103515245 +12345)/ 65536, 32768),0)/32768),0))</f>
        <v>17</v>
      </c>
      <c r="P309" s="16" t="e">
        <f t="shared" ca="1" si="21"/>
        <v>#NAME?</v>
      </c>
      <c r="Q309" s="153">
        <f ca="1">VLOOKUP($AB$2,'RF Mod'!$A$2:$G$12,6,FALSE)+VLOOKUP($AD$2,'RF Mod'!$I$2:$O$11,6,FALSE)+(TRUNC(6+(24-6)*(TRUNC(MOD(($Z309*1103515245 +12345)/ 65536, 32768),0)/32768),0))</f>
        <v>15</v>
      </c>
      <c r="R309" s="16" t="e">
        <f t="shared" ca="1" si="22"/>
        <v>#NAME?</v>
      </c>
      <c r="S309" s="154">
        <f t="shared" ca="1" si="28"/>
        <v>136</v>
      </c>
      <c r="T309" s="154">
        <f t="shared" ca="1" si="23"/>
        <v>124</v>
      </c>
      <c r="U309" s="16" t="str">
        <f t="shared" ca="1" si="24"/>
        <v>Bloody</v>
      </c>
      <c r="V309" s="155">
        <f ca="1">IFERROR(__xludf.DUMMYFUNCTION("if(W309=""Middle Age"",QUERY(NPCVar!$K$2:$N1000, ""Select L where K = '""&amp;AB309&amp;""'""),if(W309=""Old"",QUERY(NPCVar!$K$2:$N1000, ""Select M where K = '""&amp;AB309&amp;""'""),if(W309=""Venerable"",QUERY(NPCVar!$K$2:$N1000, ""Select N where K = '""&amp;AB309&amp;""'""),fa"&amp;"lse)))*X309"),57.75)</f>
        <v>57.75</v>
      </c>
      <c r="W309" s="156" t="str">
        <f t="array" ref="W309">INDEX(NPCAgeType,TRUNC(1+(4-1)*(TRUNC(MOD((X309*1103515245 +12345)/ 65536, 32768),0)/32768),0))</f>
        <v>Middle Age</v>
      </c>
      <c r="X309" s="117">
        <f t="shared" si="29"/>
        <v>2.1</v>
      </c>
      <c r="Y309" s="157" t="e">
        <f t="array" aca="1" ref="Y309" ca="1">LOOKUP(ABS(MAX(Z309 + MIN(ABS(INDIRECT("Class Jobs!B"&amp;MATCH(E309,'Class Jobs'!$A$1:$A1000,0)&amp;":"&amp;"AF"&amp;MATCH(E309,'Class Jobs'!$A$1:$A1000,0)&amp;"")-$Z309)) * SUM(IF(MIN(ABS(INDIRECT("Class Jobs!B"&amp;MATCH(E309,'Class Jobs'!$A$1:$A1000,0)&amp;":"&amp;"AF"&amp;MATCH(E309,'Class Jobs'!$A$1:$A1000,0)&amp;"")-$Z309))=ABS(INDIRECT("Class Jobs!B"&amp;MATCH(E309,'Class Jobs'!$A$1:$A1000,0)&amp;":"&amp;"AF"&amp;MATCH(E309,'Class Jobs'!$A$1:$A1000,0)&amp;"")-$Z309),SIGN(INDIRECT("Class Jobs!B"&amp;MATCH(E309,'Class Jobs'!$A$1:A1000,0)&amp;":"&amp;"AF"&amp;MATCH(E309,'Class Jobs'!$A$1:$A1000,0)&amp;"")-$Z309),0)),0)),INDIRECT("Class Jobs!B"&amp;MATCH(E309,'Class Jobs'!$A$1:$A1000,0)&amp;":"&amp;"AF"&amp;MATCH(E309,'Class Jobs'!$A$1:$A1000,1)&amp;""),'Class Jobs'!$B$1:$AF$1)</f>
        <v>#REF!</v>
      </c>
      <c r="Z309" s="158">
        <f t="shared" si="25"/>
        <v>0.86</v>
      </c>
      <c r="AA309" s="16" t="str">
        <f t="array" ref="AA309">INDEX(NPCGender,TRUNC(1+(COUNTA(NPCGender))*(TRUNC(MOD(($B309*1103515245 +12345)/ 65536, 32768),0)/32768),0))</f>
        <v>Neutral</v>
      </c>
      <c r="AB309" s="16" t="str">
        <f t="array" ref="AB309">INDEX(NPCRace,TRUNC(1+(COUNTA(NPCRace))*(TRUNC(MOD(($B309*1103515245 +12345)/ 65536, 32768),0)/32768),0))</f>
        <v>Genasi</v>
      </c>
      <c r="AC309" s="16" t="str">
        <f t="array" ref="AC309">INDEX(NPCAL,TRUNC(1+(COUNTA(NPCAL))*(TRUNC(MOD(($B309*1103515245 +12345)/ 65536, 32768),0)/32768),0))</f>
        <v>LN</v>
      </c>
      <c r="AD309" s="72" t="str">
        <f ca="1">IFERROR(__xludf.DUMMYFUNCTION("if(V309&lt;15,QUERY(NPCVar!C:D,""Select D WHERE C = '""&amp;D309&amp;""'""),if((TRUNC(1+10)*(TRUNC(MOD((ROW(H309)*1103515245 +12345)/ 65536, 32768),0)/32768)/10) &gt; 0.85,INDEX(NPCFaction,TRUNC(1+(counta(NPCFaction)-1)*(TRUNC(MOD(($B309*1103515245 +12345)/ 65536, 3276"&amp;"8),0)/32768),0)),QUERY(NPCVar!C:D,""Select D WHERE C = '""&amp;D309&amp;""'"")))"),"Farmers Guild")</f>
        <v>Farmers Guild</v>
      </c>
      <c r="AE309" s="108" t="e">
        <f t="shared" ca="1" si="26"/>
        <v>#NAME?</v>
      </c>
      <c r="AF309" s="159">
        <f ca="1">IFERROR(__xludf.DUMMYFUNCTION("AE309*(V309 / QUERY(NPCVar!$K$2:$N$12, ""Select N WHERE K='""&amp;AB309&amp;""'""))*TRUNC(1+10)*(TRUNC(MOD(($B309*1103515245 +12345)/ 65536, 32768),0)/32768)"),2.0020751953125)</f>
        <v>2.0020751953125</v>
      </c>
      <c r="AG309" s="16"/>
      <c r="AH309" s="77"/>
      <c r="AI309" s="114"/>
    </row>
    <row r="310" spans="1:35" ht="16.2">
      <c r="A310" s="53">
        <v>309</v>
      </c>
      <c r="B310" s="118">
        <f t="shared" si="27"/>
        <v>0.68076999999999999</v>
      </c>
      <c r="C310" s="72" t="str">
        <f t="array" ref="C310">INDEX(NPCFName,TRUNC(1+(COUNTA(NPCFName))*(TRUNC(MOD(($B310*1103515245 +12345)/ 65536, 32768),0)/32768),0))</f>
        <v>Aslan</v>
      </c>
      <c r="D310" s="16" t="str">
        <f t="array" ref="D310">INDEX(NPCLName,TRUNC(1+(COUNTA(NPCLName))*(TRUNC(MOD(($B310*1103515245 +12345)/ 65536, 32768),0)/32768),0))</f>
        <v>Leafblight</v>
      </c>
      <c r="E310" s="16" t="str">
        <f t="array" ref="E310">INDEX(NPCClass,TRUNC(1+(COUNTA(NPCClass))*(TRUNC(MOD(($B310*1103515245 +12345)/ 65536, 32768),0)/32768),0))</f>
        <v>Paladin</v>
      </c>
      <c r="F310" s="76">
        <v>1</v>
      </c>
      <c r="G310" s="153">
        <f ca="1">VLOOKUP($AB$2,'RF Mod'!$A$2:$G$12,2,FALSE)+VLOOKUP($AD$2,'RF Mod'!$I$2:$O$11,2,FALSE)+(TRUNC(6+(24-6)*(TRUNC(MOD(($Z310*1103515245 +12345)/ 65536, 32768),0)/32768),0))</f>
        <v>7</v>
      </c>
      <c r="H310" s="16">
        <f t="shared" ca="1" si="17"/>
        <v>-2</v>
      </c>
      <c r="I310" s="153">
        <f ca="1">VLOOKUP($AB$2,'RF Mod'!$A$2:$G$12,3,FALSE)+VLOOKUP($AD$2,'RF Mod'!$I$2:$O$11,3,FALSE)+(TRUNC(6+(24-6)*(TRUNC(MOD(($Z310*1103515245 +12345)/ 65536, 32768),0)/32768),0))</f>
        <v>11</v>
      </c>
      <c r="J310" s="16" t="e">
        <f t="shared" ca="1" si="18"/>
        <v>#NAME?</v>
      </c>
      <c r="K310" s="153">
        <f ca="1">VLOOKUP($AB$2,'RF Mod'!$A$2:$G$12,3,FALSE)+VLOOKUP($AD$2,'RF Mod'!$I$2:$O$11,3,FALSE)+(TRUNC(6+(24-6)*(TRUNC(MOD(($Z310*1103515245 +12345)/ 65536, 32768),0)/32768),0))</f>
        <v>11</v>
      </c>
      <c r="L310" s="16" t="e">
        <f t="shared" ca="1" si="19"/>
        <v>#NAME?</v>
      </c>
      <c r="M310" s="153">
        <f ca="1">VLOOKUP($AB$2,'RF Mod'!$A$2:$G$12,4,FALSE)+VLOOKUP($AD$2,'RF Mod'!$I$2:$O$11,4,FALSE)+(TRUNC(6+(24-6)*(TRUNC(MOD(($Z310*1103515245 +12345)/ 65536, 32768),0)/32768),0))</f>
        <v>10</v>
      </c>
      <c r="N310" s="16" t="e">
        <f t="shared" ca="1" si="20"/>
        <v>#NAME?</v>
      </c>
      <c r="O310" s="153">
        <f ca="1">VLOOKUP($AB$2,'RF Mod'!$A$2:$G$12,5,FALSE)+VLOOKUP($AD$2,'RF Mod'!$I$2:$O$11,5,FALSE)+(TRUNC(6+(24-6)*(TRUNC(MOD(($Z310*1103515245 +12345)/ 65536, 32768),0)/32768),0))</f>
        <v>13</v>
      </c>
      <c r="P310" s="16" t="e">
        <f t="shared" ca="1" si="21"/>
        <v>#NAME?</v>
      </c>
      <c r="Q310" s="153">
        <f ca="1">VLOOKUP($AB$2,'RF Mod'!$A$2:$G$12,6,FALSE)+VLOOKUP($AD$2,'RF Mod'!$I$2:$O$11,6,FALSE)+(TRUNC(6+(24-6)*(TRUNC(MOD(($Z310*1103515245 +12345)/ 65536, 32768),0)/32768),0))</f>
        <v>11</v>
      </c>
      <c r="R310" s="16" t="e">
        <f t="shared" ca="1" si="22"/>
        <v>#NAME?</v>
      </c>
      <c r="S310" s="154">
        <f t="shared" ca="1" si="28"/>
        <v>21</v>
      </c>
      <c r="T310" s="154">
        <f t="shared" ca="1" si="23"/>
        <v>1</v>
      </c>
      <c r="U310" s="16" t="str">
        <f t="shared" ca="1" si="24"/>
        <v>Fine</v>
      </c>
      <c r="V310" s="155">
        <f ca="1">IFERROR(__xludf.DUMMYFUNCTION("if(W310=""Middle Age"",QUERY(NPCVar!$K$2:$N1000, ""Select L where K = '""&amp;AB310&amp;""'""),if(W310=""Old"",QUERY(NPCVar!$K$2:$N1000, ""Select M where K = '""&amp;AB310&amp;""'""),if(W310=""Venerable"",QUERY(NPCVar!$K$2:$N1000, ""Select N where K = '""&amp;AB310&amp;""'""),fa"&amp;"lse)))*X310"),151.875)</f>
        <v>151.875</v>
      </c>
      <c r="W310" s="156" t="str">
        <f t="array" ref="W310">INDEX(NPCAgeType,TRUNC(1+(4-1)*(TRUNC(MOD((X310*1103515245 +12345)/ 65536, 32768),0)/32768),0))</f>
        <v>Old</v>
      </c>
      <c r="X310" s="117">
        <f t="shared" si="29"/>
        <v>0.9</v>
      </c>
      <c r="Y310" s="157" t="e">
        <f t="array" aca="1" ref="Y310" ca="1">LOOKUP(ABS(MAX(Z310 + MIN(ABS(INDIRECT("Class Jobs!B"&amp;MATCH(E310,'Class Jobs'!$A$1:$A1000,0)&amp;":"&amp;"AF"&amp;MATCH(E310,'Class Jobs'!$A$1:$A1000,0)&amp;"")-$Z310)) * SUM(IF(MIN(ABS(INDIRECT("Class Jobs!B"&amp;MATCH(E310,'Class Jobs'!$A$1:$A1000,0)&amp;":"&amp;"AF"&amp;MATCH(E310,'Class Jobs'!$A$1:$A1000,0)&amp;"")-$Z310))=ABS(INDIRECT("Class Jobs!B"&amp;MATCH(E310,'Class Jobs'!$A$1:$A1000,0)&amp;":"&amp;"AF"&amp;MATCH(E310,'Class Jobs'!$A$1:$A1000,0)&amp;"")-$Z310),SIGN(INDIRECT("Class Jobs!B"&amp;MATCH(E310,'Class Jobs'!$A$1:A1000,0)&amp;":"&amp;"AF"&amp;MATCH(E310,'Class Jobs'!$A$1:$A1000,0)&amp;"")-$Z310),0)),0)),INDIRECT("Class Jobs!B"&amp;MATCH(E310,'Class Jobs'!$A$1:$A1000,0)&amp;":"&amp;"AF"&amp;MATCH(E310,'Class Jobs'!$A$1:$A1000,1)&amp;""),'Class Jobs'!$B$1:$AF$1)</f>
        <v>#REF!</v>
      </c>
      <c r="Z310" s="158">
        <f t="shared" si="25"/>
        <v>0.35</v>
      </c>
      <c r="AA310" s="16" t="str">
        <f t="array" ref="AA310">INDEX(NPCGender,TRUNC(1+(COUNTA(NPCGender))*(TRUNC(MOD(($B310*1103515245 +12345)/ 65536, 32768),0)/32768),0))</f>
        <v>Female</v>
      </c>
      <c r="AB310" s="16" t="str">
        <f t="array" ref="AB310">INDEX(NPCRace,TRUNC(1+(COUNTA(NPCRace))*(TRUNC(MOD(($B310*1103515245 +12345)/ 65536, 32768),0)/32768),0))</f>
        <v>Gnome</v>
      </c>
      <c r="AC310" s="16" t="str">
        <f t="array" ref="AC310">INDEX(NPCAL,TRUNC(1+(COUNTA(NPCAL))*(TRUNC(MOD(($B310*1103515245 +12345)/ 65536, 32768),0)/32768),0))</f>
        <v>NG</v>
      </c>
      <c r="AD310" s="72" t="str">
        <f ca="1">IFERROR(__xludf.DUMMYFUNCTION("if(V310&lt;15,QUERY(NPCVar!C:D,""Select D WHERE C = '""&amp;D310&amp;""'""),if((TRUNC(1+10)*(TRUNC(MOD((ROW(H310)*1103515245 +12345)/ 65536, 32768),0)/32768)/10) &gt; 0.85,INDEX(NPCFaction,TRUNC(1+(counta(NPCFaction)-1)*(TRUNC(MOD(($B310*1103515245 +12345)/ 65536, 3276"&amp;"8),0)/32768),0)),QUERY(NPCVar!C:D,""Select D WHERE C = '""&amp;D310&amp;""'"")))"),"Necromancer")</f>
        <v>Necromancer</v>
      </c>
      <c r="AE310" s="108" t="e">
        <f t="shared" ca="1" si="26"/>
        <v>#NAME?</v>
      </c>
      <c r="AF310" s="159">
        <f ca="1">IFERROR(__xludf.DUMMYFUNCTION("AE310*(V310 / QUERY(NPCVar!$K$2:$N$12, ""Select N WHERE K='""&amp;AB310&amp;""'""))*TRUNC(1+10)*(TRUNC(MOD(($B310*1103515245 +12345)/ 65536, 32768),0)/32768)"),0.909102516174316)</f>
        <v>0.90910251617431603</v>
      </c>
      <c r="AG310" s="16"/>
      <c r="AH310" s="77"/>
      <c r="AI310" s="114"/>
    </row>
    <row r="311" spans="1:35" ht="16.2">
      <c r="A311" s="53">
        <v>310</v>
      </c>
      <c r="B311" s="118">
        <f t="shared" si="27"/>
        <v>2.17483</v>
      </c>
      <c r="C311" s="72" t="str">
        <f t="array" ref="C311">INDEX(NPCFName,TRUNC(1+(COUNTA(NPCFName))*(TRUNC(MOD(($B311*1103515245 +12345)/ 65536, 32768),0)/32768),0))</f>
        <v>Gemardt</v>
      </c>
      <c r="D311" s="16" t="str">
        <f t="array" ref="D311">INDEX(NPCLName,TRUNC(1+(COUNTA(NPCLName))*(TRUNC(MOD(($B311*1103515245 +12345)/ 65536, 32768),0)/32768),0))</f>
        <v>Distantlash</v>
      </c>
      <c r="E311" s="16" t="str">
        <f t="array" ref="E311">INDEX(NPCClass,TRUNC(1+(COUNTA(NPCClass))*(TRUNC(MOD(($B311*1103515245 +12345)/ 65536, 32768),0)/32768),0))</f>
        <v>Bard</v>
      </c>
      <c r="F311" s="76">
        <v>1</v>
      </c>
      <c r="G311" s="153">
        <f ca="1">VLOOKUP($AB$2,'RF Mod'!$A$2:$G$12,2,FALSE)+VLOOKUP($AD$2,'RF Mod'!$I$2:$O$11,2,FALSE)+(TRUNC(6+(24-6)*(TRUNC(MOD(($Z311*1103515245 +12345)/ 65536, 32768),0)/32768),0))</f>
        <v>5</v>
      </c>
      <c r="H311" s="16">
        <f t="shared" ca="1" si="17"/>
        <v>-3</v>
      </c>
      <c r="I311" s="153">
        <f ca="1">VLOOKUP($AB$2,'RF Mod'!$A$2:$G$12,3,FALSE)+VLOOKUP($AD$2,'RF Mod'!$I$2:$O$11,3,FALSE)+(TRUNC(6+(24-6)*(TRUNC(MOD(($Z311*1103515245 +12345)/ 65536, 32768),0)/32768),0))</f>
        <v>9</v>
      </c>
      <c r="J311" s="16">
        <f t="shared" ca="1" si="18"/>
        <v>-1</v>
      </c>
      <c r="K311" s="153">
        <f ca="1">VLOOKUP($AB$2,'RF Mod'!$A$2:$G$12,3,FALSE)+VLOOKUP($AD$2,'RF Mod'!$I$2:$O$11,3,FALSE)+(TRUNC(6+(24-6)*(TRUNC(MOD(($Z311*1103515245 +12345)/ 65536, 32768),0)/32768),0))</f>
        <v>9</v>
      </c>
      <c r="L311" s="16">
        <f t="shared" ca="1" si="19"/>
        <v>-1</v>
      </c>
      <c r="M311" s="153">
        <f ca="1">VLOOKUP($AB$2,'RF Mod'!$A$2:$G$12,4,FALSE)+VLOOKUP($AD$2,'RF Mod'!$I$2:$O$11,4,FALSE)+(TRUNC(6+(24-6)*(TRUNC(MOD(($Z311*1103515245 +12345)/ 65536, 32768),0)/32768),0))</f>
        <v>8</v>
      </c>
      <c r="N311" s="16">
        <f t="shared" ca="1" si="20"/>
        <v>-1</v>
      </c>
      <c r="O311" s="153">
        <f ca="1">VLOOKUP($AB$2,'RF Mod'!$A$2:$G$12,5,FALSE)+VLOOKUP($AD$2,'RF Mod'!$I$2:$O$11,5,FALSE)+(TRUNC(6+(24-6)*(TRUNC(MOD(($Z311*1103515245 +12345)/ 65536, 32768),0)/32768),0))</f>
        <v>11</v>
      </c>
      <c r="P311" s="16" t="e">
        <f t="shared" ca="1" si="21"/>
        <v>#NAME?</v>
      </c>
      <c r="Q311" s="153">
        <f ca="1">VLOOKUP($AB$2,'RF Mod'!$A$2:$G$12,6,FALSE)+VLOOKUP($AD$2,'RF Mod'!$I$2:$O$11,6,FALSE)+(TRUNC(6+(24-6)*(TRUNC(MOD(($Z311*1103515245 +12345)/ 65536, 32768),0)/32768),0))</f>
        <v>9</v>
      </c>
      <c r="R311" s="16">
        <f t="shared" ca="1" si="22"/>
        <v>-1</v>
      </c>
      <c r="S311" s="154">
        <f t="shared" ca="1" si="28"/>
        <v>11</v>
      </c>
      <c r="T311" s="154">
        <f t="shared" ca="1" si="23"/>
        <v>9</v>
      </c>
      <c r="U311" s="16" t="str">
        <f t="shared" ca="1" si="24"/>
        <v>Bloody</v>
      </c>
      <c r="V311" s="155">
        <f ca="1">IFERROR(__xludf.DUMMYFUNCTION("if(W311=""Middle Age"",QUERY(NPCVar!$K$2:$N1000, ""Select L where K = '""&amp;AB311&amp;""'""),if(W311=""Old"",QUERY(NPCVar!$K$2:$N1000, ""Select M where K = '""&amp;AB311&amp;""'""),if(W311=""Venerable"",QUERY(NPCVar!$K$2:$N1000, ""Select N where K = '""&amp;AB311&amp;""'""),fa"&amp;"lse)))*X311"),24)</f>
        <v>24</v>
      </c>
      <c r="W311" s="156" t="str">
        <f t="array" ref="W311">INDEX(NPCAgeType,TRUNC(1+(4-1)*(TRUNC(MOD((X311*1103515245 +12345)/ 65536, 32768),0)/32768),0))</f>
        <v>Middle Age</v>
      </c>
      <c r="X311" s="117">
        <f t="shared" si="29"/>
        <v>0.3</v>
      </c>
      <c r="Y311" s="157" t="e">
        <f t="array" aca="1" ref="Y311" ca="1">LOOKUP(ABS(MAX(Z311 + MIN(ABS(INDIRECT("Class Jobs!B"&amp;MATCH(E311,'Class Jobs'!$A$1:$A1000,0)&amp;":"&amp;"AF"&amp;MATCH(E311,'Class Jobs'!$A$1:$A1000,0)&amp;"")-$Z311)) * SUM(IF(MIN(ABS(INDIRECT("Class Jobs!B"&amp;MATCH(E311,'Class Jobs'!$A$1:$A1000,0)&amp;":"&amp;"AF"&amp;MATCH(E311,'Class Jobs'!$A$1:$A1000,0)&amp;"")-$Z311))=ABS(INDIRECT("Class Jobs!B"&amp;MATCH(E311,'Class Jobs'!$A$1:$A1000,0)&amp;":"&amp;"AF"&amp;MATCH(E311,'Class Jobs'!$A$1:$A1000,0)&amp;"")-$Z311),SIGN(INDIRECT("Class Jobs!B"&amp;MATCH(E311,'Class Jobs'!$A$1:A1000,0)&amp;":"&amp;"AF"&amp;MATCH(E311,'Class Jobs'!$A$1:$A1000,0)&amp;"")-$Z311),0)),0)),INDIRECT("Class Jobs!B"&amp;MATCH(E311,'Class Jobs'!$A$1:$A1000,0)&amp;":"&amp;"AF"&amp;MATCH(E311,'Class Jobs'!$A$1:$A1000,1)&amp;""),'Class Jobs'!$B$1:$AF$1)</f>
        <v>#REF!</v>
      </c>
      <c r="Z311" s="158">
        <f t="shared" si="25"/>
        <v>0.12</v>
      </c>
      <c r="AA311" s="16" t="str">
        <f t="array" ref="AA311">INDEX(NPCGender,TRUNC(1+(COUNTA(NPCGender))*(TRUNC(MOD(($B311*1103515245 +12345)/ 65536, 32768),0)/32768),0))</f>
        <v>Male</v>
      </c>
      <c r="AB311" s="16" t="str">
        <f t="array" ref="AB311">INDEX(NPCRace,TRUNC(1+(COUNTA(NPCRace))*(TRUNC(MOD(($B311*1103515245 +12345)/ 65536, 32768),0)/32768),0))</f>
        <v>Dwarf</v>
      </c>
      <c r="AC311" s="16" t="str">
        <f t="array" ref="AC311">INDEX(NPCAL,TRUNC(1+(COUNTA(NPCAL))*(TRUNC(MOD(($B311*1103515245 +12345)/ 65536, 32768),0)/32768),0))</f>
        <v>CE</v>
      </c>
      <c r="AD311" s="72" t="str">
        <f ca="1">IFERROR(__xludf.DUMMYFUNCTION("if(V311&lt;15,QUERY(NPCVar!C:D,""Select D WHERE C = '""&amp;D311&amp;""'""),if((TRUNC(1+10)*(TRUNC(MOD((ROW(H311)*1103515245 +12345)/ 65536, 32768),0)/32768)/10) &gt; 0.85,INDEX(NPCFaction,TRUNC(1+(counta(NPCFaction)-1)*(TRUNC(MOD(($B311*1103515245 +12345)/ 65536, 3276"&amp;"8),0)/32768),0)),QUERY(NPCVar!C:D,""Select D WHERE C = '""&amp;D311&amp;""'"")))"),"Necromancer")</f>
        <v>Necromancer</v>
      </c>
      <c r="AE311" s="108" t="e">
        <f t="shared" ca="1" si="26"/>
        <v>#NAME?</v>
      </c>
      <c r="AF311" s="159">
        <f ca="1">IFERROR(__xludf.DUMMYFUNCTION("AE311*(V311 / QUERY(NPCVar!$K$2:$N$12, ""Select N WHERE K='""&amp;AB311&amp;""'""))*TRUNC(1+10)*(TRUNC(MOD(($B311*1103515245 +12345)/ 65536, 32768),0)/32768)"),0)</f>
        <v>0</v>
      </c>
      <c r="AG311" s="16"/>
      <c r="AH311" s="77"/>
      <c r="AI311" s="114"/>
    </row>
    <row r="312" spans="1:35" ht="16.2">
      <c r="A312" s="53">
        <v>311</v>
      </c>
      <c r="B312" s="118">
        <f t="shared" si="27"/>
        <v>1.1689799999999999</v>
      </c>
      <c r="C312" s="72" t="str">
        <f t="array" ref="C312">INDEX(NPCFName,TRUNC(1+(COUNTA(NPCFName))*(TRUNC(MOD(($B312*1103515245 +12345)/ 65536, 32768),0)/32768),0))</f>
        <v>Shard</v>
      </c>
      <c r="D312" s="16" t="str">
        <f t="array" ref="D312">INDEX(NPCLName,TRUNC(1+(COUNTA(NPCLName))*(TRUNC(MOD(($B312*1103515245 +12345)/ 65536, 32768),0)/32768),0))</f>
        <v>Gloomrage</v>
      </c>
      <c r="E312" s="16" t="str">
        <f t="array" ref="E312">INDEX(NPCClass,TRUNC(1+(COUNTA(NPCClass))*(TRUNC(MOD(($B312*1103515245 +12345)/ 65536, 32768),0)/32768),0))</f>
        <v>Warlock</v>
      </c>
      <c r="F312" s="76">
        <v>7</v>
      </c>
      <c r="G312" s="153">
        <f ca="1">VLOOKUP($AB$2,'RF Mod'!$A$2:$G$12,2,FALSE)+VLOOKUP($AD$2,'RF Mod'!$I$2:$O$11,2,FALSE)+(TRUNC(6+(24-6)*(TRUNC(MOD(($Z312*1103515245 +12345)/ 65536, 32768),0)/32768),0))</f>
        <v>9</v>
      </c>
      <c r="H312" s="16">
        <f t="shared" ca="1" si="17"/>
        <v>-1</v>
      </c>
      <c r="I312" s="153">
        <f ca="1">VLOOKUP($AB$2,'RF Mod'!$A$2:$G$12,3,FALSE)+VLOOKUP($AD$2,'RF Mod'!$I$2:$O$11,3,FALSE)+(TRUNC(6+(24-6)*(TRUNC(MOD(($Z312*1103515245 +12345)/ 65536, 32768),0)/32768),0))</f>
        <v>13</v>
      </c>
      <c r="J312" s="16" t="e">
        <f t="shared" ca="1" si="18"/>
        <v>#NAME?</v>
      </c>
      <c r="K312" s="153">
        <f ca="1">VLOOKUP($AB$2,'RF Mod'!$A$2:$G$12,3,FALSE)+VLOOKUP($AD$2,'RF Mod'!$I$2:$O$11,3,FALSE)+(TRUNC(6+(24-6)*(TRUNC(MOD(($Z312*1103515245 +12345)/ 65536, 32768),0)/32768),0))</f>
        <v>13</v>
      </c>
      <c r="L312" s="16" t="e">
        <f t="shared" ca="1" si="19"/>
        <v>#NAME?</v>
      </c>
      <c r="M312" s="153">
        <f ca="1">VLOOKUP($AB$2,'RF Mod'!$A$2:$G$12,4,FALSE)+VLOOKUP($AD$2,'RF Mod'!$I$2:$O$11,4,FALSE)+(TRUNC(6+(24-6)*(TRUNC(MOD(($Z312*1103515245 +12345)/ 65536, 32768),0)/32768),0))</f>
        <v>12</v>
      </c>
      <c r="N312" s="16" t="e">
        <f t="shared" ca="1" si="20"/>
        <v>#NAME?</v>
      </c>
      <c r="O312" s="153">
        <f ca="1">VLOOKUP($AB$2,'RF Mod'!$A$2:$G$12,5,FALSE)+VLOOKUP($AD$2,'RF Mod'!$I$2:$O$11,5,FALSE)+(TRUNC(6+(24-6)*(TRUNC(MOD(($Z312*1103515245 +12345)/ 65536, 32768),0)/32768),0))</f>
        <v>15</v>
      </c>
      <c r="P312" s="16" t="e">
        <f t="shared" ca="1" si="21"/>
        <v>#NAME?</v>
      </c>
      <c r="Q312" s="153">
        <f ca="1">VLOOKUP($AB$2,'RF Mod'!$A$2:$G$12,6,FALSE)+VLOOKUP($AD$2,'RF Mod'!$I$2:$O$11,6,FALSE)+(TRUNC(6+(24-6)*(TRUNC(MOD(($Z312*1103515245 +12345)/ 65536, 32768),0)/32768),0))</f>
        <v>13</v>
      </c>
      <c r="R312" s="16" t="e">
        <f t="shared" ca="1" si="22"/>
        <v>#NAME?</v>
      </c>
      <c r="S312" s="154">
        <f t="shared" ca="1" si="28"/>
        <v>175</v>
      </c>
      <c r="T312" s="154">
        <f t="shared" ca="1" si="23"/>
        <v>195</v>
      </c>
      <c r="U312" s="16" t="str">
        <f t="shared" ca="1" si="24"/>
        <v>Dead</v>
      </c>
      <c r="V312" s="155">
        <f ca="1">IFERROR(__xludf.DUMMYFUNCTION("if(W312=""Middle Age"",QUERY(NPCVar!$K$2:$N1000, ""Select L where K = '""&amp;AB312&amp;""'""),if(W312=""Old"",QUERY(NPCVar!$K$2:$N1000, ""Select M where K = '""&amp;AB312&amp;""'""),if(W312=""Venerable"",QUERY(NPCVar!$K$2:$N1000, ""Select N where K = '""&amp;AB312&amp;""'""),fa"&amp;"lse)))*X312"),300)</f>
        <v>300</v>
      </c>
      <c r="W312" s="156" t="str">
        <f t="array" ref="W312">INDEX(NPCAgeType,TRUNC(1+(4-1)*(TRUNC(MOD((X312*1103515245 +12345)/ 65536, 32768),0)/32768),0))</f>
        <v>Venerable</v>
      </c>
      <c r="X312" s="117">
        <f t="shared" si="29"/>
        <v>1.5</v>
      </c>
      <c r="Y312" s="157" t="e">
        <f t="array" aca="1" ref="Y312" ca="1">LOOKUP(ABS(MAX(Z312 + MIN(ABS(INDIRECT("Class Jobs!B"&amp;MATCH(E312,'Class Jobs'!$A$1:$A1000,0)&amp;":"&amp;"AF"&amp;MATCH(E312,'Class Jobs'!$A$1:$A1000,0)&amp;"")-$Z312)) * SUM(IF(MIN(ABS(INDIRECT("Class Jobs!B"&amp;MATCH(E312,'Class Jobs'!$A$1:$A1000,0)&amp;":"&amp;"AF"&amp;MATCH(E312,'Class Jobs'!$A$1:$A1000,0)&amp;"")-$Z312))=ABS(INDIRECT("Class Jobs!B"&amp;MATCH(E312,'Class Jobs'!$A$1:$A1000,0)&amp;":"&amp;"AF"&amp;MATCH(E312,'Class Jobs'!$A$1:$A1000,0)&amp;"")-$Z312),SIGN(INDIRECT("Class Jobs!B"&amp;MATCH(E312,'Class Jobs'!$A$1:A1000,0)&amp;":"&amp;"AF"&amp;MATCH(E312,'Class Jobs'!$A$1:$A1000,0)&amp;"")-$Z312),0)),0)),INDIRECT("Class Jobs!B"&amp;MATCH(E312,'Class Jobs'!$A$1:$A1000,0)&amp;":"&amp;"AF"&amp;MATCH(E312,'Class Jobs'!$A$1:$A1000,1)&amp;""),'Class Jobs'!$B$1:$AF$1)</f>
        <v>#REF!</v>
      </c>
      <c r="Z312" s="158">
        <f t="shared" si="25"/>
        <v>0.6</v>
      </c>
      <c r="AA312" s="16" t="str">
        <f t="array" ref="AA312">INDEX(NPCGender,TRUNC(1+(COUNTA(NPCGender))*(TRUNC(MOD(($B312*1103515245 +12345)/ 65536, 32768),0)/32768),0))</f>
        <v>Female</v>
      </c>
      <c r="AB312" s="16" t="str">
        <f t="array" ref="AB312">INDEX(NPCRace,TRUNC(1+(COUNTA(NPCRace))*(TRUNC(MOD(($B312*1103515245 +12345)/ 65536, 32768),0)/32768),0))</f>
        <v>Halfling</v>
      </c>
      <c r="AC312" s="16" t="str">
        <f t="array" ref="AC312">INDEX(NPCAL,TRUNC(1+(COUNTA(NPCAL))*(TRUNC(MOD(($B312*1103515245 +12345)/ 65536, 32768),0)/32768),0))</f>
        <v>NE</v>
      </c>
      <c r="AD312" s="72" t="str">
        <f ca="1">IFERROR(__xludf.DUMMYFUNCTION("if(V312&lt;15,QUERY(NPCVar!C:D,""Select D WHERE C = '""&amp;D312&amp;""'""),if((TRUNC(1+10)*(TRUNC(MOD((ROW(H312)*1103515245 +12345)/ 65536, 32768),0)/32768)/10) &gt; 0.85,INDEX(NPCFaction,TRUNC(1+(counta(NPCFaction)-1)*(TRUNC(MOD(($B312*1103515245 +12345)/ 65536, 3276"&amp;"8),0)/32768),0)),QUERY(NPCVar!C:D,""Select D WHERE C = '""&amp;D312&amp;""'"")))"),"Traders Guild")</f>
        <v>Traders Guild</v>
      </c>
      <c r="AE312" s="108" t="e">
        <f t="shared" ca="1" si="26"/>
        <v>#NAME?</v>
      </c>
      <c r="AF312" s="159">
        <f ca="1">IFERROR(__xludf.DUMMYFUNCTION("AE312*(V312 / QUERY(NPCVar!$K$2:$N$12, ""Select N WHERE K='""&amp;AB312&amp;""'""))*TRUNC(1+10)*(TRUNC(MOD(($B312*1103515245 +12345)/ 65536, 32768),0)/32768)"),8.92006072998047)</f>
        <v>8.9200607299804702</v>
      </c>
      <c r="AG312" s="16"/>
      <c r="AH312" s="77"/>
      <c r="AI312" s="114"/>
    </row>
    <row r="313" spans="1:35" ht="16.2">
      <c r="A313" s="53">
        <v>312</v>
      </c>
      <c r="B313" s="118">
        <f t="shared" si="27"/>
        <v>0.16311999999999999</v>
      </c>
      <c r="C313" s="72" t="str">
        <f t="array" ref="C313">INDEX(NPCFName,TRUNC(1+(COUNTA(NPCFName))*(TRUNC(MOD(($B313*1103515245 +12345)/ 65536, 32768),0)/32768),0))</f>
        <v>Duran</v>
      </c>
      <c r="D313" s="16" t="str">
        <f t="array" ref="D313">INDEX(NPCLName,TRUNC(1+(COUNTA(NPCLName))*(TRUNC(MOD(($B313*1103515245 +12345)/ 65536, 32768),0)/32768),0))</f>
        <v>Autumnorb</v>
      </c>
      <c r="E313" s="16" t="str">
        <f t="array" ref="E313">INDEX(NPCClass,TRUNC(1+(COUNTA(NPCClass))*(TRUNC(MOD(($B313*1103515245 +12345)/ 65536, 32768),0)/32768),0))</f>
        <v>Bard</v>
      </c>
      <c r="F313" s="76">
        <v>1</v>
      </c>
      <c r="G313" s="153">
        <f ca="1">VLOOKUP($AB$2,'RF Mod'!$A$2:$G$12,2,FALSE)+VLOOKUP($AD$2,'RF Mod'!$I$2:$O$11,2,FALSE)+(TRUNC(6+(24-6)*(TRUNC(MOD(($Z313*1103515245 +12345)/ 65536, 32768),0)/32768),0))</f>
        <v>4</v>
      </c>
      <c r="H313" s="16">
        <f t="shared" ca="1" si="17"/>
        <v>-3</v>
      </c>
      <c r="I313" s="153">
        <f ca="1">VLOOKUP($AB$2,'RF Mod'!$A$2:$G$12,3,FALSE)+VLOOKUP($AD$2,'RF Mod'!$I$2:$O$11,3,FALSE)+(TRUNC(6+(24-6)*(TRUNC(MOD(($Z313*1103515245 +12345)/ 65536, 32768),0)/32768),0))</f>
        <v>8</v>
      </c>
      <c r="J313" s="16">
        <f t="shared" ca="1" si="18"/>
        <v>-1</v>
      </c>
      <c r="K313" s="153">
        <f ca="1">VLOOKUP($AB$2,'RF Mod'!$A$2:$G$12,3,FALSE)+VLOOKUP($AD$2,'RF Mod'!$I$2:$O$11,3,FALSE)+(TRUNC(6+(24-6)*(TRUNC(MOD(($Z313*1103515245 +12345)/ 65536, 32768),0)/32768),0))</f>
        <v>8</v>
      </c>
      <c r="L313" s="16">
        <f t="shared" ca="1" si="19"/>
        <v>-1</v>
      </c>
      <c r="M313" s="153">
        <f ca="1">VLOOKUP($AB$2,'RF Mod'!$A$2:$G$12,4,FALSE)+VLOOKUP($AD$2,'RF Mod'!$I$2:$O$11,4,FALSE)+(TRUNC(6+(24-6)*(TRUNC(MOD(($Z313*1103515245 +12345)/ 65536, 32768),0)/32768),0))</f>
        <v>7</v>
      </c>
      <c r="N313" s="16">
        <f t="shared" ca="1" si="20"/>
        <v>-2</v>
      </c>
      <c r="O313" s="153">
        <f ca="1">VLOOKUP($AB$2,'RF Mod'!$A$2:$G$12,5,FALSE)+VLOOKUP($AD$2,'RF Mod'!$I$2:$O$11,5,FALSE)+(TRUNC(6+(24-6)*(TRUNC(MOD(($Z313*1103515245 +12345)/ 65536, 32768),0)/32768),0))</f>
        <v>10</v>
      </c>
      <c r="P313" s="16" t="e">
        <f t="shared" ca="1" si="21"/>
        <v>#NAME?</v>
      </c>
      <c r="Q313" s="153">
        <f ca="1">VLOOKUP($AB$2,'RF Mod'!$A$2:$G$12,6,FALSE)+VLOOKUP($AD$2,'RF Mod'!$I$2:$O$11,6,FALSE)+(TRUNC(6+(24-6)*(TRUNC(MOD(($Z313*1103515245 +12345)/ 65536, 32768),0)/32768),0))</f>
        <v>8</v>
      </c>
      <c r="R313" s="16">
        <f t="shared" ca="1" si="22"/>
        <v>-1</v>
      </c>
      <c r="S313" s="154">
        <f t="shared" ca="1" si="28"/>
        <v>10</v>
      </c>
      <c r="T313" s="154">
        <f t="shared" ca="1" si="23"/>
        <v>3</v>
      </c>
      <c r="U313" s="16" t="str">
        <f t="shared" ca="1" si="24"/>
        <v>Fine</v>
      </c>
      <c r="V313" s="155">
        <f ca="1">IFERROR(__xludf.DUMMYFUNCTION("if(W313=""Middle Age"",QUERY(NPCVar!$K$2:$N1000, ""Select L where K = '""&amp;AB313&amp;""'""),if(W313=""Old"",QUERY(NPCVar!$K$2:$N1000, ""Select M where K = '""&amp;AB313&amp;""'""),if(W313=""Venerable"",QUERY(NPCVar!$K$2:$N1000, ""Select N where K = '""&amp;AB313&amp;""'""),fa"&amp;"lse)))*X313"),6)</f>
        <v>6</v>
      </c>
      <c r="W313" s="156" t="str">
        <f t="array" ref="W313">INDEX(NPCAgeType,TRUNC(1+(4-1)*(TRUNC(MOD((X313*1103515245 +12345)/ 65536, 32768),0)/32768),0))</f>
        <v>Middle Age</v>
      </c>
      <c r="X313" s="117">
        <f t="shared" si="29"/>
        <v>0.3</v>
      </c>
      <c r="Y313" s="157" t="e">
        <f t="array" aca="1" ref="Y313" ca="1">LOOKUP(ABS(MAX(Z313 + MIN(ABS(INDIRECT("Class Jobs!B"&amp;MATCH(E313,'Class Jobs'!$A$1:$A1000,0)&amp;":"&amp;"AF"&amp;MATCH(E313,'Class Jobs'!$A$1:$A1000,0)&amp;"")-$Z313)) * SUM(IF(MIN(ABS(INDIRECT("Class Jobs!B"&amp;MATCH(E313,'Class Jobs'!$A$1:$A1000,0)&amp;":"&amp;"AF"&amp;MATCH(E313,'Class Jobs'!$A$1:$A1000,0)&amp;"")-$Z313))=ABS(INDIRECT("Class Jobs!B"&amp;MATCH(E313,'Class Jobs'!$A$1:$A1000,0)&amp;":"&amp;"AF"&amp;MATCH(E313,'Class Jobs'!$A$1:$A1000,0)&amp;"")-$Z313),SIGN(INDIRECT("Class Jobs!B"&amp;MATCH(E313,'Class Jobs'!$A$1:A1000,0)&amp;":"&amp;"AF"&amp;MATCH(E313,'Class Jobs'!$A$1:$A1000,0)&amp;"")-$Z313),0)),0)),INDIRECT("Class Jobs!B"&amp;MATCH(E313,'Class Jobs'!$A$1:$A1000,0)&amp;":"&amp;"AF"&amp;MATCH(E313,'Class Jobs'!$A$1:$A1000,1)&amp;""),'Class Jobs'!$B$1:$AF$1)</f>
        <v>#REF!</v>
      </c>
      <c r="Z313" s="158">
        <f t="shared" si="25"/>
        <v>0.09</v>
      </c>
      <c r="AA313" s="16" t="str">
        <f t="array" ref="AA313">INDEX(NPCGender,TRUNC(1+(COUNTA(NPCGender))*(TRUNC(MOD(($B313*1103515245 +12345)/ 65536, 32768),0)/32768),0))</f>
        <v>Male</v>
      </c>
      <c r="AB313" s="16" t="str">
        <f t="array" ref="AB313">INDEX(NPCRace,TRUNC(1+(COUNTA(NPCRace))*(TRUNC(MOD(($B313*1103515245 +12345)/ 65536, 32768),0)/32768),0))</f>
        <v>Dragonborn</v>
      </c>
      <c r="AC313" s="16" t="str">
        <f t="array" ref="AC313">INDEX(NPCAL,TRUNC(1+(COUNTA(NPCAL))*(TRUNC(MOD(($B313*1103515245 +12345)/ 65536, 32768),0)/32768),0))</f>
        <v>CN</v>
      </c>
      <c r="AD313" s="72" t="str">
        <f ca="1">IFERROR(__xludf.DUMMYFUNCTION("if(V313&lt;15,QUERY(NPCVar!C:D,""Select D WHERE C = '""&amp;D313&amp;""'""),if((TRUNC(1+10)*(TRUNC(MOD((ROW(H313)*1103515245 +12345)/ 65536, 32768),0)/32768)/10) &gt; 0.85,INDEX(NPCFaction,TRUNC(1+(counta(NPCFaction)-1)*(TRUNC(MOD(($B313*1103515245 +12345)/ 65536, 3276"&amp;"8),0)/32768),0)),QUERY(NPCVar!C:D,""Select D WHERE C = '""&amp;D313&amp;""'"")))"),"Royalty")</f>
        <v>Royalty</v>
      </c>
      <c r="AE313" s="108" t="e">
        <f t="shared" ca="1" si="26"/>
        <v>#NAME?</v>
      </c>
      <c r="AF313" s="159">
        <f ca="1">IFERROR(__xludf.DUMMYFUNCTION("AE313*(V313 / QUERY(NPCVar!$K$2:$N$12, ""Select N WHERE K='""&amp;AB313&amp;""'""))*TRUNC(1+10)*(TRUNC(MOD(($B313*1103515245 +12345)/ 65536, 32768),0)/32768)"),0)</f>
        <v>0</v>
      </c>
      <c r="AG313" s="16"/>
      <c r="AH313" s="77"/>
      <c r="AI313" s="114"/>
    </row>
    <row r="314" spans="1:35" ht="16.2">
      <c r="A314" s="53">
        <v>313</v>
      </c>
      <c r="B314" s="118">
        <f t="shared" si="27"/>
        <v>1.65726</v>
      </c>
      <c r="C314" s="72" t="str">
        <f t="array" ref="C314">INDEX(NPCFName,TRUNC(1+(COUNTA(NPCFName))*(TRUNC(MOD(($B314*1103515245 +12345)/ 65536, 32768),0)/32768),0))</f>
        <v>Mashasen</v>
      </c>
      <c r="D314" s="16" t="str">
        <f t="array" ref="D314">INDEX(NPCLName,TRUNC(1+(COUNTA(NPCLName))*(TRUNC(MOD(($B314*1103515245 +12345)/ 65536, 32768),0)/32768),0))</f>
        <v>Springgust</v>
      </c>
      <c r="E314" s="16" t="str">
        <f t="array" ref="E314">INDEX(NPCClass,TRUNC(1+(COUNTA(NPCClass))*(TRUNC(MOD(($B314*1103515245 +12345)/ 65536, 32768),0)/32768),0))</f>
        <v>Fighter</v>
      </c>
      <c r="F314" s="76">
        <v>8</v>
      </c>
      <c r="G314" s="153">
        <f ca="1">VLOOKUP($AB$2,'RF Mod'!$A$2:$G$12,2,FALSE)+VLOOKUP($AD$2,'RF Mod'!$I$2:$O$11,2,FALSE)+(TRUNC(6+(24-6)*(TRUNC(MOD(($Z314*1103515245 +12345)/ 65536, 32768),0)/32768),0))</f>
        <v>11</v>
      </c>
      <c r="H314" s="16" t="e">
        <f t="shared" ca="1" si="17"/>
        <v>#NAME?</v>
      </c>
      <c r="I314" s="153">
        <f ca="1">VLOOKUP($AB$2,'RF Mod'!$A$2:$G$12,3,FALSE)+VLOOKUP($AD$2,'RF Mod'!$I$2:$O$11,3,FALSE)+(TRUNC(6+(24-6)*(TRUNC(MOD(($Z314*1103515245 +12345)/ 65536, 32768),0)/32768),0))</f>
        <v>15</v>
      </c>
      <c r="J314" s="16" t="e">
        <f t="shared" ca="1" si="18"/>
        <v>#NAME?</v>
      </c>
      <c r="K314" s="153">
        <f ca="1">VLOOKUP($AB$2,'RF Mod'!$A$2:$G$12,3,FALSE)+VLOOKUP($AD$2,'RF Mod'!$I$2:$O$11,3,FALSE)+(TRUNC(6+(24-6)*(TRUNC(MOD(($Z314*1103515245 +12345)/ 65536, 32768),0)/32768),0))</f>
        <v>15</v>
      </c>
      <c r="L314" s="16" t="e">
        <f t="shared" ca="1" si="19"/>
        <v>#NAME?</v>
      </c>
      <c r="M314" s="153">
        <f ca="1">VLOOKUP($AB$2,'RF Mod'!$A$2:$G$12,4,FALSE)+VLOOKUP($AD$2,'RF Mod'!$I$2:$O$11,4,FALSE)+(TRUNC(6+(24-6)*(TRUNC(MOD(($Z314*1103515245 +12345)/ 65536, 32768),0)/32768),0))</f>
        <v>14</v>
      </c>
      <c r="N314" s="16" t="e">
        <f t="shared" ca="1" si="20"/>
        <v>#NAME?</v>
      </c>
      <c r="O314" s="153">
        <f ca="1">VLOOKUP($AB$2,'RF Mod'!$A$2:$G$12,5,FALSE)+VLOOKUP($AD$2,'RF Mod'!$I$2:$O$11,5,FALSE)+(TRUNC(6+(24-6)*(TRUNC(MOD(($Z314*1103515245 +12345)/ 65536, 32768),0)/32768),0))</f>
        <v>17</v>
      </c>
      <c r="P314" s="16" t="e">
        <f t="shared" ca="1" si="21"/>
        <v>#NAME?</v>
      </c>
      <c r="Q314" s="153">
        <f ca="1">VLOOKUP($AB$2,'RF Mod'!$A$2:$G$12,6,FALSE)+VLOOKUP($AD$2,'RF Mod'!$I$2:$O$11,6,FALSE)+(TRUNC(6+(24-6)*(TRUNC(MOD(($Z314*1103515245 +12345)/ 65536, 32768),0)/32768),0))</f>
        <v>15</v>
      </c>
      <c r="R314" s="16" t="e">
        <f t="shared" ca="1" si="22"/>
        <v>#NAME?</v>
      </c>
      <c r="S314" s="154">
        <f t="shared" ca="1" si="28"/>
        <v>168</v>
      </c>
      <c r="T314" s="154">
        <f t="shared" ca="1" si="23"/>
        <v>26</v>
      </c>
      <c r="U314" s="16" t="str">
        <f t="shared" ca="1" si="24"/>
        <v>Fine</v>
      </c>
      <c r="V314" s="155">
        <f ca="1">IFERROR(__xludf.DUMMYFUNCTION("if(W314=""Middle Age"",QUERY(NPCVar!$K$2:$N1000, ""Select L where K = '""&amp;AB314&amp;""'""),if(W314=""Old"",QUERY(NPCVar!$K$2:$N1000, ""Select M where K = '""&amp;AB314&amp;""'""),if(W314=""Venerable"",QUERY(NPCVar!$K$2:$N1000, ""Select N where K = '""&amp;AB314&amp;""'""),fa"&amp;"lse)))*X314"),57.75)</f>
        <v>57.75</v>
      </c>
      <c r="W314" s="156" t="str">
        <f t="array" ref="W314">INDEX(NPCAgeType,TRUNC(1+(4-1)*(TRUNC(MOD((X314*1103515245 +12345)/ 65536, 32768),0)/32768),0))</f>
        <v>Middle Age</v>
      </c>
      <c r="X314" s="117">
        <f t="shared" si="29"/>
        <v>2.1</v>
      </c>
      <c r="Y314" s="157" t="e">
        <f t="array" aca="1" ref="Y314" ca="1">LOOKUP(ABS(MAX(Z314 + MIN(ABS(INDIRECT("Class Jobs!B"&amp;MATCH(E314,'Class Jobs'!$A$1:$A1000,0)&amp;":"&amp;"AF"&amp;MATCH(E314,'Class Jobs'!$A$1:$A1000,0)&amp;"")-$Z314)) * SUM(IF(MIN(ABS(INDIRECT("Class Jobs!B"&amp;MATCH(E314,'Class Jobs'!$A$1:$A1000,0)&amp;":"&amp;"AF"&amp;MATCH(E314,'Class Jobs'!$A$1:$A1000,0)&amp;"")-$Z314))=ABS(INDIRECT("Class Jobs!B"&amp;MATCH(E314,'Class Jobs'!$A$1:$A1000,0)&amp;":"&amp;"AF"&amp;MATCH(E314,'Class Jobs'!$A$1:$A1000,0)&amp;"")-$Z314),SIGN(INDIRECT("Class Jobs!B"&amp;MATCH(E314,'Class Jobs'!$A$1:A1000,0)&amp;":"&amp;"AF"&amp;MATCH(E314,'Class Jobs'!$A$1:$A1000,0)&amp;"")-$Z314),0)),0)),INDIRECT("Class Jobs!B"&amp;MATCH(E314,'Class Jobs'!$A$1:$A1000,0)&amp;":"&amp;"AF"&amp;MATCH(E314,'Class Jobs'!$A$1:$A1000,1)&amp;""),'Class Jobs'!$B$1:$AF$1)</f>
        <v>#REF!</v>
      </c>
      <c r="Z314" s="158">
        <f t="shared" si="25"/>
        <v>0.85</v>
      </c>
      <c r="AA314" s="16" t="str">
        <f t="array" ref="AA314">INDEX(NPCGender,TRUNC(1+(COUNTA(NPCGender))*(TRUNC(MOD(($B314*1103515245 +12345)/ 65536, 32768),0)/32768),0))</f>
        <v>Neutral</v>
      </c>
      <c r="AB314" s="16" t="str">
        <f t="array" ref="AB314">INDEX(NPCRace,TRUNC(1+(COUNTA(NPCRace))*(TRUNC(MOD(($B314*1103515245 +12345)/ 65536, 32768),0)/32768),0))</f>
        <v>Genasi</v>
      </c>
      <c r="AC314" s="16" t="str">
        <f t="array" ref="AC314">INDEX(NPCAL,TRUNC(1+(COUNTA(NPCAL))*(TRUNC(MOD(($B314*1103515245 +12345)/ 65536, 32768),0)/32768),0))</f>
        <v>LN</v>
      </c>
      <c r="AD314" s="72" t="str">
        <f ca="1">IFERROR(__xludf.DUMMYFUNCTION("if(V314&lt;15,QUERY(NPCVar!C:D,""Select D WHERE C = '""&amp;D314&amp;""'""),if((TRUNC(1+10)*(TRUNC(MOD((ROW(H314)*1103515245 +12345)/ 65536, 32768),0)/32768)/10) &gt; 0.85,INDEX(NPCFaction,TRUNC(1+(counta(NPCFaction)-1)*(TRUNC(MOD(($B314*1103515245 +12345)/ 65536, 3276"&amp;"8),0)/32768),0)),QUERY(NPCVar!C:D,""Select D WHERE C = '""&amp;D314&amp;""'"")))"),"Traverlers Guild")</f>
        <v>Traverlers Guild</v>
      </c>
      <c r="AE314" s="108" t="e">
        <f t="shared" ca="1" si="26"/>
        <v>#NAME?</v>
      </c>
      <c r="AF314" s="159">
        <f ca="1">IFERROR(__xludf.DUMMYFUNCTION("AE314*(V314 / QUERY(NPCVar!$K$2:$N$12, ""Select N WHERE K='""&amp;AB314&amp;""'""))*TRUNC(1+10)*(TRUNC(MOD(($B314*1103515245 +12345)/ 65536, 32768),0)/32768)"),4.4261547088623)</f>
        <v>4.4261547088622999</v>
      </c>
      <c r="AG314" s="16"/>
      <c r="AH314" s="77"/>
      <c r="AI314" s="114"/>
    </row>
    <row r="315" spans="1:35" ht="16.2">
      <c r="A315" s="53">
        <v>314</v>
      </c>
      <c r="B315" s="118">
        <f t="shared" si="27"/>
        <v>0.65139999999999998</v>
      </c>
      <c r="C315" s="72" t="str">
        <f t="array" ref="C315">INDEX(NPCFName,TRUNC(1+(COUNTA(NPCFName))*(TRUNC(MOD(($B315*1103515245 +12345)/ 65536, 32768),0)/32768),0))</f>
        <v>Abarden</v>
      </c>
      <c r="D315" s="16" t="str">
        <f t="array" ref="D315">INDEX(NPCLName,TRUNC(1+(COUNTA(NPCLName))*(TRUNC(MOD(($B315*1103515245 +12345)/ 65536, 32768),0)/32768),0))</f>
        <v>Leafblight</v>
      </c>
      <c r="E315" s="16" t="str">
        <f t="array" ref="E315">INDEX(NPCClass,TRUNC(1+(COUNTA(NPCClass))*(TRUNC(MOD(($B315*1103515245 +12345)/ 65536, 32768),0)/32768),0))</f>
        <v>Paladin</v>
      </c>
      <c r="F315" s="76">
        <v>4</v>
      </c>
      <c r="G315" s="153">
        <f ca="1">VLOOKUP($AB$2,'RF Mod'!$A$2:$G$12,2,FALSE)+VLOOKUP($AD$2,'RF Mod'!$I$2:$O$11,2,FALSE)+(TRUNC(6+(24-6)*(TRUNC(MOD(($Z315*1103515245 +12345)/ 65536, 32768),0)/32768),0))</f>
        <v>7</v>
      </c>
      <c r="H315" s="16">
        <f t="shared" ca="1" si="17"/>
        <v>-2</v>
      </c>
      <c r="I315" s="153">
        <f ca="1">VLOOKUP($AB$2,'RF Mod'!$A$2:$G$12,3,FALSE)+VLOOKUP($AD$2,'RF Mod'!$I$2:$O$11,3,FALSE)+(TRUNC(6+(24-6)*(TRUNC(MOD(($Z315*1103515245 +12345)/ 65536, 32768),0)/32768),0))</f>
        <v>11</v>
      </c>
      <c r="J315" s="16" t="e">
        <f t="shared" ca="1" si="18"/>
        <v>#NAME?</v>
      </c>
      <c r="K315" s="153">
        <f ca="1">VLOOKUP($AB$2,'RF Mod'!$A$2:$G$12,3,FALSE)+VLOOKUP($AD$2,'RF Mod'!$I$2:$O$11,3,FALSE)+(TRUNC(6+(24-6)*(TRUNC(MOD(($Z315*1103515245 +12345)/ 65536, 32768),0)/32768),0))</f>
        <v>11</v>
      </c>
      <c r="L315" s="16" t="e">
        <f t="shared" ca="1" si="19"/>
        <v>#NAME?</v>
      </c>
      <c r="M315" s="153">
        <f ca="1">VLOOKUP($AB$2,'RF Mod'!$A$2:$G$12,4,FALSE)+VLOOKUP($AD$2,'RF Mod'!$I$2:$O$11,4,FALSE)+(TRUNC(6+(24-6)*(TRUNC(MOD(($Z315*1103515245 +12345)/ 65536, 32768),0)/32768),0))</f>
        <v>10</v>
      </c>
      <c r="N315" s="16" t="e">
        <f t="shared" ca="1" si="20"/>
        <v>#NAME?</v>
      </c>
      <c r="O315" s="153">
        <f ca="1">VLOOKUP($AB$2,'RF Mod'!$A$2:$G$12,5,FALSE)+VLOOKUP($AD$2,'RF Mod'!$I$2:$O$11,5,FALSE)+(TRUNC(6+(24-6)*(TRUNC(MOD(($Z315*1103515245 +12345)/ 65536, 32768),0)/32768),0))</f>
        <v>13</v>
      </c>
      <c r="P315" s="16" t="e">
        <f t="shared" ca="1" si="21"/>
        <v>#NAME?</v>
      </c>
      <c r="Q315" s="153">
        <f ca="1">VLOOKUP($AB$2,'RF Mod'!$A$2:$G$12,6,FALSE)+VLOOKUP($AD$2,'RF Mod'!$I$2:$O$11,6,FALSE)+(TRUNC(6+(24-6)*(TRUNC(MOD(($Z315*1103515245 +12345)/ 65536, 32768),0)/32768),0))</f>
        <v>11</v>
      </c>
      <c r="R315" s="16" t="e">
        <f t="shared" ca="1" si="22"/>
        <v>#NAME?</v>
      </c>
      <c r="S315" s="154">
        <f t="shared" ca="1" si="28"/>
        <v>60</v>
      </c>
      <c r="T315" s="154">
        <f t="shared" ca="1" si="23"/>
        <v>12</v>
      </c>
      <c r="U315" s="16" t="str">
        <f t="shared" ca="1" si="24"/>
        <v>Fine</v>
      </c>
      <c r="V315" s="155">
        <f ca="1">IFERROR(__xludf.DUMMYFUNCTION("if(W315=""Middle Age"",QUERY(NPCVar!$K$2:$N1000, ""Select L where K = '""&amp;AB315&amp;""'""),if(W315=""Old"",QUERY(NPCVar!$K$2:$N1000, ""Select M where K = '""&amp;AB315&amp;""'""),if(W315=""Venerable"",QUERY(NPCVar!$K$2:$N1000, ""Select N where K = '""&amp;AB315&amp;""'""),fa"&amp;"lse)))*X315"),151.875)</f>
        <v>151.875</v>
      </c>
      <c r="W315" s="156" t="str">
        <f t="array" ref="W315">INDEX(NPCAgeType,TRUNC(1+(4-1)*(TRUNC(MOD((X315*1103515245 +12345)/ 65536, 32768),0)/32768),0))</f>
        <v>Old</v>
      </c>
      <c r="X315" s="117">
        <f t="shared" si="29"/>
        <v>0.9</v>
      </c>
      <c r="Y315" s="157" t="e">
        <f t="array" aca="1" ref="Y315" ca="1">LOOKUP(ABS(MAX(Z315 + MIN(ABS(INDIRECT("Class Jobs!B"&amp;MATCH(E315,'Class Jobs'!$A$1:$A1000,0)&amp;":"&amp;"AF"&amp;MATCH(E315,'Class Jobs'!$A$1:$A1000,0)&amp;"")-$Z315)) * SUM(IF(MIN(ABS(INDIRECT("Class Jobs!B"&amp;MATCH(E315,'Class Jobs'!$A$1:$A1000,0)&amp;":"&amp;"AF"&amp;MATCH(E315,'Class Jobs'!$A$1:$A1000,0)&amp;"")-$Z315))=ABS(INDIRECT("Class Jobs!B"&amp;MATCH(E315,'Class Jobs'!$A$1:$A1000,0)&amp;":"&amp;"AF"&amp;MATCH(E315,'Class Jobs'!$A$1:$A1000,0)&amp;"")-$Z315),SIGN(INDIRECT("Class Jobs!B"&amp;MATCH(E315,'Class Jobs'!$A$1:A1000,0)&amp;":"&amp;"AF"&amp;MATCH(E315,'Class Jobs'!$A$1:$A1000,0)&amp;"")-$Z315),0)),0)),INDIRECT("Class Jobs!B"&amp;MATCH(E315,'Class Jobs'!$A$1:$A1000,0)&amp;":"&amp;"AF"&amp;MATCH(E315,'Class Jobs'!$A$1:$A1000,1)&amp;""),'Class Jobs'!$B$1:$AF$1)</f>
        <v>#REF!</v>
      </c>
      <c r="Z315" s="158">
        <f t="shared" si="25"/>
        <v>0.34</v>
      </c>
      <c r="AA315" s="16" t="str">
        <f t="array" ref="AA315">INDEX(NPCGender,TRUNC(1+(COUNTA(NPCGender))*(TRUNC(MOD(($B315*1103515245 +12345)/ 65536, 32768),0)/32768),0))</f>
        <v>Female</v>
      </c>
      <c r="AB315" s="16" t="str">
        <f t="array" ref="AB315">INDEX(NPCRace,TRUNC(1+(COUNTA(NPCRace))*(TRUNC(MOD(($B315*1103515245 +12345)/ 65536, 32768),0)/32768),0))</f>
        <v>Gnome</v>
      </c>
      <c r="AC315" s="16" t="str">
        <f t="array" ref="AC315">INDEX(NPCAL,TRUNC(1+(COUNTA(NPCAL))*(TRUNC(MOD(($B315*1103515245 +12345)/ 65536, 32768),0)/32768),0))</f>
        <v>NG</v>
      </c>
      <c r="AD315" s="72" t="str">
        <f ca="1">IFERROR(__xludf.DUMMYFUNCTION("if(V315&lt;15,QUERY(NPCVar!C:D,""Select D WHERE C = '""&amp;D315&amp;""'""),if((TRUNC(1+10)*(TRUNC(MOD((ROW(H315)*1103515245 +12345)/ 65536, 32768),0)/32768)/10) &gt; 0.85,INDEX(NPCFaction,TRUNC(1+(counta(NPCFaction)-1)*(TRUNC(MOD(($B315*1103515245 +12345)/ 65536, 3276"&amp;"8),0)/32768),0)),QUERY(NPCVar!C:D,""Select D WHERE C = '""&amp;D315&amp;""'"")))"),"Adventures Guild")</f>
        <v>Adventures Guild</v>
      </c>
      <c r="AE315" s="108" t="e">
        <f t="shared" ca="1" si="26"/>
        <v>#NAME?</v>
      </c>
      <c r="AF315" s="159">
        <f ca="1">IFERROR(__xludf.DUMMYFUNCTION("AE315*(V315 / QUERY(NPCVar!$K$2:$N$12, ""Select N WHERE K='""&amp;AB315&amp;""'""))*TRUNC(1+10)*(TRUNC(MOD(($B315*1103515245 +12345)/ 65536, 32768),0)/32768)"),0.372790832519531)</f>
        <v>0.37279083251953099</v>
      </c>
      <c r="AG315" s="16"/>
      <c r="AH315" s="77"/>
      <c r="AI315" s="114"/>
    </row>
    <row r="316" spans="1:35" ht="16.2">
      <c r="A316" s="53">
        <v>315</v>
      </c>
      <c r="B316" s="118">
        <f t="shared" si="27"/>
        <v>2.1455299999999999</v>
      </c>
      <c r="C316" s="72" t="str">
        <f t="array" ref="C316">INDEX(NPCFName,TRUNC(1+(COUNTA(NPCFName))*(TRUNC(MOD(($B316*1103515245 +12345)/ 65536, 32768),0)/32768),0))</f>
        <v>Eythil</v>
      </c>
      <c r="D316" s="16" t="str">
        <f t="array" ref="D316">INDEX(NPCLName,TRUNC(1+(COUNTA(NPCLName))*(TRUNC(MOD(($B316*1103515245 +12345)/ 65536, 32768),0)/32768),0))</f>
        <v>Distantlash</v>
      </c>
      <c r="E316" s="16" t="str">
        <f t="array" ref="E316">INDEX(NPCClass,TRUNC(1+(COUNTA(NPCClass))*(TRUNC(MOD(($B316*1103515245 +12345)/ 65536, 32768),0)/32768),0))</f>
        <v>Bard</v>
      </c>
      <c r="F316" s="76">
        <v>1</v>
      </c>
      <c r="G316" s="153">
        <f ca="1">VLOOKUP($AB$2,'RF Mod'!$A$2:$G$12,2,FALSE)+VLOOKUP($AD$2,'RF Mod'!$I$2:$O$11,2,FALSE)+(TRUNC(6+(24-6)*(TRUNC(MOD(($Z316*1103515245 +12345)/ 65536, 32768),0)/32768),0))</f>
        <v>5</v>
      </c>
      <c r="H316" s="16">
        <f t="shared" ca="1" si="17"/>
        <v>-3</v>
      </c>
      <c r="I316" s="153">
        <f ca="1">VLOOKUP($AB$2,'RF Mod'!$A$2:$G$12,3,FALSE)+VLOOKUP($AD$2,'RF Mod'!$I$2:$O$11,3,FALSE)+(TRUNC(6+(24-6)*(TRUNC(MOD(($Z316*1103515245 +12345)/ 65536, 32768),0)/32768),0))</f>
        <v>9</v>
      </c>
      <c r="J316" s="16">
        <f t="shared" ca="1" si="18"/>
        <v>-1</v>
      </c>
      <c r="K316" s="153">
        <f ca="1">VLOOKUP($AB$2,'RF Mod'!$A$2:$G$12,3,FALSE)+VLOOKUP($AD$2,'RF Mod'!$I$2:$O$11,3,FALSE)+(TRUNC(6+(24-6)*(TRUNC(MOD(($Z316*1103515245 +12345)/ 65536, 32768),0)/32768),0))</f>
        <v>9</v>
      </c>
      <c r="L316" s="16">
        <f t="shared" ca="1" si="19"/>
        <v>-1</v>
      </c>
      <c r="M316" s="153">
        <f ca="1">VLOOKUP($AB$2,'RF Mod'!$A$2:$G$12,4,FALSE)+VLOOKUP($AD$2,'RF Mod'!$I$2:$O$11,4,FALSE)+(TRUNC(6+(24-6)*(TRUNC(MOD(($Z316*1103515245 +12345)/ 65536, 32768),0)/32768),0))</f>
        <v>8</v>
      </c>
      <c r="N316" s="16">
        <f t="shared" ca="1" si="20"/>
        <v>-1</v>
      </c>
      <c r="O316" s="153">
        <f ca="1">VLOOKUP($AB$2,'RF Mod'!$A$2:$G$12,5,FALSE)+VLOOKUP($AD$2,'RF Mod'!$I$2:$O$11,5,FALSE)+(TRUNC(6+(24-6)*(TRUNC(MOD(($Z316*1103515245 +12345)/ 65536, 32768),0)/32768),0))</f>
        <v>11</v>
      </c>
      <c r="P316" s="16" t="e">
        <f t="shared" ca="1" si="21"/>
        <v>#NAME?</v>
      </c>
      <c r="Q316" s="153">
        <f ca="1">VLOOKUP($AB$2,'RF Mod'!$A$2:$G$12,6,FALSE)+VLOOKUP($AD$2,'RF Mod'!$I$2:$O$11,6,FALSE)+(TRUNC(6+(24-6)*(TRUNC(MOD(($Z316*1103515245 +12345)/ 65536, 32768),0)/32768),0))</f>
        <v>9</v>
      </c>
      <c r="R316" s="16">
        <f t="shared" ca="1" si="22"/>
        <v>-1</v>
      </c>
      <c r="S316" s="154">
        <f t="shared" ca="1" si="28"/>
        <v>11</v>
      </c>
      <c r="T316" s="154">
        <f t="shared" ca="1" si="23"/>
        <v>10</v>
      </c>
      <c r="U316" s="16" t="str">
        <f t="shared" ca="1" si="24"/>
        <v>Bloody</v>
      </c>
      <c r="V316" s="155">
        <f ca="1">IFERROR(__xludf.DUMMYFUNCTION("if(W316=""Middle Age"",QUERY(NPCVar!$K$2:$N1000, ""Select L where K = '""&amp;AB316&amp;""'""),if(W316=""Old"",QUERY(NPCVar!$K$2:$N1000, ""Select M where K = '""&amp;AB316&amp;""'""),if(W316=""Venerable"",QUERY(NPCVar!$K$2:$N1000, ""Select N where K = '""&amp;AB316&amp;""'""),fa"&amp;"lse)))*X316"),24)</f>
        <v>24</v>
      </c>
      <c r="W316" s="156" t="str">
        <f t="array" ref="W316">INDEX(NPCAgeType,TRUNC(1+(4-1)*(TRUNC(MOD((X316*1103515245 +12345)/ 65536, 32768),0)/32768),0))</f>
        <v>Middle Age</v>
      </c>
      <c r="X316" s="117">
        <f t="shared" si="29"/>
        <v>0.3</v>
      </c>
      <c r="Y316" s="157" t="e">
        <f t="array" aca="1" ref="Y316" ca="1">LOOKUP(ABS(MAX(Z316 + MIN(ABS(INDIRECT("Class Jobs!B"&amp;MATCH(E316,'Class Jobs'!$A$1:$A1000,0)&amp;":"&amp;"AF"&amp;MATCH(E316,'Class Jobs'!$A$1:$A1000,0)&amp;"")-$Z316)) * SUM(IF(MIN(ABS(INDIRECT("Class Jobs!B"&amp;MATCH(E316,'Class Jobs'!$A$1:$A1000,0)&amp;":"&amp;"AF"&amp;MATCH(E316,'Class Jobs'!$A$1:$A1000,0)&amp;"")-$Z316))=ABS(INDIRECT("Class Jobs!B"&amp;MATCH(E316,'Class Jobs'!$A$1:$A1000,0)&amp;":"&amp;"AF"&amp;MATCH(E316,'Class Jobs'!$A$1:$A1000,0)&amp;"")-$Z316),SIGN(INDIRECT("Class Jobs!B"&amp;MATCH(E316,'Class Jobs'!$A$1:A1000,0)&amp;":"&amp;"AF"&amp;MATCH(E316,'Class Jobs'!$A$1:$A1000,0)&amp;"")-$Z316),0)),0)),INDIRECT("Class Jobs!B"&amp;MATCH(E316,'Class Jobs'!$A$1:$A1000,0)&amp;":"&amp;"AF"&amp;MATCH(E316,'Class Jobs'!$A$1:$A1000,1)&amp;""),'Class Jobs'!$B$1:$AF$1)</f>
        <v>#REF!</v>
      </c>
      <c r="Z316" s="158">
        <f t="shared" si="25"/>
        <v>0.11</v>
      </c>
      <c r="AA316" s="16" t="str">
        <f t="array" ref="AA316">INDEX(NPCGender,TRUNC(1+(COUNTA(NPCGender))*(TRUNC(MOD(($B316*1103515245 +12345)/ 65536, 32768),0)/32768),0))</f>
        <v>Male</v>
      </c>
      <c r="AB316" s="16" t="str">
        <f t="array" ref="AB316">INDEX(NPCRace,TRUNC(1+(COUNTA(NPCRace))*(TRUNC(MOD(($B316*1103515245 +12345)/ 65536, 32768),0)/32768),0))</f>
        <v>Dwarf</v>
      </c>
      <c r="AC316" s="16" t="str">
        <f t="array" ref="AC316">INDEX(NPCAL,TRUNC(1+(COUNTA(NPCAL))*(TRUNC(MOD(($B316*1103515245 +12345)/ 65536, 32768),0)/32768),0))</f>
        <v>CN</v>
      </c>
      <c r="AD316" s="72" t="str">
        <f ca="1">IFERROR(__xludf.DUMMYFUNCTION("if(V316&lt;15,QUERY(NPCVar!C:D,""Select D WHERE C = '""&amp;D316&amp;""'""),if((TRUNC(1+10)*(TRUNC(MOD((ROW(H316)*1103515245 +12345)/ 65536, 32768),0)/32768)/10) &gt; 0.85,INDEX(NPCFaction,TRUNC(1+(counta(NPCFaction)-1)*(TRUNC(MOD(($B316*1103515245 +12345)/ 65536, 3276"&amp;"8),0)/32768),0)),QUERY(NPCVar!C:D,""Select D WHERE C = '""&amp;D316&amp;""'"")))"),"Death Guild")</f>
        <v>Death Guild</v>
      </c>
      <c r="AE316" s="108" t="e">
        <f t="shared" ca="1" si="26"/>
        <v>#NAME?</v>
      </c>
      <c r="AF316" s="159">
        <f ca="1">IFERROR(__xludf.DUMMYFUNCTION("AE316*(V316 / QUERY(NPCVar!$K$2:$N$12, ""Select N WHERE K='""&amp;AB316&amp;""'""))*TRUNC(1+10)*(TRUNC(MOD(($B316*1103515245 +12345)/ 65536, 32768),0)/32768)"),0.0422847747802734)</f>
        <v>4.2284774780273399E-2</v>
      </c>
      <c r="AG316" s="16"/>
      <c r="AH316" s="77"/>
      <c r="AI316" s="114"/>
    </row>
    <row r="317" spans="1:35" ht="16.2">
      <c r="A317" s="53">
        <v>316</v>
      </c>
      <c r="B317" s="118">
        <f t="shared" si="27"/>
        <v>1.13968</v>
      </c>
      <c r="C317" s="72" t="str">
        <f t="array" ref="C317">INDEX(NPCFName,TRUNC(1+(COUNTA(NPCFName))*(TRUNC(MOD(($B317*1103515245 +12345)/ 65536, 32768),0)/32768),0))</f>
        <v>Rysdan</v>
      </c>
      <c r="D317" s="16" t="str">
        <f t="array" ref="D317">INDEX(NPCLName,TRUNC(1+(COUNTA(NPCLName))*(TRUNC(MOD(($B317*1103515245 +12345)/ 65536, 32768),0)/32768),0))</f>
        <v>Chestaxe</v>
      </c>
      <c r="E317" s="16" t="str">
        <f t="array" ref="E317">INDEX(NPCClass,TRUNC(1+(COUNTA(NPCClass))*(TRUNC(MOD(($B317*1103515245 +12345)/ 65536, 32768),0)/32768),0))</f>
        <v>Warlock</v>
      </c>
      <c r="F317" s="76">
        <v>8</v>
      </c>
      <c r="G317" s="153">
        <f ca="1">VLOOKUP($AB$2,'RF Mod'!$A$2:$G$12,2,FALSE)+VLOOKUP($AD$2,'RF Mod'!$I$2:$O$11,2,FALSE)+(TRUNC(6+(24-6)*(TRUNC(MOD(($Z317*1103515245 +12345)/ 65536, 32768),0)/32768),0))</f>
        <v>9</v>
      </c>
      <c r="H317" s="16">
        <f t="shared" ca="1" si="17"/>
        <v>-1</v>
      </c>
      <c r="I317" s="153">
        <f ca="1">VLOOKUP($AB$2,'RF Mod'!$A$2:$G$12,3,FALSE)+VLOOKUP($AD$2,'RF Mod'!$I$2:$O$11,3,FALSE)+(TRUNC(6+(24-6)*(TRUNC(MOD(($Z317*1103515245 +12345)/ 65536, 32768),0)/32768),0))</f>
        <v>13</v>
      </c>
      <c r="J317" s="16" t="e">
        <f t="shared" ca="1" si="18"/>
        <v>#NAME?</v>
      </c>
      <c r="K317" s="153">
        <f ca="1">VLOOKUP($AB$2,'RF Mod'!$A$2:$G$12,3,FALSE)+VLOOKUP($AD$2,'RF Mod'!$I$2:$O$11,3,FALSE)+(TRUNC(6+(24-6)*(TRUNC(MOD(($Z317*1103515245 +12345)/ 65536, 32768),0)/32768),0))</f>
        <v>13</v>
      </c>
      <c r="L317" s="16" t="e">
        <f t="shared" ca="1" si="19"/>
        <v>#NAME?</v>
      </c>
      <c r="M317" s="153">
        <f ca="1">VLOOKUP($AB$2,'RF Mod'!$A$2:$G$12,4,FALSE)+VLOOKUP($AD$2,'RF Mod'!$I$2:$O$11,4,FALSE)+(TRUNC(6+(24-6)*(TRUNC(MOD(($Z317*1103515245 +12345)/ 65536, 32768),0)/32768),0))</f>
        <v>12</v>
      </c>
      <c r="N317" s="16" t="e">
        <f t="shared" ca="1" si="20"/>
        <v>#NAME?</v>
      </c>
      <c r="O317" s="153">
        <f ca="1">VLOOKUP($AB$2,'RF Mod'!$A$2:$G$12,5,FALSE)+VLOOKUP($AD$2,'RF Mod'!$I$2:$O$11,5,FALSE)+(TRUNC(6+(24-6)*(TRUNC(MOD(($Z317*1103515245 +12345)/ 65536, 32768),0)/32768),0))</f>
        <v>15</v>
      </c>
      <c r="P317" s="16" t="e">
        <f t="shared" ca="1" si="21"/>
        <v>#NAME?</v>
      </c>
      <c r="Q317" s="153">
        <f ca="1">VLOOKUP($AB$2,'RF Mod'!$A$2:$G$12,6,FALSE)+VLOOKUP($AD$2,'RF Mod'!$I$2:$O$11,6,FALSE)+(TRUNC(6+(24-6)*(TRUNC(MOD(($Z317*1103515245 +12345)/ 65536, 32768),0)/32768),0))</f>
        <v>13</v>
      </c>
      <c r="R317" s="16" t="e">
        <f t="shared" ca="1" si="22"/>
        <v>#NAME?</v>
      </c>
      <c r="S317" s="154">
        <f t="shared" ca="1" si="28"/>
        <v>184</v>
      </c>
      <c r="T317" s="154">
        <f t="shared" ca="1" si="23"/>
        <v>86</v>
      </c>
      <c r="U317" s="16" t="str">
        <f t="shared" ca="1" si="24"/>
        <v>Fine</v>
      </c>
      <c r="V317" s="155">
        <f ca="1">IFERROR(__xludf.DUMMYFUNCTION("if(W317=""Middle Age"",QUERY(NPCVar!$K$2:$N1000, ""Select L where K = '""&amp;AB317&amp;""'""),if(W317=""Old"",QUERY(NPCVar!$K$2:$N1000, ""Select M where K = '""&amp;AB317&amp;""'""),if(W317=""Venerable"",QUERY(NPCVar!$K$2:$N1000, ""Select N where K = '""&amp;AB317&amp;""'""),fa"&amp;"lse)))*X317"),300)</f>
        <v>300</v>
      </c>
      <c r="W317" s="156" t="str">
        <f t="array" ref="W317">INDEX(NPCAgeType,TRUNC(1+(4-1)*(TRUNC(MOD((X317*1103515245 +12345)/ 65536, 32768),0)/32768),0))</f>
        <v>Venerable</v>
      </c>
      <c r="X317" s="117">
        <f t="shared" si="29"/>
        <v>1.5</v>
      </c>
      <c r="Y317" s="157" t="e">
        <f t="array" aca="1" ref="Y317" ca="1">LOOKUP(ABS(MAX(Z317 + MIN(ABS(INDIRECT("Class Jobs!B"&amp;MATCH(E317,'Class Jobs'!$A$1:$A1000,0)&amp;":"&amp;"AF"&amp;MATCH(E317,'Class Jobs'!$A$1:$A1000,0)&amp;"")-$Z317)) * SUM(IF(MIN(ABS(INDIRECT("Class Jobs!B"&amp;MATCH(E317,'Class Jobs'!$A$1:$A1000,0)&amp;":"&amp;"AF"&amp;MATCH(E317,'Class Jobs'!$A$1:$A1000,0)&amp;"")-$Z317))=ABS(INDIRECT("Class Jobs!B"&amp;MATCH(E317,'Class Jobs'!$A$1:$A1000,0)&amp;":"&amp;"AF"&amp;MATCH(E317,'Class Jobs'!$A$1:$A1000,0)&amp;"")-$Z317),SIGN(INDIRECT("Class Jobs!B"&amp;MATCH(E317,'Class Jobs'!$A$1:A1000,0)&amp;":"&amp;"AF"&amp;MATCH(E317,'Class Jobs'!$A$1:$A1000,0)&amp;"")-$Z317),0)),0)),INDIRECT("Class Jobs!B"&amp;MATCH(E317,'Class Jobs'!$A$1:$A1000,0)&amp;":"&amp;"AF"&amp;MATCH(E317,'Class Jobs'!$A$1:$A1000,1)&amp;""),'Class Jobs'!$B$1:$AF$1)</f>
        <v>#REF!</v>
      </c>
      <c r="Z317" s="158">
        <f t="shared" si="25"/>
        <v>0.57999999999999996</v>
      </c>
      <c r="AA317" s="16" t="str">
        <f t="array" ref="AA317">INDEX(NPCGender,TRUNC(1+(COUNTA(NPCGender))*(TRUNC(MOD(($B317*1103515245 +12345)/ 65536, 32768),0)/32768),0))</f>
        <v>Female</v>
      </c>
      <c r="AB317" s="16" t="str">
        <f t="array" ref="AB317">INDEX(NPCRace,TRUNC(1+(COUNTA(NPCRace))*(TRUNC(MOD(($B317*1103515245 +12345)/ 65536, 32768),0)/32768),0))</f>
        <v>Halfling</v>
      </c>
      <c r="AC317" s="16" t="str">
        <f t="array" ref="AC317">INDEX(NPCAL,TRUNC(1+(COUNTA(NPCAL))*(TRUNC(MOD(($B317*1103515245 +12345)/ 65536, 32768),0)/32768),0))</f>
        <v>NE</v>
      </c>
      <c r="AD317" s="72" t="str">
        <f ca="1">IFERROR(__xludf.DUMMYFUNCTION("if(V317&lt;15,QUERY(NPCVar!C:D,""Select D WHERE C = '""&amp;D317&amp;""'""),if((TRUNC(1+10)*(TRUNC(MOD((ROW(H317)*1103515245 +12345)/ 65536, 32768),0)/32768)/10) &gt; 0.85,INDEX(NPCFaction,TRUNC(1+(counta(NPCFaction)-1)*(TRUNC(MOD(($B317*1103515245 +12345)/ 65536, 3276"&amp;"8),0)/32768),0)),QUERY(NPCVar!C:D,""Select D WHERE C = '""&amp;D317&amp;""'"")))"),"Death Guild")</f>
        <v>Death Guild</v>
      </c>
      <c r="AE317" s="108" t="e">
        <f t="shared" ca="1" si="26"/>
        <v>#NAME?</v>
      </c>
      <c r="AF317" s="159">
        <f ca="1">IFERROR(__xludf.DUMMYFUNCTION("AE317*(V317 / QUERY(NPCVar!$K$2:$N$12, ""Select N WHERE K='""&amp;AB317&amp;""'""))*TRUNC(1+10)*(TRUNC(MOD(($B317*1103515245 +12345)/ 65536, 32768),0)/32768)"),4.83146667480468)</f>
        <v>4.8314666748046804</v>
      </c>
      <c r="AG317" s="16"/>
      <c r="AH317" s="77"/>
      <c r="AI317" s="114"/>
    </row>
    <row r="318" spans="1:35" ht="16.2">
      <c r="A318" s="53">
        <v>317</v>
      </c>
      <c r="B318" s="118">
        <f t="shared" si="27"/>
        <v>0.13381999999999999</v>
      </c>
      <c r="C318" s="72" t="str">
        <f t="array" ref="C318">INDEX(NPCFName,TRUNC(1+(COUNTA(NPCFName))*(TRUNC(MOD(($B318*1103515245 +12345)/ 65536, 32768),0)/32768),0))</f>
        <v>Darkkon</v>
      </c>
      <c r="D318" s="16" t="str">
        <f t="array" ref="D318">INDEX(NPCLName,TRUNC(1+(COUNTA(NPCLName))*(TRUNC(MOD(($B318*1103515245 +12345)/ 65536, 32768),0)/32768),0))</f>
        <v>Autumnorb</v>
      </c>
      <c r="E318" s="16" t="str">
        <f t="array" ref="E318">INDEX(NPCClass,TRUNC(1+(COUNTA(NPCClass))*(TRUNC(MOD(($B318*1103515245 +12345)/ 65536, 32768),0)/32768),0))</f>
        <v>Barbarian</v>
      </c>
      <c r="F318" s="76">
        <v>1</v>
      </c>
      <c r="G318" s="153">
        <f ca="1">VLOOKUP($AB$2,'RF Mod'!$A$2:$G$12,2,FALSE)+VLOOKUP($AD$2,'RF Mod'!$I$2:$O$11,2,FALSE)+(TRUNC(6+(24-6)*(TRUNC(MOD(($Z318*1103515245 +12345)/ 65536, 32768),0)/32768),0))</f>
        <v>4</v>
      </c>
      <c r="H318" s="16">
        <f t="shared" ca="1" si="17"/>
        <v>-3</v>
      </c>
      <c r="I318" s="153">
        <f ca="1">VLOOKUP($AB$2,'RF Mod'!$A$2:$G$12,3,FALSE)+VLOOKUP($AD$2,'RF Mod'!$I$2:$O$11,3,FALSE)+(TRUNC(6+(24-6)*(TRUNC(MOD(($Z318*1103515245 +12345)/ 65536, 32768),0)/32768),0))</f>
        <v>8</v>
      </c>
      <c r="J318" s="16">
        <f t="shared" ca="1" si="18"/>
        <v>-1</v>
      </c>
      <c r="K318" s="153">
        <f ca="1">VLOOKUP($AB$2,'RF Mod'!$A$2:$G$12,3,FALSE)+VLOOKUP($AD$2,'RF Mod'!$I$2:$O$11,3,FALSE)+(TRUNC(6+(24-6)*(TRUNC(MOD(($Z318*1103515245 +12345)/ 65536, 32768),0)/32768),0))</f>
        <v>8</v>
      </c>
      <c r="L318" s="16">
        <f t="shared" ca="1" si="19"/>
        <v>-1</v>
      </c>
      <c r="M318" s="153">
        <f ca="1">VLOOKUP($AB$2,'RF Mod'!$A$2:$G$12,4,FALSE)+VLOOKUP($AD$2,'RF Mod'!$I$2:$O$11,4,FALSE)+(TRUNC(6+(24-6)*(TRUNC(MOD(($Z318*1103515245 +12345)/ 65536, 32768),0)/32768),0))</f>
        <v>7</v>
      </c>
      <c r="N318" s="16">
        <f t="shared" ca="1" si="20"/>
        <v>-2</v>
      </c>
      <c r="O318" s="153">
        <f ca="1">VLOOKUP($AB$2,'RF Mod'!$A$2:$G$12,5,FALSE)+VLOOKUP($AD$2,'RF Mod'!$I$2:$O$11,5,FALSE)+(TRUNC(6+(24-6)*(TRUNC(MOD(($Z318*1103515245 +12345)/ 65536, 32768),0)/32768),0))</f>
        <v>10</v>
      </c>
      <c r="P318" s="16" t="e">
        <f t="shared" ca="1" si="21"/>
        <v>#NAME?</v>
      </c>
      <c r="Q318" s="153">
        <f ca="1">VLOOKUP($AB$2,'RF Mod'!$A$2:$G$12,6,FALSE)+VLOOKUP($AD$2,'RF Mod'!$I$2:$O$11,6,FALSE)+(TRUNC(6+(24-6)*(TRUNC(MOD(($Z318*1103515245 +12345)/ 65536, 32768),0)/32768),0))</f>
        <v>8</v>
      </c>
      <c r="R318" s="16">
        <f t="shared" ca="1" si="22"/>
        <v>-1</v>
      </c>
      <c r="S318" s="154">
        <f t="shared" ca="1" si="28"/>
        <v>10</v>
      </c>
      <c r="T318" s="154">
        <f t="shared" ca="1" si="23"/>
        <v>4</v>
      </c>
      <c r="U318" s="16" t="str">
        <f t="shared" ca="1" si="24"/>
        <v>Fine</v>
      </c>
      <c r="V318" s="155">
        <f ca="1">IFERROR(__xludf.DUMMYFUNCTION("if(W318=""Middle Age"",QUERY(NPCVar!$K$2:$N1000, ""Select L where K = '""&amp;AB318&amp;""'""),if(W318=""Old"",QUERY(NPCVar!$K$2:$N1000, ""Select M where K = '""&amp;AB318&amp;""'""),if(W318=""Venerable"",QUERY(NPCVar!$K$2:$N1000, ""Select N where K = '""&amp;AB318&amp;""'""),fa"&amp;"lse)))*X318"),4)</f>
        <v>4</v>
      </c>
      <c r="W318" s="156" t="str">
        <f t="array" ref="W318">INDEX(NPCAgeType,TRUNC(1+(4-1)*(TRUNC(MOD((X318*1103515245 +12345)/ 65536, 32768),0)/32768),0))</f>
        <v>Middle Age</v>
      </c>
      <c r="X318" s="117">
        <f t="shared" si="29"/>
        <v>0.2</v>
      </c>
      <c r="Y318" s="157" t="e">
        <f t="array" aca="1" ref="Y318" ca="1">LOOKUP(ABS(MAX(Z318 + MIN(ABS(INDIRECT("Class Jobs!B"&amp;MATCH(E318,'Class Jobs'!$A$1:$A1000,0)&amp;":"&amp;"AF"&amp;MATCH(E318,'Class Jobs'!$A$1:$A1000,0)&amp;"")-$Z318)) * SUM(IF(MIN(ABS(INDIRECT("Class Jobs!B"&amp;MATCH(E318,'Class Jobs'!$A$1:$A1000,0)&amp;":"&amp;"AF"&amp;MATCH(E318,'Class Jobs'!$A$1:$A1000,0)&amp;"")-$Z318))=ABS(INDIRECT("Class Jobs!B"&amp;MATCH(E318,'Class Jobs'!$A$1:$A1000,0)&amp;":"&amp;"AF"&amp;MATCH(E318,'Class Jobs'!$A$1:$A1000,0)&amp;"")-$Z318),SIGN(INDIRECT("Class Jobs!B"&amp;MATCH(E318,'Class Jobs'!$A$1:A1000,0)&amp;":"&amp;"AF"&amp;MATCH(E318,'Class Jobs'!$A$1:$A1000,0)&amp;"")-$Z318),0)),0)),INDIRECT("Class Jobs!B"&amp;MATCH(E318,'Class Jobs'!$A$1:$A1000,0)&amp;":"&amp;"AF"&amp;MATCH(E318,'Class Jobs'!$A$1:$A1000,1)&amp;""),'Class Jobs'!$B$1:$AF$1)</f>
        <v>#REF!</v>
      </c>
      <c r="Z318" s="158">
        <f t="shared" si="25"/>
        <v>7.0000000000000007E-2</v>
      </c>
      <c r="AA318" s="16" t="str">
        <f t="array" ref="AA318">INDEX(NPCGender,TRUNC(1+(COUNTA(NPCGender))*(TRUNC(MOD(($B318*1103515245 +12345)/ 65536, 32768),0)/32768),0))</f>
        <v>Male</v>
      </c>
      <c r="AB318" s="16" t="str">
        <f t="array" ref="AB318">INDEX(NPCRace,TRUNC(1+(COUNTA(NPCRace))*(TRUNC(MOD(($B318*1103515245 +12345)/ 65536, 32768),0)/32768),0))</f>
        <v>Dragonborn</v>
      </c>
      <c r="AC318" s="16" t="str">
        <f t="array" ref="AC318">INDEX(NPCAL,TRUNC(1+(COUNTA(NPCAL))*(TRUNC(MOD(($B318*1103515245 +12345)/ 65536, 32768),0)/32768),0))</f>
        <v>CN</v>
      </c>
      <c r="AD318" s="72" t="str">
        <f ca="1">IFERROR(__xludf.DUMMYFUNCTION("if(V318&lt;15,QUERY(NPCVar!C:D,""Select D WHERE C = '""&amp;D318&amp;""'""),if((TRUNC(1+10)*(TRUNC(MOD((ROW(H318)*1103515245 +12345)/ 65536, 32768),0)/32768)/10) &gt; 0.85,INDEX(NPCFaction,TRUNC(1+(counta(NPCFaction)-1)*(TRUNC(MOD(($B318*1103515245 +12345)/ 65536, 3276"&amp;"8),0)/32768),0)),QUERY(NPCVar!C:D,""Select D WHERE C = '""&amp;D318&amp;""'"")))"),"Royalty")</f>
        <v>Royalty</v>
      </c>
      <c r="AE318" s="108" t="e">
        <f t="shared" ca="1" si="26"/>
        <v>#NAME?</v>
      </c>
      <c r="AF318" s="159">
        <f ca="1">IFERROR(__xludf.DUMMYFUNCTION("AE318*(V318 / QUERY(NPCVar!$K$2:$N$12, ""Select N WHERE K='""&amp;AB318&amp;""'""))*TRUNC(1+10)*(TRUNC(MOD(($B318*1103515245 +12345)/ 65536, 32768),0)/32768)"),0.0226895141601562)</f>
        <v>2.2689514160156202E-2</v>
      </c>
      <c r="AG318" s="16"/>
      <c r="AH318" s="77"/>
      <c r="AI318" s="114"/>
    </row>
    <row r="319" spans="1:35" ht="16.2">
      <c r="A319" s="53">
        <v>318</v>
      </c>
      <c r="B319" s="118">
        <f t="shared" si="27"/>
        <v>1.62788</v>
      </c>
      <c r="C319" s="72" t="str">
        <f t="array" ref="C319">INDEX(NPCFName,TRUNC(1+(COUNTA(NPCFName))*(TRUNC(MOD(($B319*1103515245 +12345)/ 65536, 32768),0)/32768),0))</f>
        <v>Laracal</v>
      </c>
      <c r="D319" s="16" t="str">
        <f t="array" ref="D319">INDEX(NPCLName,TRUNC(1+(COUNTA(NPCLName))*(TRUNC(MOD(($B319*1103515245 +12345)/ 65536, 32768),0)/32768),0))</f>
        <v>Springgust</v>
      </c>
      <c r="E319" s="16" t="str">
        <f t="array" ref="E319">INDEX(NPCClass,TRUNC(1+(COUNTA(NPCClass))*(TRUNC(MOD(($B319*1103515245 +12345)/ 65536, 32768),0)/32768),0))</f>
        <v>Fighter</v>
      </c>
      <c r="F319" s="76">
        <v>8</v>
      </c>
      <c r="G319" s="153">
        <f ca="1">VLOOKUP($AB$2,'RF Mod'!$A$2:$G$12,2,FALSE)+VLOOKUP($AD$2,'RF Mod'!$I$2:$O$11,2,FALSE)+(TRUNC(6+(24-6)*(TRUNC(MOD(($Z319*1103515245 +12345)/ 65536, 32768),0)/32768),0))</f>
        <v>11</v>
      </c>
      <c r="H319" s="16" t="e">
        <f t="shared" ca="1" si="17"/>
        <v>#NAME?</v>
      </c>
      <c r="I319" s="153">
        <f ca="1">VLOOKUP($AB$2,'RF Mod'!$A$2:$G$12,3,FALSE)+VLOOKUP($AD$2,'RF Mod'!$I$2:$O$11,3,FALSE)+(TRUNC(6+(24-6)*(TRUNC(MOD(($Z319*1103515245 +12345)/ 65536, 32768),0)/32768),0))</f>
        <v>15</v>
      </c>
      <c r="J319" s="16" t="e">
        <f t="shared" ca="1" si="18"/>
        <v>#NAME?</v>
      </c>
      <c r="K319" s="153">
        <f ca="1">VLOOKUP($AB$2,'RF Mod'!$A$2:$G$12,3,FALSE)+VLOOKUP($AD$2,'RF Mod'!$I$2:$O$11,3,FALSE)+(TRUNC(6+(24-6)*(TRUNC(MOD(($Z319*1103515245 +12345)/ 65536, 32768),0)/32768),0))</f>
        <v>15</v>
      </c>
      <c r="L319" s="16" t="e">
        <f t="shared" ca="1" si="19"/>
        <v>#NAME?</v>
      </c>
      <c r="M319" s="153">
        <f ca="1">VLOOKUP($AB$2,'RF Mod'!$A$2:$G$12,4,FALSE)+VLOOKUP($AD$2,'RF Mod'!$I$2:$O$11,4,FALSE)+(TRUNC(6+(24-6)*(TRUNC(MOD(($Z319*1103515245 +12345)/ 65536, 32768),0)/32768),0))</f>
        <v>14</v>
      </c>
      <c r="N319" s="16" t="e">
        <f t="shared" ca="1" si="20"/>
        <v>#NAME?</v>
      </c>
      <c r="O319" s="153">
        <f ca="1">VLOOKUP($AB$2,'RF Mod'!$A$2:$G$12,5,FALSE)+VLOOKUP($AD$2,'RF Mod'!$I$2:$O$11,5,FALSE)+(TRUNC(6+(24-6)*(TRUNC(MOD(($Z319*1103515245 +12345)/ 65536, 32768),0)/32768),0))</f>
        <v>17</v>
      </c>
      <c r="P319" s="16" t="e">
        <f t="shared" ca="1" si="21"/>
        <v>#NAME?</v>
      </c>
      <c r="Q319" s="153">
        <f ca="1">VLOOKUP($AB$2,'RF Mod'!$A$2:$G$12,6,FALSE)+VLOOKUP($AD$2,'RF Mod'!$I$2:$O$11,6,FALSE)+(TRUNC(6+(24-6)*(TRUNC(MOD(($Z319*1103515245 +12345)/ 65536, 32768),0)/32768),0))</f>
        <v>15</v>
      </c>
      <c r="R319" s="16" t="e">
        <f t="shared" ca="1" si="22"/>
        <v>#NAME?</v>
      </c>
      <c r="S319" s="154">
        <f t="shared" ca="1" si="28"/>
        <v>168</v>
      </c>
      <c r="T319" s="154">
        <f t="shared" ca="1" si="23"/>
        <v>152</v>
      </c>
      <c r="U319" s="16" t="str">
        <f t="shared" ca="1" si="24"/>
        <v>Bloody</v>
      </c>
      <c r="V319" s="155">
        <f ca="1">IFERROR(__xludf.DUMMYFUNCTION("if(W319=""Middle Age"",QUERY(NPCVar!$K$2:$N1000, ""Select L where K = '""&amp;AB319&amp;""'""),if(W319=""Old"",QUERY(NPCVar!$K$2:$N1000, ""Select M where K = '""&amp;AB319&amp;""'""),if(W319=""Venerable"",QUERY(NPCVar!$K$2:$N1000, ""Select N where K = '""&amp;AB319&amp;""'""),fa"&amp;"lse)))*X319"),57.75)</f>
        <v>57.75</v>
      </c>
      <c r="W319" s="156" t="str">
        <f t="array" ref="W319">INDEX(NPCAgeType,TRUNC(1+(4-1)*(TRUNC(MOD((X319*1103515245 +12345)/ 65536, 32768),0)/32768),0))</f>
        <v>Middle Age</v>
      </c>
      <c r="X319" s="117">
        <f t="shared" si="29"/>
        <v>2.1</v>
      </c>
      <c r="Y319" s="157" t="e">
        <f t="array" aca="1" ref="Y319" ca="1">LOOKUP(ABS(MAX(Z319 + MIN(ABS(INDIRECT("Class Jobs!B"&amp;MATCH(E319,'Class Jobs'!$A$1:$A1000,0)&amp;":"&amp;"AF"&amp;MATCH(E319,'Class Jobs'!$A$1:$A1000,0)&amp;"")-$Z319)) * SUM(IF(MIN(ABS(INDIRECT("Class Jobs!B"&amp;MATCH(E319,'Class Jobs'!$A$1:$A1000,0)&amp;":"&amp;"AF"&amp;MATCH(E319,'Class Jobs'!$A$1:$A1000,0)&amp;"")-$Z319))=ABS(INDIRECT("Class Jobs!B"&amp;MATCH(E319,'Class Jobs'!$A$1:$A1000,0)&amp;":"&amp;"AF"&amp;MATCH(E319,'Class Jobs'!$A$1:$A1000,0)&amp;"")-$Z319),SIGN(INDIRECT("Class Jobs!B"&amp;MATCH(E319,'Class Jobs'!$A$1:A1000,0)&amp;":"&amp;"AF"&amp;MATCH(E319,'Class Jobs'!$A$1:$A1000,0)&amp;"")-$Z319),0)),0)),INDIRECT("Class Jobs!B"&amp;MATCH(E319,'Class Jobs'!$A$1:$A1000,0)&amp;":"&amp;"AF"&amp;MATCH(E319,'Class Jobs'!$A$1:$A1000,1)&amp;""),'Class Jobs'!$B$1:$AF$1)</f>
        <v>#REF!</v>
      </c>
      <c r="Z319" s="158">
        <f t="shared" si="25"/>
        <v>0.83</v>
      </c>
      <c r="AA319" s="16" t="str">
        <f t="array" ref="AA319">INDEX(NPCGender,TRUNC(1+(COUNTA(NPCGender))*(TRUNC(MOD(($B319*1103515245 +12345)/ 65536, 32768),0)/32768),0))</f>
        <v>Neutral</v>
      </c>
      <c r="AB319" s="16" t="str">
        <f t="array" ref="AB319">INDEX(NPCRace,TRUNC(1+(COUNTA(NPCRace))*(TRUNC(MOD(($B319*1103515245 +12345)/ 65536, 32768),0)/32768),0))</f>
        <v>Genasi</v>
      </c>
      <c r="AC319" s="16" t="str">
        <f t="array" ref="AC319">INDEX(NPCAL,TRUNC(1+(COUNTA(NPCAL))*(TRUNC(MOD(($B319*1103515245 +12345)/ 65536, 32768),0)/32768),0))</f>
        <v>LN</v>
      </c>
      <c r="AD319" s="72" t="str">
        <f ca="1">IFERROR(__xludf.DUMMYFUNCTION("if(V319&lt;15,QUERY(NPCVar!C:D,""Select D WHERE C = '""&amp;D319&amp;""'""),if((TRUNC(1+10)*(TRUNC(MOD((ROW(H319)*1103515245 +12345)/ 65536, 32768),0)/32768)/10) &gt; 0.85,INDEX(NPCFaction,TRUNC(1+(counta(NPCFaction)-1)*(TRUNC(MOD(($B319*1103515245 +12345)/ 65536, 3276"&amp;"8),0)/32768),0)),QUERY(NPCVar!C:D,""Select D WHERE C = '""&amp;D319&amp;""'"")))"),"Farmers Guild")</f>
        <v>Farmers Guild</v>
      </c>
      <c r="AE319" s="108" t="e">
        <f t="shared" ca="1" si="26"/>
        <v>#NAME?</v>
      </c>
      <c r="AF319" s="159">
        <f ca="1">IFERROR(__xludf.DUMMYFUNCTION("AE319*(V319 / QUERY(NPCVar!$K$2:$N$12, ""Select N WHERE K='""&amp;AB319&amp;""'""))*TRUNC(1+10)*(TRUNC(MOD(($B319*1103515245 +12345)/ 65536, 32768),0)/32768)"),2.41535568237304)</f>
        <v>2.4153556823730402</v>
      </c>
      <c r="AG319" s="16"/>
      <c r="AH319" s="77"/>
      <c r="AI319" s="114"/>
    </row>
    <row r="320" spans="1:35" ht="16.2">
      <c r="A320" s="53">
        <v>319</v>
      </c>
      <c r="B320" s="118">
        <f t="shared" si="27"/>
        <v>0.62202999999999997</v>
      </c>
      <c r="C320" s="72" t="str">
        <f t="array" ref="C320">INDEX(NPCFName,TRUNC(1+(COUNTA(NPCFName))*(TRUNC(MOD(($B320*1103515245 +12345)/ 65536, 32768),0)/32768),0))</f>
        <v>Xander</v>
      </c>
      <c r="D320" s="16" t="str">
        <f t="array" ref="D320">INDEX(NPCLName,TRUNC(1+(COUNTA(NPCLName))*(TRUNC(MOD(($B320*1103515245 +12345)/ 65536, 32768),0)/32768),0))</f>
        <v>Stormdew</v>
      </c>
      <c r="E320" s="16" t="str">
        <f t="array" ref="E320">INDEX(NPCClass,TRUNC(1+(COUNTA(NPCClass))*(TRUNC(MOD(($B320*1103515245 +12345)/ 65536, 32768),0)/32768),0))</f>
        <v>Monk</v>
      </c>
      <c r="F320" s="76">
        <v>5</v>
      </c>
      <c r="G320" s="153">
        <f ca="1">VLOOKUP($AB$2,'RF Mod'!$A$2:$G$12,2,FALSE)+VLOOKUP($AD$2,'RF Mod'!$I$2:$O$11,2,FALSE)+(TRUNC(6+(24-6)*(TRUNC(MOD(($Z320*1103515245 +12345)/ 65536, 32768),0)/32768),0))</f>
        <v>6</v>
      </c>
      <c r="H320" s="16">
        <f t="shared" ca="1" si="17"/>
        <v>-2</v>
      </c>
      <c r="I320" s="153">
        <f ca="1">VLOOKUP($AB$2,'RF Mod'!$A$2:$G$12,3,FALSE)+VLOOKUP($AD$2,'RF Mod'!$I$2:$O$11,3,FALSE)+(TRUNC(6+(24-6)*(TRUNC(MOD(($Z320*1103515245 +12345)/ 65536, 32768),0)/32768),0))</f>
        <v>10</v>
      </c>
      <c r="J320" s="16" t="e">
        <f t="shared" ca="1" si="18"/>
        <v>#NAME?</v>
      </c>
      <c r="K320" s="153">
        <f ca="1">VLOOKUP($AB$2,'RF Mod'!$A$2:$G$12,3,FALSE)+VLOOKUP($AD$2,'RF Mod'!$I$2:$O$11,3,FALSE)+(TRUNC(6+(24-6)*(TRUNC(MOD(($Z320*1103515245 +12345)/ 65536, 32768),0)/32768),0))</f>
        <v>10</v>
      </c>
      <c r="L320" s="16" t="e">
        <f t="shared" ca="1" si="19"/>
        <v>#NAME?</v>
      </c>
      <c r="M320" s="153">
        <f ca="1">VLOOKUP($AB$2,'RF Mod'!$A$2:$G$12,4,FALSE)+VLOOKUP($AD$2,'RF Mod'!$I$2:$O$11,4,FALSE)+(TRUNC(6+(24-6)*(TRUNC(MOD(($Z320*1103515245 +12345)/ 65536, 32768),0)/32768),0))</f>
        <v>9</v>
      </c>
      <c r="N320" s="16">
        <f t="shared" ca="1" si="20"/>
        <v>-1</v>
      </c>
      <c r="O320" s="153">
        <f ca="1">VLOOKUP($AB$2,'RF Mod'!$A$2:$G$12,5,FALSE)+VLOOKUP($AD$2,'RF Mod'!$I$2:$O$11,5,FALSE)+(TRUNC(6+(24-6)*(TRUNC(MOD(($Z320*1103515245 +12345)/ 65536, 32768),0)/32768),0))</f>
        <v>12</v>
      </c>
      <c r="P320" s="16" t="e">
        <f t="shared" ca="1" si="21"/>
        <v>#NAME?</v>
      </c>
      <c r="Q320" s="153">
        <f ca="1">VLOOKUP($AB$2,'RF Mod'!$A$2:$G$12,6,FALSE)+VLOOKUP($AD$2,'RF Mod'!$I$2:$O$11,6,FALSE)+(TRUNC(6+(24-6)*(TRUNC(MOD(($Z320*1103515245 +12345)/ 65536, 32768),0)/32768),0))</f>
        <v>10</v>
      </c>
      <c r="R320" s="16" t="e">
        <f t="shared" ca="1" si="22"/>
        <v>#NAME?</v>
      </c>
      <c r="S320" s="154">
        <f t="shared" ca="1" si="28"/>
        <v>90</v>
      </c>
      <c r="T320" s="154">
        <f t="shared" ca="1" si="23"/>
        <v>78</v>
      </c>
      <c r="U320" s="16" t="str">
        <f t="shared" ca="1" si="24"/>
        <v>Bloody</v>
      </c>
      <c r="V320" s="155">
        <f ca="1">IFERROR(__xludf.DUMMYFUNCTION("if(W320=""Middle Age"",QUERY(NPCVar!$K$2:$N1000, ""Select L where K = '""&amp;AB320&amp;""'""),if(W320=""Old"",QUERY(NPCVar!$K$2:$N1000, ""Select M where K = '""&amp;AB320&amp;""'""),if(W320=""Venerable"",QUERY(NPCVar!$K$2:$N1000, ""Select N where K = '""&amp;AB320&amp;""'""),fa"&amp;"lse)))*X320"),135)</f>
        <v>135</v>
      </c>
      <c r="W320" s="156" t="str">
        <f t="array" ref="W320">INDEX(NPCAgeType,TRUNC(1+(4-1)*(TRUNC(MOD((X320*1103515245 +12345)/ 65536, 32768),0)/32768),0))</f>
        <v>Old</v>
      </c>
      <c r="X320" s="117">
        <f t="shared" si="29"/>
        <v>0.8</v>
      </c>
      <c r="Y320" s="157" t="e">
        <f t="array" aca="1" ref="Y320" ca="1">LOOKUP(ABS(MAX(Z320 + MIN(ABS(INDIRECT("Class Jobs!B"&amp;MATCH(E320,'Class Jobs'!$A$1:$A1000,0)&amp;":"&amp;"AF"&amp;MATCH(E320,'Class Jobs'!$A$1:$A1000,0)&amp;"")-$Z320)) * SUM(IF(MIN(ABS(INDIRECT("Class Jobs!B"&amp;MATCH(E320,'Class Jobs'!$A$1:$A1000,0)&amp;":"&amp;"AF"&amp;MATCH(E320,'Class Jobs'!$A$1:$A1000,0)&amp;"")-$Z320))=ABS(INDIRECT("Class Jobs!B"&amp;MATCH(E320,'Class Jobs'!$A$1:$A1000,0)&amp;":"&amp;"AF"&amp;MATCH(E320,'Class Jobs'!$A$1:$A1000,0)&amp;"")-$Z320),SIGN(INDIRECT("Class Jobs!B"&amp;MATCH(E320,'Class Jobs'!$A$1:A1000,0)&amp;":"&amp;"AF"&amp;MATCH(E320,'Class Jobs'!$A$1:$A1000,0)&amp;"")-$Z320),0)),0)),INDIRECT("Class Jobs!B"&amp;MATCH(E320,'Class Jobs'!$A$1:$A1000,0)&amp;":"&amp;"AF"&amp;MATCH(E320,'Class Jobs'!$A$1:$A1000,1)&amp;""),'Class Jobs'!$B$1:$AF$1)</f>
        <v>#REF!</v>
      </c>
      <c r="Z320" s="158">
        <f t="shared" si="25"/>
        <v>0.32</v>
      </c>
      <c r="AA320" s="16" t="str">
        <f t="array" ref="AA320">INDEX(NPCGender,TRUNC(1+(COUNTA(NPCGender))*(TRUNC(MOD(($B320*1103515245 +12345)/ 65536, 32768),0)/32768),0))</f>
        <v>Male</v>
      </c>
      <c r="AB320" s="16" t="str">
        <f t="array" ref="AB320">INDEX(NPCRace,TRUNC(1+(COUNTA(NPCRace))*(TRUNC(MOD(($B320*1103515245 +12345)/ 65536, 32768),0)/32768),0))</f>
        <v>Gnome</v>
      </c>
      <c r="AC320" s="16" t="str">
        <f t="array" ref="AC320">INDEX(NPCAL,TRUNC(1+(COUNTA(NPCAL))*(TRUNC(MOD(($B320*1103515245 +12345)/ 65536, 32768),0)/32768),0))</f>
        <v>CG</v>
      </c>
      <c r="AD320" s="72" t="str">
        <f ca="1">IFERROR(__xludf.DUMMYFUNCTION("if(V320&lt;15,QUERY(NPCVar!C:D,""Select D WHERE C = '""&amp;D320&amp;""'""),if((TRUNC(1+10)*(TRUNC(MOD((ROW(H320)*1103515245 +12345)/ 65536, 32768),0)/32768)/10) &gt; 0.85,INDEX(NPCFaction,TRUNC(1+(counta(NPCFaction)-1)*(TRUNC(MOD(($B320*1103515245 +12345)/ 65536, 3276"&amp;"8),0)/32768),0)),QUERY(NPCVar!C:D,""Select D WHERE C = '""&amp;D320&amp;""'"")))"),"Magic Guild")</f>
        <v>Magic Guild</v>
      </c>
      <c r="AE320" s="108" t="e">
        <f t="shared" ca="1" si="26"/>
        <v>#NAME?</v>
      </c>
      <c r="AF320" s="159">
        <f ca="1">IFERROR(__xludf.DUMMYFUNCTION("AE320*(V320 / QUERY(NPCVar!$K$2:$N$12, ""Select N WHERE K='""&amp;AB320&amp;""'""))*TRUNC(1+10)*(TRUNC(MOD(($B320*1103515245 +12345)/ 65536, 32768),0)/32768)"),0.738370971679687)</f>
        <v>0.73837097167968702</v>
      </c>
      <c r="AG320" s="16"/>
      <c r="AH320" s="77"/>
      <c r="AI320" s="114"/>
    </row>
    <row r="321" spans="1:35" ht="16.2">
      <c r="A321" s="53">
        <v>320</v>
      </c>
      <c r="B321" s="118">
        <f t="shared" si="27"/>
        <v>2.1161599999999998</v>
      </c>
      <c r="C321" s="72" t="str">
        <f t="array" ref="C321">INDEX(NPCFName,TRUNC(1+(COUNTA(NPCFName))*(TRUNC(MOD(($B321*1103515245 +12345)/ 65536, 32768),0)/32768),0))</f>
        <v>Eard</v>
      </c>
      <c r="D321" s="16" t="str">
        <f t="array" ref="D321">INDEX(NPCLName,TRUNC(1+(COUNTA(NPCLName))*(TRUNC(MOD(($B321*1103515245 +12345)/ 65536, 32768),0)/32768),0))</f>
        <v>Autumnorb</v>
      </c>
      <c r="E321" s="16" t="str">
        <f t="array" ref="E321">INDEX(NPCClass,TRUNC(1+(COUNTA(NPCClass))*(TRUNC(MOD(($B321*1103515245 +12345)/ 65536, 32768),0)/32768),0))</f>
        <v>Bard</v>
      </c>
      <c r="F321" s="76">
        <v>1</v>
      </c>
      <c r="G321" s="153">
        <f ca="1">VLOOKUP($AB$2,'RF Mod'!$A$2:$G$12,2,FALSE)+VLOOKUP($AD$2,'RF Mod'!$I$2:$O$11,2,FALSE)+(TRUNC(6+(24-6)*(TRUNC(MOD(($Z321*1103515245 +12345)/ 65536, 32768),0)/32768),0))</f>
        <v>4</v>
      </c>
      <c r="H321" s="16">
        <f t="shared" ca="1" si="17"/>
        <v>-3</v>
      </c>
      <c r="I321" s="153">
        <f ca="1">VLOOKUP($AB$2,'RF Mod'!$A$2:$G$12,3,FALSE)+VLOOKUP($AD$2,'RF Mod'!$I$2:$O$11,3,FALSE)+(TRUNC(6+(24-6)*(TRUNC(MOD(($Z321*1103515245 +12345)/ 65536, 32768),0)/32768),0))</f>
        <v>8</v>
      </c>
      <c r="J321" s="16">
        <f t="shared" ca="1" si="18"/>
        <v>-1</v>
      </c>
      <c r="K321" s="153">
        <f ca="1">VLOOKUP($AB$2,'RF Mod'!$A$2:$G$12,3,FALSE)+VLOOKUP($AD$2,'RF Mod'!$I$2:$O$11,3,FALSE)+(TRUNC(6+(24-6)*(TRUNC(MOD(($Z321*1103515245 +12345)/ 65536, 32768),0)/32768),0))</f>
        <v>8</v>
      </c>
      <c r="L321" s="16">
        <f t="shared" ca="1" si="19"/>
        <v>-1</v>
      </c>
      <c r="M321" s="153">
        <f ca="1">VLOOKUP($AB$2,'RF Mod'!$A$2:$G$12,4,FALSE)+VLOOKUP($AD$2,'RF Mod'!$I$2:$O$11,4,FALSE)+(TRUNC(6+(24-6)*(TRUNC(MOD(($Z321*1103515245 +12345)/ 65536, 32768),0)/32768),0))</f>
        <v>7</v>
      </c>
      <c r="N321" s="16">
        <f t="shared" ca="1" si="20"/>
        <v>-2</v>
      </c>
      <c r="O321" s="153">
        <f ca="1">VLOOKUP($AB$2,'RF Mod'!$A$2:$G$12,5,FALSE)+VLOOKUP($AD$2,'RF Mod'!$I$2:$O$11,5,FALSE)+(TRUNC(6+(24-6)*(TRUNC(MOD(($Z321*1103515245 +12345)/ 65536, 32768),0)/32768),0))</f>
        <v>10</v>
      </c>
      <c r="P321" s="16" t="e">
        <f t="shared" ca="1" si="21"/>
        <v>#NAME?</v>
      </c>
      <c r="Q321" s="153">
        <f ca="1">VLOOKUP($AB$2,'RF Mod'!$A$2:$G$12,6,FALSE)+VLOOKUP($AD$2,'RF Mod'!$I$2:$O$11,6,FALSE)+(TRUNC(6+(24-6)*(TRUNC(MOD(($Z321*1103515245 +12345)/ 65536, 32768),0)/32768),0))</f>
        <v>8</v>
      </c>
      <c r="R321" s="16">
        <f t="shared" ca="1" si="22"/>
        <v>-1</v>
      </c>
      <c r="S321" s="154">
        <f t="shared" ca="1" si="28"/>
        <v>10</v>
      </c>
      <c r="T321" s="154">
        <f t="shared" ca="1" si="23"/>
        <v>12</v>
      </c>
      <c r="U321" s="16" t="str">
        <f t="shared" ca="1" si="24"/>
        <v>Dead</v>
      </c>
      <c r="V321" s="155">
        <f ca="1">IFERROR(__xludf.DUMMYFUNCTION("if(W321=""Middle Age"",QUERY(NPCVar!$K$2:$N1000, ""Select L where K = '""&amp;AB321&amp;""'""),if(W321=""Old"",QUERY(NPCVar!$K$2:$N1000, ""Select M where K = '""&amp;AB321&amp;""'""),if(W321=""Venerable"",QUERY(NPCVar!$K$2:$N1000, ""Select N where K = '""&amp;AB321&amp;""'""),fa"&amp;"lse)))*X321"),6)</f>
        <v>6</v>
      </c>
      <c r="W321" s="156" t="str">
        <f t="array" ref="W321">INDEX(NPCAgeType,TRUNC(1+(4-1)*(TRUNC(MOD((X321*1103515245 +12345)/ 65536, 32768),0)/32768),0))</f>
        <v>Middle Age</v>
      </c>
      <c r="X321" s="117">
        <f t="shared" si="29"/>
        <v>0.3</v>
      </c>
      <c r="Y321" s="157" t="e">
        <f t="array" aca="1" ref="Y321" ca="1">LOOKUP(ABS(MAX(Z321 + MIN(ABS(INDIRECT("Class Jobs!B"&amp;MATCH(E321,'Class Jobs'!$A$1:$A1000,0)&amp;":"&amp;"AF"&amp;MATCH(E321,'Class Jobs'!$A$1:$A1000,0)&amp;"")-$Z321)) * SUM(IF(MIN(ABS(INDIRECT("Class Jobs!B"&amp;MATCH(E321,'Class Jobs'!$A$1:$A1000,0)&amp;":"&amp;"AF"&amp;MATCH(E321,'Class Jobs'!$A$1:$A1000,0)&amp;"")-$Z321))=ABS(INDIRECT("Class Jobs!B"&amp;MATCH(E321,'Class Jobs'!$A$1:$A1000,0)&amp;":"&amp;"AF"&amp;MATCH(E321,'Class Jobs'!$A$1:$A1000,0)&amp;"")-$Z321),SIGN(INDIRECT("Class Jobs!B"&amp;MATCH(E321,'Class Jobs'!$A$1:A1000,0)&amp;":"&amp;"AF"&amp;MATCH(E321,'Class Jobs'!$A$1:$A1000,0)&amp;"")-$Z321),0)),0)),INDIRECT("Class Jobs!B"&amp;MATCH(E321,'Class Jobs'!$A$1:$A1000,0)&amp;":"&amp;"AF"&amp;MATCH(E321,'Class Jobs'!$A$1:$A1000,1)&amp;""),'Class Jobs'!$B$1:$AF$1)</f>
        <v>#REF!</v>
      </c>
      <c r="Z321" s="158">
        <f t="shared" si="25"/>
        <v>0.09</v>
      </c>
      <c r="AA321" s="16" t="str">
        <f t="array" ref="AA321">INDEX(NPCGender,TRUNC(1+(COUNTA(NPCGender))*(TRUNC(MOD(($B321*1103515245 +12345)/ 65536, 32768),0)/32768),0))</f>
        <v>Male</v>
      </c>
      <c r="AB321" s="16" t="str">
        <f t="array" ref="AB321">INDEX(NPCRace,TRUNC(1+(COUNTA(NPCRace))*(TRUNC(MOD(($B321*1103515245 +12345)/ 65536, 32768),0)/32768),0))</f>
        <v>Dragonborn</v>
      </c>
      <c r="AC321" s="16" t="str">
        <f t="array" ref="AC321">INDEX(NPCAL,TRUNC(1+(COUNTA(NPCAL))*(TRUNC(MOD(($B321*1103515245 +12345)/ 65536, 32768),0)/32768),0))</f>
        <v>CN</v>
      </c>
      <c r="AD321" s="72" t="str">
        <f ca="1">IFERROR(__xludf.DUMMYFUNCTION("if(V321&lt;15,QUERY(NPCVar!C:D,""Select D WHERE C = '""&amp;D321&amp;""'""),if((TRUNC(1+10)*(TRUNC(MOD((ROW(H321)*1103515245 +12345)/ 65536, 32768),0)/32768)/10) &gt; 0.85,INDEX(NPCFaction,TRUNC(1+(counta(NPCFaction)-1)*(TRUNC(MOD(($B321*1103515245 +12345)/ 65536, 3276"&amp;"8),0)/32768),0)),QUERY(NPCVar!C:D,""Select D WHERE C = '""&amp;D321&amp;""'"")))"),"Royalty")</f>
        <v>Royalty</v>
      </c>
      <c r="AE321" s="108" t="e">
        <f t="shared" ca="1" si="26"/>
        <v>#NAME?</v>
      </c>
      <c r="AF321" s="159">
        <f ca="1">IFERROR(__xludf.DUMMYFUNCTION("AE321*(V321 / QUERY(NPCVar!$K$2:$N$12, ""Select N WHERE K='""&amp;AB321&amp;""'""))*TRUNC(1+10)*(TRUNC(MOD(($B321*1103515245 +12345)/ 65536, 32768),0)/32768)"),0.007210693359375)</f>
        <v>7.210693359375E-3</v>
      </c>
      <c r="AG321" s="16"/>
      <c r="AH321" s="77"/>
      <c r="AI321" s="114"/>
    </row>
    <row r="322" spans="1:35" ht="16.2">
      <c r="A322" s="53">
        <v>321</v>
      </c>
      <c r="B322" s="118">
        <f t="shared" ref="B322:B385" si="30">(TRUNC(1+(250000-1)*(TRUNC(MOD(((Seed*ROW())*1103515245 +12345)/ 65536, 32768),0)/32768),0))/100000</f>
        <v>1.1103099999999999</v>
      </c>
      <c r="C322" s="72" t="str">
        <f t="array" ref="C322">INDEX(NPCFName,TRUNC(1+(COUNTA(NPCFName))*(TRUNC(MOD(($B322*1103515245 +12345)/ 65536, 32768),0)/32768),0))</f>
        <v>Qysan</v>
      </c>
      <c r="D322" s="16" t="str">
        <f t="array" ref="D322">INDEX(NPCLName,TRUNC(1+(COUNTA(NPCLName))*(TRUNC(MOD(($B322*1103515245 +12345)/ 65536, 32768),0)/32768),0))</f>
        <v>Chestaxe</v>
      </c>
      <c r="E322" s="16" t="str">
        <f t="array" ref="E322">INDEX(NPCClass,TRUNC(1+(COUNTA(NPCClass))*(TRUNC(MOD(($B322*1103515245 +12345)/ 65536, 32768),0)/32768),0))</f>
        <v>Sorcerer</v>
      </c>
      <c r="F322" s="76">
        <v>8</v>
      </c>
      <c r="G322" s="153">
        <f ca="1">VLOOKUP($AB$2,'RF Mod'!$A$2:$G$12,2,FALSE)+VLOOKUP($AD$2,'RF Mod'!$I$2:$O$11,2,FALSE)+(TRUNC(6+(24-6)*(TRUNC(MOD(($Z322*1103515245 +12345)/ 65536, 32768),0)/32768),0))</f>
        <v>9</v>
      </c>
      <c r="H322" s="16">
        <f t="shared" ca="1" si="17"/>
        <v>-1</v>
      </c>
      <c r="I322" s="153">
        <f ca="1">VLOOKUP($AB$2,'RF Mod'!$A$2:$G$12,3,FALSE)+VLOOKUP($AD$2,'RF Mod'!$I$2:$O$11,3,FALSE)+(TRUNC(6+(24-6)*(TRUNC(MOD(($Z322*1103515245 +12345)/ 65536, 32768),0)/32768),0))</f>
        <v>13</v>
      </c>
      <c r="J322" s="16" t="e">
        <f t="shared" ca="1" si="18"/>
        <v>#NAME?</v>
      </c>
      <c r="K322" s="153">
        <f ca="1">VLOOKUP($AB$2,'RF Mod'!$A$2:$G$12,3,FALSE)+VLOOKUP($AD$2,'RF Mod'!$I$2:$O$11,3,FALSE)+(TRUNC(6+(24-6)*(TRUNC(MOD(($Z322*1103515245 +12345)/ 65536, 32768),0)/32768),0))</f>
        <v>13</v>
      </c>
      <c r="L322" s="16" t="e">
        <f t="shared" ca="1" si="19"/>
        <v>#NAME?</v>
      </c>
      <c r="M322" s="153">
        <f ca="1">VLOOKUP($AB$2,'RF Mod'!$A$2:$G$12,4,FALSE)+VLOOKUP($AD$2,'RF Mod'!$I$2:$O$11,4,FALSE)+(TRUNC(6+(24-6)*(TRUNC(MOD(($Z322*1103515245 +12345)/ 65536, 32768),0)/32768),0))</f>
        <v>12</v>
      </c>
      <c r="N322" s="16" t="e">
        <f t="shared" ca="1" si="20"/>
        <v>#NAME?</v>
      </c>
      <c r="O322" s="153">
        <f ca="1">VLOOKUP($AB$2,'RF Mod'!$A$2:$G$12,5,FALSE)+VLOOKUP($AD$2,'RF Mod'!$I$2:$O$11,5,FALSE)+(TRUNC(6+(24-6)*(TRUNC(MOD(($Z322*1103515245 +12345)/ 65536, 32768),0)/32768),0))</f>
        <v>15</v>
      </c>
      <c r="P322" s="16" t="e">
        <f t="shared" ca="1" si="21"/>
        <v>#NAME?</v>
      </c>
      <c r="Q322" s="153">
        <f ca="1">VLOOKUP($AB$2,'RF Mod'!$A$2:$G$12,6,FALSE)+VLOOKUP($AD$2,'RF Mod'!$I$2:$O$11,6,FALSE)+(TRUNC(6+(24-6)*(TRUNC(MOD(($Z322*1103515245 +12345)/ 65536, 32768),0)/32768),0))</f>
        <v>13</v>
      </c>
      <c r="R322" s="16" t="e">
        <f t="shared" ca="1" si="22"/>
        <v>#NAME?</v>
      </c>
      <c r="S322" s="154">
        <f t="shared" ca="1" si="28"/>
        <v>184</v>
      </c>
      <c r="T322" s="154">
        <f t="shared" ca="1" si="23"/>
        <v>121</v>
      </c>
      <c r="U322" s="16" t="str">
        <f t="shared" ca="1" si="24"/>
        <v>Bloody</v>
      </c>
      <c r="V322" s="155">
        <f ca="1">IFERROR(__xludf.DUMMYFUNCTION("if(W322=""Middle Age"",QUERY(NPCVar!$K$2:$N1000, ""Select L where K = '""&amp;AB322&amp;""'""),if(W322=""Old"",QUERY(NPCVar!$K$2:$N1000, ""Select M where K = '""&amp;AB322&amp;""'""),if(W322=""Venerable"",QUERY(NPCVar!$K$2:$N1000, ""Select N where K = '""&amp;AB322&amp;""'""),fa"&amp;"lse)))*X322"),280)</f>
        <v>280</v>
      </c>
      <c r="W322" s="156" t="str">
        <f t="array" ref="W322">INDEX(NPCAgeType,TRUNC(1+(4-1)*(TRUNC(MOD((X322*1103515245 +12345)/ 65536, 32768),0)/32768),0))</f>
        <v>Venerable</v>
      </c>
      <c r="X322" s="117">
        <f t="shared" si="29"/>
        <v>1.4</v>
      </c>
      <c r="Y322" s="157" t="e">
        <f t="array" aca="1" ref="Y322" ca="1">LOOKUP(ABS(MAX(Z322 + MIN(ABS(INDIRECT("Class Jobs!B"&amp;MATCH(E322,'Class Jobs'!$A$1:$A1000,0)&amp;":"&amp;"AF"&amp;MATCH(E322,'Class Jobs'!$A$1:$A1000,0)&amp;"")-$Z322)) * SUM(IF(MIN(ABS(INDIRECT("Class Jobs!B"&amp;MATCH(E322,'Class Jobs'!$A$1:$A1000,0)&amp;":"&amp;"AF"&amp;MATCH(E322,'Class Jobs'!$A$1:$A1000,0)&amp;"")-$Z322))=ABS(INDIRECT("Class Jobs!B"&amp;MATCH(E322,'Class Jobs'!$A$1:$A1000,0)&amp;":"&amp;"AF"&amp;MATCH(E322,'Class Jobs'!$A$1:$A1000,0)&amp;"")-$Z322),SIGN(INDIRECT("Class Jobs!B"&amp;MATCH(E322,'Class Jobs'!$A$1:A1000,0)&amp;":"&amp;"AF"&amp;MATCH(E322,'Class Jobs'!$A$1:$A1000,0)&amp;"")-$Z322),0)),0)),INDIRECT("Class Jobs!B"&amp;MATCH(E322,'Class Jobs'!$A$1:$A1000,0)&amp;":"&amp;"AF"&amp;MATCH(E322,'Class Jobs'!$A$1:$A1000,1)&amp;""),'Class Jobs'!$B$1:$AF$1)</f>
        <v>#REF!</v>
      </c>
      <c r="Z322" s="158">
        <f t="shared" si="25"/>
        <v>0.56999999999999995</v>
      </c>
      <c r="AA322" s="16" t="str">
        <f t="array" ref="AA322">INDEX(NPCGender,TRUNC(1+(COUNTA(NPCGender))*(TRUNC(MOD(($B322*1103515245 +12345)/ 65536, 32768),0)/32768),0))</f>
        <v>Female</v>
      </c>
      <c r="AB322" s="16" t="str">
        <f t="array" ref="AB322">INDEX(NPCRace,TRUNC(1+(COUNTA(NPCRace))*(TRUNC(MOD(($B322*1103515245 +12345)/ 65536, 32768),0)/32768),0))</f>
        <v>Halfling</v>
      </c>
      <c r="AC322" s="16" t="str">
        <f t="array" ref="AC322">INDEX(NPCAL,TRUNC(1+(COUNTA(NPCAL))*(TRUNC(MOD(($B322*1103515245 +12345)/ 65536, 32768),0)/32768),0))</f>
        <v>NE</v>
      </c>
      <c r="AD322" s="72" t="str">
        <f ca="1">IFERROR(__xludf.DUMMYFUNCTION("if(V322&lt;15,QUERY(NPCVar!C:D,""Select D WHERE C = '""&amp;D322&amp;""'""),if((TRUNC(1+10)*(TRUNC(MOD((ROW(H322)*1103515245 +12345)/ 65536, 32768),0)/32768)/10) &gt; 0.85,INDEX(NPCFaction,TRUNC(1+(counta(NPCFaction)-1)*(TRUNC(MOD(($B322*1103515245 +12345)/ 65536, 3276"&amp;"8),0)/32768),0)),QUERY(NPCVar!C:D,""Select D WHERE C = '""&amp;D322&amp;""'"")))"),"Farmers Guild")</f>
        <v>Farmers Guild</v>
      </c>
      <c r="AE322" s="108" t="e">
        <f t="shared" ca="1" si="26"/>
        <v>#NAME?</v>
      </c>
      <c r="AF322" s="159">
        <f ca="1">IFERROR(__xludf.DUMMYFUNCTION("AE322*(V322 / QUERY(NPCVar!$K$2:$N$12, ""Select N WHERE K='""&amp;AB322&amp;""'""))*TRUNC(1+10)*(TRUNC(MOD(($B322*1103515245 +12345)/ 65536, 32768),0)/32768)"),8.78610229492187)</f>
        <v>8.7861022949218697</v>
      </c>
      <c r="AG322" s="16"/>
      <c r="AH322" s="77"/>
      <c r="AI322" s="114"/>
    </row>
    <row r="323" spans="1:35" ht="16.2">
      <c r="A323" s="53">
        <v>322</v>
      </c>
      <c r="B323" s="118">
        <f t="shared" si="30"/>
        <v>0.10445</v>
      </c>
      <c r="C323" s="72" t="str">
        <f t="array" ref="C323">INDEX(NPCFName,TRUNC(1+(COUNTA(NPCFName))*(TRUNC(MOD(($B323*1103515245 +12345)/ 65536, 32768),0)/32768),0))</f>
        <v>Chidak</v>
      </c>
      <c r="D323" s="16" t="str">
        <f t="array" ref="D323">INDEX(NPCLName,TRUNC(1+(COUNTA(NPCLName))*(TRUNC(MOD(($B323*1103515245 +12345)/ 65536, 32768),0)/32768),0))</f>
        <v>Crystalgazer</v>
      </c>
      <c r="E323" s="16" t="str">
        <f t="array" ref="E323">INDEX(NPCClass,TRUNC(1+(COUNTA(NPCClass))*(TRUNC(MOD(($B323*1103515245 +12345)/ 65536, 32768),0)/32768),0))</f>
        <v>Barbarian</v>
      </c>
      <c r="F323" s="76">
        <v>1</v>
      </c>
      <c r="G323" s="153">
        <f ca="1">VLOOKUP($AB$2,'RF Mod'!$A$2:$G$12,2,FALSE)+VLOOKUP($AD$2,'RF Mod'!$I$2:$O$11,2,FALSE)+(TRUNC(6+(24-6)*(TRUNC(MOD(($Z323*1103515245 +12345)/ 65536, 32768),0)/32768),0))</f>
        <v>4</v>
      </c>
      <c r="H323" s="16">
        <f t="shared" ca="1" si="17"/>
        <v>-3</v>
      </c>
      <c r="I323" s="153">
        <f ca="1">VLOOKUP($AB$2,'RF Mod'!$A$2:$G$12,3,FALSE)+VLOOKUP($AD$2,'RF Mod'!$I$2:$O$11,3,FALSE)+(TRUNC(6+(24-6)*(TRUNC(MOD(($Z323*1103515245 +12345)/ 65536, 32768),0)/32768),0))</f>
        <v>8</v>
      </c>
      <c r="J323" s="16">
        <f t="shared" ca="1" si="18"/>
        <v>-1</v>
      </c>
      <c r="K323" s="153">
        <f ca="1">VLOOKUP($AB$2,'RF Mod'!$A$2:$G$12,3,FALSE)+VLOOKUP($AD$2,'RF Mod'!$I$2:$O$11,3,FALSE)+(TRUNC(6+(24-6)*(TRUNC(MOD(($Z323*1103515245 +12345)/ 65536, 32768),0)/32768),0))</f>
        <v>8</v>
      </c>
      <c r="L323" s="16">
        <f t="shared" ca="1" si="19"/>
        <v>-1</v>
      </c>
      <c r="M323" s="153">
        <f ca="1">VLOOKUP($AB$2,'RF Mod'!$A$2:$G$12,4,FALSE)+VLOOKUP($AD$2,'RF Mod'!$I$2:$O$11,4,FALSE)+(TRUNC(6+(24-6)*(TRUNC(MOD(($Z323*1103515245 +12345)/ 65536, 32768),0)/32768),0))</f>
        <v>7</v>
      </c>
      <c r="N323" s="16">
        <f t="shared" ca="1" si="20"/>
        <v>-2</v>
      </c>
      <c r="O323" s="153">
        <f ca="1">VLOOKUP($AB$2,'RF Mod'!$A$2:$G$12,5,FALSE)+VLOOKUP($AD$2,'RF Mod'!$I$2:$O$11,5,FALSE)+(TRUNC(6+(24-6)*(TRUNC(MOD(($Z323*1103515245 +12345)/ 65536, 32768),0)/32768),0))</f>
        <v>10</v>
      </c>
      <c r="P323" s="16" t="e">
        <f t="shared" ca="1" si="21"/>
        <v>#NAME?</v>
      </c>
      <c r="Q323" s="153">
        <f ca="1">VLOOKUP($AB$2,'RF Mod'!$A$2:$G$12,6,FALSE)+VLOOKUP($AD$2,'RF Mod'!$I$2:$O$11,6,FALSE)+(TRUNC(6+(24-6)*(TRUNC(MOD(($Z323*1103515245 +12345)/ 65536, 32768),0)/32768),0))</f>
        <v>8</v>
      </c>
      <c r="R323" s="16">
        <f t="shared" ca="1" si="22"/>
        <v>-1</v>
      </c>
      <c r="S323" s="154">
        <f t="shared" ca="1" si="28"/>
        <v>10</v>
      </c>
      <c r="T323" s="154">
        <f t="shared" ca="1" si="23"/>
        <v>3</v>
      </c>
      <c r="U323" s="16" t="str">
        <f t="shared" ca="1" si="24"/>
        <v>Fine</v>
      </c>
      <c r="V323" s="155">
        <f ca="1">IFERROR(__xludf.DUMMYFUNCTION("if(W323=""Middle Age"",QUERY(NPCVar!$K$2:$N1000, ""Select L where K = '""&amp;AB323&amp;""'""),if(W323=""Old"",QUERY(NPCVar!$K$2:$N1000, ""Select M where K = '""&amp;AB323&amp;""'""),if(W323=""Venerable"",QUERY(NPCVar!$K$2:$N1000, ""Select N where K = '""&amp;AB323&amp;""'""),fa"&amp;"lse)))*X323"),4)</f>
        <v>4</v>
      </c>
      <c r="W323" s="156" t="str">
        <f t="array" ref="W323">INDEX(NPCAgeType,TRUNC(1+(4-1)*(TRUNC(MOD((X323*1103515245 +12345)/ 65536, 32768),0)/32768),0))</f>
        <v>Middle Age</v>
      </c>
      <c r="X323" s="117">
        <f t="shared" si="29"/>
        <v>0.2</v>
      </c>
      <c r="Y323" s="157" t="e">
        <f t="array" aca="1" ref="Y323" ca="1">LOOKUP(ABS(MAX(Z323 + MIN(ABS(INDIRECT("Class Jobs!B"&amp;MATCH(E323,'Class Jobs'!$A$1:$A1000,0)&amp;":"&amp;"AF"&amp;MATCH(E323,'Class Jobs'!$A$1:$A1000,0)&amp;"")-$Z323)) * SUM(IF(MIN(ABS(INDIRECT("Class Jobs!B"&amp;MATCH(E323,'Class Jobs'!$A$1:$A1000,0)&amp;":"&amp;"AF"&amp;MATCH(E323,'Class Jobs'!$A$1:$A1000,0)&amp;"")-$Z323))=ABS(INDIRECT("Class Jobs!B"&amp;MATCH(E323,'Class Jobs'!$A$1:$A1000,0)&amp;":"&amp;"AF"&amp;MATCH(E323,'Class Jobs'!$A$1:$A1000,0)&amp;"")-$Z323),SIGN(INDIRECT("Class Jobs!B"&amp;MATCH(E323,'Class Jobs'!$A$1:A1000,0)&amp;":"&amp;"AF"&amp;MATCH(E323,'Class Jobs'!$A$1:$A1000,0)&amp;"")-$Z323),0)),0)),INDIRECT("Class Jobs!B"&amp;MATCH(E323,'Class Jobs'!$A$1:$A1000,0)&amp;":"&amp;"AF"&amp;MATCH(E323,'Class Jobs'!$A$1:$A1000,1)&amp;""),'Class Jobs'!$B$1:$AF$1)</f>
        <v>#REF!</v>
      </c>
      <c r="Z323" s="158">
        <f t="shared" si="25"/>
        <v>0.06</v>
      </c>
      <c r="AA323" s="16" t="str">
        <f t="array" ref="AA323">INDEX(NPCGender,TRUNC(1+(COUNTA(NPCGender))*(TRUNC(MOD(($B323*1103515245 +12345)/ 65536, 32768),0)/32768),0))</f>
        <v>Male</v>
      </c>
      <c r="AB323" s="16" t="str">
        <f t="array" ref="AB323">INDEX(NPCRace,TRUNC(1+(COUNTA(NPCRace))*(TRUNC(MOD(($B323*1103515245 +12345)/ 65536, 32768),0)/32768),0))</f>
        <v>Dragonborn</v>
      </c>
      <c r="AC323" s="16" t="str">
        <f t="array" ref="AC323">INDEX(NPCAL,TRUNC(1+(COUNTA(NPCAL))*(TRUNC(MOD(($B323*1103515245 +12345)/ 65536, 32768),0)/32768),0))</f>
        <v>CN</v>
      </c>
      <c r="AD323" s="72" t="str">
        <f ca="1">IFERROR(__xludf.DUMMYFUNCTION("if(V323&lt;15,QUERY(NPCVar!C:D,""Select D WHERE C = '""&amp;D323&amp;""'""),if((TRUNC(1+10)*(TRUNC(MOD((ROW(H323)*1103515245 +12345)/ 65536, 32768),0)/32768)/10) &gt; 0.85,INDEX(NPCFaction,TRUNC(1+(counta(NPCFaction)-1)*(TRUNC(MOD(($B323*1103515245 +12345)/ 65536, 3276"&amp;"8),0)/32768),0)),QUERY(NPCVar!C:D,""Select D WHERE C = '""&amp;D323&amp;""'"")))"),"Death Guild")</f>
        <v>Death Guild</v>
      </c>
      <c r="AE323" s="108" t="e">
        <f t="shared" ca="1" si="26"/>
        <v>#NAME?</v>
      </c>
      <c r="AF323" s="159">
        <f ca="1">IFERROR(__xludf.DUMMYFUNCTION("AE323*(V323 / QUERY(NPCVar!$K$2:$N$12, ""Select N WHERE K='""&amp;AB323&amp;""'""))*TRUNC(1+10)*(TRUNC(MOD(($B323*1103515245 +12345)/ 65536, 32768),0)/32768)"),0.0059014892578125)</f>
        <v>5.9014892578124999E-3</v>
      </c>
      <c r="AG323" s="16"/>
      <c r="AH323" s="77"/>
      <c r="AI323" s="114"/>
    </row>
    <row r="324" spans="1:35" ht="16.2">
      <c r="A324" s="53">
        <v>323</v>
      </c>
      <c r="B324" s="118">
        <f t="shared" si="30"/>
        <v>1.59859</v>
      </c>
      <c r="C324" s="72" t="str">
        <f t="array" ref="C324">INDEX(NPCFName,TRUNC(1+(COUNTA(NPCFName))*(TRUNC(MOD(($B324*1103515245 +12345)/ 65536, 32768),0)/32768),0))</f>
        <v>Justal</v>
      </c>
      <c r="D324" s="16" t="str">
        <f t="array" ref="D324">INDEX(NPCLName,TRUNC(1+(COUNTA(NPCLName))*(TRUNC(MOD(($B324*1103515245 +12345)/ 65536, 32768),0)/32768),0))</f>
        <v>Deepcrest</v>
      </c>
      <c r="E324" s="16" t="str">
        <f t="array" ref="E324">INDEX(NPCClass,TRUNC(1+(COUNTA(NPCClass))*(TRUNC(MOD(($B324*1103515245 +12345)/ 65536, 32768),0)/32768),0))</f>
        <v>Cleric</v>
      </c>
      <c r="F324" s="76">
        <v>8</v>
      </c>
      <c r="G324" s="153">
        <f ca="1">VLOOKUP($AB$2,'RF Mod'!$A$2:$G$12,2,FALSE)+VLOOKUP($AD$2,'RF Mod'!$I$2:$O$11,2,FALSE)+(TRUNC(6+(24-6)*(TRUNC(MOD(($Z324*1103515245 +12345)/ 65536, 32768),0)/32768),0))</f>
        <v>11</v>
      </c>
      <c r="H324" s="16" t="e">
        <f t="shared" ca="1" si="17"/>
        <v>#NAME?</v>
      </c>
      <c r="I324" s="153">
        <f ca="1">VLOOKUP($AB$2,'RF Mod'!$A$2:$G$12,3,FALSE)+VLOOKUP($AD$2,'RF Mod'!$I$2:$O$11,3,FALSE)+(TRUNC(6+(24-6)*(TRUNC(MOD(($Z324*1103515245 +12345)/ 65536, 32768),0)/32768),0))</f>
        <v>15</v>
      </c>
      <c r="J324" s="16" t="e">
        <f t="shared" ca="1" si="18"/>
        <v>#NAME?</v>
      </c>
      <c r="K324" s="153">
        <f ca="1">VLOOKUP($AB$2,'RF Mod'!$A$2:$G$12,3,FALSE)+VLOOKUP($AD$2,'RF Mod'!$I$2:$O$11,3,FALSE)+(TRUNC(6+(24-6)*(TRUNC(MOD(($Z324*1103515245 +12345)/ 65536, 32768),0)/32768),0))</f>
        <v>15</v>
      </c>
      <c r="L324" s="16" t="e">
        <f t="shared" ca="1" si="19"/>
        <v>#NAME?</v>
      </c>
      <c r="M324" s="153">
        <f ca="1">VLOOKUP($AB$2,'RF Mod'!$A$2:$G$12,4,FALSE)+VLOOKUP($AD$2,'RF Mod'!$I$2:$O$11,4,FALSE)+(TRUNC(6+(24-6)*(TRUNC(MOD(($Z324*1103515245 +12345)/ 65536, 32768),0)/32768),0))</f>
        <v>14</v>
      </c>
      <c r="N324" s="16" t="e">
        <f t="shared" ca="1" si="20"/>
        <v>#NAME?</v>
      </c>
      <c r="O324" s="153">
        <f ca="1">VLOOKUP($AB$2,'RF Mod'!$A$2:$G$12,5,FALSE)+VLOOKUP($AD$2,'RF Mod'!$I$2:$O$11,5,FALSE)+(TRUNC(6+(24-6)*(TRUNC(MOD(($Z324*1103515245 +12345)/ 65536, 32768),0)/32768),0))</f>
        <v>17</v>
      </c>
      <c r="P324" s="16" t="e">
        <f t="shared" ca="1" si="21"/>
        <v>#NAME?</v>
      </c>
      <c r="Q324" s="153">
        <f ca="1">VLOOKUP($AB$2,'RF Mod'!$A$2:$G$12,6,FALSE)+VLOOKUP($AD$2,'RF Mod'!$I$2:$O$11,6,FALSE)+(TRUNC(6+(24-6)*(TRUNC(MOD(($Z324*1103515245 +12345)/ 65536, 32768),0)/32768),0))</f>
        <v>15</v>
      </c>
      <c r="R324" s="16" t="e">
        <f t="shared" ca="1" si="22"/>
        <v>#NAME?</v>
      </c>
      <c r="S324" s="154">
        <f t="shared" ca="1" si="28"/>
        <v>168</v>
      </c>
      <c r="T324" s="154">
        <f t="shared" ca="1" si="23"/>
        <v>182</v>
      </c>
      <c r="U324" s="16" t="str">
        <f t="shared" ca="1" si="24"/>
        <v>Dead</v>
      </c>
      <c r="V324" s="155">
        <f ca="1">IFERROR(__xludf.DUMMYFUNCTION("if(W324=""Middle Age"",QUERY(NPCVar!$K$2:$N1000, ""Select L where K = '""&amp;AB324&amp;""'""),if(W324=""Old"",QUERY(NPCVar!$K$2:$N1000, ""Select M where K = '""&amp;AB324&amp;""'""),if(W324=""Venerable"",QUERY(NPCVar!$K$2:$N1000, ""Select N where K = '""&amp;AB324&amp;""'""),fa"&amp;"lse)))*X324"),55)</f>
        <v>55</v>
      </c>
      <c r="W324" s="156" t="str">
        <f t="array" ref="W324">INDEX(NPCAgeType,TRUNC(1+(4-1)*(TRUNC(MOD((X324*1103515245 +12345)/ 65536, 32768),0)/32768),0))</f>
        <v>Middle Age</v>
      </c>
      <c r="X324" s="117">
        <f t="shared" si="29"/>
        <v>2</v>
      </c>
      <c r="Y324" s="157" t="e">
        <f t="array" aca="1" ref="Y324" ca="1">LOOKUP(ABS(MAX(Z324 + MIN(ABS(INDIRECT("Class Jobs!B"&amp;MATCH(E324,'Class Jobs'!$A$1:$A1000,0)&amp;":"&amp;"AF"&amp;MATCH(E324,'Class Jobs'!$A$1:$A1000,0)&amp;"")-$Z324)) * SUM(IF(MIN(ABS(INDIRECT("Class Jobs!B"&amp;MATCH(E324,'Class Jobs'!$A$1:$A1000,0)&amp;":"&amp;"AF"&amp;MATCH(E324,'Class Jobs'!$A$1:$A1000,0)&amp;"")-$Z324))=ABS(INDIRECT("Class Jobs!B"&amp;MATCH(E324,'Class Jobs'!$A$1:$A1000,0)&amp;":"&amp;"AF"&amp;MATCH(E324,'Class Jobs'!$A$1:$A1000,0)&amp;"")-$Z324),SIGN(INDIRECT("Class Jobs!B"&amp;MATCH(E324,'Class Jobs'!$A$1:A1000,0)&amp;":"&amp;"AF"&amp;MATCH(E324,'Class Jobs'!$A$1:$A1000,0)&amp;"")-$Z324),0)),0)),INDIRECT("Class Jobs!B"&amp;MATCH(E324,'Class Jobs'!$A$1:$A1000,0)&amp;":"&amp;"AF"&amp;MATCH(E324,'Class Jobs'!$A$1:$A1000,1)&amp;""),'Class Jobs'!$B$1:$AF$1)</f>
        <v>#REF!</v>
      </c>
      <c r="Z324" s="158">
        <f t="shared" si="25"/>
        <v>0.82</v>
      </c>
      <c r="AA324" s="16" t="str">
        <f t="array" ref="AA324">INDEX(NPCGender,TRUNC(1+(COUNTA(NPCGender))*(TRUNC(MOD(($B324*1103515245 +12345)/ 65536, 32768),0)/32768),0))</f>
        <v>Neutral</v>
      </c>
      <c r="AB324" s="16" t="str">
        <f t="array" ref="AB324">INDEX(NPCRace,TRUNC(1+(COUNTA(NPCRace))*(TRUNC(MOD(($B324*1103515245 +12345)/ 65536, 32768),0)/32768),0))</f>
        <v>Genasi</v>
      </c>
      <c r="AC324" s="16" t="str">
        <f t="array" ref="AC324">INDEX(NPCAL,TRUNC(1+(COUNTA(NPCAL))*(TRUNC(MOD(($B324*1103515245 +12345)/ 65536, 32768),0)/32768),0))</f>
        <v>LN</v>
      </c>
      <c r="AD324" s="72" t="str">
        <f ca="1">IFERROR(__xludf.DUMMYFUNCTION("if(V324&lt;15,QUERY(NPCVar!C:D,""Select D WHERE C = '""&amp;D324&amp;""'""),if((TRUNC(1+10)*(TRUNC(MOD((ROW(H324)*1103515245 +12345)/ 65536, 32768),0)/32768)/10) &gt; 0.85,INDEX(NPCFaction,TRUNC(1+(counta(NPCFaction)-1)*(TRUNC(MOD(($B324*1103515245 +12345)/ 65536, 3276"&amp;"8),0)/32768),0)),QUERY(NPCVar!C:D,""Select D WHERE C = '""&amp;D324&amp;""'"")))"),"Adventures Guild")</f>
        <v>Adventures Guild</v>
      </c>
      <c r="AE324" s="108" t="e">
        <f t="shared" ca="1" si="26"/>
        <v>#NAME?</v>
      </c>
      <c r="AF324" s="159">
        <f ca="1">IFERROR(__xludf.DUMMYFUNCTION("AE324*(V324 / QUERY(NPCVar!$K$2:$N$12, ""Select N WHERE K='""&amp;AB324&amp;""'""))*TRUNC(1+10)*(TRUNC(MOD(($B324*1103515245 +12345)/ 65536, 32768),0)/32768)"),4.51792907714843)</f>
        <v>4.5179290771484304</v>
      </c>
      <c r="AG324" s="16"/>
      <c r="AH324" s="77"/>
      <c r="AI324" s="114"/>
    </row>
    <row r="325" spans="1:35" ht="16.2">
      <c r="A325" s="53">
        <v>324</v>
      </c>
      <c r="B325" s="118">
        <f t="shared" si="30"/>
        <v>0.59272999999999998</v>
      </c>
      <c r="C325" s="72" t="str">
        <f t="array" ref="C325">INDEX(NPCFName,TRUNC(1+(COUNTA(NPCFName))*(TRUNC(MOD(($B325*1103515245 +12345)/ 65536, 32768),0)/32768),0))</f>
        <v>Vildar</v>
      </c>
      <c r="D325" s="16" t="str">
        <f t="array" ref="D325">INDEX(NPCLName,TRUNC(1+(COUNTA(NPCLName))*(TRUNC(MOD(($B325*1103515245 +12345)/ 65536, 32768),0)/32768),0))</f>
        <v>Stormdew</v>
      </c>
      <c r="E325" s="16" t="str">
        <f t="array" ref="E325">INDEX(NPCClass,TRUNC(1+(COUNTA(NPCClass))*(TRUNC(MOD(($B325*1103515245 +12345)/ 65536, 32768),0)/32768),0))</f>
        <v>Monk</v>
      </c>
      <c r="F325" s="76">
        <v>1</v>
      </c>
      <c r="G325" s="153">
        <f ca="1">VLOOKUP($AB$2,'RF Mod'!$A$2:$G$12,2,FALSE)+VLOOKUP($AD$2,'RF Mod'!$I$2:$O$11,2,FALSE)+(TRUNC(6+(24-6)*(TRUNC(MOD(($Z325*1103515245 +12345)/ 65536, 32768),0)/32768),0))</f>
        <v>6</v>
      </c>
      <c r="H325" s="16">
        <f t="shared" ca="1" si="17"/>
        <v>-2</v>
      </c>
      <c r="I325" s="153">
        <f ca="1">VLOOKUP($AB$2,'RF Mod'!$A$2:$G$12,3,FALSE)+VLOOKUP($AD$2,'RF Mod'!$I$2:$O$11,3,FALSE)+(TRUNC(6+(24-6)*(TRUNC(MOD(($Z325*1103515245 +12345)/ 65536, 32768),0)/32768),0))</f>
        <v>10</v>
      </c>
      <c r="J325" s="16" t="e">
        <f t="shared" ca="1" si="18"/>
        <v>#NAME?</v>
      </c>
      <c r="K325" s="153">
        <f ca="1">VLOOKUP($AB$2,'RF Mod'!$A$2:$G$12,3,FALSE)+VLOOKUP($AD$2,'RF Mod'!$I$2:$O$11,3,FALSE)+(TRUNC(6+(24-6)*(TRUNC(MOD(($Z325*1103515245 +12345)/ 65536, 32768),0)/32768),0))</f>
        <v>10</v>
      </c>
      <c r="L325" s="16" t="e">
        <f t="shared" ca="1" si="19"/>
        <v>#NAME?</v>
      </c>
      <c r="M325" s="153">
        <f ca="1">VLOOKUP($AB$2,'RF Mod'!$A$2:$G$12,4,FALSE)+VLOOKUP($AD$2,'RF Mod'!$I$2:$O$11,4,FALSE)+(TRUNC(6+(24-6)*(TRUNC(MOD(($Z325*1103515245 +12345)/ 65536, 32768),0)/32768),0))</f>
        <v>9</v>
      </c>
      <c r="N325" s="16">
        <f t="shared" ca="1" si="20"/>
        <v>-1</v>
      </c>
      <c r="O325" s="153">
        <f ca="1">VLOOKUP($AB$2,'RF Mod'!$A$2:$G$12,5,FALSE)+VLOOKUP($AD$2,'RF Mod'!$I$2:$O$11,5,FALSE)+(TRUNC(6+(24-6)*(TRUNC(MOD(($Z325*1103515245 +12345)/ 65536, 32768),0)/32768),0))</f>
        <v>12</v>
      </c>
      <c r="P325" s="16" t="e">
        <f t="shared" ca="1" si="21"/>
        <v>#NAME?</v>
      </c>
      <c r="Q325" s="153">
        <f ca="1">VLOOKUP($AB$2,'RF Mod'!$A$2:$G$12,6,FALSE)+VLOOKUP($AD$2,'RF Mod'!$I$2:$O$11,6,FALSE)+(TRUNC(6+(24-6)*(TRUNC(MOD(($Z325*1103515245 +12345)/ 65536, 32768),0)/32768),0))</f>
        <v>10</v>
      </c>
      <c r="R325" s="16" t="e">
        <f t="shared" ca="1" si="22"/>
        <v>#NAME?</v>
      </c>
      <c r="S325" s="154">
        <f t="shared" ca="1" si="28"/>
        <v>14</v>
      </c>
      <c r="T325" s="154">
        <f t="shared" ca="1" si="23"/>
        <v>9</v>
      </c>
      <c r="U325" s="16" t="str">
        <f t="shared" ca="1" si="24"/>
        <v>Bloody</v>
      </c>
      <c r="V325" s="155">
        <f ca="1">IFERROR(__xludf.DUMMYFUNCTION("if(W325=""Middle Age"",QUERY(NPCVar!$K$2:$N1000, ""Select L where K = '""&amp;AB325&amp;""'""),if(W325=""Old"",QUERY(NPCVar!$K$2:$N1000, ""Select M where K = '""&amp;AB325&amp;""'""),if(W325=""Venerable"",QUERY(NPCVar!$K$2:$N1000, ""Select N where K = '""&amp;AB325&amp;""'""),fa"&amp;"lse)))*X325"),135)</f>
        <v>135</v>
      </c>
      <c r="W325" s="156" t="str">
        <f t="array" ref="W325">INDEX(NPCAgeType,TRUNC(1+(4-1)*(TRUNC(MOD((X325*1103515245 +12345)/ 65536, 32768),0)/32768),0))</f>
        <v>Old</v>
      </c>
      <c r="X325" s="117">
        <f t="shared" si="29"/>
        <v>0.8</v>
      </c>
      <c r="Y325" s="157" t="e">
        <f t="array" aca="1" ref="Y325" ca="1">LOOKUP(ABS(MAX(Z325 + MIN(ABS(INDIRECT("Class Jobs!B"&amp;MATCH(E325,'Class Jobs'!$A$1:$A1000,0)&amp;":"&amp;"AF"&amp;MATCH(E325,'Class Jobs'!$A$1:$A1000,0)&amp;"")-$Z325)) * SUM(IF(MIN(ABS(INDIRECT("Class Jobs!B"&amp;MATCH(E325,'Class Jobs'!$A$1:$A1000,0)&amp;":"&amp;"AF"&amp;MATCH(E325,'Class Jobs'!$A$1:$A1000,0)&amp;"")-$Z325))=ABS(INDIRECT("Class Jobs!B"&amp;MATCH(E325,'Class Jobs'!$A$1:$A1000,0)&amp;":"&amp;"AF"&amp;MATCH(E325,'Class Jobs'!$A$1:$A1000,0)&amp;"")-$Z325),SIGN(INDIRECT("Class Jobs!B"&amp;MATCH(E325,'Class Jobs'!$A$1:A1000,0)&amp;":"&amp;"AF"&amp;MATCH(E325,'Class Jobs'!$A$1:$A1000,0)&amp;"")-$Z325),0)),0)),INDIRECT("Class Jobs!B"&amp;MATCH(E325,'Class Jobs'!$A$1:$A1000,0)&amp;":"&amp;"AF"&amp;MATCH(E325,'Class Jobs'!$A$1:$A1000,1)&amp;""),'Class Jobs'!$B$1:$AF$1)</f>
        <v>#REF!</v>
      </c>
      <c r="Z325" s="158">
        <f t="shared" si="25"/>
        <v>0.31</v>
      </c>
      <c r="AA325" s="16" t="str">
        <f t="array" ref="AA325">INDEX(NPCGender,TRUNC(1+(COUNTA(NPCGender))*(TRUNC(MOD(($B325*1103515245 +12345)/ 65536, 32768),0)/32768),0))</f>
        <v>Male</v>
      </c>
      <c r="AB325" s="16" t="str">
        <f t="array" ref="AB325">INDEX(NPCRace,TRUNC(1+(COUNTA(NPCRace))*(TRUNC(MOD(($B325*1103515245 +12345)/ 65536, 32768),0)/32768),0))</f>
        <v>Gnome</v>
      </c>
      <c r="AC325" s="16" t="str">
        <f t="array" ref="AC325">INDEX(NPCAL,TRUNC(1+(COUNTA(NPCAL))*(TRUNC(MOD(($B325*1103515245 +12345)/ 65536, 32768),0)/32768),0))</f>
        <v>CG</v>
      </c>
      <c r="AD325" s="72" t="str">
        <f ca="1">IFERROR(__xludf.DUMMYFUNCTION("if(V325&lt;15,QUERY(NPCVar!C:D,""Select D WHERE C = '""&amp;D325&amp;""'""),if((TRUNC(1+10)*(TRUNC(MOD((ROW(H325)*1103515245 +12345)/ 65536, 32768),0)/32768)/10) &gt; 0.85,INDEX(NPCFaction,TRUNC(1+(counta(NPCFaction)-1)*(TRUNC(MOD(($B325*1103515245 +12345)/ 65536, 3276"&amp;"8),0)/32768),0)),QUERY(NPCVar!C:D,""Select D WHERE C = '""&amp;D325&amp;""'"")))"),"Magic Guild")</f>
        <v>Magic Guild</v>
      </c>
      <c r="AE325" s="108" t="e">
        <f t="shared" ca="1" si="26"/>
        <v>#NAME?</v>
      </c>
      <c r="AF325" s="159">
        <f ca="1">IFERROR(__xludf.DUMMYFUNCTION("AE325*(V325 / QUERY(NPCVar!$K$2:$N$12, ""Select N WHERE K='""&amp;AB325&amp;""'""))*TRUNC(1+10)*(TRUNC(MOD(($B325*1103515245 +12345)/ 65536, 32768),0)/32768)"),0.301519775390625)</f>
        <v>0.30151977539062502</v>
      </c>
      <c r="AG325" s="16"/>
      <c r="AH325" s="77"/>
      <c r="AI325" s="114"/>
    </row>
    <row r="326" spans="1:35" ht="16.2">
      <c r="A326" s="53">
        <v>325</v>
      </c>
      <c r="B326" s="118">
        <f t="shared" si="30"/>
        <v>2.0868600000000002</v>
      </c>
      <c r="C326" s="72" t="str">
        <f t="array" ref="C326">INDEX(NPCFName,TRUNC(1+(COUNTA(NPCFName))*(TRUNC(MOD(($B326*1103515245 +12345)/ 65536, 32768),0)/32768),0))</f>
        <v>Derik</v>
      </c>
      <c r="D326" s="16" t="str">
        <f t="array" ref="D326">INDEX(NPCLName,TRUNC(1+(COUNTA(NPCLName))*(TRUNC(MOD(($B326*1103515245 +12345)/ 65536, 32768),0)/32768),0))</f>
        <v>Autumnorb</v>
      </c>
      <c r="E326" s="16" t="str">
        <f t="array" ref="E326">INDEX(NPCClass,TRUNC(1+(COUNTA(NPCClass))*(TRUNC(MOD(($B326*1103515245 +12345)/ 65536, 32768),0)/32768),0))</f>
        <v>Barbarian</v>
      </c>
      <c r="F326" s="76">
        <v>1</v>
      </c>
      <c r="G326" s="153">
        <f ca="1">VLOOKUP($AB$2,'RF Mod'!$A$2:$G$12,2,FALSE)+VLOOKUP($AD$2,'RF Mod'!$I$2:$O$11,2,FALSE)+(TRUNC(6+(24-6)*(TRUNC(MOD(($Z326*1103515245 +12345)/ 65536, 32768),0)/32768),0))</f>
        <v>4</v>
      </c>
      <c r="H326" s="16">
        <f t="shared" ca="1" si="17"/>
        <v>-3</v>
      </c>
      <c r="I326" s="153">
        <f ca="1">VLOOKUP($AB$2,'RF Mod'!$A$2:$G$12,3,FALSE)+VLOOKUP($AD$2,'RF Mod'!$I$2:$O$11,3,FALSE)+(TRUNC(6+(24-6)*(TRUNC(MOD(($Z326*1103515245 +12345)/ 65536, 32768),0)/32768),0))</f>
        <v>8</v>
      </c>
      <c r="J326" s="16">
        <f t="shared" ca="1" si="18"/>
        <v>-1</v>
      </c>
      <c r="K326" s="153">
        <f ca="1">VLOOKUP($AB$2,'RF Mod'!$A$2:$G$12,3,FALSE)+VLOOKUP($AD$2,'RF Mod'!$I$2:$O$11,3,FALSE)+(TRUNC(6+(24-6)*(TRUNC(MOD(($Z326*1103515245 +12345)/ 65536, 32768),0)/32768),0))</f>
        <v>8</v>
      </c>
      <c r="L326" s="16">
        <f t="shared" ca="1" si="19"/>
        <v>-1</v>
      </c>
      <c r="M326" s="153">
        <f ca="1">VLOOKUP($AB$2,'RF Mod'!$A$2:$G$12,4,FALSE)+VLOOKUP($AD$2,'RF Mod'!$I$2:$O$11,4,FALSE)+(TRUNC(6+(24-6)*(TRUNC(MOD(($Z326*1103515245 +12345)/ 65536, 32768),0)/32768),0))</f>
        <v>7</v>
      </c>
      <c r="N326" s="16">
        <f t="shared" ca="1" si="20"/>
        <v>-2</v>
      </c>
      <c r="O326" s="153">
        <f ca="1">VLOOKUP($AB$2,'RF Mod'!$A$2:$G$12,5,FALSE)+VLOOKUP($AD$2,'RF Mod'!$I$2:$O$11,5,FALSE)+(TRUNC(6+(24-6)*(TRUNC(MOD(($Z326*1103515245 +12345)/ 65536, 32768),0)/32768),0))</f>
        <v>10</v>
      </c>
      <c r="P326" s="16" t="e">
        <f t="shared" ca="1" si="21"/>
        <v>#NAME?</v>
      </c>
      <c r="Q326" s="153">
        <f ca="1">VLOOKUP($AB$2,'RF Mod'!$A$2:$G$12,6,FALSE)+VLOOKUP($AD$2,'RF Mod'!$I$2:$O$11,6,FALSE)+(TRUNC(6+(24-6)*(TRUNC(MOD(($Z326*1103515245 +12345)/ 65536, 32768),0)/32768),0))</f>
        <v>8</v>
      </c>
      <c r="R326" s="16">
        <f t="shared" ca="1" si="22"/>
        <v>-1</v>
      </c>
      <c r="S326" s="154">
        <f t="shared" ca="1" si="28"/>
        <v>26</v>
      </c>
      <c r="T326" s="154">
        <f t="shared" ca="1" si="23"/>
        <v>1</v>
      </c>
      <c r="U326" s="16" t="str">
        <f t="shared" ca="1" si="24"/>
        <v>Fine</v>
      </c>
      <c r="V326" s="155">
        <f ca="1">IFERROR(__xludf.DUMMYFUNCTION("if(W326=""Middle Age"",QUERY(NPCVar!$K$2:$N1000, ""Select L where K = '""&amp;AB326&amp;""'""),if(W326=""Old"",QUERY(NPCVar!$K$2:$N1000, ""Select M where K = '""&amp;AB326&amp;""'""),if(W326=""Venerable"",QUERY(NPCVar!$K$2:$N1000, ""Select N where K = '""&amp;AB326&amp;""'""),fa"&amp;"lse)))*X326"),4)</f>
        <v>4</v>
      </c>
      <c r="W326" s="156" t="str">
        <f t="array" ref="W326">INDEX(NPCAgeType,TRUNC(1+(4-1)*(TRUNC(MOD((X326*1103515245 +12345)/ 65536, 32768),0)/32768),0))</f>
        <v>Middle Age</v>
      </c>
      <c r="X326" s="117">
        <f t="shared" si="29"/>
        <v>0.2</v>
      </c>
      <c r="Y326" s="157" t="e">
        <f t="array" aca="1" ref="Y326" ca="1">LOOKUP(ABS(MAX(Z326 + MIN(ABS(INDIRECT("Class Jobs!B"&amp;MATCH(E326,'Class Jobs'!$A$1:$A1000,0)&amp;":"&amp;"AF"&amp;MATCH(E326,'Class Jobs'!$A$1:$A1000,0)&amp;"")-$Z326)) * SUM(IF(MIN(ABS(INDIRECT("Class Jobs!B"&amp;MATCH(E326,'Class Jobs'!$A$1:$A1000,0)&amp;":"&amp;"AF"&amp;MATCH(E326,'Class Jobs'!$A$1:$A1000,0)&amp;"")-$Z326))=ABS(INDIRECT("Class Jobs!B"&amp;MATCH(E326,'Class Jobs'!$A$1:$A1000,0)&amp;":"&amp;"AF"&amp;MATCH(E326,'Class Jobs'!$A$1:$A1000,0)&amp;"")-$Z326),SIGN(INDIRECT("Class Jobs!B"&amp;MATCH(E326,'Class Jobs'!$A$1:A1000,0)&amp;":"&amp;"AF"&amp;MATCH(E326,'Class Jobs'!$A$1:$A1000,0)&amp;"")-$Z326),0)),0)),INDIRECT("Class Jobs!B"&amp;MATCH(E326,'Class Jobs'!$A$1:$A1000,0)&amp;":"&amp;"AF"&amp;MATCH(E326,'Class Jobs'!$A$1:$A1000,1)&amp;""),'Class Jobs'!$B$1:$AF$1)</f>
        <v>#REF!</v>
      </c>
      <c r="Z326" s="158">
        <f t="shared" si="25"/>
        <v>0.08</v>
      </c>
      <c r="AA326" s="16" t="str">
        <f t="array" ref="AA326">INDEX(NPCGender,TRUNC(1+(COUNTA(NPCGender))*(TRUNC(MOD(($B326*1103515245 +12345)/ 65536, 32768),0)/32768),0))</f>
        <v>Male</v>
      </c>
      <c r="AB326" s="16" t="str">
        <f t="array" ref="AB326">INDEX(NPCRace,TRUNC(1+(COUNTA(NPCRace))*(TRUNC(MOD(($B326*1103515245 +12345)/ 65536, 32768),0)/32768),0))</f>
        <v>Dragonborn</v>
      </c>
      <c r="AC326" s="16" t="str">
        <f t="array" ref="AC326">INDEX(NPCAL,TRUNC(1+(COUNTA(NPCAL))*(TRUNC(MOD(($B326*1103515245 +12345)/ 65536, 32768),0)/32768),0))</f>
        <v>CN</v>
      </c>
      <c r="AD326" s="72" t="str">
        <f ca="1">IFERROR(__xludf.DUMMYFUNCTION("if(V326&lt;15,QUERY(NPCVar!C:D,""Select D WHERE C = '""&amp;D326&amp;""'""),if((TRUNC(1+10)*(TRUNC(MOD((ROW(H326)*1103515245 +12345)/ 65536, 32768),0)/32768)/10) &gt; 0.85,INDEX(NPCFaction,TRUNC(1+(counta(NPCFaction)-1)*(TRUNC(MOD(($B326*1103515245 +12345)/ 65536, 3276"&amp;"8),0)/32768),0)),QUERY(NPCVar!C:D,""Select D WHERE C = '""&amp;D326&amp;""'"")))"),"Royalty")</f>
        <v>Royalty</v>
      </c>
      <c r="AE326" s="108" t="e">
        <f t="shared" ca="1" si="26"/>
        <v>#NAME?</v>
      </c>
      <c r="AF326" s="159">
        <f ca="1">IFERROR(__xludf.DUMMYFUNCTION("AE326*(V326 / QUERY(NPCVar!$K$2:$N$12, ""Select N WHERE K='""&amp;AB326&amp;""'""))*TRUNC(1+10)*(TRUNC(MOD(($B326*1103515245 +12345)/ 65536, 32768),0)/32768)"),-0.00795928955078125)</f>
        <v>-7.9592895507812501E-3</v>
      </c>
      <c r="AG326" s="16"/>
      <c r="AH326" s="77"/>
      <c r="AI326" s="114"/>
    </row>
    <row r="327" spans="1:35" ht="16.2">
      <c r="A327" s="53">
        <v>326</v>
      </c>
      <c r="B327" s="118">
        <f t="shared" si="30"/>
        <v>1.08101</v>
      </c>
      <c r="C327" s="72" t="str">
        <f t="array" ref="C327">INDEX(NPCFName,TRUNC(1+(COUNTA(NPCFName))*(TRUNC(MOD(($B327*1103515245 +12345)/ 65536, 32768),0)/32768),0))</f>
        <v>Pelphides</v>
      </c>
      <c r="D327" s="16" t="str">
        <f t="array" ref="D327">INDEX(NPCLName,TRUNC(1+(COUNTA(NPCLName))*(TRUNC(MOD(($B327*1103515245 +12345)/ 65536, 32768),0)/32768),0))</f>
        <v>Plainspirit</v>
      </c>
      <c r="E327" s="16" t="str">
        <f t="array" ref="E327">INDEX(NPCClass,TRUNC(1+(COUNTA(NPCClass))*(TRUNC(MOD(($B327*1103515245 +12345)/ 65536, 32768),0)/32768),0))</f>
        <v>Sorcerer</v>
      </c>
      <c r="F327" s="76">
        <v>8</v>
      </c>
      <c r="G327" s="153">
        <f ca="1">VLOOKUP($AB$2,'RF Mod'!$A$2:$G$12,2,FALSE)+VLOOKUP($AD$2,'RF Mod'!$I$2:$O$11,2,FALSE)+(TRUNC(6+(24-6)*(TRUNC(MOD(($Z327*1103515245 +12345)/ 65536, 32768),0)/32768),0))</f>
        <v>9</v>
      </c>
      <c r="H327" s="16">
        <f t="shared" ca="1" si="17"/>
        <v>-1</v>
      </c>
      <c r="I327" s="153">
        <f ca="1">VLOOKUP($AB$2,'RF Mod'!$A$2:$G$12,3,FALSE)+VLOOKUP($AD$2,'RF Mod'!$I$2:$O$11,3,FALSE)+(TRUNC(6+(24-6)*(TRUNC(MOD(($Z327*1103515245 +12345)/ 65536, 32768),0)/32768),0))</f>
        <v>13</v>
      </c>
      <c r="J327" s="16" t="e">
        <f t="shared" ca="1" si="18"/>
        <v>#NAME?</v>
      </c>
      <c r="K327" s="153">
        <f ca="1">VLOOKUP($AB$2,'RF Mod'!$A$2:$G$12,3,FALSE)+VLOOKUP($AD$2,'RF Mod'!$I$2:$O$11,3,FALSE)+(TRUNC(6+(24-6)*(TRUNC(MOD(($Z327*1103515245 +12345)/ 65536, 32768),0)/32768),0))</f>
        <v>13</v>
      </c>
      <c r="L327" s="16" t="e">
        <f t="shared" ca="1" si="19"/>
        <v>#NAME?</v>
      </c>
      <c r="M327" s="153">
        <f ca="1">VLOOKUP($AB$2,'RF Mod'!$A$2:$G$12,4,FALSE)+VLOOKUP($AD$2,'RF Mod'!$I$2:$O$11,4,FALSE)+(TRUNC(6+(24-6)*(TRUNC(MOD(($Z327*1103515245 +12345)/ 65536, 32768),0)/32768),0))</f>
        <v>12</v>
      </c>
      <c r="N327" s="16" t="e">
        <f t="shared" ca="1" si="20"/>
        <v>#NAME?</v>
      </c>
      <c r="O327" s="153">
        <f ca="1">VLOOKUP($AB$2,'RF Mod'!$A$2:$G$12,5,FALSE)+VLOOKUP($AD$2,'RF Mod'!$I$2:$O$11,5,FALSE)+(TRUNC(6+(24-6)*(TRUNC(MOD(($Z327*1103515245 +12345)/ 65536, 32768),0)/32768),0))</f>
        <v>15</v>
      </c>
      <c r="P327" s="16" t="e">
        <f t="shared" ca="1" si="21"/>
        <v>#NAME?</v>
      </c>
      <c r="Q327" s="153">
        <f ca="1">VLOOKUP($AB$2,'RF Mod'!$A$2:$G$12,6,FALSE)+VLOOKUP($AD$2,'RF Mod'!$I$2:$O$11,6,FALSE)+(TRUNC(6+(24-6)*(TRUNC(MOD(($Z327*1103515245 +12345)/ 65536, 32768),0)/32768),0))</f>
        <v>13</v>
      </c>
      <c r="R327" s="16" t="e">
        <f t="shared" ca="1" si="22"/>
        <v>#NAME?</v>
      </c>
      <c r="S327" s="154">
        <f t="shared" ca="1" si="28"/>
        <v>200</v>
      </c>
      <c r="T327" s="154">
        <f t="shared" ca="1" si="23"/>
        <v>5</v>
      </c>
      <c r="U327" s="16" t="str">
        <f t="shared" ca="1" si="24"/>
        <v>Fine</v>
      </c>
      <c r="V327" s="155">
        <f ca="1">IFERROR(__xludf.DUMMYFUNCTION("if(W327=""Middle Age"",QUERY(NPCVar!$K$2:$N1000, ""Select L where K = '""&amp;AB327&amp;""'""),if(W327=""Old"",QUERY(NPCVar!$K$2:$N1000, ""Select M where K = '""&amp;AB327&amp;""'""),if(W327=""Venerable"",QUERY(NPCVar!$K$2:$N1000, ""Select N where K = '""&amp;AB327&amp;""'""),fa"&amp;"lse)))*X327"),280)</f>
        <v>280</v>
      </c>
      <c r="W327" s="156" t="str">
        <f t="array" ref="W327">INDEX(NPCAgeType,TRUNC(1+(4-1)*(TRUNC(MOD((X327*1103515245 +12345)/ 65536, 32768),0)/32768),0))</f>
        <v>Venerable</v>
      </c>
      <c r="X327" s="117">
        <f t="shared" si="29"/>
        <v>1.4</v>
      </c>
      <c r="Y327" s="157" t="e">
        <f t="array" aca="1" ref="Y327" ca="1">LOOKUP(ABS(MAX(Z327 + MIN(ABS(INDIRECT("Class Jobs!B"&amp;MATCH(E327,'Class Jobs'!$A$1:$A1000,0)&amp;":"&amp;"AF"&amp;MATCH(E327,'Class Jobs'!$A$1:$A1000,0)&amp;"")-$Z327)) * SUM(IF(MIN(ABS(INDIRECT("Class Jobs!B"&amp;MATCH(E327,'Class Jobs'!$A$1:$A1000,0)&amp;":"&amp;"AF"&amp;MATCH(E327,'Class Jobs'!$A$1:$A1000,0)&amp;"")-$Z327))=ABS(INDIRECT("Class Jobs!B"&amp;MATCH(E327,'Class Jobs'!$A$1:$A1000,0)&amp;":"&amp;"AF"&amp;MATCH(E327,'Class Jobs'!$A$1:$A1000,0)&amp;"")-$Z327),SIGN(INDIRECT("Class Jobs!B"&amp;MATCH(E327,'Class Jobs'!$A$1:A1000,0)&amp;":"&amp;"AF"&amp;MATCH(E327,'Class Jobs'!$A$1:$A1000,0)&amp;"")-$Z327),0)),0)),INDIRECT("Class Jobs!B"&amp;MATCH(E327,'Class Jobs'!$A$1:$A1000,0)&amp;":"&amp;"AF"&amp;MATCH(E327,'Class Jobs'!$A$1:$A1000,1)&amp;""),'Class Jobs'!$B$1:$AF$1)</f>
        <v>#REF!</v>
      </c>
      <c r="Z327" s="158">
        <f t="shared" si="25"/>
        <v>0.55000000000000004</v>
      </c>
      <c r="AA327" s="16" t="str">
        <f t="array" ref="AA327">INDEX(NPCGender,TRUNC(1+(COUNTA(NPCGender))*(TRUNC(MOD(($B327*1103515245 +12345)/ 65536, 32768),0)/32768),0))</f>
        <v>Female</v>
      </c>
      <c r="AB327" s="16" t="str">
        <f t="array" ref="AB327">INDEX(NPCRace,TRUNC(1+(COUNTA(NPCRace))*(TRUNC(MOD(($B327*1103515245 +12345)/ 65536, 32768),0)/32768),0))</f>
        <v>Halfling</v>
      </c>
      <c r="AC327" s="16" t="str">
        <f t="array" ref="AC327">INDEX(NPCAL,TRUNC(1+(COUNTA(NPCAL))*(TRUNC(MOD(($B327*1103515245 +12345)/ 65536, 32768),0)/32768),0))</f>
        <v>NN</v>
      </c>
      <c r="AD327" s="72" t="str">
        <f ca="1">IFERROR(__xludf.DUMMYFUNCTION("if(V327&lt;15,QUERY(NPCVar!C:D,""Select D WHERE C = '""&amp;D327&amp;""'""),if((TRUNC(1+10)*(TRUNC(MOD((ROW(H327)*1103515245 +12345)/ 65536, 32768),0)/32768)/10) &gt; 0.85,INDEX(NPCFaction,TRUNC(1+(counta(NPCFaction)-1)*(TRUNC(MOD(($B327*1103515245 +12345)/ 65536, 3276"&amp;"8),0)/32768),0)),QUERY(NPCVar!C:D,""Select D WHERE C = '""&amp;D327&amp;""'"")))"),"Traders Guild")</f>
        <v>Traders Guild</v>
      </c>
      <c r="AE327" s="108" t="e">
        <f t="shared" ca="1" si="26"/>
        <v>#NAME?</v>
      </c>
      <c r="AF327" s="159">
        <f ca="1">IFERROR(__xludf.DUMMYFUNCTION("AE327*(V327 / QUERY(NPCVar!$K$2:$N$12, ""Select N WHERE K='""&amp;AB327&amp;""'""))*TRUNC(1+10)*(TRUNC(MOD(($B327*1103515245 +12345)/ 65536, 32768),0)/32768)"),5.13264404296875)</f>
        <v>5.1326440429687503</v>
      </c>
      <c r="AG327" s="16"/>
      <c r="AH327" s="77"/>
      <c r="AI327" s="114"/>
    </row>
    <row r="328" spans="1:35" ht="16.2">
      <c r="A328" s="53">
        <v>327</v>
      </c>
      <c r="B328" s="118">
        <f t="shared" si="30"/>
        <v>7.5079999999999994E-2</v>
      </c>
      <c r="C328" s="72" t="str">
        <f t="array" ref="C328">INDEX(NPCFName,TRUNC(1+(COUNTA(NPCFName))*(TRUNC(MOD(($B328*1103515245 +12345)/ 65536, 32768),0)/32768),0))</f>
        <v>Bredock</v>
      </c>
      <c r="D328" s="16" t="str">
        <f t="array" ref="D328">INDEX(NPCLName,TRUNC(1+(COUNTA(NPCLName))*(TRUNC(MOD(($B328*1103515245 +12345)/ 65536, 32768),0)/32768),0))</f>
        <v>Crystalgazer</v>
      </c>
      <c r="E328" s="16" t="str">
        <f t="array" ref="E328">INDEX(NPCClass,TRUNC(1+(COUNTA(NPCClass))*(TRUNC(MOD(($B328*1103515245 +12345)/ 65536, 32768),0)/32768),0))</f>
        <v>Barbarian</v>
      </c>
      <c r="F328" s="76">
        <v>1</v>
      </c>
      <c r="G328" s="153">
        <f ca="1">VLOOKUP($AB$2,'RF Mod'!$A$2:$G$12,2,FALSE)+VLOOKUP($AD$2,'RF Mod'!$I$2:$O$11,2,FALSE)+(TRUNC(6+(24-6)*(TRUNC(MOD(($Z328*1103515245 +12345)/ 65536, 32768),0)/32768),0))</f>
        <v>4</v>
      </c>
      <c r="H328" s="16">
        <f t="shared" ca="1" si="17"/>
        <v>-3</v>
      </c>
      <c r="I328" s="153">
        <f ca="1">VLOOKUP($AB$2,'RF Mod'!$A$2:$G$12,3,FALSE)+VLOOKUP($AD$2,'RF Mod'!$I$2:$O$11,3,FALSE)+(TRUNC(6+(24-6)*(TRUNC(MOD(($Z328*1103515245 +12345)/ 65536, 32768),0)/32768),0))</f>
        <v>8</v>
      </c>
      <c r="J328" s="16">
        <f t="shared" ca="1" si="18"/>
        <v>-1</v>
      </c>
      <c r="K328" s="153">
        <f ca="1">VLOOKUP($AB$2,'RF Mod'!$A$2:$G$12,3,FALSE)+VLOOKUP($AD$2,'RF Mod'!$I$2:$O$11,3,FALSE)+(TRUNC(6+(24-6)*(TRUNC(MOD(($Z328*1103515245 +12345)/ 65536, 32768),0)/32768),0))</f>
        <v>8</v>
      </c>
      <c r="L328" s="16">
        <f t="shared" ca="1" si="19"/>
        <v>-1</v>
      </c>
      <c r="M328" s="153">
        <f ca="1">VLOOKUP($AB$2,'RF Mod'!$A$2:$G$12,4,FALSE)+VLOOKUP($AD$2,'RF Mod'!$I$2:$O$11,4,FALSE)+(TRUNC(6+(24-6)*(TRUNC(MOD(($Z328*1103515245 +12345)/ 65536, 32768),0)/32768),0))</f>
        <v>7</v>
      </c>
      <c r="N328" s="16">
        <f t="shared" ca="1" si="20"/>
        <v>-2</v>
      </c>
      <c r="O328" s="153">
        <f ca="1">VLOOKUP($AB$2,'RF Mod'!$A$2:$G$12,5,FALSE)+VLOOKUP($AD$2,'RF Mod'!$I$2:$O$11,5,FALSE)+(TRUNC(6+(24-6)*(TRUNC(MOD(($Z328*1103515245 +12345)/ 65536, 32768),0)/32768),0))</f>
        <v>10</v>
      </c>
      <c r="P328" s="16" t="e">
        <f t="shared" ca="1" si="21"/>
        <v>#NAME?</v>
      </c>
      <c r="Q328" s="153">
        <f ca="1">VLOOKUP($AB$2,'RF Mod'!$A$2:$G$12,6,FALSE)+VLOOKUP($AD$2,'RF Mod'!$I$2:$O$11,6,FALSE)+(TRUNC(6+(24-6)*(TRUNC(MOD(($Z328*1103515245 +12345)/ 65536, 32768),0)/32768),0))</f>
        <v>8</v>
      </c>
      <c r="R328" s="16">
        <f t="shared" ca="1" si="22"/>
        <v>-1</v>
      </c>
      <c r="S328" s="154">
        <f t="shared" ca="1" si="28"/>
        <v>26</v>
      </c>
      <c r="T328" s="154">
        <f t="shared" ca="1" si="23"/>
        <v>26</v>
      </c>
      <c r="U328" s="16" t="str">
        <f t="shared" ca="1" si="24"/>
        <v>Unconscious</v>
      </c>
      <c r="V328" s="155">
        <f ca="1">IFERROR(__xludf.DUMMYFUNCTION("if(W328=""Middle Age"",QUERY(NPCVar!$K$2:$N1000, ""Select L where K = '""&amp;AB328&amp;""'""),if(W328=""Old"",QUERY(NPCVar!$K$2:$N1000, ""Select M where K = '""&amp;AB328&amp;""'""),if(W328=""Venerable"",QUERY(NPCVar!$K$2:$N1000, ""Select N where K = '""&amp;AB328&amp;""'""),fa"&amp;"lse)))*X328"),2)</f>
        <v>2</v>
      </c>
      <c r="W328" s="156" t="str">
        <f t="array" ref="W328">INDEX(NPCAgeType,TRUNC(1+(4-1)*(TRUNC(MOD((X328*1103515245 +12345)/ 65536, 32768),0)/32768),0))</f>
        <v>Middle Age</v>
      </c>
      <c r="X328" s="117">
        <f t="shared" si="29"/>
        <v>0.1</v>
      </c>
      <c r="Y328" s="157" t="e">
        <f t="array" aca="1" ref="Y328" ca="1">LOOKUP(ABS(MAX(Z328 + MIN(ABS(INDIRECT("Class Jobs!B"&amp;MATCH(E328,'Class Jobs'!$A$1:$A1000,0)&amp;":"&amp;"AF"&amp;MATCH(E328,'Class Jobs'!$A$1:$A1000,0)&amp;"")-$Z328)) * SUM(IF(MIN(ABS(INDIRECT("Class Jobs!B"&amp;MATCH(E328,'Class Jobs'!$A$1:$A1000,0)&amp;":"&amp;"AF"&amp;MATCH(E328,'Class Jobs'!$A$1:$A1000,0)&amp;"")-$Z328))=ABS(INDIRECT("Class Jobs!B"&amp;MATCH(E328,'Class Jobs'!$A$1:$A1000,0)&amp;":"&amp;"AF"&amp;MATCH(E328,'Class Jobs'!$A$1:$A1000,0)&amp;"")-$Z328),SIGN(INDIRECT("Class Jobs!B"&amp;MATCH(E328,'Class Jobs'!$A$1:A1000,0)&amp;":"&amp;"AF"&amp;MATCH(E328,'Class Jobs'!$A$1:$A1000,0)&amp;"")-$Z328),0)),0)),INDIRECT("Class Jobs!B"&amp;MATCH(E328,'Class Jobs'!$A$1:$A1000,0)&amp;":"&amp;"AF"&amp;MATCH(E328,'Class Jobs'!$A$1:$A1000,1)&amp;""),'Class Jobs'!$B$1:$AF$1)</f>
        <v>#REF!</v>
      </c>
      <c r="Z328" s="158">
        <f t="shared" si="25"/>
        <v>0.04</v>
      </c>
      <c r="AA328" s="16" t="str">
        <f t="array" ref="AA328">INDEX(NPCGender,TRUNC(1+(COUNTA(NPCGender))*(TRUNC(MOD(($B328*1103515245 +12345)/ 65536, 32768),0)/32768),0))</f>
        <v>Male</v>
      </c>
      <c r="AB328" s="16" t="str">
        <f t="array" ref="AB328">INDEX(NPCRace,TRUNC(1+(COUNTA(NPCRace))*(TRUNC(MOD(($B328*1103515245 +12345)/ 65536, 32768),0)/32768),0))</f>
        <v>Dragonborn</v>
      </c>
      <c r="AC328" s="16" t="str">
        <f t="array" ref="AC328">INDEX(NPCAL,TRUNC(1+(COUNTA(NPCAL))*(TRUNC(MOD(($B328*1103515245 +12345)/ 65536, 32768),0)/32768),0))</f>
        <v>CN</v>
      </c>
      <c r="AD328" s="72" t="str">
        <f ca="1">IFERROR(__xludf.DUMMYFUNCTION("if(V328&lt;15,QUERY(NPCVar!C:D,""Select D WHERE C = '""&amp;D328&amp;""'""),if((TRUNC(1+10)*(TRUNC(MOD((ROW(H328)*1103515245 +12345)/ 65536, 32768),0)/32768)/10) &gt; 0.85,INDEX(NPCFaction,TRUNC(1+(counta(NPCFaction)-1)*(TRUNC(MOD(($B328*1103515245 +12345)/ 65536, 3276"&amp;"8),0)/32768),0)),QUERY(NPCVar!C:D,""Select D WHERE C = '""&amp;D328&amp;""'"")))"),"Death Guild")</f>
        <v>Death Guild</v>
      </c>
      <c r="AE328" s="108" t="e">
        <f t="shared" ca="1" si="26"/>
        <v>#NAME?</v>
      </c>
      <c r="AF328" s="159">
        <f ca="1">IFERROR(__xludf.DUMMYFUNCTION("AE328*(V328 / QUERY(NPCVar!$K$2:$N$12, ""Select N WHERE K='""&amp;AB328&amp;""'""))*TRUNC(1+10)*(TRUNC(MOD(($B328*1103515245 +12345)/ 65536, 32768),0)/32768)"),-0.00212158203125)</f>
        <v>-2.1215820312499999E-3</v>
      </c>
      <c r="AG328" s="16"/>
      <c r="AH328" s="77"/>
      <c r="AI328" s="114"/>
    </row>
    <row r="329" spans="1:35" ht="16.2">
      <c r="A329" s="53">
        <v>328</v>
      </c>
      <c r="B329" s="118">
        <f t="shared" si="30"/>
        <v>1.56921</v>
      </c>
      <c r="C329" s="72" t="str">
        <f t="array" ref="C329">INDEX(NPCFName,TRUNC(1+(COUNTA(NPCFName))*(TRUNC(MOD(($B329*1103515245 +12345)/ 65536, 32768),0)/32768),0))</f>
        <v>Ilgenar</v>
      </c>
      <c r="D329" s="16" t="str">
        <f t="array" ref="D329">INDEX(NPCLName,TRUNC(1+(COUNTA(NPCLName))*(TRUNC(MOD(($B329*1103515245 +12345)/ 65536, 32768),0)/32768),0))</f>
        <v>Deepcrest</v>
      </c>
      <c r="E329" s="16" t="str">
        <f t="array" ref="E329">INDEX(NPCClass,TRUNC(1+(COUNTA(NPCClass))*(TRUNC(MOD(($B329*1103515245 +12345)/ 65536, 32768),0)/32768),0))</f>
        <v>Cleric</v>
      </c>
      <c r="F329" s="76">
        <v>8</v>
      </c>
      <c r="G329" s="153">
        <f ca="1">VLOOKUP($AB$2,'RF Mod'!$A$2:$G$12,2,FALSE)+VLOOKUP($AD$2,'RF Mod'!$I$2:$O$11,2,FALSE)+(TRUNC(6+(24-6)*(TRUNC(MOD(($Z329*1103515245 +12345)/ 65536, 32768),0)/32768),0))</f>
        <v>11</v>
      </c>
      <c r="H329" s="16" t="e">
        <f t="shared" ca="1" si="17"/>
        <v>#NAME?</v>
      </c>
      <c r="I329" s="153">
        <f ca="1">VLOOKUP($AB$2,'RF Mod'!$A$2:$G$12,3,FALSE)+VLOOKUP($AD$2,'RF Mod'!$I$2:$O$11,3,FALSE)+(TRUNC(6+(24-6)*(TRUNC(MOD(($Z329*1103515245 +12345)/ 65536, 32768),0)/32768),0))</f>
        <v>15</v>
      </c>
      <c r="J329" s="16" t="e">
        <f t="shared" ca="1" si="18"/>
        <v>#NAME?</v>
      </c>
      <c r="K329" s="153">
        <f ca="1">VLOOKUP($AB$2,'RF Mod'!$A$2:$G$12,3,FALSE)+VLOOKUP($AD$2,'RF Mod'!$I$2:$O$11,3,FALSE)+(TRUNC(6+(24-6)*(TRUNC(MOD(($Z329*1103515245 +12345)/ 65536, 32768),0)/32768),0))</f>
        <v>15</v>
      </c>
      <c r="L329" s="16" t="e">
        <f t="shared" ca="1" si="19"/>
        <v>#NAME?</v>
      </c>
      <c r="M329" s="153">
        <f ca="1">VLOOKUP($AB$2,'RF Mod'!$A$2:$G$12,4,FALSE)+VLOOKUP($AD$2,'RF Mod'!$I$2:$O$11,4,FALSE)+(TRUNC(6+(24-6)*(TRUNC(MOD(($Z329*1103515245 +12345)/ 65536, 32768),0)/32768),0))</f>
        <v>14</v>
      </c>
      <c r="N329" s="16" t="e">
        <f t="shared" ca="1" si="20"/>
        <v>#NAME?</v>
      </c>
      <c r="O329" s="153">
        <f ca="1">VLOOKUP($AB$2,'RF Mod'!$A$2:$G$12,5,FALSE)+VLOOKUP($AD$2,'RF Mod'!$I$2:$O$11,5,FALSE)+(TRUNC(6+(24-6)*(TRUNC(MOD(($Z329*1103515245 +12345)/ 65536, 32768),0)/32768),0))</f>
        <v>17</v>
      </c>
      <c r="P329" s="16" t="e">
        <f t="shared" ca="1" si="21"/>
        <v>#NAME?</v>
      </c>
      <c r="Q329" s="153">
        <f ca="1">VLOOKUP($AB$2,'RF Mod'!$A$2:$G$12,6,FALSE)+VLOOKUP($AD$2,'RF Mod'!$I$2:$O$11,6,FALSE)+(TRUNC(6+(24-6)*(TRUNC(MOD(($Z329*1103515245 +12345)/ 65536, 32768),0)/32768),0))</f>
        <v>15</v>
      </c>
      <c r="R329" s="16" t="e">
        <f t="shared" ca="1" si="22"/>
        <v>#NAME?</v>
      </c>
      <c r="S329" s="154">
        <f t="shared" ca="1" si="28"/>
        <v>184</v>
      </c>
      <c r="T329" s="154">
        <f t="shared" ca="1" si="23"/>
        <v>62</v>
      </c>
      <c r="U329" s="16" t="str">
        <f t="shared" ca="1" si="24"/>
        <v>Fine</v>
      </c>
      <c r="V329" s="155">
        <f ca="1">IFERROR(__xludf.DUMMYFUNCTION("if(W329=""Middle Age"",QUERY(NPCVar!$K$2:$N1000, ""Select L where K = '""&amp;AB329&amp;""'""),if(W329=""Old"",QUERY(NPCVar!$K$2:$N1000, ""Select M where K = '""&amp;AB329&amp;""'""),if(W329=""Venerable"",QUERY(NPCVar!$K$2:$N1000, ""Select N where K = '""&amp;AB329&amp;""'""),fa"&amp;"lse)))*X329"),50)</f>
        <v>50</v>
      </c>
      <c r="W329" s="156" t="str">
        <f t="array" ref="W329">INDEX(NPCAgeType,TRUNC(1+(4-1)*(TRUNC(MOD((X329*1103515245 +12345)/ 65536, 32768),0)/32768),0))</f>
        <v>Middle Age</v>
      </c>
      <c r="X329" s="117">
        <f t="shared" si="29"/>
        <v>2</v>
      </c>
      <c r="Y329" s="157" t="e">
        <f t="array" aca="1" ref="Y329" ca="1">LOOKUP(ABS(MAX(Z329 + MIN(ABS(INDIRECT("Class Jobs!B"&amp;MATCH(E329,'Class Jobs'!$A$1:$A1000,0)&amp;":"&amp;"AF"&amp;MATCH(E329,'Class Jobs'!$A$1:$A1000,0)&amp;"")-$Z329)) * SUM(IF(MIN(ABS(INDIRECT("Class Jobs!B"&amp;MATCH(E329,'Class Jobs'!$A$1:$A1000,0)&amp;":"&amp;"AF"&amp;MATCH(E329,'Class Jobs'!$A$1:$A1000,0)&amp;"")-$Z329))=ABS(INDIRECT("Class Jobs!B"&amp;MATCH(E329,'Class Jobs'!$A$1:$A1000,0)&amp;":"&amp;"AF"&amp;MATCH(E329,'Class Jobs'!$A$1:$A1000,0)&amp;"")-$Z329),SIGN(INDIRECT("Class Jobs!B"&amp;MATCH(E329,'Class Jobs'!$A$1:A1000,0)&amp;":"&amp;"AF"&amp;MATCH(E329,'Class Jobs'!$A$1:$A1000,0)&amp;"")-$Z329),0)),0)),INDIRECT("Class Jobs!B"&amp;MATCH(E329,'Class Jobs'!$A$1:$A1000,0)&amp;":"&amp;"AF"&amp;MATCH(E329,'Class Jobs'!$A$1:$A1000,1)&amp;""),'Class Jobs'!$B$1:$AF$1)</f>
        <v>#REF!</v>
      </c>
      <c r="Z329" s="158">
        <f t="shared" si="25"/>
        <v>0.8</v>
      </c>
      <c r="AA329" s="16" t="str">
        <f t="array" ref="AA329">INDEX(NPCGender,TRUNC(1+(COUNTA(NPCGender))*(TRUNC(MOD(($B329*1103515245 +12345)/ 65536, 32768),0)/32768),0))</f>
        <v>Neutral</v>
      </c>
      <c r="AB329" s="16" t="str">
        <f t="array" ref="AB329">INDEX(NPCRace,TRUNC(1+(COUNTA(NPCRace))*(TRUNC(MOD(($B329*1103515245 +12345)/ 65536, 32768),0)/32768),0))</f>
        <v>Tiefling</v>
      </c>
      <c r="AC329" s="16" t="str">
        <f t="array" ref="AC329">INDEX(NPCAL,TRUNC(1+(COUNTA(NPCAL))*(TRUNC(MOD(($B329*1103515245 +12345)/ 65536, 32768),0)/32768),0))</f>
        <v>LN</v>
      </c>
      <c r="AD329" s="72" t="str">
        <f ca="1">IFERROR(__xludf.DUMMYFUNCTION("if(V329&lt;15,QUERY(NPCVar!C:D,""Select D WHERE C = '""&amp;D329&amp;""'""),if((TRUNC(1+10)*(TRUNC(MOD((ROW(H329)*1103515245 +12345)/ 65536, 32768),0)/32768)/10) &gt; 0.85,INDEX(NPCFaction,TRUNC(1+(counta(NPCFaction)-1)*(TRUNC(MOD(($B329*1103515245 +12345)/ 65536, 3276"&amp;"8),0)/32768),0)),QUERY(NPCVar!C:D,""Select D WHERE C = '""&amp;D329&amp;""'"")))"),"Adventures Guild")</f>
        <v>Adventures Guild</v>
      </c>
      <c r="AE329" s="108" t="e">
        <f t="shared" ca="1" si="26"/>
        <v>#NAME?</v>
      </c>
      <c r="AF329" s="159">
        <f ca="1">IFERROR(__xludf.DUMMYFUNCTION("AE329*(V329 / QUERY(NPCVar!$K$2:$N$12, ""Select N WHERE K='""&amp;AB329&amp;""'""))*TRUNC(1+10)*(TRUNC(MOD(($B329*1103515245 +12345)/ 65536, 32768),0)/32768)"),2.66100769042968)</f>
        <v>2.6610076904296802</v>
      </c>
      <c r="AG329" s="16"/>
      <c r="AH329" s="77"/>
      <c r="AI329" s="114"/>
    </row>
    <row r="330" spans="1:35" ht="16.2">
      <c r="A330" s="53">
        <v>329</v>
      </c>
      <c r="B330" s="118">
        <f t="shared" si="30"/>
        <v>0.56335999999999997</v>
      </c>
      <c r="C330" s="72" t="str">
        <f t="array" ref="C330">INDEX(NPCFName,TRUNC(1+(COUNTA(NPCFName))*(TRUNC(MOD(($B330*1103515245 +12345)/ 65536, 32768),0)/32768),0))</f>
        <v>Tothale</v>
      </c>
      <c r="D330" s="16" t="str">
        <f t="array" ref="D330">INDEX(NPCLName,TRUNC(1+(COUNTA(NPCLName))*(TRUNC(MOD(($B330*1103515245 +12345)/ 65536, 32768),0)/32768),0))</f>
        <v>Commonscream</v>
      </c>
      <c r="E330" s="16" t="str">
        <f t="array" ref="E330">INDEX(NPCClass,TRUNC(1+(COUNTA(NPCClass))*(TRUNC(MOD(($B330*1103515245 +12345)/ 65536, 32768),0)/32768),0))</f>
        <v>Monk</v>
      </c>
      <c r="F330" s="76">
        <v>3</v>
      </c>
      <c r="G330" s="153">
        <f ca="1">VLOOKUP($AB$2,'RF Mod'!$A$2:$G$12,2,FALSE)+VLOOKUP($AD$2,'RF Mod'!$I$2:$O$11,2,FALSE)+(TRUNC(6+(24-6)*(TRUNC(MOD(($Z330*1103515245 +12345)/ 65536, 32768),0)/32768),0))</f>
        <v>6</v>
      </c>
      <c r="H330" s="16">
        <f t="shared" ca="1" si="17"/>
        <v>-2</v>
      </c>
      <c r="I330" s="153">
        <f ca="1">VLOOKUP($AB$2,'RF Mod'!$A$2:$G$12,3,FALSE)+VLOOKUP($AD$2,'RF Mod'!$I$2:$O$11,3,FALSE)+(TRUNC(6+(24-6)*(TRUNC(MOD(($Z330*1103515245 +12345)/ 65536, 32768),0)/32768),0))</f>
        <v>10</v>
      </c>
      <c r="J330" s="16" t="e">
        <f t="shared" ca="1" si="18"/>
        <v>#NAME?</v>
      </c>
      <c r="K330" s="153">
        <f ca="1">VLOOKUP($AB$2,'RF Mod'!$A$2:$G$12,3,FALSE)+VLOOKUP($AD$2,'RF Mod'!$I$2:$O$11,3,FALSE)+(TRUNC(6+(24-6)*(TRUNC(MOD(($Z330*1103515245 +12345)/ 65536, 32768),0)/32768),0))</f>
        <v>10</v>
      </c>
      <c r="L330" s="16" t="e">
        <f t="shared" ca="1" si="19"/>
        <v>#NAME?</v>
      </c>
      <c r="M330" s="153">
        <f ca="1">VLOOKUP($AB$2,'RF Mod'!$A$2:$G$12,4,FALSE)+VLOOKUP($AD$2,'RF Mod'!$I$2:$O$11,4,FALSE)+(TRUNC(6+(24-6)*(TRUNC(MOD(($Z330*1103515245 +12345)/ 65536, 32768),0)/32768),0))</f>
        <v>9</v>
      </c>
      <c r="N330" s="16">
        <f t="shared" ca="1" si="20"/>
        <v>-1</v>
      </c>
      <c r="O330" s="153">
        <f ca="1">VLOOKUP($AB$2,'RF Mod'!$A$2:$G$12,5,FALSE)+VLOOKUP($AD$2,'RF Mod'!$I$2:$O$11,5,FALSE)+(TRUNC(6+(24-6)*(TRUNC(MOD(($Z330*1103515245 +12345)/ 65536, 32768),0)/32768),0))</f>
        <v>12</v>
      </c>
      <c r="P330" s="16" t="e">
        <f t="shared" ca="1" si="21"/>
        <v>#NAME?</v>
      </c>
      <c r="Q330" s="153">
        <f ca="1">VLOOKUP($AB$2,'RF Mod'!$A$2:$G$12,6,FALSE)+VLOOKUP($AD$2,'RF Mod'!$I$2:$O$11,6,FALSE)+(TRUNC(6+(24-6)*(TRUNC(MOD(($Z330*1103515245 +12345)/ 65536, 32768),0)/32768),0))</f>
        <v>10</v>
      </c>
      <c r="R330" s="16" t="e">
        <f t="shared" ca="1" si="22"/>
        <v>#NAME?</v>
      </c>
      <c r="S330" s="154">
        <f t="shared" ca="1" si="28"/>
        <v>84</v>
      </c>
      <c r="T330" s="154">
        <f t="shared" ca="1" si="23"/>
        <v>84</v>
      </c>
      <c r="U330" s="16" t="str">
        <f t="shared" ca="1" si="24"/>
        <v>Unconscious</v>
      </c>
      <c r="V330" s="155">
        <f ca="1">IFERROR(__xludf.DUMMYFUNCTION("if(W330=""Middle Age"",QUERY(NPCVar!$K$2:$N1000, ""Select L where K = '""&amp;AB330&amp;""'""),if(W330=""Old"",QUERY(NPCVar!$K$2:$N1000, ""Select M where K = '""&amp;AB330&amp;""'""),if(W330=""Venerable"",QUERY(NPCVar!$K$2:$N1000, ""Select N where K = '""&amp;AB330&amp;""'""),fa"&amp;"lse)))*X330"),118.124999999999)</f>
        <v>118.12499999999901</v>
      </c>
      <c r="W330" s="156" t="str">
        <f t="array" ref="W330">INDEX(NPCAgeType,TRUNC(1+(4-1)*(TRUNC(MOD((X330*1103515245 +12345)/ 65536, 32768),0)/32768),0))</f>
        <v>Old</v>
      </c>
      <c r="X330" s="117">
        <f t="shared" si="29"/>
        <v>0.7</v>
      </c>
      <c r="Y330" s="157" t="e">
        <f t="array" aca="1" ref="Y330" ca="1">LOOKUP(ABS(MAX(Z330 + MIN(ABS(INDIRECT("Class Jobs!B"&amp;MATCH(E330,'Class Jobs'!$A$1:$A1000,0)&amp;":"&amp;"AF"&amp;MATCH(E330,'Class Jobs'!$A$1:$A1000,0)&amp;"")-$Z330)) * SUM(IF(MIN(ABS(INDIRECT("Class Jobs!B"&amp;MATCH(E330,'Class Jobs'!$A$1:$A1000,0)&amp;":"&amp;"AF"&amp;MATCH(E330,'Class Jobs'!$A$1:$A1000,0)&amp;"")-$Z330))=ABS(INDIRECT("Class Jobs!B"&amp;MATCH(E330,'Class Jobs'!$A$1:$A1000,0)&amp;":"&amp;"AF"&amp;MATCH(E330,'Class Jobs'!$A$1:$A1000,0)&amp;"")-$Z330),SIGN(INDIRECT("Class Jobs!B"&amp;MATCH(E330,'Class Jobs'!$A$1:A1000,0)&amp;":"&amp;"AF"&amp;MATCH(E330,'Class Jobs'!$A$1:$A1000,0)&amp;"")-$Z330),0)),0)),INDIRECT("Class Jobs!B"&amp;MATCH(E330,'Class Jobs'!$A$1:$A1000,0)&amp;":"&amp;"AF"&amp;MATCH(E330,'Class Jobs'!$A$1:$A1000,1)&amp;""),'Class Jobs'!$B$1:$AF$1)</f>
        <v>#REF!</v>
      </c>
      <c r="Z330" s="158">
        <f t="shared" si="25"/>
        <v>0.28999999999999998</v>
      </c>
      <c r="AA330" s="16" t="str">
        <f t="array" ref="AA330">INDEX(NPCGender,TRUNC(1+(COUNTA(NPCGender))*(TRUNC(MOD(($B330*1103515245 +12345)/ 65536, 32768),0)/32768),0))</f>
        <v>Male</v>
      </c>
      <c r="AB330" s="16" t="str">
        <f t="array" ref="AB330">INDEX(NPCRace,TRUNC(1+(COUNTA(NPCRace))*(TRUNC(MOD(($B330*1103515245 +12345)/ 65536, 32768),0)/32768),0))</f>
        <v>Gnome</v>
      </c>
      <c r="AC330" s="16" t="str">
        <f t="array" ref="AC330">INDEX(NPCAL,TRUNC(1+(COUNTA(NPCAL))*(TRUNC(MOD(($B330*1103515245 +12345)/ 65536, 32768),0)/32768),0))</f>
        <v>CG</v>
      </c>
      <c r="AD330" s="72" t="str">
        <f ca="1">IFERROR(__xludf.DUMMYFUNCTION("if(V330&lt;15,QUERY(NPCVar!C:D,""Select D WHERE C = '""&amp;D330&amp;""'""),if((TRUNC(1+10)*(TRUNC(MOD((ROW(H330)*1103515245 +12345)/ 65536, 32768),0)/32768)/10) &gt; 0.85,INDEX(NPCFaction,TRUNC(1+(counta(NPCFaction)-1)*(TRUNC(MOD(($B330*1103515245 +12345)/ 65536, 3276"&amp;"8),0)/32768),0)),QUERY(NPCVar!C:D,""Select D WHERE C = '""&amp;D330&amp;""'"")))"),"Necromancer")</f>
        <v>Necromancer</v>
      </c>
      <c r="AE330" s="108" t="e">
        <f t="shared" ca="1" si="26"/>
        <v>#NAME?</v>
      </c>
      <c r="AF330" s="159">
        <f ca="1">IFERROR(__xludf.DUMMYFUNCTION("AE330*(V330 / QUERY(NPCVar!$K$2:$N$12, ""Select N WHERE K='""&amp;AB330&amp;""'""))*TRUNC(1+10)*(TRUNC(MOD(($B330*1103515245 +12345)/ 65536, 32768),0)/32768)"),-0.0835901641845703)</f>
        <v>-8.3590164184570298E-2</v>
      </c>
      <c r="AG330" s="16"/>
      <c r="AH330" s="77"/>
      <c r="AI330" s="114"/>
    </row>
    <row r="331" spans="1:35" ht="16.2">
      <c r="A331" s="53">
        <v>330</v>
      </c>
      <c r="B331" s="118">
        <f t="shared" si="30"/>
        <v>2.05749</v>
      </c>
      <c r="C331" s="72" t="str">
        <f t="array" ref="C331">INDEX(NPCFName,TRUNC(1+(COUNTA(NPCFName))*(TRUNC(MOD(($B331*1103515245 +12345)/ 65536, 32768),0)/32768),0))</f>
        <v>Connell</v>
      </c>
      <c r="D331" s="16" t="str">
        <f t="array" ref="D331">INDEX(NPCLName,TRUNC(1+(COUNTA(NPCLName))*(TRUNC(MOD(($B331*1103515245 +12345)/ 65536, 32768),0)/32768),0))</f>
        <v>Crystalgazer</v>
      </c>
      <c r="E331" s="16" t="str">
        <f t="array" ref="E331">INDEX(NPCClass,TRUNC(1+(COUNTA(NPCClass))*(TRUNC(MOD(($B331*1103515245 +12345)/ 65536, 32768),0)/32768),0))</f>
        <v>Barbarian</v>
      </c>
      <c r="F331" s="76">
        <v>1</v>
      </c>
      <c r="G331" s="153">
        <f ca="1">VLOOKUP($AB$2,'RF Mod'!$A$2:$G$12,2,FALSE)+VLOOKUP($AD$2,'RF Mod'!$I$2:$O$11,2,FALSE)+(TRUNC(6+(24-6)*(TRUNC(MOD(($Z331*1103515245 +12345)/ 65536, 32768),0)/32768),0))</f>
        <v>4</v>
      </c>
      <c r="H331" s="16">
        <f t="shared" ca="1" si="17"/>
        <v>-3</v>
      </c>
      <c r="I331" s="153">
        <f ca="1">VLOOKUP($AB$2,'RF Mod'!$A$2:$G$12,3,FALSE)+VLOOKUP($AD$2,'RF Mod'!$I$2:$O$11,3,FALSE)+(TRUNC(6+(24-6)*(TRUNC(MOD(($Z331*1103515245 +12345)/ 65536, 32768),0)/32768),0))</f>
        <v>8</v>
      </c>
      <c r="J331" s="16">
        <f t="shared" ca="1" si="18"/>
        <v>-1</v>
      </c>
      <c r="K331" s="153">
        <f ca="1">VLOOKUP($AB$2,'RF Mod'!$A$2:$G$12,3,FALSE)+VLOOKUP($AD$2,'RF Mod'!$I$2:$O$11,3,FALSE)+(TRUNC(6+(24-6)*(TRUNC(MOD(($Z331*1103515245 +12345)/ 65536, 32768),0)/32768),0))</f>
        <v>8</v>
      </c>
      <c r="L331" s="16">
        <f t="shared" ca="1" si="19"/>
        <v>-1</v>
      </c>
      <c r="M331" s="153">
        <f ca="1">VLOOKUP($AB$2,'RF Mod'!$A$2:$G$12,4,FALSE)+VLOOKUP($AD$2,'RF Mod'!$I$2:$O$11,4,FALSE)+(TRUNC(6+(24-6)*(TRUNC(MOD(($Z331*1103515245 +12345)/ 65536, 32768),0)/32768),0))</f>
        <v>7</v>
      </c>
      <c r="N331" s="16">
        <f t="shared" ca="1" si="20"/>
        <v>-2</v>
      </c>
      <c r="O331" s="153">
        <f ca="1">VLOOKUP($AB$2,'RF Mod'!$A$2:$G$12,5,FALSE)+VLOOKUP($AD$2,'RF Mod'!$I$2:$O$11,5,FALSE)+(TRUNC(6+(24-6)*(TRUNC(MOD(($Z331*1103515245 +12345)/ 65536, 32768),0)/32768),0))</f>
        <v>10</v>
      </c>
      <c r="P331" s="16" t="e">
        <f t="shared" ca="1" si="21"/>
        <v>#NAME?</v>
      </c>
      <c r="Q331" s="153">
        <f ca="1">VLOOKUP($AB$2,'RF Mod'!$A$2:$G$12,6,FALSE)+VLOOKUP($AD$2,'RF Mod'!$I$2:$O$11,6,FALSE)+(TRUNC(6+(24-6)*(TRUNC(MOD(($Z331*1103515245 +12345)/ 65536, 32768),0)/32768),0))</f>
        <v>8</v>
      </c>
      <c r="R331" s="16">
        <f t="shared" ca="1" si="22"/>
        <v>-1</v>
      </c>
      <c r="S331" s="154">
        <f t="shared" ca="1" si="28"/>
        <v>10</v>
      </c>
      <c r="T331" s="154">
        <f t="shared" ca="1" si="23"/>
        <v>4</v>
      </c>
      <c r="U331" s="16" t="str">
        <f t="shared" ca="1" si="24"/>
        <v>Fine</v>
      </c>
      <c r="V331" s="155">
        <f ca="1">IFERROR(__xludf.DUMMYFUNCTION("if(W331=""Middle Age"",QUERY(NPCVar!$K$2:$N1000, ""Select L where K = '""&amp;AB331&amp;""'""),if(W331=""Old"",QUERY(NPCVar!$K$2:$N1000, ""Select M where K = '""&amp;AB331&amp;""'""),if(W331=""Venerable"",QUERY(NPCVar!$K$2:$N1000, ""Select N where K = '""&amp;AB331&amp;""'""),fa"&amp;"lse)))*X331"),4)</f>
        <v>4</v>
      </c>
      <c r="W331" s="156" t="str">
        <f t="array" ref="W331">INDEX(NPCAgeType,TRUNC(1+(4-1)*(TRUNC(MOD((X331*1103515245 +12345)/ 65536, 32768),0)/32768),0))</f>
        <v>Middle Age</v>
      </c>
      <c r="X331" s="117">
        <f t="shared" si="29"/>
        <v>0.2</v>
      </c>
      <c r="Y331" s="157" t="e">
        <f t="array" aca="1" ref="Y331" ca="1">LOOKUP(ABS(MAX(Z331 + MIN(ABS(INDIRECT("Class Jobs!B"&amp;MATCH(E331,'Class Jobs'!$A$1:$A1000,0)&amp;":"&amp;"AF"&amp;MATCH(E331,'Class Jobs'!$A$1:$A1000,0)&amp;"")-$Z331)) * SUM(IF(MIN(ABS(INDIRECT("Class Jobs!B"&amp;MATCH(E331,'Class Jobs'!$A$1:$A1000,0)&amp;":"&amp;"AF"&amp;MATCH(E331,'Class Jobs'!$A$1:$A1000,0)&amp;"")-$Z331))=ABS(INDIRECT("Class Jobs!B"&amp;MATCH(E331,'Class Jobs'!$A$1:$A1000,0)&amp;":"&amp;"AF"&amp;MATCH(E331,'Class Jobs'!$A$1:$A1000,0)&amp;"")-$Z331),SIGN(INDIRECT("Class Jobs!B"&amp;MATCH(E331,'Class Jobs'!$A$1:A1000,0)&amp;":"&amp;"AF"&amp;MATCH(E331,'Class Jobs'!$A$1:$A1000,0)&amp;"")-$Z331),0)),0)),INDIRECT("Class Jobs!B"&amp;MATCH(E331,'Class Jobs'!$A$1:$A1000,0)&amp;":"&amp;"AF"&amp;MATCH(E331,'Class Jobs'!$A$1:$A1000,1)&amp;""),'Class Jobs'!$B$1:$AF$1)</f>
        <v>#REF!</v>
      </c>
      <c r="Z331" s="158">
        <f t="shared" si="25"/>
        <v>0.06</v>
      </c>
      <c r="AA331" s="16" t="str">
        <f t="array" ref="AA331">INDEX(NPCGender,TRUNC(1+(COUNTA(NPCGender))*(TRUNC(MOD(($B331*1103515245 +12345)/ 65536, 32768),0)/32768),0))</f>
        <v>Male</v>
      </c>
      <c r="AB331" s="16" t="str">
        <f t="array" ref="AB331">INDEX(NPCRace,TRUNC(1+(COUNTA(NPCRace))*(TRUNC(MOD(($B331*1103515245 +12345)/ 65536, 32768),0)/32768),0))</f>
        <v>Dragonborn</v>
      </c>
      <c r="AC331" s="16" t="str">
        <f t="array" ref="AC331">INDEX(NPCAL,TRUNC(1+(COUNTA(NPCAL))*(TRUNC(MOD(($B331*1103515245 +12345)/ 65536, 32768),0)/32768),0))</f>
        <v>CN</v>
      </c>
      <c r="AD331" s="72" t="str">
        <f ca="1">IFERROR(__xludf.DUMMYFUNCTION("if(V331&lt;15,QUERY(NPCVar!C:D,""Select D WHERE C = '""&amp;D331&amp;""'""),if((TRUNC(1+10)*(TRUNC(MOD((ROW(H331)*1103515245 +12345)/ 65536, 32768),0)/32768)/10) &gt; 0.85,INDEX(NPCFaction,TRUNC(1+(counta(NPCFaction)-1)*(TRUNC(MOD(($B331*1103515245 +12345)/ 65536, 3276"&amp;"8),0)/32768),0)),QUERY(NPCVar!C:D,""Select D WHERE C = '""&amp;D331&amp;""'"")))"),"Death Guild")</f>
        <v>Death Guild</v>
      </c>
      <c r="AE331" s="108" t="e">
        <f t="shared" ca="1" si="26"/>
        <v>#NAME?</v>
      </c>
      <c r="AF331" s="159">
        <f ca="1">IFERROR(__xludf.DUMMYFUNCTION("AE331*(V331 / QUERY(NPCVar!$K$2:$N$12, ""Select N WHERE K='""&amp;AB331&amp;""'""))*TRUNC(1+10)*(TRUNC(MOD(($B331*1103515245 +12345)/ 65536, 32768),0)/32768)"),0.00944641113281249)</f>
        <v>9.4464111328124902E-3</v>
      </c>
      <c r="AG331" s="16"/>
      <c r="AH331" s="77"/>
      <c r="AI331" s="114"/>
    </row>
    <row r="332" spans="1:35" ht="16.2">
      <c r="A332" s="53">
        <v>331</v>
      </c>
      <c r="B332" s="118">
        <f t="shared" si="30"/>
        <v>1.0516399999999999</v>
      </c>
      <c r="C332" s="72" t="str">
        <f t="array" ref="C332">INDEX(NPCFName,TRUNC(1+(COUNTA(NPCFName))*(TRUNC(MOD(($B332*1103515245 +12345)/ 65536, 32768),0)/32768),0))</f>
        <v>Noford</v>
      </c>
      <c r="D332" s="16" t="str">
        <f t="array" ref="D332">INDEX(NPCLName,TRUNC(1+(COUNTA(NPCLName))*(TRUNC(MOD(($B332*1103515245 +12345)/ 65536, 32768),0)/32768),0))</f>
        <v>Plainspirit</v>
      </c>
      <c r="E332" s="16" t="str">
        <f t="array" ref="E332">INDEX(NPCClass,TRUNC(1+(COUNTA(NPCClass))*(TRUNC(MOD(($B332*1103515245 +12345)/ 65536, 32768),0)/32768),0))</f>
        <v>Sorcerer</v>
      </c>
      <c r="F332" s="76">
        <v>8</v>
      </c>
      <c r="G332" s="153">
        <f ca="1">VLOOKUP($AB$2,'RF Mod'!$A$2:$G$12,2,FALSE)+VLOOKUP($AD$2,'RF Mod'!$I$2:$O$11,2,FALSE)+(TRUNC(6+(24-6)*(TRUNC(MOD(($Z332*1103515245 +12345)/ 65536, 32768),0)/32768),0))</f>
        <v>8</v>
      </c>
      <c r="H332" s="16">
        <f t="shared" ca="1" si="17"/>
        <v>-1</v>
      </c>
      <c r="I332" s="153">
        <f ca="1">VLOOKUP($AB$2,'RF Mod'!$A$2:$G$12,3,FALSE)+VLOOKUP($AD$2,'RF Mod'!$I$2:$O$11,3,FALSE)+(TRUNC(6+(24-6)*(TRUNC(MOD(($Z332*1103515245 +12345)/ 65536, 32768),0)/32768),0))</f>
        <v>12</v>
      </c>
      <c r="J332" s="16" t="e">
        <f t="shared" ca="1" si="18"/>
        <v>#NAME?</v>
      </c>
      <c r="K332" s="153">
        <f ca="1">VLOOKUP($AB$2,'RF Mod'!$A$2:$G$12,3,FALSE)+VLOOKUP($AD$2,'RF Mod'!$I$2:$O$11,3,FALSE)+(TRUNC(6+(24-6)*(TRUNC(MOD(($Z332*1103515245 +12345)/ 65536, 32768),0)/32768),0))</f>
        <v>12</v>
      </c>
      <c r="L332" s="16" t="e">
        <f t="shared" ca="1" si="19"/>
        <v>#NAME?</v>
      </c>
      <c r="M332" s="153">
        <f ca="1">VLOOKUP($AB$2,'RF Mod'!$A$2:$G$12,4,FALSE)+VLOOKUP($AD$2,'RF Mod'!$I$2:$O$11,4,FALSE)+(TRUNC(6+(24-6)*(TRUNC(MOD(($Z332*1103515245 +12345)/ 65536, 32768),0)/32768),0))</f>
        <v>11</v>
      </c>
      <c r="N332" s="16" t="e">
        <f t="shared" ca="1" si="20"/>
        <v>#NAME?</v>
      </c>
      <c r="O332" s="153">
        <f ca="1">VLOOKUP($AB$2,'RF Mod'!$A$2:$G$12,5,FALSE)+VLOOKUP($AD$2,'RF Mod'!$I$2:$O$11,5,FALSE)+(TRUNC(6+(24-6)*(TRUNC(MOD(($Z332*1103515245 +12345)/ 65536, 32768),0)/32768),0))</f>
        <v>14</v>
      </c>
      <c r="P332" s="16" t="e">
        <f t="shared" ca="1" si="21"/>
        <v>#NAME?</v>
      </c>
      <c r="Q332" s="153">
        <f ca="1">VLOOKUP($AB$2,'RF Mod'!$A$2:$G$12,6,FALSE)+VLOOKUP($AD$2,'RF Mod'!$I$2:$O$11,6,FALSE)+(TRUNC(6+(24-6)*(TRUNC(MOD(($Z332*1103515245 +12345)/ 65536, 32768),0)/32768),0))</f>
        <v>12</v>
      </c>
      <c r="R332" s="16" t="e">
        <f t="shared" ca="1" si="22"/>
        <v>#NAME?</v>
      </c>
      <c r="S332" s="154">
        <f t="shared" ca="1" si="28"/>
        <v>224</v>
      </c>
      <c r="T332" s="154">
        <f t="shared" ca="1" si="23"/>
        <v>160</v>
      </c>
      <c r="U332" s="16" t="str">
        <f t="shared" ca="1" si="24"/>
        <v>Bloody</v>
      </c>
      <c r="V332" s="155">
        <f ca="1">IFERROR(__xludf.DUMMYFUNCTION("if(W332=""Middle Age"",QUERY(NPCVar!$K$2:$N1000, ""Select L where K = '""&amp;AB332&amp;""'""),if(W332=""Old"",QUERY(NPCVar!$K$2:$N1000, ""Select M where K = '""&amp;AB332&amp;""'""),if(W332=""Venerable"",QUERY(NPCVar!$K$2:$N1000, ""Select N where K = '""&amp;AB332&amp;""'""),fa"&amp;"lse)))*X332"),91)</f>
        <v>91</v>
      </c>
      <c r="W332" s="156" t="str">
        <f t="array" ref="W332">INDEX(NPCAgeType,TRUNC(1+(4-1)*(TRUNC(MOD((X332*1103515245 +12345)/ 65536, 32768),0)/32768),0))</f>
        <v>Venerable</v>
      </c>
      <c r="X332" s="117">
        <f t="shared" si="29"/>
        <v>1.3</v>
      </c>
      <c r="Y332" s="157" t="e">
        <f t="array" aca="1" ref="Y332" ca="1">LOOKUP(ABS(MAX(Z332 + MIN(ABS(INDIRECT("Class Jobs!B"&amp;MATCH(E332,'Class Jobs'!$A$1:$A1000,0)&amp;":"&amp;"AF"&amp;MATCH(E332,'Class Jobs'!$A$1:$A1000,0)&amp;"")-$Z332)) * SUM(IF(MIN(ABS(INDIRECT("Class Jobs!B"&amp;MATCH(E332,'Class Jobs'!$A$1:$A1000,0)&amp;":"&amp;"AF"&amp;MATCH(E332,'Class Jobs'!$A$1:$A1000,0)&amp;"")-$Z332))=ABS(INDIRECT("Class Jobs!B"&amp;MATCH(E332,'Class Jobs'!$A$1:$A1000,0)&amp;":"&amp;"AF"&amp;MATCH(E332,'Class Jobs'!$A$1:$A1000,0)&amp;"")-$Z332),SIGN(INDIRECT("Class Jobs!B"&amp;MATCH(E332,'Class Jobs'!$A$1:A1000,0)&amp;":"&amp;"AF"&amp;MATCH(E332,'Class Jobs'!$A$1:$A1000,0)&amp;"")-$Z332),0)),0)),INDIRECT("Class Jobs!B"&amp;MATCH(E332,'Class Jobs'!$A$1:$A1000,0)&amp;":"&amp;"AF"&amp;MATCH(E332,'Class Jobs'!$A$1:$A1000,1)&amp;""),'Class Jobs'!$B$1:$AF$1)</f>
        <v>#REF!</v>
      </c>
      <c r="Z332" s="158">
        <f t="shared" si="25"/>
        <v>0.54</v>
      </c>
      <c r="AA332" s="16" t="str">
        <f t="array" ref="AA332">INDEX(NPCGender,TRUNC(1+(COUNTA(NPCGender))*(TRUNC(MOD(($B332*1103515245 +12345)/ 65536, 32768),0)/32768),0))</f>
        <v>Female</v>
      </c>
      <c r="AB332" s="16" t="str">
        <f t="array" ref="AB332">INDEX(NPCRace,TRUNC(1+(COUNTA(NPCRace))*(TRUNC(MOD(($B332*1103515245 +12345)/ 65536, 32768),0)/32768),0))</f>
        <v>Half-Orc</v>
      </c>
      <c r="AC332" s="16" t="str">
        <f t="array" ref="AC332">INDEX(NPCAL,TRUNC(1+(COUNTA(NPCAL))*(TRUNC(MOD(($B332*1103515245 +12345)/ 65536, 32768),0)/32768),0))</f>
        <v>NN</v>
      </c>
      <c r="AD332" s="72" t="str">
        <f ca="1">IFERROR(__xludf.DUMMYFUNCTION("if(V332&lt;15,QUERY(NPCVar!C:D,""Select D WHERE C = '""&amp;D332&amp;""'""),if((TRUNC(1+10)*(TRUNC(MOD((ROW(H332)*1103515245 +12345)/ 65536, 32768),0)/32768)/10) &gt; 0.85,INDEX(NPCFaction,TRUNC(1+(counta(NPCFaction)-1)*(TRUNC(MOD(($B332*1103515245 +12345)/ 65536, 3276"&amp;"8),0)/32768),0)),QUERY(NPCVar!C:D,""Select D WHERE C = '""&amp;D332&amp;""'"")))"),"Traders Guild")</f>
        <v>Traders Guild</v>
      </c>
      <c r="AE332" s="108" t="e">
        <f t="shared" ca="1" si="26"/>
        <v>#NAME?</v>
      </c>
      <c r="AF332" s="159">
        <f ca="1">IFERROR(__xludf.DUMMYFUNCTION("AE332*(V332 / QUERY(NPCVar!$K$2:$N$12, ""Select N WHERE K='""&amp;AB332&amp;""'""))*TRUNC(1+10)*(TRUNC(MOD(($B332*1103515245 +12345)/ 65536, 32768),0)/32768)"),1.54555908203125)</f>
        <v>1.5455590820312499</v>
      </c>
      <c r="AG332" s="16"/>
      <c r="AH332" s="77"/>
      <c r="AI332" s="114"/>
    </row>
    <row r="333" spans="1:35" ht="16.2">
      <c r="A333" s="53">
        <v>332</v>
      </c>
      <c r="B333" s="118">
        <f t="shared" si="30"/>
        <v>4.5780000000000001E-2</v>
      </c>
      <c r="C333" s="72" t="str">
        <f t="array" ref="C333">INDEX(NPCFName,TRUNC(1+(COUNTA(NPCFName))*(TRUNC(MOD(($B333*1103515245 +12345)/ 65536, 32768),0)/32768),0))</f>
        <v>Bacohl</v>
      </c>
      <c r="D333" s="16" t="str">
        <f t="array" ref="D333">INDEX(NPCLName,TRUNC(1+(COUNTA(NPCLName))*(TRUNC(MOD(($B333*1103515245 +12345)/ 65536, 32768),0)/32768),0))</f>
        <v>Stagfang</v>
      </c>
      <c r="E333" s="16" t="str">
        <f t="array" ref="E333">INDEX(NPCClass,TRUNC(1+(COUNTA(NPCClass))*(TRUNC(MOD(($B333*1103515245 +12345)/ 65536, 32768),0)/32768),0))</f>
        <v>Barbarian</v>
      </c>
      <c r="F333" s="76">
        <v>1</v>
      </c>
      <c r="G333" s="153">
        <f ca="1">VLOOKUP($AB$2,'RF Mod'!$A$2:$G$12,2,FALSE)+VLOOKUP($AD$2,'RF Mod'!$I$2:$O$11,2,FALSE)+(TRUNC(6+(24-6)*(TRUNC(MOD(($Z333*1103515245 +12345)/ 65536, 32768),0)/32768),0))</f>
        <v>4</v>
      </c>
      <c r="H333" s="16">
        <f t="shared" ca="1" si="17"/>
        <v>-3</v>
      </c>
      <c r="I333" s="153">
        <f ca="1">VLOOKUP($AB$2,'RF Mod'!$A$2:$G$12,3,FALSE)+VLOOKUP($AD$2,'RF Mod'!$I$2:$O$11,3,FALSE)+(TRUNC(6+(24-6)*(TRUNC(MOD(($Z333*1103515245 +12345)/ 65536, 32768),0)/32768),0))</f>
        <v>8</v>
      </c>
      <c r="J333" s="16">
        <f t="shared" ca="1" si="18"/>
        <v>-1</v>
      </c>
      <c r="K333" s="153">
        <f ca="1">VLOOKUP($AB$2,'RF Mod'!$A$2:$G$12,3,FALSE)+VLOOKUP($AD$2,'RF Mod'!$I$2:$O$11,3,FALSE)+(TRUNC(6+(24-6)*(TRUNC(MOD(($Z333*1103515245 +12345)/ 65536, 32768),0)/32768),0))</f>
        <v>8</v>
      </c>
      <c r="L333" s="16">
        <f t="shared" ca="1" si="19"/>
        <v>-1</v>
      </c>
      <c r="M333" s="153">
        <f ca="1">VLOOKUP($AB$2,'RF Mod'!$A$2:$G$12,4,FALSE)+VLOOKUP($AD$2,'RF Mod'!$I$2:$O$11,4,FALSE)+(TRUNC(6+(24-6)*(TRUNC(MOD(($Z333*1103515245 +12345)/ 65536, 32768),0)/32768),0))</f>
        <v>7</v>
      </c>
      <c r="N333" s="16">
        <f t="shared" ca="1" si="20"/>
        <v>-2</v>
      </c>
      <c r="O333" s="153">
        <f ca="1">VLOOKUP($AB$2,'RF Mod'!$A$2:$G$12,5,FALSE)+VLOOKUP($AD$2,'RF Mod'!$I$2:$O$11,5,FALSE)+(TRUNC(6+(24-6)*(TRUNC(MOD(($Z333*1103515245 +12345)/ 65536, 32768),0)/32768),0))</f>
        <v>10</v>
      </c>
      <c r="P333" s="16" t="e">
        <f t="shared" ca="1" si="21"/>
        <v>#NAME?</v>
      </c>
      <c r="Q333" s="153">
        <f ca="1">VLOOKUP($AB$2,'RF Mod'!$A$2:$G$12,6,FALSE)+VLOOKUP($AD$2,'RF Mod'!$I$2:$O$11,6,FALSE)+(TRUNC(6+(24-6)*(TRUNC(MOD(($Z333*1103515245 +12345)/ 65536, 32768),0)/32768),0))</f>
        <v>8</v>
      </c>
      <c r="R333" s="16">
        <f t="shared" ca="1" si="22"/>
        <v>-1</v>
      </c>
      <c r="S333" s="154">
        <f t="shared" ca="1" si="28"/>
        <v>10</v>
      </c>
      <c r="T333" s="154">
        <f t="shared" ca="1" si="23"/>
        <v>11</v>
      </c>
      <c r="U333" s="16" t="str">
        <f t="shared" ca="1" si="24"/>
        <v>Dead</v>
      </c>
      <c r="V333" s="155">
        <f ca="1">IFERROR(__xludf.DUMMYFUNCTION("if(W333=""Middle Age"",QUERY(NPCVar!$K$2:$N1000, ""Select L where K = '""&amp;AB333&amp;""'""),if(W333=""Old"",QUERY(NPCVar!$K$2:$N1000, ""Select M where K = '""&amp;AB333&amp;""'""),if(W333=""Venerable"",QUERY(NPCVar!$K$2:$N1000, ""Select N where K = '""&amp;AB333&amp;""'""),fa"&amp;"lse)))*X333"),2)</f>
        <v>2</v>
      </c>
      <c r="W333" s="156" t="str">
        <f t="array" ref="W333">INDEX(NPCAgeType,TRUNC(1+(4-1)*(TRUNC(MOD((X333*1103515245 +12345)/ 65536, 32768),0)/32768),0))</f>
        <v>Middle Age</v>
      </c>
      <c r="X333" s="117">
        <f t="shared" si="29"/>
        <v>0.1</v>
      </c>
      <c r="Y333" s="157" t="e">
        <f t="array" aca="1" ref="Y333" ca="1">LOOKUP(ABS(MAX(Z333 + MIN(ABS(INDIRECT("Class Jobs!B"&amp;MATCH(E333,'Class Jobs'!$A$1:$A1000,0)&amp;":"&amp;"AF"&amp;MATCH(E333,'Class Jobs'!$A$1:$A1000,0)&amp;"")-$Z333)) * SUM(IF(MIN(ABS(INDIRECT("Class Jobs!B"&amp;MATCH(E333,'Class Jobs'!$A$1:$A1000,0)&amp;":"&amp;"AF"&amp;MATCH(E333,'Class Jobs'!$A$1:$A1000,0)&amp;"")-$Z333))=ABS(INDIRECT("Class Jobs!B"&amp;MATCH(E333,'Class Jobs'!$A$1:$A1000,0)&amp;":"&amp;"AF"&amp;MATCH(E333,'Class Jobs'!$A$1:$A1000,0)&amp;"")-$Z333),SIGN(INDIRECT("Class Jobs!B"&amp;MATCH(E333,'Class Jobs'!$A$1:A1000,0)&amp;":"&amp;"AF"&amp;MATCH(E333,'Class Jobs'!$A$1:$A1000,0)&amp;"")-$Z333),0)),0)),INDIRECT("Class Jobs!B"&amp;MATCH(E333,'Class Jobs'!$A$1:$A1000,0)&amp;":"&amp;"AF"&amp;MATCH(E333,'Class Jobs'!$A$1:$A1000,1)&amp;""),'Class Jobs'!$B$1:$AF$1)</f>
        <v>#REF!</v>
      </c>
      <c r="Z333" s="158">
        <f t="shared" si="25"/>
        <v>0.03</v>
      </c>
      <c r="AA333" s="16" t="str">
        <f t="array" ref="AA333">INDEX(NPCGender,TRUNC(1+(COUNTA(NPCGender))*(TRUNC(MOD(($B333*1103515245 +12345)/ 65536, 32768),0)/32768),0))</f>
        <v>Male</v>
      </c>
      <c r="AB333" s="16" t="str">
        <f t="array" ref="AB333">INDEX(NPCRace,TRUNC(1+(COUNTA(NPCRace))*(TRUNC(MOD(($B333*1103515245 +12345)/ 65536, 32768),0)/32768),0))</f>
        <v>Dragonborn</v>
      </c>
      <c r="AC333" s="16" t="str">
        <f t="array" ref="AC333">INDEX(NPCAL,TRUNC(1+(COUNTA(NPCAL))*(TRUNC(MOD(($B333*1103515245 +12345)/ 65536, 32768),0)/32768),0))</f>
        <v>CN</v>
      </c>
      <c r="AD333" s="72" t="str">
        <f ca="1">IFERROR(__xludf.DUMMYFUNCTION("if(V333&lt;15,QUERY(NPCVar!C:D,""Select D WHERE C = '""&amp;D333&amp;""'""),if((TRUNC(1+10)*(TRUNC(MOD((ROW(H333)*1103515245 +12345)/ 65536, 32768),0)/32768)/10) &gt; 0.85,INDEX(NPCFaction,TRUNC(1+(counta(NPCFaction)-1)*(TRUNC(MOD(($B333*1103515245 +12345)/ 65536, 3276"&amp;"8),0)/32768),0)),QUERY(NPCVar!C:D,""Select D WHERE C = '""&amp;D333&amp;""'"")))"),"Royalty")</f>
        <v>Royalty</v>
      </c>
      <c r="AE333" s="108" t="e">
        <f t="shared" ca="1" si="26"/>
        <v>#NAME?</v>
      </c>
      <c r="AF333" s="159">
        <f ca="1">IFERROR(__xludf.DUMMYFUNCTION("AE333*(V333 / QUERY(NPCVar!$K$2:$N$12, ""Select N WHERE K='""&amp;AB333&amp;""'""))*TRUNC(1+10)*(TRUNC(MOD(($B333*1103515245 +12345)/ 65536, 32768),0)/32768)"),0.00194114685058593)</f>
        <v>1.94114685058593E-3</v>
      </c>
      <c r="AG333" s="16"/>
      <c r="AH333" s="77"/>
      <c r="AI333" s="114"/>
    </row>
    <row r="334" spans="1:35" ht="16.2">
      <c r="A334" s="53">
        <v>333</v>
      </c>
      <c r="B334" s="118">
        <f t="shared" si="30"/>
        <v>1.53992</v>
      </c>
      <c r="C334" s="72" t="str">
        <f t="array" ref="C334">INDEX(NPCFName,TRUNC(1+(COUNTA(NPCFName))*(TRUNC(MOD(($B334*1103515245 +12345)/ 65536, 32768),0)/32768),0))</f>
        <v>Grimie</v>
      </c>
      <c r="D334" s="16" t="str">
        <f t="array" ref="D334">INDEX(NPCLName,TRUNC(1+(COUNTA(NPCLName))*(TRUNC(MOD(($B334*1103515245 +12345)/ 65536, 32768),0)/32768),0))</f>
        <v>Truthdoom</v>
      </c>
      <c r="E334" s="16" t="str">
        <f t="array" ref="E334">INDEX(NPCClass,TRUNC(1+(COUNTA(NPCClass))*(TRUNC(MOD(($B334*1103515245 +12345)/ 65536, 32768),0)/32768),0))</f>
        <v>Cleric</v>
      </c>
      <c r="F334" s="76">
        <v>8</v>
      </c>
      <c r="G334" s="153">
        <f ca="1">VLOOKUP($AB$2,'RF Mod'!$A$2:$G$12,2,FALSE)+VLOOKUP($AD$2,'RF Mod'!$I$2:$O$11,2,FALSE)+(TRUNC(6+(24-6)*(TRUNC(MOD(($Z334*1103515245 +12345)/ 65536, 32768),0)/32768),0))</f>
        <v>11</v>
      </c>
      <c r="H334" s="16" t="e">
        <f t="shared" ca="1" si="17"/>
        <v>#NAME?</v>
      </c>
      <c r="I334" s="153">
        <f ca="1">VLOOKUP($AB$2,'RF Mod'!$A$2:$G$12,3,FALSE)+VLOOKUP($AD$2,'RF Mod'!$I$2:$O$11,3,FALSE)+(TRUNC(6+(24-6)*(TRUNC(MOD(($Z334*1103515245 +12345)/ 65536, 32768),0)/32768),0))</f>
        <v>15</v>
      </c>
      <c r="J334" s="16" t="e">
        <f t="shared" ca="1" si="18"/>
        <v>#NAME?</v>
      </c>
      <c r="K334" s="153">
        <f ca="1">VLOOKUP($AB$2,'RF Mod'!$A$2:$G$12,3,FALSE)+VLOOKUP($AD$2,'RF Mod'!$I$2:$O$11,3,FALSE)+(TRUNC(6+(24-6)*(TRUNC(MOD(($Z334*1103515245 +12345)/ 65536, 32768),0)/32768),0))</f>
        <v>15</v>
      </c>
      <c r="L334" s="16" t="e">
        <f t="shared" ca="1" si="19"/>
        <v>#NAME?</v>
      </c>
      <c r="M334" s="153">
        <f ca="1">VLOOKUP($AB$2,'RF Mod'!$A$2:$G$12,4,FALSE)+VLOOKUP($AD$2,'RF Mod'!$I$2:$O$11,4,FALSE)+(TRUNC(6+(24-6)*(TRUNC(MOD(($Z334*1103515245 +12345)/ 65536, 32768),0)/32768),0))</f>
        <v>14</v>
      </c>
      <c r="N334" s="16" t="e">
        <f t="shared" ca="1" si="20"/>
        <v>#NAME?</v>
      </c>
      <c r="O334" s="153">
        <f ca="1">VLOOKUP($AB$2,'RF Mod'!$A$2:$G$12,5,FALSE)+VLOOKUP($AD$2,'RF Mod'!$I$2:$O$11,5,FALSE)+(TRUNC(6+(24-6)*(TRUNC(MOD(($Z334*1103515245 +12345)/ 65536, 32768),0)/32768),0))</f>
        <v>17</v>
      </c>
      <c r="P334" s="16" t="e">
        <f t="shared" ca="1" si="21"/>
        <v>#NAME?</v>
      </c>
      <c r="Q334" s="153">
        <f ca="1">VLOOKUP($AB$2,'RF Mod'!$A$2:$G$12,6,FALSE)+VLOOKUP($AD$2,'RF Mod'!$I$2:$O$11,6,FALSE)+(TRUNC(6+(24-6)*(TRUNC(MOD(($Z334*1103515245 +12345)/ 65536, 32768),0)/32768),0))</f>
        <v>15</v>
      </c>
      <c r="R334" s="16" t="e">
        <f t="shared" ca="1" si="22"/>
        <v>#NAME?</v>
      </c>
      <c r="S334" s="154">
        <f t="shared" ca="1" si="28"/>
        <v>200</v>
      </c>
      <c r="T334" s="154">
        <f t="shared" ca="1" si="23"/>
        <v>1</v>
      </c>
      <c r="U334" s="16" t="str">
        <f t="shared" ca="1" si="24"/>
        <v>Fine</v>
      </c>
      <c r="V334" s="155">
        <f ca="1">IFERROR(__xludf.DUMMYFUNCTION("if(W334=""Middle Age"",QUERY(NPCVar!$K$2:$N1000, ""Select L where K = '""&amp;AB334&amp;""'""),if(W334=""Old"",QUERY(NPCVar!$K$2:$N1000, ""Select M where K = '""&amp;AB334&amp;""'""),if(W334=""Venerable"",QUERY(NPCVar!$K$2:$N1000, ""Select N where K = '""&amp;AB334&amp;""'""),fa"&amp;"lse)))*X334"),190)</f>
        <v>190</v>
      </c>
      <c r="W334" s="156" t="str">
        <f t="array" ref="W334">INDEX(NPCAgeType,TRUNC(1+(4-1)*(TRUNC(MOD((X334*1103515245 +12345)/ 65536, 32768),0)/32768),0))</f>
        <v>Venerable</v>
      </c>
      <c r="X334" s="117">
        <f t="shared" si="29"/>
        <v>1.9</v>
      </c>
      <c r="Y334" s="157" t="e">
        <f t="array" aca="1" ref="Y334" ca="1">LOOKUP(ABS(MAX(Z334 + MIN(ABS(INDIRECT("Class Jobs!B"&amp;MATCH(E334,'Class Jobs'!$A$1:$A1000,0)&amp;":"&amp;"AF"&amp;MATCH(E334,'Class Jobs'!$A$1:$A1000,0)&amp;"")-$Z334)) * SUM(IF(MIN(ABS(INDIRECT("Class Jobs!B"&amp;MATCH(E334,'Class Jobs'!$A$1:$A1000,0)&amp;":"&amp;"AF"&amp;MATCH(E334,'Class Jobs'!$A$1:$A1000,0)&amp;"")-$Z334))=ABS(INDIRECT("Class Jobs!B"&amp;MATCH(E334,'Class Jobs'!$A$1:$A1000,0)&amp;":"&amp;"AF"&amp;MATCH(E334,'Class Jobs'!$A$1:$A1000,0)&amp;"")-$Z334),SIGN(INDIRECT("Class Jobs!B"&amp;MATCH(E334,'Class Jobs'!$A$1:A1000,0)&amp;":"&amp;"AF"&amp;MATCH(E334,'Class Jobs'!$A$1:$A1000,0)&amp;"")-$Z334),0)),0)),INDIRECT("Class Jobs!B"&amp;MATCH(E334,'Class Jobs'!$A$1:$A1000,0)&amp;":"&amp;"AF"&amp;MATCH(E334,'Class Jobs'!$A$1:$A1000,1)&amp;""),'Class Jobs'!$B$1:$AF$1)</f>
        <v>#REF!</v>
      </c>
      <c r="Z334" s="158">
        <f t="shared" si="25"/>
        <v>0.79</v>
      </c>
      <c r="AA334" s="16" t="str">
        <f t="array" ref="AA334">INDEX(NPCGender,TRUNC(1+(COUNTA(NPCGender))*(TRUNC(MOD(($B334*1103515245 +12345)/ 65536, 32768),0)/32768),0))</f>
        <v>Neutral</v>
      </c>
      <c r="AB334" s="16" t="str">
        <f t="array" ref="AB334">INDEX(NPCRace,TRUNC(1+(COUNTA(NPCRace))*(TRUNC(MOD(($B334*1103515245 +12345)/ 65536, 32768),0)/32768),0))</f>
        <v>Tiefling</v>
      </c>
      <c r="AC334" s="16" t="str">
        <f t="array" ref="AC334">INDEX(NPCAL,TRUNC(1+(COUNTA(NPCAL))*(TRUNC(MOD(($B334*1103515245 +12345)/ 65536, 32768),0)/32768),0))</f>
        <v>LN</v>
      </c>
      <c r="AD334" s="72" t="str">
        <f ca="1">IFERROR(__xludf.DUMMYFUNCTION("if(V334&lt;15,QUERY(NPCVar!C:D,""Select D WHERE C = '""&amp;D334&amp;""'""),if((TRUNC(1+10)*(TRUNC(MOD((ROW(H334)*1103515245 +12345)/ 65536, 32768),0)/32768)/10) &gt; 0.85,INDEX(NPCFaction,TRUNC(1+(counta(NPCFaction)-1)*(TRUNC(MOD(($B334*1103515245 +12345)/ 65536, 3276"&amp;"8),0)/32768),0)),QUERY(NPCVar!C:D,""Select D WHERE C = '""&amp;D334&amp;""'"")))"),"Traverlers Guild")</f>
        <v>Traverlers Guild</v>
      </c>
      <c r="AE334" s="108" t="e">
        <f t="shared" ca="1" si="26"/>
        <v>#NAME?</v>
      </c>
      <c r="AF334" s="159">
        <f ca="1">IFERROR(__xludf.DUMMYFUNCTION("AE334*(V334 / QUERY(NPCVar!$K$2:$N$12, ""Select N WHERE K='""&amp;AB334&amp;""'""))*TRUNC(1+10)*(TRUNC(MOD(($B334*1103515245 +12345)/ 65536, 32768),0)/32768)"),4.96139007568359)</f>
        <v>4.9613900756835898</v>
      </c>
      <c r="AG334" s="16"/>
      <c r="AH334" s="77"/>
      <c r="AI334" s="114"/>
    </row>
    <row r="335" spans="1:35" ht="16.2">
      <c r="A335" s="53">
        <v>334</v>
      </c>
      <c r="B335" s="118">
        <f t="shared" si="30"/>
        <v>0.53405999999999998</v>
      </c>
      <c r="C335" s="72" t="str">
        <f t="array" ref="C335">INDEX(NPCFName,TRUNC(1+(COUNTA(NPCFName))*(TRUNC(MOD(($B335*1103515245 +12345)/ 65536, 32768),0)/32768),0))</f>
        <v>Suth</v>
      </c>
      <c r="D335" s="16" t="str">
        <f t="array" ref="D335">INDEX(NPCLName,TRUNC(1+(COUNTA(NPCLName))*(TRUNC(MOD(($B335*1103515245 +12345)/ 65536, 32768),0)/32768),0))</f>
        <v>Commonscream</v>
      </c>
      <c r="E335" s="16" t="str">
        <f t="array" ref="E335">INDEX(NPCClass,TRUNC(1+(COUNTA(NPCClass))*(TRUNC(MOD(($B335*1103515245 +12345)/ 65536, 32768),0)/32768),0))</f>
        <v>Monk</v>
      </c>
      <c r="F335" s="76">
        <v>1</v>
      </c>
      <c r="G335" s="153">
        <f ca="1">VLOOKUP($AB$2,'RF Mod'!$A$2:$G$12,2,FALSE)+VLOOKUP($AD$2,'RF Mod'!$I$2:$O$11,2,FALSE)+(TRUNC(6+(24-6)*(TRUNC(MOD(($Z335*1103515245 +12345)/ 65536, 32768),0)/32768),0))</f>
        <v>6</v>
      </c>
      <c r="H335" s="16">
        <f t="shared" ca="1" si="17"/>
        <v>-2</v>
      </c>
      <c r="I335" s="153">
        <f ca="1">VLOOKUP($AB$2,'RF Mod'!$A$2:$G$12,3,FALSE)+VLOOKUP($AD$2,'RF Mod'!$I$2:$O$11,3,FALSE)+(TRUNC(6+(24-6)*(TRUNC(MOD(($Z335*1103515245 +12345)/ 65536, 32768),0)/32768),0))</f>
        <v>10</v>
      </c>
      <c r="J335" s="16" t="e">
        <f t="shared" ca="1" si="18"/>
        <v>#NAME?</v>
      </c>
      <c r="K335" s="153">
        <f ca="1">VLOOKUP($AB$2,'RF Mod'!$A$2:$G$12,3,FALSE)+VLOOKUP($AD$2,'RF Mod'!$I$2:$O$11,3,FALSE)+(TRUNC(6+(24-6)*(TRUNC(MOD(($Z335*1103515245 +12345)/ 65536, 32768),0)/32768),0))</f>
        <v>10</v>
      </c>
      <c r="L335" s="16" t="e">
        <f t="shared" ca="1" si="19"/>
        <v>#NAME?</v>
      </c>
      <c r="M335" s="153">
        <f ca="1">VLOOKUP($AB$2,'RF Mod'!$A$2:$G$12,4,FALSE)+VLOOKUP($AD$2,'RF Mod'!$I$2:$O$11,4,FALSE)+(TRUNC(6+(24-6)*(TRUNC(MOD(($Z335*1103515245 +12345)/ 65536, 32768),0)/32768),0))</f>
        <v>9</v>
      </c>
      <c r="N335" s="16">
        <f t="shared" ca="1" si="20"/>
        <v>-1</v>
      </c>
      <c r="O335" s="153">
        <f ca="1">VLOOKUP($AB$2,'RF Mod'!$A$2:$G$12,5,FALSE)+VLOOKUP($AD$2,'RF Mod'!$I$2:$O$11,5,FALSE)+(TRUNC(6+(24-6)*(TRUNC(MOD(($Z335*1103515245 +12345)/ 65536, 32768),0)/32768),0))</f>
        <v>12</v>
      </c>
      <c r="P335" s="16" t="e">
        <f t="shared" ca="1" si="21"/>
        <v>#NAME?</v>
      </c>
      <c r="Q335" s="153">
        <f ca="1">VLOOKUP($AB$2,'RF Mod'!$A$2:$G$12,6,FALSE)+VLOOKUP($AD$2,'RF Mod'!$I$2:$O$11,6,FALSE)+(TRUNC(6+(24-6)*(TRUNC(MOD(($Z335*1103515245 +12345)/ 65536, 32768),0)/32768),0))</f>
        <v>10</v>
      </c>
      <c r="R335" s="16" t="e">
        <f t="shared" ca="1" si="22"/>
        <v>#NAME?</v>
      </c>
      <c r="S335" s="154">
        <f t="shared" ca="1" si="28"/>
        <v>14</v>
      </c>
      <c r="T335" s="154">
        <f t="shared" ca="1" si="23"/>
        <v>6</v>
      </c>
      <c r="U335" s="16" t="str">
        <f t="shared" ca="1" si="24"/>
        <v>Fine</v>
      </c>
      <c r="V335" s="155">
        <f ca="1">IFERROR(__xludf.DUMMYFUNCTION("if(W335=""Middle Age"",QUERY(NPCVar!$K$2:$N1000, ""Select L where K = '""&amp;AB335&amp;""'""),if(W335=""Old"",QUERY(NPCVar!$K$2:$N1000, ""Select M where K = '""&amp;AB335&amp;""'""),if(W335=""Venerable"",QUERY(NPCVar!$K$2:$N1000, ""Select N where K = '""&amp;AB335&amp;""'""),fa"&amp;"lse)))*X335"),118.124999999999)</f>
        <v>118.12499999999901</v>
      </c>
      <c r="W335" s="156" t="str">
        <f t="array" ref="W335">INDEX(NPCAgeType,TRUNC(1+(4-1)*(TRUNC(MOD((X335*1103515245 +12345)/ 65536, 32768),0)/32768),0))</f>
        <v>Old</v>
      </c>
      <c r="X335" s="117">
        <f t="shared" si="29"/>
        <v>0.7</v>
      </c>
      <c r="Y335" s="157" t="e">
        <f t="array" aca="1" ref="Y335" ca="1">LOOKUP(ABS(MAX(Z335 + MIN(ABS(INDIRECT("Class Jobs!B"&amp;MATCH(E335,'Class Jobs'!$A$1:$A1000,0)&amp;":"&amp;"AF"&amp;MATCH(E335,'Class Jobs'!$A$1:$A1000,0)&amp;"")-$Z335)) * SUM(IF(MIN(ABS(INDIRECT("Class Jobs!B"&amp;MATCH(E335,'Class Jobs'!$A$1:$A1000,0)&amp;":"&amp;"AF"&amp;MATCH(E335,'Class Jobs'!$A$1:$A1000,0)&amp;"")-$Z335))=ABS(INDIRECT("Class Jobs!B"&amp;MATCH(E335,'Class Jobs'!$A$1:$A1000,0)&amp;":"&amp;"AF"&amp;MATCH(E335,'Class Jobs'!$A$1:$A1000,0)&amp;"")-$Z335),SIGN(INDIRECT("Class Jobs!B"&amp;MATCH(E335,'Class Jobs'!$A$1:A1000,0)&amp;":"&amp;"AF"&amp;MATCH(E335,'Class Jobs'!$A$1:$A1000,0)&amp;"")-$Z335),0)),0)),INDIRECT("Class Jobs!B"&amp;MATCH(E335,'Class Jobs'!$A$1:$A1000,0)&amp;":"&amp;"AF"&amp;MATCH(E335,'Class Jobs'!$A$1:$A1000,1)&amp;""),'Class Jobs'!$B$1:$AF$1)</f>
        <v>#REF!</v>
      </c>
      <c r="Z335" s="158">
        <f t="shared" si="25"/>
        <v>0.28000000000000003</v>
      </c>
      <c r="AA335" s="16" t="str">
        <f t="array" ref="AA335">INDEX(NPCGender,TRUNC(1+(COUNTA(NPCGender))*(TRUNC(MOD(($B335*1103515245 +12345)/ 65536, 32768),0)/32768),0))</f>
        <v>Male</v>
      </c>
      <c r="AB335" s="16" t="str">
        <f t="array" ref="AB335">INDEX(NPCRace,TRUNC(1+(COUNTA(NPCRace))*(TRUNC(MOD(($B335*1103515245 +12345)/ 65536, 32768),0)/32768),0))</f>
        <v>Gnome</v>
      </c>
      <c r="AC335" s="16" t="str">
        <f t="array" ref="AC335">INDEX(NPCAL,TRUNC(1+(COUNTA(NPCAL))*(TRUNC(MOD(($B335*1103515245 +12345)/ 65536, 32768),0)/32768),0))</f>
        <v>CG</v>
      </c>
      <c r="AD335" s="72" t="str">
        <f ca="1">IFERROR(__xludf.DUMMYFUNCTION("if(V335&lt;15,QUERY(NPCVar!C:D,""Select D WHERE C = '""&amp;D335&amp;""'""),if((TRUNC(1+10)*(TRUNC(MOD((ROW(H335)*1103515245 +12345)/ 65536, 32768),0)/32768)/10) &gt; 0.85,INDEX(NPCFaction,TRUNC(1+(counta(NPCFaction)-1)*(TRUNC(MOD(($B335*1103515245 +12345)/ 65536, 3276"&amp;"8),0)/32768),0)),QUERY(NPCVar!C:D,""Select D WHERE C = '""&amp;D335&amp;""'"")))"),"Necromancer")</f>
        <v>Necromancer</v>
      </c>
      <c r="AE335" s="108" t="e">
        <f t="shared" ca="1" si="26"/>
        <v>#NAME?</v>
      </c>
      <c r="AF335" s="159">
        <f ca="1">IFERROR(__xludf.DUMMYFUNCTION("AE335*(V335 / QUERY(NPCVar!$K$2:$N$12, ""Select N WHERE K='""&amp;AB335&amp;""'""))*TRUNC(1+10)*(TRUNC(MOD(($B335*1103515245 +12345)/ 65536, 32768),0)/32768)"),0.316948242187499)</f>
        <v>0.31694824218749901</v>
      </c>
      <c r="AG335" s="16"/>
      <c r="AH335" s="77"/>
      <c r="AI335" s="114"/>
    </row>
    <row r="336" spans="1:35" ht="16.2">
      <c r="A336" s="53">
        <v>335</v>
      </c>
      <c r="B336" s="118">
        <f t="shared" si="30"/>
        <v>2.0281199999999999</v>
      </c>
      <c r="C336" s="72" t="str">
        <f t="array" ref="C336">INDEX(NPCFName,TRUNC(1+(COUNTA(NPCFName))*(TRUNC(MOD(($B336*1103515245 +12345)/ 65536, 32768),0)/32768),0))</f>
        <v>Busma</v>
      </c>
      <c r="D336" s="16" t="str">
        <f t="array" ref="D336">INDEX(NPCLName,TRUNC(1+(COUNTA(NPCLName))*(TRUNC(MOD(($B336*1103515245 +12345)/ 65536, 32768),0)/32768),0))</f>
        <v>Crystalgazer</v>
      </c>
      <c r="E336" s="16" t="str">
        <f t="array" ref="E336">INDEX(NPCClass,TRUNC(1+(COUNTA(NPCClass))*(TRUNC(MOD(($B336*1103515245 +12345)/ 65536, 32768),0)/32768),0))</f>
        <v>Barbarian</v>
      </c>
      <c r="F336" s="76">
        <v>1</v>
      </c>
      <c r="G336" s="153">
        <f ca="1">VLOOKUP($AB$2,'RF Mod'!$A$2:$G$12,2,FALSE)+VLOOKUP($AD$2,'RF Mod'!$I$2:$O$11,2,FALSE)+(TRUNC(6+(24-6)*(TRUNC(MOD(($Z336*1103515245 +12345)/ 65536, 32768),0)/32768),0))</f>
        <v>4</v>
      </c>
      <c r="H336" s="16">
        <f t="shared" ca="1" si="17"/>
        <v>-3</v>
      </c>
      <c r="I336" s="153">
        <f ca="1">VLOOKUP($AB$2,'RF Mod'!$A$2:$G$12,3,FALSE)+VLOOKUP($AD$2,'RF Mod'!$I$2:$O$11,3,FALSE)+(TRUNC(6+(24-6)*(TRUNC(MOD(($Z336*1103515245 +12345)/ 65536, 32768),0)/32768),0))</f>
        <v>8</v>
      </c>
      <c r="J336" s="16">
        <f t="shared" ca="1" si="18"/>
        <v>-1</v>
      </c>
      <c r="K336" s="153">
        <f ca="1">VLOOKUP($AB$2,'RF Mod'!$A$2:$G$12,3,FALSE)+VLOOKUP($AD$2,'RF Mod'!$I$2:$O$11,3,FALSE)+(TRUNC(6+(24-6)*(TRUNC(MOD(($Z336*1103515245 +12345)/ 65536, 32768),0)/32768),0))</f>
        <v>8</v>
      </c>
      <c r="L336" s="16">
        <f t="shared" ca="1" si="19"/>
        <v>-1</v>
      </c>
      <c r="M336" s="153">
        <f ca="1">VLOOKUP($AB$2,'RF Mod'!$A$2:$G$12,4,FALSE)+VLOOKUP($AD$2,'RF Mod'!$I$2:$O$11,4,FALSE)+(TRUNC(6+(24-6)*(TRUNC(MOD(($Z336*1103515245 +12345)/ 65536, 32768),0)/32768),0))</f>
        <v>7</v>
      </c>
      <c r="N336" s="16">
        <f t="shared" ca="1" si="20"/>
        <v>-2</v>
      </c>
      <c r="O336" s="153">
        <f ca="1">VLOOKUP($AB$2,'RF Mod'!$A$2:$G$12,5,FALSE)+VLOOKUP($AD$2,'RF Mod'!$I$2:$O$11,5,FALSE)+(TRUNC(6+(24-6)*(TRUNC(MOD(($Z336*1103515245 +12345)/ 65536, 32768),0)/32768),0))</f>
        <v>10</v>
      </c>
      <c r="P336" s="16" t="e">
        <f t="shared" ca="1" si="21"/>
        <v>#NAME?</v>
      </c>
      <c r="Q336" s="153">
        <f ca="1">VLOOKUP($AB$2,'RF Mod'!$A$2:$G$12,6,FALSE)+VLOOKUP($AD$2,'RF Mod'!$I$2:$O$11,6,FALSE)+(TRUNC(6+(24-6)*(TRUNC(MOD(($Z336*1103515245 +12345)/ 65536, 32768),0)/32768),0))</f>
        <v>8</v>
      </c>
      <c r="R336" s="16">
        <f t="shared" ca="1" si="22"/>
        <v>-1</v>
      </c>
      <c r="S336" s="154">
        <f t="shared" ca="1" si="28"/>
        <v>26</v>
      </c>
      <c r="T336" s="154">
        <f t="shared" ca="1" si="23"/>
        <v>2</v>
      </c>
      <c r="U336" s="16" t="str">
        <f t="shared" ca="1" si="24"/>
        <v>Fine</v>
      </c>
      <c r="V336" s="155">
        <f ca="1">IFERROR(__xludf.DUMMYFUNCTION("if(W336=""Middle Age"",QUERY(NPCVar!$K$2:$N1000, ""Select L where K = '""&amp;AB336&amp;""'""),if(W336=""Old"",QUERY(NPCVar!$K$2:$N1000, ""Select M where K = '""&amp;AB336&amp;""'""),if(W336=""Venerable"",QUERY(NPCVar!$K$2:$N1000, ""Select N where K = '""&amp;AB336&amp;""'""),fa"&amp;"lse)))*X336"),4)</f>
        <v>4</v>
      </c>
      <c r="W336" s="156" t="str">
        <f t="array" ref="W336">INDEX(NPCAgeType,TRUNC(1+(4-1)*(TRUNC(MOD((X336*1103515245 +12345)/ 65536, 32768),0)/32768),0))</f>
        <v>Middle Age</v>
      </c>
      <c r="X336" s="117">
        <f t="shared" si="29"/>
        <v>0.2</v>
      </c>
      <c r="Y336" s="157" t="e">
        <f t="array" aca="1" ref="Y336" ca="1">LOOKUP(ABS(MAX(Z336 + MIN(ABS(INDIRECT("Class Jobs!B"&amp;MATCH(E336,'Class Jobs'!$A$1:$A1000,0)&amp;":"&amp;"AF"&amp;MATCH(E336,'Class Jobs'!$A$1:$A1000,0)&amp;"")-$Z336)) * SUM(IF(MIN(ABS(INDIRECT("Class Jobs!B"&amp;MATCH(E336,'Class Jobs'!$A$1:$A1000,0)&amp;":"&amp;"AF"&amp;MATCH(E336,'Class Jobs'!$A$1:$A1000,0)&amp;"")-$Z336))=ABS(INDIRECT("Class Jobs!B"&amp;MATCH(E336,'Class Jobs'!$A$1:$A1000,0)&amp;":"&amp;"AF"&amp;MATCH(E336,'Class Jobs'!$A$1:$A1000,0)&amp;"")-$Z336),SIGN(INDIRECT("Class Jobs!B"&amp;MATCH(E336,'Class Jobs'!$A$1:A1000,0)&amp;":"&amp;"AF"&amp;MATCH(E336,'Class Jobs'!$A$1:$A1000,0)&amp;"")-$Z336),0)),0)),INDIRECT("Class Jobs!B"&amp;MATCH(E336,'Class Jobs'!$A$1:$A1000,0)&amp;":"&amp;"AF"&amp;MATCH(E336,'Class Jobs'!$A$1:$A1000,1)&amp;""),'Class Jobs'!$B$1:$AF$1)</f>
        <v>#REF!</v>
      </c>
      <c r="Z336" s="158">
        <f t="shared" si="25"/>
        <v>0.05</v>
      </c>
      <c r="AA336" s="16" t="str">
        <f t="array" ref="AA336">INDEX(NPCGender,TRUNC(1+(COUNTA(NPCGender))*(TRUNC(MOD(($B336*1103515245 +12345)/ 65536, 32768),0)/32768),0))</f>
        <v>Male</v>
      </c>
      <c r="AB336" s="16" t="str">
        <f t="array" ref="AB336">INDEX(NPCRace,TRUNC(1+(COUNTA(NPCRace))*(TRUNC(MOD(($B336*1103515245 +12345)/ 65536, 32768),0)/32768),0))</f>
        <v>Dragonborn</v>
      </c>
      <c r="AC336" s="16" t="str">
        <f t="array" ref="AC336">INDEX(NPCAL,TRUNC(1+(COUNTA(NPCAL))*(TRUNC(MOD(($B336*1103515245 +12345)/ 65536, 32768),0)/32768),0))</f>
        <v>CN</v>
      </c>
      <c r="AD336" s="72" t="str">
        <f ca="1">IFERROR(__xludf.DUMMYFUNCTION("if(V336&lt;15,QUERY(NPCVar!C:D,""Select D WHERE C = '""&amp;D336&amp;""'""),if((TRUNC(1+10)*(TRUNC(MOD((ROW(H336)*1103515245 +12345)/ 65536, 32768),0)/32768)/10) &gt; 0.85,INDEX(NPCFaction,TRUNC(1+(counta(NPCFaction)-1)*(TRUNC(MOD(($B336*1103515245 +12345)/ 65536, 3276"&amp;"8),0)/32768),0)),QUERY(NPCVar!C:D,""Select D WHERE C = '""&amp;D336&amp;""'"")))"),"Death Guild")</f>
        <v>Death Guild</v>
      </c>
      <c r="AE336" s="108" t="e">
        <f t="shared" ca="1" si="26"/>
        <v>#NAME?</v>
      </c>
      <c r="AF336" s="159">
        <f ca="1">IFERROR(__xludf.DUMMYFUNCTION("AE336*(V336 / QUERY(NPCVar!$K$2:$N$12, ""Select N WHERE K='""&amp;AB336&amp;""'""))*TRUNC(1+10)*(TRUNC(MOD(($B336*1103515245 +12345)/ 65536, 32768),0)/32768)"),-0.00231964111328124)</f>
        <v>-2.3196411132812402E-3</v>
      </c>
      <c r="AG336" s="16"/>
      <c r="AH336" s="77"/>
      <c r="AI336" s="114"/>
    </row>
    <row r="337" spans="1:35" ht="16.2">
      <c r="A337" s="53">
        <v>336</v>
      </c>
      <c r="B337" s="118">
        <f t="shared" si="30"/>
        <v>1.0222599999999999</v>
      </c>
      <c r="C337" s="72" t="str">
        <f t="array" ref="C337">INDEX(NPCFName,TRUNC(1+(COUNTA(NPCFName))*(TRUNC(MOD(($B337*1103515245 +12345)/ 65536, 32768),0)/32768),0))</f>
        <v>Mesophan</v>
      </c>
      <c r="D337" s="16" t="str">
        <f t="array" ref="D337">INDEX(NPCLName,TRUNC(1+(COUNTA(NPCLName))*(TRUNC(MOD(($B337*1103515245 +12345)/ 65536, 32768),0)/32768),0))</f>
        <v>Staghammer</v>
      </c>
      <c r="E337" s="16" t="str">
        <f t="array" ref="E337">INDEX(NPCClass,TRUNC(1+(COUNTA(NPCClass))*(TRUNC(MOD(($B337*1103515245 +12345)/ 65536, 32768),0)/32768),0))</f>
        <v>Sorcerer</v>
      </c>
      <c r="F337" s="76">
        <v>7</v>
      </c>
      <c r="G337" s="153">
        <f ca="1">VLOOKUP($AB$2,'RF Mod'!$A$2:$G$12,2,FALSE)+VLOOKUP($AD$2,'RF Mod'!$I$2:$O$11,2,FALSE)+(TRUNC(6+(24-6)*(TRUNC(MOD(($Z337*1103515245 +12345)/ 65536, 32768),0)/32768),0))</f>
        <v>8</v>
      </c>
      <c r="H337" s="16">
        <f t="shared" ca="1" si="17"/>
        <v>-1</v>
      </c>
      <c r="I337" s="153">
        <f ca="1">VLOOKUP($AB$2,'RF Mod'!$A$2:$G$12,3,FALSE)+VLOOKUP($AD$2,'RF Mod'!$I$2:$O$11,3,FALSE)+(TRUNC(6+(24-6)*(TRUNC(MOD(($Z337*1103515245 +12345)/ 65536, 32768),0)/32768),0))</f>
        <v>12</v>
      </c>
      <c r="J337" s="16" t="e">
        <f t="shared" ca="1" si="18"/>
        <v>#NAME?</v>
      </c>
      <c r="K337" s="153">
        <f ca="1">VLOOKUP($AB$2,'RF Mod'!$A$2:$G$12,3,FALSE)+VLOOKUP($AD$2,'RF Mod'!$I$2:$O$11,3,FALSE)+(TRUNC(6+(24-6)*(TRUNC(MOD(($Z337*1103515245 +12345)/ 65536, 32768),0)/32768),0))</f>
        <v>12</v>
      </c>
      <c r="L337" s="16" t="e">
        <f t="shared" ca="1" si="19"/>
        <v>#NAME?</v>
      </c>
      <c r="M337" s="153">
        <f ca="1">VLOOKUP($AB$2,'RF Mod'!$A$2:$G$12,4,FALSE)+VLOOKUP($AD$2,'RF Mod'!$I$2:$O$11,4,FALSE)+(TRUNC(6+(24-6)*(TRUNC(MOD(($Z337*1103515245 +12345)/ 65536, 32768),0)/32768),0))</f>
        <v>11</v>
      </c>
      <c r="N337" s="16" t="e">
        <f t="shared" ca="1" si="20"/>
        <v>#NAME?</v>
      </c>
      <c r="O337" s="153">
        <f ca="1">VLOOKUP($AB$2,'RF Mod'!$A$2:$G$12,5,FALSE)+VLOOKUP($AD$2,'RF Mod'!$I$2:$O$11,5,FALSE)+(TRUNC(6+(24-6)*(TRUNC(MOD(($Z337*1103515245 +12345)/ 65536, 32768),0)/32768),0))</f>
        <v>14</v>
      </c>
      <c r="P337" s="16" t="e">
        <f t="shared" ca="1" si="21"/>
        <v>#NAME?</v>
      </c>
      <c r="Q337" s="153">
        <f ca="1">VLOOKUP($AB$2,'RF Mod'!$A$2:$G$12,6,FALSE)+VLOOKUP($AD$2,'RF Mod'!$I$2:$O$11,6,FALSE)+(TRUNC(6+(24-6)*(TRUNC(MOD(($Z337*1103515245 +12345)/ 65536, 32768),0)/32768),0))</f>
        <v>12</v>
      </c>
      <c r="R337" s="16" t="e">
        <f t="shared" ca="1" si="22"/>
        <v>#NAME?</v>
      </c>
      <c r="S337" s="154">
        <f t="shared" ca="1" si="28"/>
        <v>182</v>
      </c>
      <c r="T337" s="154">
        <f t="shared" ca="1" si="23"/>
        <v>167</v>
      </c>
      <c r="U337" s="16" t="str">
        <f t="shared" ca="1" si="24"/>
        <v>Bloody</v>
      </c>
      <c r="V337" s="155">
        <f ca="1">IFERROR(__xludf.DUMMYFUNCTION("if(W337=""Middle Age"",QUERY(NPCVar!$K$2:$N1000, ""Select L where K = '""&amp;AB337&amp;""'""),if(W337=""Old"",QUERY(NPCVar!$K$2:$N1000, ""Select M where K = '""&amp;AB337&amp;""'""),if(W337=""Venerable"",QUERY(NPCVar!$K$2:$N1000, ""Select N where K = '""&amp;AB337&amp;""'""),fa"&amp;"lse)))*X337"),91)</f>
        <v>91</v>
      </c>
      <c r="W337" s="156" t="str">
        <f t="array" ref="W337">INDEX(NPCAgeType,TRUNC(1+(4-1)*(TRUNC(MOD((X337*1103515245 +12345)/ 65536, 32768),0)/32768),0))</f>
        <v>Venerable</v>
      </c>
      <c r="X337" s="117">
        <f t="shared" si="29"/>
        <v>1.3</v>
      </c>
      <c r="Y337" s="157" t="e">
        <f t="array" aca="1" ref="Y337" ca="1">LOOKUP(ABS(MAX(Z337 + MIN(ABS(INDIRECT("Class Jobs!B"&amp;MATCH(E337,'Class Jobs'!$A$1:$A1000,0)&amp;":"&amp;"AF"&amp;MATCH(E337,'Class Jobs'!$A$1:$A1000,0)&amp;"")-$Z337)) * SUM(IF(MIN(ABS(INDIRECT("Class Jobs!B"&amp;MATCH(E337,'Class Jobs'!$A$1:$A1000,0)&amp;":"&amp;"AF"&amp;MATCH(E337,'Class Jobs'!$A$1:$A1000,0)&amp;"")-$Z337))=ABS(INDIRECT("Class Jobs!B"&amp;MATCH(E337,'Class Jobs'!$A$1:$A1000,0)&amp;":"&amp;"AF"&amp;MATCH(E337,'Class Jobs'!$A$1:$A1000,0)&amp;"")-$Z337),SIGN(INDIRECT("Class Jobs!B"&amp;MATCH(E337,'Class Jobs'!$A$1:A1000,0)&amp;":"&amp;"AF"&amp;MATCH(E337,'Class Jobs'!$A$1:$A1000,0)&amp;"")-$Z337),0)),0)),INDIRECT("Class Jobs!B"&amp;MATCH(E337,'Class Jobs'!$A$1:$A1000,0)&amp;":"&amp;"AF"&amp;MATCH(E337,'Class Jobs'!$A$1:$A1000,1)&amp;""),'Class Jobs'!$B$1:$AF$1)</f>
        <v>#REF!</v>
      </c>
      <c r="Z337" s="158">
        <f t="shared" si="25"/>
        <v>0.53</v>
      </c>
      <c r="AA337" s="16" t="str">
        <f t="array" ref="AA337">INDEX(NPCGender,TRUNC(1+(COUNTA(NPCGender))*(TRUNC(MOD(($B337*1103515245 +12345)/ 65536, 32768),0)/32768),0))</f>
        <v>Female</v>
      </c>
      <c r="AB337" s="16" t="str">
        <f t="array" ref="AB337">INDEX(NPCRace,TRUNC(1+(COUNTA(NPCRace))*(TRUNC(MOD(($B337*1103515245 +12345)/ 65536, 32768),0)/32768),0))</f>
        <v>Half-Orc</v>
      </c>
      <c r="AC337" s="16" t="str">
        <f t="array" ref="AC337">INDEX(NPCAL,TRUNC(1+(COUNTA(NPCAL))*(TRUNC(MOD(($B337*1103515245 +12345)/ 65536, 32768),0)/32768),0))</f>
        <v>NN</v>
      </c>
      <c r="AD337" s="72" t="str">
        <f ca="1">IFERROR(__xludf.DUMMYFUNCTION("if(V337&lt;15,QUERY(NPCVar!C:D,""Select D WHERE C = '""&amp;D337&amp;""'""),if((TRUNC(1+10)*(TRUNC(MOD((ROW(H337)*1103515245 +12345)/ 65536, 32768),0)/32768)/10) &gt; 0.85,INDEX(NPCFaction,TRUNC(1+(counta(NPCFaction)-1)*(TRUNC(MOD(($B337*1103515245 +12345)/ 65536, 3276"&amp;"8),0)/32768),0)),QUERY(NPCVar!C:D,""Select D WHERE C = '""&amp;D337&amp;""'"")))"),"Farmers Guild")</f>
        <v>Farmers Guild</v>
      </c>
      <c r="AE337" s="108" t="e">
        <f t="shared" ca="1" si="26"/>
        <v>#NAME?</v>
      </c>
      <c r="AF337" s="159">
        <f ca="1">IFERROR(__xludf.DUMMYFUNCTION("AE337*(V337 / QUERY(NPCVar!$K$2:$N$12, ""Select N WHERE K='""&amp;AB337&amp;""'""))*TRUNC(1+10)*(TRUNC(MOD(($B337*1103515245 +12345)/ 65536, 32768),0)/32768)"),5.2582437133789)</f>
        <v>5.2582437133789002</v>
      </c>
      <c r="AG337" s="16"/>
      <c r="AH337" s="77"/>
      <c r="AI337" s="114"/>
    </row>
    <row r="338" spans="1:35" ht="16.2">
      <c r="A338" s="53">
        <v>337</v>
      </c>
      <c r="B338" s="118">
        <f t="shared" si="30"/>
        <v>1.6410000000000001E-2</v>
      </c>
      <c r="C338" s="72" t="str">
        <f t="array" ref="C338">INDEX(NPCFName,TRUNC(1+(COUNTA(NPCFName))*(TRUNC(MOD(($B338*1103515245 +12345)/ 65536, 32768),0)/32768),0))</f>
        <v>Airen</v>
      </c>
      <c r="D338" s="16" t="str">
        <f t="array" ref="D338">INDEX(NPCLName,TRUNC(1+(COUNTA(NPCLName))*(TRUNC(MOD(($B338*1103515245 +12345)/ 65536, 32768),0)/32768),0))</f>
        <v>Stagfang</v>
      </c>
      <c r="E338" s="16" t="str">
        <f t="array" ref="E338">INDEX(NPCClass,TRUNC(1+(COUNTA(NPCClass))*(TRUNC(MOD(($B338*1103515245 +12345)/ 65536, 32768),0)/32768),0))</f>
        <v>Barbarian</v>
      </c>
      <c r="F338" s="76">
        <v>1</v>
      </c>
      <c r="G338" s="153">
        <f ca="1">VLOOKUP($AB$2,'RF Mod'!$A$2:$G$12,2,FALSE)+VLOOKUP($AD$2,'RF Mod'!$I$2:$O$11,2,FALSE)+(TRUNC(6+(24-6)*(TRUNC(MOD(($Z338*1103515245 +12345)/ 65536, 32768),0)/32768),0))</f>
        <v>4</v>
      </c>
      <c r="H338" s="16">
        <f t="shared" ca="1" si="17"/>
        <v>-3</v>
      </c>
      <c r="I338" s="153">
        <f ca="1">VLOOKUP($AB$2,'RF Mod'!$A$2:$G$12,3,FALSE)+VLOOKUP($AD$2,'RF Mod'!$I$2:$O$11,3,FALSE)+(TRUNC(6+(24-6)*(TRUNC(MOD(($Z338*1103515245 +12345)/ 65536, 32768),0)/32768),0))</f>
        <v>8</v>
      </c>
      <c r="J338" s="16">
        <f t="shared" ca="1" si="18"/>
        <v>-1</v>
      </c>
      <c r="K338" s="153">
        <f ca="1">VLOOKUP($AB$2,'RF Mod'!$A$2:$G$12,3,FALSE)+VLOOKUP($AD$2,'RF Mod'!$I$2:$O$11,3,FALSE)+(TRUNC(6+(24-6)*(TRUNC(MOD(($Z338*1103515245 +12345)/ 65536, 32768),0)/32768),0))</f>
        <v>8</v>
      </c>
      <c r="L338" s="16">
        <f t="shared" ca="1" si="19"/>
        <v>-1</v>
      </c>
      <c r="M338" s="153">
        <f ca="1">VLOOKUP($AB$2,'RF Mod'!$A$2:$G$12,4,FALSE)+VLOOKUP($AD$2,'RF Mod'!$I$2:$O$11,4,FALSE)+(TRUNC(6+(24-6)*(TRUNC(MOD(($Z338*1103515245 +12345)/ 65536, 32768),0)/32768),0))</f>
        <v>7</v>
      </c>
      <c r="N338" s="16">
        <f t="shared" ca="1" si="20"/>
        <v>-2</v>
      </c>
      <c r="O338" s="153">
        <f ca="1">VLOOKUP($AB$2,'RF Mod'!$A$2:$G$12,5,FALSE)+VLOOKUP($AD$2,'RF Mod'!$I$2:$O$11,5,FALSE)+(TRUNC(6+(24-6)*(TRUNC(MOD(($Z338*1103515245 +12345)/ 65536, 32768),0)/32768),0))</f>
        <v>10</v>
      </c>
      <c r="P338" s="16" t="e">
        <f t="shared" ca="1" si="21"/>
        <v>#NAME?</v>
      </c>
      <c r="Q338" s="153">
        <f ca="1">VLOOKUP($AB$2,'RF Mod'!$A$2:$G$12,6,FALSE)+VLOOKUP($AD$2,'RF Mod'!$I$2:$O$11,6,FALSE)+(TRUNC(6+(24-6)*(TRUNC(MOD(($Z338*1103515245 +12345)/ 65536, 32768),0)/32768),0))</f>
        <v>8</v>
      </c>
      <c r="R338" s="16">
        <f t="shared" ca="1" si="22"/>
        <v>-1</v>
      </c>
      <c r="S338" s="154">
        <f t="shared" ca="1" si="28"/>
        <v>26</v>
      </c>
      <c r="T338" s="154">
        <f t="shared" ca="1" si="23"/>
        <v>18</v>
      </c>
      <c r="U338" s="16" t="str">
        <f t="shared" ca="1" si="24"/>
        <v>Bloody</v>
      </c>
      <c r="V338" s="155">
        <f ca="1">IFERROR(__xludf.DUMMYFUNCTION("if(W338=""Middle Age"",QUERY(NPCVar!$K$2:$N1000, ""Select L where K = '""&amp;AB338&amp;""'""),if(W338=""Old"",QUERY(NPCVar!$K$2:$N1000, ""Select M where K = '""&amp;AB338&amp;""'""),if(W338=""Venerable"",QUERY(NPCVar!$K$2:$N1000, ""Select N where K = '""&amp;AB338&amp;""'""),fa"&amp;"lse)))*X338"),2)</f>
        <v>2</v>
      </c>
      <c r="W338" s="156" t="str">
        <f t="array" ref="W338">INDEX(NPCAgeType,TRUNC(1+(4-1)*(TRUNC(MOD((X338*1103515245 +12345)/ 65536, 32768),0)/32768),0))</f>
        <v>Middle Age</v>
      </c>
      <c r="X338" s="117">
        <f t="shared" si="29"/>
        <v>0.1</v>
      </c>
      <c r="Y338" s="157" t="e">
        <f t="array" aca="1" ref="Y338" ca="1">LOOKUP(ABS(MAX(Z338 + MIN(ABS(INDIRECT("Class Jobs!B"&amp;MATCH(E338,'Class Jobs'!$A$1:$A1000,0)&amp;":"&amp;"AF"&amp;MATCH(E338,'Class Jobs'!$A$1:$A1000,0)&amp;"")-$Z338)) * SUM(IF(MIN(ABS(INDIRECT("Class Jobs!B"&amp;MATCH(E338,'Class Jobs'!$A$1:$A1000,0)&amp;":"&amp;"AF"&amp;MATCH(E338,'Class Jobs'!$A$1:$A1000,0)&amp;"")-$Z338))=ABS(INDIRECT("Class Jobs!B"&amp;MATCH(E338,'Class Jobs'!$A$1:$A1000,0)&amp;":"&amp;"AF"&amp;MATCH(E338,'Class Jobs'!$A$1:$A1000,0)&amp;"")-$Z338),SIGN(INDIRECT("Class Jobs!B"&amp;MATCH(E338,'Class Jobs'!$A$1:A1000,0)&amp;":"&amp;"AF"&amp;MATCH(E338,'Class Jobs'!$A$1:$A1000,0)&amp;"")-$Z338),0)),0)),INDIRECT("Class Jobs!B"&amp;MATCH(E338,'Class Jobs'!$A$1:$A1000,0)&amp;":"&amp;"AF"&amp;MATCH(E338,'Class Jobs'!$A$1:$A1000,1)&amp;""),'Class Jobs'!$B$1:$AF$1)</f>
        <v>#REF!</v>
      </c>
      <c r="Z338" s="158">
        <f t="shared" si="25"/>
        <v>0.01</v>
      </c>
      <c r="AA338" s="16" t="str">
        <f t="array" ref="AA338">INDEX(NPCGender,TRUNC(1+(COUNTA(NPCGender))*(TRUNC(MOD(($B338*1103515245 +12345)/ 65536, 32768),0)/32768),0))</f>
        <v>Male</v>
      </c>
      <c r="AB338" s="16" t="str">
        <f t="array" ref="AB338">INDEX(NPCRace,TRUNC(1+(COUNTA(NPCRace))*(TRUNC(MOD(($B338*1103515245 +12345)/ 65536, 32768),0)/32768),0))</f>
        <v>Dragonborn</v>
      </c>
      <c r="AC338" s="16" t="str">
        <f t="array" ref="AC338">INDEX(NPCAL,TRUNC(1+(COUNTA(NPCAL))*(TRUNC(MOD(($B338*1103515245 +12345)/ 65536, 32768),0)/32768),0))</f>
        <v>CN</v>
      </c>
      <c r="AD338" s="72" t="str">
        <f ca="1">IFERROR(__xludf.DUMMYFUNCTION("if(V338&lt;15,QUERY(NPCVar!C:D,""Select D WHERE C = '""&amp;D338&amp;""'""),if((TRUNC(1+10)*(TRUNC(MOD((ROW(H338)*1103515245 +12345)/ 65536, 32768),0)/32768)/10) &gt; 0.85,INDEX(NPCFaction,TRUNC(1+(counta(NPCFaction)-1)*(TRUNC(MOD(($B338*1103515245 +12345)/ 65536, 3276"&amp;"8),0)/32768),0)),QUERY(NPCVar!C:D,""Select D WHERE C = '""&amp;D338&amp;""'"")))"),"Royalty")</f>
        <v>Royalty</v>
      </c>
      <c r="AE338" s="108" t="e">
        <f t="shared" ca="1" si="26"/>
        <v>#NAME?</v>
      </c>
      <c r="AF338" s="159">
        <f ca="1">IFERROR(__xludf.DUMMYFUNCTION("AE338*(V338 / QUERY(NPCVar!$K$2:$N$12, ""Select N WHERE K='""&amp;AB338&amp;""'""))*TRUNC(1+10)*(TRUNC(MOD(($B338*1103515245 +12345)/ 65536, 32768),0)/32768)"),-0.000231628417968749)</f>
        <v>-2.3162841796874899E-4</v>
      </c>
      <c r="AG338" s="16"/>
      <c r="AH338" s="77"/>
      <c r="AI338" s="114"/>
    </row>
    <row r="339" spans="1:35" ht="16.2">
      <c r="A339" s="53">
        <v>338</v>
      </c>
      <c r="B339" s="118">
        <f t="shared" si="30"/>
        <v>1.51054</v>
      </c>
      <c r="C339" s="72" t="str">
        <f t="array" ref="C339">INDEX(NPCFName,TRUNC(1+(COUNTA(NPCFName))*(TRUNC(MOD(($B339*1103515245 +12345)/ 65536, 32768),0)/32768),0))</f>
        <v>Floran</v>
      </c>
      <c r="D339" s="16" t="str">
        <f t="array" ref="D339">INDEX(NPCLName,TRUNC(1+(COUNTA(NPCLName))*(TRUNC(MOD(($B339*1103515245 +12345)/ 65536, 32768),0)/32768),0))</f>
        <v>Truthdoom</v>
      </c>
      <c r="E339" s="16" t="str">
        <f t="array" ref="E339">INDEX(NPCClass,TRUNC(1+(COUNTA(NPCClass))*(TRUNC(MOD(($B339*1103515245 +12345)/ 65536, 32768),0)/32768),0))</f>
        <v>Cleric</v>
      </c>
      <c r="F339" s="76">
        <v>8</v>
      </c>
      <c r="G339" s="153">
        <f ca="1">VLOOKUP($AB$2,'RF Mod'!$A$2:$G$12,2,FALSE)+VLOOKUP($AD$2,'RF Mod'!$I$2:$O$11,2,FALSE)+(TRUNC(6+(24-6)*(TRUNC(MOD(($Z339*1103515245 +12345)/ 65536, 32768),0)/32768),0))</f>
        <v>11</v>
      </c>
      <c r="H339" s="16" t="e">
        <f t="shared" ca="1" si="17"/>
        <v>#NAME?</v>
      </c>
      <c r="I339" s="153">
        <f ca="1">VLOOKUP($AB$2,'RF Mod'!$A$2:$G$12,3,FALSE)+VLOOKUP($AD$2,'RF Mod'!$I$2:$O$11,3,FALSE)+(TRUNC(6+(24-6)*(TRUNC(MOD(($Z339*1103515245 +12345)/ 65536, 32768),0)/32768),0))</f>
        <v>15</v>
      </c>
      <c r="J339" s="16" t="e">
        <f t="shared" ca="1" si="18"/>
        <v>#NAME?</v>
      </c>
      <c r="K339" s="153">
        <f ca="1">VLOOKUP($AB$2,'RF Mod'!$A$2:$G$12,3,FALSE)+VLOOKUP($AD$2,'RF Mod'!$I$2:$O$11,3,FALSE)+(TRUNC(6+(24-6)*(TRUNC(MOD(($Z339*1103515245 +12345)/ 65536, 32768),0)/32768),0))</f>
        <v>15</v>
      </c>
      <c r="L339" s="16" t="e">
        <f t="shared" ca="1" si="19"/>
        <v>#NAME?</v>
      </c>
      <c r="M339" s="153">
        <f ca="1">VLOOKUP($AB$2,'RF Mod'!$A$2:$G$12,4,FALSE)+VLOOKUP($AD$2,'RF Mod'!$I$2:$O$11,4,FALSE)+(TRUNC(6+(24-6)*(TRUNC(MOD(($Z339*1103515245 +12345)/ 65536, 32768),0)/32768),0))</f>
        <v>14</v>
      </c>
      <c r="N339" s="16" t="e">
        <f t="shared" ca="1" si="20"/>
        <v>#NAME?</v>
      </c>
      <c r="O339" s="153">
        <f ca="1">VLOOKUP($AB$2,'RF Mod'!$A$2:$G$12,5,FALSE)+VLOOKUP($AD$2,'RF Mod'!$I$2:$O$11,5,FALSE)+(TRUNC(6+(24-6)*(TRUNC(MOD(($Z339*1103515245 +12345)/ 65536, 32768),0)/32768),0))</f>
        <v>17</v>
      </c>
      <c r="P339" s="16" t="e">
        <f t="shared" ca="1" si="21"/>
        <v>#NAME?</v>
      </c>
      <c r="Q339" s="153">
        <f ca="1">VLOOKUP($AB$2,'RF Mod'!$A$2:$G$12,6,FALSE)+VLOOKUP($AD$2,'RF Mod'!$I$2:$O$11,6,FALSE)+(TRUNC(6+(24-6)*(TRUNC(MOD(($Z339*1103515245 +12345)/ 65536, 32768),0)/32768),0))</f>
        <v>15</v>
      </c>
      <c r="R339" s="16" t="e">
        <f t="shared" ca="1" si="22"/>
        <v>#NAME?</v>
      </c>
      <c r="S339" s="154">
        <f t="shared" ca="1" si="28"/>
        <v>232</v>
      </c>
      <c r="T339" s="154">
        <f t="shared" ca="1" si="23"/>
        <v>224</v>
      </c>
      <c r="U339" s="16" t="str">
        <f t="shared" ca="1" si="24"/>
        <v>Bloody</v>
      </c>
      <c r="V339" s="155">
        <f ca="1">IFERROR(__xludf.DUMMYFUNCTION("if(W339=""Middle Age"",QUERY(NPCVar!$K$2:$N1000, ""Select L where K = '""&amp;AB339&amp;""'""),if(W339=""Old"",QUERY(NPCVar!$K$2:$N1000, ""Select M where K = '""&amp;AB339&amp;""'""),if(W339=""Venerable"",QUERY(NPCVar!$K$2:$N1000, ""Select N where K = '""&amp;AB339&amp;""'""),fa"&amp;"lse)))*X339"),190)</f>
        <v>190</v>
      </c>
      <c r="W339" s="156" t="str">
        <f t="array" ref="W339">INDEX(NPCAgeType,TRUNC(1+(4-1)*(TRUNC(MOD((X339*1103515245 +12345)/ 65536, 32768),0)/32768),0))</f>
        <v>Venerable</v>
      </c>
      <c r="X339" s="117">
        <f t="shared" si="29"/>
        <v>1.9</v>
      </c>
      <c r="Y339" s="157" t="e">
        <f t="array" aca="1" ref="Y339" ca="1">LOOKUP(ABS(MAX(Z339 + MIN(ABS(INDIRECT("Class Jobs!B"&amp;MATCH(E339,'Class Jobs'!$A$1:$A1000,0)&amp;":"&amp;"AF"&amp;MATCH(E339,'Class Jobs'!$A$1:$A1000,0)&amp;"")-$Z339)) * SUM(IF(MIN(ABS(INDIRECT("Class Jobs!B"&amp;MATCH(E339,'Class Jobs'!$A$1:$A1000,0)&amp;":"&amp;"AF"&amp;MATCH(E339,'Class Jobs'!$A$1:$A1000,0)&amp;"")-$Z339))=ABS(INDIRECT("Class Jobs!B"&amp;MATCH(E339,'Class Jobs'!$A$1:$A1000,0)&amp;":"&amp;"AF"&amp;MATCH(E339,'Class Jobs'!$A$1:$A1000,0)&amp;"")-$Z339),SIGN(INDIRECT("Class Jobs!B"&amp;MATCH(E339,'Class Jobs'!$A$1:A1000,0)&amp;":"&amp;"AF"&amp;MATCH(E339,'Class Jobs'!$A$1:$A1000,0)&amp;"")-$Z339),0)),0)),INDIRECT("Class Jobs!B"&amp;MATCH(E339,'Class Jobs'!$A$1:$A1000,0)&amp;":"&amp;"AF"&amp;MATCH(E339,'Class Jobs'!$A$1:$A1000,1)&amp;""),'Class Jobs'!$B$1:$AF$1)</f>
        <v>#REF!</v>
      </c>
      <c r="Z339" s="158">
        <f t="shared" si="25"/>
        <v>0.77</v>
      </c>
      <c r="AA339" s="16" t="str">
        <f t="array" ref="AA339">INDEX(NPCGender,TRUNC(1+(COUNTA(NPCGender))*(TRUNC(MOD(($B339*1103515245 +12345)/ 65536, 32768),0)/32768),0))</f>
        <v>Neutral</v>
      </c>
      <c r="AB339" s="16" t="str">
        <f t="array" ref="AB339">INDEX(NPCRace,TRUNC(1+(COUNTA(NPCRace))*(TRUNC(MOD(($B339*1103515245 +12345)/ 65536, 32768),0)/32768),0))</f>
        <v>Tiefling</v>
      </c>
      <c r="AC339" s="16" t="str">
        <f t="array" ref="AC339">INDEX(NPCAL,TRUNC(1+(COUNTA(NPCAL))*(TRUNC(MOD(($B339*1103515245 +12345)/ 65536, 32768),0)/32768),0))</f>
        <v>LG</v>
      </c>
      <c r="AD339" s="72" t="str">
        <f ca="1">IFERROR(__xludf.DUMMYFUNCTION("if(V339&lt;15,QUERY(NPCVar!C:D,""Select D WHERE C = '""&amp;D339&amp;""'""),if((TRUNC(1+10)*(TRUNC(MOD((ROW(H339)*1103515245 +12345)/ 65536, 32768),0)/32768)/10) &gt; 0.85,INDEX(NPCFaction,TRUNC(1+(counta(NPCFaction)-1)*(TRUNC(MOD(($B339*1103515245 +12345)/ 65536, 3276"&amp;"8),0)/32768),0)),QUERY(NPCVar!C:D,""Select D WHERE C = '""&amp;D339&amp;""'"")))"),"Traverlers Guild")</f>
        <v>Traverlers Guild</v>
      </c>
      <c r="AE339" s="108" t="e">
        <f t="shared" ca="1" si="26"/>
        <v>#NAME?</v>
      </c>
      <c r="AF339" s="159">
        <f ca="1">IFERROR(__xludf.DUMMYFUNCTION("AE339*(V339 / QUERY(NPCVar!$K$2:$N$12, ""Select N WHERE K='""&amp;AB339&amp;""'""))*TRUNC(1+10)*(TRUNC(MOD(($B339*1103515245 +12345)/ 65536, 32768),0)/32768)"),12.9783081054687)</f>
        <v>12.978308105468701</v>
      </c>
      <c r="AG339" s="16"/>
      <c r="AH339" s="77"/>
      <c r="AI339" s="114"/>
    </row>
    <row r="340" spans="1:35" ht="16.2">
      <c r="A340" s="53">
        <v>339</v>
      </c>
      <c r="B340" s="118">
        <f t="shared" si="30"/>
        <v>0.50468999999999997</v>
      </c>
      <c r="C340" s="72" t="str">
        <f t="array" ref="C340">INDEX(NPCFName,TRUNC(1+(COUNTA(NPCFName))*(TRUNC(MOD(($B340*1103515245 +12345)/ 65536, 32768),0)/32768),0))</f>
        <v>Scoth</v>
      </c>
      <c r="D340" s="16" t="str">
        <f t="array" ref="D340">INDEX(NPCLName,TRUNC(1+(COUNTA(NPCLName))*(TRUNC(MOD(($B340*1103515245 +12345)/ 65536, 32768),0)/32768),0))</f>
        <v>Tuskleaf</v>
      </c>
      <c r="E340" s="16" t="str">
        <f t="array" ref="E340">INDEX(NPCClass,TRUNC(1+(COUNTA(NPCClass))*(TRUNC(MOD(($B340*1103515245 +12345)/ 65536, 32768),0)/32768),0))</f>
        <v>Monk</v>
      </c>
      <c r="F340" s="76">
        <v>2</v>
      </c>
      <c r="G340" s="153">
        <f ca="1">VLOOKUP($AB$2,'RF Mod'!$A$2:$G$12,2,FALSE)+VLOOKUP($AD$2,'RF Mod'!$I$2:$O$11,2,FALSE)+(TRUNC(6+(24-6)*(TRUNC(MOD(($Z340*1103515245 +12345)/ 65536, 32768),0)/32768),0))</f>
        <v>6</v>
      </c>
      <c r="H340" s="16">
        <f t="shared" ca="1" si="17"/>
        <v>-2</v>
      </c>
      <c r="I340" s="153">
        <f ca="1">VLOOKUP($AB$2,'RF Mod'!$A$2:$G$12,3,FALSE)+VLOOKUP($AD$2,'RF Mod'!$I$2:$O$11,3,FALSE)+(TRUNC(6+(24-6)*(TRUNC(MOD(($Z340*1103515245 +12345)/ 65536, 32768),0)/32768),0))</f>
        <v>10</v>
      </c>
      <c r="J340" s="16" t="e">
        <f t="shared" ca="1" si="18"/>
        <v>#NAME?</v>
      </c>
      <c r="K340" s="153">
        <f ca="1">VLOOKUP($AB$2,'RF Mod'!$A$2:$G$12,3,FALSE)+VLOOKUP($AD$2,'RF Mod'!$I$2:$O$11,3,FALSE)+(TRUNC(6+(24-6)*(TRUNC(MOD(($Z340*1103515245 +12345)/ 65536, 32768),0)/32768),0))</f>
        <v>10</v>
      </c>
      <c r="L340" s="16" t="e">
        <f t="shared" ca="1" si="19"/>
        <v>#NAME?</v>
      </c>
      <c r="M340" s="153">
        <f ca="1">VLOOKUP($AB$2,'RF Mod'!$A$2:$G$12,4,FALSE)+VLOOKUP($AD$2,'RF Mod'!$I$2:$O$11,4,FALSE)+(TRUNC(6+(24-6)*(TRUNC(MOD(($Z340*1103515245 +12345)/ 65536, 32768),0)/32768),0))</f>
        <v>9</v>
      </c>
      <c r="N340" s="16">
        <f t="shared" ca="1" si="20"/>
        <v>-1</v>
      </c>
      <c r="O340" s="153">
        <f ca="1">VLOOKUP($AB$2,'RF Mod'!$A$2:$G$12,5,FALSE)+VLOOKUP($AD$2,'RF Mod'!$I$2:$O$11,5,FALSE)+(TRUNC(6+(24-6)*(TRUNC(MOD(($Z340*1103515245 +12345)/ 65536, 32768),0)/32768),0))</f>
        <v>12</v>
      </c>
      <c r="P340" s="16" t="e">
        <f t="shared" ca="1" si="21"/>
        <v>#NAME?</v>
      </c>
      <c r="Q340" s="153">
        <f ca="1">VLOOKUP($AB$2,'RF Mod'!$A$2:$G$12,6,FALSE)+VLOOKUP($AD$2,'RF Mod'!$I$2:$O$11,6,FALSE)+(TRUNC(6+(24-6)*(TRUNC(MOD(($Z340*1103515245 +12345)/ 65536, 32768),0)/32768),0))</f>
        <v>10</v>
      </c>
      <c r="R340" s="16" t="e">
        <f t="shared" ca="1" si="22"/>
        <v>#NAME?</v>
      </c>
      <c r="S340" s="154">
        <f t="shared" ca="1" si="28"/>
        <v>24</v>
      </c>
      <c r="T340" s="154">
        <f t="shared" ca="1" si="23"/>
        <v>6</v>
      </c>
      <c r="U340" s="16" t="str">
        <f t="shared" ca="1" si="24"/>
        <v>Fine</v>
      </c>
      <c r="V340" s="155">
        <f ca="1">IFERROR(__xludf.DUMMYFUNCTION("if(W340=""Middle Age"",QUERY(NPCVar!$K$2:$N1000, ""Select L where K = '""&amp;AB340&amp;""'""),if(W340=""Old"",QUERY(NPCVar!$K$2:$N1000, ""Select M where K = '""&amp;AB340&amp;""'""),if(W340=""Venerable"",QUERY(NPCVar!$K$2:$N1000, ""Select N where K = '""&amp;AB340&amp;""'""),fa"&amp;"lse)))*X340"),196.875)</f>
        <v>196.875</v>
      </c>
      <c r="W340" s="156" t="str">
        <f t="array" ref="W340">INDEX(NPCAgeType,TRUNC(1+(4-1)*(TRUNC(MOD((X340*1103515245 +12345)/ 65536, 32768),0)/32768),0))</f>
        <v>Old</v>
      </c>
      <c r="X340" s="117">
        <f t="shared" si="29"/>
        <v>0.7</v>
      </c>
      <c r="Y340" s="157" t="e">
        <f t="array" aca="1" ref="Y340" ca="1">LOOKUP(ABS(MAX(Z340 + MIN(ABS(INDIRECT("Class Jobs!B"&amp;MATCH(E340,'Class Jobs'!$A$1:$A1000,0)&amp;":"&amp;"AF"&amp;MATCH(E340,'Class Jobs'!$A$1:$A1000,0)&amp;"")-$Z340)) * SUM(IF(MIN(ABS(INDIRECT("Class Jobs!B"&amp;MATCH(E340,'Class Jobs'!$A$1:$A1000,0)&amp;":"&amp;"AF"&amp;MATCH(E340,'Class Jobs'!$A$1:$A1000,0)&amp;"")-$Z340))=ABS(INDIRECT("Class Jobs!B"&amp;MATCH(E340,'Class Jobs'!$A$1:$A1000,0)&amp;":"&amp;"AF"&amp;MATCH(E340,'Class Jobs'!$A$1:$A1000,0)&amp;"")-$Z340),SIGN(INDIRECT("Class Jobs!B"&amp;MATCH(E340,'Class Jobs'!$A$1:A1000,0)&amp;":"&amp;"AF"&amp;MATCH(E340,'Class Jobs'!$A$1:$A1000,0)&amp;"")-$Z340),0)),0)),INDIRECT("Class Jobs!B"&amp;MATCH(E340,'Class Jobs'!$A$1:$A1000,0)&amp;":"&amp;"AF"&amp;MATCH(E340,'Class Jobs'!$A$1:$A1000,1)&amp;""),'Class Jobs'!$B$1:$AF$1)</f>
        <v>#REF!</v>
      </c>
      <c r="Z340" s="158">
        <f t="shared" si="25"/>
        <v>0.26</v>
      </c>
      <c r="AA340" s="16" t="str">
        <f t="array" ref="AA340">INDEX(NPCGender,TRUNC(1+(COUNTA(NPCGender))*(TRUNC(MOD(($B340*1103515245 +12345)/ 65536, 32768),0)/32768),0))</f>
        <v>Male</v>
      </c>
      <c r="AB340" s="16" t="str">
        <f t="array" ref="AB340">INDEX(NPCRace,TRUNC(1+(COUNTA(NPCRace))*(TRUNC(MOD(($B340*1103515245 +12345)/ 65536, 32768),0)/32768),0))</f>
        <v>Elf</v>
      </c>
      <c r="AC340" s="16" t="str">
        <f t="array" ref="AC340">INDEX(NPCAL,TRUNC(1+(COUNTA(NPCAL))*(TRUNC(MOD(($B340*1103515245 +12345)/ 65536, 32768),0)/32768),0))</f>
        <v>CG</v>
      </c>
      <c r="AD340" s="72" t="str">
        <f ca="1">IFERROR(__xludf.DUMMYFUNCTION("if(V340&lt;15,QUERY(NPCVar!C:D,""Select D WHERE C = '""&amp;D340&amp;""'""),if((TRUNC(1+10)*(TRUNC(MOD((ROW(H340)*1103515245 +12345)/ 65536, 32768),0)/32768)/10) &gt; 0.85,INDEX(NPCFaction,TRUNC(1+(counta(NPCFaction)-1)*(TRUNC(MOD(($B340*1103515245 +12345)/ 65536, 3276"&amp;"8),0)/32768),0)),QUERY(NPCVar!C:D,""Select D WHERE C = '""&amp;D340&amp;""'"")))"),"Magic Guild")</f>
        <v>Magic Guild</v>
      </c>
      <c r="AE340" s="108" t="e">
        <f t="shared" ca="1" si="26"/>
        <v>#NAME?</v>
      </c>
      <c r="AF340" s="159">
        <f ca="1">IFERROR(__xludf.DUMMYFUNCTION("AE340*(V340 / QUERY(NPCVar!$K$2:$N$12, ""Select N WHERE K='""&amp;AB340&amp;""'""))*TRUNC(1+10)*(TRUNC(MOD(($B340*1103515245 +12345)/ 65536, 32768),0)/32768)"),0)</f>
        <v>0</v>
      </c>
      <c r="AG340" s="16"/>
      <c r="AH340" s="77"/>
      <c r="AI340" s="114"/>
    </row>
    <row r="341" spans="1:35" ht="16.2">
      <c r="A341" s="53">
        <v>340</v>
      </c>
      <c r="B341" s="118">
        <f t="shared" si="30"/>
        <v>1.99882</v>
      </c>
      <c r="C341" s="72" t="str">
        <f t="array" ref="C341">INDEX(NPCFName,TRUNC(1+(COUNTA(NPCFName))*(TRUNC(MOD(($B341*1103515245 +12345)/ 65536, 32768),0)/32768),0))</f>
        <v>Basden</v>
      </c>
      <c r="D341" s="16" t="str">
        <f t="array" ref="D341">INDEX(NPCLName,TRUNC(1+(COUNTA(NPCLName))*(TRUNC(MOD(($B341*1103515245 +12345)/ 65536, 32768),0)/32768),0))</f>
        <v>Stagfang</v>
      </c>
      <c r="E341" s="16" t="str">
        <f t="array" ref="E341">INDEX(NPCClass,TRUNC(1+(COUNTA(NPCClass))*(TRUNC(MOD(($B341*1103515245 +12345)/ 65536, 32768),0)/32768),0))</f>
        <v>Barbarian</v>
      </c>
      <c r="F341" s="76">
        <v>1</v>
      </c>
      <c r="G341" s="153">
        <f ca="1">VLOOKUP($AB$2,'RF Mod'!$A$2:$G$12,2,FALSE)+VLOOKUP($AD$2,'RF Mod'!$I$2:$O$11,2,FALSE)+(TRUNC(6+(24-6)*(TRUNC(MOD(($Z341*1103515245 +12345)/ 65536, 32768),0)/32768),0))</f>
        <v>4</v>
      </c>
      <c r="H341" s="16">
        <f t="shared" ca="1" si="17"/>
        <v>-3</v>
      </c>
      <c r="I341" s="153">
        <f ca="1">VLOOKUP($AB$2,'RF Mod'!$A$2:$G$12,3,FALSE)+VLOOKUP($AD$2,'RF Mod'!$I$2:$O$11,3,FALSE)+(TRUNC(6+(24-6)*(TRUNC(MOD(($Z341*1103515245 +12345)/ 65536, 32768),0)/32768),0))</f>
        <v>8</v>
      </c>
      <c r="J341" s="16">
        <f t="shared" ca="1" si="18"/>
        <v>-1</v>
      </c>
      <c r="K341" s="153">
        <f ca="1">VLOOKUP($AB$2,'RF Mod'!$A$2:$G$12,3,FALSE)+VLOOKUP($AD$2,'RF Mod'!$I$2:$O$11,3,FALSE)+(TRUNC(6+(24-6)*(TRUNC(MOD(($Z341*1103515245 +12345)/ 65536, 32768),0)/32768),0))</f>
        <v>8</v>
      </c>
      <c r="L341" s="16">
        <f t="shared" ca="1" si="19"/>
        <v>-1</v>
      </c>
      <c r="M341" s="153">
        <f ca="1">VLOOKUP($AB$2,'RF Mod'!$A$2:$G$12,4,FALSE)+VLOOKUP($AD$2,'RF Mod'!$I$2:$O$11,4,FALSE)+(TRUNC(6+(24-6)*(TRUNC(MOD(($Z341*1103515245 +12345)/ 65536, 32768),0)/32768),0))</f>
        <v>7</v>
      </c>
      <c r="N341" s="16">
        <f t="shared" ca="1" si="20"/>
        <v>-2</v>
      </c>
      <c r="O341" s="153">
        <f ca="1">VLOOKUP($AB$2,'RF Mod'!$A$2:$G$12,5,FALSE)+VLOOKUP($AD$2,'RF Mod'!$I$2:$O$11,5,FALSE)+(TRUNC(6+(24-6)*(TRUNC(MOD(($Z341*1103515245 +12345)/ 65536, 32768),0)/32768),0))</f>
        <v>10</v>
      </c>
      <c r="P341" s="16" t="e">
        <f t="shared" ca="1" si="21"/>
        <v>#NAME?</v>
      </c>
      <c r="Q341" s="153">
        <f ca="1">VLOOKUP($AB$2,'RF Mod'!$A$2:$G$12,6,FALSE)+VLOOKUP($AD$2,'RF Mod'!$I$2:$O$11,6,FALSE)+(TRUNC(6+(24-6)*(TRUNC(MOD(($Z341*1103515245 +12345)/ 65536, 32768),0)/32768),0))</f>
        <v>8</v>
      </c>
      <c r="R341" s="16">
        <f t="shared" ca="1" si="22"/>
        <v>-1</v>
      </c>
      <c r="S341" s="154">
        <f t="shared" ca="1" si="28"/>
        <v>10</v>
      </c>
      <c r="T341" s="154">
        <f t="shared" ca="1" si="23"/>
        <v>4</v>
      </c>
      <c r="U341" s="16" t="str">
        <f t="shared" ca="1" si="24"/>
        <v>Fine</v>
      </c>
      <c r="V341" s="155">
        <f ca="1">IFERROR(__xludf.DUMMYFUNCTION("if(W341=""Middle Age"",QUERY(NPCVar!$K$2:$N1000, ""Select L where K = '""&amp;AB341&amp;""'""),if(W341=""Old"",QUERY(NPCVar!$K$2:$N1000, ""Select M where K = '""&amp;AB341&amp;""'""),if(W341=""Venerable"",QUERY(NPCVar!$K$2:$N1000, ""Select N where K = '""&amp;AB341&amp;""'""),fa"&amp;"lse)))*X341"),2)</f>
        <v>2</v>
      </c>
      <c r="W341" s="156" t="str">
        <f t="array" ref="W341">INDEX(NPCAgeType,TRUNC(1+(4-1)*(TRUNC(MOD((X341*1103515245 +12345)/ 65536, 32768),0)/32768),0))</f>
        <v>Middle Age</v>
      </c>
      <c r="X341" s="117">
        <f t="shared" si="29"/>
        <v>0.1</v>
      </c>
      <c r="Y341" s="157" t="e">
        <f t="array" aca="1" ref="Y341" ca="1">LOOKUP(ABS(MAX(Z341 + MIN(ABS(INDIRECT("Class Jobs!B"&amp;MATCH(E341,'Class Jobs'!$A$1:$A1000,0)&amp;":"&amp;"AF"&amp;MATCH(E341,'Class Jobs'!$A$1:$A1000,0)&amp;"")-$Z341)) * SUM(IF(MIN(ABS(INDIRECT("Class Jobs!B"&amp;MATCH(E341,'Class Jobs'!$A$1:$A1000,0)&amp;":"&amp;"AF"&amp;MATCH(E341,'Class Jobs'!$A$1:$A1000,0)&amp;"")-$Z341))=ABS(INDIRECT("Class Jobs!B"&amp;MATCH(E341,'Class Jobs'!$A$1:$A1000,0)&amp;":"&amp;"AF"&amp;MATCH(E341,'Class Jobs'!$A$1:$A1000,0)&amp;"")-$Z341),SIGN(INDIRECT("Class Jobs!B"&amp;MATCH(E341,'Class Jobs'!$A$1:A1000,0)&amp;":"&amp;"AF"&amp;MATCH(E341,'Class Jobs'!$A$1:$A1000,0)&amp;"")-$Z341),0)),0)),INDIRECT("Class Jobs!B"&amp;MATCH(E341,'Class Jobs'!$A$1:$A1000,0)&amp;":"&amp;"AF"&amp;MATCH(E341,'Class Jobs'!$A$1:$A1000,1)&amp;""),'Class Jobs'!$B$1:$AF$1)</f>
        <v>#REF!</v>
      </c>
      <c r="Z341" s="158">
        <f t="shared" si="25"/>
        <v>0.03</v>
      </c>
      <c r="AA341" s="16" t="str">
        <f t="array" ref="AA341">INDEX(NPCGender,TRUNC(1+(COUNTA(NPCGender))*(TRUNC(MOD(($B341*1103515245 +12345)/ 65536, 32768),0)/32768),0))</f>
        <v>Male</v>
      </c>
      <c r="AB341" s="16" t="str">
        <f t="array" ref="AB341">INDEX(NPCRace,TRUNC(1+(COUNTA(NPCRace))*(TRUNC(MOD(($B341*1103515245 +12345)/ 65536, 32768),0)/32768),0))</f>
        <v>Dragonborn</v>
      </c>
      <c r="AC341" s="16" t="str">
        <f t="array" ref="AC341">INDEX(NPCAL,TRUNC(1+(COUNTA(NPCAL))*(TRUNC(MOD(($B341*1103515245 +12345)/ 65536, 32768),0)/32768),0))</f>
        <v>CN</v>
      </c>
      <c r="AD341" s="72" t="str">
        <f ca="1">IFERROR(__xludf.DUMMYFUNCTION("if(V341&lt;15,QUERY(NPCVar!C:D,""Select D WHERE C = '""&amp;D341&amp;""'""),if((TRUNC(1+10)*(TRUNC(MOD((ROW(H341)*1103515245 +12345)/ 65536, 32768),0)/32768)/10) &gt; 0.85,INDEX(NPCFaction,TRUNC(1+(counta(NPCFaction)-1)*(TRUNC(MOD(($B341*1103515245 +12345)/ 65536, 3276"&amp;"8),0)/32768),0)),QUERY(NPCVar!C:D,""Select D WHERE C = '""&amp;D341&amp;""'"")))"),"Royalty")</f>
        <v>Royalty</v>
      </c>
      <c r="AE341" s="108" t="e">
        <f t="shared" ca="1" si="26"/>
        <v>#NAME?</v>
      </c>
      <c r="AF341" s="159">
        <f ca="1">IFERROR(__xludf.DUMMYFUNCTION("AE341*(V341 / QUERY(NPCVar!$K$2:$N$12, ""Select N WHERE K='""&amp;AB341&amp;""'""))*TRUNC(1+10)*(TRUNC(MOD(($B341*1103515245 +12345)/ 65536, 32768),0)/32768)"),0.00298095703125)</f>
        <v>2.9809570312500002E-3</v>
      </c>
      <c r="AG341" s="16"/>
      <c r="AH341" s="77"/>
      <c r="AI341" s="114"/>
    </row>
    <row r="342" spans="1:35" ht="16.2">
      <c r="A342" s="53">
        <v>341</v>
      </c>
      <c r="B342" s="118">
        <f t="shared" si="30"/>
        <v>0.99297000000000002</v>
      </c>
      <c r="C342" s="72" t="str">
        <f t="array" ref="C342">INDEX(NPCFName,TRUNC(1+(COUNTA(NPCFName))*(TRUNC(MOD(($B342*1103515245 +12345)/ 65536, 32768),0)/32768),0))</f>
        <v>Loban</v>
      </c>
      <c r="D342" s="16" t="str">
        <f t="array" ref="D342">INDEX(NPCLName,TRUNC(1+(COUNTA(NPCLName))*(TRUNC(MOD(($B342*1103515245 +12345)/ 65536, 32768),0)/32768),0))</f>
        <v>Staghammer</v>
      </c>
      <c r="E342" s="16" t="str">
        <f t="array" ref="E342">INDEX(NPCClass,TRUNC(1+(COUNTA(NPCClass))*(TRUNC(MOD(($B342*1103515245 +12345)/ 65536, 32768),0)/32768),0))</f>
        <v>Sorcerer</v>
      </c>
      <c r="F342" s="76">
        <v>8</v>
      </c>
      <c r="G342" s="153">
        <f ca="1">VLOOKUP($AB$2,'RF Mod'!$A$2:$G$12,2,FALSE)+VLOOKUP($AD$2,'RF Mod'!$I$2:$O$11,2,FALSE)+(TRUNC(6+(24-6)*(TRUNC(MOD(($Z342*1103515245 +12345)/ 65536, 32768),0)/32768),0))</f>
        <v>8</v>
      </c>
      <c r="H342" s="16">
        <f t="shared" ca="1" si="17"/>
        <v>-1</v>
      </c>
      <c r="I342" s="153">
        <f ca="1">VLOOKUP($AB$2,'RF Mod'!$A$2:$G$12,3,FALSE)+VLOOKUP($AD$2,'RF Mod'!$I$2:$O$11,3,FALSE)+(TRUNC(6+(24-6)*(TRUNC(MOD(($Z342*1103515245 +12345)/ 65536, 32768),0)/32768),0))</f>
        <v>12</v>
      </c>
      <c r="J342" s="16" t="e">
        <f t="shared" ca="1" si="18"/>
        <v>#NAME?</v>
      </c>
      <c r="K342" s="153">
        <f ca="1">VLOOKUP($AB$2,'RF Mod'!$A$2:$G$12,3,FALSE)+VLOOKUP($AD$2,'RF Mod'!$I$2:$O$11,3,FALSE)+(TRUNC(6+(24-6)*(TRUNC(MOD(($Z342*1103515245 +12345)/ 65536, 32768),0)/32768),0))</f>
        <v>12</v>
      </c>
      <c r="L342" s="16" t="e">
        <f t="shared" ca="1" si="19"/>
        <v>#NAME?</v>
      </c>
      <c r="M342" s="153">
        <f ca="1">VLOOKUP($AB$2,'RF Mod'!$A$2:$G$12,4,FALSE)+VLOOKUP($AD$2,'RF Mod'!$I$2:$O$11,4,FALSE)+(TRUNC(6+(24-6)*(TRUNC(MOD(($Z342*1103515245 +12345)/ 65536, 32768),0)/32768),0))</f>
        <v>11</v>
      </c>
      <c r="N342" s="16" t="e">
        <f t="shared" ca="1" si="20"/>
        <v>#NAME?</v>
      </c>
      <c r="O342" s="153">
        <f ca="1">VLOOKUP($AB$2,'RF Mod'!$A$2:$G$12,5,FALSE)+VLOOKUP($AD$2,'RF Mod'!$I$2:$O$11,5,FALSE)+(TRUNC(6+(24-6)*(TRUNC(MOD(($Z342*1103515245 +12345)/ 65536, 32768),0)/32768),0))</f>
        <v>14</v>
      </c>
      <c r="P342" s="16" t="e">
        <f t="shared" ca="1" si="21"/>
        <v>#NAME?</v>
      </c>
      <c r="Q342" s="153">
        <f ca="1">VLOOKUP($AB$2,'RF Mod'!$A$2:$G$12,6,FALSE)+VLOOKUP($AD$2,'RF Mod'!$I$2:$O$11,6,FALSE)+(TRUNC(6+(24-6)*(TRUNC(MOD(($Z342*1103515245 +12345)/ 65536, 32768),0)/32768),0))</f>
        <v>12</v>
      </c>
      <c r="R342" s="16" t="e">
        <f t="shared" ca="1" si="22"/>
        <v>#NAME?</v>
      </c>
      <c r="S342" s="154">
        <f t="shared" ca="1" si="28"/>
        <v>176</v>
      </c>
      <c r="T342" s="154">
        <f t="shared" ca="1" si="23"/>
        <v>182</v>
      </c>
      <c r="U342" s="16" t="str">
        <f t="shared" ca="1" si="24"/>
        <v>Dead</v>
      </c>
      <c r="V342" s="155">
        <f ca="1">IFERROR(__xludf.DUMMYFUNCTION("if(W342=""Middle Age"",QUERY(NPCVar!$K$2:$N1000, ""Select L where K = '""&amp;AB342&amp;""'""),if(W342=""Old"",QUERY(NPCVar!$K$2:$N1000, ""Select M where K = '""&amp;AB342&amp;""'""),if(W342=""Venerable"",QUERY(NPCVar!$K$2:$N1000, ""Select N where K = '""&amp;AB342&amp;""'""),fa"&amp;"lse)))*X342"),91)</f>
        <v>91</v>
      </c>
      <c r="W342" s="156" t="str">
        <f t="array" ref="W342">INDEX(NPCAgeType,TRUNC(1+(4-1)*(TRUNC(MOD((X342*1103515245 +12345)/ 65536, 32768),0)/32768),0))</f>
        <v>Venerable</v>
      </c>
      <c r="X342" s="117">
        <f t="shared" si="29"/>
        <v>1.3</v>
      </c>
      <c r="Y342" s="157" t="e">
        <f t="array" aca="1" ref="Y342" ca="1">LOOKUP(ABS(MAX(Z342 + MIN(ABS(INDIRECT("Class Jobs!B"&amp;MATCH(E342,'Class Jobs'!$A$1:$A1000,0)&amp;":"&amp;"AF"&amp;MATCH(E342,'Class Jobs'!$A$1:$A1000,0)&amp;"")-$Z342)) * SUM(IF(MIN(ABS(INDIRECT("Class Jobs!B"&amp;MATCH(E342,'Class Jobs'!$A$1:$A1000,0)&amp;":"&amp;"AF"&amp;MATCH(E342,'Class Jobs'!$A$1:$A1000,0)&amp;"")-$Z342))=ABS(INDIRECT("Class Jobs!B"&amp;MATCH(E342,'Class Jobs'!$A$1:$A1000,0)&amp;":"&amp;"AF"&amp;MATCH(E342,'Class Jobs'!$A$1:$A1000,0)&amp;"")-$Z342),SIGN(INDIRECT("Class Jobs!B"&amp;MATCH(E342,'Class Jobs'!$A$1:A1000,0)&amp;":"&amp;"AF"&amp;MATCH(E342,'Class Jobs'!$A$1:$A1000,0)&amp;"")-$Z342),0)),0)),INDIRECT("Class Jobs!B"&amp;MATCH(E342,'Class Jobs'!$A$1:$A1000,0)&amp;":"&amp;"AF"&amp;MATCH(E342,'Class Jobs'!$A$1:$A1000,1)&amp;""),'Class Jobs'!$B$1:$AF$1)</f>
        <v>#REF!</v>
      </c>
      <c r="Z342" s="158">
        <f t="shared" si="25"/>
        <v>0.51</v>
      </c>
      <c r="AA342" s="16" t="str">
        <f t="array" ref="AA342">INDEX(NPCGender,TRUNC(1+(COUNTA(NPCGender))*(TRUNC(MOD(($B342*1103515245 +12345)/ 65536, 32768),0)/32768),0))</f>
        <v>Female</v>
      </c>
      <c r="AB342" s="16" t="str">
        <f t="array" ref="AB342">INDEX(NPCRace,TRUNC(1+(COUNTA(NPCRace))*(TRUNC(MOD(($B342*1103515245 +12345)/ 65536, 32768),0)/32768),0))</f>
        <v>Half-Orc</v>
      </c>
      <c r="AC342" s="16" t="str">
        <f t="array" ref="AC342">INDEX(NPCAL,TRUNC(1+(COUNTA(NPCAL))*(TRUNC(MOD(($B342*1103515245 +12345)/ 65536, 32768),0)/32768),0))</f>
        <v>NN</v>
      </c>
      <c r="AD342" s="72" t="str">
        <f ca="1">IFERROR(__xludf.DUMMYFUNCTION("if(V342&lt;15,QUERY(NPCVar!C:D,""Select D WHERE C = '""&amp;D342&amp;""'""),if((TRUNC(1+10)*(TRUNC(MOD((ROW(H342)*1103515245 +12345)/ 65536, 32768),0)/32768)/10) &gt; 0.85,INDEX(NPCFaction,TRUNC(1+(counta(NPCFaction)-1)*(TRUNC(MOD(($B342*1103515245 +12345)/ 65536, 3276"&amp;"8),0)/32768),0)),QUERY(NPCVar!C:D,""Select D WHERE C = '""&amp;D342&amp;""'"")))"),"Farmers Guild")</f>
        <v>Farmers Guild</v>
      </c>
      <c r="AE342" s="108" t="e">
        <f t="shared" ca="1" si="26"/>
        <v>#NAME?</v>
      </c>
      <c r="AF342" s="159">
        <f ca="1">IFERROR(__xludf.DUMMYFUNCTION("AE342*(V342 / QUERY(NPCVar!$K$2:$N$12, ""Select N WHERE K='""&amp;AB342&amp;""'""))*TRUNC(1+10)*(TRUNC(MOD(($B342*1103515245 +12345)/ 65536, 32768),0)/32768)"),2.91865234375)</f>
        <v>2.9186523437499998</v>
      </c>
      <c r="AG342" s="16"/>
      <c r="AH342" s="77"/>
      <c r="AI342" s="114"/>
    </row>
    <row r="343" spans="1:35" ht="16.2">
      <c r="A343" s="53">
        <v>342</v>
      </c>
      <c r="B343" s="118">
        <f t="shared" si="30"/>
        <v>2.4870999999999999</v>
      </c>
      <c r="C343" s="72" t="str">
        <f t="array" ref="C343">INDEX(NPCFName,TRUNC(1+(COUNTA(NPCFName))*(TRUNC(MOD(($B343*1103515245 +12345)/ 65536, 32768),0)/32768),0))</f>
        <v>Talberon</v>
      </c>
      <c r="D343" s="16" t="str">
        <f t="array" ref="D343">INDEX(NPCLName,TRUNC(1+(COUNTA(NPCLName))*(TRUNC(MOD(($B343*1103515245 +12345)/ 65536, 32768),0)/32768),0))</f>
        <v>Commonscream</v>
      </c>
      <c r="E343" s="16" t="str">
        <f t="array" ref="E343">INDEX(NPCClass,TRUNC(1+(COUNTA(NPCClass))*(TRUNC(MOD(($B343*1103515245 +12345)/ 65536, 32768),0)/32768),0))</f>
        <v>Monk</v>
      </c>
      <c r="F343" s="76">
        <v>1</v>
      </c>
      <c r="G343" s="153">
        <f ca="1">VLOOKUP($AB$2,'RF Mod'!$A$2:$G$12,2,FALSE)+VLOOKUP($AD$2,'RF Mod'!$I$2:$O$11,2,FALSE)+(TRUNC(6+(24-6)*(TRUNC(MOD(($Z343*1103515245 +12345)/ 65536, 32768),0)/32768),0))</f>
        <v>6</v>
      </c>
      <c r="H343" s="16">
        <f t="shared" ca="1" si="17"/>
        <v>-2</v>
      </c>
      <c r="I343" s="153">
        <f ca="1">VLOOKUP($AB$2,'RF Mod'!$A$2:$G$12,3,FALSE)+VLOOKUP($AD$2,'RF Mod'!$I$2:$O$11,3,FALSE)+(TRUNC(6+(24-6)*(TRUNC(MOD(($Z343*1103515245 +12345)/ 65536, 32768),0)/32768),0))</f>
        <v>10</v>
      </c>
      <c r="J343" s="16" t="e">
        <f t="shared" ca="1" si="18"/>
        <v>#NAME?</v>
      </c>
      <c r="K343" s="153">
        <f ca="1">VLOOKUP($AB$2,'RF Mod'!$A$2:$G$12,3,FALSE)+VLOOKUP($AD$2,'RF Mod'!$I$2:$O$11,3,FALSE)+(TRUNC(6+(24-6)*(TRUNC(MOD(($Z343*1103515245 +12345)/ 65536, 32768),0)/32768),0))</f>
        <v>10</v>
      </c>
      <c r="L343" s="16" t="e">
        <f t="shared" ca="1" si="19"/>
        <v>#NAME?</v>
      </c>
      <c r="M343" s="153">
        <f ca="1">VLOOKUP($AB$2,'RF Mod'!$A$2:$G$12,4,FALSE)+VLOOKUP($AD$2,'RF Mod'!$I$2:$O$11,4,FALSE)+(TRUNC(6+(24-6)*(TRUNC(MOD(($Z343*1103515245 +12345)/ 65536, 32768),0)/32768),0))</f>
        <v>9</v>
      </c>
      <c r="N343" s="16">
        <f t="shared" ca="1" si="20"/>
        <v>-1</v>
      </c>
      <c r="O343" s="153">
        <f ca="1">VLOOKUP($AB$2,'RF Mod'!$A$2:$G$12,5,FALSE)+VLOOKUP($AD$2,'RF Mod'!$I$2:$O$11,5,FALSE)+(TRUNC(6+(24-6)*(TRUNC(MOD(($Z343*1103515245 +12345)/ 65536, 32768),0)/32768),0))</f>
        <v>12</v>
      </c>
      <c r="P343" s="16" t="e">
        <f t="shared" ca="1" si="21"/>
        <v>#NAME?</v>
      </c>
      <c r="Q343" s="153">
        <f ca="1">VLOOKUP($AB$2,'RF Mod'!$A$2:$G$12,6,FALSE)+VLOOKUP($AD$2,'RF Mod'!$I$2:$O$11,6,FALSE)+(TRUNC(6+(24-6)*(TRUNC(MOD(($Z343*1103515245 +12345)/ 65536, 32768),0)/32768),0))</f>
        <v>10</v>
      </c>
      <c r="R343" s="16" t="e">
        <f t="shared" ca="1" si="22"/>
        <v>#NAME?</v>
      </c>
      <c r="S343" s="154">
        <f t="shared" ca="1" si="28"/>
        <v>14</v>
      </c>
      <c r="T343" s="154">
        <f t="shared" ca="1" si="23"/>
        <v>4</v>
      </c>
      <c r="U343" s="16" t="str">
        <f t="shared" ca="1" si="24"/>
        <v>Fine</v>
      </c>
      <c r="V343" s="155">
        <f ca="1">IFERROR(__xludf.DUMMYFUNCTION("if(W343=""Middle Age"",QUERY(NPCVar!$K$2:$N1000, ""Select L where K = '""&amp;AB343&amp;""'""),if(W343=""Old"",QUERY(NPCVar!$K$2:$N1000, ""Select M where K = '""&amp;AB343&amp;""'""),if(W343=""Venerable"",QUERY(NPCVar!$K$2:$N1000, ""Select N where K = '""&amp;AB343&amp;""'""),fa"&amp;"lse)))*X343"),118.124999999999)</f>
        <v>118.12499999999901</v>
      </c>
      <c r="W343" s="156" t="str">
        <f t="array" ref="W343">INDEX(NPCAgeType,TRUNC(1+(4-1)*(TRUNC(MOD((X343*1103515245 +12345)/ 65536, 32768),0)/32768),0))</f>
        <v>Old</v>
      </c>
      <c r="X343" s="117">
        <f t="shared" si="29"/>
        <v>0.7</v>
      </c>
      <c r="Y343" s="157" t="e">
        <f t="array" aca="1" ref="Y343" ca="1">LOOKUP(ABS(MAX(Z343 + MIN(ABS(INDIRECT("Class Jobs!B"&amp;MATCH(E343,'Class Jobs'!$A$1:$A1000,0)&amp;":"&amp;"AF"&amp;MATCH(E343,'Class Jobs'!$A$1:$A1000,0)&amp;"")-$Z343)) * SUM(IF(MIN(ABS(INDIRECT("Class Jobs!B"&amp;MATCH(E343,'Class Jobs'!$A$1:$A1000,0)&amp;":"&amp;"AF"&amp;MATCH(E343,'Class Jobs'!$A$1:$A1000,0)&amp;"")-$Z343))=ABS(INDIRECT("Class Jobs!B"&amp;MATCH(E343,'Class Jobs'!$A$1:$A1000,0)&amp;":"&amp;"AF"&amp;MATCH(E343,'Class Jobs'!$A$1:$A1000,0)&amp;"")-$Z343),SIGN(INDIRECT("Class Jobs!B"&amp;MATCH(E343,'Class Jobs'!$A$1:A1000,0)&amp;":"&amp;"AF"&amp;MATCH(E343,'Class Jobs'!$A$1:$A1000,0)&amp;"")-$Z343),0)),0)),INDIRECT("Class Jobs!B"&amp;MATCH(E343,'Class Jobs'!$A$1:$A1000,0)&amp;":"&amp;"AF"&amp;MATCH(E343,'Class Jobs'!$A$1:$A1000,1)&amp;""),'Class Jobs'!$B$1:$AF$1)</f>
        <v>#REF!</v>
      </c>
      <c r="Z343" s="158">
        <f t="shared" si="25"/>
        <v>0.28000000000000003</v>
      </c>
      <c r="AA343" s="16" t="str">
        <f t="array" ref="AA343">INDEX(NPCGender,TRUNC(1+(COUNTA(NPCGender))*(TRUNC(MOD(($B343*1103515245 +12345)/ 65536, 32768),0)/32768),0))</f>
        <v>Male</v>
      </c>
      <c r="AB343" s="16" t="str">
        <f t="array" ref="AB343">INDEX(NPCRace,TRUNC(1+(COUNTA(NPCRace))*(TRUNC(MOD(($B343*1103515245 +12345)/ 65536, 32768),0)/32768),0))</f>
        <v>Gnome</v>
      </c>
      <c r="AC343" s="16" t="str">
        <f t="array" ref="AC343">INDEX(NPCAL,TRUNC(1+(COUNTA(NPCAL))*(TRUNC(MOD(($B343*1103515245 +12345)/ 65536, 32768),0)/32768),0))</f>
        <v>CG</v>
      </c>
      <c r="AD343" s="72" t="str">
        <f ca="1">IFERROR(__xludf.DUMMYFUNCTION("if(V343&lt;15,QUERY(NPCVar!C:D,""Select D WHERE C = '""&amp;D343&amp;""'""),if((TRUNC(1+10)*(TRUNC(MOD((ROW(H343)*1103515245 +12345)/ 65536, 32768),0)/32768)/10) &gt; 0.85,INDEX(NPCFaction,TRUNC(1+(counta(NPCFaction)-1)*(TRUNC(MOD(($B343*1103515245 +12345)/ 65536, 3276"&amp;"8),0)/32768),0)),QUERY(NPCVar!C:D,""Select D WHERE C = '""&amp;D343&amp;""'"")))"),"Necromancer")</f>
        <v>Necromancer</v>
      </c>
      <c r="AE343" s="108" t="e">
        <f t="shared" ca="1" si="26"/>
        <v>#NAME?</v>
      </c>
      <c r="AF343" s="159">
        <f ca="1">IFERROR(__xludf.DUMMYFUNCTION("AE343*(V343 / QUERY(NPCVar!$K$2:$N$12, ""Select N WHERE K='""&amp;AB343&amp;""'""))*TRUNC(1+10)*(TRUNC(MOD(($B343*1103515245 +12345)/ 65536, 32768),0)/32768)"),0.401384353637695)</f>
        <v>0.40138435363769498</v>
      </c>
      <c r="AG343" s="16"/>
      <c r="AH343" s="77"/>
      <c r="AI343" s="114"/>
    </row>
    <row r="344" spans="1:35" ht="16.2">
      <c r="A344" s="53">
        <v>343</v>
      </c>
      <c r="B344" s="118">
        <f t="shared" si="30"/>
        <v>1.4811700000000001</v>
      </c>
      <c r="C344" s="72" t="str">
        <f t="array" ref="C344">INDEX(NPCFName,TRUNC(1+(COUNTA(NPCFName))*(TRUNC(MOD(($B344*1103515245 +12345)/ 65536, 32768),0)/32768),0))</f>
        <v>Enoon</v>
      </c>
      <c r="D344" s="16" t="str">
        <f t="array" ref="D344">INDEX(NPCLName,TRUNC(1+(COUNTA(NPCLName))*(TRUNC(MOD(($B344*1103515245 +12345)/ 65536, 32768),0)/32768),0))</f>
        <v>Sacredgloom</v>
      </c>
      <c r="E344" s="16" t="str">
        <f t="array" ref="E344">INDEX(NPCClass,TRUNC(1+(COUNTA(NPCClass))*(TRUNC(MOD(($B344*1103515245 +12345)/ 65536, 32768),0)/32768),0))</f>
        <v>Cleric</v>
      </c>
      <c r="F344" s="76">
        <v>8</v>
      </c>
      <c r="G344" s="153">
        <f ca="1">VLOOKUP($AB$2,'RF Mod'!$A$2:$G$12,2,FALSE)+VLOOKUP($AD$2,'RF Mod'!$I$2:$O$11,2,FALSE)+(TRUNC(6+(24-6)*(TRUNC(MOD(($Z344*1103515245 +12345)/ 65536, 32768),0)/32768),0))</f>
        <v>11</v>
      </c>
      <c r="H344" s="16" t="e">
        <f t="shared" ca="1" si="17"/>
        <v>#NAME?</v>
      </c>
      <c r="I344" s="153">
        <f ca="1">VLOOKUP($AB$2,'RF Mod'!$A$2:$G$12,3,FALSE)+VLOOKUP($AD$2,'RF Mod'!$I$2:$O$11,3,FALSE)+(TRUNC(6+(24-6)*(TRUNC(MOD(($Z344*1103515245 +12345)/ 65536, 32768),0)/32768),0))</f>
        <v>15</v>
      </c>
      <c r="J344" s="16" t="e">
        <f t="shared" ca="1" si="18"/>
        <v>#NAME?</v>
      </c>
      <c r="K344" s="153">
        <f ca="1">VLOOKUP($AB$2,'RF Mod'!$A$2:$G$12,3,FALSE)+VLOOKUP($AD$2,'RF Mod'!$I$2:$O$11,3,FALSE)+(TRUNC(6+(24-6)*(TRUNC(MOD(($Z344*1103515245 +12345)/ 65536, 32768),0)/32768),0))</f>
        <v>15</v>
      </c>
      <c r="L344" s="16" t="e">
        <f t="shared" ca="1" si="19"/>
        <v>#NAME?</v>
      </c>
      <c r="M344" s="153">
        <f ca="1">VLOOKUP($AB$2,'RF Mod'!$A$2:$G$12,4,FALSE)+VLOOKUP($AD$2,'RF Mod'!$I$2:$O$11,4,FALSE)+(TRUNC(6+(24-6)*(TRUNC(MOD(($Z344*1103515245 +12345)/ 65536, 32768),0)/32768),0))</f>
        <v>14</v>
      </c>
      <c r="N344" s="16" t="e">
        <f t="shared" ca="1" si="20"/>
        <v>#NAME?</v>
      </c>
      <c r="O344" s="153">
        <f ca="1">VLOOKUP($AB$2,'RF Mod'!$A$2:$G$12,5,FALSE)+VLOOKUP($AD$2,'RF Mod'!$I$2:$O$11,5,FALSE)+(TRUNC(6+(24-6)*(TRUNC(MOD(($Z344*1103515245 +12345)/ 65536, 32768),0)/32768),0))</f>
        <v>17</v>
      </c>
      <c r="P344" s="16" t="e">
        <f t="shared" ca="1" si="21"/>
        <v>#NAME?</v>
      </c>
      <c r="Q344" s="153">
        <f ca="1">VLOOKUP($AB$2,'RF Mod'!$A$2:$G$12,6,FALSE)+VLOOKUP($AD$2,'RF Mod'!$I$2:$O$11,6,FALSE)+(TRUNC(6+(24-6)*(TRUNC(MOD(($Z344*1103515245 +12345)/ 65536, 32768),0)/32768),0))</f>
        <v>15</v>
      </c>
      <c r="R344" s="16" t="e">
        <f t="shared" ca="1" si="22"/>
        <v>#NAME?</v>
      </c>
      <c r="S344" s="154">
        <f t="shared" ca="1" si="28"/>
        <v>168</v>
      </c>
      <c r="T344" s="154">
        <f t="shared" ca="1" si="23"/>
        <v>39</v>
      </c>
      <c r="U344" s="16" t="str">
        <f t="shared" ca="1" si="24"/>
        <v>Fine</v>
      </c>
      <c r="V344" s="155">
        <f ca="1">IFERROR(__xludf.DUMMYFUNCTION("if(W344=""Middle Age"",QUERY(NPCVar!$K$2:$N1000, ""Select L where K = '""&amp;AB344&amp;""'""),if(W344=""Old"",QUERY(NPCVar!$K$2:$N1000, ""Select M where K = '""&amp;AB344&amp;""'""),if(W344=""Venerable"",QUERY(NPCVar!$K$2:$N1000, ""Select N where K = '""&amp;AB344&amp;""'""),fa"&amp;"lse)))*X344"),190)</f>
        <v>190</v>
      </c>
      <c r="W344" s="156" t="str">
        <f t="array" ref="W344">INDEX(NPCAgeType,TRUNC(1+(4-1)*(TRUNC(MOD((X344*1103515245 +12345)/ 65536, 32768),0)/32768),0))</f>
        <v>Venerable</v>
      </c>
      <c r="X344" s="117">
        <f t="shared" si="29"/>
        <v>1.9</v>
      </c>
      <c r="Y344" s="157" t="e">
        <f t="array" aca="1" ref="Y344" ca="1">LOOKUP(ABS(MAX(Z344 + MIN(ABS(INDIRECT("Class Jobs!B"&amp;MATCH(E344,'Class Jobs'!$A$1:$A1000,0)&amp;":"&amp;"AF"&amp;MATCH(E344,'Class Jobs'!$A$1:$A1000,0)&amp;"")-$Z344)) * SUM(IF(MIN(ABS(INDIRECT("Class Jobs!B"&amp;MATCH(E344,'Class Jobs'!$A$1:$A1000,0)&amp;":"&amp;"AF"&amp;MATCH(E344,'Class Jobs'!$A$1:$A1000,0)&amp;"")-$Z344))=ABS(INDIRECT("Class Jobs!B"&amp;MATCH(E344,'Class Jobs'!$A$1:$A1000,0)&amp;":"&amp;"AF"&amp;MATCH(E344,'Class Jobs'!$A$1:$A1000,0)&amp;"")-$Z344),SIGN(INDIRECT("Class Jobs!B"&amp;MATCH(E344,'Class Jobs'!$A$1:A1000,0)&amp;":"&amp;"AF"&amp;MATCH(E344,'Class Jobs'!$A$1:$A1000,0)&amp;"")-$Z344),0)),0)),INDIRECT("Class Jobs!B"&amp;MATCH(E344,'Class Jobs'!$A$1:$A1000,0)&amp;":"&amp;"AF"&amp;MATCH(E344,'Class Jobs'!$A$1:$A1000,1)&amp;""),'Class Jobs'!$B$1:$AF$1)</f>
        <v>#REF!</v>
      </c>
      <c r="Z344" s="158">
        <f t="shared" si="25"/>
        <v>0.76</v>
      </c>
      <c r="AA344" s="16" t="str">
        <f t="array" ref="AA344">INDEX(NPCGender,TRUNC(1+(COUNTA(NPCGender))*(TRUNC(MOD(($B344*1103515245 +12345)/ 65536, 32768),0)/32768),0))</f>
        <v>Neutral</v>
      </c>
      <c r="AB344" s="16" t="str">
        <f t="array" ref="AB344">INDEX(NPCRace,TRUNC(1+(COUNTA(NPCRace))*(TRUNC(MOD(($B344*1103515245 +12345)/ 65536, 32768),0)/32768),0))</f>
        <v>Tiefling</v>
      </c>
      <c r="AC344" s="16" t="str">
        <f t="array" ref="AC344">INDEX(NPCAL,TRUNC(1+(COUNTA(NPCAL))*(TRUNC(MOD(($B344*1103515245 +12345)/ 65536, 32768),0)/32768),0))</f>
        <v>LG</v>
      </c>
      <c r="AD344" s="72" t="str">
        <f ca="1">IFERROR(__xludf.DUMMYFUNCTION("if(V344&lt;15,QUERY(NPCVar!C:D,""Select D WHERE C = '""&amp;D344&amp;""'""),if((TRUNC(1+10)*(TRUNC(MOD((ROW(H344)*1103515245 +12345)/ 65536, 32768),0)/32768)/10) &gt; 0.85,INDEX(NPCFaction,TRUNC(1+(counta(NPCFaction)-1)*(TRUNC(MOD(($B344*1103515245 +12345)/ 65536, 3276"&amp;"8),0)/32768),0)),QUERY(NPCVar!C:D,""Select D WHERE C = '""&amp;D344&amp;""'"")))"),"Adventures Guild")</f>
        <v>Adventures Guild</v>
      </c>
      <c r="AE344" s="108" t="e">
        <f t="shared" ca="1" si="26"/>
        <v>#NAME?</v>
      </c>
      <c r="AF344" s="159">
        <f ca="1">IFERROR(__xludf.DUMMYFUNCTION("AE344*(V344 / QUERY(NPCVar!$K$2:$N$12, ""Select N WHERE K='""&amp;AB344&amp;""'""))*TRUNC(1+10)*(TRUNC(MOD(($B344*1103515245 +12345)/ 65536, 32768),0)/32768)"),6.3628662109375)</f>
        <v>6.3628662109374998</v>
      </c>
      <c r="AG344" s="16"/>
      <c r="AH344" s="77"/>
      <c r="AI344" s="114"/>
    </row>
    <row r="345" spans="1:35" ht="16.2">
      <c r="A345" s="53">
        <v>344</v>
      </c>
      <c r="B345" s="118">
        <f t="shared" si="30"/>
        <v>0.47531000000000001</v>
      </c>
      <c r="C345" s="72" t="str">
        <f t="array" ref="C345">INDEX(NPCFName,TRUNC(1+(COUNTA(NPCFName))*(TRUNC(MOD(($B345*1103515245 +12345)/ 65536, 32768),0)/32768),0))</f>
        <v>Rhithin</v>
      </c>
      <c r="D345" s="16" t="str">
        <f t="array" ref="D345">INDEX(NPCLName,TRUNC(1+(COUNTA(NPCLName))*(TRUNC(MOD(($B345*1103515245 +12345)/ 65536, 32768),0)/32768),0))</f>
        <v>Tuskleaf</v>
      </c>
      <c r="E345" s="16" t="str">
        <f t="array" ref="E345">INDEX(NPCClass,TRUNC(1+(COUNTA(NPCClass))*(TRUNC(MOD(($B345*1103515245 +12345)/ 65536, 32768),0)/32768),0))</f>
        <v>Druid</v>
      </c>
      <c r="F345" s="76">
        <v>1</v>
      </c>
      <c r="G345" s="153">
        <f ca="1">VLOOKUP($AB$2,'RF Mod'!$A$2:$G$12,2,FALSE)+VLOOKUP($AD$2,'RF Mod'!$I$2:$O$11,2,FALSE)+(TRUNC(6+(24-6)*(TRUNC(MOD(($Z345*1103515245 +12345)/ 65536, 32768),0)/32768),0))</f>
        <v>6</v>
      </c>
      <c r="H345" s="16">
        <f t="shared" ca="1" si="17"/>
        <v>-2</v>
      </c>
      <c r="I345" s="153">
        <f ca="1">VLOOKUP($AB$2,'RF Mod'!$A$2:$G$12,3,FALSE)+VLOOKUP($AD$2,'RF Mod'!$I$2:$O$11,3,FALSE)+(TRUNC(6+(24-6)*(TRUNC(MOD(($Z345*1103515245 +12345)/ 65536, 32768),0)/32768),0))</f>
        <v>10</v>
      </c>
      <c r="J345" s="16" t="e">
        <f t="shared" ca="1" si="18"/>
        <v>#NAME?</v>
      </c>
      <c r="K345" s="153">
        <f ca="1">VLOOKUP($AB$2,'RF Mod'!$A$2:$G$12,3,FALSE)+VLOOKUP($AD$2,'RF Mod'!$I$2:$O$11,3,FALSE)+(TRUNC(6+(24-6)*(TRUNC(MOD(($Z345*1103515245 +12345)/ 65536, 32768),0)/32768),0))</f>
        <v>10</v>
      </c>
      <c r="L345" s="16" t="e">
        <f t="shared" ca="1" si="19"/>
        <v>#NAME?</v>
      </c>
      <c r="M345" s="153">
        <f ca="1">VLOOKUP($AB$2,'RF Mod'!$A$2:$G$12,4,FALSE)+VLOOKUP($AD$2,'RF Mod'!$I$2:$O$11,4,FALSE)+(TRUNC(6+(24-6)*(TRUNC(MOD(($Z345*1103515245 +12345)/ 65536, 32768),0)/32768),0))</f>
        <v>9</v>
      </c>
      <c r="N345" s="16">
        <f t="shared" ca="1" si="20"/>
        <v>-1</v>
      </c>
      <c r="O345" s="153">
        <f ca="1">VLOOKUP($AB$2,'RF Mod'!$A$2:$G$12,5,FALSE)+VLOOKUP($AD$2,'RF Mod'!$I$2:$O$11,5,FALSE)+(TRUNC(6+(24-6)*(TRUNC(MOD(($Z345*1103515245 +12345)/ 65536, 32768),0)/32768),0))</f>
        <v>12</v>
      </c>
      <c r="P345" s="16" t="e">
        <f t="shared" ca="1" si="21"/>
        <v>#NAME?</v>
      </c>
      <c r="Q345" s="153">
        <f ca="1">VLOOKUP($AB$2,'RF Mod'!$A$2:$G$12,6,FALSE)+VLOOKUP($AD$2,'RF Mod'!$I$2:$O$11,6,FALSE)+(TRUNC(6+(24-6)*(TRUNC(MOD(($Z345*1103515245 +12345)/ 65536, 32768),0)/32768),0))</f>
        <v>10</v>
      </c>
      <c r="R345" s="16" t="e">
        <f t="shared" ca="1" si="22"/>
        <v>#NAME?</v>
      </c>
      <c r="S345" s="154">
        <f t="shared" ca="1" si="28"/>
        <v>12</v>
      </c>
      <c r="T345" s="154">
        <f t="shared" ca="1" si="23"/>
        <v>9</v>
      </c>
      <c r="U345" s="16" t="str">
        <f t="shared" ca="1" si="24"/>
        <v>Bloody</v>
      </c>
      <c r="V345" s="155">
        <f ca="1">IFERROR(__xludf.DUMMYFUNCTION("if(W345=""Middle Age"",QUERY(NPCVar!$K$2:$N1000, ""Select L where K = '""&amp;AB345&amp;""'""),if(W345=""Old"",QUERY(NPCVar!$K$2:$N1000, ""Select M where K = '""&amp;AB345&amp;""'""),if(W345=""Venerable"",QUERY(NPCVar!$K$2:$N1000, ""Select N where K = '""&amp;AB345&amp;""'""),fa"&amp;"lse)))*X345"),112.5)</f>
        <v>112.5</v>
      </c>
      <c r="W345" s="156" t="str">
        <f t="array" ref="W345">INDEX(NPCAgeType,TRUNC(1+(4-1)*(TRUNC(MOD((X345*1103515245 +12345)/ 65536, 32768),0)/32768),0))</f>
        <v>Middle Age</v>
      </c>
      <c r="X345" s="117">
        <f t="shared" si="29"/>
        <v>0.6</v>
      </c>
      <c r="Y345" s="157" t="e">
        <f t="array" aca="1" ref="Y345" ca="1">LOOKUP(ABS(MAX(Z345 + MIN(ABS(INDIRECT("Class Jobs!B"&amp;MATCH(E345,'Class Jobs'!$A$1:$A1000,0)&amp;":"&amp;"AF"&amp;MATCH(E345,'Class Jobs'!$A$1:$A1000,0)&amp;"")-$Z345)) * SUM(IF(MIN(ABS(INDIRECT("Class Jobs!B"&amp;MATCH(E345,'Class Jobs'!$A$1:$A1000,0)&amp;":"&amp;"AF"&amp;MATCH(E345,'Class Jobs'!$A$1:$A1000,0)&amp;"")-$Z345))=ABS(INDIRECT("Class Jobs!B"&amp;MATCH(E345,'Class Jobs'!$A$1:$A1000,0)&amp;":"&amp;"AF"&amp;MATCH(E345,'Class Jobs'!$A$1:$A1000,0)&amp;"")-$Z345),SIGN(INDIRECT("Class Jobs!B"&amp;MATCH(E345,'Class Jobs'!$A$1:A1000,0)&amp;":"&amp;"AF"&amp;MATCH(E345,'Class Jobs'!$A$1:$A1000,0)&amp;"")-$Z345),0)),0)),INDIRECT("Class Jobs!B"&amp;MATCH(E345,'Class Jobs'!$A$1:$A1000,0)&amp;":"&amp;"AF"&amp;MATCH(E345,'Class Jobs'!$A$1:$A1000,1)&amp;""),'Class Jobs'!$B$1:$AF$1)</f>
        <v>#REF!</v>
      </c>
      <c r="Z345" s="158">
        <f t="shared" si="25"/>
        <v>0.25</v>
      </c>
      <c r="AA345" s="16" t="str">
        <f t="array" ref="AA345">INDEX(NPCGender,TRUNC(1+(COUNTA(NPCGender))*(TRUNC(MOD(($B345*1103515245 +12345)/ 65536, 32768),0)/32768),0))</f>
        <v>Male</v>
      </c>
      <c r="AB345" s="16" t="str">
        <f t="array" ref="AB345">INDEX(NPCRace,TRUNC(1+(COUNTA(NPCRace))*(TRUNC(MOD(($B345*1103515245 +12345)/ 65536, 32768),0)/32768),0))</f>
        <v>Elf</v>
      </c>
      <c r="AC345" s="16" t="str">
        <f t="array" ref="AC345">INDEX(NPCAL,TRUNC(1+(COUNTA(NPCAL))*(TRUNC(MOD(($B345*1103515245 +12345)/ 65536, 32768),0)/32768),0))</f>
        <v>CG</v>
      </c>
      <c r="AD345" s="72" t="str">
        <f ca="1">IFERROR(__xludf.DUMMYFUNCTION("if(V345&lt;15,QUERY(NPCVar!C:D,""Select D WHERE C = '""&amp;D345&amp;""'""),if((TRUNC(1+10)*(TRUNC(MOD((ROW(H345)*1103515245 +12345)/ 65536, 32768),0)/32768)/10) &gt; 0.85,INDEX(NPCFaction,TRUNC(1+(counta(NPCFaction)-1)*(TRUNC(MOD(($B345*1103515245 +12345)/ 65536, 3276"&amp;"8),0)/32768),0)),QUERY(NPCVar!C:D,""Select D WHERE C = '""&amp;D345&amp;""'"")))"),"Magic Guild")</f>
        <v>Magic Guild</v>
      </c>
      <c r="AE345" s="108" t="e">
        <f t="shared" ca="1" si="26"/>
        <v>#NAME?</v>
      </c>
      <c r="AF345" s="159">
        <f ca="1">IFERROR(__xludf.DUMMYFUNCTION("AE345*(V345 / QUERY(NPCVar!$K$2:$N$12, ""Select N WHERE K='""&amp;AB345&amp;""'""))*TRUNC(1+10)*(TRUNC(MOD(($B345*1103515245 +12345)/ 65536, 32768),0)/32768)"),0.201491546630859)</f>
        <v>0.201491546630859</v>
      </c>
      <c r="AG345" s="16"/>
      <c r="AH345" s="77"/>
      <c r="AI345" s="114"/>
    </row>
    <row r="346" spans="1:35" ht="16.2">
      <c r="A346" s="53">
        <v>345</v>
      </c>
      <c r="B346" s="118">
        <f t="shared" si="30"/>
        <v>1.9694499999999999</v>
      </c>
      <c r="C346" s="72" t="str">
        <f t="array" ref="C346">INDEX(NPCFName,TRUNC(1+(COUNTA(NPCFName))*(TRUNC(MOD(($B346*1103515245 +12345)/ 65536, 32768),0)/32768),0))</f>
        <v>Alkirk</v>
      </c>
      <c r="D346" s="16" t="str">
        <f t="array" ref="D346">INDEX(NPCLName,TRUNC(1+(COUNTA(NPCLName))*(TRUNC(MOD(($B346*1103515245 +12345)/ 65536, 32768),0)/32768),0))</f>
        <v>Stagfang</v>
      </c>
      <c r="E346" s="16" t="str">
        <f t="array" ref="E346">INDEX(NPCClass,TRUNC(1+(COUNTA(NPCClass))*(TRUNC(MOD(($B346*1103515245 +12345)/ 65536, 32768),0)/32768),0))</f>
        <v>Barbarian</v>
      </c>
      <c r="F346" s="76">
        <v>1</v>
      </c>
      <c r="G346" s="153">
        <f ca="1">VLOOKUP($AB$2,'RF Mod'!$A$2:$G$12,2,FALSE)+VLOOKUP($AD$2,'RF Mod'!$I$2:$O$11,2,FALSE)+(TRUNC(6+(24-6)*(TRUNC(MOD(($Z346*1103515245 +12345)/ 65536, 32768),0)/32768),0))</f>
        <v>4</v>
      </c>
      <c r="H346" s="16">
        <f t="shared" ca="1" si="17"/>
        <v>-3</v>
      </c>
      <c r="I346" s="153">
        <f ca="1">VLOOKUP($AB$2,'RF Mod'!$A$2:$G$12,3,FALSE)+VLOOKUP($AD$2,'RF Mod'!$I$2:$O$11,3,FALSE)+(TRUNC(6+(24-6)*(TRUNC(MOD(($Z346*1103515245 +12345)/ 65536, 32768),0)/32768),0))</f>
        <v>8</v>
      </c>
      <c r="J346" s="16">
        <f t="shared" ca="1" si="18"/>
        <v>-1</v>
      </c>
      <c r="K346" s="153">
        <f ca="1">VLOOKUP($AB$2,'RF Mod'!$A$2:$G$12,3,FALSE)+VLOOKUP($AD$2,'RF Mod'!$I$2:$O$11,3,FALSE)+(TRUNC(6+(24-6)*(TRUNC(MOD(($Z346*1103515245 +12345)/ 65536, 32768),0)/32768),0))</f>
        <v>8</v>
      </c>
      <c r="L346" s="16">
        <f t="shared" ca="1" si="19"/>
        <v>-1</v>
      </c>
      <c r="M346" s="153">
        <f ca="1">VLOOKUP($AB$2,'RF Mod'!$A$2:$G$12,4,FALSE)+VLOOKUP($AD$2,'RF Mod'!$I$2:$O$11,4,FALSE)+(TRUNC(6+(24-6)*(TRUNC(MOD(($Z346*1103515245 +12345)/ 65536, 32768),0)/32768),0))</f>
        <v>7</v>
      </c>
      <c r="N346" s="16">
        <f t="shared" ca="1" si="20"/>
        <v>-2</v>
      </c>
      <c r="O346" s="153">
        <f ca="1">VLOOKUP($AB$2,'RF Mod'!$A$2:$G$12,5,FALSE)+VLOOKUP($AD$2,'RF Mod'!$I$2:$O$11,5,FALSE)+(TRUNC(6+(24-6)*(TRUNC(MOD(($Z346*1103515245 +12345)/ 65536, 32768),0)/32768),0))</f>
        <v>10</v>
      </c>
      <c r="P346" s="16" t="e">
        <f t="shared" ca="1" si="21"/>
        <v>#NAME?</v>
      </c>
      <c r="Q346" s="153">
        <f ca="1">VLOOKUP($AB$2,'RF Mod'!$A$2:$G$12,6,FALSE)+VLOOKUP($AD$2,'RF Mod'!$I$2:$O$11,6,FALSE)+(TRUNC(6+(24-6)*(TRUNC(MOD(($Z346*1103515245 +12345)/ 65536, 32768),0)/32768),0))</f>
        <v>8</v>
      </c>
      <c r="R346" s="16">
        <f t="shared" ca="1" si="22"/>
        <v>-1</v>
      </c>
      <c r="S346" s="154">
        <f t="shared" ca="1" si="28"/>
        <v>10</v>
      </c>
      <c r="T346" s="154">
        <f t="shared" ca="1" si="23"/>
        <v>12</v>
      </c>
      <c r="U346" s="16" t="str">
        <f t="shared" ca="1" si="24"/>
        <v>Dead</v>
      </c>
      <c r="V346" s="155">
        <f ca="1">IFERROR(__xludf.DUMMYFUNCTION("if(W346=""Middle Age"",QUERY(NPCVar!$K$2:$N1000, ""Select L where K = '""&amp;AB346&amp;""'""),if(W346=""Old"",QUERY(NPCVar!$K$2:$N1000, ""Select M where K = '""&amp;AB346&amp;""'""),if(W346=""Venerable"",QUERY(NPCVar!$K$2:$N1000, ""Select N where K = '""&amp;AB346&amp;""'""),fa"&amp;"lse)))*X346"),2)</f>
        <v>2</v>
      </c>
      <c r="W346" s="156" t="str">
        <f t="array" ref="W346">INDEX(NPCAgeType,TRUNC(1+(4-1)*(TRUNC(MOD((X346*1103515245 +12345)/ 65536, 32768),0)/32768),0))</f>
        <v>Middle Age</v>
      </c>
      <c r="X346" s="117">
        <f t="shared" si="29"/>
        <v>0.1</v>
      </c>
      <c r="Y346" s="157" t="e">
        <f t="array" aca="1" ref="Y346" ca="1">LOOKUP(ABS(MAX(Z346 + MIN(ABS(INDIRECT("Class Jobs!B"&amp;MATCH(E346,'Class Jobs'!$A$1:$A1000,0)&amp;":"&amp;"AF"&amp;MATCH(E346,'Class Jobs'!$A$1:$A1000,0)&amp;"")-$Z346)) * SUM(IF(MIN(ABS(INDIRECT("Class Jobs!B"&amp;MATCH(E346,'Class Jobs'!$A$1:$A1000,0)&amp;":"&amp;"AF"&amp;MATCH(E346,'Class Jobs'!$A$1:$A1000,0)&amp;"")-$Z346))=ABS(INDIRECT("Class Jobs!B"&amp;MATCH(E346,'Class Jobs'!$A$1:$A1000,0)&amp;":"&amp;"AF"&amp;MATCH(E346,'Class Jobs'!$A$1:$A1000,0)&amp;"")-$Z346),SIGN(INDIRECT("Class Jobs!B"&amp;MATCH(E346,'Class Jobs'!$A$1:A1000,0)&amp;":"&amp;"AF"&amp;MATCH(E346,'Class Jobs'!$A$1:$A1000,0)&amp;"")-$Z346),0)),0)),INDIRECT("Class Jobs!B"&amp;MATCH(E346,'Class Jobs'!$A$1:$A1000,0)&amp;":"&amp;"AF"&amp;MATCH(E346,'Class Jobs'!$A$1:$A1000,1)&amp;""),'Class Jobs'!$B$1:$AF$1)</f>
        <v>#REF!</v>
      </c>
      <c r="Z346" s="158">
        <f t="shared" si="25"/>
        <v>0.02</v>
      </c>
      <c r="AA346" s="16" t="str">
        <f t="array" ref="AA346">INDEX(NPCGender,TRUNC(1+(COUNTA(NPCGender))*(TRUNC(MOD(($B346*1103515245 +12345)/ 65536, 32768),0)/32768),0))</f>
        <v>Male</v>
      </c>
      <c r="AB346" s="16" t="str">
        <f t="array" ref="AB346">INDEX(NPCRace,TRUNC(1+(COUNTA(NPCRace))*(TRUNC(MOD(($B346*1103515245 +12345)/ 65536, 32768),0)/32768),0))</f>
        <v>Dragonborn</v>
      </c>
      <c r="AC346" s="16" t="str">
        <f t="array" ref="AC346">INDEX(NPCAL,TRUNC(1+(COUNTA(NPCAL))*(TRUNC(MOD(($B346*1103515245 +12345)/ 65536, 32768),0)/32768),0))</f>
        <v>CN</v>
      </c>
      <c r="AD346" s="72" t="str">
        <f ca="1">IFERROR(__xludf.DUMMYFUNCTION("if(V346&lt;15,QUERY(NPCVar!C:D,""Select D WHERE C = '""&amp;D346&amp;""'""),if((TRUNC(1+10)*(TRUNC(MOD((ROW(H346)*1103515245 +12345)/ 65536, 32768),0)/32768)/10) &gt; 0.85,INDEX(NPCFaction,TRUNC(1+(counta(NPCFaction)-1)*(TRUNC(MOD(($B346*1103515245 +12345)/ 65536, 3276"&amp;"8),0)/32768),0)),QUERY(NPCVar!C:D,""Select D WHERE C = '""&amp;D346&amp;""'"")))"),"Royalty")</f>
        <v>Royalty</v>
      </c>
      <c r="AE346" s="108" t="e">
        <f t="shared" ca="1" si="26"/>
        <v>#NAME?</v>
      </c>
      <c r="AF346" s="159">
        <f ca="1">IFERROR(__xludf.DUMMYFUNCTION("AE346*(V346 / QUERY(NPCVar!$K$2:$N$12, ""Select N WHERE K='""&amp;AB346&amp;""'""))*TRUNC(1+10)*(TRUNC(MOD(($B346*1103515245 +12345)/ 65536, 32768),0)/32768)"),0)</f>
        <v>0</v>
      </c>
      <c r="AG346" s="16"/>
      <c r="AH346" s="77"/>
      <c r="AI346" s="114"/>
    </row>
    <row r="347" spans="1:35" ht="16.2">
      <c r="A347" s="53">
        <v>346</v>
      </c>
      <c r="B347" s="118">
        <f t="shared" si="30"/>
        <v>0.96358999999999995</v>
      </c>
      <c r="C347" s="72" t="str">
        <f t="array" ref="C347">INDEX(NPCFName,TRUNC(1+(COUNTA(NPCFName))*(TRUNC(MOD(($B347*1103515245 +12345)/ 65536, 32768),0)/32768),0))</f>
        <v>Kilbas</v>
      </c>
      <c r="D347" s="16" t="str">
        <f t="array" ref="D347">INDEX(NPCLName,TRUNC(1+(COUNTA(NPCLName))*(TRUNC(MOD(($B347*1103515245 +12345)/ 65536, 32768),0)/32768),0))</f>
        <v>Autumnglow</v>
      </c>
      <c r="E347" s="16" t="str">
        <f t="array" ref="E347">INDEX(NPCClass,TRUNC(1+(COUNTA(NPCClass))*(TRUNC(MOD(($B347*1103515245 +12345)/ 65536, 32768),0)/32768),0))</f>
        <v>Ranger</v>
      </c>
      <c r="F347" s="76">
        <v>4</v>
      </c>
      <c r="G347" s="153">
        <f ca="1">VLOOKUP($AB$2,'RF Mod'!$A$2:$G$12,2,FALSE)+VLOOKUP($AD$2,'RF Mod'!$I$2:$O$11,2,FALSE)+(TRUNC(6+(24-6)*(TRUNC(MOD(($Z347*1103515245 +12345)/ 65536, 32768),0)/32768),0))</f>
        <v>8</v>
      </c>
      <c r="H347" s="16">
        <f t="shared" ca="1" si="17"/>
        <v>-1</v>
      </c>
      <c r="I347" s="153">
        <f ca="1">VLOOKUP($AB$2,'RF Mod'!$A$2:$G$12,3,FALSE)+VLOOKUP($AD$2,'RF Mod'!$I$2:$O$11,3,FALSE)+(TRUNC(6+(24-6)*(TRUNC(MOD(($Z347*1103515245 +12345)/ 65536, 32768),0)/32768),0))</f>
        <v>12</v>
      </c>
      <c r="J347" s="16" t="e">
        <f t="shared" ca="1" si="18"/>
        <v>#NAME?</v>
      </c>
      <c r="K347" s="153">
        <f ca="1">VLOOKUP($AB$2,'RF Mod'!$A$2:$G$12,3,FALSE)+VLOOKUP($AD$2,'RF Mod'!$I$2:$O$11,3,FALSE)+(TRUNC(6+(24-6)*(TRUNC(MOD(($Z347*1103515245 +12345)/ 65536, 32768),0)/32768),0))</f>
        <v>12</v>
      </c>
      <c r="L347" s="16" t="e">
        <f t="shared" ca="1" si="19"/>
        <v>#NAME?</v>
      </c>
      <c r="M347" s="153">
        <f ca="1">VLOOKUP($AB$2,'RF Mod'!$A$2:$G$12,4,FALSE)+VLOOKUP($AD$2,'RF Mod'!$I$2:$O$11,4,FALSE)+(TRUNC(6+(24-6)*(TRUNC(MOD(($Z347*1103515245 +12345)/ 65536, 32768),0)/32768),0))</f>
        <v>11</v>
      </c>
      <c r="N347" s="16" t="e">
        <f t="shared" ca="1" si="20"/>
        <v>#NAME?</v>
      </c>
      <c r="O347" s="153">
        <f ca="1">VLOOKUP($AB$2,'RF Mod'!$A$2:$G$12,5,FALSE)+VLOOKUP($AD$2,'RF Mod'!$I$2:$O$11,5,FALSE)+(TRUNC(6+(24-6)*(TRUNC(MOD(($Z347*1103515245 +12345)/ 65536, 32768),0)/32768),0))</f>
        <v>14</v>
      </c>
      <c r="P347" s="16" t="e">
        <f t="shared" ca="1" si="21"/>
        <v>#NAME?</v>
      </c>
      <c r="Q347" s="153">
        <f ca="1">VLOOKUP($AB$2,'RF Mod'!$A$2:$G$12,6,FALSE)+VLOOKUP($AD$2,'RF Mod'!$I$2:$O$11,6,FALSE)+(TRUNC(6+(24-6)*(TRUNC(MOD(($Z347*1103515245 +12345)/ 65536, 32768),0)/32768),0))</f>
        <v>12</v>
      </c>
      <c r="R347" s="16" t="e">
        <f t="shared" ca="1" si="22"/>
        <v>#NAME?</v>
      </c>
      <c r="S347" s="154">
        <f t="shared" ca="1" si="28"/>
        <v>64</v>
      </c>
      <c r="T347" s="154">
        <f t="shared" ca="1" si="23"/>
        <v>76</v>
      </c>
      <c r="U347" s="16" t="str">
        <f t="shared" ca="1" si="24"/>
        <v>Dead</v>
      </c>
      <c r="V347" s="155">
        <f ca="1">IFERROR(__xludf.DUMMYFUNCTION("if(W347=""Middle Age"",QUERY(NPCVar!$K$2:$N1000, ""Select L where K = '""&amp;AB347&amp;""'""),if(W347=""Old"",QUERY(NPCVar!$K$2:$N1000, ""Select M where K = '""&amp;AB347&amp;""'""),if(W347=""Venerable"",QUERY(NPCVar!$K$2:$N1000, ""Select N where K = '""&amp;AB347&amp;""'""),fa"&amp;"lse)))*X347"),31.5)</f>
        <v>31.5</v>
      </c>
      <c r="W347" s="156" t="str">
        <f t="array" ref="W347">INDEX(NPCAgeType,TRUNC(1+(4-1)*(TRUNC(MOD((X347*1103515245 +12345)/ 65536, 32768),0)/32768),0))</f>
        <v>Old</v>
      </c>
      <c r="X347" s="117">
        <f t="shared" si="29"/>
        <v>1.2</v>
      </c>
      <c r="Y347" s="157" t="e">
        <f t="array" aca="1" ref="Y347" ca="1">LOOKUP(ABS(MAX(Z347 + MIN(ABS(INDIRECT("Class Jobs!B"&amp;MATCH(E347,'Class Jobs'!$A$1:$A1000,0)&amp;":"&amp;"AF"&amp;MATCH(E347,'Class Jobs'!$A$1:$A1000,0)&amp;"")-$Z347)) * SUM(IF(MIN(ABS(INDIRECT("Class Jobs!B"&amp;MATCH(E347,'Class Jobs'!$A$1:$A1000,0)&amp;":"&amp;"AF"&amp;MATCH(E347,'Class Jobs'!$A$1:$A1000,0)&amp;"")-$Z347))=ABS(INDIRECT("Class Jobs!B"&amp;MATCH(E347,'Class Jobs'!$A$1:$A1000,0)&amp;":"&amp;"AF"&amp;MATCH(E347,'Class Jobs'!$A$1:$A1000,0)&amp;"")-$Z347),SIGN(INDIRECT("Class Jobs!B"&amp;MATCH(E347,'Class Jobs'!$A$1:A1000,0)&amp;":"&amp;"AF"&amp;MATCH(E347,'Class Jobs'!$A$1:$A1000,0)&amp;"")-$Z347),0)),0)),INDIRECT("Class Jobs!B"&amp;MATCH(E347,'Class Jobs'!$A$1:$A1000,0)&amp;":"&amp;"AF"&amp;MATCH(E347,'Class Jobs'!$A$1:$A1000,1)&amp;""),'Class Jobs'!$B$1:$AF$1)</f>
        <v>#REF!</v>
      </c>
      <c r="Z347" s="158">
        <f t="shared" si="25"/>
        <v>0.5</v>
      </c>
      <c r="AA347" s="16" t="str">
        <f t="array" ref="AA347">INDEX(NPCGender,TRUNC(1+(COUNTA(NPCGender))*(TRUNC(MOD(($B347*1103515245 +12345)/ 65536, 32768),0)/32768),0))</f>
        <v>Female</v>
      </c>
      <c r="AB347" s="16" t="str">
        <f t="array" ref="AB347">INDEX(NPCRace,TRUNC(1+(COUNTA(NPCRace))*(TRUNC(MOD(($B347*1103515245 +12345)/ 65536, 32768),0)/32768),0))</f>
        <v>Half-Orc</v>
      </c>
      <c r="AC347" s="16" t="str">
        <f t="array" ref="AC347">INDEX(NPCAL,TRUNC(1+(COUNTA(NPCAL))*(TRUNC(MOD(($B347*1103515245 +12345)/ 65536, 32768),0)/32768),0))</f>
        <v>NN</v>
      </c>
      <c r="AD347" s="72" t="str">
        <f ca="1">IFERROR(__xludf.DUMMYFUNCTION("if(V347&lt;15,QUERY(NPCVar!C:D,""Select D WHERE C = '""&amp;D347&amp;""'""),if((TRUNC(1+10)*(TRUNC(MOD((ROW(H347)*1103515245 +12345)/ 65536, 32768),0)/32768)/10) &gt; 0.85,INDEX(NPCFaction,TRUNC(1+(counta(NPCFaction)-1)*(TRUNC(MOD(($B347*1103515245 +12345)/ 65536, 3276"&amp;"8),0)/32768),0)),QUERY(NPCVar!C:D,""Select D WHERE C = '""&amp;D347&amp;""'"")))"),"Traders Guild")</f>
        <v>Traders Guild</v>
      </c>
      <c r="AE347" s="108" t="e">
        <f t="shared" ca="1" si="26"/>
        <v>#NAME?</v>
      </c>
      <c r="AF347" s="159">
        <f ca="1">IFERROR(__xludf.DUMMYFUNCTION("AE347*(V347 / QUERY(NPCVar!$K$2:$N$12, ""Select N WHERE K='""&amp;AB347&amp;""'""))*TRUNC(1+10)*(TRUNC(MOD(($B347*1103515245 +12345)/ 65536, 32768),0)/32768)"),2.20588302612304)</f>
        <v>2.2058830261230402</v>
      </c>
      <c r="AG347" s="16"/>
      <c r="AH347" s="77"/>
      <c r="AI347" s="114"/>
    </row>
    <row r="348" spans="1:35" ht="16.2">
      <c r="A348" s="53">
        <v>347</v>
      </c>
      <c r="B348" s="118">
        <f t="shared" si="30"/>
        <v>2.4577300000000002</v>
      </c>
      <c r="C348" s="72" t="str">
        <f t="array" ref="C348">INDEX(NPCFName,TRUNC(1+(COUNTA(NPCFName))*(TRUNC(MOD(($B348*1103515245 +12345)/ 65536, 32768),0)/32768),0))</f>
        <v>Seryth</v>
      </c>
      <c r="D348" s="16" t="str">
        <f t="array" ref="D348">INDEX(NPCLName,TRUNC(1+(COUNTA(NPCLName))*(TRUNC(MOD(($B348*1103515245 +12345)/ 65536, 32768),0)/32768),0))</f>
        <v>Tuskleaf</v>
      </c>
      <c r="E348" s="16" t="str">
        <f t="array" ref="E348">INDEX(NPCClass,TRUNC(1+(COUNTA(NPCClass))*(TRUNC(MOD(($B348*1103515245 +12345)/ 65536, 32768),0)/32768),0))</f>
        <v>Monk</v>
      </c>
      <c r="F348" s="76">
        <v>1</v>
      </c>
      <c r="G348" s="153">
        <f ca="1">VLOOKUP($AB$2,'RF Mod'!$A$2:$G$12,2,FALSE)+VLOOKUP($AD$2,'RF Mod'!$I$2:$O$11,2,FALSE)+(TRUNC(6+(24-6)*(TRUNC(MOD(($Z348*1103515245 +12345)/ 65536, 32768),0)/32768),0))</f>
        <v>6</v>
      </c>
      <c r="H348" s="16">
        <f t="shared" ca="1" si="17"/>
        <v>-2</v>
      </c>
      <c r="I348" s="153">
        <f ca="1">VLOOKUP($AB$2,'RF Mod'!$A$2:$G$12,3,FALSE)+VLOOKUP($AD$2,'RF Mod'!$I$2:$O$11,3,FALSE)+(TRUNC(6+(24-6)*(TRUNC(MOD(($Z348*1103515245 +12345)/ 65536, 32768),0)/32768),0))</f>
        <v>10</v>
      </c>
      <c r="J348" s="16" t="e">
        <f t="shared" ca="1" si="18"/>
        <v>#NAME?</v>
      </c>
      <c r="K348" s="153">
        <f ca="1">VLOOKUP($AB$2,'RF Mod'!$A$2:$G$12,3,FALSE)+VLOOKUP($AD$2,'RF Mod'!$I$2:$O$11,3,FALSE)+(TRUNC(6+(24-6)*(TRUNC(MOD(($Z348*1103515245 +12345)/ 65536, 32768),0)/32768),0))</f>
        <v>10</v>
      </c>
      <c r="L348" s="16" t="e">
        <f t="shared" ca="1" si="19"/>
        <v>#NAME?</v>
      </c>
      <c r="M348" s="153">
        <f ca="1">VLOOKUP($AB$2,'RF Mod'!$A$2:$G$12,4,FALSE)+VLOOKUP($AD$2,'RF Mod'!$I$2:$O$11,4,FALSE)+(TRUNC(6+(24-6)*(TRUNC(MOD(($Z348*1103515245 +12345)/ 65536, 32768),0)/32768),0))</f>
        <v>9</v>
      </c>
      <c r="N348" s="16">
        <f t="shared" ca="1" si="20"/>
        <v>-1</v>
      </c>
      <c r="O348" s="153">
        <f ca="1">VLOOKUP($AB$2,'RF Mod'!$A$2:$G$12,5,FALSE)+VLOOKUP($AD$2,'RF Mod'!$I$2:$O$11,5,FALSE)+(TRUNC(6+(24-6)*(TRUNC(MOD(($Z348*1103515245 +12345)/ 65536, 32768),0)/32768),0))</f>
        <v>12</v>
      </c>
      <c r="P348" s="16" t="e">
        <f t="shared" ca="1" si="21"/>
        <v>#NAME?</v>
      </c>
      <c r="Q348" s="153">
        <f ca="1">VLOOKUP($AB$2,'RF Mod'!$A$2:$G$12,6,FALSE)+VLOOKUP($AD$2,'RF Mod'!$I$2:$O$11,6,FALSE)+(TRUNC(6+(24-6)*(TRUNC(MOD(($Z348*1103515245 +12345)/ 65536, 32768),0)/32768),0))</f>
        <v>10</v>
      </c>
      <c r="R348" s="16" t="e">
        <f t="shared" ca="1" si="22"/>
        <v>#NAME?</v>
      </c>
      <c r="S348" s="154">
        <f t="shared" ca="1" si="28"/>
        <v>12</v>
      </c>
      <c r="T348" s="154">
        <f t="shared" ca="1" si="23"/>
        <v>9</v>
      </c>
      <c r="U348" s="16" t="str">
        <f t="shared" ca="1" si="24"/>
        <v>Bloody</v>
      </c>
      <c r="V348" s="155">
        <f ca="1">IFERROR(__xludf.DUMMYFUNCTION("if(W348=""Middle Age"",QUERY(NPCVar!$K$2:$N1000, ""Select L where K = '""&amp;AB348&amp;""'""),if(W348=""Old"",QUERY(NPCVar!$K$2:$N1000, ""Select M where K = '""&amp;AB348&amp;""'""),if(W348=""Venerable"",QUERY(NPCVar!$K$2:$N1000, ""Select N where K = '""&amp;AB348&amp;""'""),fa"&amp;"lse)))*X348"),196.875)</f>
        <v>196.875</v>
      </c>
      <c r="W348" s="156" t="str">
        <f t="array" ref="W348">INDEX(NPCAgeType,TRUNC(1+(4-1)*(TRUNC(MOD((X348*1103515245 +12345)/ 65536, 32768),0)/32768),0))</f>
        <v>Old</v>
      </c>
      <c r="X348" s="117">
        <f t="shared" si="29"/>
        <v>0.7</v>
      </c>
      <c r="Y348" s="157" t="e">
        <f t="array" aca="1" ref="Y348" ca="1">LOOKUP(ABS(MAX(Z348 + MIN(ABS(INDIRECT("Class Jobs!B"&amp;MATCH(E348,'Class Jobs'!$A$1:$A1000,0)&amp;":"&amp;"AF"&amp;MATCH(E348,'Class Jobs'!$A$1:$A1000,0)&amp;"")-$Z348)) * SUM(IF(MIN(ABS(INDIRECT("Class Jobs!B"&amp;MATCH(E348,'Class Jobs'!$A$1:$A1000,0)&amp;":"&amp;"AF"&amp;MATCH(E348,'Class Jobs'!$A$1:$A1000,0)&amp;"")-$Z348))=ABS(INDIRECT("Class Jobs!B"&amp;MATCH(E348,'Class Jobs'!$A$1:$A1000,0)&amp;":"&amp;"AF"&amp;MATCH(E348,'Class Jobs'!$A$1:$A1000,0)&amp;"")-$Z348),SIGN(INDIRECT("Class Jobs!B"&amp;MATCH(E348,'Class Jobs'!$A$1:A1000,0)&amp;":"&amp;"AF"&amp;MATCH(E348,'Class Jobs'!$A$1:$A1000,0)&amp;"")-$Z348),0)),0)),INDIRECT("Class Jobs!B"&amp;MATCH(E348,'Class Jobs'!$A$1:$A1000,0)&amp;":"&amp;"AF"&amp;MATCH(E348,'Class Jobs'!$A$1:$A1000,1)&amp;""),'Class Jobs'!$B$1:$AF$1)</f>
        <v>#REF!</v>
      </c>
      <c r="Z348" s="158">
        <f t="shared" si="25"/>
        <v>0.27</v>
      </c>
      <c r="AA348" s="16" t="str">
        <f t="array" ref="AA348">INDEX(NPCGender,TRUNC(1+(COUNTA(NPCGender))*(TRUNC(MOD(($B348*1103515245 +12345)/ 65536, 32768),0)/32768),0))</f>
        <v>Male</v>
      </c>
      <c r="AB348" s="16" t="str">
        <f t="array" ref="AB348">INDEX(NPCRace,TRUNC(1+(COUNTA(NPCRace))*(TRUNC(MOD(($B348*1103515245 +12345)/ 65536, 32768),0)/32768),0))</f>
        <v>Elf</v>
      </c>
      <c r="AC348" s="16" t="str">
        <f t="array" ref="AC348">INDEX(NPCAL,TRUNC(1+(COUNTA(NPCAL))*(TRUNC(MOD(($B348*1103515245 +12345)/ 65536, 32768),0)/32768),0))</f>
        <v>CG</v>
      </c>
      <c r="AD348" s="72" t="str">
        <f ca="1">IFERROR(__xludf.DUMMYFUNCTION("if(V348&lt;15,QUERY(NPCVar!C:D,""Select D WHERE C = '""&amp;D348&amp;""'""),if((TRUNC(1+10)*(TRUNC(MOD((ROW(H348)*1103515245 +12345)/ 65536, 32768),0)/32768)/10) &gt; 0.85,INDEX(NPCFaction,TRUNC(1+(counta(NPCFaction)-1)*(TRUNC(MOD(($B348*1103515245 +12345)/ 65536, 3276"&amp;"8),0)/32768),0)),QUERY(NPCVar!C:D,""Select D WHERE C = '""&amp;D348&amp;""'"")))"),"Traders Guild")</f>
        <v>Traders Guild</v>
      </c>
      <c r="AE348" s="108" t="e">
        <f t="shared" ca="1" si="26"/>
        <v>#NAME?</v>
      </c>
      <c r="AF348" s="159">
        <f ca="1">IFERROR(__xludf.DUMMYFUNCTION("AE348*(V348 / QUERY(NPCVar!$K$2:$N$12, ""Select N WHERE K='""&amp;AB348&amp;""'""))*TRUNC(1+10)*(TRUNC(MOD(($B348*1103515245 +12345)/ 65536, 32768),0)/32768)"),0.0759237670898437)</f>
        <v>7.5923767089843705E-2</v>
      </c>
      <c r="AG348" s="16"/>
      <c r="AH348" s="77"/>
      <c r="AI348" s="114"/>
    </row>
    <row r="349" spans="1:35" ht="16.2">
      <c r="A349" s="53">
        <v>348</v>
      </c>
      <c r="B349" s="118">
        <f t="shared" si="30"/>
        <v>1.45187</v>
      </c>
      <c r="C349" s="72" t="str">
        <f t="array" ref="C349">INDEX(NPCFName,TRUNC(1+(COUNTA(NPCFName))*(TRUNC(MOD(($B349*1103515245 +12345)/ 65536, 32768),0)/32768),0))</f>
        <v>Drit</v>
      </c>
      <c r="D349" s="16" t="str">
        <f t="array" ref="D349">INDEX(NPCLName,TRUNC(1+(COUNTA(NPCLName))*(TRUNC(MOD(($B349*1103515245 +12345)/ 65536, 32768),0)/32768),0))</f>
        <v>Sacredgloom</v>
      </c>
      <c r="E349" s="16" t="str">
        <f t="array" ref="E349">INDEX(NPCClass,TRUNC(1+(COUNTA(NPCClass))*(TRUNC(MOD(($B349*1103515245 +12345)/ 65536, 32768),0)/32768),0))</f>
        <v>None</v>
      </c>
      <c r="F349" s="76">
        <v>8</v>
      </c>
      <c r="G349" s="153">
        <f ca="1">VLOOKUP($AB$2,'RF Mod'!$A$2:$G$12,2,FALSE)+VLOOKUP($AD$2,'RF Mod'!$I$2:$O$11,2,FALSE)+(TRUNC(6+(24-6)*(TRUNC(MOD(($Z349*1103515245 +12345)/ 65536, 32768),0)/32768),0))</f>
        <v>10</v>
      </c>
      <c r="H349" s="16" t="e">
        <f t="shared" ca="1" si="17"/>
        <v>#NAME?</v>
      </c>
      <c r="I349" s="153">
        <f ca="1">VLOOKUP($AB$2,'RF Mod'!$A$2:$G$12,3,FALSE)+VLOOKUP($AD$2,'RF Mod'!$I$2:$O$11,3,FALSE)+(TRUNC(6+(24-6)*(TRUNC(MOD(($Z349*1103515245 +12345)/ 65536, 32768),0)/32768),0))</f>
        <v>14</v>
      </c>
      <c r="J349" s="16" t="e">
        <f t="shared" ca="1" si="18"/>
        <v>#NAME?</v>
      </c>
      <c r="K349" s="153">
        <f ca="1">VLOOKUP($AB$2,'RF Mod'!$A$2:$G$12,3,FALSE)+VLOOKUP($AD$2,'RF Mod'!$I$2:$O$11,3,FALSE)+(TRUNC(6+(24-6)*(TRUNC(MOD(($Z349*1103515245 +12345)/ 65536, 32768),0)/32768),0))</f>
        <v>14</v>
      </c>
      <c r="L349" s="16" t="e">
        <f t="shared" ca="1" si="19"/>
        <v>#NAME?</v>
      </c>
      <c r="M349" s="153">
        <f ca="1">VLOOKUP($AB$2,'RF Mod'!$A$2:$G$12,4,FALSE)+VLOOKUP($AD$2,'RF Mod'!$I$2:$O$11,4,FALSE)+(TRUNC(6+(24-6)*(TRUNC(MOD(($Z349*1103515245 +12345)/ 65536, 32768),0)/32768),0))</f>
        <v>13</v>
      </c>
      <c r="N349" s="16" t="e">
        <f t="shared" ca="1" si="20"/>
        <v>#NAME?</v>
      </c>
      <c r="O349" s="153">
        <f ca="1">VLOOKUP($AB$2,'RF Mod'!$A$2:$G$12,5,FALSE)+VLOOKUP($AD$2,'RF Mod'!$I$2:$O$11,5,FALSE)+(TRUNC(6+(24-6)*(TRUNC(MOD(($Z349*1103515245 +12345)/ 65536, 32768),0)/32768),0))</f>
        <v>16</v>
      </c>
      <c r="P349" s="16" t="e">
        <f t="shared" ca="1" si="21"/>
        <v>#NAME?</v>
      </c>
      <c r="Q349" s="153">
        <f ca="1">VLOOKUP($AB$2,'RF Mod'!$A$2:$G$12,6,FALSE)+VLOOKUP($AD$2,'RF Mod'!$I$2:$O$11,6,FALSE)+(TRUNC(6+(24-6)*(TRUNC(MOD(($Z349*1103515245 +12345)/ 65536, 32768),0)/32768),0))</f>
        <v>14</v>
      </c>
      <c r="R349" s="16" t="e">
        <f t="shared" ca="1" si="22"/>
        <v>#NAME?</v>
      </c>
      <c r="S349" s="154">
        <f t="shared" ca="1" si="28"/>
        <v>240</v>
      </c>
      <c r="T349" s="154">
        <f t="shared" ca="1" si="23"/>
        <v>112</v>
      </c>
      <c r="U349" s="16" t="str">
        <f t="shared" ca="1" si="24"/>
        <v>Fine</v>
      </c>
      <c r="V349" s="155">
        <f ca="1">IFERROR(__xludf.DUMMYFUNCTION("if(W349=""Middle Age"",QUERY(NPCVar!$K$2:$N1000, ""Select L where K = '""&amp;AB349&amp;""'""),if(W349=""Old"",QUERY(NPCVar!$K$2:$N1000, ""Select M where K = '""&amp;AB349&amp;""'""),if(W349=""Venerable"",QUERY(NPCVar!$K$2:$N1000, ""Select N where K = '""&amp;AB349&amp;""'""),fa"&amp;"lse)))*X349"),180)</f>
        <v>180</v>
      </c>
      <c r="W349" s="156" t="str">
        <f t="array" ref="W349">INDEX(NPCAgeType,TRUNC(1+(4-1)*(TRUNC(MOD((X349*1103515245 +12345)/ 65536, 32768),0)/32768),0))</f>
        <v>Venerable</v>
      </c>
      <c r="X349" s="117">
        <f t="shared" si="29"/>
        <v>1.8</v>
      </c>
      <c r="Y349" s="157" t="e">
        <f t="array" aca="1" ref="Y349" ca="1">LOOKUP(ABS(MAX(Z349 + MIN(ABS(INDIRECT("Class Jobs!B"&amp;MATCH(E349,'Class Jobs'!$A$1:$A1000,0)&amp;":"&amp;"AF"&amp;MATCH(E349,'Class Jobs'!$A$1:$A1000,0)&amp;"")-$Z349)) * SUM(IF(MIN(ABS(INDIRECT("Class Jobs!B"&amp;MATCH(E349,'Class Jobs'!$A$1:$A1000,0)&amp;":"&amp;"AF"&amp;MATCH(E349,'Class Jobs'!$A$1:$A1000,0)&amp;"")-$Z349))=ABS(INDIRECT("Class Jobs!B"&amp;MATCH(E349,'Class Jobs'!$A$1:$A1000,0)&amp;":"&amp;"AF"&amp;MATCH(E349,'Class Jobs'!$A$1:$A1000,0)&amp;"")-$Z349),SIGN(INDIRECT("Class Jobs!B"&amp;MATCH(E349,'Class Jobs'!$A$1:A1000,0)&amp;":"&amp;"AF"&amp;MATCH(E349,'Class Jobs'!$A$1:$A1000,0)&amp;"")-$Z349),0)),0)),INDIRECT("Class Jobs!B"&amp;MATCH(E349,'Class Jobs'!$A$1:$A1000,0)&amp;":"&amp;"AF"&amp;MATCH(E349,'Class Jobs'!$A$1:$A1000,1)&amp;""),'Class Jobs'!$B$1:$AF$1)</f>
        <v>#REF!</v>
      </c>
      <c r="Z349" s="158">
        <f t="shared" si="25"/>
        <v>0.74</v>
      </c>
      <c r="AA349" s="16" t="str">
        <f t="array" ref="AA349">INDEX(NPCGender,TRUNC(1+(COUNTA(NPCGender))*(TRUNC(MOD(($B349*1103515245 +12345)/ 65536, 32768),0)/32768),0))</f>
        <v>Neutral</v>
      </c>
      <c r="AB349" s="16" t="str">
        <f t="array" ref="AB349">INDEX(NPCRace,TRUNC(1+(COUNTA(NPCRace))*(TRUNC(MOD(($B349*1103515245 +12345)/ 65536, 32768),0)/32768),0))</f>
        <v>Tiefling</v>
      </c>
      <c r="AC349" s="16" t="str">
        <f t="array" ref="AC349">INDEX(NPCAL,TRUNC(1+(COUNTA(NPCAL))*(TRUNC(MOD(($B349*1103515245 +12345)/ 65536, 32768),0)/32768),0))</f>
        <v>LG</v>
      </c>
      <c r="AD349" s="72" t="str">
        <f ca="1">IFERROR(__xludf.DUMMYFUNCTION("if(V349&lt;15,QUERY(NPCVar!C:D,""Select D WHERE C = '""&amp;D349&amp;""'""),if((TRUNC(1+10)*(TRUNC(MOD((ROW(H349)*1103515245 +12345)/ 65536, 32768),0)/32768)/10) &gt; 0.85,INDEX(NPCFaction,TRUNC(1+(counta(NPCFaction)-1)*(TRUNC(MOD(($B349*1103515245 +12345)/ 65536, 3276"&amp;"8),0)/32768),0)),QUERY(NPCVar!C:D,""Select D WHERE C = '""&amp;D349&amp;""'"")))"),"Adventures Guild")</f>
        <v>Adventures Guild</v>
      </c>
      <c r="AE349" s="108" t="e">
        <f t="shared" ca="1" si="26"/>
        <v>#NAME?</v>
      </c>
      <c r="AF349" s="159">
        <f ca="1">IFERROR(__xludf.DUMMYFUNCTION("AE349*(V349 / QUERY(NPCVar!$K$2:$N$12, ""Select N WHERE K='""&amp;AB349&amp;""'""))*TRUNC(1+10)*(TRUNC(MOD(($B349*1103515245 +12345)/ 65536, 32768),0)/32768)"),13.2948468017578)</f>
        <v>13.294846801757799</v>
      </c>
      <c r="AG349" s="16"/>
      <c r="AH349" s="77"/>
      <c r="AI349" s="114"/>
    </row>
    <row r="350" spans="1:35" ht="16.2">
      <c r="A350" s="53">
        <v>349</v>
      </c>
      <c r="B350" s="118">
        <f t="shared" si="30"/>
        <v>0.44602000000000003</v>
      </c>
      <c r="C350" s="72" t="str">
        <f t="array" ref="C350">INDEX(NPCFName,TRUNC(1+(COUNTA(NPCFName))*(TRUNC(MOD(($B350*1103515245 +12345)/ 65536, 32768),0)/32768),0))</f>
        <v>Picumar</v>
      </c>
      <c r="D350" s="16" t="str">
        <f t="array" ref="D350">INDEX(NPCLName,TRUNC(1+(COUNTA(NPCLName))*(TRUNC(MOD(($B350*1103515245 +12345)/ 65536, 32768),0)/32768),0))</f>
        <v>Stillsun</v>
      </c>
      <c r="E350" s="16" t="str">
        <f t="array" ref="E350">INDEX(NPCClass,TRUNC(1+(COUNTA(NPCClass))*(TRUNC(MOD(($B350*1103515245 +12345)/ 65536, 32768),0)/32768),0))</f>
        <v>Druid</v>
      </c>
      <c r="F350" s="76">
        <v>1</v>
      </c>
      <c r="G350" s="153">
        <f ca="1">VLOOKUP($AB$2,'RF Mod'!$A$2:$G$12,2,FALSE)+VLOOKUP($AD$2,'RF Mod'!$I$2:$O$11,2,FALSE)+(TRUNC(6+(24-6)*(TRUNC(MOD(($Z350*1103515245 +12345)/ 65536, 32768),0)/32768),0))</f>
        <v>6</v>
      </c>
      <c r="H350" s="16">
        <f t="shared" ca="1" si="17"/>
        <v>-2</v>
      </c>
      <c r="I350" s="153">
        <f ca="1">VLOOKUP($AB$2,'RF Mod'!$A$2:$G$12,3,FALSE)+VLOOKUP($AD$2,'RF Mod'!$I$2:$O$11,3,FALSE)+(TRUNC(6+(24-6)*(TRUNC(MOD(($Z350*1103515245 +12345)/ 65536, 32768),0)/32768),0))</f>
        <v>10</v>
      </c>
      <c r="J350" s="16" t="e">
        <f t="shared" ca="1" si="18"/>
        <v>#NAME?</v>
      </c>
      <c r="K350" s="153">
        <f ca="1">VLOOKUP($AB$2,'RF Mod'!$A$2:$G$12,3,FALSE)+VLOOKUP($AD$2,'RF Mod'!$I$2:$O$11,3,FALSE)+(TRUNC(6+(24-6)*(TRUNC(MOD(($Z350*1103515245 +12345)/ 65536, 32768),0)/32768),0))</f>
        <v>10</v>
      </c>
      <c r="L350" s="16" t="e">
        <f t="shared" ca="1" si="19"/>
        <v>#NAME?</v>
      </c>
      <c r="M350" s="153">
        <f ca="1">VLOOKUP($AB$2,'RF Mod'!$A$2:$G$12,4,FALSE)+VLOOKUP($AD$2,'RF Mod'!$I$2:$O$11,4,FALSE)+(TRUNC(6+(24-6)*(TRUNC(MOD(($Z350*1103515245 +12345)/ 65536, 32768),0)/32768),0))</f>
        <v>9</v>
      </c>
      <c r="N350" s="16">
        <f t="shared" ca="1" si="20"/>
        <v>-1</v>
      </c>
      <c r="O350" s="153">
        <f ca="1">VLOOKUP($AB$2,'RF Mod'!$A$2:$G$12,5,FALSE)+VLOOKUP($AD$2,'RF Mod'!$I$2:$O$11,5,FALSE)+(TRUNC(6+(24-6)*(TRUNC(MOD(($Z350*1103515245 +12345)/ 65536, 32768),0)/32768),0))</f>
        <v>12</v>
      </c>
      <c r="P350" s="16" t="e">
        <f t="shared" ca="1" si="21"/>
        <v>#NAME?</v>
      </c>
      <c r="Q350" s="153">
        <f ca="1">VLOOKUP($AB$2,'RF Mod'!$A$2:$G$12,6,FALSE)+VLOOKUP($AD$2,'RF Mod'!$I$2:$O$11,6,FALSE)+(TRUNC(6+(24-6)*(TRUNC(MOD(($Z350*1103515245 +12345)/ 65536, 32768),0)/32768),0))</f>
        <v>10</v>
      </c>
      <c r="R350" s="16" t="e">
        <f t="shared" ca="1" si="22"/>
        <v>#NAME?</v>
      </c>
      <c r="S350" s="154">
        <f t="shared" ca="1" si="28"/>
        <v>12</v>
      </c>
      <c r="T350" s="154">
        <f t="shared" ca="1" si="23"/>
        <v>12</v>
      </c>
      <c r="U350" s="16" t="str">
        <f t="shared" ca="1" si="24"/>
        <v>Unconscious</v>
      </c>
      <c r="V350" s="155">
        <f ca="1">IFERROR(__xludf.DUMMYFUNCTION("if(W350=""Middle Age"",QUERY(NPCVar!$K$2:$N1000, ""Select L where K = '""&amp;AB350&amp;""'""),if(W350=""Old"",QUERY(NPCVar!$K$2:$N1000, ""Select M where K = '""&amp;AB350&amp;""'""),if(W350=""Venerable"",QUERY(NPCVar!$K$2:$N1000, ""Select N where K = '""&amp;AB350&amp;""'""),fa"&amp;"lse)))*X350"),112.5)</f>
        <v>112.5</v>
      </c>
      <c r="W350" s="156" t="str">
        <f t="array" ref="W350">INDEX(NPCAgeType,TRUNC(1+(4-1)*(TRUNC(MOD((X350*1103515245 +12345)/ 65536, 32768),0)/32768),0))</f>
        <v>Middle Age</v>
      </c>
      <c r="X350" s="117">
        <f t="shared" si="29"/>
        <v>0.6</v>
      </c>
      <c r="Y350" s="157" t="e">
        <f t="array" aca="1" ref="Y350" ca="1">LOOKUP(ABS(MAX(Z350 + MIN(ABS(INDIRECT("Class Jobs!B"&amp;MATCH(E350,'Class Jobs'!$A$1:$A1000,0)&amp;":"&amp;"AF"&amp;MATCH(E350,'Class Jobs'!$A$1:$A1000,0)&amp;"")-$Z350)) * SUM(IF(MIN(ABS(INDIRECT("Class Jobs!B"&amp;MATCH(E350,'Class Jobs'!$A$1:$A1000,0)&amp;":"&amp;"AF"&amp;MATCH(E350,'Class Jobs'!$A$1:$A1000,0)&amp;"")-$Z350))=ABS(INDIRECT("Class Jobs!B"&amp;MATCH(E350,'Class Jobs'!$A$1:$A1000,0)&amp;":"&amp;"AF"&amp;MATCH(E350,'Class Jobs'!$A$1:$A1000,0)&amp;"")-$Z350),SIGN(INDIRECT("Class Jobs!B"&amp;MATCH(E350,'Class Jobs'!$A$1:A1000,0)&amp;":"&amp;"AF"&amp;MATCH(E350,'Class Jobs'!$A$1:$A1000,0)&amp;"")-$Z350),0)),0)),INDIRECT("Class Jobs!B"&amp;MATCH(E350,'Class Jobs'!$A$1:$A1000,0)&amp;":"&amp;"AF"&amp;MATCH(E350,'Class Jobs'!$A$1:$A1000,1)&amp;""),'Class Jobs'!$B$1:$AF$1)</f>
        <v>#REF!</v>
      </c>
      <c r="Z350" s="158">
        <f t="shared" si="25"/>
        <v>0.23</v>
      </c>
      <c r="AA350" s="16" t="str">
        <f t="array" ref="AA350">INDEX(NPCGender,TRUNC(1+(COUNTA(NPCGender))*(TRUNC(MOD(($B350*1103515245 +12345)/ 65536, 32768),0)/32768),0))</f>
        <v>Male</v>
      </c>
      <c r="AB350" s="16" t="str">
        <f t="array" ref="AB350">INDEX(NPCRace,TRUNC(1+(COUNTA(NPCRace))*(TRUNC(MOD(($B350*1103515245 +12345)/ 65536, 32768),0)/32768),0))</f>
        <v>Elf</v>
      </c>
      <c r="AC350" s="16" t="str">
        <f t="array" ref="AC350">INDEX(NPCAL,TRUNC(1+(COUNTA(NPCAL))*(TRUNC(MOD(($B350*1103515245 +12345)/ 65536, 32768),0)/32768),0))</f>
        <v>CG</v>
      </c>
      <c r="AD350" s="72" t="str">
        <f ca="1">IFERROR(__xludf.DUMMYFUNCTION("if(V350&lt;15,QUERY(NPCVar!C:D,""Select D WHERE C = '""&amp;D350&amp;""'""),if((TRUNC(1+10)*(TRUNC(MOD((ROW(H350)*1103515245 +12345)/ 65536, 32768),0)/32768)/10) &gt; 0.85,INDEX(NPCFaction,TRUNC(1+(counta(NPCFaction)-1)*(TRUNC(MOD(($B350*1103515245 +12345)/ 65536, 3276"&amp;"8),0)/32768),0)),QUERY(NPCVar!C:D,""Select D WHERE C = '""&amp;D350&amp;""'"")))"),"Traders Guild")</f>
        <v>Traders Guild</v>
      </c>
      <c r="AE350" s="108" t="e">
        <f t="shared" ca="1" si="26"/>
        <v>#NAME?</v>
      </c>
      <c r="AF350" s="159">
        <f ca="1">IFERROR(__xludf.DUMMYFUNCTION("AE350*(V350 / QUERY(NPCVar!$K$2:$N$12, ""Select N WHERE K='""&amp;AB350&amp;""'""))*TRUNC(1+10)*(TRUNC(MOD(($B350*1103515245 +12345)/ 65536, 32768),0)/32768)"),0.0756317138671874)</f>
        <v>7.5631713867187395E-2</v>
      </c>
      <c r="AG350" s="16"/>
      <c r="AH350" s="77"/>
      <c r="AI350" s="114"/>
    </row>
    <row r="351" spans="1:35" ht="16.2">
      <c r="A351" s="53">
        <v>350</v>
      </c>
      <c r="B351" s="118">
        <f t="shared" si="30"/>
        <v>1.94015</v>
      </c>
      <c r="C351" s="72" t="str">
        <f t="array" ref="C351">INDEX(NPCFName,TRUNC(1+(COUNTA(NPCFName))*(TRUNC(MOD(($B351*1103515245 +12345)/ 65536, 32768),0)/32768),0))</f>
        <v>Zoru</v>
      </c>
      <c r="D351" s="16" t="str">
        <f t="array" ref="D351">INDEX(NPCLName,TRUNC(1+(COUNTA(NPCLName))*(TRUNC(MOD(($B351*1103515245 +12345)/ 65536, 32768),0)/32768),0))</f>
        <v>Stillspell</v>
      </c>
      <c r="E351" s="16" t="str">
        <f t="array" ref="E351">INDEX(NPCClass,TRUNC(1+(COUNTA(NPCClass))*(TRUNC(MOD(($B351*1103515245 +12345)/ 65536, 32768),0)/32768),0))</f>
        <v>Wizard</v>
      </c>
      <c r="F351" s="76">
        <v>8</v>
      </c>
      <c r="G351" s="153">
        <f ca="1">VLOOKUP($AB$2,'RF Mod'!$A$2:$G$12,2,FALSE)+VLOOKUP($AD$2,'RF Mod'!$I$2:$O$11,2,FALSE)+(TRUNC(6+(24-6)*(TRUNC(MOD(($Z351*1103515245 +12345)/ 65536, 32768),0)/32768),0))</f>
        <v>13</v>
      </c>
      <c r="H351" s="16" t="e">
        <f t="shared" ca="1" si="17"/>
        <v>#NAME?</v>
      </c>
      <c r="I351" s="153">
        <f ca="1">VLOOKUP($AB$2,'RF Mod'!$A$2:$G$12,3,FALSE)+VLOOKUP($AD$2,'RF Mod'!$I$2:$O$11,3,FALSE)+(TRUNC(6+(24-6)*(TRUNC(MOD(($Z351*1103515245 +12345)/ 65536, 32768),0)/32768),0))</f>
        <v>17</v>
      </c>
      <c r="J351" s="16" t="e">
        <f t="shared" ca="1" si="18"/>
        <v>#NAME?</v>
      </c>
      <c r="K351" s="153">
        <f ca="1">VLOOKUP($AB$2,'RF Mod'!$A$2:$G$12,3,FALSE)+VLOOKUP($AD$2,'RF Mod'!$I$2:$O$11,3,FALSE)+(TRUNC(6+(24-6)*(TRUNC(MOD(($Z351*1103515245 +12345)/ 65536, 32768),0)/32768),0))</f>
        <v>17</v>
      </c>
      <c r="L351" s="16" t="e">
        <f t="shared" ca="1" si="19"/>
        <v>#NAME?</v>
      </c>
      <c r="M351" s="153">
        <f ca="1">VLOOKUP($AB$2,'RF Mod'!$A$2:$G$12,4,FALSE)+VLOOKUP($AD$2,'RF Mod'!$I$2:$O$11,4,FALSE)+(TRUNC(6+(24-6)*(TRUNC(MOD(($Z351*1103515245 +12345)/ 65536, 32768),0)/32768),0))</f>
        <v>16</v>
      </c>
      <c r="N351" s="16" t="e">
        <f t="shared" ca="1" si="20"/>
        <v>#NAME?</v>
      </c>
      <c r="O351" s="153">
        <f ca="1">VLOOKUP($AB$2,'RF Mod'!$A$2:$G$12,5,FALSE)+VLOOKUP($AD$2,'RF Mod'!$I$2:$O$11,5,FALSE)+(TRUNC(6+(24-6)*(TRUNC(MOD(($Z351*1103515245 +12345)/ 65536, 32768),0)/32768),0))</f>
        <v>19</v>
      </c>
      <c r="P351" s="16" t="e">
        <f t="shared" ca="1" si="21"/>
        <v>#NAME?</v>
      </c>
      <c r="Q351" s="153">
        <f ca="1">VLOOKUP($AB$2,'RF Mod'!$A$2:$G$12,6,FALSE)+VLOOKUP($AD$2,'RF Mod'!$I$2:$O$11,6,FALSE)+(TRUNC(6+(24-6)*(TRUNC(MOD(($Z351*1103515245 +12345)/ 65536, 32768),0)/32768),0))</f>
        <v>17</v>
      </c>
      <c r="R351" s="16" t="e">
        <f t="shared" ca="1" si="22"/>
        <v>#NAME?</v>
      </c>
      <c r="S351" s="154">
        <f t="shared" ca="1" si="28"/>
        <v>152</v>
      </c>
      <c r="T351" s="154">
        <f t="shared" ca="1" si="23"/>
        <v>140</v>
      </c>
      <c r="U351" s="16" t="str">
        <f t="shared" ca="1" si="24"/>
        <v>Bloody</v>
      </c>
      <c r="V351" s="155">
        <f ca="1">IFERROR(__xludf.DUMMYFUNCTION("if(W351=""Middle Age"",QUERY(NPCVar!$K$2:$N1000, ""Select L where K = '""&amp;AB351&amp;""'""),if(W351=""Old"",QUERY(NPCVar!$K$2:$N1000, ""Select M where K = '""&amp;AB351&amp;""'""),if(W351=""Venerable"",QUERY(NPCVar!$K$2:$N1000, ""Select N where K = '""&amp;AB351&amp;""'""),fa"&amp;"lse)))*X351"),72)</f>
        <v>72</v>
      </c>
      <c r="W351" s="156" t="str">
        <f t="array" ref="W351">INDEX(NPCAgeType,TRUNC(1+(4-1)*(TRUNC(MOD((X351*1103515245 +12345)/ 65536, 32768),0)/32768),0))</f>
        <v>Middle Age</v>
      </c>
      <c r="X351" s="117">
        <f t="shared" si="29"/>
        <v>2.4</v>
      </c>
      <c r="Y351" s="157" t="e">
        <f t="array" aca="1" ref="Y351" ca="1">LOOKUP(ABS(MAX(Z351 + MIN(ABS(INDIRECT("Class Jobs!B"&amp;MATCH(E351,'Class Jobs'!$A$1:$A1000,0)&amp;":"&amp;"AF"&amp;MATCH(E351,'Class Jobs'!$A$1:$A1000,0)&amp;"")-$Z351)) * SUM(IF(MIN(ABS(INDIRECT("Class Jobs!B"&amp;MATCH(E351,'Class Jobs'!$A$1:$A1000,0)&amp;":"&amp;"AF"&amp;MATCH(E351,'Class Jobs'!$A$1:$A1000,0)&amp;"")-$Z351))=ABS(INDIRECT("Class Jobs!B"&amp;MATCH(E351,'Class Jobs'!$A$1:$A1000,0)&amp;":"&amp;"AF"&amp;MATCH(E351,'Class Jobs'!$A$1:$A1000,0)&amp;"")-$Z351),SIGN(INDIRECT("Class Jobs!B"&amp;MATCH(E351,'Class Jobs'!$A$1:A1000,0)&amp;":"&amp;"AF"&amp;MATCH(E351,'Class Jobs'!$A$1:$A1000,0)&amp;"")-$Z351),0)),0)),INDIRECT("Class Jobs!B"&amp;MATCH(E351,'Class Jobs'!$A$1:$A1000,0)&amp;":"&amp;"AF"&amp;MATCH(E351,'Class Jobs'!$A$1:$A1000,1)&amp;""),'Class Jobs'!$B$1:$AF$1)</f>
        <v>#REF!</v>
      </c>
      <c r="Z351" s="158">
        <f t="shared" si="25"/>
        <v>0.99</v>
      </c>
      <c r="AA351" s="16" t="str">
        <f t="array" ref="AA351">INDEX(NPCGender,TRUNC(1+(COUNTA(NPCGender))*(TRUNC(MOD(($B351*1103515245 +12345)/ 65536, 32768),0)/32768),0))</f>
        <v>Neutral</v>
      </c>
      <c r="AB351" s="16" t="str">
        <f t="array" ref="AB351">INDEX(NPCRace,TRUNC(1+(COUNTA(NPCRace))*(TRUNC(MOD(($B351*1103515245 +12345)/ 65536, 32768),0)/32768),0))</f>
        <v>Goliath</v>
      </c>
      <c r="AC351" s="16" t="str">
        <f t="array" ref="AC351">INDEX(NPCAL,TRUNC(1+(COUNTA(NPCAL))*(TRUNC(MOD(($B351*1103515245 +12345)/ 65536, 32768),0)/32768),0))</f>
        <v>LE</v>
      </c>
      <c r="AD351" s="72" t="str">
        <f ca="1">IFERROR(__xludf.DUMMYFUNCTION("if(V351&lt;15,QUERY(NPCVar!C:D,""Select D WHERE C = '""&amp;D351&amp;""'""),if((TRUNC(1+10)*(TRUNC(MOD((ROW(H351)*1103515245 +12345)/ 65536, 32768),0)/32768)/10) &gt; 0.85,INDEX(NPCFaction,TRUNC(1+(counta(NPCFaction)-1)*(TRUNC(MOD(($B351*1103515245 +12345)/ 65536, 3276"&amp;"8),0)/32768),0)),QUERY(NPCVar!C:D,""Select D WHERE C = '""&amp;D351&amp;""'"")))"),"Followers of Isis")</f>
        <v>Followers of Isis</v>
      </c>
      <c r="AE351" s="108" t="e">
        <f t="shared" ca="1" si="26"/>
        <v>#NAME?</v>
      </c>
      <c r="AF351" s="159">
        <f ca="1">IFERROR(__xludf.DUMMYFUNCTION("AE351*(V351 / QUERY(NPCVar!$K$2:$N$12, ""Select N WHERE K='""&amp;AB351&amp;""'""))*TRUNC(1+10)*(TRUNC(MOD(($B351*1103515245 +12345)/ 65536, 32768),0)/32768)"),5.92205383300781)</f>
        <v>5.9220538330078103</v>
      </c>
      <c r="AG351" s="16"/>
      <c r="AH351" s="77"/>
      <c r="AI351" s="114"/>
    </row>
    <row r="352" spans="1:35" ht="16.2">
      <c r="A352" s="53">
        <v>351</v>
      </c>
      <c r="B352" s="118">
        <f t="shared" si="30"/>
        <v>0.93430000000000002</v>
      </c>
      <c r="C352" s="72" t="str">
        <f t="array" ref="C352">INDEX(NPCFName,TRUNC(1+(COUNTA(NPCFName))*(TRUNC(MOD(($B352*1103515245 +12345)/ 65536, 32768),0)/32768),0))</f>
        <v>Jalil</v>
      </c>
      <c r="D352" s="16" t="str">
        <f t="array" ref="D352">INDEX(NPCLName,TRUNC(1+(COUNTA(NPCLName))*(TRUNC(MOD(($B352*1103515245 +12345)/ 65536, 32768),0)/32768),0))</f>
        <v>Autumnglow</v>
      </c>
      <c r="E352" s="16" t="str">
        <f t="array" ref="E352">INDEX(NPCClass,TRUNC(1+(COUNTA(NPCClass))*(TRUNC(MOD(($B352*1103515245 +12345)/ 65536, 32768),0)/32768),0))</f>
        <v>Ranger</v>
      </c>
      <c r="F352" s="76">
        <v>8</v>
      </c>
      <c r="G352" s="153">
        <f ca="1">VLOOKUP($AB$2,'RF Mod'!$A$2:$G$12,2,FALSE)+VLOOKUP($AD$2,'RF Mod'!$I$2:$O$11,2,FALSE)+(TRUNC(6+(24-6)*(TRUNC(MOD(($Z352*1103515245 +12345)/ 65536, 32768),0)/32768),0))</f>
        <v>8</v>
      </c>
      <c r="H352" s="16">
        <f t="shared" ca="1" si="17"/>
        <v>-1</v>
      </c>
      <c r="I352" s="153">
        <f ca="1">VLOOKUP($AB$2,'RF Mod'!$A$2:$G$12,3,FALSE)+VLOOKUP($AD$2,'RF Mod'!$I$2:$O$11,3,FALSE)+(TRUNC(6+(24-6)*(TRUNC(MOD(($Z352*1103515245 +12345)/ 65536, 32768),0)/32768),0))</f>
        <v>12</v>
      </c>
      <c r="J352" s="16" t="e">
        <f t="shared" ca="1" si="18"/>
        <v>#NAME?</v>
      </c>
      <c r="K352" s="153">
        <f ca="1">VLOOKUP($AB$2,'RF Mod'!$A$2:$G$12,3,FALSE)+VLOOKUP($AD$2,'RF Mod'!$I$2:$O$11,3,FALSE)+(TRUNC(6+(24-6)*(TRUNC(MOD(($Z352*1103515245 +12345)/ 65536, 32768),0)/32768),0))</f>
        <v>12</v>
      </c>
      <c r="L352" s="16" t="e">
        <f t="shared" ca="1" si="19"/>
        <v>#NAME?</v>
      </c>
      <c r="M352" s="153">
        <f ca="1">VLOOKUP($AB$2,'RF Mod'!$A$2:$G$12,4,FALSE)+VLOOKUP($AD$2,'RF Mod'!$I$2:$O$11,4,FALSE)+(TRUNC(6+(24-6)*(TRUNC(MOD(($Z352*1103515245 +12345)/ 65536, 32768),0)/32768),0))</f>
        <v>11</v>
      </c>
      <c r="N352" s="16" t="e">
        <f t="shared" ca="1" si="20"/>
        <v>#NAME?</v>
      </c>
      <c r="O352" s="153">
        <f ca="1">VLOOKUP($AB$2,'RF Mod'!$A$2:$G$12,5,FALSE)+VLOOKUP($AD$2,'RF Mod'!$I$2:$O$11,5,FALSE)+(TRUNC(6+(24-6)*(TRUNC(MOD(($Z352*1103515245 +12345)/ 65536, 32768),0)/32768),0))</f>
        <v>14</v>
      </c>
      <c r="P352" s="16" t="e">
        <f t="shared" ca="1" si="21"/>
        <v>#NAME?</v>
      </c>
      <c r="Q352" s="153">
        <f ca="1">VLOOKUP($AB$2,'RF Mod'!$A$2:$G$12,6,FALSE)+VLOOKUP($AD$2,'RF Mod'!$I$2:$O$11,6,FALSE)+(TRUNC(6+(24-6)*(TRUNC(MOD(($Z352*1103515245 +12345)/ 65536, 32768),0)/32768),0))</f>
        <v>12</v>
      </c>
      <c r="R352" s="16" t="e">
        <f t="shared" ca="1" si="22"/>
        <v>#NAME?</v>
      </c>
      <c r="S352" s="154">
        <f t="shared" ca="1" si="28"/>
        <v>192</v>
      </c>
      <c r="T352" s="154">
        <f t="shared" ca="1" si="23"/>
        <v>131</v>
      </c>
      <c r="U352" s="16" t="str">
        <f t="shared" ca="1" si="24"/>
        <v>Bloody</v>
      </c>
      <c r="V352" s="155">
        <f ca="1">IFERROR(__xludf.DUMMYFUNCTION("if(W352=""Middle Age"",QUERY(NPCVar!$K$2:$N1000, ""Select L where K = '""&amp;AB352&amp;""'""),if(W352=""Old"",QUERY(NPCVar!$K$2:$N1000, ""Select M where K = '""&amp;AB352&amp;""'""),if(W352=""Venerable"",QUERY(NPCVar!$K$2:$N1000, ""Select N where K = '""&amp;AB352&amp;""'""),fa"&amp;"lse)))*X352"),31.5)</f>
        <v>31.5</v>
      </c>
      <c r="W352" s="156" t="str">
        <f t="array" ref="W352">INDEX(NPCAgeType,TRUNC(1+(4-1)*(TRUNC(MOD((X352*1103515245 +12345)/ 65536, 32768),0)/32768),0))</f>
        <v>Old</v>
      </c>
      <c r="X352" s="117">
        <f t="shared" si="29"/>
        <v>1.2</v>
      </c>
      <c r="Y352" s="157" t="e">
        <f t="array" aca="1" ref="Y352" ca="1">LOOKUP(ABS(MAX(Z352 + MIN(ABS(INDIRECT("Class Jobs!B"&amp;MATCH(E352,'Class Jobs'!$A$1:$A1000,0)&amp;":"&amp;"AF"&amp;MATCH(E352,'Class Jobs'!$A$1:$A1000,0)&amp;"")-$Z352)) * SUM(IF(MIN(ABS(INDIRECT("Class Jobs!B"&amp;MATCH(E352,'Class Jobs'!$A$1:$A1000,0)&amp;":"&amp;"AF"&amp;MATCH(E352,'Class Jobs'!$A$1:$A1000,0)&amp;"")-$Z352))=ABS(INDIRECT("Class Jobs!B"&amp;MATCH(E352,'Class Jobs'!$A$1:$A1000,0)&amp;":"&amp;"AF"&amp;MATCH(E352,'Class Jobs'!$A$1:$A1000,0)&amp;"")-$Z352),SIGN(INDIRECT("Class Jobs!B"&amp;MATCH(E352,'Class Jobs'!$A$1:A1000,0)&amp;":"&amp;"AF"&amp;MATCH(E352,'Class Jobs'!$A$1:$A1000,0)&amp;"")-$Z352),0)),0)),INDIRECT("Class Jobs!B"&amp;MATCH(E352,'Class Jobs'!$A$1:$A1000,0)&amp;":"&amp;"AF"&amp;MATCH(E352,'Class Jobs'!$A$1:$A1000,1)&amp;""),'Class Jobs'!$B$1:$AF$1)</f>
        <v>#REF!</v>
      </c>
      <c r="Z352" s="158">
        <f t="shared" si="25"/>
        <v>0.48</v>
      </c>
      <c r="AA352" s="16" t="str">
        <f t="array" ref="AA352">INDEX(NPCGender,TRUNC(1+(COUNTA(NPCGender))*(TRUNC(MOD(($B352*1103515245 +12345)/ 65536, 32768),0)/32768),0))</f>
        <v>Female</v>
      </c>
      <c r="AB352" s="16" t="str">
        <f t="array" ref="AB352">INDEX(NPCRace,TRUNC(1+(COUNTA(NPCRace))*(TRUNC(MOD(($B352*1103515245 +12345)/ 65536, 32768),0)/32768),0))</f>
        <v>Half-Orc</v>
      </c>
      <c r="AC352" s="16" t="str">
        <f t="array" ref="AC352">INDEX(NPCAL,TRUNC(1+(COUNTA(NPCAL))*(TRUNC(MOD(($B352*1103515245 +12345)/ 65536, 32768),0)/32768),0))</f>
        <v>NN</v>
      </c>
      <c r="AD352" s="72" t="str">
        <f ca="1">IFERROR(__xludf.DUMMYFUNCTION("if(V352&lt;15,QUERY(NPCVar!C:D,""Select D WHERE C = '""&amp;D352&amp;""'""),if((TRUNC(1+10)*(TRUNC(MOD((ROW(H352)*1103515245 +12345)/ 65536, 32768),0)/32768)/10) &gt; 0.85,INDEX(NPCFaction,TRUNC(1+(counta(NPCFaction)-1)*(TRUNC(MOD(($B352*1103515245 +12345)/ 65536, 3276"&amp;"8),0)/32768),0)),QUERY(NPCVar!C:D,""Select D WHERE C = '""&amp;D352&amp;""'"")))"),"Thieves Guild")</f>
        <v>Thieves Guild</v>
      </c>
      <c r="AE352" s="108" t="e">
        <f t="shared" ca="1" si="26"/>
        <v>#NAME?</v>
      </c>
      <c r="AF352" s="159">
        <f ca="1">IFERROR(__xludf.DUMMYFUNCTION("AE352*(V352 / QUERY(NPCVar!$K$2:$N$12, ""Select N WHERE K='""&amp;AB352&amp;""'""))*TRUNC(1+10)*(TRUNC(MOD(($B352*1103515245 +12345)/ 65536, 32768),0)/32768)"),1.18825378417968)</f>
        <v>1.1882537841796801</v>
      </c>
      <c r="AG352" s="16"/>
      <c r="AH352" s="77"/>
      <c r="AI352" s="114"/>
    </row>
    <row r="353" spans="1:35" ht="16.2">
      <c r="A353" s="53">
        <v>352</v>
      </c>
      <c r="B353" s="118">
        <f t="shared" si="30"/>
        <v>2.4283600000000001</v>
      </c>
      <c r="C353" s="72" t="str">
        <f t="array" ref="C353">INDEX(NPCFName,TRUNC(1+(COUNTA(NPCFName))*(TRUNC(MOD(($B353*1103515245 +12345)/ 65536, 32768),0)/32768),0))</f>
        <v>Ritic</v>
      </c>
      <c r="D353" s="16" t="str">
        <f t="array" ref="D353">INDEX(NPCLName,TRUNC(1+(COUNTA(NPCLName))*(TRUNC(MOD(($B353*1103515245 +12345)/ 65536, 32768),0)/32768),0))</f>
        <v>Tuskleaf</v>
      </c>
      <c r="E353" s="16" t="str">
        <f t="array" ref="E353">INDEX(NPCClass,TRUNC(1+(COUNTA(NPCClass))*(TRUNC(MOD(($B353*1103515245 +12345)/ 65536, 32768),0)/32768),0))</f>
        <v>Druid</v>
      </c>
      <c r="F353" s="76">
        <v>4</v>
      </c>
      <c r="G353" s="153">
        <f ca="1">VLOOKUP($AB$2,'RF Mod'!$A$2:$G$12,2,FALSE)+VLOOKUP($AD$2,'RF Mod'!$I$2:$O$11,2,FALSE)+(TRUNC(6+(24-6)*(TRUNC(MOD(($Z353*1103515245 +12345)/ 65536, 32768),0)/32768),0))</f>
        <v>6</v>
      </c>
      <c r="H353" s="16">
        <f t="shared" ca="1" si="17"/>
        <v>-2</v>
      </c>
      <c r="I353" s="153">
        <f ca="1">VLOOKUP($AB$2,'RF Mod'!$A$2:$G$12,3,FALSE)+VLOOKUP($AD$2,'RF Mod'!$I$2:$O$11,3,FALSE)+(TRUNC(6+(24-6)*(TRUNC(MOD(($Z353*1103515245 +12345)/ 65536, 32768),0)/32768),0))</f>
        <v>10</v>
      </c>
      <c r="J353" s="16" t="e">
        <f t="shared" ca="1" si="18"/>
        <v>#NAME?</v>
      </c>
      <c r="K353" s="153">
        <f ca="1">VLOOKUP($AB$2,'RF Mod'!$A$2:$G$12,3,FALSE)+VLOOKUP($AD$2,'RF Mod'!$I$2:$O$11,3,FALSE)+(TRUNC(6+(24-6)*(TRUNC(MOD(($Z353*1103515245 +12345)/ 65536, 32768),0)/32768),0))</f>
        <v>10</v>
      </c>
      <c r="L353" s="16" t="e">
        <f t="shared" ca="1" si="19"/>
        <v>#NAME?</v>
      </c>
      <c r="M353" s="153">
        <f ca="1">VLOOKUP($AB$2,'RF Mod'!$A$2:$G$12,4,FALSE)+VLOOKUP($AD$2,'RF Mod'!$I$2:$O$11,4,FALSE)+(TRUNC(6+(24-6)*(TRUNC(MOD(($Z353*1103515245 +12345)/ 65536, 32768),0)/32768),0))</f>
        <v>9</v>
      </c>
      <c r="N353" s="16">
        <f t="shared" ca="1" si="20"/>
        <v>-1</v>
      </c>
      <c r="O353" s="153">
        <f ca="1">VLOOKUP($AB$2,'RF Mod'!$A$2:$G$12,5,FALSE)+VLOOKUP($AD$2,'RF Mod'!$I$2:$O$11,5,FALSE)+(TRUNC(6+(24-6)*(TRUNC(MOD(($Z353*1103515245 +12345)/ 65536, 32768),0)/32768),0))</f>
        <v>12</v>
      </c>
      <c r="P353" s="16" t="e">
        <f t="shared" ca="1" si="21"/>
        <v>#NAME?</v>
      </c>
      <c r="Q353" s="153">
        <f ca="1">VLOOKUP($AB$2,'RF Mod'!$A$2:$G$12,6,FALSE)+VLOOKUP($AD$2,'RF Mod'!$I$2:$O$11,6,FALSE)+(TRUNC(6+(24-6)*(TRUNC(MOD(($Z353*1103515245 +12345)/ 65536, 32768),0)/32768),0))</f>
        <v>10</v>
      </c>
      <c r="R353" s="16" t="e">
        <f t="shared" ca="1" si="22"/>
        <v>#NAME?</v>
      </c>
      <c r="S353" s="154">
        <f t="shared" ca="1" si="28"/>
        <v>56</v>
      </c>
      <c r="T353" s="154">
        <f t="shared" ca="1" si="23"/>
        <v>44</v>
      </c>
      <c r="U353" s="16" t="str">
        <f t="shared" ca="1" si="24"/>
        <v>Bloody</v>
      </c>
      <c r="V353" s="155">
        <f ca="1">IFERROR(__xludf.DUMMYFUNCTION("if(W353=""Middle Age"",QUERY(NPCVar!$K$2:$N1000, ""Select L where K = '""&amp;AB353&amp;""'""),if(W353=""Old"",QUERY(NPCVar!$K$2:$N1000, ""Select M where K = '""&amp;AB353&amp;""'""),if(W353=""Venerable"",QUERY(NPCVar!$K$2:$N1000, ""Select N where K = '""&amp;AB353&amp;""'""),fa"&amp;"lse)))*X353"),112.5)</f>
        <v>112.5</v>
      </c>
      <c r="W353" s="156" t="str">
        <f t="array" ref="W353">INDEX(NPCAgeType,TRUNC(1+(4-1)*(TRUNC(MOD((X353*1103515245 +12345)/ 65536, 32768),0)/32768),0))</f>
        <v>Middle Age</v>
      </c>
      <c r="X353" s="117">
        <f t="shared" si="29"/>
        <v>0.6</v>
      </c>
      <c r="Y353" s="157" t="e">
        <f t="array" aca="1" ref="Y353" ca="1">LOOKUP(ABS(MAX(Z353 + MIN(ABS(INDIRECT("Class Jobs!B"&amp;MATCH(E353,'Class Jobs'!$A$1:$A1000,0)&amp;":"&amp;"AF"&amp;MATCH(E353,'Class Jobs'!$A$1:$A1000,0)&amp;"")-$Z353)) * SUM(IF(MIN(ABS(INDIRECT("Class Jobs!B"&amp;MATCH(E353,'Class Jobs'!$A$1:$A1000,0)&amp;":"&amp;"AF"&amp;MATCH(E353,'Class Jobs'!$A$1:$A1000,0)&amp;"")-$Z353))=ABS(INDIRECT("Class Jobs!B"&amp;MATCH(E353,'Class Jobs'!$A$1:$A1000,0)&amp;":"&amp;"AF"&amp;MATCH(E353,'Class Jobs'!$A$1:$A1000,0)&amp;"")-$Z353),SIGN(INDIRECT("Class Jobs!B"&amp;MATCH(E353,'Class Jobs'!$A$1:A1000,0)&amp;":"&amp;"AF"&amp;MATCH(E353,'Class Jobs'!$A$1:$A1000,0)&amp;"")-$Z353),0)),0)),INDIRECT("Class Jobs!B"&amp;MATCH(E353,'Class Jobs'!$A$1:$A1000,0)&amp;":"&amp;"AF"&amp;MATCH(E353,'Class Jobs'!$A$1:$A1000,1)&amp;""),'Class Jobs'!$B$1:$AF$1)</f>
        <v>#REF!</v>
      </c>
      <c r="Z353" s="158">
        <f t="shared" si="25"/>
        <v>0.25</v>
      </c>
      <c r="AA353" s="16" t="str">
        <f t="array" ref="AA353">INDEX(NPCGender,TRUNC(1+(COUNTA(NPCGender))*(TRUNC(MOD(($B353*1103515245 +12345)/ 65536, 32768),0)/32768),0))</f>
        <v>Male</v>
      </c>
      <c r="AB353" s="16" t="str">
        <f t="array" ref="AB353">INDEX(NPCRace,TRUNC(1+(COUNTA(NPCRace))*(TRUNC(MOD(($B353*1103515245 +12345)/ 65536, 32768),0)/32768),0))</f>
        <v>Elf</v>
      </c>
      <c r="AC353" s="16" t="str">
        <f t="array" ref="AC353">INDEX(NPCAL,TRUNC(1+(COUNTA(NPCAL))*(TRUNC(MOD(($B353*1103515245 +12345)/ 65536, 32768),0)/32768),0))</f>
        <v>CG</v>
      </c>
      <c r="AD353" s="72" t="str">
        <f ca="1">IFERROR(__xludf.DUMMYFUNCTION("if(V353&lt;15,QUERY(NPCVar!C:D,""Select D WHERE C = '""&amp;D353&amp;""'""),if((TRUNC(1+10)*(TRUNC(MOD((ROW(H353)*1103515245 +12345)/ 65536, 32768),0)/32768)/10) &gt; 0.85,INDEX(NPCFaction,TRUNC(1+(counta(NPCFaction)-1)*(TRUNC(MOD(($B353*1103515245 +12345)/ 65536, 3276"&amp;"8),0)/32768),0)),QUERY(NPCVar!C:D,""Select D WHERE C = '""&amp;D353&amp;""'"")))"),"Magic Guild")</f>
        <v>Magic Guild</v>
      </c>
      <c r="AE353" s="108" t="e">
        <f t="shared" ca="1" si="26"/>
        <v>#NAME?</v>
      </c>
      <c r="AF353" s="159">
        <f ca="1">IFERROR(__xludf.DUMMYFUNCTION("AE353*(V353 / QUERY(NPCVar!$K$2:$N$12, ""Select N WHERE K='""&amp;AB353&amp;""'""))*TRUNC(1+10)*(TRUNC(MOD(($B353*1103515245 +12345)/ 65536, 32768),0)/32768)"),0.245354919433593)</f>
        <v>0.245354919433593</v>
      </c>
      <c r="AG353" s="16"/>
      <c r="AH353" s="77"/>
      <c r="AI353" s="114"/>
    </row>
    <row r="354" spans="1:35" ht="16.2">
      <c r="A354" s="53">
        <v>353</v>
      </c>
      <c r="B354" s="118">
        <f t="shared" si="30"/>
        <v>1.4225000000000001</v>
      </c>
      <c r="C354" s="72" t="str">
        <f t="array" ref="C354">INDEX(NPCFName,TRUNC(1+(COUNTA(NPCFName))*(TRUNC(MOD(($B354*1103515245 +12345)/ 65536, 32768),0)/32768),0))</f>
        <v>Dalburn</v>
      </c>
      <c r="D354" s="16" t="str">
        <f t="array" ref="D354">INDEX(NPCLName,TRUNC(1+(COUNTA(NPCLName))*(TRUNC(MOD(($B354*1103515245 +12345)/ 65536, 32768),0)/32768),0))</f>
        <v>Rockspell</v>
      </c>
      <c r="E354" s="16" t="str">
        <f t="array" ref="E354">INDEX(NPCClass,TRUNC(1+(COUNTA(NPCClass))*(TRUNC(MOD(($B354*1103515245 +12345)/ 65536, 32768),0)/32768),0))</f>
        <v>None</v>
      </c>
      <c r="F354" s="76">
        <v>8</v>
      </c>
      <c r="G354" s="153">
        <f ca="1">VLOOKUP($AB$2,'RF Mod'!$A$2:$G$12,2,FALSE)+VLOOKUP($AD$2,'RF Mod'!$I$2:$O$11,2,FALSE)+(TRUNC(6+(24-6)*(TRUNC(MOD(($Z354*1103515245 +12345)/ 65536, 32768),0)/32768),0))</f>
        <v>10</v>
      </c>
      <c r="H354" s="16" t="e">
        <f t="shared" ca="1" si="17"/>
        <v>#NAME?</v>
      </c>
      <c r="I354" s="153">
        <f ca="1">VLOOKUP($AB$2,'RF Mod'!$A$2:$G$12,3,FALSE)+VLOOKUP($AD$2,'RF Mod'!$I$2:$O$11,3,FALSE)+(TRUNC(6+(24-6)*(TRUNC(MOD(($Z354*1103515245 +12345)/ 65536, 32768),0)/32768),0))</f>
        <v>14</v>
      </c>
      <c r="J354" s="16" t="e">
        <f t="shared" ca="1" si="18"/>
        <v>#NAME?</v>
      </c>
      <c r="K354" s="153">
        <f ca="1">VLOOKUP($AB$2,'RF Mod'!$A$2:$G$12,3,FALSE)+VLOOKUP($AD$2,'RF Mod'!$I$2:$O$11,3,FALSE)+(TRUNC(6+(24-6)*(TRUNC(MOD(($Z354*1103515245 +12345)/ 65536, 32768),0)/32768),0))</f>
        <v>14</v>
      </c>
      <c r="L354" s="16" t="e">
        <f t="shared" ca="1" si="19"/>
        <v>#NAME?</v>
      </c>
      <c r="M354" s="153">
        <f ca="1">VLOOKUP($AB$2,'RF Mod'!$A$2:$G$12,4,FALSE)+VLOOKUP($AD$2,'RF Mod'!$I$2:$O$11,4,FALSE)+(TRUNC(6+(24-6)*(TRUNC(MOD(($Z354*1103515245 +12345)/ 65536, 32768),0)/32768),0))</f>
        <v>13</v>
      </c>
      <c r="N354" s="16" t="e">
        <f t="shared" ca="1" si="20"/>
        <v>#NAME?</v>
      </c>
      <c r="O354" s="153">
        <f ca="1">VLOOKUP($AB$2,'RF Mod'!$A$2:$G$12,5,FALSE)+VLOOKUP($AD$2,'RF Mod'!$I$2:$O$11,5,FALSE)+(TRUNC(6+(24-6)*(TRUNC(MOD(($Z354*1103515245 +12345)/ 65536, 32768),0)/32768),0))</f>
        <v>16</v>
      </c>
      <c r="P354" s="16" t="e">
        <f t="shared" ca="1" si="21"/>
        <v>#NAME?</v>
      </c>
      <c r="Q354" s="153">
        <f ca="1">VLOOKUP($AB$2,'RF Mod'!$A$2:$G$12,6,FALSE)+VLOOKUP($AD$2,'RF Mod'!$I$2:$O$11,6,FALSE)+(TRUNC(6+(24-6)*(TRUNC(MOD(($Z354*1103515245 +12345)/ 65536, 32768),0)/32768),0))</f>
        <v>14</v>
      </c>
      <c r="R354" s="16" t="e">
        <f t="shared" ca="1" si="22"/>
        <v>#NAME?</v>
      </c>
      <c r="S354" s="154">
        <f t="shared" ca="1" si="28"/>
        <v>224</v>
      </c>
      <c r="T354" s="154">
        <f t="shared" ca="1" si="23"/>
        <v>180</v>
      </c>
      <c r="U354" s="16" t="str">
        <f t="shared" ca="1" si="24"/>
        <v>Bloody</v>
      </c>
      <c r="V354" s="155">
        <f ca="1">IFERROR(__xludf.DUMMYFUNCTION("if(W354=""Middle Age"",QUERY(NPCVar!$K$2:$N1000, ""Select L where K = '""&amp;AB354&amp;""'""),if(W354=""Old"",QUERY(NPCVar!$K$2:$N1000, ""Select M where K = '""&amp;AB354&amp;""'""),if(W354=""Venerable"",QUERY(NPCVar!$K$2:$N1000, ""Select N where K = '""&amp;AB354&amp;""'""),fa"&amp;"lse)))*X354"),180)</f>
        <v>180</v>
      </c>
      <c r="W354" s="156" t="str">
        <f t="array" ref="W354">INDEX(NPCAgeType,TRUNC(1+(4-1)*(TRUNC(MOD((X354*1103515245 +12345)/ 65536, 32768),0)/32768),0))</f>
        <v>Venerable</v>
      </c>
      <c r="X354" s="117">
        <f t="shared" si="29"/>
        <v>1.8</v>
      </c>
      <c r="Y354" s="157" t="e">
        <f t="array" aca="1" ref="Y354" ca="1">LOOKUP(ABS(MAX(Z354 + MIN(ABS(INDIRECT("Class Jobs!B"&amp;MATCH(E354,'Class Jobs'!$A$1:$A1000,0)&amp;":"&amp;"AF"&amp;MATCH(E354,'Class Jobs'!$A$1:$A1000,0)&amp;"")-$Z354)) * SUM(IF(MIN(ABS(INDIRECT("Class Jobs!B"&amp;MATCH(E354,'Class Jobs'!$A$1:$A1000,0)&amp;":"&amp;"AF"&amp;MATCH(E354,'Class Jobs'!$A$1:$A1000,0)&amp;"")-$Z354))=ABS(INDIRECT("Class Jobs!B"&amp;MATCH(E354,'Class Jobs'!$A$1:$A1000,0)&amp;":"&amp;"AF"&amp;MATCH(E354,'Class Jobs'!$A$1:$A1000,0)&amp;"")-$Z354),SIGN(INDIRECT("Class Jobs!B"&amp;MATCH(E354,'Class Jobs'!$A$1:A1000,0)&amp;":"&amp;"AF"&amp;MATCH(E354,'Class Jobs'!$A$1:$A1000,0)&amp;"")-$Z354),0)),0)),INDIRECT("Class Jobs!B"&amp;MATCH(E354,'Class Jobs'!$A$1:$A1000,0)&amp;":"&amp;"AF"&amp;MATCH(E354,'Class Jobs'!$A$1:$A1000,1)&amp;""),'Class Jobs'!$B$1:$AF$1)</f>
        <v>#REF!</v>
      </c>
      <c r="Z354" s="158">
        <f t="shared" si="25"/>
        <v>0.73</v>
      </c>
      <c r="AA354" s="16" t="str">
        <f t="array" ref="AA354">INDEX(NPCGender,TRUNC(1+(COUNTA(NPCGender))*(TRUNC(MOD(($B354*1103515245 +12345)/ 65536, 32768),0)/32768),0))</f>
        <v>Neutral</v>
      </c>
      <c r="AB354" s="16" t="str">
        <f t="array" ref="AB354">INDEX(NPCRace,TRUNC(1+(COUNTA(NPCRace))*(TRUNC(MOD(($B354*1103515245 +12345)/ 65536, 32768),0)/32768),0))</f>
        <v>Tiefling</v>
      </c>
      <c r="AC354" s="16" t="str">
        <f t="array" ref="AC354">INDEX(NPCAL,TRUNC(1+(COUNTA(NPCAL))*(TRUNC(MOD(($B354*1103515245 +12345)/ 65536, 32768),0)/32768),0))</f>
        <v>LG</v>
      </c>
      <c r="AD354" s="72" t="str">
        <f ca="1">IFERROR(__xludf.DUMMYFUNCTION("if(V354&lt;15,QUERY(NPCVar!C:D,""Select D WHERE C = '""&amp;D354&amp;""'""),if((TRUNC(1+10)*(TRUNC(MOD((ROW(H354)*1103515245 +12345)/ 65536, 32768),0)/32768)/10) &gt; 0.85,INDEX(NPCFaction,TRUNC(1+(counta(NPCFaction)-1)*(TRUNC(MOD(($B354*1103515245 +12345)/ 65536, 3276"&amp;"8),0)/32768),0)),QUERY(NPCVar!C:D,""Select D WHERE C = '""&amp;D354&amp;""'"")))"),"Magic Guild")</f>
        <v>Magic Guild</v>
      </c>
      <c r="AE354" s="108" t="e">
        <f t="shared" ca="1" si="26"/>
        <v>#NAME?</v>
      </c>
      <c r="AF354" s="159">
        <f ca="1">IFERROR(__xludf.DUMMYFUNCTION("AE354*(V354 / QUERY(NPCVar!$K$2:$N$12, ""Select N WHERE K='""&amp;AB354&amp;""'""))*TRUNC(1+10)*(TRUNC(MOD(($B354*1103515245 +12345)/ 65536, 32768),0)/32768)"),7.236474609375)</f>
        <v>7.2364746093749996</v>
      </c>
      <c r="AG354" s="16"/>
      <c r="AH354" s="77"/>
      <c r="AI354" s="114"/>
    </row>
    <row r="355" spans="1:35" ht="16.2">
      <c r="A355" s="53">
        <v>354</v>
      </c>
      <c r="B355" s="118">
        <f t="shared" si="30"/>
        <v>0.41664000000000001</v>
      </c>
      <c r="C355" s="72" t="str">
        <f t="array" ref="C355">INDEX(NPCFName,TRUNC(1+(COUNTA(NPCFName))*(TRUNC(MOD(($B355*1103515245 +12345)/ 65536, 32768),0)/32768),0))</f>
        <v>Occhi</v>
      </c>
      <c r="D355" s="16" t="str">
        <f t="array" ref="D355">INDEX(NPCLName,TRUNC(1+(COUNTA(NPCLName))*(TRUNC(MOD(($B355*1103515245 +12345)/ 65536, 32768),0)/32768),0))</f>
        <v>Stillsun</v>
      </c>
      <c r="E355" s="16" t="str">
        <f t="array" ref="E355">INDEX(NPCClass,TRUNC(1+(COUNTA(NPCClass))*(TRUNC(MOD(($B355*1103515245 +12345)/ 65536, 32768),0)/32768),0))</f>
        <v>Druid</v>
      </c>
      <c r="F355" s="76">
        <v>4</v>
      </c>
      <c r="G355" s="153">
        <f ca="1">VLOOKUP($AB$2,'RF Mod'!$A$2:$G$12,2,FALSE)+VLOOKUP($AD$2,'RF Mod'!$I$2:$O$11,2,FALSE)+(TRUNC(6+(24-6)*(TRUNC(MOD(($Z355*1103515245 +12345)/ 65536, 32768),0)/32768),0))</f>
        <v>6</v>
      </c>
      <c r="H355" s="16">
        <f t="shared" ca="1" si="17"/>
        <v>-2</v>
      </c>
      <c r="I355" s="153">
        <f ca="1">VLOOKUP($AB$2,'RF Mod'!$A$2:$G$12,3,FALSE)+VLOOKUP($AD$2,'RF Mod'!$I$2:$O$11,3,FALSE)+(TRUNC(6+(24-6)*(TRUNC(MOD(($Z355*1103515245 +12345)/ 65536, 32768),0)/32768),0))</f>
        <v>10</v>
      </c>
      <c r="J355" s="16" t="e">
        <f t="shared" ca="1" si="18"/>
        <v>#NAME?</v>
      </c>
      <c r="K355" s="153">
        <f ca="1">VLOOKUP($AB$2,'RF Mod'!$A$2:$G$12,3,FALSE)+VLOOKUP($AD$2,'RF Mod'!$I$2:$O$11,3,FALSE)+(TRUNC(6+(24-6)*(TRUNC(MOD(($Z355*1103515245 +12345)/ 65536, 32768),0)/32768),0))</f>
        <v>10</v>
      </c>
      <c r="L355" s="16" t="e">
        <f t="shared" ca="1" si="19"/>
        <v>#NAME?</v>
      </c>
      <c r="M355" s="153">
        <f ca="1">VLOOKUP($AB$2,'RF Mod'!$A$2:$G$12,4,FALSE)+VLOOKUP($AD$2,'RF Mod'!$I$2:$O$11,4,FALSE)+(TRUNC(6+(24-6)*(TRUNC(MOD(($Z355*1103515245 +12345)/ 65536, 32768),0)/32768),0))</f>
        <v>9</v>
      </c>
      <c r="N355" s="16">
        <f t="shared" ca="1" si="20"/>
        <v>-1</v>
      </c>
      <c r="O355" s="153">
        <f ca="1">VLOOKUP($AB$2,'RF Mod'!$A$2:$G$12,5,FALSE)+VLOOKUP($AD$2,'RF Mod'!$I$2:$O$11,5,FALSE)+(TRUNC(6+(24-6)*(TRUNC(MOD(($Z355*1103515245 +12345)/ 65536, 32768),0)/32768),0))</f>
        <v>12</v>
      </c>
      <c r="P355" s="16" t="e">
        <f t="shared" ca="1" si="21"/>
        <v>#NAME?</v>
      </c>
      <c r="Q355" s="153">
        <f ca="1">VLOOKUP($AB$2,'RF Mod'!$A$2:$G$12,6,FALSE)+VLOOKUP($AD$2,'RF Mod'!$I$2:$O$11,6,FALSE)+(TRUNC(6+(24-6)*(TRUNC(MOD(($Z355*1103515245 +12345)/ 65536, 32768),0)/32768),0))</f>
        <v>10</v>
      </c>
      <c r="R355" s="16" t="e">
        <f t="shared" ca="1" si="22"/>
        <v>#NAME?</v>
      </c>
      <c r="S355" s="154">
        <f t="shared" ca="1" si="28"/>
        <v>56</v>
      </c>
      <c r="T355" s="154">
        <f t="shared" ca="1" si="23"/>
        <v>34</v>
      </c>
      <c r="U355" s="16" t="str">
        <f t="shared" ca="1" si="24"/>
        <v>Bloody</v>
      </c>
      <c r="V355" s="155">
        <f ca="1">IFERROR(__xludf.DUMMYFUNCTION("if(W355=""Middle Age"",QUERY(NPCVar!$K$2:$N1000, ""Select L where K = '""&amp;AB355&amp;""'""),if(W355=""Old"",QUERY(NPCVar!$K$2:$N1000, ""Select M where K = '""&amp;AB355&amp;""'""),if(W355=""Venerable"",QUERY(NPCVar!$K$2:$N1000, ""Select N where K = '""&amp;AB355&amp;""'""),fa"&amp;"lse)))*X355"),112.5)</f>
        <v>112.5</v>
      </c>
      <c r="W355" s="156" t="str">
        <f t="array" ref="W355">INDEX(NPCAgeType,TRUNC(1+(4-1)*(TRUNC(MOD((X355*1103515245 +12345)/ 65536, 32768),0)/32768),0))</f>
        <v>Middle Age</v>
      </c>
      <c r="X355" s="117">
        <f t="shared" si="29"/>
        <v>0.6</v>
      </c>
      <c r="Y355" s="157" t="e">
        <f t="array" aca="1" ref="Y355" ca="1">LOOKUP(ABS(MAX(Z355 + MIN(ABS(INDIRECT("Class Jobs!B"&amp;MATCH(E355,'Class Jobs'!$A$1:$A1000,0)&amp;":"&amp;"AF"&amp;MATCH(E355,'Class Jobs'!$A$1:$A1000,0)&amp;"")-$Z355)) * SUM(IF(MIN(ABS(INDIRECT("Class Jobs!B"&amp;MATCH(E355,'Class Jobs'!$A$1:$A1000,0)&amp;":"&amp;"AF"&amp;MATCH(E355,'Class Jobs'!$A$1:$A1000,0)&amp;"")-$Z355))=ABS(INDIRECT("Class Jobs!B"&amp;MATCH(E355,'Class Jobs'!$A$1:$A1000,0)&amp;":"&amp;"AF"&amp;MATCH(E355,'Class Jobs'!$A$1:$A1000,0)&amp;"")-$Z355),SIGN(INDIRECT("Class Jobs!B"&amp;MATCH(E355,'Class Jobs'!$A$1:A1000,0)&amp;":"&amp;"AF"&amp;MATCH(E355,'Class Jobs'!$A$1:$A1000,0)&amp;"")-$Z355),0)),0)),INDIRECT("Class Jobs!B"&amp;MATCH(E355,'Class Jobs'!$A$1:$A1000,0)&amp;":"&amp;"AF"&amp;MATCH(E355,'Class Jobs'!$A$1:$A1000,1)&amp;""),'Class Jobs'!$B$1:$AF$1)</f>
        <v>#REF!</v>
      </c>
      <c r="Z355" s="158">
        <f t="shared" si="25"/>
        <v>0.22</v>
      </c>
      <c r="AA355" s="16" t="str">
        <f t="array" ref="AA355">INDEX(NPCGender,TRUNC(1+(COUNTA(NPCGender))*(TRUNC(MOD(($B355*1103515245 +12345)/ 65536, 32768),0)/32768),0))</f>
        <v>Male</v>
      </c>
      <c r="AB355" s="16" t="str">
        <f t="array" ref="AB355">INDEX(NPCRace,TRUNC(1+(COUNTA(NPCRace))*(TRUNC(MOD(($B355*1103515245 +12345)/ 65536, 32768),0)/32768),0))</f>
        <v>Elf</v>
      </c>
      <c r="AC355" s="16" t="str">
        <f t="array" ref="AC355">INDEX(NPCAL,TRUNC(1+(COUNTA(NPCAL))*(TRUNC(MOD(($B355*1103515245 +12345)/ 65536, 32768),0)/32768),0))</f>
        <v>CE</v>
      </c>
      <c r="AD355" s="72" t="str">
        <f ca="1">IFERROR(__xludf.DUMMYFUNCTION("if(V355&lt;15,QUERY(NPCVar!C:D,""Select D WHERE C = '""&amp;D355&amp;""'""),if((TRUNC(1+10)*(TRUNC(MOD((ROW(H355)*1103515245 +12345)/ 65536, 32768),0)/32768)/10) &gt; 0.85,INDEX(NPCFaction,TRUNC(1+(counta(NPCFaction)-1)*(TRUNC(MOD(($B355*1103515245 +12345)/ 65536, 3276"&amp;"8),0)/32768),0)),QUERY(NPCVar!C:D,""Select D WHERE C = '""&amp;D355&amp;""'"")))"),"Necromancer")</f>
        <v>Necromancer</v>
      </c>
      <c r="AE355" s="108" t="e">
        <f t="shared" ca="1" si="26"/>
        <v>#NAME?</v>
      </c>
      <c r="AF355" s="159">
        <f ca="1">IFERROR(__xludf.DUMMYFUNCTION("AE355*(V355 / QUERY(NPCVar!$K$2:$N$12, ""Select N WHERE K='""&amp;AB355&amp;""'""))*TRUNC(1+10)*(TRUNC(MOD(($B355*1103515245 +12345)/ 65536, 32768),0)/32768)"),0.24726333618164)</f>
        <v>0.24726333618164001</v>
      </c>
      <c r="AG355" s="16"/>
      <c r="AH355" s="77"/>
      <c r="AI355" s="114"/>
    </row>
    <row r="356" spans="1:35" ht="16.2">
      <c r="A356" s="53">
        <v>355</v>
      </c>
      <c r="B356" s="118">
        <f t="shared" si="30"/>
        <v>1.9107799999999999</v>
      </c>
      <c r="C356" s="72" t="str">
        <f t="array" ref="C356">INDEX(NPCFName,TRUNC(1+(COUNTA(NPCFName))*(TRUNC(MOD(($B356*1103515245 +12345)/ 65536, 32768),0)/32768),0))</f>
        <v>Witfar</v>
      </c>
      <c r="D356" s="16" t="str">
        <f t="array" ref="D356">INDEX(NPCLName,TRUNC(1+(COUNTA(NPCLName))*(TRUNC(MOD(($B356*1103515245 +12345)/ 65536, 32768),0)/32768),0))</f>
        <v>Stillspell</v>
      </c>
      <c r="E356" s="16" t="str">
        <f t="array" ref="E356">INDEX(NPCClass,TRUNC(1+(COUNTA(NPCClass))*(TRUNC(MOD(($B356*1103515245 +12345)/ 65536, 32768),0)/32768),0))</f>
        <v>Wizard</v>
      </c>
      <c r="F356" s="76">
        <v>8</v>
      </c>
      <c r="G356" s="153">
        <f ca="1">VLOOKUP($AB$2,'RF Mod'!$A$2:$G$12,2,FALSE)+VLOOKUP($AD$2,'RF Mod'!$I$2:$O$11,2,FALSE)+(TRUNC(6+(24-6)*(TRUNC(MOD(($Z356*1103515245 +12345)/ 65536, 32768),0)/32768),0))</f>
        <v>13</v>
      </c>
      <c r="H356" s="16" t="e">
        <f t="shared" ca="1" si="17"/>
        <v>#NAME?</v>
      </c>
      <c r="I356" s="153">
        <f ca="1">VLOOKUP($AB$2,'RF Mod'!$A$2:$G$12,3,FALSE)+VLOOKUP($AD$2,'RF Mod'!$I$2:$O$11,3,FALSE)+(TRUNC(6+(24-6)*(TRUNC(MOD(($Z356*1103515245 +12345)/ 65536, 32768),0)/32768),0))</f>
        <v>17</v>
      </c>
      <c r="J356" s="16" t="e">
        <f t="shared" ca="1" si="18"/>
        <v>#NAME?</v>
      </c>
      <c r="K356" s="153">
        <f ca="1">VLOOKUP($AB$2,'RF Mod'!$A$2:$G$12,3,FALSE)+VLOOKUP($AD$2,'RF Mod'!$I$2:$O$11,3,FALSE)+(TRUNC(6+(24-6)*(TRUNC(MOD(($Z356*1103515245 +12345)/ 65536, 32768),0)/32768),0))</f>
        <v>17</v>
      </c>
      <c r="L356" s="16" t="e">
        <f t="shared" ca="1" si="19"/>
        <v>#NAME?</v>
      </c>
      <c r="M356" s="153">
        <f ca="1">VLOOKUP($AB$2,'RF Mod'!$A$2:$G$12,4,FALSE)+VLOOKUP($AD$2,'RF Mod'!$I$2:$O$11,4,FALSE)+(TRUNC(6+(24-6)*(TRUNC(MOD(($Z356*1103515245 +12345)/ 65536, 32768),0)/32768),0))</f>
        <v>16</v>
      </c>
      <c r="N356" s="16" t="e">
        <f t="shared" ca="1" si="20"/>
        <v>#NAME?</v>
      </c>
      <c r="O356" s="153">
        <f ca="1">VLOOKUP($AB$2,'RF Mod'!$A$2:$G$12,5,FALSE)+VLOOKUP($AD$2,'RF Mod'!$I$2:$O$11,5,FALSE)+(TRUNC(6+(24-6)*(TRUNC(MOD(($Z356*1103515245 +12345)/ 65536, 32768),0)/32768),0))</f>
        <v>19</v>
      </c>
      <c r="P356" s="16" t="e">
        <f t="shared" ca="1" si="21"/>
        <v>#NAME?</v>
      </c>
      <c r="Q356" s="153">
        <f ca="1">VLOOKUP($AB$2,'RF Mod'!$A$2:$G$12,6,FALSE)+VLOOKUP($AD$2,'RF Mod'!$I$2:$O$11,6,FALSE)+(TRUNC(6+(24-6)*(TRUNC(MOD(($Z356*1103515245 +12345)/ 65536, 32768),0)/32768),0))</f>
        <v>17</v>
      </c>
      <c r="R356" s="16" t="e">
        <f t="shared" ca="1" si="22"/>
        <v>#NAME?</v>
      </c>
      <c r="S356" s="154">
        <f t="shared" ca="1" si="28"/>
        <v>232</v>
      </c>
      <c r="T356" s="154">
        <f t="shared" ca="1" si="23"/>
        <v>187</v>
      </c>
      <c r="U356" s="16" t="str">
        <f t="shared" ca="1" si="24"/>
        <v>Bloody</v>
      </c>
      <c r="V356" s="155">
        <f ca="1">IFERROR(__xludf.DUMMYFUNCTION("if(W356=""Middle Age"",QUERY(NPCVar!$K$2:$N1000, ""Select L where K = '""&amp;AB356&amp;""'""),if(W356=""Old"",QUERY(NPCVar!$K$2:$N1000, ""Select M where K = '""&amp;AB356&amp;""'""),if(W356=""Venerable"",QUERY(NPCVar!$K$2:$N1000, ""Select N where K = '""&amp;AB356&amp;""'""),fa"&amp;"lse)))*X356"),72)</f>
        <v>72</v>
      </c>
      <c r="W356" s="156" t="str">
        <f t="array" ref="W356">INDEX(NPCAgeType,TRUNC(1+(4-1)*(TRUNC(MOD((X356*1103515245 +12345)/ 65536, 32768),0)/32768),0))</f>
        <v>Middle Age</v>
      </c>
      <c r="X356" s="117">
        <f t="shared" si="29"/>
        <v>2.4</v>
      </c>
      <c r="Y356" s="157" t="e">
        <f t="array" aca="1" ref="Y356" ca="1">LOOKUP(ABS(MAX(Z356 + MIN(ABS(INDIRECT("Class Jobs!B"&amp;MATCH(E356,'Class Jobs'!$A$1:$A1000,0)&amp;":"&amp;"AF"&amp;MATCH(E356,'Class Jobs'!$A$1:$A1000,0)&amp;"")-$Z356)) * SUM(IF(MIN(ABS(INDIRECT("Class Jobs!B"&amp;MATCH(E356,'Class Jobs'!$A$1:$A1000,0)&amp;":"&amp;"AF"&amp;MATCH(E356,'Class Jobs'!$A$1:$A1000,0)&amp;"")-$Z356))=ABS(INDIRECT("Class Jobs!B"&amp;MATCH(E356,'Class Jobs'!$A$1:$A1000,0)&amp;":"&amp;"AF"&amp;MATCH(E356,'Class Jobs'!$A$1:$A1000,0)&amp;"")-$Z356),SIGN(INDIRECT("Class Jobs!B"&amp;MATCH(E356,'Class Jobs'!$A$1:A1000,0)&amp;":"&amp;"AF"&amp;MATCH(E356,'Class Jobs'!$A$1:$A1000,0)&amp;"")-$Z356),0)),0)),INDIRECT("Class Jobs!B"&amp;MATCH(E356,'Class Jobs'!$A$1:$A1000,0)&amp;":"&amp;"AF"&amp;MATCH(E356,'Class Jobs'!$A$1:$A1000,1)&amp;""),'Class Jobs'!$B$1:$AF$1)</f>
        <v>#REF!</v>
      </c>
      <c r="Z356" s="158">
        <f t="shared" si="25"/>
        <v>0.98</v>
      </c>
      <c r="AA356" s="16" t="str">
        <f t="array" ref="AA356">INDEX(NPCGender,TRUNC(1+(COUNTA(NPCGender))*(TRUNC(MOD(($B356*1103515245 +12345)/ 65536, 32768),0)/32768),0))</f>
        <v>Neutral</v>
      </c>
      <c r="AB356" s="16" t="str">
        <f t="array" ref="AB356">INDEX(NPCRace,TRUNC(1+(COUNTA(NPCRace))*(TRUNC(MOD(($B356*1103515245 +12345)/ 65536, 32768),0)/32768),0))</f>
        <v>Goliath</v>
      </c>
      <c r="AC356" s="16" t="str">
        <f t="array" ref="AC356">INDEX(NPCAL,TRUNC(1+(COUNTA(NPCAL))*(TRUNC(MOD(($B356*1103515245 +12345)/ 65536, 32768),0)/32768),0))</f>
        <v>LE</v>
      </c>
      <c r="AD356" s="72" t="str">
        <f ca="1">IFERROR(__xludf.DUMMYFUNCTION("if(V356&lt;15,QUERY(NPCVar!C:D,""Select D WHERE C = '""&amp;D356&amp;""'""),if((TRUNC(1+10)*(TRUNC(MOD((ROW(H356)*1103515245 +12345)/ 65536, 32768),0)/32768)/10) &gt; 0.85,INDEX(NPCFaction,TRUNC(1+(counta(NPCFaction)-1)*(TRUNC(MOD(($B356*1103515245 +12345)/ 65536, 3276"&amp;"8),0)/32768),0)),QUERY(NPCVar!C:D,""Select D WHERE C = '""&amp;D356&amp;""'"")))"),"Traverlers Guild")</f>
        <v>Traverlers Guild</v>
      </c>
      <c r="AE356" s="108" t="e">
        <f t="shared" ca="1" si="26"/>
        <v>#NAME?</v>
      </c>
      <c r="AF356" s="159">
        <f ca="1">IFERROR(__xludf.DUMMYFUNCTION("AE356*(V356 / QUERY(NPCVar!$K$2:$N$12, ""Select N WHERE K='""&amp;AB356&amp;""'""))*TRUNC(1+10)*(TRUNC(MOD(($B356*1103515245 +12345)/ 65536, 32768),0)/32768)"),3.24017944335937)</f>
        <v>3.24017944335937</v>
      </c>
      <c r="AG356" s="16"/>
      <c r="AH356" s="77"/>
      <c r="AI356" s="114"/>
    </row>
    <row r="357" spans="1:35" ht="16.2">
      <c r="A357" s="53">
        <v>356</v>
      </c>
      <c r="B357" s="118">
        <f t="shared" si="30"/>
        <v>0.90491999999999995</v>
      </c>
      <c r="C357" s="72" t="str">
        <f t="array" ref="C357">INDEX(NPCFName,TRUNC(1+(COUNTA(NPCFName))*(TRUNC(MOD(($B357*1103515245 +12345)/ 65536, 32768),0)/32768),0))</f>
        <v>Hecton</v>
      </c>
      <c r="D357" s="16" t="str">
        <f t="array" ref="D357">INDEX(NPCLName,TRUNC(1+(COUNTA(NPCLName))*(TRUNC(MOD(($B357*1103515245 +12345)/ 65536, 32768),0)/32768),0))</f>
        <v>Saurflame</v>
      </c>
      <c r="E357" s="16" t="str">
        <f t="array" ref="E357">INDEX(NPCClass,TRUNC(1+(COUNTA(NPCClass))*(TRUNC(MOD(($B357*1103515245 +12345)/ 65536, 32768),0)/32768),0))</f>
        <v>Ranger</v>
      </c>
      <c r="F357" s="76">
        <v>8</v>
      </c>
      <c r="G357" s="153">
        <f ca="1">VLOOKUP($AB$2,'RF Mod'!$A$2:$G$12,2,FALSE)+VLOOKUP($AD$2,'RF Mod'!$I$2:$O$11,2,FALSE)+(TRUNC(6+(24-6)*(TRUNC(MOD(($Z357*1103515245 +12345)/ 65536, 32768),0)/32768),0))</f>
        <v>8</v>
      </c>
      <c r="H357" s="16">
        <f t="shared" ca="1" si="17"/>
        <v>-1</v>
      </c>
      <c r="I357" s="153">
        <f ca="1">VLOOKUP($AB$2,'RF Mod'!$A$2:$G$12,3,FALSE)+VLOOKUP($AD$2,'RF Mod'!$I$2:$O$11,3,FALSE)+(TRUNC(6+(24-6)*(TRUNC(MOD(($Z357*1103515245 +12345)/ 65536, 32768),0)/32768),0))</f>
        <v>12</v>
      </c>
      <c r="J357" s="16" t="e">
        <f t="shared" ca="1" si="18"/>
        <v>#NAME?</v>
      </c>
      <c r="K357" s="153">
        <f ca="1">VLOOKUP($AB$2,'RF Mod'!$A$2:$G$12,3,FALSE)+VLOOKUP($AD$2,'RF Mod'!$I$2:$O$11,3,FALSE)+(TRUNC(6+(24-6)*(TRUNC(MOD(($Z357*1103515245 +12345)/ 65536, 32768),0)/32768),0))</f>
        <v>12</v>
      </c>
      <c r="L357" s="16" t="e">
        <f t="shared" ca="1" si="19"/>
        <v>#NAME?</v>
      </c>
      <c r="M357" s="153">
        <f ca="1">VLOOKUP($AB$2,'RF Mod'!$A$2:$G$12,4,FALSE)+VLOOKUP($AD$2,'RF Mod'!$I$2:$O$11,4,FALSE)+(TRUNC(6+(24-6)*(TRUNC(MOD(($Z357*1103515245 +12345)/ 65536, 32768),0)/32768),0))</f>
        <v>11</v>
      </c>
      <c r="N357" s="16" t="e">
        <f t="shared" ca="1" si="20"/>
        <v>#NAME?</v>
      </c>
      <c r="O357" s="153">
        <f ca="1">VLOOKUP($AB$2,'RF Mod'!$A$2:$G$12,5,FALSE)+VLOOKUP($AD$2,'RF Mod'!$I$2:$O$11,5,FALSE)+(TRUNC(6+(24-6)*(TRUNC(MOD(($Z357*1103515245 +12345)/ 65536, 32768),0)/32768),0))</f>
        <v>14</v>
      </c>
      <c r="P357" s="16" t="e">
        <f t="shared" ca="1" si="21"/>
        <v>#NAME?</v>
      </c>
      <c r="Q357" s="153">
        <f ca="1">VLOOKUP($AB$2,'RF Mod'!$A$2:$G$12,6,FALSE)+VLOOKUP($AD$2,'RF Mod'!$I$2:$O$11,6,FALSE)+(TRUNC(6+(24-6)*(TRUNC(MOD(($Z357*1103515245 +12345)/ 65536, 32768),0)/32768),0))</f>
        <v>12</v>
      </c>
      <c r="R357" s="16" t="e">
        <f t="shared" ca="1" si="22"/>
        <v>#NAME?</v>
      </c>
      <c r="S357" s="154">
        <f t="shared" ca="1" si="28"/>
        <v>128</v>
      </c>
      <c r="T357" s="154">
        <f t="shared" ca="1" si="23"/>
        <v>82</v>
      </c>
      <c r="U357" s="16" t="str">
        <f t="shared" ca="1" si="24"/>
        <v>Bloody</v>
      </c>
      <c r="V357" s="155">
        <f ca="1">IFERROR(__xludf.DUMMYFUNCTION("if(W357=""Middle Age"",QUERY(NPCVar!$K$2:$N1000, ""Select L where K = '""&amp;AB357&amp;""'""),if(W357=""Old"",QUERY(NPCVar!$K$2:$N1000, ""Select M where K = '""&amp;AB357&amp;""'""),if(W357=""Venerable"",QUERY(NPCVar!$K$2:$N1000, ""Select N where K = '""&amp;AB357&amp;""'""),fa"&amp;"lse)))*X357"),31.5)</f>
        <v>31.5</v>
      </c>
      <c r="W357" s="156" t="str">
        <f t="array" ref="W357">INDEX(NPCAgeType,TRUNC(1+(4-1)*(TRUNC(MOD((X357*1103515245 +12345)/ 65536, 32768),0)/32768),0))</f>
        <v>Old</v>
      </c>
      <c r="X357" s="117">
        <f t="shared" si="29"/>
        <v>1.2</v>
      </c>
      <c r="Y357" s="157" t="e">
        <f t="array" aca="1" ref="Y357" ca="1">LOOKUP(ABS(MAX(Z357 + MIN(ABS(INDIRECT("Class Jobs!B"&amp;MATCH(E357,'Class Jobs'!$A$1:$A1000,0)&amp;":"&amp;"AF"&amp;MATCH(E357,'Class Jobs'!$A$1:$A1000,0)&amp;"")-$Z357)) * SUM(IF(MIN(ABS(INDIRECT("Class Jobs!B"&amp;MATCH(E357,'Class Jobs'!$A$1:$A1000,0)&amp;":"&amp;"AF"&amp;MATCH(E357,'Class Jobs'!$A$1:$A1000,0)&amp;"")-$Z357))=ABS(INDIRECT("Class Jobs!B"&amp;MATCH(E357,'Class Jobs'!$A$1:$A1000,0)&amp;":"&amp;"AF"&amp;MATCH(E357,'Class Jobs'!$A$1:$A1000,0)&amp;"")-$Z357),SIGN(INDIRECT("Class Jobs!B"&amp;MATCH(E357,'Class Jobs'!$A$1:A1000,0)&amp;":"&amp;"AF"&amp;MATCH(E357,'Class Jobs'!$A$1:$A1000,0)&amp;"")-$Z357),0)),0)),INDIRECT("Class Jobs!B"&amp;MATCH(E357,'Class Jobs'!$A$1:$A1000,0)&amp;":"&amp;"AF"&amp;MATCH(E357,'Class Jobs'!$A$1:$A1000,1)&amp;""),'Class Jobs'!$B$1:$AF$1)</f>
        <v>#REF!</v>
      </c>
      <c r="Z357" s="158">
        <f t="shared" si="25"/>
        <v>0.47</v>
      </c>
      <c r="AA357" s="16" t="str">
        <f t="array" ref="AA357">INDEX(NPCGender,TRUNC(1+(COUNTA(NPCGender))*(TRUNC(MOD(($B357*1103515245 +12345)/ 65536, 32768),0)/32768),0))</f>
        <v>Female</v>
      </c>
      <c r="AB357" s="16" t="str">
        <f t="array" ref="AB357">INDEX(NPCRace,TRUNC(1+(COUNTA(NPCRace))*(TRUNC(MOD(($B357*1103515245 +12345)/ 65536, 32768),0)/32768),0))</f>
        <v>Half-Orc</v>
      </c>
      <c r="AC357" s="16" t="str">
        <f t="array" ref="AC357">INDEX(NPCAL,TRUNC(1+(COUNTA(NPCAL))*(TRUNC(MOD(($B357*1103515245 +12345)/ 65536, 32768),0)/32768),0))</f>
        <v>NN</v>
      </c>
      <c r="AD357" s="72" t="str">
        <f ca="1">IFERROR(__xludf.DUMMYFUNCTION("if(V357&lt;15,QUERY(NPCVar!C:D,""Select D WHERE C = '""&amp;D357&amp;""'""),if((TRUNC(1+10)*(TRUNC(MOD((ROW(H357)*1103515245 +12345)/ 65536, 32768),0)/32768)/10) &gt; 0.85,INDEX(NPCFaction,TRUNC(1+(counta(NPCFaction)-1)*(TRUNC(MOD(($B357*1103515245 +12345)/ 65536, 3276"&amp;"8),0)/32768),0)),QUERY(NPCVar!C:D,""Select D WHERE C = '""&amp;D357&amp;""'"")))"),"Farmers Guild")</f>
        <v>Farmers Guild</v>
      </c>
      <c r="AE357" s="108" t="e">
        <f t="shared" ca="1" si="26"/>
        <v>#NAME?</v>
      </c>
      <c r="AF357" s="159">
        <f ca="1">IFERROR(__xludf.DUMMYFUNCTION("AE357*(V357 / QUERY(NPCVar!$K$2:$N$12, ""Select N WHERE K='""&amp;AB357&amp;""'""))*TRUNC(1+10)*(TRUNC(MOD(($B357*1103515245 +12345)/ 65536, 32768),0)/32768)"),2.30173187255859)</f>
        <v>2.30173187255859</v>
      </c>
      <c r="AG357" s="16"/>
      <c r="AH357" s="77"/>
      <c r="AI357" s="114"/>
    </row>
    <row r="358" spans="1:35" ht="16.2">
      <c r="A358" s="53">
        <v>357</v>
      </c>
      <c r="B358" s="118">
        <f t="shared" si="30"/>
        <v>2.39906</v>
      </c>
      <c r="C358" s="72" t="str">
        <f t="array" ref="C358">INDEX(NPCFName,TRUNC(1+(COUNTA(NPCFName))*(TRUNC(MOD(($B358*1103515245 +12345)/ 65536, 32768),0)/32768),0))</f>
        <v>Prothalon</v>
      </c>
      <c r="D358" s="16" t="str">
        <f t="array" ref="D358">INDEX(NPCLName,TRUNC(1+(COUNTA(NPCLName))*(TRUNC(MOD(($B358*1103515245 +12345)/ 65536, 32768),0)/32768),0))</f>
        <v>Stillsun</v>
      </c>
      <c r="E358" s="16" t="str">
        <f t="array" ref="E358">INDEX(NPCClass,TRUNC(1+(COUNTA(NPCClass))*(TRUNC(MOD(($B358*1103515245 +12345)/ 65536, 32768),0)/32768),0))</f>
        <v>Druid</v>
      </c>
      <c r="F358" s="76">
        <v>1</v>
      </c>
      <c r="G358" s="153">
        <f ca="1">VLOOKUP($AB$2,'RF Mod'!$A$2:$G$12,2,FALSE)+VLOOKUP($AD$2,'RF Mod'!$I$2:$O$11,2,FALSE)+(TRUNC(6+(24-6)*(TRUNC(MOD(($Z358*1103515245 +12345)/ 65536, 32768),0)/32768),0))</f>
        <v>6</v>
      </c>
      <c r="H358" s="16">
        <f t="shared" ca="1" si="17"/>
        <v>-2</v>
      </c>
      <c r="I358" s="153">
        <f ca="1">VLOOKUP($AB$2,'RF Mod'!$A$2:$G$12,3,FALSE)+VLOOKUP($AD$2,'RF Mod'!$I$2:$O$11,3,FALSE)+(TRUNC(6+(24-6)*(TRUNC(MOD(($Z358*1103515245 +12345)/ 65536, 32768),0)/32768),0))</f>
        <v>10</v>
      </c>
      <c r="J358" s="16" t="e">
        <f t="shared" ca="1" si="18"/>
        <v>#NAME?</v>
      </c>
      <c r="K358" s="153">
        <f ca="1">VLOOKUP($AB$2,'RF Mod'!$A$2:$G$12,3,FALSE)+VLOOKUP($AD$2,'RF Mod'!$I$2:$O$11,3,FALSE)+(TRUNC(6+(24-6)*(TRUNC(MOD(($Z358*1103515245 +12345)/ 65536, 32768),0)/32768),0))</f>
        <v>10</v>
      </c>
      <c r="L358" s="16" t="e">
        <f t="shared" ca="1" si="19"/>
        <v>#NAME?</v>
      </c>
      <c r="M358" s="153">
        <f ca="1">VLOOKUP($AB$2,'RF Mod'!$A$2:$G$12,4,FALSE)+VLOOKUP($AD$2,'RF Mod'!$I$2:$O$11,4,FALSE)+(TRUNC(6+(24-6)*(TRUNC(MOD(($Z358*1103515245 +12345)/ 65536, 32768),0)/32768),0))</f>
        <v>9</v>
      </c>
      <c r="N358" s="16">
        <f t="shared" ca="1" si="20"/>
        <v>-1</v>
      </c>
      <c r="O358" s="153">
        <f ca="1">VLOOKUP($AB$2,'RF Mod'!$A$2:$G$12,5,FALSE)+VLOOKUP($AD$2,'RF Mod'!$I$2:$O$11,5,FALSE)+(TRUNC(6+(24-6)*(TRUNC(MOD(($Z358*1103515245 +12345)/ 65536, 32768),0)/32768),0))</f>
        <v>12</v>
      </c>
      <c r="P358" s="16" t="e">
        <f t="shared" ca="1" si="21"/>
        <v>#NAME?</v>
      </c>
      <c r="Q358" s="153">
        <f ca="1">VLOOKUP($AB$2,'RF Mod'!$A$2:$G$12,6,FALSE)+VLOOKUP($AD$2,'RF Mod'!$I$2:$O$11,6,FALSE)+(TRUNC(6+(24-6)*(TRUNC(MOD(($Z358*1103515245 +12345)/ 65536, 32768),0)/32768),0))</f>
        <v>10</v>
      </c>
      <c r="R358" s="16" t="e">
        <f t="shared" ca="1" si="22"/>
        <v>#NAME?</v>
      </c>
      <c r="S358" s="154">
        <f t="shared" ca="1" si="28"/>
        <v>12</v>
      </c>
      <c r="T358" s="154">
        <f t="shared" ca="1" si="23"/>
        <v>8</v>
      </c>
      <c r="U358" s="16" t="str">
        <f t="shared" ca="1" si="24"/>
        <v>Bloody</v>
      </c>
      <c r="V358" s="155">
        <f ca="1">IFERROR(__xludf.DUMMYFUNCTION("if(W358=""Middle Age"",QUERY(NPCVar!$K$2:$N1000, ""Select L where K = '""&amp;AB358&amp;""'""),if(W358=""Old"",QUERY(NPCVar!$K$2:$N1000, ""Select M where K = '""&amp;AB358&amp;""'""),if(W358=""Venerable"",QUERY(NPCVar!$K$2:$N1000, ""Select N where K = '""&amp;AB358&amp;""'""),fa"&amp;"lse)))*X358"),112.5)</f>
        <v>112.5</v>
      </c>
      <c r="W358" s="156" t="str">
        <f t="array" ref="W358">INDEX(NPCAgeType,TRUNC(1+(4-1)*(TRUNC(MOD((X358*1103515245 +12345)/ 65536, 32768),0)/32768),0))</f>
        <v>Middle Age</v>
      </c>
      <c r="X358" s="117">
        <f t="shared" si="29"/>
        <v>0.6</v>
      </c>
      <c r="Y358" s="157" t="e">
        <f t="array" aca="1" ref="Y358" ca="1">LOOKUP(ABS(MAX(Z358 + MIN(ABS(INDIRECT("Class Jobs!B"&amp;MATCH(E358,'Class Jobs'!$A$1:$A1000,0)&amp;":"&amp;"AF"&amp;MATCH(E358,'Class Jobs'!$A$1:$A1000,0)&amp;"")-$Z358)) * SUM(IF(MIN(ABS(INDIRECT("Class Jobs!B"&amp;MATCH(E358,'Class Jobs'!$A$1:$A1000,0)&amp;":"&amp;"AF"&amp;MATCH(E358,'Class Jobs'!$A$1:$A1000,0)&amp;"")-$Z358))=ABS(INDIRECT("Class Jobs!B"&amp;MATCH(E358,'Class Jobs'!$A$1:$A1000,0)&amp;":"&amp;"AF"&amp;MATCH(E358,'Class Jobs'!$A$1:$A1000,0)&amp;"")-$Z358),SIGN(INDIRECT("Class Jobs!B"&amp;MATCH(E358,'Class Jobs'!$A$1:A1000,0)&amp;":"&amp;"AF"&amp;MATCH(E358,'Class Jobs'!$A$1:$A1000,0)&amp;"")-$Z358),0)),0)),INDIRECT("Class Jobs!B"&amp;MATCH(E358,'Class Jobs'!$A$1:$A1000,0)&amp;":"&amp;"AF"&amp;MATCH(E358,'Class Jobs'!$A$1:$A1000,1)&amp;""),'Class Jobs'!$B$1:$AF$1)</f>
        <v>#REF!</v>
      </c>
      <c r="Z358" s="158">
        <f t="shared" si="25"/>
        <v>0.24</v>
      </c>
      <c r="AA358" s="16" t="str">
        <f t="array" ref="AA358">INDEX(NPCGender,TRUNC(1+(COUNTA(NPCGender))*(TRUNC(MOD(($B358*1103515245 +12345)/ 65536, 32768),0)/32768),0))</f>
        <v>Male</v>
      </c>
      <c r="AB358" s="16" t="str">
        <f t="array" ref="AB358">INDEX(NPCRace,TRUNC(1+(COUNTA(NPCRace))*(TRUNC(MOD(($B358*1103515245 +12345)/ 65536, 32768),0)/32768),0))</f>
        <v>Elf</v>
      </c>
      <c r="AC358" s="16" t="str">
        <f t="array" ref="AC358">INDEX(NPCAL,TRUNC(1+(COUNTA(NPCAL))*(TRUNC(MOD(($B358*1103515245 +12345)/ 65536, 32768),0)/32768),0))</f>
        <v>CG</v>
      </c>
      <c r="AD358" s="72" t="str">
        <f ca="1">IFERROR(__xludf.DUMMYFUNCTION("if(V358&lt;15,QUERY(NPCVar!C:D,""Select D WHERE C = '""&amp;D358&amp;""'""),if((TRUNC(1+10)*(TRUNC(MOD((ROW(H358)*1103515245 +12345)/ 65536, 32768),0)/32768)/10) &gt; 0.85,INDEX(NPCFaction,TRUNC(1+(counta(NPCFaction)-1)*(TRUNC(MOD(($B358*1103515245 +12345)/ 65536, 3276"&amp;"8),0)/32768),0)),QUERY(NPCVar!C:D,""Select D WHERE C = '""&amp;D358&amp;""'"")))"),"Traders Guild")</f>
        <v>Traders Guild</v>
      </c>
      <c r="AE358" s="108" t="e">
        <f t="shared" ca="1" si="26"/>
        <v>#NAME?</v>
      </c>
      <c r="AF358" s="159">
        <f ca="1">IFERROR(__xludf.DUMMYFUNCTION("AE358*(V358 / QUERY(NPCVar!$K$2:$N$12, ""Select N WHERE K='""&amp;AB358&amp;""'""))*TRUNC(1+10)*(TRUNC(MOD(($B358*1103515245 +12345)/ 65536, 32768),0)/32768)"),0.115230102539062)</f>
        <v>0.115230102539062</v>
      </c>
      <c r="AG358" s="16"/>
      <c r="AH358" s="77"/>
      <c r="AI358" s="114"/>
    </row>
    <row r="359" spans="1:35" ht="16.2">
      <c r="A359" s="53">
        <v>358</v>
      </c>
      <c r="B359" s="118">
        <f t="shared" si="30"/>
        <v>1.3932</v>
      </c>
      <c r="C359" s="72" t="str">
        <f t="array" ref="C359">INDEX(NPCFName,TRUNC(1+(COUNTA(NPCFName))*(TRUNC(MOD(($B359*1103515245 +12345)/ 65536, 32768),0)/32768),0))</f>
        <v>Cemark</v>
      </c>
      <c r="D359" s="16" t="str">
        <f t="array" ref="D359">INDEX(NPCLName,TRUNC(1+(COUNTA(NPCLName))*(TRUNC(MOD(($B359*1103515245 +12345)/ 65536, 32768),0)/32768),0))</f>
        <v>Rockspell</v>
      </c>
      <c r="E359" s="16" t="str">
        <f t="array" ref="E359">INDEX(NPCClass,TRUNC(1+(COUNTA(NPCClass))*(TRUNC(MOD(($B359*1103515245 +12345)/ 65536, 32768),0)/32768),0))</f>
        <v>None</v>
      </c>
      <c r="F359" s="76">
        <v>8</v>
      </c>
      <c r="G359" s="153">
        <f ca="1">VLOOKUP($AB$2,'RF Mod'!$A$2:$G$12,2,FALSE)+VLOOKUP($AD$2,'RF Mod'!$I$2:$O$11,2,FALSE)+(TRUNC(6+(24-6)*(TRUNC(MOD(($Z359*1103515245 +12345)/ 65536, 32768),0)/32768),0))</f>
        <v>10</v>
      </c>
      <c r="H359" s="16" t="e">
        <f t="shared" ca="1" si="17"/>
        <v>#NAME?</v>
      </c>
      <c r="I359" s="153">
        <f ca="1">VLOOKUP($AB$2,'RF Mod'!$A$2:$G$12,3,FALSE)+VLOOKUP($AD$2,'RF Mod'!$I$2:$O$11,3,FALSE)+(TRUNC(6+(24-6)*(TRUNC(MOD(($Z359*1103515245 +12345)/ 65536, 32768),0)/32768),0))</f>
        <v>14</v>
      </c>
      <c r="J359" s="16" t="e">
        <f t="shared" ca="1" si="18"/>
        <v>#NAME?</v>
      </c>
      <c r="K359" s="153">
        <f ca="1">VLOOKUP($AB$2,'RF Mod'!$A$2:$G$12,3,FALSE)+VLOOKUP($AD$2,'RF Mod'!$I$2:$O$11,3,FALSE)+(TRUNC(6+(24-6)*(TRUNC(MOD(($Z359*1103515245 +12345)/ 65536, 32768),0)/32768),0))</f>
        <v>14</v>
      </c>
      <c r="L359" s="16" t="e">
        <f t="shared" ca="1" si="19"/>
        <v>#NAME?</v>
      </c>
      <c r="M359" s="153">
        <f ca="1">VLOOKUP($AB$2,'RF Mod'!$A$2:$G$12,4,FALSE)+VLOOKUP($AD$2,'RF Mod'!$I$2:$O$11,4,FALSE)+(TRUNC(6+(24-6)*(TRUNC(MOD(($Z359*1103515245 +12345)/ 65536, 32768),0)/32768),0))</f>
        <v>13</v>
      </c>
      <c r="N359" s="16" t="e">
        <f t="shared" ca="1" si="20"/>
        <v>#NAME?</v>
      </c>
      <c r="O359" s="153">
        <f ca="1">VLOOKUP($AB$2,'RF Mod'!$A$2:$G$12,5,FALSE)+VLOOKUP($AD$2,'RF Mod'!$I$2:$O$11,5,FALSE)+(TRUNC(6+(24-6)*(TRUNC(MOD(($Z359*1103515245 +12345)/ 65536, 32768),0)/32768),0))</f>
        <v>16</v>
      </c>
      <c r="P359" s="16" t="e">
        <f t="shared" ca="1" si="21"/>
        <v>#NAME?</v>
      </c>
      <c r="Q359" s="153">
        <f ca="1">VLOOKUP($AB$2,'RF Mod'!$A$2:$G$12,6,FALSE)+VLOOKUP($AD$2,'RF Mod'!$I$2:$O$11,6,FALSE)+(TRUNC(6+(24-6)*(TRUNC(MOD(($Z359*1103515245 +12345)/ 65536, 32768),0)/32768),0))</f>
        <v>14</v>
      </c>
      <c r="R359" s="16" t="e">
        <f t="shared" ca="1" si="22"/>
        <v>#NAME?</v>
      </c>
      <c r="S359" s="154">
        <f t="shared" ca="1" si="28"/>
        <v>160</v>
      </c>
      <c r="T359" s="154">
        <f t="shared" ca="1" si="23"/>
        <v>108</v>
      </c>
      <c r="U359" s="16" t="str">
        <f t="shared" ca="1" si="24"/>
        <v>Bloody</v>
      </c>
      <c r="V359" s="155">
        <f ca="1">IFERROR(__xludf.DUMMYFUNCTION("if(W359=""Middle Age"",QUERY(NPCVar!$K$2:$N1000, ""Select L where K = '""&amp;AB359&amp;""'""),if(W359=""Old"",QUERY(NPCVar!$K$2:$N1000, ""Select M where K = '""&amp;AB359&amp;""'""),if(W359=""Venerable"",QUERY(NPCVar!$K$2:$N1000, ""Select N where K = '""&amp;AB359&amp;""'""),fa"&amp;"lse)))*X359"),162)</f>
        <v>162</v>
      </c>
      <c r="W359" s="156" t="str">
        <f t="array" ref="W359">INDEX(NPCAgeType,TRUNC(1+(4-1)*(TRUNC(MOD((X359*1103515245 +12345)/ 65536, 32768),0)/32768),0))</f>
        <v>Venerable</v>
      </c>
      <c r="X359" s="117">
        <f t="shared" si="29"/>
        <v>1.8</v>
      </c>
      <c r="Y359" s="157" t="e">
        <f t="array" aca="1" ref="Y359" ca="1">LOOKUP(ABS(MAX(Z359 + MIN(ABS(INDIRECT("Class Jobs!B"&amp;MATCH(E359,'Class Jobs'!$A$1:$A1000,0)&amp;":"&amp;"AF"&amp;MATCH(E359,'Class Jobs'!$A$1:$A1000,0)&amp;"")-$Z359)) * SUM(IF(MIN(ABS(INDIRECT("Class Jobs!B"&amp;MATCH(E359,'Class Jobs'!$A$1:$A1000,0)&amp;":"&amp;"AF"&amp;MATCH(E359,'Class Jobs'!$A$1:$A1000,0)&amp;"")-$Z359))=ABS(INDIRECT("Class Jobs!B"&amp;MATCH(E359,'Class Jobs'!$A$1:$A1000,0)&amp;":"&amp;"AF"&amp;MATCH(E359,'Class Jobs'!$A$1:$A1000,0)&amp;"")-$Z359),SIGN(INDIRECT("Class Jobs!B"&amp;MATCH(E359,'Class Jobs'!$A$1:A1000,0)&amp;":"&amp;"AF"&amp;MATCH(E359,'Class Jobs'!$A$1:$A1000,0)&amp;"")-$Z359),0)),0)),INDIRECT("Class Jobs!B"&amp;MATCH(E359,'Class Jobs'!$A$1:$A1000,0)&amp;":"&amp;"AF"&amp;MATCH(E359,'Class Jobs'!$A$1:$A1000,1)&amp;""),'Class Jobs'!$B$1:$AF$1)</f>
        <v>#REF!</v>
      </c>
      <c r="Z359" s="158">
        <f t="shared" si="25"/>
        <v>0.71</v>
      </c>
      <c r="AA359" s="16" t="str">
        <f t="array" ref="AA359">INDEX(NPCGender,TRUNC(1+(COUNTA(NPCGender))*(TRUNC(MOD(($B359*1103515245 +12345)/ 65536, 32768),0)/32768),0))</f>
        <v>Neutral</v>
      </c>
      <c r="AB359" s="16" t="str">
        <f t="array" ref="AB359">INDEX(NPCRace,TRUNC(1+(COUNTA(NPCRace))*(TRUNC(MOD(($B359*1103515245 +12345)/ 65536, 32768),0)/32768),0))</f>
        <v>Human</v>
      </c>
      <c r="AC359" s="16" t="str">
        <f t="array" ref="AC359">INDEX(NPCAL,TRUNC(1+(COUNTA(NPCAL))*(TRUNC(MOD(($B359*1103515245 +12345)/ 65536, 32768),0)/32768),0))</f>
        <v>LG</v>
      </c>
      <c r="AD359" s="72" t="str">
        <f ca="1">IFERROR(__xludf.DUMMYFUNCTION("if(V359&lt;15,QUERY(NPCVar!C:D,""Select D WHERE C = '""&amp;D359&amp;""'""),if((TRUNC(1+10)*(TRUNC(MOD((ROW(H359)*1103515245 +12345)/ 65536, 32768),0)/32768)/10) &gt; 0.85,INDEX(NPCFaction,TRUNC(1+(counta(NPCFaction)-1)*(TRUNC(MOD(($B359*1103515245 +12345)/ 65536, 3276"&amp;"8),0)/32768),0)),QUERY(NPCVar!C:D,""Select D WHERE C = '""&amp;D359&amp;""'"")))"),"Traverlers Guild")</f>
        <v>Traverlers Guild</v>
      </c>
      <c r="AE359" s="108" t="e">
        <f t="shared" ca="1" si="26"/>
        <v>#NAME?</v>
      </c>
      <c r="AF359" s="159">
        <f ca="1">IFERROR(__xludf.DUMMYFUNCTION("AE359*(V359 / QUERY(NPCVar!$K$2:$N$12, ""Select N WHERE K='""&amp;AB359&amp;""'""))*TRUNC(1+10)*(TRUNC(MOD(($B359*1103515245 +12345)/ 65536, 32768),0)/32768)"),14.1750549316406)</f>
        <v>14.1750549316406</v>
      </c>
      <c r="AG359" s="16"/>
      <c r="AH359" s="77"/>
      <c r="AI359" s="114"/>
    </row>
    <row r="360" spans="1:35" ht="16.2">
      <c r="A360" s="53">
        <v>359</v>
      </c>
      <c r="B360" s="118">
        <f t="shared" si="30"/>
        <v>0.38735000000000003</v>
      </c>
      <c r="C360" s="72" t="str">
        <f t="array" ref="C360">INDEX(NPCFName,TRUNC(1+(COUNTA(NPCFName))*(TRUNC(MOD(($B360*1103515245 +12345)/ 65536, 32768),0)/32768),0))</f>
        <v>Mufar</v>
      </c>
      <c r="D360" s="16" t="str">
        <f t="array" ref="D360">INDEX(NPCLName,TRUNC(1+(COUNTA(NPCLName))*(TRUNC(MOD(($B360*1103515245 +12345)/ 65536, 32768),0)/32768),0))</f>
        <v>Ashcloud</v>
      </c>
      <c r="E360" s="16" t="str">
        <f t="array" ref="E360">INDEX(NPCClass,TRUNC(1+(COUNTA(NPCClass))*(TRUNC(MOD(($B360*1103515245 +12345)/ 65536, 32768),0)/32768),0))</f>
        <v>Druid</v>
      </c>
      <c r="F360" s="76">
        <v>1</v>
      </c>
      <c r="G360" s="153">
        <f ca="1">VLOOKUP($AB$2,'RF Mod'!$A$2:$G$12,2,FALSE)+VLOOKUP($AD$2,'RF Mod'!$I$2:$O$11,2,FALSE)+(TRUNC(6+(24-6)*(TRUNC(MOD(($Z360*1103515245 +12345)/ 65536, 32768),0)/32768),0))</f>
        <v>5</v>
      </c>
      <c r="H360" s="16">
        <f t="shared" ca="1" si="17"/>
        <v>-3</v>
      </c>
      <c r="I360" s="153">
        <f ca="1">VLOOKUP($AB$2,'RF Mod'!$A$2:$G$12,3,FALSE)+VLOOKUP($AD$2,'RF Mod'!$I$2:$O$11,3,FALSE)+(TRUNC(6+(24-6)*(TRUNC(MOD(($Z360*1103515245 +12345)/ 65536, 32768),0)/32768),0))</f>
        <v>9</v>
      </c>
      <c r="J360" s="16">
        <f t="shared" ca="1" si="18"/>
        <v>-1</v>
      </c>
      <c r="K360" s="153">
        <f ca="1">VLOOKUP($AB$2,'RF Mod'!$A$2:$G$12,3,FALSE)+VLOOKUP($AD$2,'RF Mod'!$I$2:$O$11,3,FALSE)+(TRUNC(6+(24-6)*(TRUNC(MOD(($Z360*1103515245 +12345)/ 65536, 32768),0)/32768),0))</f>
        <v>9</v>
      </c>
      <c r="L360" s="16">
        <f t="shared" ca="1" si="19"/>
        <v>-1</v>
      </c>
      <c r="M360" s="153">
        <f ca="1">VLOOKUP($AB$2,'RF Mod'!$A$2:$G$12,4,FALSE)+VLOOKUP($AD$2,'RF Mod'!$I$2:$O$11,4,FALSE)+(TRUNC(6+(24-6)*(TRUNC(MOD(($Z360*1103515245 +12345)/ 65536, 32768),0)/32768),0))</f>
        <v>8</v>
      </c>
      <c r="N360" s="16">
        <f t="shared" ca="1" si="20"/>
        <v>-1</v>
      </c>
      <c r="O360" s="153">
        <f ca="1">VLOOKUP($AB$2,'RF Mod'!$A$2:$G$12,5,FALSE)+VLOOKUP($AD$2,'RF Mod'!$I$2:$O$11,5,FALSE)+(TRUNC(6+(24-6)*(TRUNC(MOD(($Z360*1103515245 +12345)/ 65536, 32768),0)/32768),0))</f>
        <v>11</v>
      </c>
      <c r="P360" s="16" t="e">
        <f t="shared" ca="1" si="21"/>
        <v>#NAME?</v>
      </c>
      <c r="Q360" s="153">
        <f ca="1">VLOOKUP($AB$2,'RF Mod'!$A$2:$G$12,6,FALSE)+VLOOKUP($AD$2,'RF Mod'!$I$2:$O$11,6,FALSE)+(TRUNC(6+(24-6)*(TRUNC(MOD(($Z360*1103515245 +12345)/ 65536, 32768),0)/32768),0))</f>
        <v>9</v>
      </c>
      <c r="R360" s="16">
        <f t="shared" ca="1" si="22"/>
        <v>-1</v>
      </c>
      <c r="S360" s="154">
        <f t="shared" ca="1" si="28"/>
        <v>11</v>
      </c>
      <c r="T360" s="154">
        <f t="shared" ca="1" si="23"/>
        <v>4</v>
      </c>
      <c r="U360" s="16" t="str">
        <f t="shared" ca="1" si="24"/>
        <v>Fine</v>
      </c>
      <c r="V360" s="155">
        <f ca="1">IFERROR(__xludf.DUMMYFUNCTION("if(W360=""Middle Age"",QUERY(NPCVar!$K$2:$N1000, ""Select L where K = '""&amp;AB360&amp;""'""),if(W360=""Old"",QUERY(NPCVar!$K$2:$N1000, ""Select M where K = '""&amp;AB360&amp;""'""),if(W360=""Venerable"",QUERY(NPCVar!$K$2:$N1000, ""Select N where K = '""&amp;AB360&amp;""'""),fa"&amp;"lse)))*X360"),93.75)</f>
        <v>93.75</v>
      </c>
      <c r="W360" s="156" t="str">
        <f t="array" ref="W360">INDEX(NPCAgeType,TRUNC(1+(4-1)*(TRUNC(MOD((X360*1103515245 +12345)/ 65536, 32768),0)/32768),0))</f>
        <v>Middle Age</v>
      </c>
      <c r="X360" s="117">
        <f t="shared" si="29"/>
        <v>0.5</v>
      </c>
      <c r="Y360" s="157" t="e">
        <f t="array" aca="1" ref="Y360" ca="1">LOOKUP(ABS(MAX(Z360 + MIN(ABS(INDIRECT("Class Jobs!B"&amp;MATCH(E360,'Class Jobs'!$A$1:$A1000,0)&amp;":"&amp;"AF"&amp;MATCH(E360,'Class Jobs'!$A$1:$A1000,0)&amp;"")-$Z360)) * SUM(IF(MIN(ABS(INDIRECT("Class Jobs!B"&amp;MATCH(E360,'Class Jobs'!$A$1:$A1000,0)&amp;":"&amp;"AF"&amp;MATCH(E360,'Class Jobs'!$A$1:$A1000,0)&amp;"")-$Z360))=ABS(INDIRECT("Class Jobs!B"&amp;MATCH(E360,'Class Jobs'!$A$1:$A1000,0)&amp;":"&amp;"AF"&amp;MATCH(E360,'Class Jobs'!$A$1:$A1000,0)&amp;"")-$Z360),SIGN(INDIRECT("Class Jobs!B"&amp;MATCH(E360,'Class Jobs'!$A$1:A1000,0)&amp;":"&amp;"AF"&amp;MATCH(E360,'Class Jobs'!$A$1:$A1000,0)&amp;"")-$Z360),0)),0)),INDIRECT("Class Jobs!B"&amp;MATCH(E360,'Class Jobs'!$A$1:$A1000,0)&amp;":"&amp;"AF"&amp;MATCH(E360,'Class Jobs'!$A$1:$A1000,1)&amp;""),'Class Jobs'!$B$1:$AF$1)</f>
        <v>#REF!</v>
      </c>
      <c r="Z360" s="158">
        <f t="shared" si="25"/>
        <v>0.2</v>
      </c>
      <c r="AA360" s="16" t="str">
        <f t="array" ref="AA360">INDEX(NPCGender,TRUNC(1+(COUNTA(NPCGender))*(TRUNC(MOD(($B360*1103515245 +12345)/ 65536, 32768),0)/32768),0))</f>
        <v>Male</v>
      </c>
      <c r="AB360" s="16" t="str">
        <f t="array" ref="AB360">INDEX(NPCRace,TRUNC(1+(COUNTA(NPCRace))*(TRUNC(MOD(($B360*1103515245 +12345)/ 65536, 32768),0)/32768),0))</f>
        <v>Elf</v>
      </c>
      <c r="AC360" s="16" t="str">
        <f t="array" ref="AC360">INDEX(NPCAL,TRUNC(1+(COUNTA(NPCAL))*(TRUNC(MOD(($B360*1103515245 +12345)/ 65536, 32768),0)/32768),0))</f>
        <v>CE</v>
      </c>
      <c r="AD360" s="72" t="str">
        <f ca="1">IFERROR(__xludf.DUMMYFUNCTION("if(V360&lt;15,QUERY(NPCVar!C:D,""Select D WHERE C = '""&amp;D360&amp;""'""),if((TRUNC(1+10)*(TRUNC(MOD((ROW(H360)*1103515245 +12345)/ 65536, 32768),0)/32768)/10) &gt; 0.85,INDEX(NPCFaction,TRUNC(1+(counta(NPCFaction)-1)*(TRUNC(MOD(($B360*1103515245 +12345)/ 65536, 3276"&amp;"8),0)/32768),0)),QUERY(NPCVar!C:D,""Select D WHERE C = '""&amp;D360&amp;""'"")))"),"Necromancer")</f>
        <v>Necromancer</v>
      </c>
      <c r="AE360" s="108" t="e">
        <f t="shared" ca="1" si="26"/>
        <v>#NAME?</v>
      </c>
      <c r="AF360" s="159">
        <f ca="1">IFERROR(__xludf.DUMMYFUNCTION("AE360*(V360 / QUERY(NPCVar!$K$2:$N$12, ""Select N WHERE K='""&amp;AB360&amp;""'""))*TRUNC(1+10)*(TRUNC(MOD(($B360*1103515245 +12345)/ 65536, 32768),0)/32768)"),0.0547348022460937)</f>
        <v>5.47348022460937E-2</v>
      </c>
      <c r="AG360" s="16"/>
      <c r="AH360" s="77"/>
      <c r="AI360" s="114"/>
    </row>
    <row r="361" spans="1:35" ht="16.2">
      <c r="A361" s="53">
        <v>360</v>
      </c>
      <c r="B361" s="118">
        <f t="shared" si="30"/>
        <v>1.88141</v>
      </c>
      <c r="C361" s="72" t="str">
        <f t="array" ref="C361">INDEX(NPCFName,TRUNC(1+(COUNTA(NPCFName))*(TRUNC(MOD(($B361*1103515245 +12345)/ 65536, 32768),0)/32768),0))</f>
        <v>Veldahar</v>
      </c>
      <c r="D361" s="16" t="str">
        <f t="array" ref="D361">INDEX(NPCLName,TRUNC(1+(COUNTA(NPCLName))*(TRUNC(MOD(($B361*1103515245 +12345)/ 65536, 32768),0)/32768),0))</f>
        <v>Stillspell</v>
      </c>
      <c r="E361" s="16" t="str">
        <f t="array" ref="E361">INDEX(NPCClass,TRUNC(1+(COUNTA(NPCClass))*(TRUNC(MOD(($B361*1103515245 +12345)/ 65536, 32768),0)/32768),0))</f>
        <v>Wizard</v>
      </c>
      <c r="F361" s="76">
        <v>8</v>
      </c>
      <c r="G361" s="153">
        <f ca="1">VLOOKUP($AB$2,'RF Mod'!$A$2:$G$12,2,FALSE)+VLOOKUP($AD$2,'RF Mod'!$I$2:$O$11,2,FALSE)+(TRUNC(6+(24-6)*(TRUNC(MOD(($Z361*1103515245 +12345)/ 65536, 32768),0)/32768),0))</f>
        <v>12</v>
      </c>
      <c r="H361" s="16" t="e">
        <f t="shared" ca="1" si="17"/>
        <v>#NAME?</v>
      </c>
      <c r="I361" s="153">
        <f ca="1">VLOOKUP($AB$2,'RF Mod'!$A$2:$G$12,3,FALSE)+VLOOKUP($AD$2,'RF Mod'!$I$2:$O$11,3,FALSE)+(TRUNC(6+(24-6)*(TRUNC(MOD(($Z361*1103515245 +12345)/ 65536, 32768),0)/32768),0))</f>
        <v>16</v>
      </c>
      <c r="J361" s="16" t="e">
        <f t="shared" ca="1" si="18"/>
        <v>#NAME?</v>
      </c>
      <c r="K361" s="153">
        <f ca="1">VLOOKUP($AB$2,'RF Mod'!$A$2:$G$12,3,FALSE)+VLOOKUP($AD$2,'RF Mod'!$I$2:$O$11,3,FALSE)+(TRUNC(6+(24-6)*(TRUNC(MOD(($Z361*1103515245 +12345)/ 65536, 32768),0)/32768),0))</f>
        <v>16</v>
      </c>
      <c r="L361" s="16" t="e">
        <f t="shared" ca="1" si="19"/>
        <v>#NAME?</v>
      </c>
      <c r="M361" s="153">
        <f ca="1">VLOOKUP($AB$2,'RF Mod'!$A$2:$G$12,4,FALSE)+VLOOKUP($AD$2,'RF Mod'!$I$2:$O$11,4,FALSE)+(TRUNC(6+(24-6)*(TRUNC(MOD(($Z361*1103515245 +12345)/ 65536, 32768),0)/32768),0))</f>
        <v>15</v>
      </c>
      <c r="N361" s="16" t="e">
        <f t="shared" ca="1" si="20"/>
        <v>#NAME?</v>
      </c>
      <c r="O361" s="153">
        <f ca="1">VLOOKUP($AB$2,'RF Mod'!$A$2:$G$12,5,FALSE)+VLOOKUP($AD$2,'RF Mod'!$I$2:$O$11,5,FALSE)+(TRUNC(6+(24-6)*(TRUNC(MOD(($Z361*1103515245 +12345)/ 65536, 32768),0)/32768),0))</f>
        <v>18</v>
      </c>
      <c r="P361" s="16" t="e">
        <f t="shared" ca="1" si="21"/>
        <v>#NAME?</v>
      </c>
      <c r="Q361" s="153">
        <f ca="1">VLOOKUP($AB$2,'RF Mod'!$A$2:$G$12,6,FALSE)+VLOOKUP($AD$2,'RF Mod'!$I$2:$O$11,6,FALSE)+(TRUNC(6+(24-6)*(TRUNC(MOD(($Z361*1103515245 +12345)/ 65536, 32768),0)/32768),0))</f>
        <v>16</v>
      </c>
      <c r="R361" s="16" t="e">
        <f t="shared" ca="1" si="22"/>
        <v>#NAME?</v>
      </c>
      <c r="S361" s="154">
        <f t="shared" ca="1" si="28"/>
        <v>176</v>
      </c>
      <c r="T361" s="154">
        <f t="shared" ca="1" si="23"/>
        <v>200</v>
      </c>
      <c r="U361" s="16" t="str">
        <f t="shared" ca="1" si="24"/>
        <v>Dead</v>
      </c>
      <c r="V361" s="155">
        <f ca="1">IFERROR(__xludf.DUMMYFUNCTION("if(W361=""Middle Age"",QUERY(NPCVar!$K$2:$N1000, ""Select L where K = '""&amp;AB361&amp;""'""),if(W361=""Old"",QUERY(NPCVar!$K$2:$N1000, ""Select M where K = '""&amp;AB361&amp;""'""),if(W361=""Venerable"",QUERY(NPCVar!$K$2:$N1000, ""Select N where K = '""&amp;AB361&amp;""'""),fa"&amp;"lse)))*X361"),72)</f>
        <v>72</v>
      </c>
      <c r="W361" s="156" t="str">
        <f t="array" ref="W361">INDEX(NPCAgeType,TRUNC(1+(4-1)*(TRUNC(MOD((X361*1103515245 +12345)/ 65536, 32768),0)/32768),0))</f>
        <v>Middle Age</v>
      </c>
      <c r="X361" s="117">
        <f t="shared" si="29"/>
        <v>2.4</v>
      </c>
      <c r="Y361" s="157" t="e">
        <f t="array" aca="1" ref="Y361" ca="1">LOOKUP(ABS(MAX(Z361 + MIN(ABS(INDIRECT("Class Jobs!B"&amp;MATCH(E361,'Class Jobs'!$A$1:$A1000,0)&amp;":"&amp;"AF"&amp;MATCH(E361,'Class Jobs'!$A$1:$A1000,0)&amp;"")-$Z361)) * SUM(IF(MIN(ABS(INDIRECT("Class Jobs!B"&amp;MATCH(E361,'Class Jobs'!$A$1:$A1000,0)&amp;":"&amp;"AF"&amp;MATCH(E361,'Class Jobs'!$A$1:$A1000,0)&amp;"")-$Z361))=ABS(INDIRECT("Class Jobs!B"&amp;MATCH(E361,'Class Jobs'!$A$1:$A1000,0)&amp;":"&amp;"AF"&amp;MATCH(E361,'Class Jobs'!$A$1:$A1000,0)&amp;"")-$Z361),SIGN(INDIRECT("Class Jobs!B"&amp;MATCH(E361,'Class Jobs'!$A$1:A1000,0)&amp;":"&amp;"AF"&amp;MATCH(E361,'Class Jobs'!$A$1:$A1000,0)&amp;"")-$Z361),0)),0)),INDIRECT("Class Jobs!B"&amp;MATCH(E361,'Class Jobs'!$A$1:$A1000,0)&amp;":"&amp;"AF"&amp;MATCH(E361,'Class Jobs'!$A$1:$A1000,1)&amp;""),'Class Jobs'!$B$1:$AF$1)</f>
        <v>#REF!</v>
      </c>
      <c r="Z361" s="158">
        <f t="shared" si="25"/>
        <v>0.96</v>
      </c>
      <c r="AA361" s="16" t="str">
        <f t="array" ref="AA361">INDEX(NPCGender,TRUNC(1+(COUNTA(NPCGender))*(TRUNC(MOD(($B361*1103515245 +12345)/ 65536, 32768),0)/32768),0))</f>
        <v>Neutral</v>
      </c>
      <c r="AB361" s="16" t="str">
        <f t="array" ref="AB361">INDEX(NPCRace,TRUNC(1+(COUNTA(NPCRace))*(TRUNC(MOD(($B361*1103515245 +12345)/ 65536, 32768),0)/32768),0))</f>
        <v>Goliath</v>
      </c>
      <c r="AC361" s="16" t="str">
        <f t="array" ref="AC361">INDEX(NPCAL,TRUNC(1+(COUNTA(NPCAL))*(TRUNC(MOD(($B361*1103515245 +12345)/ 65536, 32768),0)/32768),0))</f>
        <v>LE</v>
      </c>
      <c r="AD361" s="72" t="str">
        <f ca="1">IFERROR(__xludf.DUMMYFUNCTION("if(V361&lt;15,QUERY(NPCVar!C:D,""Select D WHERE C = '""&amp;D361&amp;""'""),if((TRUNC(1+10)*(TRUNC(MOD((ROW(H361)*1103515245 +12345)/ 65536, 32768),0)/32768)/10) &gt; 0.85,INDEX(NPCFaction,TRUNC(1+(counta(NPCFaction)-1)*(TRUNC(MOD(($B361*1103515245 +12345)/ 65536, 3276"&amp;"8),0)/32768),0)),QUERY(NPCVar!C:D,""Select D WHERE C = '""&amp;D361&amp;""'"")))"),"Followers of Isis")</f>
        <v>Followers of Isis</v>
      </c>
      <c r="AE361" s="108" t="e">
        <f t="shared" ca="1" si="26"/>
        <v>#NAME?</v>
      </c>
      <c r="AF361" s="159">
        <f ca="1">IFERROR(__xludf.DUMMYFUNCTION("AE361*(V361 / QUERY(NPCVar!$K$2:$N$12, ""Select N WHERE K='""&amp;AB361&amp;""'""))*TRUNC(1+10)*(TRUNC(MOD(($B361*1103515245 +12345)/ 65536, 32768),0)/32768)"),6.38065795898437)</f>
        <v>6.3806579589843704</v>
      </c>
      <c r="AG361" s="16"/>
      <c r="AH361" s="77"/>
      <c r="AI361" s="114"/>
    </row>
    <row r="362" spans="1:35" ht="16.2">
      <c r="A362" s="53">
        <v>361</v>
      </c>
      <c r="B362" s="118">
        <f t="shared" si="30"/>
        <v>0.87555000000000005</v>
      </c>
      <c r="C362" s="72" t="str">
        <f t="array" ref="C362">INDEX(NPCFName,TRUNC(1+(COUNTA(NPCFName))*(TRUNC(MOD(($B362*1103515245 +12345)/ 65536, 32768),0)/32768),0))</f>
        <v>Gametris</v>
      </c>
      <c r="D362" s="16" t="str">
        <f t="array" ref="D362">INDEX(NPCLName,TRUNC(1+(COUNTA(NPCLName))*(TRUNC(MOD(($B362*1103515245 +12345)/ 65536, 32768),0)/32768),0))</f>
        <v>Saurflame</v>
      </c>
      <c r="E362" s="16" t="str">
        <f t="array" ref="E362">INDEX(NPCClass,TRUNC(1+(COUNTA(NPCClass))*(TRUNC(MOD(($B362*1103515245 +12345)/ 65536, 32768),0)/32768),0))</f>
        <v>Ranger</v>
      </c>
      <c r="F362" s="76">
        <v>6</v>
      </c>
      <c r="G362" s="153">
        <f ca="1">VLOOKUP($AB$2,'RF Mod'!$A$2:$G$12,2,FALSE)+VLOOKUP($AD$2,'RF Mod'!$I$2:$O$11,2,FALSE)+(TRUNC(6+(24-6)*(TRUNC(MOD(($Z362*1103515245 +12345)/ 65536, 32768),0)/32768),0))</f>
        <v>8</v>
      </c>
      <c r="H362" s="16">
        <f t="shared" ca="1" si="17"/>
        <v>-1</v>
      </c>
      <c r="I362" s="153">
        <f ca="1">VLOOKUP($AB$2,'RF Mod'!$A$2:$G$12,3,FALSE)+VLOOKUP($AD$2,'RF Mod'!$I$2:$O$11,3,FALSE)+(TRUNC(6+(24-6)*(TRUNC(MOD(($Z362*1103515245 +12345)/ 65536, 32768),0)/32768),0))</f>
        <v>12</v>
      </c>
      <c r="J362" s="16" t="e">
        <f t="shared" ca="1" si="18"/>
        <v>#NAME?</v>
      </c>
      <c r="K362" s="153">
        <f ca="1">VLOOKUP($AB$2,'RF Mod'!$A$2:$G$12,3,FALSE)+VLOOKUP($AD$2,'RF Mod'!$I$2:$O$11,3,FALSE)+(TRUNC(6+(24-6)*(TRUNC(MOD(($Z362*1103515245 +12345)/ 65536, 32768),0)/32768),0))</f>
        <v>12</v>
      </c>
      <c r="L362" s="16" t="e">
        <f t="shared" ca="1" si="19"/>
        <v>#NAME?</v>
      </c>
      <c r="M362" s="153">
        <f ca="1">VLOOKUP($AB$2,'RF Mod'!$A$2:$G$12,4,FALSE)+VLOOKUP($AD$2,'RF Mod'!$I$2:$O$11,4,FALSE)+(TRUNC(6+(24-6)*(TRUNC(MOD(($Z362*1103515245 +12345)/ 65536, 32768),0)/32768),0))</f>
        <v>11</v>
      </c>
      <c r="N362" s="16" t="e">
        <f t="shared" ca="1" si="20"/>
        <v>#NAME?</v>
      </c>
      <c r="O362" s="153">
        <f ca="1">VLOOKUP($AB$2,'RF Mod'!$A$2:$G$12,5,FALSE)+VLOOKUP($AD$2,'RF Mod'!$I$2:$O$11,5,FALSE)+(TRUNC(6+(24-6)*(TRUNC(MOD(($Z362*1103515245 +12345)/ 65536, 32768),0)/32768),0))</f>
        <v>14</v>
      </c>
      <c r="P362" s="16" t="e">
        <f t="shared" ca="1" si="21"/>
        <v>#NAME?</v>
      </c>
      <c r="Q362" s="153">
        <f ca="1">VLOOKUP($AB$2,'RF Mod'!$A$2:$G$12,6,FALSE)+VLOOKUP($AD$2,'RF Mod'!$I$2:$O$11,6,FALSE)+(TRUNC(6+(24-6)*(TRUNC(MOD(($Z362*1103515245 +12345)/ 65536, 32768),0)/32768),0))</f>
        <v>12</v>
      </c>
      <c r="R362" s="16" t="e">
        <f t="shared" ca="1" si="22"/>
        <v>#NAME?</v>
      </c>
      <c r="S362" s="154">
        <f t="shared" ca="1" si="28"/>
        <v>144</v>
      </c>
      <c r="T362" s="154">
        <f t="shared" ca="1" si="23"/>
        <v>116</v>
      </c>
      <c r="U362" s="16" t="str">
        <f t="shared" ca="1" si="24"/>
        <v>Bloody</v>
      </c>
      <c r="V362" s="155">
        <f ca="1">IFERROR(__xludf.DUMMYFUNCTION("if(W362=""Middle Age"",QUERY(NPCVar!$K$2:$N1000, ""Select L where K = '""&amp;AB362&amp;""'""),if(W362=""Old"",QUERY(NPCVar!$K$2:$N1000, ""Select M where K = '""&amp;AB362&amp;""'""),if(W362=""Venerable"",QUERY(NPCVar!$K$2:$N1000, ""Select N where K = '""&amp;AB362&amp;""'""),fa"&amp;"lse)))*X362"),74.25)</f>
        <v>74.25</v>
      </c>
      <c r="W362" s="156" t="str">
        <f t="array" ref="W362">INDEX(NPCAgeType,TRUNC(1+(4-1)*(TRUNC(MOD((X362*1103515245 +12345)/ 65536, 32768),0)/32768),0))</f>
        <v>Old</v>
      </c>
      <c r="X362" s="117">
        <f t="shared" si="29"/>
        <v>1.1000000000000001</v>
      </c>
      <c r="Y362" s="157" t="e">
        <f t="array" aca="1" ref="Y362" ca="1">LOOKUP(ABS(MAX(Z362 + MIN(ABS(INDIRECT("Class Jobs!B"&amp;MATCH(E362,'Class Jobs'!$A$1:$A1000,0)&amp;":"&amp;"AF"&amp;MATCH(E362,'Class Jobs'!$A$1:$A1000,0)&amp;"")-$Z362)) * SUM(IF(MIN(ABS(INDIRECT("Class Jobs!B"&amp;MATCH(E362,'Class Jobs'!$A$1:$A1000,0)&amp;":"&amp;"AF"&amp;MATCH(E362,'Class Jobs'!$A$1:$A1000,0)&amp;"")-$Z362))=ABS(INDIRECT("Class Jobs!B"&amp;MATCH(E362,'Class Jobs'!$A$1:$A1000,0)&amp;":"&amp;"AF"&amp;MATCH(E362,'Class Jobs'!$A$1:$A1000,0)&amp;"")-$Z362),SIGN(INDIRECT("Class Jobs!B"&amp;MATCH(E362,'Class Jobs'!$A$1:A1000,0)&amp;":"&amp;"AF"&amp;MATCH(E362,'Class Jobs'!$A$1:$A1000,0)&amp;"")-$Z362),0)),0)),INDIRECT("Class Jobs!B"&amp;MATCH(E362,'Class Jobs'!$A$1:$A1000,0)&amp;":"&amp;"AF"&amp;MATCH(E362,'Class Jobs'!$A$1:$A1000,1)&amp;""),'Class Jobs'!$B$1:$AF$1)</f>
        <v>#REF!</v>
      </c>
      <c r="Z362" s="158">
        <f t="shared" si="25"/>
        <v>0.45</v>
      </c>
      <c r="AA362" s="16" t="str">
        <f t="array" ref="AA362">INDEX(NPCGender,TRUNC(1+(COUNTA(NPCGender))*(TRUNC(MOD(($B362*1103515245 +12345)/ 65536, 32768),0)/32768),0))</f>
        <v>Female</v>
      </c>
      <c r="AB362" s="16" t="str">
        <f t="array" ref="AB362">INDEX(NPCRace,TRUNC(1+(COUNTA(NPCRace))*(TRUNC(MOD(($B362*1103515245 +12345)/ 65536, 32768),0)/32768),0))</f>
        <v>Half-Elf</v>
      </c>
      <c r="AC362" s="16" t="str">
        <f t="array" ref="AC362">INDEX(NPCAL,TRUNC(1+(COUNTA(NPCAL))*(TRUNC(MOD(($B362*1103515245 +12345)/ 65536, 32768),0)/32768),0))</f>
        <v>NN</v>
      </c>
      <c r="AD362" s="72" t="str">
        <f ca="1">IFERROR(__xludf.DUMMYFUNCTION("if(V362&lt;15,QUERY(NPCVar!C:D,""Select D WHERE C = '""&amp;D362&amp;""'""),if((TRUNC(1+10)*(TRUNC(MOD((ROW(H362)*1103515245 +12345)/ 65536, 32768),0)/32768)/10) &gt; 0.85,INDEX(NPCFaction,TRUNC(1+(counta(NPCFaction)-1)*(TRUNC(MOD(($B362*1103515245 +12345)/ 65536, 3276"&amp;"8),0)/32768),0)),QUERY(NPCVar!C:D,""Select D WHERE C = '""&amp;D362&amp;""'"")))"),"Farmers Guild")</f>
        <v>Farmers Guild</v>
      </c>
      <c r="AE362" s="108" t="e">
        <f t="shared" ca="1" si="26"/>
        <v>#NAME?</v>
      </c>
      <c r="AF362" s="159">
        <f ca="1">IFERROR(__xludf.DUMMYFUNCTION("AE362*(V362 / QUERY(NPCVar!$K$2:$N$12, ""Select N WHERE K='""&amp;AB362&amp;""'""))*TRUNC(1+10)*(TRUNC(MOD(($B362*1103515245 +12345)/ 65536, 32768),0)/32768)"),1.22482589721679)</f>
        <v>1.22482589721679</v>
      </c>
      <c r="AG362" s="16"/>
      <c r="AH362" s="77"/>
      <c r="AI362" s="114"/>
    </row>
    <row r="363" spans="1:35" ht="16.2">
      <c r="A363" s="53">
        <v>362</v>
      </c>
      <c r="B363" s="118">
        <f t="shared" si="30"/>
        <v>2.3696899999999999</v>
      </c>
      <c r="C363" s="72" t="str">
        <f t="array" ref="C363">INDEX(NPCFName,TRUNC(1+(COUNTA(NPCFName))*(TRUNC(MOD(($B363*1103515245 +12345)/ 65536, 32768),0)/32768),0))</f>
        <v>Omarn</v>
      </c>
      <c r="D363" s="16" t="str">
        <f t="array" ref="D363">INDEX(NPCLName,TRUNC(1+(COUNTA(NPCLName))*(TRUNC(MOD(($B363*1103515245 +12345)/ 65536, 32768),0)/32768),0))</f>
        <v>Stillsun</v>
      </c>
      <c r="E363" s="16" t="str">
        <f t="array" ref="E363">INDEX(NPCClass,TRUNC(1+(COUNTA(NPCClass))*(TRUNC(MOD(($B363*1103515245 +12345)/ 65536, 32768),0)/32768),0))</f>
        <v>Druid</v>
      </c>
      <c r="F363" s="76">
        <v>3</v>
      </c>
      <c r="G363" s="153">
        <f ca="1">VLOOKUP($AB$2,'RF Mod'!$A$2:$G$12,2,FALSE)+VLOOKUP($AD$2,'RF Mod'!$I$2:$O$11,2,FALSE)+(TRUNC(6+(24-6)*(TRUNC(MOD(($Z363*1103515245 +12345)/ 65536, 32768),0)/32768),0))</f>
        <v>6</v>
      </c>
      <c r="H363" s="16">
        <f t="shared" ca="1" si="17"/>
        <v>-2</v>
      </c>
      <c r="I363" s="153">
        <f ca="1">VLOOKUP($AB$2,'RF Mod'!$A$2:$G$12,3,FALSE)+VLOOKUP($AD$2,'RF Mod'!$I$2:$O$11,3,FALSE)+(TRUNC(6+(24-6)*(TRUNC(MOD(($Z363*1103515245 +12345)/ 65536, 32768),0)/32768),0))</f>
        <v>10</v>
      </c>
      <c r="J363" s="16" t="e">
        <f t="shared" ca="1" si="18"/>
        <v>#NAME?</v>
      </c>
      <c r="K363" s="153">
        <f ca="1">VLOOKUP($AB$2,'RF Mod'!$A$2:$G$12,3,FALSE)+VLOOKUP($AD$2,'RF Mod'!$I$2:$O$11,3,FALSE)+(TRUNC(6+(24-6)*(TRUNC(MOD(($Z363*1103515245 +12345)/ 65536, 32768),0)/32768),0))</f>
        <v>10</v>
      </c>
      <c r="L363" s="16" t="e">
        <f t="shared" ca="1" si="19"/>
        <v>#NAME?</v>
      </c>
      <c r="M363" s="153">
        <f ca="1">VLOOKUP($AB$2,'RF Mod'!$A$2:$G$12,4,FALSE)+VLOOKUP($AD$2,'RF Mod'!$I$2:$O$11,4,FALSE)+(TRUNC(6+(24-6)*(TRUNC(MOD(($Z363*1103515245 +12345)/ 65536, 32768),0)/32768),0))</f>
        <v>9</v>
      </c>
      <c r="N363" s="16">
        <f t="shared" ca="1" si="20"/>
        <v>-1</v>
      </c>
      <c r="O363" s="153">
        <f ca="1">VLOOKUP($AB$2,'RF Mod'!$A$2:$G$12,5,FALSE)+VLOOKUP($AD$2,'RF Mod'!$I$2:$O$11,5,FALSE)+(TRUNC(6+(24-6)*(TRUNC(MOD(($Z363*1103515245 +12345)/ 65536, 32768),0)/32768),0))</f>
        <v>12</v>
      </c>
      <c r="P363" s="16" t="e">
        <f t="shared" ca="1" si="21"/>
        <v>#NAME?</v>
      </c>
      <c r="Q363" s="153">
        <f ca="1">VLOOKUP($AB$2,'RF Mod'!$A$2:$G$12,6,FALSE)+VLOOKUP($AD$2,'RF Mod'!$I$2:$O$11,6,FALSE)+(TRUNC(6+(24-6)*(TRUNC(MOD(($Z363*1103515245 +12345)/ 65536, 32768),0)/32768),0))</f>
        <v>10</v>
      </c>
      <c r="R363" s="16" t="e">
        <f t="shared" ca="1" si="22"/>
        <v>#NAME?</v>
      </c>
      <c r="S363" s="154">
        <f t="shared" ca="1" si="28"/>
        <v>84</v>
      </c>
      <c r="T363" s="154">
        <f t="shared" ca="1" si="23"/>
        <v>31</v>
      </c>
      <c r="U363" s="16" t="str">
        <f t="shared" ca="1" si="24"/>
        <v>Fine</v>
      </c>
      <c r="V363" s="155">
        <f ca="1">IFERROR(__xludf.DUMMYFUNCTION("if(W363=""Middle Age"",QUERY(NPCVar!$K$2:$N1000, ""Select L where K = '""&amp;AB363&amp;""'""),if(W363=""Old"",QUERY(NPCVar!$K$2:$N1000, ""Select M where K = '""&amp;AB363&amp;""'""),if(W363=""Venerable"",QUERY(NPCVar!$K$2:$N1000, ""Select N where K = '""&amp;AB363&amp;""'""),fa"&amp;"lse)))*X363"),112.5)</f>
        <v>112.5</v>
      </c>
      <c r="W363" s="156" t="str">
        <f t="array" ref="W363">INDEX(NPCAgeType,TRUNC(1+(4-1)*(TRUNC(MOD((X363*1103515245 +12345)/ 65536, 32768),0)/32768),0))</f>
        <v>Middle Age</v>
      </c>
      <c r="X363" s="117">
        <f t="shared" si="29"/>
        <v>0.6</v>
      </c>
      <c r="Y363" s="157" t="e">
        <f t="array" aca="1" ref="Y363" ca="1">LOOKUP(ABS(MAX(Z363 + MIN(ABS(INDIRECT("Class Jobs!B"&amp;MATCH(E363,'Class Jobs'!$A$1:$A1000,0)&amp;":"&amp;"AF"&amp;MATCH(E363,'Class Jobs'!$A$1:$A1000,0)&amp;"")-$Z363)) * SUM(IF(MIN(ABS(INDIRECT("Class Jobs!B"&amp;MATCH(E363,'Class Jobs'!$A$1:$A1000,0)&amp;":"&amp;"AF"&amp;MATCH(E363,'Class Jobs'!$A$1:$A1000,0)&amp;"")-$Z363))=ABS(INDIRECT("Class Jobs!B"&amp;MATCH(E363,'Class Jobs'!$A$1:$A1000,0)&amp;":"&amp;"AF"&amp;MATCH(E363,'Class Jobs'!$A$1:$A1000,0)&amp;"")-$Z363),SIGN(INDIRECT("Class Jobs!B"&amp;MATCH(E363,'Class Jobs'!$A$1:A1000,0)&amp;":"&amp;"AF"&amp;MATCH(E363,'Class Jobs'!$A$1:$A1000,0)&amp;"")-$Z363),0)),0)),INDIRECT("Class Jobs!B"&amp;MATCH(E363,'Class Jobs'!$A$1:$A1000,0)&amp;":"&amp;"AF"&amp;MATCH(E363,'Class Jobs'!$A$1:$A1000,1)&amp;""),'Class Jobs'!$B$1:$AF$1)</f>
        <v>#REF!</v>
      </c>
      <c r="Z363" s="158">
        <f t="shared" si="25"/>
        <v>0.22</v>
      </c>
      <c r="AA363" s="16" t="str">
        <f t="array" ref="AA363">INDEX(NPCGender,TRUNC(1+(COUNTA(NPCGender))*(TRUNC(MOD(($B363*1103515245 +12345)/ 65536, 32768),0)/32768),0))</f>
        <v>Male</v>
      </c>
      <c r="AB363" s="16" t="str">
        <f t="array" ref="AB363">INDEX(NPCRace,TRUNC(1+(COUNTA(NPCRace))*(TRUNC(MOD(($B363*1103515245 +12345)/ 65536, 32768),0)/32768),0))</f>
        <v>Elf</v>
      </c>
      <c r="AC363" s="16" t="str">
        <f t="array" ref="AC363">INDEX(NPCAL,TRUNC(1+(COUNTA(NPCAL))*(TRUNC(MOD(($B363*1103515245 +12345)/ 65536, 32768),0)/32768),0))</f>
        <v>CE</v>
      </c>
      <c r="AD363" s="72" t="str">
        <f ca="1">IFERROR(__xludf.DUMMYFUNCTION("if(V363&lt;15,QUERY(NPCVar!C:D,""Select D WHERE C = '""&amp;D363&amp;""'""),if((TRUNC(1+10)*(TRUNC(MOD((ROW(H363)*1103515245 +12345)/ 65536, 32768),0)/32768)/10) &gt; 0.85,INDEX(NPCFaction,TRUNC(1+(counta(NPCFaction)-1)*(TRUNC(MOD(($B363*1103515245 +12345)/ 65536, 3276"&amp;"8),0)/32768),0)),QUERY(NPCVar!C:D,""Select D WHERE C = '""&amp;D363&amp;""'"")))"),"Necromancer")</f>
        <v>Necromancer</v>
      </c>
      <c r="AE363" s="108" t="e">
        <f t="shared" ca="1" si="26"/>
        <v>#NAME?</v>
      </c>
      <c r="AF363" s="159">
        <f ca="1">IFERROR(__xludf.DUMMYFUNCTION("AE363*(V363 / QUERY(NPCVar!$K$2:$N$12, ""Select N WHERE K='""&amp;AB363&amp;""'""))*TRUNC(1+10)*(TRUNC(MOD(($B363*1103515245 +12345)/ 65536, 32768),0)/32768)"),-0.0359175109863281)</f>
        <v>-3.5917510986328102E-2</v>
      </c>
      <c r="AG363" s="16"/>
      <c r="AH363" s="77"/>
      <c r="AI363" s="114"/>
    </row>
    <row r="364" spans="1:35" ht="16.2">
      <c r="A364" s="53">
        <v>363</v>
      </c>
      <c r="B364" s="118">
        <f t="shared" si="30"/>
        <v>1.3638300000000001</v>
      </c>
      <c r="C364" s="72" t="str">
        <f t="array" ref="C364">INDEX(NPCFName,TRUNC(1+(COUNTA(NPCFName))*(TRUNC(MOD(($B364*1103515245 +12345)/ 65536, 32768),0)/32768),0))</f>
        <v>Boal</v>
      </c>
      <c r="D364" s="16" t="str">
        <f t="array" ref="D364">INDEX(NPCLName,TRUNC(1+(COUNTA(NPCLName))*(TRUNC(MOD(($B364*1103515245 +12345)/ 65536, 32768),0)/32768),0))</f>
        <v>Rockspell</v>
      </c>
      <c r="E364" s="16" t="str">
        <f t="array" ref="E364">INDEX(NPCClass,TRUNC(1+(COUNTA(NPCClass))*(TRUNC(MOD(($B364*1103515245 +12345)/ 65536, 32768),0)/32768),0))</f>
        <v>None</v>
      </c>
      <c r="F364" s="76">
        <v>8</v>
      </c>
      <c r="G364" s="153">
        <f ca="1">VLOOKUP($AB$2,'RF Mod'!$A$2:$G$12,2,FALSE)+VLOOKUP($AD$2,'RF Mod'!$I$2:$O$11,2,FALSE)+(TRUNC(6+(24-6)*(TRUNC(MOD(($Z364*1103515245 +12345)/ 65536, 32768),0)/32768),0))</f>
        <v>10</v>
      </c>
      <c r="H364" s="16" t="e">
        <f t="shared" ca="1" si="17"/>
        <v>#NAME?</v>
      </c>
      <c r="I364" s="153">
        <f ca="1">VLOOKUP($AB$2,'RF Mod'!$A$2:$G$12,3,FALSE)+VLOOKUP($AD$2,'RF Mod'!$I$2:$O$11,3,FALSE)+(TRUNC(6+(24-6)*(TRUNC(MOD(($Z364*1103515245 +12345)/ 65536, 32768),0)/32768),0))</f>
        <v>14</v>
      </c>
      <c r="J364" s="16" t="e">
        <f t="shared" ca="1" si="18"/>
        <v>#NAME?</v>
      </c>
      <c r="K364" s="153">
        <f ca="1">VLOOKUP($AB$2,'RF Mod'!$A$2:$G$12,3,FALSE)+VLOOKUP($AD$2,'RF Mod'!$I$2:$O$11,3,FALSE)+(TRUNC(6+(24-6)*(TRUNC(MOD(($Z364*1103515245 +12345)/ 65536, 32768),0)/32768),0))</f>
        <v>14</v>
      </c>
      <c r="L364" s="16" t="e">
        <f t="shared" ca="1" si="19"/>
        <v>#NAME?</v>
      </c>
      <c r="M364" s="153">
        <f ca="1">VLOOKUP($AB$2,'RF Mod'!$A$2:$G$12,4,FALSE)+VLOOKUP($AD$2,'RF Mod'!$I$2:$O$11,4,FALSE)+(TRUNC(6+(24-6)*(TRUNC(MOD(($Z364*1103515245 +12345)/ 65536, 32768),0)/32768),0))</f>
        <v>13</v>
      </c>
      <c r="N364" s="16" t="e">
        <f t="shared" ca="1" si="20"/>
        <v>#NAME?</v>
      </c>
      <c r="O364" s="153">
        <f ca="1">VLOOKUP($AB$2,'RF Mod'!$A$2:$G$12,5,FALSE)+VLOOKUP($AD$2,'RF Mod'!$I$2:$O$11,5,FALSE)+(TRUNC(6+(24-6)*(TRUNC(MOD(($Z364*1103515245 +12345)/ 65536, 32768),0)/32768),0))</f>
        <v>16</v>
      </c>
      <c r="P364" s="16" t="e">
        <f t="shared" ca="1" si="21"/>
        <v>#NAME?</v>
      </c>
      <c r="Q364" s="153">
        <f ca="1">VLOOKUP($AB$2,'RF Mod'!$A$2:$G$12,6,FALSE)+VLOOKUP($AD$2,'RF Mod'!$I$2:$O$11,6,FALSE)+(TRUNC(6+(24-6)*(TRUNC(MOD(($Z364*1103515245 +12345)/ 65536, 32768),0)/32768),0))</f>
        <v>14</v>
      </c>
      <c r="R364" s="16" t="e">
        <f t="shared" ca="1" si="22"/>
        <v>#NAME?</v>
      </c>
      <c r="S364" s="154">
        <f t="shared" ca="1" si="28"/>
        <v>128</v>
      </c>
      <c r="T364" s="154">
        <f t="shared" ca="1" si="23"/>
        <v>96</v>
      </c>
      <c r="U364" s="16" t="str">
        <f t="shared" ca="1" si="24"/>
        <v>Bloody</v>
      </c>
      <c r="V364" s="155">
        <f ca="1">IFERROR(__xludf.DUMMYFUNCTION("if(W364=""Middle Age"",QUERY(NPCVar!$K$2:$N1000, ""Select L where K = '""&amp;AB364&amp;""'""),if(W364=""Old"",QUERY(NPCVar!$K$2:$N1000, ""Select M where K = '""&amp;AB364&amp;""'""),if(W364=""Venerable"",QUERY(NPCVar!$K$2:$N1000, ""Select N where K = '""&amp;AB364&amp;""'""),fa"&amp;"lse)))*X364"),153)</f>
        <v>153</v>
      </c>
      <c r="W364" s="156" t="str">
        <f t="array" ref="W364">INDEX(NPCAgeType,TRUNC(1+(4-1)*(TRUNC(MOD((X364*1103515245 +12345)/ 65536, 32768),0)/32768),0))</f>
        <v>Venerable</v>
      </c>
      <c r="X364" s="117">
        <f t="shared" si="29"/>
        <v>1.7</v>
      </c>
      <c r="Y364" s="157" t="e">
        <f t="array" aca="1" ref="Y364" ca="1">LOOKUP(ABS(MAX(Z364 + MIN(ABS(INDIRECT("Class Jobs!B"&amp;MATCH(E364,'Class Jobs'!$A$1:$A1000,0)&amp;":"&amp;"AF"&amp;MATCH(E364,'Class Jobs'!$A$1:$A1000,0)&amp;"")-$Z364)) * SUM(IF(MIN(ABS(INDIRECT("Class Jobs!B"&amp;MATCH(E364,'Class Jobs'!$A$1:$A1000,0)&amp;":"&amp;"AF"&amp;MATCH(E364,'Class Jobs'!$A$1:$A1000,0)&amp;"")-$Z364))=ABS(INDIRECT("Class Jobs!B"&amp;MATCH(E364,'Class Jobs'!$A$1:$A1000,0)&amp;":"&amp;"AF"&amp;MATCH(E364,'Class Jobs'!$A$1:$A1000,0)&amp;"")-$Z364),SIGN(INDIRECT("Class Jobs!B"&amp;MATCH(E364,'Class Jobs'!$A$1:A1000,0)&amp;":"&amp;"AF"&amp;MATCH(E364,'Class Jobs'!$A$1:$A1000,0)&amp;"")-$Z364),0)),0)),INDIRECT("Class Jobs!B"&amp;MATCH(E364,'Class Jobs'!$A$1:$A1000,0)&amp;":"&amp;"AF"&amp;MATCH(E364,'Class Jobs'!$A$1:$A1000,1)&amp;""),'Class Jobs'!$B$1:$AF$1)</f>
        <v>#REF!</v>
      </c>
      <c r="Z364" s="158">
        <f t="shared" si="25"/>
        <v>0.7</v>
      </c>
      <c r="AA364" s="16" t="str">
        <f t="array" ref="AA364">INDEX(NPCGender,TRUNC(1+(COUNTA(NPCGender))*(TRUNC(MOD(($B364*1103515245 +12345)/ 65536, 32768),0)/32768),0))</f>
        <v>Neutral</v>
      </c>
      <c r="AB364" s="16" t="str">
        <f t="array" ref="AB364">INDEX(NPCRace,TRUNC(1+(COUNTA(NPCRace))*(TRUNC(MOD(($B364*1103515245 +12345)/ 65536, 32768),0)/32768),0))</f>
        <v>Human</v>
      </c>
      <c r="AC364" s="16" t="str">
        <f t="array" ref="AC364">INDEX(NPCAL,TRUNC(1+(COUNTA(NPCAL))*(TRUNC(MOD(($B364*1103515245 +12345)/ 65536, 32768),0)/32768),0))</f>
        <v>LG</v>
      </c>
      <c r="AD364" s="72" t="str">
        <f ca="1">IFERROR(__xludf.DUMMYFUNCTION("if(V364&lt;15,QUERY(NPCVar!C:D,""Select D WHERE C = '""&amp;D364&amp;""'""),if((TRUNC(1+10)*(TRUNC(MOD((ROW(H364)*1103515245 +12345)/ 65536, 32768),0)/32768)/10) &gt; 0.85,INDEX(NPCFaction,TRUNC(1+(counta(NPCFaction)-1)*(TRUNC(MOD(($B364*1103515245 +12345)/ 65536, 3276"&amp;"8),0)/32768),0)),QUERY(NPCVar!C:D,""Select D WHERE C = '""&amp;D364&amp;""'"")))"),"Traverlers Guild")</f>
        <v>Traverlers Guild</v>
      </c>
      <c r="AE364" s="108" t="e">
        <f t="shared" ca="1" si="26"/>
        <v>#NAME?</v>
      </c>
      <c r="AF364" s="159">
        <f ca="1">IFERROR(__xludf.DUMMYFUNCTION("AE364*(V364 / QUERY(NPCVar!$K$2:$N$12, ""Select N WHERE K='""&amp;AB364&amp;""'""))*TRUNC(1+10)*(TRUNC(MOD(($B364*1103515245 +12345)/ 65536, 32768),0)/32768)"),7.86303955078125)</f>
        <v>7.8630395507812496</v>
      </c>
      <c r="AG364" s="16"/>
      <c r="AH364" s="77"/>
      <c r="AI364" s="114"/>
    </row>
    <row r="365" spans="1:35" ht="16.2">
      <c r="A365" s="53">
        <v>364</v>
      </c>
      <c r="B365" s="118">
        <f t="shared" si="30"/>
        <v>0.35797000000000001</v>
      </c>
      <c r="C365" s="72" t="str">
        <f t="array" ref="C365">INDEX(NPCFName,TRUNC(1+(COUNTA(NPCFName))*(TRUNC(MOD(($B365*1103515245 +12345)/ 65536, 32768),0)/32768),0))</f>
        <v>Markdoon</v>
      </c>
      <c r="D365" s="16" t="str">
        <f t="array" ref="D365">INDEX(NPCLName,TRUNC(1+(COUNTA(NPCLName))*(TRUNC(MOD(($B365*1103515245 +12345)/ 65536, 32768),0)/32768),0))</f>
        <v>Ashcloud</v>
      </c>
      <c r="E365" s="16" t="str">
        <f t="array" ref="E365">INDEX(NPCClass,TRUNC(1+(COUNTA(NPCClass))*(TRUNC(MOD(($B365*1103515245 +12345)/ 65536, 32768),0)/32768),0))</f>
        <v>Druid</v>
      </c>
      <c r="F365" s="76">
        <v>1</v>
      </c>
      <c r="G365" s="153">
        <f ca="1">VLOOKUP($AB$2,'RF Mod'!$A$2:$G$12,2,FALSE)+VLOOKUP($AD$2,'RF Mod'!$I$2:$O$11,2,FALSE)+(TRUNC(6+(24-6)*(TRUNC(MOD(($Z365*1103515245 +12345)/ 65536, 32768),0)/32768),0))</f>
        <v>5</v>
      </c>
      <c r="H365" s="16">
        <f t="shared" ca="1" si="17"/>
        <v>-3</v>
      </c>
      <c r="I365" s="153">
        <f ca="1">VLOOKUP($AB$2,'RF Mod'!$A$2:$G$12,3,FALSE)+VLOOKUP($AD$2,'RF Mod'!$I$2:$O$11,3,FALSE)+(TRUNC(6+(24-6)*(TRUNC(MOD(($Z365*1103515245 +12345)/ 65536, 32768),0)/32768),0))</f>
        <v>9</v>
      </c>
      <c r="J365" s="16">
        <f t="shared" ca="1" si="18"/>
        <v>-1</v>
      </c>
      <c r="K365" s="153">
        <f ca="1">VLOOKUP($AB$2,'RF Mod'!$A$2:$G$12,3,FALSE)+VLOOKUP($AD$2,'RF Mod'!$I$2:$O$11,3,FALSE)+(TRUNC(6+(24-6)*(TRUNC(MOD(($Z365*1103515245 +12345)/ 65536, 32768),0)/32768),0))</f>
        <v>9</v>
      </c>
      <c r="L365" s="16">
        <f t="shared" ca="1" si="19"/>
        <v>-1</v>
      </c>
      <c r="M365" s="153">
        <f ca="1">VLOOKUP($AB$2,'RF Mod'!$A$2:$G$12,4,FALSE)+VLOOKUP($AD$2,'RF Mod'!$I$2:$O$11,4,FALSE)+(TRUNC(6+(24-6)*(TRUNC(MOD(($Z365*1103515245 +12345)/ 65536, 32768),0)/32768),0))</f>
        <v>8</v>
      </c>
      <c r="N365" s="16">
        <f t="shared" ca="1" si="20"/>
        <v>-1</v>
      </c>
      <c r="O365" s="153">
        <f ca="1">VLOOKUP($AB$2,'RF Mod'!$A$2:$G$12,5,FALSE)+VLOOKUP($AD$2,'RF Mod'!$I$2:$O$11,5,FALSE)+(TRUNC(6+(24-6)*(TRUNC(MOD(($Z365*1103515245 +12345)/ 65536, 32768),0)/32768),0))</f>
        <v>11</v>
      </c>
      <c r="P365" s="16" t="e">
        <f t="shared" ca="1" si="21"/>
        <v>#NAME?</v>
      </c>
      <c r="Q365" s="153">
        <f ca="1">VLOOKUP($AB$2,'RF Mod'!$A$2:$G$12,6,FALSE)+VLOOKUP($AD$2,'RF Mod'!$I$2:$O$11,6,FALSE)+(TRUNC(6+(24-6)*(TRUNC(MOD(($Z365*1103515245 +12345)/ 65536, 32768),0)/32768),0))</f>
        <v>9</v>
      </c>
      <c r="R365" s="16">
        <f t="shared" ca="1" si="22"/>
        <v>-1</v>
      </c>
      <c r="S365" s="154">
        <f t="shared" ca="1" si="28"/>
        <v>27</v>
      </c>
      <c r="T365" s="154">
        <f t="shared" ca="1" si="23"/>
        <v>26</v>
      </c>
      <c r="U365" s="16" t="str">
        <f t="shared" ca="1" si="24"/>
        <v>Bloody</v>
      </c>
      <c r="V365" s="155">
        <f ca="1">IFERROR(__xludf.DUMMYFUNCTION("if(W365=""Middle Age"",QUERY(NPCVar!$K$2:$N1000, ""Select L where K = '""&amp;AB365&amp;""'""),if(W365=""Old"",QUERY(NPCVar!$K$2:$N1000, ""Select M where K = '""&amp;AB365&amp;""'""),if(W365=""Venerable"",QUERY(NPCVar!$K$2:$N1000, ""Select N where K = '""&amp;AB365&amp;""'""),fa"&amp;"lse)))*X365"),93.75)</f>
        <v>93.75</v>
      </c>
      <c r="W365" s="156" t="str">
        <f t="array" ref="W365">INDEX(NPCAgeType,TRUNC(1+(4-1)*(TRUNC(MOD((X365*1103515245 +12345)/ 65536, 32768),0)/32768),0))</f>
        <v>Middle Age</v>
      </c>
      <c r="X365" s="117">
        <f t="shared" si="29"/>
        <v>0.5</v>
      </c>
      <c r="Y365" s="157" t="e">
        <f t="array" aca="1" ref="Y365" ca="1">LOOKUP(ABS(MAX(Z365 + MIN(ABS(INDIRECT("Class Jobs!B"&amp;MATCH(E365,'Class Jobs'!$A$1:$A1000,0)&amp;":"&amp;"AF"&amp;MATCH(E365,'Class Jobs'!$A$1:$A1000,0)&amp;"")-$Z365)) * SUM(IF(MIN(ABS(INDIRECT("Class Jobs!B"&amp;MATCH(E365,'Class Jobs'!$A$1:$A1000,0)&amp;":"&amp;"AF"&amp;MATCH(E365,'Class Jobs'!$A$1:$A1000,0)&amp;"")-$Z365))=ABS(INDIRECT("Class Jobs!B"&amp;MATCH(E365,'Class Jobs'!$A$1:$A1000,0)&amp;":"&amp;"AF"&amp;MATCH(E365,'Class Jobs'!$A$1:$A1000,0)&amp;"")-$Z365),SIGN(INDIRECT("Class Jobs!B"&amp;MATCH(E365,'Class Jobs'!$A$1:A1000,0)&amp;":"&amp;"AF"&amp;MATCH(E365,'Class Jobs'!$A$1:$A1000,0)&amp;"")-$Z365),0)),0)),INDIRECT("Class Jobs!B"&amp;MATCH(E365,'Class Jobs'!$A$1:$A1000,0)&amp;":"&amp;"AF"&amp;MATCH(E365,'Class Jobs'!$A$1:$A1000,1)&amp;""),'Class Jobs'!$B$1:$AF$1)</f>
        <v>#REF!</v>
      </c>
      <c r="Z365" s="158">
        <f t="shared" si="25"/>
        <v>0.19</v>
      </c>
      <c r="AA365" s="16" t="str">
        <f t="array" ref="AA365">INDEX(NPCGender,TRUNC(1+(COUNTA(NPCGender))*(TRUNC(MOD(($B365*1103515245 +12345)/ 65536, 32768),0)/32768),0))</f>
        <v>Male</v>
      </c>
      <c r="AB365" s="16" t="str">
        <f t="array" ref="AB365">INDEX(NPCRace,TRUNC(1+(COUNTA(NPCRace))*(TRUNC(MOD(($B365*1103515245 +12345)/ 65536, 32768),0)/32768),0))</f>
        <v>Elf</v>
      </c>
      <c r="AC365" s="16" t="str">
        <f t="array" ref="AC365">INDEX(NPCAL,TRUNC(1+(COUNTA(NPCAL))*(TRUNC(MOD(($B365*1103515245 +12345)/ 65536, 32768),0)/32768),0))</f>
        <v>CE</v>
      </c>
      <c r="AD365" s="72" t="str">
        <f ca="1">IFERROR(__xludf.DUMMYFUNCTION("if(V365&lt;15,QUERY(NPCVar!C:D,""Select D WHERE C = '""&amp;D365&amp;""'""),if((TRUNC(1+10)*(TRUNC(MOD((ROW(H365)*1103515245 +12345)/ 65536, 32768),0)/32768)/10) &gt; 0.85,INDEX(NPCFaction,TRUNC(1+(counta(NPCFaction)-1)*(TRUNC(MOD(($B365*1103515245 +12345)/ 65536, 3276"&amp;"8),0)/32768),0)),QUERY(NPCVar!C:D,""Select D WHERE C = '""&amp;D365&amp;""'"")))"),"Magic Guild")</f>
        <v>Magic Guild</v>
      </c>
      <c r="AE365" s="108" t="e">
        <f t="shared" ca="1" si="26"/>
        <v>#NAME?</v>
      </c>
      <c r="AF365" s="159">
        <f ca="1">IFERROR(__xludf.DUMMYFUNCTION("AE365*(V365 / QUERY(NPCVar!$K$2:$N$12, ""Select N WHERE K='""&amp;AB365&amp;""'""))*TRUNC(1+10)*(TRUNC(MOD(($B365*1103515245 +12345)/ 65536, 32768),0)/32768)"),-0.0505805969238281)</f>
        <v>-5.0580596923828103E-2</v>
      </c>
      <c r="AG365" s="16"/>
      <c r="AH365" s="77"/>
      <c r="AI365" s="114"/>
    </row>
    <row r="366" spans="1:35" ht="16.2">
      <c r="A366" s="53">
        <v>365</v>
      </c>
      <c r="B366" s="118">
        <f t="shared" si="30"/>
        <v>1.8521099999999999</v>
      </c>
      <c r="C366" s="72" t="str">
        <f t="array" ref="C366">INDEX(NPCFName,TRUNC(1+(COUNTA(NPCFName))*(TRUNC(MOD(($B366*1103515245 +12345)/ 65536, 32768),0)/32768),0))</f>
        <v>Tilner</v>
      </c>
      <c r="D366" s="16" t="str">
        <f t="array" ref="D366">INDEX(NPCLName,TRUNC(1+(COUNTA(NPCLName))*(TRUNC(MOD(($B366*1103515245 +12345)/ 65536, 32768),0)/32768),0))</f>
        <v>Marblearm</v>
      </c>
      <c r="E366" s="16" t="str">
        <f t="array" ref="E366">INDEX(NPCClass,TRUNC(1+(COUNTA(NPCClass))*(TRUNC(MOD(($B366*1103515245 +12345)/ 65536, 32768),0)/32768),0))</f>
        <v>Wizard</v>
      </c>
      <c r="F366" s="76">
        <v>8</v>
      </c>
      <c r="G366" s="153">
        <f ca="1">VLOOKUP($AB$2,'RF Mod'!$A$2:$G$12,2,FALSE)+VLOOKUP($AD$2,'RF Mod'!$I$2:$O$11,2,FALSE)+(TRUNC(6+(24-6)*(TRUNC(MOD(($Z366*1103515245 +12345)/ 65536, 32768),0)/32768),0))</f>
        <v>12</v>
      </c>
      <c r="H366" s="16" t="e">
        <f t="shared" ca="1" si="17"/>
        <v>#NAME?</v>
      </c>
      <c r="I366" s="153">
        <f ca="1">VLOOKUP($AB$2,'RF Mod'!$A$2:$G$12,3,FALSE)+VLOOKUP($AD$2,'RF Mod'!$I$2:$O$11,3,FALSE)+(TRUNC(6+(24-6)*(TRUNC(MOD(($Z366*1103515245 +12345)/ 65536, 32768),0)/32768),0))</f>
        <v>16</v>
      </c>
      <c r="J366" s="16" t="e">
        <f t="shared" ca="1" si="18"/>
        <v>#NAME?</v>
      </c>
      <c r="K366" s="153">
        <f ca="1">VLOOKUP($AB$2,'RF Mod'!$A$2:$G$12,3,FALSE)+VLOOKUP($AD$2,'RF Mod'!$I$2:$O$11,3,FALSE)+(TRUNC(6+(24-6)*(TRUNC(MOD(($Z366*1103515245 +12345)/ 65536, 32768),0)/32768),0))</f>
        <v>16</v>
      </c>
      <c r="L366" s="16" t="e">
        <f t="shared" ca="1" si="19"/>
        <v>#NAME?</v>
      </c>
      <c r="M366" s="153">
        <f ca="1">VLOOKUP($AB$2,'RF Mod'!$A$2:$G$12,4,FALSE)+VLOOKUP($AD$2,'RF Mod'!$I$2:$O$11,4,FALSE)+(TRUNC(6+(24-6)*(TRUNC(MOD(($Z366*1103515245 +12345)/ 65536, 32768),0)/32768),0))</f>
        <v>15</v>
      </c>
      <c r="N366" s="16" t="e">
        <f t="shared" ca="1" si="20"/>
        <v>#NAME?</v>
      </c>
      <c r="O366" s="153">
        <f ca="1">VLOOKUP($AB$2,'RF Mod'!$A$2:$G$12,5,FALSE)+VLOOKUP($AD$2,'RF Mod'!$I$2:$O$11,5,FALSE)+(TRUNC(6+(24-6)*(TRUNC(MOD(($Z366*1103515245 +12345)/ 65536, 32768),0)/32768),0))</f>
        <v>18</v>
      </c>
      <c r="P366" s="16" t="e">
        <f t="shared" ca="1" si="21"/>
        <v>#NAME?</v>
      </c>
      <c r="Q366" s="153">
        <f ca="1">VLOOKUP($AB$2,'RF Mod'!$A$2:$G$12,6,FALSE)+VLOOKUP($AD$2,'RF Mod'!$I$2:$O$11,6,FALSE)+(TRUNC(6+(24-6)*(TRUNC(MOD(($Z366*1103515245 +12345)/ 65536, 32768),0)/32768),0))</f>
        <v>16</v>
      </c>
      <c r="R366" s="16" t="e">
        <f t="shared" ca="1" si="22"/>
        <v>#NAME?</v>
      </c>
      <c r="S366" s="154">
        <f t="shared" ca="1" si="28"/>
        <v>160</v>
      </c>
      <c r="T366" s="154">
        <f t="shared" ca="1" si="23"/>
        <v>15</v>
      </c>
      <c r="U366" s="16" t="str">
        <f t="shared" ca="1" si="24"/>
        <v>Fine</v>
      </c>
      <c r="V366" s="155">
        <f ca="1">IFERROR(__xludf.DUMMYFUNCTION("if(W366=""Middle Age"",QUERY(NPCVar!$K$2:$N1000, ""Select L where K = '""&amp;AB366&amp;""'""),if(W366=""Old"",QUERY(NPCVar!$K$2:$N1000, ""Select M where K = '""&amp;AB366&amp;""'""),if(W366=""Venerable"",QUERY(NPCVar!$K$2:$N1000, ""Select N where K = '""&amp;AB366&amp;""'""),fa"&amp;"lse)))*X366"),69)</f>
        <v>69</v>
      </c>
      <c r="W366" s="156" t="str">
        <f t="array" ref="W366">INDEX(NPCAgeType,TRUNC(1+(4-1)*(TRUNC(MOD((X366*1103515245 +12345)/ 65536, 32768),0)/32768),0))</f>
        <v>Middle Age</v>
      </c>
      <c r="X366" s="117">
        <f t="shared" si="29"/>
        <v>2.2999999999999998</v>
      </c>
      <c r="Y366" s="157" t="e">
        <f t="array" aca="1" ref="Y366" ca="1">LOOKUP(ABS(MAX(Z366 + MIN(ABS(INDIRECT("Class Jobs!B"&amp;MATCH(E366,'Class Jobs'!$A$1:$A1000,0)&amp;":"&amp;"AF"&amp;MATCH(E366,'Class Jobs'!$A$1:$A1000,0)&amp;"")-$Z366)) * SUM(IF(MIN(ABS(INDIRECT("Class Jobs!B"&amp;MATCH(E366,'Class Jobs'!$A$1:$A1000,0)&amp;":"&amp;"AF"&amp;MATCH(E366,'Class Jobs'!$A$1:$A1000,0)&amp;"")-$Z366))=ABS(INDIRECT("Class Jobs!B"&amp;MATCH(E366,'Class Jobs'!$A$1:$A1000,0)&amp;":"&amp;"AF"&amp;MATCH(E366,'Class Jobs'!$A$1:$A1000,0)&amp;"")-$Z366),SIGN(INDIRECT("Class Jobs!B"&amp;MATCH(E366,'Class Jobs'!$A$1:A1000,0)&amp;":"&amp;"AF"&amp;MATCH(E366,'Class Jobs'!$A$1:$A1000,0)&amp;"")-$Z366),0)),0)),INDIRECT("Class Jobs!B"&amp;MATCH(E366,'Class Jobs'!$A$1:$A1000,0)&amp;":"&amp;"AF"&amp;MATCH(E366,'Class Jobs'!$A$1:$A1000,1)&amp;""),'Class Jobs'!$B$1:$AF$1)</f>
        <v>#REF!</v>
      </c>
      <c r="Z366" s="158">
        <f t="shared" si="25"/>
        <v>0.95</v>
      </c>
      <c r="AA366" s="16" t="str">
        <f t="array" ref="AA366">INDEX(NPCGender,TRUNC(1+(COUNTA(NPCGender))*(TRUNC(MOD(($B366*1103515245 +12345)/ 65536, 32768),0)/32768),0))</f>
        <v>Neutral</v>
      </c>
      <c r="AB366" s="16" t="str">
        <f t="array" ref="AB366">INDEX(NPCRace,TRUNC(1+(COUNTA(NPCRace))*(TRUNC(MOD(($B366*1103515245 +12345)/ 65536, 32768),0)/32768),0))</f>
        <v>Goliath</v>
      </c>
      <c r="AC366" s="16" t="str">
        <f t="array" ref="AC366">INDEX(NPCAL,TRUNC(1+(COUNTA(NPCAL))*(TRUNC(MOD(($B366*1103515245 +12345)/ 65536, 32768),0)/32768),0))</f>
        <v>LE</v>
      </c>
      <c r="AD366" s="72" t="str">
        <f ca="1">IFERROR(__xludf.DUMMYFUNCTION("if(V366&lt;15,QUERY(NPCVar!C:D,""Select D WHERE C = '""&amp;D366&amp;""'""),if((TRUNC(1+10)*(TRUNC(MOD((ROW(H366)*1103515245 +12345)/ 65536, 32768),0)/32768)/10) &gt; 0.85,INDEX(NPCFaction,TRUNC(1+(counta(NPCFaction)-1)*(TRUNC(MOD(($B366*1103515245 +12345)/ 65536, 3276"&amp;"8),0)/32768),0)),QUERY(NPCVar!C:D,""Select D WHERE C = '""&amp;D366&amp;""'"")))"),"Thieves Guild")</f>
        <v>Thieves Guild</v>
      </c>
      <c r="AE366" s="108" t="e">
        <f t="shared" ca="1" si="26"/>
        <v>#NAME?</v>
      </c>
      <c r="AF366" s="159">
        <f ca="1">IFERROR(__xludf.DUMMYFUNCTION("AE366*(V366 / QUERY(NPCVar!$K$2:$N$12, ""Select N WHERE K='""&amp;AB366&amp;""'""))*TRUNC(1+10)*(TRUNC(MOD(($B366*1103515245 +12345)/ 65536, 32768),0)/32768)"),4.21374557495117)</f>
        <v>4.2137455749511696</v>
      </c>
      <c r="AG366" s="16"/>
      <c r="AH366" s="77"/>
      <c r="AI366" s="114"/>
    </row>
    <row r="367" spans="1:35" ht="16.2">
      <c r="A367" s="53">
        <v>366</v>
      </c>
      <c r="B367" s="118">
        <f t="shared" si="30"/>
        <v>0.84624999999999995</v>
      </c>
      <c r="C367" s="72" t="str">
        <f t="array" ref="C367">INDEX(NPCFName,TRUNC(1+(COUNTA(NPCFName))*(TRUNC(MOD(($B367*1103515245 +12345)/ 65536, 32768),0)/32768),0))</f>
        <v>Etmere</v>
      </c>
      <c r="D367" s="16" t="str">
        <f t="array" ref="D367">INDEX(NPCLName,TRUNC(1+(COUNTA(NPCLName))*(TRUNC(MOD(($B367*1103515245 +12345)/ 65536, 32768),0)/32768),0))</f>
        <v>Saurflame</v>
      </c>
      <c r="E367" s="16" t="str">
        <f t="array" ref="E367">INDEX(NPCClass,TRUNC(1+(COUNTA(NPCClass))*(TRUNC(MOD(($B367*1103515245 +12345)/ 65536, 32768),0)/32768),0))</f>
        <v>Ranger</v>
      </c>
      <c r="F367" s="76">
        <v>8</v>
      </c>
      <c r="G367" s="153">
        <f ca="1">VLOOKUP($AB$2,'RF Mod'!$A$2:$G$12,2,FALSE)+VLOOKUP($AD$2,'RF Mod'!$I$2:$O$11,2,FALSE)+(TRUNC(6+(24-6)*(TRUNC(MOD(($Z367*1103515245 +12345)/ 65536, 32768),0)/32768),0))</f>
        <v>8</v>
      </c>
      <c r="H367" s="16">
        <f t="shared" ca="1" si="17"/>
        <v>-1</v>
      </c>
      <c r="I367" s="153">
        <f ca="1">VLOOKUP($AB$2,'RF Mod'!$A$2:$G$12,3,FALSE)+VLOOKUP($AD$2,'RF Mod'!$I$2:$O$11,3,FALSE)+(TRUNC(6+(24-6)*(TRUNC(MOD(($Z367*1103515245 +12345)/ 65536, 32768),0)/32768),0))</f>
        <v>12</v>
      </c>
      <c r="J367" s="16" t="e">
        <f t="shared" ca="1" si="18"/>
        <v>#NAME?</v>
      </c>
      <c r="K367" s="153">
        <f ca="1">VLOOKUP($AB$2,'RF Mod'!$A$2:$G$12,3,FALSE)+VLOOKUP($AD$2,'RF Mod'!$I$2:$O$11,3,FALSE)+(TRUNC(6+(24-6)*(TRUNC(MOD(($Z367*1103515245 +12345)/ 65536, 32768),0)/32768),0))</f>
        <v>12</v>
      </c>
      <c r="L367" s="16" t="e">
        <f t="shared" ca="1" si="19"/>
        <v>#NAME?</v>
      </c>
      <c r="M367" s="153">
        <f ca="1">VLOOKUP($AB$2,'RF Mod'!$A$2:$G$12,4,FALSE)+VLOOKUP($AD$2,'RF Mod'!$I$2:$O$11,4,FALSE)+(TRUNC(6+(24-6)*(TRUNC(MOD(($Z367*1103515245 +12345)/ 65536, 32768),0)/32768),0))</f>
        <v>11</v>
      </c>
      <c r="N367" s="16" t="e">
        <f t="shared" ca="1" si="20"/>
        <v>#NAME?</v>
      </c>
      <c r="O367" s="153">
        <f ca="1">VLOOKUP($AB$2,'RF Mod'!$A$2:$G$12,5,FALSE)+VLOOKUP($AD$2,'RF Mod'!$I$2:$O$11,5,FALSE)+(TRUNC(6+(24-6)*(TRUNC(MOD(($Z367*1103515245 +12345)/ 65536, 32768),0)/32768),0))</f>
        <v>14</v>
      </c>
      <c r="P367" s="16" t="e">
        <f t="shared" ca="1" si="21"/>
        <v>#NAME?</v>
      </c>
      <c r="Q367" s="153">
        <f ca="1">VLOOKUP($AB$2,'RF Mod'!$A$2:$G$12,6,FALSE)+VLOOKUP($AD$2,'RF Mod'!$I$2:$O$11,6,FALSE)+(TRUNC(6+(24-6)*(TRUNC(MOD(($Z367*1103515245 +12345)/ 65536, 32768),0)/32768),0))</f>
        <v>12</v>
      </c>
      <c r="R367" s="16" t="e">
        <f t="shared" ca="1" si="22"/>
        <v>#NAME?</v>
      </c>
      <c r="S367" s="154">
        <f t="shared" ca="1" si="28"/>
        <v>128</v>
      </c>
      <c r="T367" s="154">
        <f t="shared" ca="1" si="23"/>
        <v>91</v>
      </c>
      <c r="U367" s="16" t="str">
        <f t="shared" ca="1" si="24"/>
        <v>Bloody</v>
      </c>
      <c r="V367" s="155">
        <f ca="1">IFERROR(__xludf.DUMMYFUNCTION("if(W367=""Middle Age"",QUERY(NPCVar!$K$2:$N1000, ""Select L where K = '""&amp;AB367&amp;""'""),if(W367=""Old"",QUERY(NPCVar!$K$2:$N1000, ""Select M where K = '""&amp;AB367&amp;""'""),if(W367=""Venerable"",QUERY(NPCVar!$K$2:$N1000, ""Select N where K = '""&amp;AB367&amp;""'""),fa"&amp;"lse)))*X367"),74.25)</f>
        <v>74.25</v>
      </c>
      <c r="W367" s="156" t="str">
        <f t="array" ref="W367">INDEX(NPCAgeType,TRUNC(1+(4-1)*(TRUNC(MOD((X367*1103515245 +12345)/ 65536, 32768),0)/32768),0))</f>
        <v>Old</v>
      </c>
      <c r="X367" s="117">
        <f t="shared" si="29"/>
        <v>1.1000000000000001</v>
      </c>
      <c r="Y367" s="157" t="e">
        <f t="array" aca="1" ref="Y367" ca="1">LOOKUP(ABS(MAX(Z367 + MIN(ABS(INDIRECT("Class Jobs!B"&amp;MATCH(E367,'Class Jobs'!$A$1:$A1000,0)&amp;":"&amp;"AF"&amp;MATCH(E367,'Class Jobs'!$A$1:$A1000,0)&amp;"")-$Z367)) * SUM(IF(MIN(ABS(INDIRECT("Class Jobs!B"&amp;MATCH(E367,'Class Jobs'!$A$1:$A1000,0)&amp;":"&amp;"AF"&amp;MATCH(E367,'Class Jobs'!$A$1:$A1000,0)&amp;"")-$Z367))=ABS(INDIRECT("Class Jobs!B"&amp;MATCH(E367,'Class Jobs'!$A$1:$A1000,0)&amp;":"&amp;"AF"&amp;MATCH(E367,'Class Jobs'!$A$1:$A1000,0)&amp;"")-$Z367),SIGN(INDIRECT("Class Jobs!B"&amp;MATCH(E367,'Class Jobs'!$A$1:A1000,0)&amp;":"&amp;"AF"&amp;MATCH(E367,'Class Jobs'!$A$1:$A1000,0)&amp;"")-$Z367),0)),0)),INDIRECT("Class Jobs!B"&amp;MATCH(E367,'Class Jobs'!$A$1:$A1000,0)&amp;":"&amp;"AF"&amp;MATCH(E367,'Class Jobs'!$A$1:$A1000,1)&amp;""),'Class Jobs'!$B$1:$AF$1)</f>
        <v>#REF!</v>
      </c>
      <c r="Z367" s="158">
        <f t="shared" si="25"/>
        <v>0.44</v>
      </c>
      <c r="AA367" s="16" t="str">
        <f t="array" ref="AA367">INDEX(NPCGender,TRUNC(1+(COUNTA(NPCGender))*(TRUNC(MOD(($B367*1103515245 +12345)/ 65536, 32768),0)/32768),0))</f>
        <v>Female</v>
      </c>
      <c r="AB367" s="16" t="str">
        <f t="array" ref="AB367">INDEX(NPCRace,TRUNC(1+(COUNTA(NPCRace))*(TRUNC(MOD(($B367*1103515245 +12345)/ 65536, 32768),0)/32768),0))</f>
        <v>Half-Elf</v>
      </c>
      <c r="AC367" s="16" t="str">
        <f t="array" ref="AC367">INDEX(NPCAL,TRUNC(1+(COUNTA(NPCAL))*(TRUNC(MOD(($B367*1103515245 +12345)/ 65536, 32768),0)/32768),0))</f>
        <v>NG</v>
      </c>
      <c r="AD367" s="72" t="str">
        <f ca="1">IFERROR(__xludf.DUMMYFUNCTION("if(V367&lt;15,QUERY(NPCVar!C:D,""Select D WHERE C = '""&amp;D367&amp;""'""),if((TRUNC(1+10)*(TRUNC(MOD((ROW(H367)*1103515245 +12345)/ 65536, 32768),0)/32768)/10) &gt; 0.85,INDEX(NPCFaction,TRUNC(1+(counta(NPCFaction)-1)*(TRUNC(MOD(($B367*1103515245 +12345)/ 65536, 3276"&amp;"8),0)/32768),0)),QUERY(NPCVar!C:D,""Select D WHERE C = '""&amp;D367&amp;""'"")))"),"Farmers Guild")</f>
        <v>Farmers Guild</v>
      </c>
      <c r="AE367" s="108" t="e">
        <f t="shared" ca="1" si="26"/>
        <v>#NAME?</v>
      </c>
      <c r="AF367" s="159">
        <f ca="1">IFERROR(__xludf.DUMMYFUNCTION("AE367*(V367 / QUERY(NPCVar!$K$2:$N$12, ""Select N WHERE K='""&amp;AB367&amp;""'""))*TRUNC(1+10)*(TRUNC(MOD(($B367*1103515245 +12345)/ 65536, 32768),0)/32768)"),0.394621810913085)</f>
        <v>0.39462181091308501</v>
      </c>
      <c r="AG367" s="16"/>
      <c r="AH367" s="77"/>
      <c r="AI367" s="114"/>
    </row>
    <row r="368" spans="1:35" ht="16.2">
      <c r="A368" s="53">
        <v>367</v>
      </c>
      <c r="B368" s="118">
        <f t="shared" si="30"/>
        <v>2.3403900000000002</v>
      </c>
      <c r="C368" s="72" t="str">
        <f t="array" ref="C368">INDEX(NPCFName,TRUNC(1+(COUNTA(NPCFName))*(TRUNC(MOD(($B368*1103515245 +12345)/ 65536, 32768),0)/32768),0))</f>
        <v>Nadeer</v>
      </c>
      <c r="D368" s="16" t="str">
        <f t="array" ref="D368">INDEX(NPCLName,TRUNC(1+(COUNTA(NPCLName))*(TRUNC(MOD(($B368*1103515245 +12345)/ 65536, 32768),0)/32768),0))</f>
        <v>Stillsun</v>
      </c>
      <c r="E368" s="16" t="str">
        <f t="array" ref="E368">INDEX(NPCClass,TRUNC(1+(COUNTA(NPCClass))*(TRUNC(MOD(($B368*1103515245 +12345)/ 65536, 32768),0)/32768),0))</f>
        <v>Druid</v>
      </c>
      <c r="F368" s="76">
        <v>1</v>
      </c>
      <c r="G368" s="153">
        <f ca="1">VLOOKUP($AB$2,'RF Mod'!$A$2:$G$12,2,FALSE)+VLOOKUP($AD$2,'RF Mod'!$I$2:$O$11,2,FALSE)+(TRUNC(6+(24-6)*(TRUNC(MOD(($Z368*1103515245 +12345)/ 65536, 32768),0)/32768),0))</f>
        <v>5</v>
      </c>
      <c r="H368" s="16">
        <f t="shared" ca="1" si="17"/>
        <v>-3</v>
      </c>
      <c r="I368" s="153">
        <f ca="1">VLOOKUP($AB$2,'RF Mod'!$A$2:$G$12,3,FALSE)+VLOOKUP($AD$2,'RF Mod'!$I$2:$O$11,3,FALSE)+(TRUNC(6+(24-6)*(TRUNC(MOD(($Z368*1103515245 +12345)/ 65536, 32768),0)/32768),0))</f>
        <v>9</v>
      </c>
      <c r="J368" s="16">
        <f t="shared" ca="1" si="18"/>
        <v>-1</v>
      </c>
      <c r="K368" s="153">
        <f ca="1">VLOOKUP($AB$2,'RF Mod'!$A$2:$G$12,3,FALSE)+VLOOKUP($AD$2,'RF Mod'!$I$2:$O$11,3,FALSE)+(TRUNC(6+(24-6)*(TRUNC(MOD(($Z368*1103515245 +12345)/ 65536, 32768),0)/32768),0))</f>
        <v>9</v>
      </c>
      <c r="L368" s="16">
        <f t="shared" ca="1" si="19"/>
        <v>-1</v>
      </c>
      <c r="M368" s="153">
        <f ca="1">VLOOKUP($AB$2,'RF Mod'!$A$2:$G$12,4,FALSE)+VLOOKUP($AD$2,'RF Mod'!$I$2:$O$11,4,FALSE)+(TRUNC(6+(24-6)*(TRUNC(MOD(($Z368*1103515245 +12345)/ 65536, 32768),0)/32768),0))</f>
        <v>8</v>
      </c>
      <c r="N368" s="16">
        <f t="shared" ca="1" si="20"/>
        <v>-1</v>
      </c>
      <c r="O368" s="153">
        <f ca="1">VLOOKUP($AB$2,'RF Mod'!$A$2:$G$12,5,FALSE)+VLOOKUP($AD$2,'RF Mod'!$I$2:$O$11,5,FALSE)+(TRUNC(6+(24-6)*(TRUNC(MOD(($Z368*1103515245 +12345)/ 65536, 32768),0)/32768),0))</f>
        <v>11</v>
      </c>
      <c r="P368" s="16" t="e">
        <f t="shared" ca="1" si="21"/>
        <v>#NAME?</v>
      </c>
      <c r="Q368" s="153">
        <f ca="1">VLOOKUP($AB$2,'RF Mod'!$A$2:$G$12,6,FALSE)+VLOOKUP($AD$2,'RF Mod'!$I$2:$O$11,6,FALSE)+(TRUNC(6+(24-6)*(TRUNC(MOD(($Z368*1103515245 +12345)/ 65536, 32768),0)/32768),0))</f>
        <v>9</v>
      </c>
      <c r="R368" s="16">
        <f t="shared" ca="1" si="22"/>
        <v>-1</v>
      </c>
      <c r="S368" s="154">
        <f t="shared" ca="1" si="28"/>
        <v>11</v>
      </c>
      <c r="T368" s="154">
        <f t="shared" ca="1" si="23"/>
        <v>1</v>
      </c>
      <c r="U368" s="16" t="str">
        <f t="shared" ca="1" si="24"/>
        <v>Fine</v>
      </c>
      <c r="V368" s="155">
        <f ca="1">IFERROR(__xludf.DUMMYFUNCTION("if(W368=""Middle Age"",QUERY(NPCVar!$K$2:$N1000, ""Select L where K = '""&amp;AB368&amp;""'""),if(W368=""Old"",QUERY(NPCVar!$K$2:$N1000, ""Select M where K = '""&amp;AB368&amp;""'""),if(W368=""Venerable"",QUERY(NPCVar!$K$2:$N1000, ""Select N where K = '""&amp;AB368&amp;""'""),fa"&amp;"lse)))*X368"),93.75)</f>
        <v>93.75</v>
      </c>
      <c r="W368" s="156" t="str">
        <f t="array" ref="W368">INDEX(NPCAgeType,TRUNC(1+(4-1)*(TRUNC(MOD((X368*1103515245 +12345)/ 65536, 32768),0)/32768),0))</f>
        <v>Middle Age</v>
      </c>
      <c r="X368" s="117">
        <f t="shared" si="29"/>
        <v>0.5</v>
      </c>
      <c r="Y368" s="157" t="e">
        <f t="array" aca="1" ref="Y368" ca="1">LOOKUP(ABS(MAX(Z368 + MIN(ABS(INDIRECT("Class Jobs!B"&amp;MATCH(E368,'Class Jobs'!$A$1:$A1000,0)&amp;":"&amp;"AF"&amp;MATCH(E368,'Class Jobs'!$A$1:$A1000,0)&amp;"")-$Z368)) * SUM(IF(MIN(ABS(INDIRECT("Class Jobs!B"&amp;MATCH(E368,'Class Jobs'!$A$1:$A1000,0)&amp;":"&amp;"AF"&amp;MATCH(E368,'Class Jobs'!$A$1:$A1000,0)&amp;"")-$Z368))=ABS(INDIRECT("Class Jobs!B"&amp;MATCH(E368,'Class Jobs'!$A$1:$A1000,0)&amp;":"&amp;"AF"&amp;MATCH(E368,'Class Jobs'!$A$1:$A1000,0)&amp;"")-$Z368),SIGN(INDIRECT("Class Jobs!B"&amp;MATCH(E368,'Class Jobs'!$A$1:A1000,0)&amp;":"&amp;"AF"&amp;MATCH(E368,'Class Jobs'!$A$1:$A1000,0)&amp;"")-$Z368),0)),0)),INDIRECT("Class Jobs!B"&amp;MATCH(E368,'Class Jobs'!$A$1:$A1000,0)&amp;":"&amp;"AF"&amp;MATCH(E368,'Class Jobs'!$A$1:$A1000,1)&amp;""),'Class Jobs'!$B$1:$AF$1)</f>
        <v>#REF!</v>
      </c>
      <c r="Z368" s="158">
        <f t="shared" si="25"/>
        <v>0.21</v>
      </c>
      <c r="AA368" s="16" t="str">
        <f t="array" ref="AA368">INDEX(NPCGender,TRUNC(1+(COUNTA(NPCGender))*(TRUNC(MOD(($B368*1103515245 +12345)/ 65536, 32768),0)/32768),0))</f>
        <v>Male</v>
      </c>
      <c r="AB368" s="16" t="str">
        <f t="array" ref="AB368">INDEX(NPCRace,TRUNC(1+(COUNTA(NPCRace))*(TRUNC(MOD(($B368*1103515245 +12345)/ 65536, 32768),0)/32768),0))</f>
        <v>Elf</v>
      </c>
      <c r="AC368" s="16" t="str">
        <f t="array" ref="AC368">INDEX(NPCAL,TRUNC(1+(COUNTA(NPCAL))*(TRUNC(MOD(($B368*1103515245 +12345)/ 65536, 32768),0)/32768),0))</f>
        <v>CE</v>
      </c>
      <c r="AD368" s="72" t="str">
        <f ca="1">IFERROR(__xludf.DUMMYFUNCTION("if(V368&lt;15,QUERY(NPCVar!C:D,""Select D WHERE C = '""&amp;D368&amp;""'""),if((TRUNC(1+10)*(TRUNC(MOD((ROW(H368)*1103515245 +12345)/ 65536, 32768),0)/32768)/10) &gt; 0.85,INDEX(NPCFaction,TRUNC(1+(counta(NPCFaction)-1)*(TRUNC(MOD(($B368*1103515245 +12345)/ 65536, 3276"&amp;"8),0)/32768),0)),QUERY(NPCVar!C:D,""Select D WHERE C = '""&amp;D368&amp;""'"")))"),"Necromancer")</f>
        <v>Necromancer</v>
      </c>
      <c r="AE368" s="108" t="e">
        <f t="shared" ca="1" si="26"/>
        <v>#NAME?</v>
      </c>
      <c r="AF368" s="159">
        <f ca="1">IFERROR(__xludf.DUMMYFUNCTION("AE368*(V368 / QUERY(NPCVar!$K$2:$N$12, ""Select N WHERE K='""&amp;AB368&amp;""'""))*TRUNC(1+10)*(TRUNC(MOD(($B368*1103515245 +12345)/ 65536, 32768),0)/32768)"),0.083587646484375)</f>
        <v>8.3587646484375E-2</v>
      </c>
      <c r="AG368" s="16"/>
      <c r="AH368" s="77"/>
      <c r="AI368" s="114"/>
    </row>
    <row r="369" spans="1:35" ht="16.2">
      <c r="A369" s="53">
        <v>368</v>
      </c>
      <c r="B369" s="118">
        <f t="shared" si="30"/>
        <v>1.33446</v>
      </c>
      <c r="C369" s="72" t="str">
        <f t="array" ref="C369">INDEX(NPCFName,TRUNC(1+(COUNTA(NPCFName))*(TRUNC(MOD(($B369*1103515245 +12345)/ 65536, 32768),0)/32768),0))</f>
        <v>Auchfor</v>
      </c>
      <c r="D369" s="16" t="str">
        <f t="array" ref="D369">INDEX(NPCLName,TRUNC(1+(COUNTA(NPCLName))*(TRUNC(MOD(($B369*1103515245 +12345)/ 65536, 32768),0)/32768),0))</f>
        <v>Emberhell</v>
      </c>
      <c r="E369" s="16" t="str">
        <f t="array" ref="E369">INDEX(NPCClass,TRUNC(1+(COUNTA(NPCClass))*(TRUNC(MOD(($B369*1103515245 +12345)/ 65536, 32768),0)/32768),0))</f>
        <v>None</v>
      </c>
      <c r="F369" s="76">
        <v>8</v>
      </c>
      <c r="G369" s="153">
        <f ca="1">VLOOKUP($AB$2,'RF Mod'!$A$2:$G$12,2,FALSE)+VLOOKUP($AD$2,'RF Mod'!$I$2:$O$11,2,FALSE)+(TRUNC(6+(24-6)*(TRUNC(MOD(($Z369*1103515245 +12345)/ 65536, 32768),0)/32768),0))</f>
        <v>10</v>
      </c>
      <c r="H369" s="16" t="e">
        <f t="shared" ca="1" si="17"/>
        <v>#NAME?</v>
      </c>
      <c r="I369" s="153">
        <f ca="1">VLOOKUP($AB$2,'RF Mod'!$A$2:$G$12,3,FALSE)+VLOOKUP($AD$2,'RF Mod'!$I$2:$O$11,3,FALSE)+(TRUNC(6+(24-6)*(TRUNC(MOD(($Z369*1103515245 +12345)/ 65536, 32768),0)/32768),0))</f>
        <v>14</v>
      </c>
      <c r="J369" s="16" t="e">
        <f t="shared" ca="1" si="18"/>
        <v>#NAME?</v>
      </c>
      <c r="K369" s="153">
        <f ca="1">VLOOKUP($AB$2,'RF Mod'!$A$2:$G$12,3,FALSE)+VLOOKUP($AD$2,'RF Mod'!$I$2:$O$11,3,FALSE)+(TRUNC(6+(24-6)*(TRUNC(MOD(($Z369*1103515245 +12345)/ 65536, 32768),0)/32768),0))</f>
        <v>14</v>
      </c>
      <c r="L369" s="16" t="e">
        <f t="shared" ca="1" si="19"/>
        <v>#NAME?</v>
      </c>
      <c r="M369" s="153">
        <f ca="1">VLOOKUP($AB$2,'RF Mod'!$A$2:$G$12,4,FALSE)+VLOOKUP($AD$2,'RF Mod'!$I$2:$O$11,4,FALSE)+(TRUNC(6+(24-6)*(TRUNC(MOD(($Z369*1103515245 +12345)/ 65536, 32768),0)/32768),0))</f>
        <v>13</v>
      </c>
      <c r="N369" s="16" t="e">
        <f t="shared" ca="1" si="20"/>
        <v>#NAME?</v>
      </c>
      <c r="O369" s="153">
        <f ca="1">VLOOKUP($AB$2,'RF Mod'!$A$2:$G$12,5,FALSE)+VLOOKUP($AD$2,'RF Mod'!$I$2:$O$11,5,FALSE)+(TRUNC(6+(24-6)*(TRUNC(MOD(($Z369*1103515245 +12345)/ 65536, 32768),0)/32768),0))</f>
        <v>16</v>
      </c>
      <c r="P369" s="16" t="e">
        <f t="shared" ca="1" si="21"/>
        <v>#NAME?</v>
      </c>
      <c r="Q369" s="153">
        <f ca="1">VLOOKUP($AB$2,'RF Mod'!$A$2:$G$12,6,FALSE)+VLOOKUP($AD$2,'RF Mod'!$I$2:$O$11,6,FALSE)+(TRUNC(6+(24-6)*(TRUNC(MOD(($Z369*1103515245 +12345)/ 65536, 32768),0)/32768),0))</f>
        <v>14</v>
      </c>
      <c r="R369" s="16" t="e">
        <f t="shared" ca="1" si="22"/>
        <v>#NAME?</v>
      </c>
      <c r="S369" s="154">
        <f t="shared" ca="1" si="28"/>
        <v>160</v>
      </c>
      <c r="T369" s="154">
        <f t="shared" ca="1" si="23"/>
        <v>129</v>
      </c>
      <c r="U369" s="16" t="str">
        <f t="shared" ca="1" si="24"/>
        <v>Bloody</v>
      </c>
      <c r="V369" s="155">
        <f ca="1">IFERROR(__xludf.DUMMYFUNCTION("if(W369=""Middle Age"",QUERY(NPCVar!$K$2:$N1000, ""Select L where K = '""&amp;AB369&amp;""'""),if(W369=""Old"",QUERY(NPCVar!$K$2:$N1000, ""Select M where K = '""&amp;AB369&amp;""'""),if(W369=""Venerable"",QUERY(NPCVar!$K$2:$N1000, ""Select N where K = '""&amp;AB369&amp;""'""),fa"&amp;"lse)))*X369"),153)</f>
        <v>153</v>
      </c>
      <c r="W369" s="156" t="str">
        <f t="array" ref="W369">INDEX(NPCAgeType,TRUNC(1+(4-1)*(TRUNC(MOD((X369*1103515245 +12345)/ 65536, 32768),0)/32768),0))</f>
        <v>Venerable</v>
      </c>
      <c r="X369" s="117">
        <f t="shared" si="29"/>
        <v>1.7</v>
      </c>
      <c r="Y369" s="157" t="e">
        <f t="array" aca="1" ref="Y369" ca="1">LOOKUP(ABS(MAX(Z369 + MIN(ABS(INDIRECT("Class Jobs!B"&amp;MATCH(E369,'Class Jobs'!$A$1:$A1000,0)&amp;":"&amp;"AF"&amp;MATCH(E369,'Class Jobs'!$A$1:$A1000,0)&amp;"")-$Z369)) * SUM(IF(MIN(ABS(INDIRECT("Class Jobs!B"&amp;MATCH(E369,'Class Jobs'!$A$1:$A1000,0)&amp;":"&amp;"AF"&amp;MATCH(E369,'Class Jobs'!$A$1:$A1000,0)&amp;"")-$Z369))=ABS(INDIRECT("Class Jobs!B"&amp;MATCH(E369,'Class Jobs'!$A$1:$A1000,0)&amp;":"&amp;"AF"&amp;MATCH(E369,'Class Jobs'!$A$1:$A1000,0)&amp;"")-$Z369),SIGN(INDIRECT("Class Jobs!B"&amp;MATCH(E369,'Class Jobs'!$A$1:A1000,0)&amp;":"&amp;"AF"&amp;MATCH(E369,'Class Jobs'!$A$1:$A1000,0)&amp;"")-$Z369),0)),0)),INDIRECT("Class Jobs!B"&amp;MATCH(E369,'Class Jobs'!$A$1:$A1000,0)&amp;":"&amp;"AF"&amp;MATCH(E369,'Class Jobs'!$A$1:$A1000,1)&amp;""),'Class Jobs'!$B$1:$AF$1)</f>
        <v>#REF!</v>
      </c>
      <c r="Z369" s="158">
        <f t="shared" si="25"/>
        <v>0.68</v>
      </c>
      <c r="AA369" s="16" t="str">
        <f t="array" ref="AA369">INDEX(NPCGender,TRUNC(1+(COUNTA(NPCGender))*(TRUNC(MOD(($B369*1103515245 +12345)/ 65536, 32768),0)/32768),0))</f>
        <v>Neutral</v>
      </c>
      <c r="AB369" s="16" t="str">
        <f t="array" ref="AB369">INDEX(NPCRace,TRUNC(1+(COUNTA(NPCRace))*(TRUNC(MOD(($B369*1103515245 +12345)/ 65536, 32768),0)/32768),0))</f>
        <v>Human</v>
      </c>
      <c r="AC369" s="16" t="str">
        <f t="array" ref="AC369">INDEX(NPCAL,TRUNC(1+(COUNTA(NPCAL))*(TRUNC(MOD(($B369*1103515245 +12345)/ 65536, 32768),0)/32768),0))</f>
        <v>LG</v>
      </c>
      <c r="AD369" s="72" t="str">
        <f ca="1">IFERROR(__xludf.DUMMYFUNCTION("if(V369&lt;15,QUERY(NPCVar!C:D,""Select D WHERE C = '""&amp;D369&amp;""'""),if((TRUNC(1+10)*(TRUNC(MOD((ROW(H369)*1103515245 +12345)/ 65536, 32768),0)/32768)/10) &gt; 0.85,INDEX(NPCFaction,TRUNC(1+(counta(NPCFaction)-1)*(TRUNC(MOD(($B369*1103515245 +12345)/ 65536, 3276"&amp;"8),0)/32768),0)),QUERY(NPCVar!C:D,""Select D WHERE C = '""&amp;D369&amp;""'"")))"),"Adventures Guild")</f>
        <v>Adventures Guild</v>
      </c>
      <c r="AE369" s="108" t="e">
        <f t="shared" ca="1" si="26"/>
        <v>#NAME?</v>
      </c>
      <c r="AF369" s="159">
        <f ca="1">IFERROR(__xludf.DUMMYFUNCTION("AE369*(V369 / QUERY(NPCVar!$K$2:$N$12, ""Select N WHERE K='""&amp;AB369&amp;""'""))*TRUNC(1+10)*(TRUNC(MOD(($B369*1103515245 +12345)/ 65536, 32768),0)/32768)"),2.56463012695312)</f>
        <v>2.5646301269531202</v>
      </c>
      <c r="AG369" s="16"/>
      <c r="AH369" s="77"/>
      <c r="AI369" s="114"/>
    </row>
    <row r="370" spans="1:35" ht="16.2">
      <c r="A370" s="53">
        <v>369</v>
      </c>
      <c r="B370" s="118">
        <f t="shared" si="30"/>
        <v>0.3286</v>
      </c>
      <c r="C370" s="72" t="str">
        <f t="array" ref="C370">INDEX(NPCFName,TRUNC(1+(COUNTA(NPCFName))*(TRUNC(MOD(($B370*1103515245 +12345)/ 65536, 32768),0)/32768),0))</f>
        <v>Lackus</v>
      </c>
      <c r="D370" s="16" t="str">
        <f t="array" ref="D370">INDEX(NPCLName,TRUNC(1+(COUNTA(NPCLName))*(TRUNC(MOD(($B370*1103515245 +12345)/ 65536, 32768),0)/32768),0))</f>
        <v>Ashcloud</v>
      </c>
      <c r="E370" s="16" t="str">
        <f t="array" ref="E370">INDEX(NPCClass,TRUNC(1+(COUNTA(NPCClass))*(TRUNC(MOD(($B370*1103515245 +12345)/ 65536, 32768),0)/32768),0))</f>
        <v>Druid</v>
      </c>
      <c r="F370" s="76">
        <v>1</v>
      </c>
      <c r="G370" s="153">
        <f ca="1">VLOOKUP($AB$2,'RF Mod'!$A$2:$G$12,2,FALSE)+VLOOKUP($AD$2,'RF Mod'!$I$2:$O$11,2,FALSE)+(TRUNC(6+(24-6)*(TRUNC(MOD(($Z370*1103515245 +12345)/ 65536, 32768),0)/32768),0))</f>
        <v>5</v>
      </c>
      <c r="H370" s="16">
        <f t="shared" ca="1" si="17"/>
        <v>-3</v>
      </c>
      <c r="I370" s="153">
        <f ca="1">VLOOKUP($AB$2,'RF Mod'!$A$2:$G$12,3,FALSE)+VLOOKUP($AD$2,'RF Mod'!$I$2:$O$11,3,FALSE)+(TRUNC(6+(24-6)*(TRUNC(MOD(($Z370*1103515245 +12345)/ 65536, 32768),0)/32768),0))</f>
        <v>9</v>
      </c>
      <c r="J370" s="16">
        <f t="shared" ca="1" si="18"/>
        <v>-1</v>
      </c>
      <c r="K370" s="153">
        <f ca="1">VLOOKUP($AB$2,'RF Mod'!$A$2:$G$12,3,FALSE)+VLOOKUP($AD$2,'RF Mod'!$I$2:$O$11,3,FALSE)+(TRUNC(6+(24-6)*(TRUNC(MOD(($Z370*1103515245 +12345)/ 65536, 32768),0)/32768),0))</f>
        <v>9</v>
      </c>
      <c r="L370" s="16">
        <f t="shared" ca="1" si="19"/>
        <v>-1</v>
      </c>
      <c r="M370" s="153">
        <f ca="1">VLOOKUP($AB$2,'RF Mod'!$A$2:$G$12,4,FALSE)+VLOOKUP($AD$2,'RF Mod'!$I$2:$O$11,4,FALSE)+(TRUNC(6+(24-6)*(TRUNC(MOD(($Z370*1103515245 +12345)/ 65536, 32768),0)/32768),0))</f>
        <v>8</v>
      </c>
      <c r="N370" s="16">
        <f t="shared" ca="1" si="20"/>
        <v>-1</v>
      </c>
      <c r="O370" s="153">
        <f ca="1">VLOOKUP($AB$2,'RF Mod'!$A$2:$G$12,5,FALSE)+VLOOKUP($AD$2,'RF Mod'!$I$2:$O$11,5,FALSE)+(TRUNC(6+(24-6)*(TRUNC(MOD(($Z370*1103515245 +12345)/ 65536, 32768),0)/32768),0))</f>
        <v>11</v>
      </c>
      <c r="P370" s="16" t="e">
        <f t="shared" ca="1" si="21"/>
        <v>#NAME?</v>
      </c>
      <c r="Q370" s="153">
        <f ca="1">VLOOKUP($AB$2,'RF Mod'!$A$2:$G$12,6,FALSE)+VLOOKUP($AD$2,'RF Mod'!$I$2:$O$11,6,FALSE)+(TRUNC(6+(24-6)*(TRUNC(MOD(($Z370*1103515245 +12345)/ 65536, 32768),0)/32768),0))</f>
        <v>9</v>
      </c>
      <c r="R370" s="16">
        <f t="shared" ca="1" si="22"/>
        <v>-1</v>
      </c>
      <c r="S370" s="154">
        <f t="shared" ca="1" si="28"/>
        <v>11</v>
      </c>
      <c r="T370" s="154">
        <f t="shared" ca="1" si="23"/>
        <v>2</v>
      </c>
      <c r="U370" s="16" t="str">
        <f t="shared" ca="1" si="24"/>
        <v>Fine</v>
      </c>
      <c r="V370" s="155">
        <f ca="1">IFERROR(__xludf.DUMMYFUNCTION("if(W370=""Middle Age"",QUERY(NPCVar!$K$2:$N1000, ""Select L where K = '""&amp;AB370&amp;""'""),if(W370=""Old"",QUERY(NPCVar!$K$2:$N1000, ""Select M where K = '""&amp;AB370&amp;""'""),if(W370=""Venerable"",QUERY(NPCVar!$K$2:$N1000, ""Select N where K = '""&amp;AB370&amp;""'""),fa"&amp;"lse)))*X370"),40)</f>
        <v>40</v>
      </c>
      <c r="W370" s="156" t="str">
        <f t="array" ref="W370">INDEX(NPCAgeType,TRUNC(1+(4-1)*(TRUNC(MOD((X370*1103515245 +12345)/ 65536, 32768),0)/32768),0))</f>
        <v>Middle Age</v>
      </c>
      <c r="X370" s="117">
        <f t="shared" si="29"/>
        <v>0.5</v>
      </c>
      <c r="Y370" s="157" t="e">
        <f t="array" aca="1" ref="Y370" ca="1">LOOKUP(ABS(MAX(Z370 + MIN(ABS(INDIRECT("Class Jobs!B"&amp;MATCH(E370,'Class Jobs'!$A$1:$A1000,0)&amp;":"&amp;"AF"&amp;MATCH(E370,'Class Jobs'!$A$1:$A1000,0)&amp;"")-$Z370)) * SUM(IF(MIN(ABS(INDIRECT("Class Jobs!B"&amp;MATCH(E370,'Class Jobs'!$A$1:$A1000,0)&amp;":"&amp;"AF"&amp;MATCH(E370,'Class Jobs'!$A$1:$A1000,0)&amp;"")-$Z370))=ABS(INDIRECT("Class Jobs!B"&amp;MATCH(E370,'Class Jobs'!$A$1:$A1000,0)&amp;":"&amp;"AF"&amp;MATCH(E370,'Class Jobs'!$A$1:$A1000,0)&amp;"")-$Z370),SIGN(INDIRECT("Class Jobs!B"&amp;MATCH(E370,'Class Jobs'!$A$1:A1000,0)&amp;":"&amp;"AF"&amp;MATCH(E370,'Class Jobs'!$A$1:$A1000,0)&amp;"")-$Z370),0)),0)),INDIRECT("Class Jobs!B"&amp;MATCH(E370,'Class Jobs'!$A$1:$A1000,0)&amp;":"&amp;"AF"&amp;MATCH(E370,'Class Jobs'!$A$1:$A1000,1)&amp;""),'Class Jobs'!$B$1:$AF$1)</f>
        <v>#REF!</v>
      </c>
      <c r="Z370" s="158">
        <f t="shared" si="25"/>
        <v>0.17</v>
      </c>
      <c r="AA370" s="16" t="str">
        <f t="array" ref="AA370">INDEX(NPCGender,TRUNC(1+(COUNTA(NPCGender))*(TRUNC(MOD(($B370*1103515245 +12345)/ 65536, 32768),0)/32768),0))</f>
        <v>Male</v>
      </c>
      <c r="AB370" s="16" t="str">
        <f t="array" ref="AB370">INDEX(NPCRace,TRUNC(1+(COUNTA(NPCRace))*(TRUNC(MOD(($B370*1103515245 +12345)/ 65536, 32768),0)/32768),0))</f>
        <v>Dwarf</v>
      </c>
      <c r="AC370" s="16" t="str">
        <f t="array" ref="AC370">INDEX(NPCAL,TRUNC(1+(COUNTA(NPCAL))*(TRUNC(MOD(($B370*1103515245 +12345)/ 65536, 32768),0)/32768),0))</f>
        <v>CE</v>
      </c>
      <c r="AD370" s="72" t="str">
        <f ca="1">IFERROR(__xludf.DUMMYFUNCTION("if(V370&lt;15,QUERY(NPCVar!C:D,""Select D WHERE C = '""&amp;D370&amp;""'""),if((TRUNC(1+10)*(TRUNC(MOD((ROW(H370)*1103515245 +12345)/ 65536, 32768),0)/32768)/10) &gt; 0.85,INDEX(NPCFaction,TRUNC(1+(counta(NPCFaction)-1)*(TRUNC(MOD(($B370*1103515245 +12345)/ 65536, 3276"&amp;"8),0)/32768),0)),QUERY(NPCVar!C:D,""Select D WHERE C = '""&amp;D370&amp;""'"")))"),"Magic Guild")</f>
        <v>Magic Guild</v>
      </c>
      <c r="AE370" s="108" t="e">
        <f t="shared" ca="1" si="26"/>
        <v>#NAME?</v>
      </c>
      <c r="AF370" s="159">
        <f ca="1">IFERROR(__xludf.DUMMYFUNCTION("AE370*(V370 / QUERY(NPCVar!$K$2:$N$12, ""Select N WHERE K='""&amp;AB370&amp;""'""))*TRUNC(1+10)*(TRUNC(MOD(($B370*1103515245 +12345)/ 65536, 32768),0)/32768)"),0.0696521759033203)</f>
        <v>6.9652175903320304E-2</v>
      </c>
      <c r="AG370" s="16"/>
      <c r="AH370" s="77"/>
      <c r="AI370" s="114"/>
    </row>
    <row r="371" spans="1:35" ht="16.2">
      <c r="A371" s="53">
        <v>370</v>
      </c>
      <c r="B371" s="118">
        <f t="shared" si="30"/>
        <v>1.82274</v>
      </c>
      <c r="C371" s="72" t="str">
        <f t="array" ref="C371">INDEX(NPCFName,TRUNC(1+(COUNTA(NPCFName))*(TRUNC(MOD(($B371*1103515245 +12345)/ 65536, 32768),0)/32768),0))</f>
        <v>Sithik</v>
      </c>
      <c r="D371" s="16" t="str">
        <f t="array" ref="D371">INDEX(NPCLName,TRUNC(1+(COUNTA(NPCLName))*(TRUNC(MOD(($B371*1103515245 +12345)/ 65536, 32768),0)/32768),0))</f>
        <v>Marblearm</v>
      </c>
      <c r="E371" s="16" t="str">
        <f t="array" ref="E371">INDEX(NPCClass,TRUNC(1+(COUNTA(NPCClass))*(TRUNC(MOD(($B371*1103515245 +12345)/ 65536, 32768),0)/32768),0))</f>
        <v>Wizard</v>
      </c>
      <c r="F371" s="76">
        <v>8</v>
      </c>
      <c r="G371" s="153">
        <f ca="1">VLOOKUP($AB$2,'RF Mod'!$A$2:$G$12,2,FALSE)+VLOOKUP($AD$2,'RF Mod'!$I$2:$O$11,2,FALSE)+(TRUNC(6+(24-6)*(TRUNC(MOD(($Z371*1103515245 +12345)/ 65536, 32768),0)/32768),0))</f>
        <v>12</v>
      </c>
      <c r="H371" s="16" t="e">
        <f t="shared" ca="1" si="17"/>
        <v>#NAME?</v>
      </c>
      <c r="I371" s="153">
        <f ca="1">VLOOKUP($AB$2,'RF Mod'!$A$2:$G$12,3,FALSE)+VLOOKUP($AD$2,'RF Mod'!$I$2:$O$11,3,FALSE)+(TRUNC(6+(24-6)*(TRUNC(MOD(($Z371*1103515245 +12345)/ 65536, 32768),0)/32768),0))</f>
        <v>16</v>
      </c>
      <c r="J371" s="16" t="e">
        <f t="shared" ca="1" si="18"/>
        <v>#NAME?</v>
      </c>
      <c r="K371" s="153">
        <f ca="1">VLOOKUP($AB$2,'RF Mod'!$A$2:$G$12,3,FALSE)+VLOOKUP($AD$2,'RF Mod'!$I$2:$O$11,3,FALSE)+(TRUNC(6+(24-6)*(TRUNC(MOD(($Z371*1103515245 +12345)/ 65536, 32768),0)/32768),0))</f>
        <v>16</v>
      </c>
      <c r="L371" s="16" t="e">
        <f t="shared" ca="1" si="19"/>
        <v>#NAME?</v>
      </c>
      <c r="M371" s="153">
        <f ca="1">VLOOKUP($AB$2,'RF Mod'!$A$2:$G$12,4,FALSE)+VLOOKUP($AD$2,'RF Mod'!$I$2:$O$11,4,FALSE)+(TRUNC(6+(24-6)*(TRUNC(MOD(($Z371*1103515245 +12345)/ 65536, 32768),0)/32768),0))</f>
        <v>15</v>
      </c>
      <c r="N371" s="16" t="e">
        <f t="shared" ca="1" si="20"/>
        <v>#NAME?</v>
      </c>
      <c r="O371" s="153">
        <f ca="1">VLOOKUP($AB$2,'RF Mod'!$A$2:$G$12,5,FALSE)+VLOOKUP($AD$2,'RF Mod'!$I$2:$O$11,5,FALSE)+(TRUNC(6+(24-6)*(TRUNC(MOD(($Z371*1103515245 +12345)/ 65536, 32768),0)/32768),0))</f>
        <v>18</v>
      </c>
      <c r="P371" s="16" t="e">
        <f t="shared" ca="1" si="21"/>
        <v>#NAME?</v>
      </c>
      <c r="Q371" s="153">
        <f ca="1">VLOOKUP($AB$2,'RF Mod'!$A$2:$G$12,6,FALSE)+VLOOKUP($AD$2,'RF Mod'!$I$2:$O$11,6,FALSE)+(TRUNC(6+(24-6)*(TRUNC(MOD(($Z371*1103515245 +12345)/ 65536, 32768),0)/32768),0))</f>
        <v>16</v>
      </c>
      <c r="R371" s="16" t="e">
        <f t="shared" ca="1" si="22"/>
        <v>#NAME?</v>
      </c>
      <c r="S371" s="154">
        <f t="shared" ca="1" si="28"/>
        <v>272</v>
      </c>
      <c r="T371" s="154">
        <f t="shared" ca="1" si="23"/>
        <v>233</v>
      </c>
      <c r="U371" s="16" t="str">
        <f t="shared" ca="1" si="24"/>
        <v>Bloody</v>
      </c>
      <c r="V371" s="155">
        <f ca="1">IFERROR(__xludf.DUMMYFUNCTION("if(W371=""Middle Age"",QUERY(NPCVar!$K$2:$N1000, ""Select L where K = '""&amp;AB371&amp;""'""),if(W371=""Old"",QUERY(NPCVar!$K$2:$N1000, ""Select M where K = '""&amp;AB371&amp;""'""),if(W371=""Venerable"",QUERY(NPCVar!$K$2:$N1000, ""Select N where K = '""&amp;AB371&amp;""'""),fa"&amp;"lse)))*X371"),69)</f>
        <v>69</v>
      </c>
      <c r="W371" s="156" t="str">
        <f t="array" ref="W371">INDEX(NPCAgeType,TRUNC(1+(4-1)*(TRUNC(MOD((X371*1103515245 +12345)/ 65536, 32768),0)/32768),0))</f>
        <v>Middle Age</v>
      </c>
      <c r="X371" s="117">
        <f t="shared" si="29"/>
        <v>2.2999999999999998</v>
      </c>
      <c r="Y371" s="157" t="e">
        <f t="array" aca="1" ref="Y371" ca="1">LOOKUP(ABS(MAX(Z371 + MIN(ABS(INDIRECT("Class Jobs!B"&amp;MATCH(E371,'Class Jobs'!$A$1:$A1000,0)&amp;":"&amp;"AF"&amp;MATCH(E371,'Class Jobs'!$A$1:$A1000,0)&amp;"")-$Z371)) * SUM(IF(MIN(ABS(INDIRECT("Class Jobs!B"&amp;MATCH(E371,'Class Jobs'!$A$1:$A1000,0)&amp;":"&amp;"AF"&amp;MATCH(E371,'Class Jobs'!$A$1:$A1000,0)&amp;"")-$Z371))=ABS(INDIRECT("Class Jobs!B"&amp;MATCH(E371,'Class Jobs'!$A$1:$A1000,0)&amp;":"&amp;"AF"&amp;MATCH(E371,'Class Jobs'!$A$1:$A1000,0)&amp;"")-$Z371),SIGN(INDIRECT("Class Jobs!B"&amp;MATCH(E371,'Class Jobs'!$A$1:A1000,0)&amp;":"&amp;"AF"&amp;MATCH(E371,'Class Jobs'!$A$1:$A1000,0)&amp;"")-$Z371),0)),0)),INDIRECT("Class Jobs!B"&amp;MATCH(E371,'Class Jobs'!$A$1:$A1000,0)&amp;":"&amp;"AF"&amp;MATCH(E371,'Class Jobs'!$A$1:$A1000,1)&amp;""),'Class Jobs'!$B$1:$AF$1)</f>
        <v>#REF!</v>
      </c>
      <c r="Z371" s="158">
        <f t="shared" si="25"/>
        <v>0.93</v>
      </c>
      <c r="AA371" s="16" t="str">
        <f t="array" ref="AA371">INDEX(NPCGender,TRUNC(1+(COUNTA(NPCGender))*(TRUNC(MOD(($B371*1103515245 +12345)/ 65536, 32768),0)/32768),0))</f>
        <v>Neutral</v>
      </c>
      <c r="AB371" s="16" t="str">
        <f t="array" ref="AB371">INDEX(NPCRace,TRUNC(1+(COUNTA(NPCRace))*(TRUNC(MOD(($B371*1103515245 +12345)/ 65536, 32768),0)/32768),0))</f>
        <v>Goliath</v>
      </c>
      <c r="AC371" s="16" t="str">
        <f t="array" ref="AC371">INDEX(NPCAL,TRUNC(1+(COUNTA(NPCAL))*(TRUNC(MOD(($B371*1103515245 +12345)/ 65536, 32768),0)/32768),0))</f>
        <v>LE</v>
      </c>
      <c r="AD371" s="72" t="str">
        <f ca="1">IFERROR(__xludf.DUMMYFUNCTION("if(V371&lt;15,QUERY(NPCVar!C:D,""Select D WHERE C = '""&amp;D371&amp;""'""),if((TRUNC(1+10)*(TRUNC(MOD((ROW(H371)*1103515245 +12345)/ 65536, 32768),0)/32768)/10) &gt; 0.85,INDEX(NPCFaction,TRUNC(1+(counta(NPCFaction)-1)*(TRUNC(MOD(($B371*1103515245 +12345)/ 65536, 3276"&amp;"8),0)/32768),0)),QUERY(NPCVar!C:D,""Select D WHERE C = '""&amp;D371&amp;""'"")))"),"Thieves Guild")</f>
        <v>Thieves Guild</v>
      </c>
      <c r="AE371" s="108" t="e">
        <f t="shared" ca="1" si="26"/>
        <v>#NAME?</v>
      </c>
      <c r="AF371" s="159">
        <f ca="1">IFERROR(__xludf.DUMMYFUNCTION("AE371*(V371 / QUERY(NPCVar!$K$2:$N$12, ""Select N WHERE K='""&amp;AB371&amp;""'""))*TRUNC(1+10)*(TRUNC(MOD(($B371*1103515245 +12345)/ 65536, 32768),0)/32768)"),1.77728485107421)</f>
        <v>1.7772848510742101</v>
      </c>
      <c r="AG371" s="16"/>
      <c r="AH371" s="77"/>
      <c r="AI371" s="114"/>
    </row>
    <row r="372" spans="1:35" ht="16.2">
      <c r="A372" s="53">
        <v>371</v>
      </c>
      <c r="B372" s="118">
        <f t="shared" si="30"/>
        <v>0.81688000000000005</v>
      </c>
      <c r="C372" s="72" t="str">
        <f t="array" ref="C372">INDEX(NPCFName,TRUNC(1+(COUNTA(NPCFName))*(TRUNC(MOD(($B372*1103515245 +12345)/ 65536, 32768),0)/32768),0))</f>
        <v>Dyten</v>
      </c>
      <c r="D372" s="16" t="str">
        <f t="array" ref="D372">INDEX(NPCLName,TRUNC(1+(COUNTA(NPCLName))*(TRUNC(MOD(($B372*1103515245 +12345)/ 65536, 32768),0)/32768),0))</f>
        <v>Windshade</v>
      </c>
      <c r="E372" s="16" t="str">
        <f t="array" ref="E372">INDEX(NPCClass,TRUNC(1+(COUNTA(NPCClass))*(TRUNC(MOD(($B372*1103515245 +12345)/ 65536, 32768),0)/32768),0))</f>
        <v>Ranger</v>
      </c>
      <c r="F372" s="76">
        <v>3</v>
      </c>
      <c r="G372" s="153">
        <f ca="1">VLOOKUP($AB$2,'RF Mod'!$A$2:$G$12,2,FALSE)+VLOOKUP($AD$2,'RF Mod'!$I$2:$O$11,2,FALSE)+(TRUNC(6+(24-6)*(TRUNC(MOD(($Z372*1103515245 +12345)/ 65536, 32768),0)/32768),0))</f>
        <v>7</v>
      </c>
      <c r="H372" s="16">
        <f t="shared" ca="1" si="17"/>
        <v>-2</v>
      </c>
      <c r="I372" s="153">
        <f ca="1">VLOOKUP($AB$2,'RF Mod'!$A$2:$G$12,3,FALSE)+VLOOKUP($AD$2,'RF Mod'!$I$2:$O$11,3,FALSE)+(TRUNC(6+(24-6)*(TRUNC(MOD(($Z372*1103515245 +12345)/ 65536, 32768),0)/32768),0))</f>
        <v>11</v>
      </c>
      <c r="J372" s="16" t="e">
        <f t="shared" ca="1" si="18"/>
        <v>#NAME?</v>
      </c>
      <c r="K372" s="153">
        <f ca="1">VLOOKUP($AB$2,'RF Mod'!$A$2:$G$12,3,FALSE)+VLOOKUP($AD$2,'RF Mod'!$I$2:$O$11,3,FALSE)+(TRUNC(6+(24-6)*(TRUNC(MOD(($Z372*1103515245 +12345)/ 65536, 32768),0)/32768),0))</f>
        <v>11</v>
      </c>
      <c r="L372" s="16" t="e">
        <f t="shared" ca="1" si="19"/>
        <v>#NAME?</v>
      </c>
      <c r="M372" s="153">
        <f ca="1">VLOOKUP($AB$2,'RF Mod'!$A$2:$G$12,4,FALSE)+VLOOKUP($AD$2,'RF Mod'!$I$2:$O$11,4,FALSE)+(TRUNC(6+(24-6)*(TRUNC(MOD(($Z372*1103515245 +12345)/ 65536, 32768),0)/32768),0))</f>
        <v>10</v>
      </c>
      <c r="N372" s="16" t="e">
        <f t="shared" ca="1" si="20"/>
        <v>#NAME?</v>
      </c>
      <c r="O372" s="153">
        <f ca="1">VLOOKUP($AB$2,'RF Mod'!$A$2:$G$12,5,FALSE)+VLOOKUP($AD$2,'RF Mod'!$I$2:$O$11,5,FALSE)+(TRUNC(6+(24-6)*(TRUNC(MOD(($Z372*1103515245 +12345)/ 65536, 32768),0)/32768),0))</f>
        <v>13</v>
      </c>
      <c r="P372" s="16" t="e">
        <f t="shared" ca="1" si="21"/>
        <v>#NAME?</v>
      </c>
      <c r="Q372" s="153">
        <f ca="1">VLOOKUP($AB$2,'RF Mod'!$A$2:$G$12,6,FALSE)+VLOOKUP($AD$2,'RF Mod'!$I$2:$O$11,6,FALSE)+(TRUNC(6+(24-6)*(TRUNC(MOD(($Z372*1103515245 +12345)/ 65536, 32768),0)/32768),0))</f>
        <v>11</v>
      </c>
      <c r="R372" s="16" t="e">
        <f t="shared" ca="1" si="22"/>
        <v>#NAME?</v>
      </c>
      <c r="S372" s="154">
        <f t="shared" ca="1" si="28"/>
        <v>63</v>
      </c>
      <c r="T372" s="154">
        <f t="shared" ca="1" si="23"/>
        <v>9</v>
      </c>
      <c r="U372" s="16" t="str">
        <f t="shared" ca="1" si="24"/>
        <v>Fine</v>
      </c>
      <c r="V372" s="155">
        <f ca="1">IFERROR(__xludf.DUMMYFUNCTION("if(W372=""Middle Age"",QUERY(NPCVar!$K$2:$N1000, ""Select L where K = '""&amp;AB372&amp;""'""),if(W372=""Old"",QUERY(NPCVar!$K$2:$N1000, ""Select M where K = '""&amp;AB372&amp;""'""),if(W372=""Venerable"",QUERY(NPCVar!$K$2:$N1000, ""Select N where K = '""&amp;AB372&amp;""'""),fa"&amp;"lse)))*X372"),74.25)</f>
        <v>74.25</v>
      </c>
      <c r="W372" s="156" t="str">
        <f t="array" ref="W372">INDEX(NPCAgeType,TRUNC(1+(4-1)*(TRUNC(MOD((X372*1103515245 +12345)/ 65536, 32768),0)/32768),0))</f>
        <v>Old</v>
      </c>
      <c r="X372" s="117">
        <f t="shared" si="29"/>
        <v>1.1000000000000001</v>
      </c>
      <c r="Y372" s="157" t="e">
        <f t="array" aca="1" ref="Y372" ca="1">LOOKUP(ABS(MAX(Z372 + MIN(ABS(INDIRECT("Class Jobs!B"&amp;MATCH(E372,'Class Jobs'!$A$1:$A1000,0)&amp;":"&amp;"AF"&amp;MATCH(E372,'Class Jobs'!$A$1:$A1000,0)&amp;"")-$Z372)) * SUM(IF(MIN(ABS(INDIRECT("Class Jobs!B"&amp;MATCH(E372,'Class Jobs'!$A$1:$A1000,0)&amp;":"&amp;"AF"&amp;MATCH(E372,'Class Jobs'!$A$1:$A1000,0)&amp;"")-$Z372))=ABS(INDIRECT("Class Jobs!B"&amp;MATCH(E372,'Class Jobs'!$A$1:$A1000,0)&amp;":"&amp;"AF"&amp;MATCH(E372,'Class Jobs'!$A$1:$A1000,0)&amp;"")-$Z372),SIGN(INDIRECT("Class Jobs!B"&amp;MATCH(E372,'Class Jobs'!$A$1:A1000,0)&amp;":"&amp;"AF"&amp;MATCH(E372,'Class Jobs'!$A$1:$A1000,0)&amp;"")-$Z372),0)),0)),INDIRECT("Class Jobs!B"&amp;MATCH(E372,'Class Jobs'!$A$1:$A1000,0)&amp;":"&amp;"AF"&amp;MATCH(E372,'Class Jobs'!$A$1:$A1000,1)&amp;""),'Class Jobs'!$B$1:$AF$1)</f>
        <v>#REF!</v>
      </c>
      <c r="Z372" s="158">
        <f t="shared" si="25"/>
        <v>0.42</v>
      </c>
      <c r="AA372" s="16" t="str">
        <f t="array" ref="AA372">INDEX(NPCGender,TRUNC(1+(COUNTA(NPCGender))*(TRUNC(MOD(($B372*1103515245 +12345)/ 65536, 32768),0)/32768),0))</f>
        <v>Female</v>
      </c>
      <c r="AB372" s="16" t="str">
        <f t="array" ref="AB372">INDEX(NPCRace,TRUNC(1+(COUNTA(NPCRace))*(TRUNC(MOD(($B372*1103515245 +12345)/ 65536, 32768),0)/32768),0))</f>
        <v>Half-Elf</v>
      </c>
      <c r="AC372" s="16" t="str">
        <f t="array" ref="AC372">INDEX(NPCAL,TRUNC(1+(COUNTA(NPCAL))*(TRUNC(MOD(($B372*1103515245 +12345)/ 65536, 32768),0)/32768),0))</f>
        <v>NG</v>
      </c>
      <c r="AD372" s="72" t="str">
        <f ca="1">IFERROR(__xludf.DUMMYFUNCTION("if(V372&lt;15,QUERY(NPCVar!C:D,""Select D WHERE C = '""&amp;D372&amp;""'""),if((TRUNC(1+10)*(TRUNC(MOD((ROW(H372)*1103515245 +12345)/ 65536, 32768),0)/32768)/10) &gt; 0.85,INDEX(NPCFaction,TRUNC(1+(counta(NPCFaction)-1)*(TRUNC(MOD(($B372*1103515245 +12345)/ 65536, 3276"&amp;"8),0)/32768),0)),QUERY(NPCVar!C:D,""Select D WHERE C = '""&amp;D372&amp;""'"")))"),"Traders Guild")</f>
        <v>Traders Guild</v>
      </c>
      <c r="AE372" s="108" t="e">
        <f t="shared" ca="1" si="26"/>
        <v>#NAME?</v>
      </c>
      <c r="AF372" s="159">
        <f ca="1">IFERROR(__xludf.DUMMYFUNCTION("AE372*(V372 / QUERY(NPCVar!$K$2:$N$12, ""Select N WHERE K='""&amp;AB372&amp;""'""))*TRUNC(1+10)*(TRUNC(MOD(($B372*1103515245 +12345)/ 65536, 32768),0)/32768)"),0.952351570129394)</f>
        <v>0.95235157012939398</v>
      </c>
      <c r="AG372" s="16"/>
      <c r="AH372" s="77"/>
      <c r="AI372" s="114"/>
    </row>
    <row r="373" spans="1:35" ht="16.2">
      <c r="A373" s="53">
        <v>372</v>
      </c>
      <c r="B373" s="118">
        <f t="shared" si="30"/>
        <v>2.3110200000000001</v>
      </c>
      <c r="C373" s="72" t="str">
        <f t="array" ref="C373">INDEX(NPCFName,TRUNC(1+(COUNTA(NPCFName))*(TRUNC(MOD(($B373*1103515245 +12345)/ 65536, 32768),0)/32768),0))</f>
        <v>Mellamo</v>
      </c>
      <c r="D373" s="16" t="str">
        <f t="array" ref="D373">INDEX(NPCLName,TRUNC(1+(COUNTA(NPCLName))*(TRUNC(MOD(($B373*1103515245 +12345)/ 65536, 32768),0)/32768),0))</f>
        <v>Ashcloud</v>
      </c>
      <c r="E373" s="16" t="str">
        <f t="array" ref="E373">INDEX(NPCClass,TRUNC(1+(COUNTA(NPCClass))*(TRUNC(MOD(($B373*1103515245 +12345)/ 65536, 32768),0)/32768),0))</f>
        <v>Druid</v>
      </c>
      <c r="F373" s="76">
        <v>1</v>
      </c>
      <c r="G373" s="153">
        <f ca="1">VLOOKUP($AB$2,'RF Mod'!$A$2:$G$12,2,FALSE)+VLOOKUP($AD$2,'RF Mod'!$I$2:$O$11,2,FALSE)+(TRUNC(6+(24-6)*(TRUNC(MOD(($Z373*1103515245 +12345)/ 65536, 32768),0)/32768),0))</f>
        <v>5</v>
      </c>
      <c r="H373" s="16">
        <f t="shared" ca="1" si="17"/>
        <v>-3</v>
      </c>
      <c r="I373" s="153">
        <f ca="1">VLOOKUP($AB$2,'RF Mod'!$A$2:$G$12,3,FALSE)+VLOOKUP($AD$2,'RF Mod'!$I$2:$O$11,3,FALSE)+(TRUNC(6+(24-6)*(TRUNC(MOD(($Z373*1103515245 +12345)/ 65536, 32768),0)/32768),0))</f>
        <v>9</v>
      </c>
      <c r="J373" s="16">
        <f t="shared" ca="1" si="18"/>
        <v>-1</v>
      </c>
      <c r="K373" s="153">
        <f ca="1">VLOOKUP($AB$2,'RF Mod'!$A$2:$G$12,3,FALSE)+VLOOKUP($AD$2,'RF Mod'!$I$2:$O$11,3,FALSE)+(TRUNC(6+(24-6)*(TRUNC(MOD(($Z373*1103515245 +12345)/ 65536, 32768),0)/32768),0))</f>
        <v>9</v>
      </c>
      <c r="L373" s="16">
        <f t="shared" ca="1" si="19"/>
        <v>-1</v>
      </c>
      <c r="M373" s="153">
        <f ca="1">VLOOKUP($AB$2,'RF Mod'!$A$2:$G$12,4,FALSE)+VLOOKUP($AD$2,'RF Mod'!$I$2:$O$11,4,FALSE)+(TRUNC(6+(24-6)*(TRUNC(MOD(($Z373*1103515245 +12345)/ 65536, 32768),0)/32768),0))</f>
        <v>8</v>
      </c>
      <c r="N373" s="16">
        <f t="shared" ca="1" si="20"/>
        <v>-1</v>
      </c>
      <c r="O373" s="153">
        <f ca="1">VLOOKUP($AB$2,'RF Mod'!$A$2:$G$12,5,FALSE)+VLOOKUP($AD$2,'RF Mod'!$I$2:$O$11,5,FALSE)+(TRUNC(6+(24-6)*(TRUNC(MOD(($Z373*1103515245 +12345)/ 65536, 32768),0)/32768),0))</f>
        <v>11</v>
      </c>
      <c r="P373" s="16" t="e">
        <f t="shared" ca="1" si="21"/>
        <v>#NAME?</v>
      </c>
      <c r="Q373" s="153">
        <f ca="1">VLOOKUP($AB$2,'RF Mod'!$A$2:$G$12,6,FALSE)+VLOOKUP($AD$2,'RF Mod'!$I$2:$O$11,6,FALSE)+(TRUNC(6+(24-6)*(TRUNC(MOD(($Z373*1103515245 +12345)/ 65536, 32768),0)/32768),0))</f>
        <v>9</v>
      </c>
      <c r="R373" s="16">
        <f t="shared" ca="1" si="22"/>
        <v>-1</v>
      </c>
      <c r="S373" s="154">
        <f t="shared" ca="1" si="28"/>
        <v>27</v>
      </c>
      <c r="T373" s="154">
        <f t="shared" ca="1" si="23"/>
        <v>6</v>
      </c>
      <c r="U373" s="16" t="str">
        <f t="shared" ca="1" si="24"/>
        <v>Fine</v>
      </c>
      <c r="V373" s="155">
        <f ca="1">IFERROR(__xludf.DUMMYFUNCTION("if(W373=""Middle Age"",QUERY(NPCVar!$K$2:$N1000, ""Select L where K = '""&amp;AB373&amp;""'""),if(W373=""Old"",QUERY(NPCVar!$K$2:$N1000, ""Select M where K = '""&amp;AB373&amp;""'""),if(W373=""Venerable"",QUERY(NPCVar!$K$2:$N1000, ""Select N where K = '""&amp;AB373&amp;""'""),fa"&amp;"lse)))*X373"),93.75)</f>
        <v>93.75</v>
      </c>
      <c r="W373" s="156" t="str">
        <f t="array" ref="W373">INDEX(NPCAgeType,TRUNC(1+(4-1)*(TRUNC(MOD((X373*1103515245 +12345)/ 65536, 32768),0)/32768),0))</f>
        <v>Middle Age</v>
      </c>
      <c r="X373" s="117">
        <f t="shared" si="29"/>
        <v>0.5</v>
      </c>
      <c r="Y373" s="157" t="e">
        <f t="array" aca="1" ref="Y373" ca="1">LOOKUP(ABS(MAX(Z373 + MIN(ABS(INDIRECT("Class Jobs!B"&amp;MATCH(E373,'Class Jobs'!$A$1:$A1000,0)&amp;":"&amp;"AF"&amp;MATCH(E373,'Class Jobs'!$A$1:$A1000,0)&amp;"")-$Z373)) * SUM(IF(MIN(ABS(INDIRECT("Class Jobs!B"&amp;MATCH(E373,'Class Jobs'!$A$1:$A1000,0)&amp;":"&amp;"AF"&amp;MATCH(E373,'Class Jobs'!$A$1:$A1000,0)&amp;"")-$Z373))=ABS(INDIRECT("Class Jobs!B"&amp;MATCH(E373,'Class Jobs'!$A$1:$A1000,0)&amp;":"&amp;"AF"&amp;MATCH(E373,'Class Jobs'!$A$1:$A1000,0)&amp;"")-$Z373),SIGN(INDIRECT("Class Jobs!B"&amp;MATCH(E373,'Class Jobs'!$A$1:A1000,0)&amp;":"&amp;"AF"&amp;MATCH(E373,'Class Jobs'!$A$1:$A1000,0)&amp;"")-$Z373),0)),0)),INDIRECT("Class Jobs!B"&amp;MATCH(E373,'Class Jobs'!$A$1:$A1000,0)&amp;":"&amp;"AF"&amp;MATCH(E373,'Class Jobs'!$A$1:$A1000,1)&amp;""),'Class Jobs'!$B$1:$AF$1)</f>
        <v>#REF!</v>
      </c>
      <c r="Z373" s="158">
        <f t="shared" si="25"/>
        <v>0.19</v>
      </c>
      <c r="AA373" s="16" t="str">
        <f t="array" ref="AA373">INDEX(NPCGender,TRUNC(1+(COUNTA(NPCGender))*(TRUNC(MOD(($B373*1103515245 +12345)/ 65536, 32768),0)/32768),0))</f>
        <v>Male</v>
      </c>
      <c r="AB373" s="16" t="str">
        <f t="array" ref="AB373">INDEX(NPCRace,TRUNC(1+(COUNTA(NPCRace))*(TRUNC(MOD(($B373*1103515245 +12345)/ 65536, 32768),0)/32768),0))</f>
        <v>Elf</v>
      </c>
      <c r="AC373" s="16" t="str">
        <f t="array" ref="AC373">INDEX(NPCAL,TRUNC(1+(COUNTA(NPCAL))*(TRUNC(MOD(($B373*1103515245 +12345)/ 65536, 32768),0)/32768),0))</f>
        <v>CE</v>
      </c>
      <c r="AD373" s="72" t="str">
        <f ca="1">IFERROR(__xludf.DUMMYFUNCTION("if(V373&lt;15,QUERY(NPCVar!C:D,""Select D WHERE C = '""&amp;D373&amp;""'""),if((TRUNC(1+10)*(TRUNC(MOD((ROW(H373)*1103515245 +12345)/ 65536, 32768),0)/32768)/10) &gt; 0.85,INDEX(NPCFaction,TRUNC(1+(counta(NPCFaction)-1)*(TRUNC(MOD(($B373*1103515245 +12345)/ 65536, 3276"&amp;"8),0)/32768),0)),QUERY(NPCVar!C:D,""Select D WHERE C = '""&amp;D373&amp;""'"")))"),"Magic Guild")</f>
        <v>Magic Guild</v>
      </c>
      <c r="AE373" s="108" t="e">
        <f t="shared" ca="1" si="26"/>
        <v>#NAME?</v>
      </c>
      <c r="AF373" s="159">
        <f ca="1">IFERROR(__xludf.DUMMYFUNCTION("AE373*(V373 / QUERY(NPCVar!$K$2:$N$12, ""Select N WHERE K='""&amp;AB373&amp;""'""))*TRUNC(1+10)*(TRUNC(MOD(($B373*1103515245 +12345)/ 65536, 32768),0)/32768)"),-0.0257854461669921)</f>
        <v>-2.5785446166992101E-2</v>
      </c>
      <c r="AG373" s="16"/>
      <c r="AH373" s="77"/>
      <c r="AI373" s="114"/>
    </row>
    <row r="374" spans="1:35" ht="16.2">
      <c r="A374" s="53">
        <v>373</v>
      </c>
      <c r="B374" s="118">
        <f t="shared" si="30"/>
        <v>1.3051600000000001</v>
      </c>
      <c r="C374" s="72" t="str">
        <f t="array" ref="C374">INDEX(NPCFName,TRUNC(1+(COUNTA(NPCFName))*(TRUNC(MOD(($B374*1103515245 +12345)/ 65536, 32768),0)/32768),0))</f>
        <v>Afflon</v>
      </c>
      <c r="D374" s="16" t="str">
        <f t="array" ref="D374">INDEX(NPCLName,TRUNC(1+(COUNTA(NPCLName))*(TRUNC(MOD(($B374*1103515245 +12345)/ 65536, 32768),0)/32768),0))</f>
        <v>Emberhell</v>
      </c>
      <c r="E374" s="16" t="str">
        <f t="array" ref="E374">INDEX(NPCClass,TRUNC(1+(COUNTA(NPCClass))*(TRUNC(MOD(($B374*1103515245 +12345)/ 65536, 32768),0)/32768),0))</f>
        <v>None</v>
      </c>
      <c r="F374" s="76">
        <v>8</v>
      </c>
      <c r="G374" s="153">
        <f ca="1">VLOOKUP($AB$2,'RF Mod'!$A$2:$G$12,2,FALSE)+VLOOKUP($AD$2,'RF Mod'!$I$2:$O$11,2,FALSE)+(TRUNC(6+(24-6)*(TRUNC(MOD(($Z374*1103515245 +12345)/ 65536, 32768),0)/32768),0))</f>
        <v>10</v>
      </c>
      <c r="H374" s="16" t="e">
        <f t="shared" ca="1" si="17"/>
        <v>#NAME?</v>
      </c>
      <c r="I374" s="153">
        <f ca="1">VLOOKUP($AB$2,'RF Mod'!$A$2:$G$12,3,FALSE)+VLOOKUP($AD$2,'RF Mod'!$I$2:$O$11,3,FALSE)+(TRUNC(6+(24-6)*(TRUNC(MOD(($Z374*1103515245 +12345)/ 65536, 32768),0)/32768),0))</f>
        <v>14</v>
      </c>
      <c r="J374" s="16" t="e">
        <f t="shared" ca="1" si="18"/>
        <v>#NAME?</v>
      </c>
      <c r="K374" s="153">
        <f ca="1">VLOOKUP($AB$2,'RF Mod'!$A$2:$G$12,3,FALSE)+VLOOKUP($AD$2,'RF Mod'!$I$2:$O$11,3,FALSE)+(TRUNC(6+(24-6)*(TRUNC(MOD(($Z374*1103515245 +12345)/ 65536, 32768),0)/32768),0))</f>
        <v>14</v>
      </c>
      <c r="L374" s="16" t="e">
        <f t="shared" ca="1" si="19"/>
        <v>#NAME?</v>
      </c>
      <c r="M374" s="153">
        <f ca="1">VLOOKUP($AB$2,'RF Mod'!$A$2:$G$12,4,FALSE)+VLOOKUP($AD$2,'RF Mod'!$I$2:$O$11,4,FALSE)+(TRUNC(6+(24-6)*(TRUNC(MOD(($Z374*1103515245 +12345)/ 65536, 32768),0)/32768),0))</f>
        <v>13</v>
      </c>
      <c r="N374" s="16" t="e">
        <f t="shared" ca="1" si="20"/>
        <v>#NAME?</v>
      </c>
      <c r="O374" s="153">
        <f ca="1">VLOOKUP($AB$2,'RF Mod'!$A$2:$G$12,5,FALSE)+VLOOKUP($AD$2,'RF Mod'!$I$2:$O$11,5,FALSE)+(TRUNC(6+(24-6)*(TRUNC(MOD(($Z374*1103515245 +12345)/ 65536, 32768),0)/32768),0))</f>
        <v>16</v>
      </c>
      <c r="P374" s="16" t="e">
        <f t="shared" ca="1" si="21"/>
        <v>#NAME?</v>
      </c>
      <c r="Q374" s="153">
        <f ca="1">VLOOKUP($AB$2,'RF Mod'!$A$2:$G$12,6,FALSE)+VLOOKUP($AD$2,'RF Mod'!$I$2:$O$11,6,FALSE)+(TRUNC(6+(24-6)*(TRUNC(MOD(($Z374*1103515245 +12345)/ 65536, 32768),0)/32768),0))</f>
        <v>14</v>
      </c>
      <c r="R374" s="16" t="e">
        <f t="shared" ca="1" si="22"/>
        <v>#NAME?</v>
      </c>
      <c r="S374" s="154">
        <f t="shared" ca="1" si="28"/>
        <v>144</v>
      </c>
      <c r="T374" s="154">
        <f t="shared" ca="1" si="23"/>
        <v>56</v>
      </c>
      <c r="U374" s="16" t="str">
        <f t="shared" ca="1" si="24"/>
        <v>Fine</v>
      </c>
      <c r="V374" s="155">
        <f ca="1">IFERROR(__xludf.DUMMYFUNCTION("if(W374=""Middle Age"",QUERY(NPCVar!$K$2:$N1000, ""Select L where K = '""&amp;AB374&amp;""'""),if(W374=""Old"",QUERY(NPCVar!$K$2:$N1000, ""Select M where K = '""&amp;AB374&amp;""'""),if(W374=""Venerable"",QUERY(NPCVar!$K$2:$N1000, ""Select N where K = '""&amp;AB374&amp;""'""),fa"&amp;"lse)))*X374"),153)</f>
        <v>153</v>
      </c>
      <c r="W374" s="156" t="str">
        <f t="array" ref="W374">INDEX(NPCAgeType,TRUNC(1+(4-1)*(TRUNC(MOD((X374*1103515245 +12345)/ 65536, 32768),0)/32768),0))</f>
        <v>Venerable</v>
      </c>
      <c r="X374" s="117">
        <f t="shared" si="29"/>
        <v>1.7</v>
      </c>
      <c r="Y374" s="157" t="e">
        <f t="array" aca="1" ref="Y374" ca="1">LOOKUP(ABS(MAX(Z374 + MIN(ABS(INDIRECT("Class Jobs!B"&amp;MATCH(E374,'Class Jobs'!$A$1:$A1000,0)&amp;":"&amp;"AF"&amp;MATCH(E374,'Class Jobs'!$A$1:$A1000,0)&amp;"")-$Z374)) * SUM(IF(MIN(ABS(INDIRECT("Class Jobs!B"&amp;MATCH(E374,'Class Jobs'!$A$1:$A1000,0)&amp;":"&amp;"AF"&amp;MATCH(E374,'Class Jobs'!$A$1:$A1000,0)&amp;"")-$Z374))=ABS(INDIRECT("Class Jobs!B"&amp;MATCH(E374,'Class Jobs'!$A$1:$A1000,0)&amp;":"&amp;"AF"&amp;MATCH(E374,'Class Jobs'!$A$1:$A1000,0)&amp;"")-$Z374),SIGN(INDIRECT("Class Jobs!B"&amp;MATCH(E374,'Class Jobs'!$A$1:A1000,0)&amp;":"&amp;"AF"&amp;MATCH(E374,'Class Jobs'!$A$1:$A1000,0)&amp;"")-$Z374),0)),0)),INDIRECT("Class Jobs!B"&amp;MATCH(E374,'Class Jobs'!$A$1:$A1000,0)&amp;":"&amp;"AF"&amp;MATCH(E374,'Class Jobs'!$A$1:$A1000,1)&amp;""),'Class Jobs'!$B$1:$AF$1)</f>
        <v>#REF!</v>
      </c>
      <c r="Z374" s="158">
        <f t="shared" si="25"/>
        <v>0.67</v>
      </c>
      <c r="AA374" s="16" t="str">
        <f t="array" ref="AA374">INDEX(NPCGender,TRUNC(1+(COUNTA(NPCGender))*(TRUNC(MOD(($B374*1103515245 +12345)/ 65536, 32768),0)/32768),0))</f>
        <v>Neutral</v>
      </c>
      <c r="AB374" s="16" t="str">
        <f t="array" ref="AB374">INDEX(NPCRace,TRUNC(1+(COUNTA(NPCRace))*(TRUNC(MOD(($B374*1103515245 +12345)/ 65536, 32768),0)/32768),0))</f>
        <v>Human</v>
      </c>
      <c r="AC374" s="16" t="str">
        <f t="array" ref="AC374">INDEX(NPCAL,TRUNC(1+(COUNTA(NPCAL))*(TRUNC(MOD(($B374*1103515245 +12345)/ 65536, 32768),0)/32768),0))</f>
        <v>LG</v>
      </c>
      <c r="AD374" s="72" t="str">
        <f ca="1">IFERROR(__xludf.DUMMYFUNCTION("if(V374&lt;15,QUERY(NPCVar!C:D,""Select D WHERE C = '""&amp;D374&amp;""'""),if((TRUNC(1+10)*(TRUNC(MOD((ROW(H374)*1103515245 +12345)/ 65536, 32768),0)/32768)/10) &gt; 0.85,INDEX(NPCFaction,TRUNC(1+(counta(NPCFaction)-1)*(TRUNC(MOD(($B374*1103515245 +12345)/ 65536, 3276"&amp;"8),0)/32768),0)),QUERY(NPCVar!C:D,""Select D WHERE C = '""&amp;D374&amp;""'"")))"),"Adventures Guild")</f>
        <v>Adventures Guild</v>
      </c>
      <c r="AE374" s="108" t="e">
        <f t="shared" ca="1" si="26"/>
        <v>#NAME?</v>
      </c>
      <c r="AF374" s="159">
        <f ca="1">IFERROR(__xludf.DUMMYFUNCTION("AE374*(V374 / QUERY(NPCVar!$K$2:$N$12, ""Select N WHERE K='""&amp;AB374&amp;""'""))*TRUNC(1+10)*(TRUNC(MOD(($B374*1103515245 +12345)/ 65536, 32768),0)/32768)"),10.0329882812499)</f>
        <v>10.032988281249899</v>
      </c>
      <c r="AG374" s="16"/>
      <c r="AH374" s="77"/>
      <c r="AI374" s="114"/>
    </row>
    <row r="375" spans="1:35" ht="16.2">
      <c r="A375" s="53">
        <v>374</v>
      </c>
      <c r="B375" s="118">
        <f t="shared" si="30"/>
        <v>0.29930000000000001</v>
      </c>
      <c r="C375" s="72" t="str">
        <f t="array" ref="C375">INDEX(NPCFName,TRUNC(1+(COUNTA(NPCFName))*(TRUNC(MOD(($B375*1103515245 +12345)/ 65536, 32768),0)/32768),0))</f>
        <v>Jin</v>
      </c>
      <c r="D375" s="16" t="str">
        <f t="array" ref="D375">INDEX(NPCLName,TRUNC(1+(COUNTA(NPCLName))*(TRUNC(MOD(($B375*1103515245 +12345)/ 65536, 32768),0)/32768),0))</f>
        <v>Fistwing</v>
      </c>
      <c r="E375" s="16" t="str">
        <f t="array" ref="E375">INDEX(NPCClass,TRUNC(1+(COUNTA(NPCClass))*(TRUNC(MOD(($B375*1103515245 +12345)/ 65536, 32768),0)/32768),0))</f>
        <v>Bard</v>
      </c>
      <c r="F375" s="76">
        <v>1</v>
      </c>
      <c r="G375" s="153">
        <f ca="1">VLOOKUP($AB$2,'RF Mod'!$A$2:$G$12,2,FALSE)+VLOOKUP($AD$2,'RF Mod'!$I$2:$O$11,2,FALSE)+(TRUNC(6+(24-6)*(TRUNC(MOD(($Z375*1103515245 +12345)/ 65536, 32768),0)/32768),0))</f>
        <v>5</v>
      </c>
      <c r="H375" s="16">
        <f t="shared" ca="1" si="17"/>
        <v>-3</v>
      </c>
      <c r="I375" s="153">
        <f ca="1">VLOOKUP($AB$2,'RF Mod'!$A$2:$G$12,3,FALSE)+VLOOKUP($AD$2,'RF Mod'!$I$2:$O$11,3,FALSE)+(TRUNC(6+(24-6)*(TRUNC(MOD(($Z375*1103515245 +12345)/ 65536, 32768),0)/32768),0))</f>
        <v>9</v>
      </c>
      <c r="J375" s="16">
        <f t="shared" ca="1" si="18"/>
        <v>-1</v>
      </c>
      <c r="K375" s="153">
        <f ca="1">VLOOKUP($AB$2,'RF Mod'!$A$2:$G$12,3,FALSE)+VLOOKUP($AD$2,'RF Mod'!$I$2:$O$11,3,FALSE)+(TRUNC(6+(24-6)*(TRUNC(MOD(($Z375*1103515245 +12345)/ 65536, 32768),0)/32768),0))</f>
        <v>9</v>
      </c>
      <c r="L375" s="16">
        <f t="shared" ca="1" si="19"/>
        <v>-1</v>
      </c>
      <c r="M375" s="153">
        <f ca="1">VLOOKUP($AB$2,'RF Mod'!$A$2:$G$12,4,FALSE)+VLOOKUP($AD$2,'RF Mod'!$I$2:$O$11,4,FALSE)+(TRUNC(6+(24-6)*(TRUNC(MOD(($Z375*1103515245 +12345)/ 65536, 32768),0)/32768),0))</f>
        <v>8</v>
      </c>
      <c r="N375" s="16">
        <f t="shared" ca="1" si="20"/>
        <v>-1</v>
      </c>
      <c r="O375" s="153">
        <f ca="1">VLOOKUP($AB$2,'RF Mod'!$A$2:$G$12,5,FALSE)+VLOOKUP($AD$2,'RF Mod'!$I$2:$O$11,5,FALSE)+(TRUNC(6+(24-6)*(TRUNC(MOD(($Z375*1103515245 +12345)/ 65536, 32768),0)/32768),0))</f>
        <v>11</v>
      </c>
      <c r="P375" s="16" t="e">
        <f t="shared" ca="1" si="21"/>
        <v>#NAME?</v>
      </c>
      <c r="Q375" s="153">
        <f ca="1">VLOOKUP($AB$2,'RF Mod'!$A$2:$G$12,6,FALSE)+VLOOKUP($AD$2,'RF Mod'!$I$2:$O$11,6,FALSE)+(TRUNC(6+(24-6)*(TRUNC(MOD(($Z375*1103515245 +12345)/ 65536, 32768),0)/32768),0))</f>
        <v>9</v>
      </c>
      <c r="R375" s="16">
        <f t="shared" ca="1" si="22"/>
        <v>-1</v>
      </c>
      <c r="S375" s="154">
        <f t="shared" ca="1" si="28"/>
        <v>27</v>
      </c>
      <c r="T375" s="154">
        <f t="shared" ca="1" si="23"/>
        <v>16</v>
      </c>
      <c r="U375" s="16" t="str">
        <f t="shared" ca="1" si="24"/>
        <v>Bloody</v>
      </c>
      <c r="V375" s="155">
        <f ca="1">IFERROR(__xludf.DUMMYFUNCTION("if(W375=""Middle Age"",QUERY(NPCVar!$K$2:$N1000, ""Select L where K = '""&amp;AB375&amp;""'""),if(W375=""Old"",QUERY(NPCVar!$K$2:$N1000, ""Select M where K = '""&amp;AB375&amp;""'""),if(W375=""Venerable"",QUERY(NPCVar!$K$2:$N1000, ""Select N where K = '""&amp;AB375&amp;""'""),fa"&amp;"lse)))*X375"),32)</f>
        <v>32</v>
      </c>
      <c r="W375" s="156" t="str">
        <f t="array" ref="W375">INDEX(NPCAgeType,TRUNC(1+(4-1)*(TRUNC(MOD((X375*1103515245 +12345)/ 65536, 32768),0)/32768),0))</f>
        <v>Middle Age</v>
      </c>
      <c r="X375" s="117">
        <f t="shared" si="29"/>
        <v>0.4</v>
      </c>
      <c r="Y375" s="157" t="e">
        <f t="array" aca="1" ref="Y375" ca="1">LOOKUP(ABS(MAX(Z375 + MIN(ABS(INDIRECT("Class Jobs!B"&amp;MATCH(E375,'Class Jobs'!$A$1:$A1000,0)&amp;":"&amp;"AF"&amp;MATCH(E375,'Class Jobs'!$A$1:$A1000,0)&amp;"")-$Z375)) * SUM(IF(MIN(ABS(INDIRECT("Class Jobs!B"&amp;MATCH(E375,'Class Jobs'!$A$1:$A1000,0)&amp;":"&amp;"AF"&amp;MATCH(E375,'Class Jobs'!$A$1:$A1000,0)&amp;"")-$Z375))=ABS(INDIRECT("Class Jobs!B"&amp;MATCH(E375,'Class Jobs'!$A$1:$A1000,0)&amp;":"&amp;"AF"&amp;MATCH(E375,'Class Jobs'!$A$1:$A1000,0)&amp;"")-$Z375),SIGN(INDIRECT("Class Jobs!B"&amp;MATCH(E375,'Class Jobs'!$A$1:A1000,0)&amp;":"&amp;"AF"&amp;MATCH(E375,'Class Jobs'!$A$1:$A1000,0)&amp;"")-$Z375),0)),0)),INDIRECT("Class Jobs!B"&amp;MATCH(E375,'Class Jobs'!$A$1:$A1000,0)&amp;":"&amp;"AF"&amp;MATCH(E375,'Class Jobs'!$A$1:$A1000,1)&amp;""),'Class Jobs'!$B$1:$AF$1)</f>
        <v>#REF!</v>
      </c>
      <c r="Z375" s="158">
        <f t="shared" si="25"/>
        <v>0.16</v>
      </c>
      <c r="AA375" s="16" t="str">
        <f t="array" ref="AA375">INDEX(NPCGender,TRUNC(1+(COUNTA(NPCGender))*(TRUNC(MOD(($B375*1103515245 +12345)/ 65536, 32768),0)/32768),0))</f>
        <v>Male</v>
      </c>
      <c r="AB375" s="16" t="str">
        <f t="array" ref="AB375">INDEX(NPCRace,TRUNC(1+(COUNTA(NPCRace))*(TRUNC(MOD(($B375*1103515245 +12345)/ 65536, 32768),0)/32768),0))</f>
        <v>Dwarf</v>
      </c>
      <c r="AC375" s="16" t="str">
        <f t="array" ref="AC375">INDEX(NPCAL,TRUNC(1+(COUNTA(NPCAL))*(TRUNC(MOD(($B375*1103515245 +12345)/ 65536, 32768),0)/32768),0))</f>
        <v>CE</v>
      </c>
      <c r="AD375" s="72" t="str">
        <f ca="1">IFERROR(__xludf.DUMMYFUNCTION("if(V375&lt;15,QUERY(NPCVar!C:D,""Select D WHERE C = '""&amp;D375&amp;""'""),if((TRUNC(1+10)*(TRUNC(MOD((ROW(H375)*1103515245 +12345)/ 65536, 32768),0)/32768)/10) &gt; 0.85,INDEX(NPCFaction,TRUNC(1+(counta(NPCFaction)-1)*(TRUNC(MOD(($B375*1103515245 +12345)/ 65536, 3276"&amp;"8),0)/32768),0)),QUERY(NPCVar!C:D,""Select D WHERE C = '""&amp;D375&amp;""'"")))"),"Royalty")</f>
        <v>Royalty</v>
      </c>
      <c r="AE375" s="108" t="e">
        <f t="shared" ca="1" si="26"/>
        <v>#NAME?</v>
      </c>
      <c r="AF375" s="159">
        <f ca="1">IFERROR(__xludf.DUMMYFUNCTION("AE375*(V375 / QUERY(NPCVar!$K$2:$N$12, ""Select N WHERE K='""&amp;AB375&amp;""'""))*TRUNC(1+10)*(TRUNC(MOD(($B375*1103515245 +12345)/ 65536, 32768),0)/32768)"),-0.0169155883789062)</f>
        <v>-1.69155883789062E-2</v>
      </c>
      <c r="AG375" s="16"/>
      <c r="AH375" s="77"/>
      <c r="AI375" s="114"/>
    </row>
    <row r="376" spans="1:35" ht="16.2">
      <c r="A376" s="53">
        <v>375</v>
      </c>
      <c r="B376" s="118">
        <f t="shared" si="30"/>
        <v>1.7934399999999999</v>
      </c>
      <c r="C376" s="72" t="str">
        <f t="array" ref="C376">INDEX(NPCFName,TRUNC(1+(COUNTA(NPCFName))*(TRUNC(MOD(($B376*1103515245 +12345)/ 65536, 32768),0)/32768),0))</f>
        <v>Safilix</v>
      </c>
      <c r="D376" s="16" t="str">
        <f t="array" ref="D376">INDEX(NPCLName,TRUNC(1+(COUNTA(NPCLName))*(TRUNC(MOD(($B376*1103515245 +12345)/ 65536, 32768),0)/32768),0))</f>
        <v>Stormwolf</v>
      </c>
      <c r="E376" s="16" t="str">
        <f t="array" ref="E376">INDEX(NPCClass,TRUNC(1+(COUNTA(NPCClass))*(TRUNC(MOD(($B376*1103515245 +12345)/ 65536, 32768),0)/32768),0))</f>
        <v>Wizard</v>
      </c>
      <c r="F376" s="76">
        <v>8</v>
      </c>
      <c r="G376" s="153">
        <f ca="1">VLOOKUP($AB$2,'RF Mod'!$A$2:$G$12,2,FALSE)+VLOOKUP($AD$2,'RF Mod'!$I$2:$O$11,2,FALSE)+(TRUNC(6+(24-6)*(TRUNC(MOD(($Z376*1103515245 +12345)/ 65536, 32768),0)/32768),0))</f>
        <v>12</v>
      </c>
      <c r="H376" s="16" t="e">
        <f t="shared" ca="1" si="17"/>
        <v>#NAME?</v>
      </c>
      <c r="I376" s="153">
        <f ca="1">VLOOKUP($AB$2,'RF Mod'!$A$2:$G$12,3,FALSE)+VLOOKUP($AD$2,'RF Mod'!$I$2:$O$11,3,FALSE)+(TRUNC(6+(24-6)*(TRUNC(MOD(($Z376*1103515245 +12345)/ 65536, 32768),0)/32768),0))</f>
        <v>16</v>
      </c>
      <c r="J376" s="16" t="e">
        <f t="shared" ca="1" si="18"/>
        <v>#NAME?</v>
      </c>
      <c r="K376" s="153">
        <f ca="1">VLOOKUP($AB$2,'RF Mod'!$A$2:$G$12,3,FALSE)+VLOOKUP($AD$2,'RF Mod'!$I$2:$O$11,3,FALSE)+(TRUNC(6+(24-6)*(TRUNC(MOD(($Z376*1103515245 +12345)/ 65536, 32768),0)/32768),0))</f>
        <v>16</v>
      </c>
      <c r="L376" s="16" t="e">
        <f t="shared" ca="1" si="19"/>
        <v>#NAME?</v>
      </c>
      <c r="M376" s="153">
        <f ca="1">VLOOKUP($AB$2,'RF Mod'!$A$2:$G$12,4,FALSE)+VLOOKUP($AD$2,'RF Mod'!$I$2:$O$11,4,FALSE)+(TRUNC(6+(24-6)*(TRUNC(MOD(($Z376*1103515245 +12345)/ 65536, 32768),0)/32768),0))</f>
        <v>15</v>
      </c>
      <c r="N376" s="16" t="e">
        <f t="shared" ca="1" si="20"/>
        <v>#NAME?</v>
      </c>
      <c r="O376" s="153">
        <f ca="1">VLOOKUP($AB$2,'RF Mod'!$A$2:$G$12,5,FALSE)+VLOOKUP($AD$2,'RF Mod'!$I$2:$O$11,5,FALSE)+(TRUNC(6+(24-6)*(TRUNC(MOD(($Z376*1103515245 +12345)/ 65536, 32768),0)/32768),0))</f>
        <v>18</v>
      </c>
      <c r="P376" s="16" t="e">
        <f t="shared" ca="1" si="21"/>
        <v>#NAME?</v>
      </c>
      <c r="Q376" s="153">
        <f ca="1">VLOOKUP($AB$2,'RF Mod'!$A$2:$G$12,6,FALSE)+VLOOKUP($AD$2,'RF Mod'!$I$2:$O$11,6,FALSE)+(TRUNC(6+(24-6)*(TRUNC(MOD(($Z376*1103515245 +12345)/ 65536, 32768),0)/32768),0))</f>
        <v>16</v>
      </c>
      <c r="R376" s="16" t="e">
        <f t="shared" ca="1" si="22"/>
        <v>#NAME?</v>
      </c>
      <c r="S376" s="154">
        <f t="shared" ca="1" si="28"/>
        <v>192</v>
      </c>
      <c r="T376" s="154">
        <f t="shared" ca="1" si="23"/>
        <v>172</v>
      </c>
      <c r="U376" s="16" t="str">
        <f t="shared" ca="1" si="24"/>
        <v>Bloody</v>
      </c>
      <c r="V376" s="155">
        <f ca="1">IFERROR(__xludf.DUMMYFUNCTION("if(W376=""Middle Age"",QUERY(NPCVar!$K$2:$N1000, ""Select L where K = '""&amp;AB376&amp;""'""),if(W376=""Old"",QUERY(NPCVar!$K$2:$N1000, ""Select M where K = '""&amp;AB376&amp;""'""),if(W376=""Venerable"",QUERY(NPCVar!$K$2:$N1000, ""Select N where K = '""&amp;AB376&amp;""'""),fa"&amp;"lse)))*X376"),69)</f>
        <v>69</v>
      </c>
      <c r="W376" s="156" t="str">
        <f t="array" ref="W376">INDEX(NPCAgeType,TRUNC(1+(4-1)*(TRUNC(MOD((X376*1103515245 +12345)/ 65536, 32768),0)/32768),0))</f>
        <v>Middle Age</v>
      </c>
      <c r="X376" s="117">
        <f t="shared" si="29"/>
        <v>2.2999999999999998</v>
      </c>
      <c r="Y376" s="157" t="e">
        <f t="array" aca="1" ref="Y376" ca="1">LOOKUP(ABS(MAX(Z376 + MIN(ABS(INDIRECT("Class Jobs!B"&amp;MATCH(E376,'Class Jobs'!$A$1:$A1000,0)&amp;":"&amp;"AF"&amp;MATCH(E376,'Class Jobs'!$A$1:$A1000,0)&amp;"")-$Z376)) * SUM(IF(MIN(ABS(INDIRECT("Class Jobs!B"&amp;MATCH(E376,'Class Jobs'!$A$1:$A1000,0)&amp;":"&amp;"AF"&amp;MATCH(E376,'Class Jobs'!$A$1:$A1000,0)&amp;"")-$Z376))=ABS(INDIRECT("Class Jobs!B"&amp;MATCH(E376,'Class Jobs'!$A$1:$A1000,0)&amp;":"&amp;"AF"&amp;MATCH(E376,'Class Jobs'!$A$1:$A1000,0)&amp;"")-$Z376),SIGN(INDIRECT("Class Jobs!B"&amp;MATCH(E376,'Class Jobs'!$A$1:A1000,0)&amp;":"&amp;"AF"&amp;MATCH(E376,'Class Jobs'!$A$1:$A1000,0)&amp;"")-$Z376),0)),0)),INDIRECT("Class Jobs!B"&amp;MATCH(E376,'Class Jobs'!$A$1:$A1000,0)&amp;":"&amp;"AF"&amp;MATCH(E376,'Class Jobs'!$A$1:$A1000,1)&amp;""),'Class Jobs'!$B$1:$AF$1)</f>
        <v>#REF!</v>
      </c>
      <c r="Z376" s="158">
        <f t="shared" si="25"/>
        <v>0.92</v>
      </c>
      <c r="AA376" s="16" t="str">
        <f t="array" ref="AA376">INDEX(NPCGender,TRUNC(1+(COUNTA(NPCGender))*(TRUNC(MOD(($B376*1103515245 +12345)/ 65536, 32768),0)/32768),0))</f>
        <v>Neutral</v>
      </c>
      <c r="AB376" s="16" t="str">
        <f t="array" ref="AB376">INDEX(NPCRace,TRUNC(1+(COUNTA(NPCRace))*(TRUNC(MOD(($B376*1103515245 +12345)/ 65536, 32768),0)/32768),0))</f>
        <v>Goliath</v>
      </c>
      <c r="AC376" s="16" t="str">
        <f t="array" ref="AC376">INDEX(NPCAL,TRUNC(1+(COUNTA(NPCAL))*(TRUNC(MOD(($B376*1103515245 +12345)/ 65536, 32768),0)/32768),0))</f>
        <v>LE</v>
      </c>
      <c r="AD376" s="72" t="str">
        <f ca="1">IFERROR(__xludf.DUMMYFUNCTION("if(V376&lt;15,QUERY(NPCVar!C:D,""Select D WHERE C = '""&amp;D376&amp;""'""),if((TRUNC(1+10)*(TRUNC(MOD((ROW(H376)*1103515245 +12345)/ 65536, 32768),0)/32768)/10) &gt; 0.85,INDEX(NPCFaction,TRUNC(1+(counta(NPCFaction)-1)*(TRUNC(MOD(($B376*1103515245 +12345)/ 65536, 3276"&amp;"8),0)/32768),0)),QUERY(NPCVar!C:D,""Select D WHERE C = '""&amp;D376&amp;""'"")))"),"Followers of Isis")</f>
        <v>Followers of Isis</v>
      </c>
      <c r="AE376" s="108" t="e">
        <f t="shared" ca="1" si="26"/>
        <v>#NAME?</v>
      </c>
      <c r="AF376" s="159">
        <f ca="1">IFERROR(__xludf.DUMMYFUNCTION("AE376*(V376 / QUERY(NPCVar!$K$2:$N$12, ""Select N WHERE K='""&amp;AB376&amp;""'""))*TRUNC(1+10)*(TRUNC(MOD(($B376*1103515245 +12345)/ 65536, 32768),0)/32768)"),4.66314331054687)</f>
        <v>4.6631433105468698</v>
      </c>
      <c r="AG376" s="16"/>
      <c r="AH376" s="77"/>
      <c r="AI376" s="114"/>
    </row>
    <row r="377" spans="1:35" ht="16.2">
      <c r="A377" s="53">
        <v>376</v>
      </c>
      <c r="B377" s="118">
        <f t="shared" si="30"/>
        <v>0.78757999999999995</v>
      </c>
      <c r="C377" s="72" t="str">
        <f t="array" ref="C377">INDEX(NPCFName,TRUNC(1+(COUNTA(NPCFName))*(TRUNC(MOD(($B377*1103515245 +12345)/ 65536, 32768),0)/32768),0))</f>
        <v>Deathmar</v>
      </c>
      <c r="D377" s="16" t="str">
        <f t="array" ref="D377">INDEX(NPCLName,TRUNC(1+(COUNTA(NPCLName))*(TRUNC(MOD(($B377*1103515245 +12345)/ 65536, 32768),0)/32768),0))</f>
        <v>Windshade</v>
      </c>
      <c r="E377" s="16" t="str">
        <f t="array" ref="E377">INDEX(NPCClass,TRUNC(1+(COUNTA(NPCClass))*(TRUNC(MOD(($B377*1103515245 +12345)/ 65536, 32768),0)/32768),0))</f>
        <v>Paladin</v>
      </c>
      <c r="F377" s="76">
        <v>6</v>
      </c>
      <c r="G377" s="153">
        <f ca="1">VLOOKUP($AB$2,'RF Mod'!$A$2:$G$12,2,FALSE)+VLOOKUP($AD$2,'RF Mod'!$I$2:$O$11,2,FALSE)+(TRUNC(6+(24-6)*(TRUNC(MOD(($Z377*1103515245 +12345)/ 65536, 32768),0)/32768),0))</f>
        <v>7</v>
      </c>
      <c r="H377" s="16">
        <f t="shared" ca="1" si="17"/>
        <v>-2</v>
      </c>
      <c r="I377" s="153">
        <f ca="1">VLOOKUP($AB$2,'RF Mod'!$A$2:$G$12,3,FALSE)+VLOOKUP($AD$2,'RF Mod'!$I$2:$O$11,3,FALSE)+(TRUNC(6+(24-6)*(TRUNC(MOD(($Z377*1103515245 +12345)/ 65536, 32768),0)/32768),0))</f>
        <v>11</v>
      </c>
      <c r="J377" s="16" t="e">
        <f t="shared" ca="1" si="18"/>
        <v>#NAME?</v>
      </c>
      <c r="K377" s="153">
        <f ca="1">VLOOKUP($AB$2,'RF Mod'!$A$2:$G$12,3,FALSE)+VLOOKUP($AD$2,'RF Mod'!$I$2:$O$11,3,FALSE)+(TRUNC(6+(24-6)*(TRUNC(MOD(($Z377*1103515245 +12345)/ 65536, 32768),0)/32768),0))</f>
        <v>11</v>
      </c>
      <c r="L377" s="16" t="e">
        <f t="shared" ca="1" si="19"/>
        <v>#NAME?</v>
      </c>
      <c r="M377" s="153">
        <f ca="1">VLOOKUP($AB$2,'RF Mod'!$A$2:$G$12,4,FALSE)+VLOOKUP($AD$2,'RF Mod'!$I$2:$O$11,4,FALSE)+(TRUNC(6+(24-6)*(TRUNC(MOD(($Z377*1103515245 +12345)/ 65536, 32768),0)/32768),0))</f>
        <v>10</v>
      </c>
      <c r="N377" s="16" t="e">
        <f t="shared" ca="1" si="20"/>
        <v>#NAME?</v>
      </c>
      <c r="O377" s="153">
        <f ca="1">VLOOKUP($AB$2,'RF Mod'!$A$2:$G$12,5,FALSE)+VLOOKUP($AD$2,'RF Mod'!$I$2:$O$11,5,FALSE)+(TRUNC(6+(24-6)*(TRUNC(MOD(($Z377*1103515245 +12345)/ 65536, 32768),0)/32768),0))</f>
        <v>13</v>
      </c>
      <c r="P377" s="16" t="e">
        <f t="shared" ca="1" si="21"/>
        <v>#NAME?</v>
      </c>
      <c r="Q377" s="153">
        <f ca="1">VLOOKUP($AB$2,'RF Mod'!$A$2:$G$12,6,FALSE)+VLOOKUP($AD$2,'RF Mod'!$I$2:$O$11,6,FALSE)+(TRUNC(6+(24-6)*(TRUNC(MOD(($Z377*1103515245 +12345)/ 65536, 32768),0)/32768),0))</f>
        <v>11</v>
      </c>
      <c r="R377" s="16" t="e">
        <f t="shared" ca="1" si="22"/>
        <v>#NAME?</v>
      </c>
      <c r="S377" s="154">
        <f t="shared" ca="1" si="28"/>
        <v>78</v>
      </c>
      <c r="T377" s="154">
        <f t="shared" ca="1" si="23"/>
        <v>42</v>
      </c>
      <c r="U377" s="16" t="str">
        <f t="shared" ca="1" si="24"/>
        <v>Bloody</v>
      </c>
      <c r="V377" s="155">
        <f ca="1">IFERROR(__xludf.DUMMYFUNCTION("if(W377=""Middle Age"",QUERY(NPCVar!$K$2:$N1000, ""Select L where K = '""&amp;AB377&amp;""'""),if(W377=""Old"",QUERY(NPCVar!$K$2:$N1000, ""Select M where K = '""&amp;AB377&amp;""'""),if(W377=""Venerable"",QUERY(NPCVar!$K$2:$N1000, ""Select N where K = '""&amp;AB377&amp;""'""),fa"&amp;"lse)))*X377"),67.5)</f>
        <v>67.5</v>
      </c>
      <c r="W377" s="156" t="str">
        <f t="array" ref="W377">INDEX(NPCAgeType,TRUNC(1+(4-1)*(TRUNC(MOD((X377*1103515245 +12345)/ 65536, 32768),0)/32768),0))</f>
        <v>Old</v>
      </c>
      <c r="X377" s="117">
        <f t="shared" si="29"/>
        <v>1</v>
      </c>
      <c r="Y377" s="157" t="e">
        <f t="array" aca="1" ref="Y377" ca="1">LOOKUP(ABS(MAX(Z377 + MIN(ABS(INDIRECT("Class Jobs!B"&amp;MATCH(E377,'Class Jobs'!$A$1:$A1000,0)&amp;":"&amp;"AF"&amp;MATCH(E377,'Class Jobs'!$A$1:$A1000,0)&amp;"")-$Z377)) * SUM(IF(MIN(ABS(INDIRECT("Class Jobs!B"&amp;MATCH(E377,'Class Jobs'!$A$1:$A1000,0)&amp;":"&amp;"AF"&amp;MATCH(E377,'Class Jobs'!$A$1:$A1000,0)&amp;"")-$Z377))=ABS(INDIRECT("Class Jobs!B"&amp;MATCH(E377,'Class Jobs'!$A$1:$A1000,0)&amp;":"&amp;"AF"&amp;MATCH(E377,'Class Jobs'!$A$1:$A1000,0)&amp;"")-$Z377),SIGN(INDIRECT("Class Jobs!B"&amp;MATCH(E377,'Class Jobs'!$A$1:A1000,0)&amp;":"&amp;"AF"&amp;MATCH(E377,'Class Jobs'!$A$1:$A1000,0)&amp;"")-$Z377),0)),0)),INDIRECT("Class Jobs!B"&amp;MATCH(E377,'Class Jobs'!$A$1:$A1000,0)&amp;":"&amp;"AF"&amp;MATCH(E377,'Class Jobs'!$A$1:$A1000,1)&amp;""),'Class Jobs'!$B$1:$AF$1)</f>
        <v>#REF!</v>
      </c>
      <c r="Z377" s="158">
        <f t="shared" si="25"/>
        <v>0.41</v>
      </c>
      <c r="AA377" s="16" t="str">
        <f t="array" ref="AA377">INDEX(NPCGender,TRUNC(1+(COUNTA(NPCGender))*(TRUNC(MOD(($B377*1103515245 +12345)/ 65536, 32768),0)/32768),0))</f>
        <v>Female</v>
      </c>
      <c r="AB377" s="16" t="str">
        <f t="array" ref="AB377">INDEX(NPCRace,TRUNC(1+(COUNTA(NPCRace))*(TRUNC(MOD(($B377*1103515245 +12345)/ 65536, 32768),0)/32768),0))</f>
        <v>Half-Elf</v>
      </c>
      <c r="AC377" s="16" t="str">
        <f t="array" ref="AC377">INDEX(NPCAL,TRUNC(1+(COUNTA(NPCAL))*(TRUNC(MOD(($B377*1103515245 +12345)/ 65536, 32768),0)/32768),0))</f>
        <v>NG</v>
      </c>
      <c r="AD377" s="72" t="str">
        <f ca="1">IFERROR(__xludf.DUMMYFUNCTION("if(V377&lt;15,QUERY(NPCVar!C:D,""Select D WHERE C = '""&amp;D377&amp;""'""),if((TRUNC(1+10)*(TRUNC(MOD((ROW(H377)*1103515245 +12345)/ 65536, 32768),0)/32768)/10) &gt; 0.85,INDEX(NPCFaction,TRUNC(1+(counta(NPCFaction)-1)*(TRUNC(MOD(($B377*1103515245 +12345)/ 65536, 3276"&amp;"8),0)/32768),0)),QUERY(NPCVar!C:D,""Select D WHERE C = '""&amp;D377&amp;""'"")))"),"Traders Guild")</f>
        <v>Traders Guild</v>
      </c>
      <c r="AE377" s="108" t="e">
        <f t="shared" ca="1" si="26"/>
        <v>#NAME?</v>
      </c>
      <c r="AF377" s="159">
        <f ca="1">IFERROR(__xludf.DUMMYFUNCTION("AE377*(V377 / QUERY(NPCVar!$K$2:$N$12, ""Select N WHERE K='""&amp;AB377&amp;""'""))*TRUNC(1+10)*(TRUNC(MOD(($B377*1103515245 +12345)/ 65536, 32768),0)/32768)"),0.166936111450195)</f>
        <v>0.16693611145019499</v>
      </c>
      <c r="AG377" s="16"/>
      <c r="AH377" s="77"/>
      <c r="AI377" s="114"/>
    </row>
    <row r="378" spans="1:35" ht="16.2">
      <c r="A378" s="53">
        <v>377</v>
      </c>
      <c r="B378" s="118">
        <f t="shared" si="30"/>
        <v>2.2816399999999999</v>
      </c>
      <c r="C378" s="72" t="str">
        <f t="array" ref="C378">INDEX(NPCFName,TRUNC(1+(COUNTA(NPCFName))*(TRUNC(MOD(($B378*1103515245 +12345)/ 65536, 32768),0)/32768),0))</f>
        <v>Lephidiles</v>
      </c>
      <c r="D378" s="16" t="str">
        <f t="array" ref="D378">INDEX(NPCLName,TRUNC(1+(COUNTA(NPCLName))*(TRUNC(MOD(($B378*1103515245 +12345)/ 65536, 32768),0)/32768),0))</f>
        <v>Ashcloud</v>
      </c>
      <c r="E378" s="16" t="str">
        <f t="array" ref="E378">INDEX(NPCClass,TRUNC(1+(COUNTA(NPCClass))*(TRUNC(MOD(($B378*1103515245 +12345)/ 65536, 32768),0)/32768),0))</f>
        <v>Druid</v>
      </c>
      <c r="F378" s="76">
        <v>1</v>
      </c>
      <c r="G378" s="153">
        <f ca="1">VLOOKUP($AB$2,'RF Mod'!$A$2:$G$12,2,FALSE)+VLOOKUP($AD$2,'RF Mod'!$I$2:$O$11,2,FALSE)+(TRUNC(6+(24-6)*(TRUNC(MOD(($Z378*1103515245 +12345)/ 65536, 32768),0)/32768),0))</f>
        <v>5</v>
      </c>
      <c r="H378" s="16">
        <f t="shared" ca="1" si="17"/>
        <v>-3</v>
      </c>
      <c r="I378" s="153">
        <f ca="1">VLOOKUP($AB$2,'RF Mod'!$A$2:$G$12,3,FALSE)+VLOOKUP($AD$2,'RF Mod'!$I$2:$O$11,3,FALSE)+(TRUNC(6+(24-6)*(TRUNC(MOD(($Z378*1103515245 +12345)/ 65536, 32768),0)/32768),0))</f>
        <v>9</v>
      </c>
      <c r="J378" s="16">
        <f t="shared" ca="1" si="18"/>
        <v>-1</v>
      </c>
      <c r="K378" s="153">
        <f ca="1">VLOOKUP($AB$2,'RF Mod'!$A$2:$G$12,3,FALSE)+VLOOKUP($AD$2,'RF Mod'!$I$2:$O$11,3,FALSE)+(TRUNC(6+(24-6)*(TRUNC(MOD(($Z378*1103515245 +12345)/ 65536, 32768),0)/32768),0))</f>
        <v>9</v>
      </c>
      <c r="L378" s="16">
        <f t="shared" ca="1" si="19"/>
        <v>-1</v>
      </c>
      <c r="M378" s="153">
        <f ca="1">VLOOKUP($AB$2,'RF Mod'!$A$2:$G$12,4,FALSE)+VLOOKUP($AD$2,'RF Mod'!$I$2:$O$11,4,FALSE)+(TRUNC(6+(24-6)*(TRUNC(MOD(($Z378*1103515245 +12345)/ 65536, 32768),0)/32768),0))</f>
        <v>8</v>
      </c>
      <c r="N378" s="16">
        <f t="shared" ca="1" si="20"/>
        <v>-1</v>
      </c>
      <c r="O378" s="153">
        <f ca="1">VLOOKUP($AB$2,'RF Mod'!$A$2:$G$12,5,FALSE)+VLOOKUP($AD$2,'RF Mod'!$I$2:$O$11,5,FALSE)+(TRUNC(6+(24-6)*(TRUNC(MOD(($Z378*1103515245 +12345)/ 65536, 32768),0)/32768),0))</f>
        <v>11</v>
      </c>
      <c r="P378" s="16" t="e">
        <f t="shared" ca="1" si="21"/>
        <v>#NAME?</v>
      </c>
      <c r="Q378" s="153">
        <f ca="1">VLOOKUP($AB$2,'RF Mod'!$A$2:$G$12,6,FALSE)+VLOOKUP($AD$2,'RF Mod'!$I$2:$O$11,6,FALSE)+(TRUNC(6+(24-6)*(TRUNC(MOD(($Z378*1103515245 +12345)/ 65536, 32768),0)/32768),0))</f>
        <v>9</v>
      </c>
      <c r="R378" s="16">
        <f t="shared" ca="1" si="22"/>
        <v>-1</v>
      </c>
      <c r="S378" s="154">
        <f t="shared" ca="1" si="28"/>
        <v>11</v>
      </c>
      <c r="T378" s="154">
        <f t="shared" ca="1" si="23"/>
        <v>2</v>
      </c>
      <c r="U378" s="16" t="str">
        <f t="shared" ca="1" si="24"/>
        <v>Fine</v>
      </c>
      <c r="V378" s="155">
        <f ca="1">IFERROR(__xludf.DUMMYFUNCTION("if(W378=""Middle Age"",QUERY(NPCVar!$K$2:$N1000, ""Select L where K = '""&amp;AB378&amp;""'""),if(W378=""Old"",QUERY(NPCVar!$K$2:$N1000, ""Select M where K = '""&amp;AB378&amp;""'""),if(W378=""Venerable"",QUERY(NPCVar!$K$2:$N1000, ""Select N where K = '""&amp;AB378&amp;""'""),fa"&amp;"lse)))*X378"),40)</f>
        <v>40</v>
      </c>
      <c r="W378" s="156" t="str">
        <f t="array" ref="W378">INDEX(NPCAgeType,TRUNC(1+(4-1)*(TRUNC(MOD((X378*1103515245 +12345)/ 65536, 32768),0)/32768),0))</f>
        <v>Middle Age</v>
      </c>
      <c r="X378" s="117">
        <f t="shared" si="29"/>
        <v>0.5</v>
      </c>
      <c r="Y378" s="157" t="e">
        <f t="array" aca="1" ref="Y378" ca="1">LOOKUP(ABS(MAX(Z378 + MIN(ABS(INDIRECT("Class Jobs!B"&amp;MATCH(E378,'Class Jobs'!$A$1:$A1000,0)&amp;":"&amp;"AF"&amp;MATCH(E378,'Class Jobs'!$A$1:$A1000,0)&amp;"")-$Z378)) * SUM(IF(MIN(ABS(INDIRECT("Class Jobs!B"&amp;MATCH(E378,'Class Jobs'!$A$1:$A1000,0)&amp;":"&amp;"AF"&amp;MATCH(E378,'Class Jobs'!$A$1:$A1000,0)&amp;"")-$Z378))=ABS(INDIRECT("Class Jobs!B"&amp;MATCH(E378,'Class Jobs'!$A$1:$A1000,0)&amp;":"&amp;"AF"&amp;MATCH(E378,'Class Jobs'!$A$1:$A1000,0)&amp;"")-$Z378),SIGN(INDIRECT("Class Jobs!B"&amp;MATCH(E378,'Class Jobs'!$A$1:A1000,0)&amp;":"&amp;"AF"&amp;MATCH(E378,'Class Jobs'!$A$1:$A1000,0)&amp;"")-$Z378),0)),0)),INDIRECT("Class Jobs!B"&amp;MATCH(E378,'Class Jobs'!$A$1:$A1000,0)&amp;":"&amp;"AF"&amp;MATCH(E378,'Class Jobs'!$A$1:$A1000,1)&amp;""),'Class Jobs'!$B$1:$AF$1)</f>
        <v>#REF!</v>
      </c>
      <c r="Z378" s="158">
        <f t="shared" si="25"/>
        <v>0.18</v>
      </c>
      <c r="AA378" s="16" t="str">
        <f t="array" ref="AA378">INDEX(NPCGender,TRUNC(1+(COUNTA(NPCGender))*(TRUNC(MOD(($B378*1103515245 +12345)/ 65536, 32768),0)/32768),0))</f>
        <v>Male</v>
      </c>
      <c r="AB378" s="16" t="str">
        <f t="array" ref="AB378">INDEX(NPCRace,TRUNC(1+(COUNTA(NPCRace))*(TRUNC(MOD(($B378*1103515245 +12345)/ 65536, 32768),0)/32768),0))</f>
        <v>Dwarf</v>
      </c>
      <c r="AC378" s="16" t="str">
        <f t="array" ref="AC378">INDEX(NPCAL,TRUNC(1+(COUNTA(NPCAL))*(TRUNC(MOD(($B378*1103515245 +12345)/ 65536, 32768),0)/32768),0))</f>
        <v>CE</v>
      </c>
      <c r="AD378" s="72" t="str">
        <f ca="1">IFERROR(__xludf.DUMMYFUNCTION("if(V378&lt;15,QUERY(NPCVar!C:D,""Select D WHERE C = '""&amp;D378&amp;""'""),if((TRUNC(1+10)*(TRUNC(MOD((ROW(H378)*1103515245 +12345)/ 65536, 32768),0)/32768)/10) &gt; 0.85,INDEX(NPCFaction,TRUNC(1+(counta(NPCFaction)-1)*(TRUNC(MOD(($B378*1103515245 +12345)/ 65536, 3276"&amp;"8),0)/32768),0)),QUERY(NPCVar!C:D,""Select D WHERE C = '""&amp;D378&amp;""'"")))"),"Magic Guild")</f>
        <v>Magic Guild</v>
      </c>
      <c r="AE378" s="108" t="e">
        <f t="shared" ca="1" si="26"/>
        <v>#NAME?</v>
      </c>
      <c r="AF378" s="159">
        <f ca="1">IFERROR(__xludf.DUMMYFUNCTION("AE378*(V378 / QUERY(NPCVar!$K$2:$N$12, ""Select N WHERE K='""&amp;AB378&amp;""'""))*TRUNC(1+10)*(TRUNC(MOD(($B378*1103515245 +12345)/ 65536, 32768),0)/32768)"),0.0948501586914062)</f>
        <v>9.48501586914062E-2</v>
      </c>
      <c r="AG378" s="16"/>
      <c r="AH378" s="77"/>
      <c r="AI378" s="114"/>
    </row>
    <row r="379" spans="1:35" ht="16.2">
      <c r="A379" s="53">
        <v>378</v>
      </c>
      <c r="B379" s="118">
        <f t="shared" si="30"/>
        <v>1.27579</v>
      </c>
      <c r="C379" s="72" t="str">
        <f t="array" ref="C379">INDEX(NPCFName,TRUNC(1+(COUNTA(NPCFName))*(TRUNC(MOD(($B379*1103515245 +12345)/ 65536, 32768),0)/32768),0))</f>
        <v>Yabaro</v>
      </c>
      <c r="D379" s="16" t="str">
        <f t="array" ref="D379">INDEX(NPCLName,TRUNC(1+(COUNTA(NPCLName))*(TRUNC(MOD(($B379*1103515245 +12345)/ 65536, 32768),0)/32768),0))</f>
        <v>Mourninglash</v>
      </c>
      <c r="E379" s="16" t="str">
        <f t="array" ref="E379">INDEX(NPCClass,TRUNC(1+(COUNTA(NPCClass))*(TRUNC(MOD(($B379*1103515245 +12345)/ 65536, 32768),0)/32768),0))</f>
        <v>Warlock</v>
      </c>
      <c r="F379" s="76">
        <v>8</v>
      </c>
      <c r="G379" s="153">
        <f ca="1">VLOOKUP($AB$2,'RF Mod'!$A$2:$G$12,2,FALSE)+VLOOKUP($AD$2,'RF Mod'!$I$2:$O$11,2,FALSE)+(TRUNC(6+(24-6)*(TRUNC(MOD(($Z379*1103515245 +12345)/ 65536, 32768),0)/32768),0))</f>
        <v>10</v>
      </c>
      <c r="H379" s="16" t="e">
        <f t="shared" ca="1" si="17"/>
        <v>#NAME?</v>
      </c>
      <c r="I379" s="153">
        <f ca="1">VLOOKUP($AB$2,'RF Mod'!$A$2:$G$12,3,FALSE)+VLOOKUP($AD$2,'RF Mod'!$I$2:$O$11,3,FALSE)+(TRUNC(6+(24-6)*(TRUNC(MOD(($Z379*1103515245 +12345)/ 65536, 32768),0)/32768),0))</f>
        <v>14</v>
      </c>
      <c r="J379" s="16" t="e">
        <f t="shared" ca="1" si="18"/>
        <v>#NAME?</v>
      </c>
      <c r="K379" s="153">
        <f ca="1">VLOOKUP($AB$2,'RF Mod'!$A$2:$G$12,3,FALSE)+VLOOKUP($AD$2,'RF Mod'!$I$2:$O$11,3,FALSE)+(TRUNC(6+(24-6)*(TRUNC(MOD(($Z379*1103515245 +12345)/ 65536, 32768),0)/32768),0))</f>
        <v>14</v>
      </c>
      <c r="L379" s="16" t="e">
        <f t="shared" ca="1" si="19"/>
        <v>#NAME?</v>
      </c>
      <c r="M379" s="153">
        <f ca="1">VLOOKUP($AB$2,'RF Mod'!$A$2:$G$12,4,FALSE)+VLOOKUP($AD$2,'RF Mod'!$I$2:$O$11,4,FALSE)+(TRUNC(6+(24-6)*(TRUNC(MOD(($Z379*1103515245 +12345)/ 65536, 32768),0)/32768),0))</f>
        <v>13</v>
      </c>
      <c r="N379" s="16" t="e">
        <f t="shared" ca="1" si="20"/>
        <v>#NAME?</v>
      </c>
      <c r="O379" s="153">
        <f ca="1">VLOOKUP($AB$2,'RF Mod'!$A$2:$G$12,5,FALSE)+VLOOKUP($AD$2,'RF Mod'!$I$2:$O$11,5,FALSE)+(TRUNC(6+(24-6)*(TRUNC(MOD(($Z379*1103515245 +12345)/ 65536, 32768),0)/32768),0))</f>
        <v>16</v>
      </c>
      <c r="P379" s="16" t="e">
        <f t="shared" ca="1" si="21"/>
        <v>#NAME?</v>
      </c>
      <c r="Q379" s="153">
        <f ca="1">VLOOKUP($AB$2,'RF Mod'!$A$2:$G$12,6,FALSE)+VLOOKUP($AD$2,'RF Mod'!$I$2:$O$11,6,FALSE)+(TRUNC(6+(24-6)*(TRUNC(MOD(($Z379*1103515245 +12345)/ 65536, 32768),0)/32768),0))</f>
        <v>14</v>
      </c>
      <c r="R379" s="16" t="e">
        <f t="shared" ca="1" si="22"/>
        <v>#NAME?</v>
      </c>
      <c r="S379" s="154">
        <f t="shared" ca="1" si="28"/>
        <v>176</v>
      </c>
      <c r="T379" s="154">
        <f t="shared" ca="1" si="23"/>
        <v>107</v>
      </c>
      <c r="U379" s="16" t="str">
        <f t="shared" ca="1" si="24"/>
        <v>Bloody</v>
      </c>
      <c r="V379" s="155">
        <f ca="1">IFERROR(__xludf.DUMMYFUNCTION("if(W379=""Middle Age"",QUERY(NPCVar!$K$2:$N1000, ""Select L where K = '""&amp;AB379&amp;""'""),if(W379=""Old"",QUERY(NPCVar!$K$2:$N1000, ""Select M where K = '""&amp;AB379&amp;""'""),if(W379=""Venerable"",QUERY(NPCVar!$K$2:$N1000, ""Select N where K = '""&amp;AB379&amp;""'""),fa"&amp;"lse)))*X379"),144)</f>
        <v>144</v>
      </c>
      <c r="W379" s="156" t="str">
        <f t="array" ref="W379">INDEX(NPCAgeType,TRUNC(1+(4-1)*(TRUNC(MOD((X379*1103515245 +12345)/ 65536, 32768),0)/32768),0))</f>
        <v>Venerable</v>
      </c>
      <c r="X379" s="117">
        <f t="shared" si="29"/>
        <v>1.6</v>
      </c>
      <c r="Y379" s="157" t="e">
        <f t="array" aca="1" ref="Y379" ca="1">LOOKUP(ABS(MAX(Z379 + MIN(ABS(INDIRECT("Class Jobs!B"&amp;MATCH(E379,'Class Jobs'!$A$1:$A1000,0)&amp;":"&amp;"AF"&amp;MATCH(E379,'Class Jobs'!$A$1:$A1000,0)&amp;"")-$Z379)) * SUM(IF(MIN(ABS(INDIRECT("Class Jobs!B"&amp;MATCH(E379,'Class Jobs'!$A$1:$A1000,0)&amp;":"&amp;"AF"&amp;MATCH(E379,'Class Jobs'!$A$1:$A1000,0)&amp;"")-$Z379))=ABS(INDIRECT("Class Jobs!B"&amp;MATCH(E379,'Class Jobs'!$A$1:$A1000,0)&amp;":"&amp;"AF"&amp;MATCH(E379,'Class Jobs'!$A$1:$A1000,0)&amp;"")-$Z379),SIGN(INDIRECT("Class Jobs!B"&amp;MATCH(E379,'Class Jobs'!$A$1:A1000,0)&amp;":"&amp;"AF"&amp;MATCH(E379,'Class Jobs'!$A$1:$A1000,0)&amp;"")-$Z379),0)),0)),INDIRECT("Class Jobs!B"&amp;MATCH(E379,'Class Jobs'!$A$1:$A1000,0)&amp;":"&amp;"AF"&amp;MATCH(E379,'Class Jobs'!$A$1:$A1000,1)&amp;""),'Class Jobs'!$B$1:$AF$1)</f>
        <v>#REF!</v>
      </c>
      <c r="Z379" s="158">
        <f t="shared" si="25"/>
        <v>0.65</v>
      </c>
      <c r="AA379" s="16" t="str">
        <f t="array" ref="AA379">INDEX(NPCGender,TRUNC(1+(COUNTA(NPCGender))*(TRUNC(MOD(($B379*1103515245 +12345)/ 65536, 32768),0)/32768),0))</f>
        <v>Female</v>
      </c>
      <c r="AB379" s="16" t="str">
        <f t="array" ref="AB379">INDEX(NPCRace,TRUNC(1+(COUNTA(NPCRace))*(TRUNC(MOD(($B379*1103515245 +12345)/ 65536, 32768),0)/32768),0))</f>
        <v>Human</v>
      </c>
      <c r="AC379" s="16" t="str">
        <f t="array" ref="AC379">INDEX(NPCAL,TRUNC(1+(COUNTA(NPCAL))*(TRUNC(MOD(($B379*1103515245 +12345)/ 65536, 32768),0)/32768),0))</f>
        <v>NE</v>
      </c>
      <c r="AD379" s="72" t="str">
        <f ca="1">IFERROR(__xludf.DUMMYFUNCTION("if(V379&lt;15,QUERY(NPCVar!C:D,""Select D WHERE C = '""&amp;D379&amp;""'""),if((TRUNC(1+10)*(TRUNC(MOD((ROW(H379)*1103515245 +12345)/ 65536, 32768),0)/32768)/10) &gt; 0.85,INDEX(NPCFaction,TRUNC(1+(counta(NPCFaction)-1)*(TRUNC(MOD(($B379*1103515245 +12345)/ 65536, 3276"&amp;"8),0)/32768),0)),QUERY(NPCVar!C:D,""Select D WHERE C = '""&amp;D379&amp;""'"")))"),"Traverlers Guild")</f>
        <v>Traverlers Guild</v>
      </c>
      <c r="AE379" s="108" t="e">
        <f t="shared" ca="1" si="26"/>
        <v>#NAME?</v>
      </c>
      <c r="AF379" s="159">
        <f ca="1">IFERROR(__xludf.DUMMYFUNCTION("AE379*(V379 / QUERY(NPCVar!$K$2:$N$12, ""Select N WHERE K='""&amp;AB379&amp;""'""))*TRUNC(1+10)*(TRUNC(MOD(($B379*1103515245 +12345)/ 65536, 32768),0)/32768)"),4.6152734375)</f>
        <v>4.6152734375</v>
      </c>
      <c r="AG379" s="16"/>
      <c r="AH379" s="77"/>
      <c r="AI379" s="114"/>
    </row>
    <row r="380" spans="1:35" ht="16.2">
      <c r="A380" s="53">
        <v>379</v>
      </c>
      <c r="B380" s="118">
        <f t="shared" si="30"/>
        <v>0.26993</v>
      </c>
      <c r="C380" s="72" t="str">
        <f t="array" ref="C380">INDEX(NPCFName,TRUNC(1+(COUNTA(NPCFName))*(TRUNC(MOD(($B380*1103515245 +12345)/ 65536, 32768),0)/32768),0))</f>
        <v>Iarmod</v>
      </c>
      <c r="D380" s="16" t="str">
        <f t="array" ref="D380">INDEX(NPCLName,TRUNC(1+(COUNTA(NPCLName))*(TRUNC(MOD(($B380*1103515245 +12345)/ 65536, 32768),0)/32768),0))</f>
        <v>Fistwing</v>
      </c>
      <c r="E380" s="16" t="str">
        <f t="array" ref="E380">INDEX(NPCClass,TRUNC(1+(COUNTA(NPCClass))*(TRUNC(MOD(($B380*1103515245 +12345)/ 65536, 32768),0)/32768),0))</f>
        <v>Bard</v>
      </c>
      <c r="F380" s="76">
        <v>1</v>
      </c>
      <c r="G380" s="153">
        <f ca="1">VLOOKUP($AB$2,'RF Mod'!$A$2:$G$12,2,FALSE)+VLOOKUP($AD$2,'RF Mod'!$I$2:$O$11,2,FALSE)+(TRUNC(6+(24-6)*(TRUNC(MOD(($Z380*1103515245 +12345)/ 65536, 32768),0)/32768),0))</f>
        <v>5</v>
      </c>
      <c r="H380" s="16">
        <f t="shared" ca="1" si="17"/>
        <v>-3</v>
      </c>
      <c r="I380" s="153">
        <f ca="1">VLOOKUP($AB$2,'RF Mod'!$A$2:$G$12,3,FALSE)+VLOOKUP($AD$2,'RF Mod'!$I$2:$O$11,3,FALSE)+(TRUNC(6+(24-6)*(TRUNC(MOD(($Z380*1103515245 +12345)/ 65536, 32768),0)/32768),0))</f>
        <v>9</v>
      </c>
      <c r="J380" s="16">
        <f t="shared" ca="1" si="18"/>
        <v>-1</v>
      </c>
      <c r="K380" s="153">
        <f ca="1">VLOOKUP($AB$2,'RF Mod'!$A$2:$G$12,3,FALSE)+VLOOKUP($AD$2,'RF Mod'!$I$2:$O$11,3,FALSE)+(TRUNC(6+(24-6)*(TRUNC(MOD(($Z380*1103515245 +12345)/ 65536, 32768),0)/32768),0))</f>
        <v>9</v>
      </c>
      <c r="L380" s="16">
        <f t="shared" ca="1" si="19"/>
        <v>-1</v>
      </c>
      <c r="M380" s="153">
        <f ca="1">VLOOKUP($AB$2,'RF Mod'!$A$2:$G$12,4,FALSE)+VLOOKUP($AD$2,'RF Mod'!$I$2:$O$11,4,FALSE)+(TRUNC(6+(24-6)*(TRUNC(MOD(($Z380*1103515245 +12345)/ 65536, 32768),0)/32768),0))</f>
        <v>8</v>
      </c>
      <c r="N380" s="16">
        <f t="shared" ca="1" si="20"/>
        <v>-1</v>
      </c>
      <c r="O380" s="153">
        <f ca="1">VLOOKUP($AB$2,'RF Mod'!$A$2:$G$12,5,FALSE)+VLOOKUP($AD$2,'RF Mod'!$I$2:$O$11,5,FALSE)+(TRUNC(6+(24-6)*(TRUNC(MOD(($Z380*1103515245 +12345)/ 65536, 32768),0)/32768),0))</f>
        <v>11</v>
      </c>
      <c r="P380" s="16" t="e">
        <f t="shared" ca="1" si="21"/>
        <v>#NAME?</v>
      </c>
      <c r="Q380" s="153">
        <f ca="1">VLOOKUP($AB$2,'RF Mod'!$A$2:$G$12,6,FALSE)+VLOOKUP($AD$2,'RF Mod'!$I$2:$O$11,6,FALSE)+(TRUNC(6+(24-6)*(TRUNC(MOD(($Z380*1103515245 +12345)/ 65536, 32768),0)/32768),0))</f>
        <v>9</v>
      </c>
      <c r="R380" s="16">
        <f t="shared" ca="1" si="22"/>
        <v>-1</v>
      </c>
      <c r="S380" s="154">
        <f t="shared" ca="1" si="28"/>
        <v>11</v>
      </c>
      <c r="T380" s="154">
        <f t="shared" ca="1" si="23"/>
        <v>8</v>
      </c>
      <c r="U380" s="16" t="str">
        <f t="shared" ca="1" si="24"/>
        <v>Bloody</v>
      </c>
      <c r="V380" s="155">
        <f ca="1">IFERROR(__xludf.DUMMYFUNCTION("if(W380=""Middle Age"",QUERY(NPCVar!$K$2:$N1000, ""Select L where K = '""&amp;AB380&amp;""'""),if(W380=""Old"",QUERY(NPCVar!$K$2:$N1000, ""Select M where K = '""&amp;AB380&amp;""'""),if(W380=""Venerable"",QUERY(NPCVar!$K$2:$N1000, ""Select N where K = '""&amp;AB380&amp;""'""),fa"&amp;"lse)))*X380"),32)</f>
        <v>32</v>
      </c>
      <c r="W380" s="156" t="str">
        <f t="array" ref="W380">INDEX(NPCAgeType,TRUNC(1+(4-1)*(TRUNC(MOD((X380*1103515245 +12345)/ 65536, 32768),0)/32768),0))</f>
        <v>Middle Age</v>
      </c>
      <c r="X380" s="117">
        <f t="shared" si="29"/>
        <v>0.4</v>
      </c>
      <c r="Y380" s="157" t="e">
        <f t="array" aca="1" ref="Y380" ca="1">LOOKUP(ABS(MAX(Z380 + MIN(ABS(INDIRECT("Class Jobs!B"&amp;MATCH(E380,'Class Jobs'!$A$1:$A1000,0)&amp;":"&amp;"AF"&amp;MATCH(E380,'Class Jobs'!$A$1:$A1000,0)&amp;"")-$Z380)) * SUM(IF(MIN(ABS(INDIRECT("Class Jobs!B"&amp;MATCH(E380,'Class Jobs'!$A$1:$A1000,0)&amp;":"&amp;"AF"&amp;MATCH(E380,'Class Jobs'!$A$1:$A1000,0)&amp;"")-$Z380))=ABS(INDIRECT("Class Jobs!B"&amp;MATCH(E380,'Class Jobs'!$A$1:$A1000,0)&amp;":"&amp;"AF"&amp;MATCH(E380,'Class Jobs'!$A$1:$A1000,0)&amp;"")-$Z380),SIGN(INDIRECT("Class Jobs!B"&amp;MATCH(E380,'Class Jobs'!$A$1:A1000,0)&amp;":"&amp;"AF"&amp;MATCH(E380,'Class Jobs'!$A$1:$A1000,0)&amp;"")-$Z380),0)),0)),INDIRECT("Class Jobs!B"&amp;MATCH(E380,'Class Jobs'!$A$1:$A1000,0)&amp;":"&amp;"AF"&amp;MATCH(E380,'Class Jobs'!$A$1:$A1000,1)&amp;""),'Class Jobs'!$B$1:$AF$1)</f>
        <v>#REF!</v>
      </c>
      <c r="Z380" s="158">
        <f t="shared" si="25"/>
        <v>0.14000000000000001</v>
      </c>
      <c r="AA380" s="16" t="str">
        <f t="array" ref="AA380">INDEX(NPCGender,TRUNC(1+(COUNTA(NPCGender))*(TRUNC(MOD(($B380*1103515245 +12345)/ 65536, 32768),0)/32768),0))</f>
        <v>Male</v>
      </c>
      <c r="AB380" s="16" t="str">
        <f t="array" ref="AB380">INDEX(NPCRace,TRUNC(1+(COUNTA(NPCRace))*(TRUNC(MOD(($B380*1103515245 +12345)/ 65536, 32768),0)/32768),0))</f>
        <v>Dwarf</v>
      </c>
      <c r="AC380" s="16" t="str">
        <f t="array" ref="AC380">INDEX(NPCAL,TRUNC(1+(COUNTA(NPCAL))*(TRUNC(MOD(($B380*1103515245 +12345)/ 65536, 32768),0)/32768),0))</f>
        <v>CE</v>
      </c>
      <c r="AD380" s="72" t="str">
        <f ca="1">IFERROR(__xludf.DUMMYFUNCTION("if(V380&lt;15,QUERY(NPCVar!C:D,""Select D WHERE C = '""&amp;D380&amp;""'""),if((TRUNC(1+10)*(TRUNC(MOD((ROW(H380)*1103515245 +12345)/ 65536, 32768),0)/32768)/10) &gt; 0.85,INDEX(NPCFaction,TRUNC(1+(counta(NPCFaction)-1)*(TRUNC(MOD(($B380*1103515245 +12345)/ 65536, 3276"&amp;"8),0)/32768),0)),QUERY(NPCVar!C:D,""Select D WHERE C = '""&amp;D380&amp;""'"")))"),"Royalty")</f>
        <v>Royalty</v>
      </c>
      <c r="AE380" s="108" t="e">
        <f t="shared" ca="1" si="26"/>
        <v>#NAME?</v>
      </c>
      <c r="AF380" s="159">
        <f ca="1">IFERROR(__xludf.DUMMYFUNCTION("AE380*(V380 / QUERY(NPCVar!$K$2:$N$12, ""Select N WHERE K='""&amp;AB380&amp;""'""))*TRUNC(1+10)*(TRUNC(MOD(($B380*1103515245 +12345)/ 65536, 32768),0)/32768)"),0.061029052734375)</f>
        <v>6.1029052734374999E-2</v>
      </c>
      <c r="AG380" s="16"/>
      <c r="AH380" s="77"/>
      <c r="AI380" s="114"/>
    </row>
    <row r="381" spans="1:35" ht="16.2">
      <c r="A381" s="53">
        <v>380</v>
      </c>
      <c r="B381" s="118">
        <f t="shared" si="30"/>
        <v>1.76407</v>
      </c>
      <c r="C381" s="72" t="str">
        <f t="array" ref="C381">INDEX(NPCFName,TRUNC(1+(COUNTA(NPCFName))*(TRUNC(MOD(($B381*1103515245 +12345)/ 65536, 32768),0)/32768),0))</f>
        <v>Resboron</v>
      </c>
      <c r="D381" s="16" t="str">
        <f t="array" ref="D381">INDEX(NPCLName,TRUNC(1+(COUNTA(NPCLName))*(TRUNC(MOD(($B381*1103515245 +12345)/ 65536, 32768),0)/32768),0))</f>
        <v>Stormwolf</v>
      </c>
      <c r="E381" s="16" t="str">
        <f t="array" ref="E381">INDEX(NPCClass,TRUNC(1+(COUNTA(NPCClass))*(TRUNC(MOD(($B381*1103515245 +12345)/ 65536, 32768),0)/32768),0))</f>
        <v>Fighter</v>
      </c>
      <c r="F381" s="76">
        <v>8</v>
      </c>
      <c r="G381" s="153">
        <f ca="1">VLOOKUP($AB$2,'RF Mod'!$A$2:$G$12,2,FALSE)+VLOOKUP($AD$2,'RF Mod'!$I$2:$O$11,2,FALSE)+(TRUNC(6+(24-6)*(TRUNC(MOD(($Z381*1103515245 +12345)/ 65536, 32768),0)/32768),0))</f>
        <v>12</v>
      </c>
      <c r="H381" s="16" t="e">
        <f t="shared" ca="1" si="17"/>
        <v>#NAME?</v>
      </c>
      <c r="I381" s="153">
        <f ca="1">VLOOKUP($AB$2,'RF Mod'!$A$2:$G$12,3,FALSE)+VLOOKUP($AD$2,'RF Mod'!$I$2:$O$11,3,FALSE)+(TRUNC(6+(24-6)*(TRUNC(MOD(($Z381*1103515245 +12345)/ 65536, 32768),0)/32768),0))</f>
        <v>16</v>
      </c>
      <c r="J381" s="16" t="e">
        <f t="shared" ca="1" si="18"/>
        <v>#NAME?</v>
      </c>
      <c r="K381" s="153">
        <f ca="1">VLOOKUP($AB$2,'RF Mod'!$A$2:$G$12,3,FALSE)+VLOOKUP($AD$2,'RF Mod'!$I$2:$O$11,3,FALSE)+(TRUNC(6+(24-6)*(TRUNC(MOD(($Z381*1103515245 +12345)/ 65536, 32768),0)/32768),0))</f>
        <v>16</v>
      </c>
      <c r="L381" s="16" t="e">
        <f t="shared" ca="1" si="19"/>
        <v>#NAME?</v>
      </c>
      <c r="M381" s="153">
        <f ca="1">VLOOKUP($AB$2,'RF Mod'!$A$2:$G$12,4,FALSE)+VLOOKUP($AD$2,'RF Mod'!$I$2:$O$11,4,FALSE)+(TRUNC(6+(24-6)*(TRUNC(MOD(($Z381*1103515245 +12345)/ 65536, 32768),0)/32768),0))</f>
        <v>15</v>
      </c>
      <c r="N381" s="16" t="e">
        <f t="shared" ca="1" si="20"/>
        <v>#NAME?</v>
      </c>
      <c r="O381" s="153">
        <f ca="1">VLOOKUP($AB$2,'RF Mod'!$A$2:$G$12,5,FALSE)+VLOOKUP($AD$2,'RF Mod'!$I$2:$O$11,5,FALSE)+(TRUNC(6+(24-6)*(TRUNC(MOD(($Z381*1103515245 +12345)/ 65536, 32768),0)/32768),0))</f>
        <v>18</v>
      </c>
      <c r="P381" s="16" t="e">
        <f t="shared" ca="1" si="21"/>
        <v>#NAME?</v>
      </c>
      <c r="Q381" s="153">
        <f ca="1">VLOOKUP($AB$2,'RF Mod'!$A$2:$G$12,6,FALSE)+VLOOKUP($AD$2,'RF Mod'!$I$2:$O$11,6,FALSE)+(TRUNC(6+(24-6)*(TRUNC(MOD(($Z381*1103515245 +12345)/ 65536, 32768),0)/32768),0))</f>
        <v>16</v>
      </c>
      <c r="R381" s="16" t="e">
        <f t="shared" ca="1" si="22"/>
        <v>#NAME?</v>
      </c>
      <c r="S381" s="154">
        <f t="shared" ca="1" si="28"/>
        <v>160</v>
      </c>
      <c r="T381" s="154">
        <f t="shared" ca="1" si="23"/>
        <v>158</v>
      </c>
      <c r="U381" s="16" t="str">
        <f t="shared" ca="1" si="24"/>
        <v>Bloody</v>
      </c>
      <c r="V381" s="155">
        <f ca="1">IFERROR(__xludf.DUMMYFUNCTION("if(W381=""Middle Age"",QUERY(NPCVar!$K$2:$N1000, ""Select L where K = '""&amp;AB381&amp;""'""),if(W381=""Old"",QUERY(NPCVar!$K$2:$N1000, ""Select M where K = '""&amp;AB381&amp;""'""),if(W381=""Venerable"",QUERY(NPCVar!$K$2:$N1000, ""Select N where K = '""&amp;AB381&amp;""'""),fa"&amp;"lse)))*X381"),60.5)</f>
        <v>60.5</v>
      </c>
      <c r="W381" s="156" t="str">
        <f t="array" ref="W381">INDEX(NPCAgeType,TRUNC(1+(4-1)*(TRUNC(MOD((X381*1103515245 +12345)/ 65536, 32768),0)/32768),0))</f>
        <v>Middle Age</v>
      </c>
      <c r="X381" s="117">
        <f t="shared" si="29"/>
        <v>2.2000000000000002</v>
      </c>
      <c r="Y381" s="157" t="e">
        <f t="array" aca="1" ref="Y381" ca="1">LOOKUP(ABS(MAX(Z381 + MIN(ABS(INDIRECT("Class Jobs!B"&amp;MATCH(E381,'Class Jobs'!$A$1:$A1000,0)&amp;":"&amp;"AF"&amp;MATCH(E381,'Class Jobs'!$A$1:$A1000,0)&amp;"")-$Z381)) * SUM(IF(MIN(ABS(INDIRECT("Class Jobs!B"&amp;MATCH(E381,'Class Jobs'!$A$1:$A1000,0)&amp;":"&amp;"AF"&amp;MATCH(E381,'Class Jobs'!$A$1:$A1000,0)&amp;"")-$Z381))=ABS(INDIRECT("Class Jobs!B"&amp;MATCH(E381,'Class Jobs'!$A$1:$A1000,0)&amp;":"&amp;"AF"&amp;MATCH(E381,'Class Jobs'!$A$1:$A1000,0)&amp;"")-$Z381),SIGN(INDIRECT("Class Jobs!B"&amp;MATCH(E381,'Class Jobs'!$A$1:A1000,0)&amp;":"&amp;"AF"&amp;MATCH(E381,'Class Jobs'!$A$1:$A1000,0)&amp;"")-$Z381),0)),0)),INDIRECT("Class Jobs!B"&amp;MATCH(E381,'Class Jobs'!$A$1:$A1000,0)&amp;":"&amp;"AF"&amp;MATCH(E381,'Class Jobs'!$A$1:$A1000,1)&amp;""),'Class Jobs'!$B$1:$AF$1)</f>
        <v>#REF!</v>
      </c>
      <c r="Z381" s="158">
        <f t="shared" si="25"/>
        <v>0.9</v>
      </c>
      <c r="AA381" s="16" t="str">
        <f t="array" ref="AA381">INDEX(NPCGender,TRUNC(1+(COUNTA(NPCGender))*(TRUNC(MOD(($B381*1103515245 +12345)/ 65536, 32768),0)/32768),0))</f>
        <v>Neutral</v>
      </c>
      <c r="AB381" s="16" t="str">
        <f t="array" ref="AB381">INDEX(NPCRace,TRUNC(1+(COUNTA(NPCRace))*(TRUNC(MOD(($B381*1103515245 +12345)/ 65536, 32768),0)/32768),0))</f>
        <v>Genasi</v>
      </c>
      <c r="AC381" s="16" t="str">
        <f t="array" ref="AC381">INDEX(NPCAL,TRUNC(1+(COUNTA(NPCAL))*(TRUNC(MOD(($B381*1103515245 +12345)/ 65536, 32768),0)/32768),0))</f>
        <v>LE</v>
      </c>
      <c r="AD381" s="72" t="str">
        <f ca="1">IFERROR(__xludf.DUMMYFUNCTION("if(V381&lt;15,QUERY(NPCVar!C:D,""Select D WHERE C = '""&amp;D381&amp;""'""),if((TRUNC(1+10)*(TRUNC(MOD((ROW(H381)*1103515245 +12345)/ 65536, 32768),0)/32768)/10) &gt; 0.85,INDEX(NPCFaction,TRUNC(1+(counta(NPCFaction)-1)*(TRUNC(MOD(($B381*1103515245 +12345)/ 65536, 3276"&amp;"8),0)/32768),0)),QUERY(NPCVar!C:D,""Select D WHERE C = '""&amp;D381&amp;""'"")))"),"Traverlers Guild")</f>
        <v>Traverlers Guild</v>
      </c>
      <c r="AE381" s="108" t="e">
        <f t="shared" ca="1" si="26"/>
        <v>#NAME?</v>
      </c>
      <c r="AF381" s="159">
        <f ca="1">IFERROR(__xludf.DUMMYFUNCTION("AE381*(V381 / QUERY(NPCVar!$K$2:$N$12, ""Select N WHERE K='""&amp;AB381&amp;""'""))*TRUNC(1+10)*(TRUNC(MOD(($B381*1103515245 +12345)/ 65536, 32768),0)/32768)"),2.1937158203125)</f>
        <v>2.1937158203124998</v>
      </c>
      <c r="AG381" s="16"/>
      <c r="AH381" s="77"/>
      <c r="AI381" s="114"/>
    </row>
    <row r="382" spans="1:35" ht="16.2">
      <c r="A382" s="53">
        <v>381</v>
      </c>
      <c r="B382" s="118">
        <f t="shared" si="30"/>
        <v>0.75821000000000005</v>
      </c>
      <c r="C382" s="72" t="str">
        <f t="array" ref="C382">INDEX(NPCFName,TRUNC(1+(COUNTA(NPCFName))*(TRUNC(MOD(($B382*1103515245 +12345)/ 65536, 32768),0)/32768),0))</f>
        <v>Cordale</v>
      </c>
      <c r="D382" s="16" t="str">
        <f t="array" ref="D382">INDEX(NPCLName,TRUNC(1+(COUNTA(NPCLName))*(TRUNC(MOD(($B382*1103515245 +12345)/ 65536, 32768),0)/32768),0))</f>
        <v>Fistroot</v>
      </c>
      <c r="E382" s="16" t="str">
        <f t="array" ref="E382">INDEX(NPCClass,TRUNC(1+(COUNTA(NPCClass))*(TRUNC(MOD(($B382*1103515245 +12345)/ 65536, 32768),0)/32768),0))</f>
        <v>Paladin</v>
      </c>
      <c r="F382" s="76">
        <v>1</v>
      </c>
      <c r="G382" s="153">
        <f ca="1">VLOOKUP($AB$2,'RF Mod'!$A$2:$G$12,2,FALSE)+VLOOKUP($AD$2,'RF Mod'!$I$2:$O$11,2,FALSE)+(TRUNC(6+(24-6)*(TRUNC(MOD(($Z382*1103515245 +12345)/ 65536, 32768),0)/32768),0))</f>
        <v>7</v>
      </c>
      <c r="H382" s="16">
        <f t="shared" ca="1" si="17"/>
        <v>-2</v>
      </c>
      <c r="I382" s="153">
        <f ca="1">VLOOKUP($AB$2,'RF Mod'!$A$2:$G$12,3,FALSE)+VLOOKUP($AD$2,'RF Mod'!$I$2:$O$11,3,FALSE)+(TRUNC(6+(24-6)*(TRUNC(MOD(($Z382*1103515245 +12345)/ 65536, 32768),0)/32768),0))</f>
        <v>11</v>
      </c>
      <c r="J382" s="16" t="e">
        <f t="shared" ca="1" si="18"/>
        <v>#NAME?</v>
      </c>
      <c r="K382" s="153">
        <f ca="1">VLOOKUP($AB$2,'RF Mod'!$A$2:$G$12,3,FALSE)+VLOOKUP($AD$2,'RF Mod'!$I$2:$O$11,3,FALSE)+(TRUNC(6+(24-6)*(TRUNC(MOD(($Z382*1103515245 +12345)/ 65536, 32768),0)/32768),0))</f>
        <v>11</v>
      </c>
      <c r="L382" s="16" t="e">
        <f t="shared" ca="1" si="19"/>
        <v>#NAME?</v>
      </c>
      <c r="M382" s="153">
        <f ca="1">VLOOKUP($AB$2,'RF Mod'!$A$2:$G$12,4,FALSE)+VLOOKUP($AD$2,'RF Mod'!$I$2:$O$11,4,FALSE)+(TRUNC(6+(24-6)*(TRUNC(MOD(($Z382*1103515245 +12345)/ 65536, 32768),0)/32768),0))</f>
        <v>10</v>
      </c>
      <c r="N382" s="16" t="e">
        <f t="shared" ca="1" si="20"/>
        <v>#NAME?</v>
      </c>
      <c r="O382" s="153">
        <f ca="1">VLOOKUP($AB$2,'RF Mod'!$A$2:$G$12,5,FALSE)+VLOOKUP($AD$2,'RF Mod'!$I$2:$O$11,5,FALSE)+(TRUNC(6+(24-6)*(TRUNC(MOD(($Z382*1103515245 +12345)/ 65536, 32768),0)/32768),0))</f>
        <v>13</v>
      </c>
      <c r="P382" s="16" t="e">
        <f t="shared" ca="1" si="21"/>
        <v>#NAME?</v>
      </c>
      <c r="Q382" s="153">
        <f ca="1">VLOOKUP($AB$2,'RF Mod'!$A$2:$G$12,6,FALSE)+VLOOKUP($AD$2,'RF Mod'!$I$2:$O$11,6,FALSE)+(TRUNC(6+(24-6)*(TRUNC(MOD(($Z382*1103515245 +12345)/ 65536, 32768),0)/32768),0))</f>
        <v>11</v>
      </c>
      <c r="R382" s="16" t="e">
        <f t="shared" ca="1" si="22"/>
        <v>#NAME?</v>
      </c>
      <c r="S382" s="154">
        <f t="shared" ca="1" si="28"/>
        <v>23</v>
      </c>
      <c r="T382" s="154">
        <f t="shared" ca="1" si="23"/>
        <v>18</v>
      </c>
      <c r="U382" s="16" t="str">
        <f t="shared" ca="1" si="24"/>
        <v>Bloody</v>
      </c>
      <c r="V382" s="155">
        <f ca="1">IFERROR(__xludf.DUMMYFUNCTION("if(W382=""Middle Age"",QUERY(NPCVar!$K$2:$N1000, ""Select L where K = '""&amp;AB382&amp;""'""),if(W382=""Old"",QUERY(NPCVar!$K$2:$N1000, ""Select M where K = '""&amp;AB382&amp;""'""),if(W382=""Venerable"",QUERY(NPCVar!$K$2:$N1000, ""Select N where K = '""&amp;AB382&amp;""'""),fa"&amp;"lse)))*X382"),67.5)</f>
        <v>67.5</v>
      </c>
      <c r="W382" s="156" t="str">
        <f t="array" ref="W382">INDEX(NPCAgeType,TRUNC(1+(4-1)*(TRUNC(MOD((X382*1103515245 +12345)/ 65536, 32768),0)/32768),0))</f>
        <v>Old</v>
      </c>
      <c r="X382" s="117">
        <f t="shared" si="29"/>
        <v>1</v>
      </c>
      <c r="Y382" s="157" t="e">
        <f t="array" aca="1" ref="Y382" ca="1">LOOKUP(ABS(MAX(Z382 + MIN(ABS(INDIRECT("Class Jobs!B"&amp;MATCH(E382,'Class Jobs'!$A$1:$A1000,0)&amp;":"&amp;"AF"&amp;MATCH(E382,'Class Jobs'!$A$1:$A1000,0)&amp;"")-$Z382)) * SUM(IF(MIN(ABS(INDIRECT("Class Jobs!B"&amp;MATCH(E382,'Class Jobs'!$A$1:$A1000,0)&amp;":"&amp;"AF"&amp;MATCH(E382,'Class Jobs'!$A$1:$A1000,0)&amp;"")-$Z382))=ABS(INDIRECT("Class Jobs!B"&amp;MATCH(E382,'Class Jobs'!$A$1:$A1000,0)&amp;":"&amp;"AF"&amp;MATCH(E382,'Class Jobs'!$A$1:$A1000,0)&amp;"")-$Z382),SIGN(INDIRECT("Class Jobs!B"&amp;MATCH(E382,'Class Jobs'!$A$1:A1000,0)&amp;":"&amp;"AF"&amp;MATCH(E382,'Class Jobs'!$A$1:$A1000,0)&amp;"")-$Z382),0)),0)),INDIRECT("Class Jobs!B"&amp;MATCH(E382,'Class Jobs'!$A$1:$A1000,0)&amp;":"&amp;"AF"&amp;MATCH(E382,'Class Jobs'!$A$1:$A1000,1)&amp;""),'Class Jobs'!$B$1:$AF$1)</f>
        <v>#REF!</v>
      </c>
      <c r="Z382" s="158">
        <f t="shared" si="25"/>
        <v>0.39</v>
      </c>
      <c r="AA382" s="16" t="str">
        <f t="array" ref="AA382">INDEX(NPCGender,TRUNC(1+(COUNTA(NPCGender))*(TRUNC(MOD(($B382*1103515245 +12345)/ 65536, 32768),0)/32768),0))</f>
        <v>Female</v>
      </c>
      <c r="AB382" s="16" t="str">
        <f t="array" ref="AB382">INDEX(NPCRace,TRUNC(1+(COUNTA(NPCRace))*(TRUNC(MOD(($B382*1103515245 +12345)/ 65536, 32768),0)/32768),0))</f>
        <v>Half-Elf</v>
      </c>
      <c r="AC382" s="16" t="str">
        <f t="array" ref="AC382">INDEX(NPCAL,TRUNC(1+(COUNTA(NPCAL))*(TRUNC(MOD(($B382*1103515245 +12345)/ 65536, 32768),0)/32768),0))</f>
        <v>NG</v>
      </c>
      <c r="AD382" s="72" t="str">
        <f ca="1">IFERROR(__xludf.DUMMYFUNCTION("if(V382&lt;15,QUERY(NPCVar!C:D,""Select D WHERE C = '""&amp;D382&amp;""'""),if((TRUNC(1+10)*(TRUNC(MOD((ROW(H382)*1103515245 +12345)/ 65536, 32768),0)/32768)/10) &gt; 0.85,INDEX(NPCFaction,TRUNC(1+(counta(NPCFaction)-1)*(TRUNC(MOD(($B382*1103515245 +12345)/ 65536, 3276"&amp;"8),0)/32768),0)),QUERY(NPCVar!C:D,""Select D WHERE C = '""&amp;D382&amp;""'"")))"),"Magic Guild")</f>
        <v>Magic Guild</v>
      </c>
      <c r="AE382" s="108" t="e">
        <f t="shared" ca="1" si="26"/>
        <v>#NAME?</v>
      </c>
      <c r="AF382" s="159">
        <f ca="1">IFERROR(__xludf.DUMMYFUNCTION("AE382*(V382 / QUERY(NPCVar!$K$2:$N$12, ""Select N WHERE K='""&amp;AB382&amp;""'""))*TRUNC(1+10)*(TRUNC(MOD(($B382*1103515245 +12345)/ 65536, 32768),0)/32768)"),1.12502174377441)</f>
        <v>1.1250217437744101</v>
      </c>
      <c r="AG382" s="16"/>
      <c r="AH382" s="77"/>
      <c r="AI382" s="114"/>
    </row>
    <row r="383" spans="1:35" ht="16.2">
      <c r="A383" s="53">
        <v>382</v>
      </c>
      <c r="B383" s="118">
        <f t="shared" si="30"/>
        <v>2.2523499999999999</v>
      </c>
      <c r="C383" s="72" t="str">
        <f t="array" ref="C383">INDEX(NPCFName,TRUNC(1+(COUNTA(NPCFName))*(TRUNC(MOD(($B383*1103515245 +12345)/ 65536, 32768),0)/32768),0))</f>
        <v>Kafar</v>
      </c>
      <c r="D383" s="16" t="str">
        <f t="array" ref="D383">INDEX(NPCLName,TRUNC(1+(COUNTA(NPCLName))*(TRUNC(MOD(($B383*1103515245 +12345)/ 65536, 32768),0)/32768),0))</f>
        <v>Fistwing</v>
      </c>
      <c r="E383" s="16" t="str">
        <f t="array" ref="E383">INDEX(NPCClass,TRUNC(1+(COUNTA(NPCClass))*(TRUNC(MOD(($B383*1103515245 +12345)/ 65536, 32768),0)/32768),0))</f>
        <v>Bard</v>
      </c>
      <c r="F383" s="76">
        <v>1</v>
      </c>
      <c r="G383" s="153">
        <f ca="1">VLOOKUP($AB$2,'RF Mod'!$A$2:$G$12,2,FALSE)+VLOOKUP($AD$2,'RF Mod'!$I$2:$O$11,2,FALSE)+(TRUNC(6+(24-6)*(TRUNC(MOD(($Z383*1103515245 +12345)/ 65536, 32768),0)/32768),0))</f>
        <v>5</v>
      </c>
      <c r="H383" s="16">
        <f t="shared" ca="1" si="17"/>
        <v>-3</v>
      </c>
      <c r="I383" s="153">
        <f ca="1">VLOOKUP($AB$2,'RF Mod'!$A$2:$G$12,3,FALSE)+VLOOKUP($AD$2,'RF Mod'!$I$2:$O$11,3,FALSE)+(TRUNC(6+(24-6)*(TRUNC(MOD(($Z383*1103515245 +12345)/ 65536, 32768),0)/32768),0))</f>
        <v>9</v>
      </c>
      <c r="J383" s="16">
        <f t="shared" ca="1" si="18"/>
        <v>-1</v>
      </c>
      <c r="K383" s="153">
        <f ca="1">VLOOKUP($AB$2,'RF Mod'!$A$2:$G$12,3,FALSE)+VLOOKUP($AD$2,'RF Mod'!$I$2:$O$11,3,FALSE)+(TRUNC(6+(24-6)*(TRUNC(MOD(($Z383*1103515245 +12345)/ 65536, 32768),0)/32768),0))</f>
        <v>9</v>
      </c>
      <c r="L383" s="16">
        <f t="shared" ca="1" si="19"/>
        <v>-1</v>
      </c>
      <c r="M383" s="153">
        <f ca="1">VLOOKUP($AB$2,'RF Mod'!$A$2:$G$12,4,FALSE)+VLOOKUP($AD$2,'RF Mod'!$I$2:$O$11,4,FALSE)+(TRUNC(6+(24-6)*(TRUNC(MOD(($Z383*1103515245 +12345)/ 65536, 32768),0)/32768),0))</f>
        <v>8</v>
      </c>
      <c r="N383" s="16">
        <f t="shared" ca="1" si="20"/>
        <v>-1</v>
      </c>
      <c r="O383" s="153">
        <f ca="1">VLOOKUP($AB$2,'RF Mod'!$A$2:$G$12,5,FALSE)+VLOOKUP($AD$2,'RF Mod'!$I$2:$O$11,5,FALSE)+(TRUNC(6+(24-6)*(TRUNC(MOD(($Z383*1103515245 +12345)/ 65536, 32768),0)/32768),0))</f>
        <v>11</v>
      </c>
      <c r="P383" s="16" t="e">
        <f t="shared" ca="1" si="21"/>
        <v>#NAME?</v>
      </c>
      <c r="Q383" s="153">
        <f ca="1">VLOOKUP($AB$2,'RF Mod'!$A$2:$G$12,6,FALSE)+VLOOKUP($AD$2,'RF Mod'!$I$2:$O$11,6,FALSE)+(TRUNC(6+(24-6)*(TRUNC(MOD(($Z383*1103515245 +12345)/ 65536, 32768),0)/32768),0))</f>
        <v>9</v>
      </c>
      <c r="R383" s="16">
        <f t="shared" ca="1" si="22"/>
        <v>-1</v>
      </c>
      <c r="S383" s="154">
        <f t="shared" ca="1" si="28"/>
        <v>11</v>
      </c>
      <c r="T383" s="154">
        <f t="shared" ca="1" si="23"/>
        <v>5</v>
      </c>
      <c r="U383" s="16" t="str">
        <f t="shared" ca="1" si="24"/>
        <v>Fine</v>
      </c>
      <c r="V383" s="155">
        <f ca="1">IFERROR(__xludf.DUMMYFUNCTION("if(W383=""Middle Age"",QUERY(NPCVar!$K$2:$N1000, ""Select L where K = '""&amp;AB383&amp;""'""),if(W383=""Old"",QUERY(NPCVar!$K$2:$N1000, ""Select M where K = '""&amp;AB383&amp;""'""),if(W383=""Venerable"",QUERY(NPCVar!$K$2:$N1000, ""Select N where K = '""&amp;AB383&amp;""'""),fa"&amp;"lse)))*X383"),32)</f>
        <v>32</v>
      </c>
      <c r="W383" s="156" t="str">
        <f t="array" ref="W383">INDEX(NPCAgeType,TRUNC(1+(4-1)*(TRUNC(MOD((X383*1103515245 +12345)/ 65536, 32768),0)/32768),0))</f>
        <v>Middle Age</v>
      </c>
      <c r="X383" s="117">
        <f t="shared" si="29"/>
        <v>0.4</v>
      </c>
      <c r="Y383" s="157" t="e">
        <f t="array" aca="1" ref="Y383" ca="1">LOOKUP(ABS(MAX(Z383 + MIN(ABS(INDIRECT("Class Jobs!B"&amp;MATCH(E383,'Class Jobs'!$A$1:$A1000,0)&amp;":"&amp;"AF"&amp;MATCH(E383,'Class Jobs'!$A$1:$A1000,0)&amp;"")-$Z383)) * SUM(IF(MIN(ABS(INDIRECT("Class Jobs!B"&amp;MATCH(E383,'Class Jobs'!$A$1:$A1000,0)&amp;":"&amp;"AF"&amp;MATCH(E383,'Class Jobs'!$A$1:$A1000,0)&amp;"")-$Z383))=ABS(INDIRECT("Class Jobs!B"&amp;MATCH(E383,'Class Jobs'!$A$1:$A1000,0)&amp;":"&amp;"AF"&amp;MATCH(E383,'Class Jobs'!$A$1:$A1000,0)&amp;"")-$Z383),SIGN(INDIRECT("Class Jobs!B"&amp;MATCH(E383,'Class Jobs'!$A$1:A1000,0)&amp;":"&amp;"AF"&amp;MATCH(E383,'Class Jobs'!$A$1:$A1000,0)&amp;"")-$Z383),0)),0)),INDIRECT("Class Jobs!B"&amp;MATCH(E383,'Class Jobs'!$A$1:$A1000,0)&amp;":"&amp;"AF"&amp;MATCH(E383,'Class Jobs'!$A$1:$A1000,1)&amp;""),'Class Jobs'!$B$1:$AF$1)</f>
        <v>#REF!</v>
      </c>
      <c r="Z383" s="158">
        <f t="shared" si="25"/>
        <v>0.16</v>
      </c>
      <c r="AA383" s="16" t="str">
        <f t="array" ref="AA383">INDEX(NPCGender,TRUNC(1+(COUNTA(NPCGender))*(TRUNC(MOD(($B383*1103515245 +12345)/ 65536, 32768),0)/32768),0))</f>
        <v>Male</v>
      </c>
      <c r="AB383" s="16" t="str">
        <f t="array" ref="AB383">INDEX(NPCRace,TRUNC(1+(COUNTA(NPCRace))*(TRUNC(MOD(($B383*1103515245 +12345)/ 65536, 32768),0)/32768),0))</f>
        <v>Dwarf</v>
      </c>
      <c r="AC383" s="16" t="str">
        <f t="array" ref="AC383">INDEX(NPCAL,TRUNC(1+(COUNTA(NPCAL))*(TRUNC(MOD(($B383*1103515245 +12345)/ 65536, 32768),0)/32768),0))</f>
        <v>CE</v>
      </c>
      <c r="AD383" s="72" t="str">
        <f ca="1">IFERROR(__xludf.DUMMYFUNCTION("if(V383&lt;15,QUERY(NPCVar!C:D,""Select D WHERE C = '""&amp;D383&amp;""'""),if((TRUNC(1+10)*(TRUNC(MOD((ROW(H383)*1103515245 +12345)/ 65536, 32768),0)/32768)/10) &gt; 0.85,INDEX(NPCFaction,TRUNC(1+(counta(NPCFaction)-1)*(TRUNC(MOD(($B383*1103515245 +12345)/ 65536, 3276"&amp;"8),0)/32768),0)),QUERY(NPCVar!C:D,""Select D WHERE C = '""&amp;D383&amp;""'"")))"),"Necromancer")</f>
        <v>Necromancer</v>
      </c>
      <c r="AE383" s="108" t="e">
        <f t="shared" ca="1" si="26"/>
        <v>#NAME?</v>
      </c>
      <c r="AF383" s="159">
        <f ca="1">IFERROR(__xludf.DUMMYFUNCTION("AE383*(V383 / QUERY(NPCVar!$K$2:$N$12, ""Select N WHERE K='""&amp;AB383&amp;""'""))*TRUNC(1+10)*(TRUNC(MOD(($B383*1103515245 +12345)/ 65536, 32768),0)/32768)"),0)</f>
        <v>0</v>
      </c>
      <c r="AG383" s="16"/>
      <c r="AH383" s="77"/>
      <c r="AI383" s="114"/>
    </row>
    <row r="384" spans="1:35" ht="16.2">
      <c r="A384" s="53">
        <v>383</v>
      </c>
      <c r="B384" s="118">
        <f t="shared" si="30"/>
        <v>1.2464900000000001</v>
      </c>
      <c r="C384" s="72" t="str">
        <f t="array" ref="C384">INDEX(NPCFName,TRUNC(1+(COUNTA(NPCFName))*(TRUNC(MOD(($B384*1103515245 +12345)/ 65536, 32768),0)/32768),0))</f>
        <v>Vythethi</v>
      </c>
      <c r="D384" s="16" t="str">
        <f t="array" ref="D384">INDEX(NPCLName,TRUNC(1+(COUNTA(NPCLName))*(TRUNC(MOD(($B384*1103515245 +12345)/ 65536, 32768),0)/32768),0))</f>
        <v>Mourninglash</v>
      </c>
      <c r="E384" s="16" t="str">
        <f t="array" ref="E384">INDEX(NPCClass,TRUNC(1+(COUNTA(NPCClass))*(TRUNC(MOD(($B384*1103515245 +12345)/ 65536, 32768),0)/32768),0))</f>
        <v>Warlock</v>
      </c>
      <c r="F384" s="76">
        <v>8</v>
      </c>
      <c r="G384" s="153">
        <f ca="1">VLOOKUP($AB$2,'RF Mod'!$A$2:$G$12,2,FALSE)+VLOOKUP($AD$2,'RF Mod'!$I$2:$O$11,2,FALSE)+(TRUNC(6+(24-6)*(TRUNC(MOD(($Z384*1103515245 +12345)/ 65536, 32768),0)/32768),0))</f>
        <v>9</v>
      </c>
      <c r="H384" s="16">
        <f t="shared" ca="1" si="17"/>
        <v>-1</v>
      </c>
      <c r="I384" s="153">
        <f ca="1">VLOOKUP($AB$2,'RF Mod'!$A$2:$G$12,3,FALSE)+VLOOKUP($AD$2,'RF Mod'!$I$2:$O$11,3,FALSE)+(TRUNC(6+(24-6)*(TRUNC(MOD(($Z384*1103515245 +12345)/ 65536, 32768),0)/32768),0))</f>
        <v>13</v>
      </c>
      <c r="J384" s="16" t="e">
        <f t="shared" ca="1" si="18"/>
        <v>#NAME?</v>
      </c>
      <c r="K384" s="153">
        <f ca="1">VLOOKUP($AB$2,'RF Mod'!$A$2:$G$12,3,FALSE)+VLOOKUP($AD$2,'RF Mod'!$I$2:$O$11,3,FALSE)+(TRUNC(6+(24-6)*(TRUNC(MOD(($Z384*1103515245 +12345)/ 65536, 32768),0)/32768),0))</f>
        <v>13</v>
      </c>
      <c r="L384" s="16" t="e">
        <f t="shared" ca="1" si="19"/>
        <v>#NAME?</v>
      </c>
      <c r="M384" s="153">
        <f ca="1">VLOOKUP($AB$2,'RF Mod'!$A$2:$G$12,4,FALSE)+VLOOKUP($AD$2,'RF Mod'!$I$2:$O$11,4,FALSE)+(TRUNC(6+(24-6)*(TRUNC(MOD(($Z384*1103515245 +12345)/ 65536, 32768),0)/32768),0))</f>
        <v>12</v>
      </c>
      <c r="N384" s="16" t="e">
        <f t="shared" ca="1" si="20"/>
        <v>#NAME?</v>
      </c>
      <c r="O384" s="153">
        <f ca="1">VLOOKUP($AB$2,'RF Mod'!$A$2:$G$12,5,FALSE)+VLOOKUP($AD$2,'RF Mod'!$I$2:$O$11,5,FALSE)+(TRUNC(6+(24-6)*(TRUNC(MOD(($Z384*1103515245 +12345)/ 65536, 32768),0)/32768),0))</f>
        <v>15</v>
      </c>
      <c r="P384" s="16" t="e">
        <f t="shared" ca="1" si="21"/>
        <v>#NAME?</v>
      </c>
      <c r="Q384" s="153">
        <f ca="1">VLOOKUP($AB$2,'RF Mod'!$A$2:$G$12,6,FALSE)+VLOOKUP($AD$2,'RF Mod'!$I$2:$O$11,6,FALSE)+(TRUNC(6+(24-6)*(TRUNC(MOD(($Z384*1103515245 +12345)/ 65536, 32768),0)/32768),0))</f>
        <v>13</v>
      </c>
      <c r="R384" s="16" t="e">
        <f t="shared" ca="1" si="22"/>
        <v>#NAME?</v>
      </c>
      <c r="S384" s="154">
        <f t="shared" ca="1" si="28"/>
        <v>136</v>
      </c>
      <c r="T384" s="154">
        <f t="shared" ca="1" si="23"/>
        <v>9</v>
      </c>
      <c r="U384" s="16" t="str">
        <f t="shared" ca="1" si="24"/>
        <v>Fine</v>
      </c>
      <c r="V384" s="155">
        <f ca="1">IFERROR(__xludf.DUMMYFUNCTION("if(W384=""Middle Age"",QUERY(NPCVar!$K$2:$N1000, ""Select L where K = '""&amp;AB384&amp;""'""),if(W384=""Old"",QUERY(NPCVar!$K$2:$N1000, ""Select M where K = '""&amp;AB384&amp;""'""),if(W384=""Venerable"",QUERY(NPCVar!$K$2:$N1000, ""Select N where K = '""&amp;AB384&amp;""'""),fa"&amp;"lse)))*X384"),144)</f>
        <v>144</v>
      </c>
      <c r="W384" s="156" t="str">
        <f t="array" ref="W384">INDEX(NPCAgeType,TRUNC(1+(4-1)*(TRUNC(MOD((X384*1103515245 +12345)/ 65536, 32768),0)/32768),0))</f>
        <v>Venerable</v>
      </c>
      <c r="X384" s="117">
        <f t="shared" si="29"/>
        <v>1.6</v>
      </c>
      <c r="Y384" s="157" t="e">
        <f t="array" aca="1" ref="Y384" ca="1">LOOKUP(ABS(MAX(Z384 + MIN(ABS(INDIRECT("Class Jobs!B"&amp;MATCH(E384,'Class Jobs'!$A$1:$A1000,0)&amp;":"&amp;"AF"&amp;MATCH(E384,'Class Jobs'!$A$1:$A1000,0)&amp;"")-$Z384)) * SUM(IF(MIN(ABS(INDIRECT("Class Jobs!B"&amp;MATCH(E384,'Class Jobs'!$A$1:$A1000,0)&amp;":"&amp;"AF"&amp;MATCH(E384,'Class Jobs'!$A$1:$A1000,0)&amp;"")-$Z384))=ABS(INDIRECT("Class Jobs!B"&amp;MATCH(E384,'Class Jobs'!$A$1:$A1000,0)&amp;":"&amp;"AF"&amp;MATCH(E384,'Class Jobs'!$A$1:$A1000,0)&amp;"")-$Z384),SIGN(INDIRECT("Class Jobs!B"&amp;MATCH(E384,'Class Jobs'!$A$1:A1000,0)&amp;":"&amp;"AF"&amp;MATCH(E384,'Class Jobs'!$A$1:$A1000,0)&amp;"")-$Z384),0)),0)),INDIRECT("Class Jobs!B"&amp;MATCH(E384,'Class Jobs'!$A$1:$A1000,0)&amp;":"&amp;"AF"&amp;MATCH(E384,'Class Jobs'!$A$1:$A1000,1)&amp;""),'Class Jobs'!$B$1:$AF$1)</f>
        <v>#REF!</v>
      </c>
      <c r="Z384" s="158">
        <f t="shared" si="25"/>
        <v>0.64</v>
      </c>
      <c r="AA384" s="16" t="str">
        <f t="array" ref="AA384">INDEX(NPCGender,TRUNC(1+(COUNTA(NPCGender))*(TRUNC(MOD(($B384*1103515245 +12345)/ 65536, 32768),0)/32768),0))</f>
        <v>Female</v>
      </c>
      <c r="AB384" s="16" t="str">
        <f t="array" ref="AB384">INDEX(NPCRace,TRUNC(1+(COUNTA(NPCRace))*(TRUNC(MOD(($B384*1103515245 +12345)/ 65536, 32768),0)/32768),0))</f>
        <v>Human</v>
      </c>
      <c r="AC384" s="16" t="str">
        <f t="array" ref="AC384">INDEX(NPCAL,TRUNC(1+(COUNTA(NPCAL))*(TRUNC(MOD(($B384*1103515245 +12345)/ 65536, 32768),0)/32768),0))</f>
        <v>NE</v>
      </c>
      <c r="AD384" s="72" t="str">
        <f ca="1">IFERROR(__xludf.DUMMYFUNCTION("if(V384&lt;15,QUERY(NPCVar!C:D,""Select D WHERE C = '""&amp;D384&amp;""'""),if((TRUNC(1+10)*(TRUNC(MOD((ROW(H384)*1103515245 +12345)/ 65536, 32768),0)/32768)/10) &gt; 0.85,INDEX(NPCFaction,TRUNC(1+(counta(NPCFaction)-1)*(TRUNC(MOD(($B384*1103515245 +12345)/ 65536, 3276"&amp;"8),0)/32768),0)),QUERY(NPCVar!C:D,""Select D WHERE C = '""&amp;D384&amp;""'"")))"),"Traverlers Guild")</f>
        <v>Traverlers Guild</v>
      </c>
      <c r="AE384" s="108" t="e">
        <f t="shared" ca="1" si="26"/>
        <v>#NAME?</v>
      </c>
      <c r="AF384" s="159">
        <f ca="1">IFERROR(__xludf.DUMMYFUNCTION("AE384*(V384 / QUERY(NPCVar!$K$2:$N$12, ""Select N WHERE K='""&amp;AB384&amp;""'""))*TRUNC(1+10)*(TRUNC(MOD(($B384*1103515245 +12345)/ 65536, 32768),0)/32768)"),10.14556640625)</f>
        <v>10.14556640625</v>
      </c>
      <c r="AG384" s="16"/>
      <c r="AH384" s="77"/>
      <c r="AI384" s="114"/>
    </row>
    <row r="385" spans="1:35" ht="16.2">
      <c r="A385" s="53">
        <v>384</v>
      </c>
      <c r="B385" s="118">
        <f t="shared" si="30"/>
        <v>0.24063999999999999</v>
      </c>
      <c r="C385" s="72" t="str">
        <f t="array" ref="C385">INDEX(NPCFName,TRUNC(1+(COUNTA(NPCFName))*(TRUNC(MOD(($B385*1103515245 +12345)/ 65536, 32768),0)/32768),0))</f>
        <v>Gothikar</v>
      </c>
      <c r="D385" s="16" t="str">
        <f t="array" ref="D385">INDEX(NPCLName,TRUNC(1+(COUNTA(NPCLName))*(TRUNC(MOD(($B385*1103515245 +12345)/ 65536, 32768),0)/32768),0))</f>
        <v>Distantlash</v>
      </c>
      <c r="E385" s="16" t="str">
        <f t="array" ref="E385">INDEX(NPCClass,TRUNC(1+(COUNTA(NPCClass))*(TRUNC(MOD(($B385*1103515245 +12345)/ 65536, 32768),0)/32768),0))</f>
        <v>Bard</v>
      </c>
      <c r="F385" s="76">
        <v>1</v>
      </c>
      <c r="G385" s="153">
        <f ca="1">VLOOKUP($AB$2,'RF Mod'!$A$2:$G$12,2,FALSE)+VLOOKUP($AD$2,'RF Mod'!$I$2:$O$11,2,FALSE)+(TRUNC(6+(24-6)*(TRUNC(MOD(($Z385*1103515245 +12345)/ 65536, 32768),0)/32768),0))</f>
        <v>5</v>
      </c>
      <c r="H385" s="16">
        <f t="shared" ca="1" si="17"/>
        <v>-3</v>
      </c>
      <c r="I385" s="153">
        <f ca="1">VLOOKUP($AB$2,'RF Mod'!$A$2:$G$12,3,FALSE)+VLOOKUP($AD$2,'RF Mod'!$I$2:$O$11,3,FALSE)+(TRUNC(6+(24-6)*(TRUNC(MOD(($Z385*1103515245 +12345)/ 65536, 32768),0)/32768),0))</f>
        <v>9</v>
      </c>
      <c r="J385" s="16">
        <f t="shared" ca="1" si="18"/>
        <v>-1</v>
      </c>
      <c r="K385" s="153">
        <f ca="1">VLOOKUP($AB$2,'RF Mod'!$A$2:$G$12,3,FALSE)+VLOOKUP($AD$2,'RF Mod'!$I$2:$O$11,3,FALSE)+(TRUNC(6+(24-6)*(TRUNC(MOD(($Z385*1103515245 +12345)/ 65536, 32768),0)/32768),0))</f>
        <v>9</v>
      </c>
      <c r="L385" s="16">
        <f t="shared" ca="1" si="19"/>
        <v>-1</v>
      </c>
      <c r="M385" s="153">
        <f ca="1">VLOOKUP($AB$2,'RF Mod'!$A$2:$G$12,4,FALSE)+VLOOKUP($AD$2,'RF Mod'!$I$2:$O$11,4,FALSE)+(TRUNC(6+(24-6)*(TRUNC(MOD(($Z385*1103515245 +12345)/ 65536, 32768),0)/32768),0))</f>
        <v>8</v>
      </c>
      <c r="N385" s="16">
        <f t="shared" ca="1" si="20"/>
        <v>-1</v>
      </c>
      <c r="O385" s="153">
        <f ca="1">VLOOKUP($AB$2,'RF Mod'!$A$2:$G$12,5,FALSE)+VLOOKUP($AD$2,'RF Mod'!$I$2:$O$11,5,FALSE)+(TRUNC(6+(24-6)*(TRUNC(MOD(($Z385*1103515245 +12345)/ 65536, 32768),0)/32768),0))</f>
        <v>11</v>
      </c>
      <c r="P385" s="16" t="e">
        <f t="shared" ca="1" si="21"/>
        <v>#NAME?</v>
      </c>
      <c r="Q385" s="153">
        <f ca="1">VLOOKUP($AB$2,'RF Mod'!$A$2:$G$12,6,FALSE)+VLOOKUP($AD$2,'RF Mod'!$I$2:$O$11,6,FALSE)+(TRUNC(6+(24-6)*(TRUNC(MOD(($Z385*1103515245 +12345)/ 65536, 32768),0)/32768),0))</f>
        <v>9</v>
      </c>
      <c r="R385" s="16">
        <f t="shared" ca="1" si="22"/>
        <v>-1</v>
      </c>
      <c r="S385" s="154">
        <f t="shared" ca="1" si="28"/>
        <v>11</v>
      </c>
      <c r="T385" s="154">
        <f t="shared" ca="1" si="23"/>
        <v>6</v>
      </c>
      <c r="U385" s="16" t="str">
        <f t="shared" ca="1" si="24"/>
        <v>Bloody</v>
      </c>
      <c r="V385" s="155">
        <f ca="1">IFERROR(__xludf.DUMMYFUNCTION("if(W385=""Middle Age"",QUERY(NPCVar!$K$2:$N1000, ""Select L where K = '""&amp;AB385&amp;""'""),if(W385=""Old"",QUERY(NPCVar!$K$2:$N1000, ""Select M where K = '""&amp;AB385&amp;""'""),if(W385=""Venerable"",QUERY(NPCVar!$K$2:$N1000, ""Select N where K = '""&amp;AB385&amp;""'""),fa"&amp;"lse)))*X385"),24)</f>
        <v>24</v>
      </c>
      <c r="W385" s="156" t="str">
        <f t="array" ref="W385">INDEX(NPCAgeType,TRUNC(1+(4-1)*(TRUNC(MOD((X385*1103515245 +12345)/ 65536, 32768),0)/32768),0))</f>
        <v>Middle Age</v>
      </c>
      <c r="X385" s="117">
        <f t="shared" si="29"/>
        <v>0.3</v>
      </c>
      <c r="Y385" s="157" t="e">
        <f t="array" aca="1" ref="Y385" ca="1">LOOKUP(ABS(MAX(Z385 + MIN(ABS(INDIRECT("Class Jobs!B"&amp;MATCH(E385,'Class Jobs'!$A$1:$A1000,0)&amp;":"&amp;"AF"&amp;MATCH(E385,'Class Jobs'!$A$1:$A1000,0)&amp;"")-$Z385)) * SUM(IF(MIN(ABS(INDIRECT("Class Jobs!B"&amp;MATCH(E385,'Class Jobs'!$A$1:$A1000,0)&amp;":"&amp;"AF"&amp;MATCH(E385,'Class Jobs'!$A$1:$A1000,0)&amp;"")-$Z385))=ABS(INDIRECT("Class Jobs!B"&amp;MATCH(E385,'Class Jobs'!$A$1:$A1000,0)&amp;":"&amp;"AF"&amp;MATCH(E385,'Class Jobs'!$A$1:$A1000,0)&amp;"")-$Z385),SIGN(INDIRECT("Class Jobs!B"&amp;MATCH(E385,'Class Jobs'!$A$1:A1000,0)&amp;":"&amp;"AF"&amp;MATCH(E385,'Class Jobs'!$A$1:$A1000,0)&amp;"")-$Z385),0)),0)),INDIRECT("Class Jobs!B"&amp;MATCH(E385,'Class Jobs'!$A$1:$A1000,0)&amp;":"&amp;"AF"&amp;MATCH(E385,'Class Jobs'!$A$1:$A1000,1)&amp;""),'Class Jobs'!$B$1:$AF$1)</f>
        <v>#REF!</v>
      </c>
      <c r="Z385" s="158">
        <f t="shared" si="25"/>
        <v>0.13</v>
      </c>
      <c r="AA385" s="16" t="str">
        <f t="array" ref="AA385">INDEX(NPCGender,TRUNC(1+(COUNTA(NPCGender))*(TRUNC(MOD(($B385*1103515245 +12345)/ 65536, 32768),0)/32768),0))</f>
        <v>Male</v>
      </c>
      <c r="AB385" s="16" t="str">
        <f t="array" ref="AB385">INDEX(NPCRace,TRUNC(1+(COUNTA(NPCRace))*(TRUNC(MOD(($B385*1103515245 +12345)/ 65536, 32768),0)/32768),0))</f>
        <v>Dwarf</v>
      </c>
      <c r="AC385" s="16" t="str">
        <f t="array" ref="AC385">INDEX(NPCAL,TRUNC(1+(COUNTA(NPCAL))*(TRUNC(MOD(($B385*1103515245 +12345)/ 65536, 32768),0)/32768),0))</f>
        <v>CE</v>
      </c>
      <c r="AD385" s="72" t="str">
        <f ca="1">IFERROR(__xludf.DUMMYFUNCTION("if(V385&lt;15,QUERY(NPCVar!C:D,""Select D WHERE C = '""&amp;D385&amp;""'""),if((TRUNC(1+10)*(TRUNC(MOD((ROW(H385)*1103515245 +12345)/ 65536, 32768),0)/32768)/10) &gt; 0.85,INDEX(NPCFaction,TRUNC(1+(counta(NPCFaction)-1)*(TRUNC(MOD(($B385*1103515245 +12345)/ 65536, 3276"&amp;"8),0)/32768),0)),QUERY(NPCVar!C:D,""Select D WHERE C = '""&amp;D385&amp;""'"")))"),"Necromancer")</f>
        <v>Necromancer</v>
      </c>
      <c r="AE385" s="108" t="e">
        <f t="shared" ca="1" si="26"/>
        <v>#NAME?</v>
      </c>
      <c r="AF385" s="159">
        <f ca="1">IFERROR(__xludf.DUMMYFUNCTION("AE385*(V385 / QUERY(NPCVar!$K$2:$N$12, ""Select N WHERE K='""&amp;AB385&amp;""'""))*TRUNC(1+10)*(TRUNC(MOD(($B385*1103515245 +12345)/ 65536, 32768),0)/32768)"),0)</f>
        <v>0</v>
      </c>
      <c r="AG385" s="16"/>
      <c r="AH385" s="77"/>
      <c r="AI385" s="114"/>
    </row>
    <row r="386" spans="1:35" ht="16.2">
      <c r="A386" s="53">
        <v>385</v>
      </c>
      <c r="B386" s="118">
        <f t="shared" ref="B386:B449" si="31">(TRUNC(1+(250000-1)*(TRUNC(MOD(((Seed*ROW())*1103515245 +12345)/ 65536, 32768),0)/32768),0))/100000</f>
        <v>1.7346900000000001</v>
      </c>
      <c r="C386" s="72" t="str">
        <f t="array" ref="C386">INDEX(NPCFName,TRUNC(1+(COUNTA(NPCFName))*(TRUNC(MOD(($B386*1103515245 +12345)/ 65536, 32768),0)/32768),0))</f>
        <v>Perol</v>
      </c>
      <c r="D386" s="16" t="str">
        <f t="array" ref="D386">INDEX(NPCLName,TRUNC(1+(COUNTA(NPCLName))*(TRUNC(MOD(($B386*1103515245 +12345)/ 65536, 32768),0)/32768),0))</f>
        <v>Forestbluff</v>
      </c>
      <c r="E386" s="16" t="str">
        <f t="array" ref="E386">INDEX(NPCClass,TRUNC(1+(COUNTA(NPCClass))*(TRUNC(MOD(($B386*1103515245 +12345)/ 65536, 32768),0)/32768),0))</f>
        <v>Fighter</v>
      </c>
      <c r="F386" s="76">
        <v>8</v>
      </c>
      <c r="G386" s="153">
        <f ca="1">VLOOKUP($AB$2,'RF Mod'!$A$2:$G$12,2,FALSE)+VLOOKUP($AD$2,'RF Mod'!$I$2:$O$11,2,FALSE)+(TRUNC(6+(24-6)*(TRUNC(MOD(($Z386*1103515245 +12345)/ 65536, 32768),0)/32768),0))</f>
        <v>12</v>
      </c>
      <c r="H386" s="16" t="e">
        <f t="shared" ca="1" si="17"/>
        <v>#NAME?</v>
      </c>
      <c r="I386" s="153">
        <f ca="1">VLOOKUP($AB$2,'RF Mod'!$A$2:$G$12,3,FALSE)+VLOOKUP($AD$2,'RF Mod'!$I$2:$O$11,3,FALSE)+(TRUNC(6+(24-6)*(TRUNC(MOD(($Z386*1103515245 +12345)/ 65536, 32768),0)/32768),0))</f>
        <v>16</v>
      </c>
      <c r="J386" s="16" t="e">
        <f t="shared" ca="1" si="18"/>
        <v>#NAME?</v>
      </c>
      <c r="K386" s="153">
        <f ca="1">VLOOKUP($AB$2,'RF Mod'!$A$2:$G$12,3,FALSE)+VLOOKUP($AD$2,'RF Mod'!$I$2:$O$11,3,FALSE)+(TRUNC(6+(24-6)*(TRUNC(MOD(($Z386*1103515245 +12345)/ 65536, 32768),0)/32768),0))</f>
        <v>16</v>
      </c>
      <c r="L386" s="16" t="e">
        <f t="shared" ca="1" si="19"/>
        <v>#NAME?</v>
      </c>
      <c r="M386" s="153">
        <f ca="1">VLOOKUP($AB$2,'RF Mod'!$A$2:$G$12,4,FALSE)+VLOOKUP($AD$2,'RF Mod'!$I$2:$O$11,4,FALSE)+(TRUNC(6+(24-6)*(TRUNC(MOD(($Z386*1103515245 +12345)/ 65536, 32768),0)/32768),0))</f>
        <v>15</v>
      </c>
      <c r="N386" s="16" t="e">
        <f t="shared" ca="1" si="20"/>
        <v>#NAME?</v>
      </c>
      <c r="O386" s="153">
        <f ca="1">VLOOKUP($AB$2,'RF Mod'!$A$2:$G$12,5,FALSE)+VLOOKUP($AD$2,'RF Mod'!$I$2:$O$11,5,FALSE)+(TRUNC(6+(24-6)*(TRUNC(MOD(($Z386*1103515245 +12345)/ 65536, 32768),0)/32768),0))</f>
        <v>18</v>
      </c>
      <c r="P386" s="16" t="e">
        <f t="shared" ca="1" si="21"/>
        <v>#NAME?</v>
      </c>
      <c r="Q386" s="153">
        <f ca="1">VLOOKUP($AB$2,'RF Mod'!$A$2:$G$12,6,FALSE)+VLOOKUP($AD$2,'RF Mod'!$I$2:$O$11,6,FALSE)+(TRUNC(6+(24-6)*(TRUNC(MOD(($Z386*1103515245 +12345)/ 65536, 32768),0)/32768),0))</f>
        <v>16</v>
      </c>
      <c r="R386" s="16" t="e">
        <f t="shared" ca="1" si="22"/>
        <v>#NAME?</v>
      </c>
      <c r="S386" s="154">
        <f t="shared" ca="1" si="28"/>
        <v>208</v>
      </c>
      <c r="T386" s="154">
        <f t="shared" ca="1" si="23"/>
        <v>178</v>
      </c>
      <c r="U386" s="16" t="str">
        <f t="shared" ca="1" si="24"/>
        <v>Bloody</v>
      </c>
      <c r="V386" s="155">
        <f ca="1">IFERROR(__xludf.DUMMYFUNCTION("if(W386=""Middle Age"",QUERY(NPCVar!$K$2:$N1000, ""Select L where K = '""&amp;AB386&amp;""'""),if(W386=""Old"",QUERY(NPCVar!$K$2:$N1000, ""Select M where K = '""&amp;AB386&amp;""'""),if(W386=""Venerable"",QUERY(NPCVar!$K$2:$N1000, ""Select N where K = '""&amp;AB386&amp;""'""),fa"&amp;"lse)))*X386"),60.5)</f>
        <v>60.5</v>
      </c>
      <c r="W386" s="156" t="str">
        <f t="array" ref="W386">INDEX(NPCAgeType,TRUNC(1+(4-1)*(TRUNC(MOD((X386*1103515245 +12345)/ 65536, 32768),0)/32768),0))</f>
        <v>Middle Age</v>
      </c>
      <c r="X386" s="117">
        <f t="shared" si="29"/>
        <v>2.2000000000000002</v>
      </c>
      <c r="Y386" s="157" t="e">
        <f t="array" aca="1" ref="Y386" ca="1">LOOKUP(ABS(MAX(Z386 + MIN(ABS(INDIRECT("Class Jobs!B"&amp;MATCH(E386,'Class Jobs'!$A$1:$A1000,0)&amp;":"&amp;"AF"&amp;MATCH(E386,'Class Jobs'!$A$1:$A1000,0)&amp;"")-$Z386)) * SUM(IF(MIN(ABS(INDIRECT("Class Jobs!B"&amp;MATCH(E386,'Class Jobs'!$A$1:$A1000,0)&amp;":"&amp;"AF"&amp;MATCH(E386,'Class Jobs'!$A$1:$A1000,0)&amp;"")-$Z386))=ABS(INDIRECT("Class Jobs!B"&amp;MATCH(E386,'Class Jobs'!$A$1:$A1000,0)&amp;":"&amp;"AF"&amp;MATCH(E386,'Class Jobs'!$A$1:$A1000,0)&amp;"")-$Z386),SIGN(INDIRECT("Class Jobs!B"&amp;MATCH(E386,'Class Jobs'!$A$1:A1000,0)&amp;":"&amp;"AF"&amp;MATCH(E386,'Class Jobs'!$A$1:$A1000,0)&amp;"")-$Z386),0)),0)),INDIRECT("Class Jobs!B"&amp;MATCH(E386,'Class Jobs'!$A$1:$A1000,0)&amp;":"&amp;"AF"&amp;MATCH(E386,'Class Jobs'!$A$1:$A1000,1)&amp;""),'Class Jobs'!$B$1:$AF$1)</f>
        <v>#REF!</v>
      </c>
      <c r="Z386" s="158">
        <f t="shared" si="25"/>
        <v>0.89</v>
      </c>
      <c r="AA386" s="16" t="str">
        <f t="array" ref="AA386">INDEX(NPCGender,TRUNC(1+(COUNTA(NPCGender))*(TRUNC(MOD(($B386*1103515245 +12345)/ 65536, 32768),0)/32768),0))</f>
        <v>Neutral</v>
      </c>
      <c r="AB386" s="16" t="str">
        <f t="array" ref="AB386">INDEX(NPCRace,TRUNC(1+(COUNTA(NPCRace))*(TRUNC(MOD(($B386*1103515245 +12345)/ 65536, 32768),0)/32768),0))</f>
        <v>Genasi</v>
      </c>
      <c r="AC386" s="16" t="str">
        <f t="array" ref="AC386">INDEX(NPCAL,TRUNC(1+(COUNTA(NPCAL))*(TRUNC(MOD(($B386*1103515245 +12345)/ 65536, 32768),0)/32768),0))</f>
        <v>LE</v>
      </c>
      <c r="AD386" s="72" t="str">
        <f ca="1">IFERROR(__xludf.DUMMYFUNCTION("if(V386&lt;15,QUERY(NPCVar!C:D,""Select D WHERE C = '""&amp;D386&amp;""'""),if((TRUNC(1+10)*(TRUNC(MOD((ROW(H386)*1103515245 +12345)/ 65536, 32768),0)/32768)/10) &gt; 0.85,INDEX(NPCFaction,TRUNC(1+(counta(NPCFaction)-1)*(TRUNC(MOD(($B386*1103515245 +12345)/ 65536, 3276"&amp;"8),0)/32768),0)),QUERY(NPCVar!C:D,""Select D WHERE C = '""&amp;D386&amp;""'"")))"),"Thieves Guild")</f>
        <v>Thieves Guild</v>
      </c>
      <c r="AE386" s="108" t="e">
        <f t="shared" ca="1" si="26"/>
        <v>#NAME?</v>
      </c>
      <c r="AF386" s="159">
        <f ca="1">IFERROR(__xludf.DUMMYFUNCTION("AE386*(V386 / QUERY(NPCVar!$K$2:$N$12, ""Select N WHERE K='""&amp;AB386&amp;""'""))*TRUNC(1+10)*(TRUNC(MOD(($B386*1103515245 +12345)/ 65536, 32768),0)/32768)"),4.85360733032226)</f>
        <v>4.8536073303222604</v>
      </c>
      <c r="AG386" s="16"/>
      <c r="AH386" s="77"/>
      <c r="AI386" s="114"/>
    </row>
    <row r="387" spans="1:35" ht="16.2">
      <c r="A387" s="53">
        <v>386</v>
      </c>
      <c r="B387" s="118">
        <f t="shared" si="31"/>
        <v>0.72884000000000004</v>
      </c>
      <c r="C387" s="72" t="str">
        <f t="array" ref="C387">INDEX(NPCFName,TRUNC(1+(COUNTA(NPCFName))*(TRUNC(MOD(($B387*1103515245 +12345)/ 65536, 32768),0)/32768),0))</f>
        <v>Buthomar</v>
      </c>
      <c r="D387" s="16" t="str">
        <f t="array" ref="D387">INDEX(NPCLName,TRUNC(1+(COUNTA(NPCLName))*(TRUNC(MOD(($B387*1103515245 +12345)/ 65536, 32768),0)/32768),0))</f>
        <v>Fistroot</v>
      </c>
      <c r="E387" s="16" t="str">
        <f t="array" ref="E387">INDEX(NPCClass,TRUNC(1+(COUNTA(NPCClass))*(TRUNC(MOD(($B387*1103515245 +12345)/ 65536, 32768),0)/32768),0))</f>
        <v>Paladin</v>
      </c>
      <c r="F387" s="76">
        <v>4</v>
      </c>
      <c r="G387" s="153">
        <f ca="1">VLOOKUP($AB$2,'RF Mod'!$A$2:$G$12,2,FALSE)+VLOOKUP($AD$2,'RF Mod'!$I$2:$O$11,2,FALSE)+(TRUNC(6+(24-6)*(TRUNC(MOD(($Z387*1103515245 +12345)/ 65536, 32768),0)/32768),0))</f>
        <v>7</v>
      </c>
      <c r="H387" s="16">
        <f t="shared" ca="1" si="17"/>
        <v>-2</v>
      </c>
      <c r="I387" s="153">
        <f ca="1">VLOOKUP($AB$2,'RF Mod'!$A$2:$G$12,3,FALSE)+VLOOKUP($AD$2,'RF Mod'!$I$2:$O$11,3,FALSE)+(TRUNC(6+(24-6)*(TRUNC(MOD(($Z387*1103515245 +12345)/ 65536, 32768),0)/32768),0))</f>
        <v>11</v>
      </c>
      <c r="J387" s="16" t="e">
        <f t="shared" ca="1" si="18"/>
        <v>#NAME?</v>
      </c>
      <c r="K387" s="153">
        <f ca="1">VLOOKUP($AB$2,'RF Mod'!$A$2:$G$12,3,FALSE)+VLOOKUP($AD$2,'RF Mod'!$I$2:$O$11,3,FALSE)+(TRUNC(6+(24-6)*(TRUNC(MOD(($Z387*1103515245 +12345)/ 65536, 32768),0)/32768),0))</f>
        <v>11</v>
      </c>
      <c r="L387" s="16" t="e">
        <f t="shared" ca="1" si="19"/>
        <v>#NAME?</v>
      </c>
      <c r="M387" s="153">
        <f ca="1">VLOOKUP($AB$2,'RF Mod'!$A$2:$G$12,4,FALSE)+VLOOKUP($AD$2,'RF Mod'!$I$2:$O$11,4,FALSE)+(TRUNC(6+(24-6)*(TRUNC(MOD(($Z387*1103515245 +12345)/ 65536, 32768),0)/32768),0))</f>
        <v>10</v>
      </c>
      <c r="N387" s="16" t="e">
        <f t="shared" ca="1" si="20"/>
        <v>#NAME?</v>
      </c>
      <c r="O387" s="153">
        <f ca="1">VLOOKUP($AB$2,'RF Mod'!$A$2:$G$12,5,FALSE)+VLOOKUP($AD$2,'RF Mod'!$I$2:$O$11,5,FALSE)+(TRUNC(6+(24-6)*(TRUNC(MOD(($Z387*1103515245 +12345)/ 65536, 32768),0)/32768),0))</f>
        <v>13</v>
      </c>
      <c r="P387" s="16" t="e">
        <f t="shared" ca="1" si="21"/>
        <v>#NAME?</v>
      </c>
      <c r="Q387" s="153">
        <f ca="1">VLOOKUP($AB$2,'RF Mod'!$A$2:$G$12,6,FALSE)+VLOOKUP($AD$2,'RF Mod'!$I$2:$O$11,6,FALSE)+(TRUNC(6+(24-6)*(TRUNC(MOD(($Z387*1103515245 +12345)/ 65536, 32768),0)/32768),0))</f>
        <v>11</v>
      </c>
      <c r="R387" s="16" t="e">
        <f t="shared" ca="1" si="22"/>
        <v>#NAME?</v>
      </c>
      <c r="S387" s="154">
        <f t="shared" ca="1" si="28"/>
        <v>60</v>
      </c>
      <c r="T387" s="154">
        <f t="shared" ca="1" si="23"/>
        <v>61</v>
      </c>
      <c r="U387" s="16" t="str">
        <f t="shared" ca="1" si="24"/>
        <v>Dead</v>
      </c>
      <c r="V387" s="155">
        <f ca="1">IFERROR(__xludf.DUMMYFUNCTION("if(W387=""Middle Age"",QUERY(NPCVar!$K$2:$N1000, ""Select L where K = '""&amp;AB387&amp;""'""),if(W387=""Old"",QUERY(NPCVar!$K$2:$N1000, ""Select M where K = '""&amp;AB387&amp;""'""),if(W387=""Venerable"",QUERY(NPCVar!$K$2:$N1000, ""Select N where K = '""&amp;AB387&amp;""'""),fa"&amp;"lse)))*X387"),60.75)</f>
        <v>60.75</v>
      </c>
      <c r="W387" s="156" t="str">
        <f t="array" ref="W387">INDEX(NPCAgeType,TRUNC(1+(4-1)*(TRUNC(MOD((X387*1103515245 +12345)/ 65536, 32768),0)/32768),0))</f>
        <v>Old</v>
      </c>
      <c r="X387" s="117">
        <f t="shared" si="29"/>
        <v>0.9</v>
      </c>
      <c r="Y387" s="157" t="e">
        <f t="array" aca="1" ref="Y387" ca="1">LOOKUP(ABS(MAX(Z387 + MIN(ABS(INDIRECT("Class Jobs!B"&amp;MATCH(E387,'Class Jobs'!$A$1:$A1000,0)&amp;":"&amp;"AF"&amp;MATCH(E387,'Class Jobs'!$A$1:$A1000,0)&amp;"")-$Z387)) * SUM(IF(MIN(ABS(INDIRECT("Class Jobs!B"&amp;MATCH(E387,'Class Jobs'!$A$1:$A1000,0)&amp;":"&amp;"AF"&amp;MATCH(E387,'Class Jobs'!$A$1:$A1000,0)&amp;"")-$Z387))=ABS(INDIRECT("Class Jobs!B"&amp;MATCH(E387,'Class Jobs'!$A$1:$A1000,0)&amp;":"&amp;"AF"&amp;MATCH(E387,'Class Jobs'!$A$1:$A1000,0)&amp;"")-$Z387),SIGN(INDIRECT("Class Jobs!B"&amp;MATCH(E387,'Class Jobs'!$A$1:A1000,0)&amp;":"&amp;"AF"&amp;MATCH(E387,'Class Jobs'!$A$1:$A1000,0)&amp;"")-$Z387),0)),0)),INDIRECT("Class Jobs!B"&amp;MATCH(E387,'Class Jobs'!$A$1:$A1000,0)&amp;":"&amp;"AF"&amp;MATCH(E387,'Class Jobs'!$A$1:$A1000,1)&amp;""),'Class Jobs'!$B$1:$AF$1)</f>
        <v>#REF!</v>
      </c>
      <c r="Z387" s="158">
        <f t="shared" si="25"/>
        <v>0.38</v>
      </c>
      <c r="AA387" s="16" t="str">
        <f t="array" ref="AA387">INDEX(NPCGender,TRUNC(1+(COUNTA(NPCGender))*(TRUNC(MOD(($B387*1103515245 +12345)/ 65536, 32768),0)/32768),0))</f>
        <v>Female</v>
      </c>
      <c r="AB387" s="16" t="str">
        <f t="array" ref="AB387">INDEX(NPCRace,TRUNC(1+(COUNTA(NPCRace))*(TRUNC(MOD(($B387*1103515245 +12345)/ 65536, 32768),0)/32768),0))</f>
        <v>Half-Elf</v>
      </c>
      <c r="AC387" s="16" t="str">
        <f t="array" ref="AC387">INDEX(NPCAL,TRUNC(1+(COUNTA(NPCAL))*(TRUNC(MOD(($B387*1103515245 +12345)/ 65536, 32768),0)/32768),0))</f>
        <v>NG</v>
      </c>
      <c r="AD387" s="72" t="str">
        <f ca="1">IFERROR(__xludf.DUMMYFUNCTION("if(V387&lt;15,QUERY(NPCVar!C:D,""Select D WHERE C = '""&amp;D387&amp;""'""),if((TRUNC(1+10)*(TRUNC(MOD((ROW(H387)*1103515245 +12345)/ 65536, 32768),0)/32768)/10) &gt; 0.85,INDEX(NPCFaction,TRUNC(1+(counta(NPCFaction)-1)*(TRUNC(MOD(($B387*1103515245 +12345)/ 65536, 3276"&amp;"8),0)/32768),0)),QUERY(NPCVar!C:D,""Select D WHERE C = '""&amp;D387&amp;""'"")))"),"Adventures Guild")</f>
        <v>Adventures Guild</v>
      </c>
      <c r="AE387" s="108" t="e">
        <f t="shared" ca="1" si="26"/>
        <v>#NAME?</v>
      </c>
      <c r="AF387" s="159">
        <f ca="1">IFERROR(__xludf.DUMMYFUNCTION("AE387*(V387 / QUERY(NPCVar!$K$2:$N$12, ""Select N WHERE K='""&amp;AB387&amp;""'""))*TRUNC(1+10)*(TRUNC(MOD(($B387*1103515245 +12345)/ 65536, 32768),0)/32768)"),0.417112426757812)</f>
        <v>0.41711242675781202</v>
      </c>
      <c r="AG387" s="16"/>
      <c r="AH387" s="77"/>
      <c r="AI387" s="114"/>
    </row>
    <row r="388" spans="1:35" ht="16.2">
      <c r="A388" s="53">
        <v>387</v>
      </c>
      <c r="B388" s="118">
        <f t="shared" si="31"/>
        <v>2.2229700000000001</v>
      </c>
      <c r="C388" s="72" t="str">
        <f t="array" ref="C388">INDEX(NPCFName,TRUNC(1+(COUNTA(NPCFName))*(TRUNC(MOD(($B388*1103515245 +12345)/ 65536, 32768),0)/32768),0))</f>
        <v>Illilorn</v>
      </c>
      <c r="D388" s="16" t="str">
        <f t="array" ref="D388">INDEX(NPCLName,TRUNC(1+(COUNTA(NPCLName))*(TRUNC(MOD(($B388*1103515245 +12345)/ 65536, 32768),0)/32768),0))</f>
        <v>Fistwing</v>
      </c>
      <c r="E388" s="16" t="str">
        <f t="array" ref="E388">INDEX(NPCClass,TRUNC(1+(COUNTA(NPCClass))*(TRUNC(MOD(($B388*1103515245 +12345)/ 65536, 32768),0)/32768),0))</f>
        <v>Bard</v>
      </c>
      <c r="F388" s="76">
        <v>1</v>
      </c>
      <c r="G388" s="153">
        <f ca="1">VLOOKUP($AB$2,'RF Mod'!$A$2:$G$12,2,FALSE)+VLOOKUP($AD$2,'RF Mod'!$I$2:$O$11,2,FALSE)+(TRUNC(6+(24-6)*(TRUNC(MOD(($Z388*1103515245 +12345)/ 65536, 32768),0)/32768),0))</f>
        <v>5</v>
      </c>
      <c r="H388" s="16">
        <f t="shared" ca="1" si="17"/>
        <v>-3</v>
      </c>
      <c r="I388" s="153">
        <f ca="1">VLOOKUP($AB$2,'RF Mod'!$A$2:$G$12,3,FALSE)+VLOOKUP($AD$2,'RF Mod'!$I$2:$O$11,3,FALSE)+(TRUNC(6+(24-6)*(TRUNC(MOD(($Z388*1103515245 +12345)/ 65536, 32768),0)/32768),0))</f>
        <v>9</v>
      </c>
      <c r="J388" s="16">
        <f t="shared" ca="1" si="18"/>
        <v>-1</v>
      </c>
      <c r="K388" s="153">
        <f ca="1">VLOOKUP($AB$2,'RF Mod'!$A$2:$G$12,3,FALSE)+VLOOKUP($AD$2,'RF Mod'!$I$2:$O$11,3,FALSE)+(TRUNC(6+(24-6)*(TRUNC(MOD(($Z388*1103515245 +12345)/ 65536, 32768),0)/32768),0))</f>
        <v>9</v>
      </c>
      <c r="L388" s="16">
        <f t="shared" ca="1" si="19"/>
        <v>-1</v>
      </c>
      <c r="M388" s="153">
        <f ca="1">VLOOKUP($AB$2,'RF Mod'!$A$2:$G$12,4,FALSE)+VLOOKUP($AD$2,'RF Mod'!$I$2:$O$11,4,FALSE)+(TRUNC(6+(24-6)*(TRUNC(MOD(($Z388*1103515245 +12345)/ 65536, 32768),0)/32768),0))</f>
        <v>8</v>
      </c>
      <c r="N388" s="16">
        <f t="shared" ca="1" si="20"/>
        <v>-1</v>
      </c>
      <c r="O388" s="153">
        <f ca="1">VLOOKUP($AB$2,'RF Mod'!$A$2:$G$12,5,FALSE)+VLOOKUP($AD$2,'RF Mod'!$I$2:$O$11,5,FALSE)+(TRUNC(6+(24-6)*(TRUNC(MOD(($Z388*1103515245 +12345)/ 65536, 32768),0)/32768),0))</f>
        <v>11</v>
      </c>
      <c r="P388" s="16" t="e">
        <f t="shared" ca="1" si="21"/>
        <v>#NAME?</v>
      </c>
      <c r="Q388" s="153">
        <f ca="1">VLOOKUP($AB$2,'RF Mod'!$A$2:$G$12,6,FALSE)+VLOOKUP($AD$2,'RF Mod'!$I$2:$O$11,6,FALSE)+(TRUNC(6+(24-6)*(TRUNC(MOD(($Z388*1103515245 +12345)/ 65536, 32768),0)/32768),0))</f>
        <v>9</v>
      </c>
      <c r="R388" s="16">
        <f t="shared" ca="1" si="22"/>
        <v>-1</v>
      </c>
      <c r="S388" s="154">
        <f t="shared" ca="1" si="28"/>
        <v>11</v>
      </c>
      <c r="T388" s="154">
        <f t="shared" ca="1" si="23"/>
        <v>3</v>
      </c>
      <c r="U388" s="16" t="str">
        <f t="shared" ca="1" si="24"/>
        <v>Fine</v>
      </c>
      <c r="V388" s="155">
        <f ca="1">IFERROR(__xludf.DUMMYFUNCTION("if(W388=""Middle Age"",QUERY(NPCVar!$K$2:$N1000, ""Select L where K = '""&amp;AB388&amp;""'""),if(W388=""Old"",QUERY(NPCVar!$K$2:$N1000, ""Select M where K = '""&amp;AB388&amp;""'""),if(W388=""Venerable"",QUERY(NPCVar!$K$2:$N1000, ""Select N where K = '""&amp;AB388&amp;""'""),fa"&amp;"lse)))*X388"),32)</f>
        <v>32</v>
      </c>
      <c r="W388" s="156" t="str">
        <f t="array" ref="W388">INDEX(NPCAgeType,TRUNC(1+(4-1)*(TRUNC(MOD((X388*1103515245 +12345)/ 65536, 32768),0)/32768),0))</f>
        <v>Middle Age</v>
      </c>
      <c r="X388" s="117">
        <f t="shared" si="29"/>
        <v>0.4</v>
      </c>
      <c r="Y388" s="157" t="e">
        <f t="array" aca="1" ref="Y388" ca="1">LOOKUP(ABS(MAX(Z388 + MIN(ABS(INDIRECT("Class Jobs!B"&amp;MATCH(E388,'Class Jobs'!$A$1:$A1000,0)&amp;":"&amp;"AF"&amp;MATCH(E388,'Class Jobs'!$A$1:$A1000,0)&amp;"")-$Z388)) * SUM(IF(MIN(ABS(INDIRECT("Class Jobs!B"&amp;MATCH(E388,'Class Jobs'!$A$1:$A1000,0)&amp;":"&amp;"AF"&amp;MATCH(E388,'Class Jobs'!$A$1:$A1000,0)&amp;"")-$Z388))=ABS(INDIRECT("Class Jobs!B"&amp;MATCH(E388,'Class Jobs'!$A$1:$A1000,0)&amp;":"&amp;"AF"&amp;MATCH(E388,'Class Jobs'!$A$1:$A1000,0)&amp;"")-$Z388),SIGN(INDIRECT("Class Jobs!B"&amp;MATCH(E388,'Class Jobs'!$A$1:A1000,0)&amp;":"&amp;"AF"&amp;MATCH(E388,'Class Jobs'!$A$1:$A1000,0)&amp;"")-$Z388),0)),0)),INDIRECT("Class Jobs!B"&amp;MATCH(E388,'Class Jobs'!$A$1:$A1000,0)&amp;":"&amp;"AF"&amp;MATCH(E388,'Class Jobs'!$A$1:$A1000,1)&amp;""),'Class Jobs'!$B$1:$AF$1)</f>
        <v>#REF!</v>
      </c>
      <c r="Z388" s="158">
        <f t="shared" si="25"/>
        <v>0.15</v>
      </c>
      <c r="AA388" s="16" t="str">
        <f t="array" ref="AA388">INDEX(NPCGender,TRUNC(1+(COUNTA(NPCGender))*(TRUNC(MOD(($B388*1103515245 +12345)/ 65536, 32768),0)/32768),0))</f>
        <v>Male</v>
      </c>
      <c r="AB388" s="16" t="str">
        <f t="array" ref="AB388">INDEX(NPCRace,TRUNC(1+(COUNTA(NPCRace))*(TRUNC(MOD(($B388*1103515245 +12345)/ 65536, 32768),0)/32768),0))</f>
        <v>Dwarf</v>
      </c>
      <c r="AC388" s="16" t="str">
        <f t="array" ref="AC388">INDEX(NPCAL,TRUNC(1+(COUNTA(NPCAL))*(TRUNC(MOD(($B388*1103515245 +12345)/ 65536, 32768),0)/32768),0))</f>
        <v>CE</v>
      </c>
      <c r="AD388" s="72" t="str">
        <f ca="1">IFERROR(__xludf.DUMMYFUNCTION("if(V388&lt;15,QUERY(NPCVar!C:D,""Select D WHERE C = '""&amp;D388&amp;""'""),if((TRUNC(1+10)*(TRUNC(MOD((ROW(H388)*1103515245 +12345)/ 65536, 32768),0)/32768)/10) &gt; 0.85,INDEX(NPCFaction,TRUNC(1+(counta(NPCFaction)-1)*(TRUNC(MOD(($B388*1103515245 +12345)/ 65536, 3276"&amp;"8),0)/32768),0)),QUERY(NPCVar!C:D,""Select D WHERE C = '""&amp;D388&amp;""'"")))"),"Royalty")</f>
        <v>Royalty</v>
      </c>
      <c r="AE388" s="108" t="e">
        <f t="shared" ca="1" si="26"/>
        <v>#NAME?</v>
      </c>
      <c r="AF388" s="159">
        <f ca="1">IFERROR(__xludf.DUMMYFUNCTION("AE388*(V388 / QUERY(NPCVar!$K$2:$N$12, ""Select N WHERE K='""&amp;AB388&amp;""'""))*TRUNC(1+10)*(TRUNC(MOD(($B388*1103515245 +12345)/ 65536, 32768),0)/32768)"),0.0782669067382812)</f>
        <v>7.8266906738281197E-2</v>
      </c>
      <c r="AG388" s="16"/>
      <c r="AH388" s="77"/>
      <c r="AI388" s="114"/>
    </row>
    <row r="389" spans="1:35" ht="16.2">
      <c r="A389" s="53">
        <v>388</v>
      </c>
      <c r="B389" s="118">
        <f t="shared" si="31"/>
        <v>1.21712</v>
      </c>
      <c r="C389" s="72" t="str">
        <f t="array" ref="C389">INDEX(NPCFName,TRUNC(1+(COUNTA(NPCFName))*(TRUNC(MOD(($B389*1103515245 +12345)/ 65536, 32768),0)/32768),0))</f>
        <v>Tuscanar</v>
      </c>
      <c r="D389" s="16" t="str">
        <f t="array" ref="D389">INDEX(NPCLName,TRUNC(1+(COUNTA(NPCLName))*(TRUNC(MOD(($B389*1103515245 +12345)/ 65536, 32768),0)/32768),0))</f>
        <v>Gloomrage</v>
      </c>
      <c r="E389" s="16" t="str">
        <f t="array" ref="E389">INDEX(NPCClass,TRUNC(1+(COUNTA(NPCClass))*(TRUNC(MOD(($B389*1103515245 +12345)/ 65536, 32768),0)/32768),0))</f>
        <v>Warlock</v>
      </c>
      <c r="F389" s="76">
        <v>8</v>
      </c>
      <c r="G389" s="153">
        <f ca="1">VLOOKUP($AB$2,'RF Mod'!$A$2:$G$12,2,FALSE)+VLOOKUP($AD$2,'RF Mod'!$I$2:$O$11,2,FALSE)+(TRUNC(6+(24-6)*(TRUNC(MOD(($Z389*1103515245 +12345)/ 65536, 32768),0)/32768),0))</f>
        <v>9</v>
      </c>
      <c r="H389" s="16">
        <f t="shared" ca="1" si="17"/>
        <v>-1</v>
      </c>
      <c r="I389" s="153">
        <f ca="1">VLOOKUP($AB$2,'RF Mod'!$A$2:$G$12,3,FALSE)+VLOOKUP($AD$2,'RF Mod'!$I$2:$O$11,3,FALSE)+(TRUNC(6+(24-6)*(TRUNC(MOD(($Z389*1103515245 +12345)/ 65536, 32768),0)/32768),0))</f>
        <v>13</v>
      </c>
      <c r="J389" s="16" t="e">
        <f t="shared" ca="1" si="18"/>
        <v>#NAME?</v>
      </c>
      <c r="K389" s="153">
        <f ca="1">VLOOKUP($AB$2,'RF Mod'!$A$2:$G$12,3,FALSE)+VLOOKUP($AD$2,'RF Mod'!$I$2:$O$11,3,FALSE)+(TRUNC(6+(24-6)*(TRUNC(MOD(($Z389*1103515245 +12345)/ 65536, 32768),0)/32768),0))</f>
        <v>13</v>
      </c>
      <c r="L389" s="16" t="e">
        <f t="shared" ca="1" si="19"/>
        <v>#NAME?</v>
      </c>
      <c r="M389" s="153">
        <f ca="1">VLOOKUP($AB$2,'RF Mod'!$A$2:$G$12,4,FALSE)+VLOOKUP($AD$2,'RF Mod'!$I$2:$O$11,4,FALSE)+(TRUNC(6+(24-6)*(TRUNC(MOD(($Z389*1103515245 +12345)/ 65536, 32768),0)/32768),0))</f>
        <v>12</v>
      </c>
      <c r="N389" s="16" t="e">
        <f t="shared" ca="1" si="20"/>
        <v>#NAME?</v>
      </c>
      <c r="O389" s="153">
        <f ca="1">VLOOKUP($AB$2,'RF Mod'!$A$2:$G$12,5,FALSE)+VLOOKUP($AD$2,'RF Mod'!$I$2:$O$11,5,FALSE)+(TRUNC(6+(24-6)*(TRUNC(MOD(($Z389*1103515245 +12345)/ 65536, 32768),0)/32768),0))</f>
        <v>15</v>
      </c>
      <c r="P389" s="16" t="e">
        <f t="shared" ca="1" si="21"/>
        <v>#NAME?</v>
      </c>
      <c r="Q389" s="153">
        <f ca="1">VLOOKUP($AB$2,'RF Mod'!$A$2:$G$12,6,FALSE)+VLOOKUP($AD$2,'RF Mod'!$I$2:$O$11,6,FALSE)+(TRUNC(6+(24-6)*(TRUNC(MOD(($Z389*1103515245 +12345)/ 65536, 32768),0)/32768),0))</f>
        <v>13</v>
      </c>
      <c r="R389" s="16" t="e">
        <f t="shared" ca="1" si="22"/>
        <v>#NAME?</v>
      </c>
      <c r="S389" s="154">
        <f t="shared" ca="1" si="28"/>
        <v>232</v>
      </c>
      <c r="T389" s="154">
        <f t="shared" ca="1" si="23"/>
        <v>86</v>
      </c>
      <c r="U389" s="16" t="str">
        <f t="shared" ca="1" si="24"/>
        <v>Fine</v>
      </c>
      <c r="V389" s="155">
        <f ca="1">IFERROR(__xludf.DUMMYFUNCTION("if(W389=""Middle Age"",QUERY(NPCVar!$K$2:$N1000, ""Select L where K = '""&amp;AB389&amp;""'""),if(W389=""Old"",QUERY(NPCVar!$K$2:$N1000, ""Select M where K = '""&amp;AB389&amp;""'""),if(W389=""Venerable"",QUERY(NPCVar!$K$2:$N1000, ""Select N where K = '""&amp;AB389&amp;""'""),fa"&amp;"lse)))*X389"),320)</f>
        <v>320</v>
      </c>
      <c r="W389" s="156" t="str">
        <f t="array" ref="W389">INDEX(NPCAgeType,TRUNC(1+(4-1)*(TRUNC(MOD((X389*1103515245 +12345)/ 65536, 32768),0)/32768),0))</f>
        <v>Venerable</v>
      </c>
      <c r="X389" s="117">
        <f t="shared" si="29"/>
        <v>1.6</v>
      </c>
      <c r="Y389" s="157" t="e">
        <f t="array" aca="1" ref="Y389" ca="1">LOOKUP(ABS(MAX(Z389 + MIN(ABS(INDIRECT("Class Jobs!B"&amp;MATCH(E389,'Class Jobs'!$A$1:$A1000,0)&amp;":"&amp;"AF"&amp;MATCH(E389,'Class Jobs'!$A$1:$A1000,0)&amp;"")-$Z389)) * SUM(IF(MIN(ABS(INDIRECT("Class Jobs!B"&amp;MATCH(E389,'Class Jobs'!$A$1:$A1000,0)&amp;":"&amp;"AF"&amp;MATCH(E389,'Class Jobs'!$A$1:$A1000,0)&amp;"")-$Z389))=ABS(INDIRECT("Class Jobs!B"&amp;MATCH(E389,'Class Jobs'!$A$1:$A1000,0)&amp;":"&amp;"AF"&amp;MATCH(E389,'Class Jobs'!$A$1:$A1000,0)&amp;"")-$Z389),SIGN(INDIRECT("Class Jobs!B"&amp;MATCH(E389,'Class Jobs'!$A$1:A1000,0)&amp;":"&amp;"AF"&amp;MATCH(E389,'Class Jobs'!$A$1:$A1000,0)&amp;"")-$Z389),0)),0)),INDIRECT("Class Jobs!B"&amp;MATCH(E389,'Class Jobs'!$A$1:$A1000,0)&amp;":"&amp;"AF"&amp;MATCH(E389,'Class Jobs'!$A$1:$A1000,1)&amp;""),'Class Jobs'!$B$1:$AF$1)</f>
        <v>#REF!</v>
      </c>
      <c r="Z389" s="158">
        <f t="shared" si="25"/>
        <v>0.62</v>
      </c>
      <c r="AA389" s="16" t="str">
        <f t="array" ref="AA389">INDEX(NPCGender,TRUNC(1+(COUNTA(NPCGender))*(TRUNC(MOD(($B389*1103515245 +12345)/ 65536, 32768),0)/32768),0))</f>
        <v>Female</v>
      </c>
      <c r="AB389" s="16" t="str">
        <f t="array" ref="AB389">INDEX(NPCRace,TRUNC(1+(COUNTA(NPCRace))*(TRUNC(MOD(($B389*1103515245 +12345)/ 65536, 32768),0)/32768),0))</f>
        <v>Halfling</v>
      </c>
      <c r="AC389" s="16" t="str">
        <f t="array" ref="AC389">INDEX(NPCAL,TRUNC(1+(COUNTA(NPCAL))*(TRUNC(MOD(($B389*1103515245 +12345)/ 65536, 32768),0)/32768),0))</f>
        <v>NE</v>
      </c>
      <c r="AD389" s="72" t="str">
        <f ca="1">IFERROR(__xludf.DUMMYFUNCTION("if(V389&lt;15,QUERY(NPCVar!C:D,""Select D WHERE C = '""&amp;D389&amp;""'""),if((TRUNC(1+10)*(TRUNC(MOD((ROW(H389)*1103515245 +12345)/ 65536, 32768),0)/32768)/10) &gt; 0.85,INDEX(NPCFaction,TRUNC(1+(counta(NPCFaction)-1)*(TRUNC(MOD(($B389*1103515245 +12345)/ 65536, 3276"&amp;"8),0)/32768),0)),QUERY(NPCVar!C:D,""Select D WHERE C = '""&amp;D389&amp;""'"")))"),"Death Guild")</f>
        <v>Death Guild</v>
      </c>
      <c r="AE389" s="108" t="e">
        <f t="shared" ca="1" si="26"/>
        <v>#NAME?</v>
      </c>
      <c r="AF389" s="159">
        <f ca="1">IFERROR(__xludf.DUMMYFUNCTION("AE389*(V389 / QUERY(NPCVar!$K$2:$N$12, ""Select N WHERE K='""&amp;AB389&amp;""'""))*TRUNC(1+10)*(TRUNC(MOD(($B389*1103515245 +12345)/ 65536, 32768),0)/32768)"),5.503759765625)</f>
        <v>5.5037597656250004</v>
      </c>
      <c r="AG389" s="16"/>
      <c r="AH389" s="77"/>
      <c r="AI389" s="114"/>
    </row>
    <row r="390" spans="1:35" ht="16.2">
      <c r="A390" s="53">
        <v>389</v>
      </c>
      <c r="B390" s="118">
        <f t="shared" si="31"/>
        <v>0.21126</v>
      </c>
      <c r="C390" s="72" t="str">
        <f t="array" ref="C390">INDEX(NPCFName,TRUNC(1+(COUNTA(NPCFName))*(TRUNC(MOD(($B390*1103515245 +12345)/ 65536, 32768),0)/32768),0))</f>
        <v>Firedorn</v>
      </c>
      <c r="D390" s="16" t="str">
        <f t="array" ref="D390">INDEX(NPCLName,TRUNC(1+(COUNTA(NPCLName))*(TRUNC(MOD(($B390*1103515245 +12345)/ 65536, 32768),0)/32768),0))</f>
        <v>Distantlash</v>
      </c>
      <c r="E390" s="16" t="str">
        <f t="array" ref="E390">INDEX(NPCClass,TRUNC(1+(COUNTA(NPCClass))*(TRUNC(MOD(($B390*1103515245 +12345)/ 65536, 32768),0)/32768),0))</f>
        <v>Bard</v>
      </c>
      <c r="F390" s="76">
        <v>1</v>
      </c>
      <c r="G390" s="153">
        <f ca="1">VLOOKUP($AB$2,'RF Mod'!$A$2:$G$12,2,FALSE)+VLOOKUP($AD$2,'RF Mod'!$I$2:$O$11,2,FALSE)+(TRUNC(6+(24-6)*(TRUNC(MOD(($Z390*1103515245 +12345)/ 65536, 32768),0)/32768),0))</f>
        <v>5</v>
      </c>
      <c r="H390" s="16">
        <f t="shared" ca="1" si="17"/>
        <v>-3</v>
      </c>
      <c r="I390" s="153">
        <f ca="1">VLOOKUP($AB$2,'RF Mod'!$A$2:$G$12,3,FALSE)+VLOOKUP($AD$2,'RF Mod'!$I$2:$O$11,3,FALSE)+(TRUNC(6+(24-6)*(TRUNC(MOD(($Z390*1103515245 +12345)/ 65536, 32768),0)/32768),0))</f>
        <v>9</v>
      </c>
      <c r="J390" s="16">
        <f t="shared" ca="1" si="18"/>
        <v>-1</v>
      </c>
      <c r="K390" s="153">
        <f ca="1">VLOOKUP($AB$2,'RF Mod'!$A$2:$G$12,3,FALSE)+VLOOKUP($AD$2,'RF Mod'!$I$2:$O$11,3,FALSE)+(TRUNC(6+(24-6)*(TRUNC(MOD(($Z390*1103515245 +12345)/ 65536, 32768),0)/32768),0))</f>
        <v>9</v>
      </c>
      <c r="L390" s="16">
        <f t="shared" ca="1" si="19"/>
        <v>-1</v>
      </c>
      <c r="M390" s="153">
        <f ca="1">VLOOKUP($AB$2,'RF Mod'!$A$2:$G$12,4,FALSE)+VLOOKUP($AD$2,'RF Mod'!$I$2:$O$11,4,FALSE)+(TRUNC(6+(24-6)*(TRUNC(MOD(($Z390*1103515245 +12345)/ 65536, 32768),0)/32768),0))</f>
        <v>8</v>
      </c>
      <c r="N390" s="16">
        <f t="shared" ca="1" si="20"/>
        <v>-1</v>
      </c>
      <c r="O390" s="153">
        <f ca="1">VLOOKUP($AB$2,'RF Mod'!$A$2:$G$12,5,FALSE)+VLOOKUP($AD$2,'RF Mod'!$I$2:$O$11,5,FALSE)+(TRUNC(6+(24-6)*(TRUNC(MOD(($Z390*1103515245 +12345)/ 65536, 32768),0)/32768),0))</f>
        <v>11</v>
      </c>
      <c r="P390" s="16" t="e">
        <f t="shared" ca="1" si="21"/>
        <v>#NAME?</v>
      </c>
      <c r="Q390" s="153">
        <f ca="1">VLOOKUP($AB$2,'RF Mod'!$A$2:$G$12,6,FALSE)+VLOOKUP($AD$2,'RF Mod'!$I$2:$O$11,6,FALSE)+(TRUNC(6+(24-6)*(TRUNC(MOD(($Z390*1103515245 +12345)/ 65536, 32768),0)/32768),0))</f>
        <v>9</v>
      </c>
      <c r="R390" s="16">
        <f t="shared" ca="1" si="22"/>
        <v>-1</v>
      </c>
      <c r="S390" s="154">
        <f t="shared" ca="1" si="28"/>
        <v>11</v>
      </c>
      <c r="T390" s="154">
        <f t="shared" ca="1" si="23"/>
        <v>12</v>
      </c>
      <c r="U390" s="16" t="str">
        <f t="shared" ca="1" si="24"/>
        <v>Dead</v>
      </c>
      <c r="V390" s="155">
        <f ca="1">IFERROR(__xludf.DUMMYFUNCTION("if(W390=""Middle Age"",QUERY(NPCVar!$K$2:$N1000, ""Select L where K = '""&amp;AB390&amp;""'""),if(W390=""Old"",QUERY(NPCVar!$K$2:$N1000, ""Select M where K = '""&amp;AB390&amp;""'""),if(W390=""Venerable"",QUERY(NPCVar!$K$2:$N1000, ""Select N where K = '""&amp;AB390&amp;""'""),fa"&amp;"lse)))*X390"),24)</f>
        <v>24</v>
      </c>
      <c r="W390" s="156" t="str">
        <f t="array" ref="W390">INDEX(NPCAgeType,TRUNC(1+(4-1)*(TRUNC(MOD((X390*1103515245 +12345)/ 65536, 32768),0)/32768),0))</f>
        <v>Middle Age</v>
      </c>
      <c r="X390" s="117">
        <f t="shared" si="29"/>
        <v>0.3</v>
      </c>
      <c r="Y390" s="157" t="e">
        <f t="array" aca="1" ref="Y390" ca="1">LOOKUP(ABS(MAX(Z390 + MIN(ABS(INDIRECT("Class Jobs!B"&amp;MATCH(E390,'Class Jobs'!$A$1:$A1000,0)&amp;":"&amp;"AF"&amp;MATCH(E390,'Class Jobs'!$A$1:$A1000,0)&amp;"")-$Z390)) * SUM(IF(MIN(ABS(INDIRECT("Class Jobs!B"&amp;MATCH(E390,'Class Jobs'!$A$1:$A1000,0)&amp;":"&amp;"AF"&amp;MATCH(E390,'Class Jobs'!$A$1:$A1000,0)&amp;"")-$Z390))=ABS(INDIRECT("Class Jobs!B"&amp;MATCH(E390,'Class Jobs'!$A$1:$A1000,0)&amp;":"&amp;"AF"&amp;MATCH(E390,'Class Jobs'!$A$1:$A1000,0)&amp;"")-$Z390),SIGN(INDIRECT("Class Jobs!B"&amp;MATCH(E390,'Class Jobs'!$A$1:A1000,0)&amp;":"&amp;"AF"&amp;MATCH(E390,'Class Jobs'!$A$1:$A1000,0)&amp;"")-$Z390),0)),0)),INDIRECT("Class Jobs!B"&amp;MATCH(E390,'Class Jobs'!$A$1:$A1000,0)&amp;":"&amp;"AF"&amp;MATCH(E390,'Class Jobs'!$A$1:$A1000,1)&amp;""),'Class Jobs'!$B$1:$AF$1)</f>
        <v>#REF!</v>
      </c>
      <c r="Z390" s="158">
        <f t="shared" si="25"/>
        <v>0.11</v>
      </c>
      <c r="AA390" s="16" t="str">
        <f t="array" ref="AA390">INDEX(NPCGender,TRUNC(1+(COUNTA(NPCGender))*(TRUNC(MOD(($B390*1103515245 +12345)/ 65536, 32768),0)/32768),0))</f>
        <v>Male</v>
      </c>
      <c r="AB390" s="16" t="str">
        <f t="array" ref="AB390">INDEX(NPCRace,TRUNC(1+(COUNTA(NPCRace))*(TRUNC(MOD(($B390*1103515245 +12345)/ 65536, 32768),0)/32768),0))</f>
        <v>Dwarf</v>
      </c>
      <c r="AC390" s="16" t="str">
        <f t="array" ref="AC390">INDEX(NPCAL,TRUNC(1+(COUNTA(NPCAL))*(TRUNC(MOD(($B390*1103515245 +12345)/ 65536, 32768),0)/32768),0))</f>
        <v>CN</v>
      </c>
      <c r="AD390" s="72" t="str">
        <f ca="1">IFERROR(__xludf.DUMMYFUNCTION("if(V390&lt;15,QUERY(NPCVar!C:D,""Select D WHERE C = '""&amp;D390&amp;""'""),if((TRUNC(1+10)*(TRUNC(MOD((ROW(H390)*1103515245 +12345)/ 65536, 32768),0)/32768)/10) &gt; 0.85,INDEX(NPCFaction,TRUNC(1+(counta(NPCFaction)-1)*(TRUNC(MOD(($B390*1103515245 +12345)/ 65536, 3276"&amp;"8),0)/32768),0)),QUERY(NPCVar!C:D,""Select D WHERE C = '""&amp;D390&amp;""'"")))"),"Death Guild")</f>
        <v>Death Guild</v>
      </c>
      <c r="AE390" s="108" t="e">
        <f t="shared" ca="1" si="26"/>
        <v>#NAME?</v>
      </c>
      <c r="AF390" s="159">
        <f ca="1">IFERROR(__xludf.DUMMYFUNCTION("AE390*(V390 / QUERY(NPCVar!$K$2:$N$12, ""Select N WHERE K='""&amp;AB390&amp;""'""))*TRUNC(1+10)*(TRUNC(MOD(($B390*1103515245 +12345)/ 65536, 32768),0)/32768)"),0.0537327575683593)</f>
        <v>5.3732757568359303E-2</v>
      </c>
      <c r="AG390" s="16"/>
      <c r="AH390" s="77"/>
      <c r="AI390" s="114"/>
    </row>
    <row r="391" spans="1:35" ht="16.2">
      <c r="A391" s="53">
        <v>390</v>
      </c>
      <c r="B391" s="118">
        <f t="shared" si="31"/>
        <v>1.7054</v>
      </c>
      <c r="C391" s="72" t="str">
        <f t="array" ref="C391">INDEX(NPCFName,TRUNC(1+(COUNTA(NPCFName))*(TRUNC(MOD(($B391*1103515245 +12345)/ 65536, 32768),0)/32768),0))</f>
        <v>Nydale</v>
      </c>
      <c r="D391" s="16" t="str">
        <f t="array" ref="D391">INDEX(NPCLName,TRUNC(1+(COUNTA(NPCLName))*(TRUNC(MOD(($B391*1103515245 +12345)/ 65536, 32768),0)/32768),0))</f>
        <v>Forestbluff</v>
      </c>
      <c r="E391" s="16" t="str">
        <f t="array" ref="E391">INDEX(NPCClass,TRUNC(1+(COUNTA(NPCClass))*(TRUNC(MOD(($B391*1103515245 +12345)/ 65536, 32768),0)/32768),0))</f>
        <v>Fighter</v>
      </c>
      <c r="F391" s="76">
        <v>8</v>
      </c>
      <c r="G391" s="153">
        <f ca="1">VLOOKUP($AB$2,'RF Mod'!$A$2:$G$12,2,FALSE)+VLOOKUP($AD$2,'RF Mod'!$I$2:$O$11,2,FALSE)+(TRUNC(6+(24-6)*(TRUNC(MOD(($Z391*1103515245 +12345)/ 65536, 32768),0)/32768),0))</f>
        <v>12</v>
      </c>
      <c r="H391" s="16" t="e">
        <f t="shared" ca="1" si="17"/>
        <v>#NAME?</v>
      </c>
      <c r="I391" s="153">
        <f ca="1">VLOOKUP($AB$2,'RF Mod'!$A$2:$G$12,3,FALSE)+VLOOKUP($AD$2,'RF Mod'!$I$2:$O$11,3,FALSE)+(TRUNC(6+(24-6)*(TRUNC(MOD(($Z391*1103515245 +12345)/ 65536, 32768),0)/32768),0))</f>
        <v>16</v>
      </c>
      <c r="J391" s="16" t="e">
        <f t="shared" ca="1" si="18"/>
        <v>#NAME?</v>
      </c>
      <c r="K391" s="153">
        <f ca="1">VLOOKUP($AB$2,'RF Mod'!$A$2:$G$12,3,FALSE)+VLOOKUP($AD$2,'RF Mod'!$I$2:$O$11,3,FALSE)+(TRUNC(6+(24-6)*(TRUNC(MOD(($Z391*1103515245 +12345)/ 65536, 32768),0)/32768),0))</f>
        <v>16</v>
      </c>
      <c r="L391" s="16" t="e">
        <f t="shared" ca="1" si="19"/>
        <v>#NAME?</v>
      </c>
      <c r="M391" s="153">
        <f ca="1">VLOOKUP($AB$2,'RF Mod'!$A$2:$G$12,4,FALSE)+VLOOKUP($AD$2,'RF Mod'!$I$2:$O$11,4,FALSE)+(TRUNC(6+(24-6)*(TRUNC(MOD(($Z391*1103515245 +12345)/ 65536, 32768),0)/32768),0))</f>
        <v>15</v>
      </c>
      <c r="N391" s="16" t="e">
        <f t="shared" ca="1" si="20"/>
        <v>#NAME?</v>
      </c>
      <c r="O391" s="153">
        <f ca="1">VLOOKUP($AB$2,'RF Mod'!$A$2:$G$12,5,FALSE)+VLOOKUP($AD$2,'RF Mod'!$I$2:$O$11,5,FALSE)+(TRUNC(6+(24-6)*(TRUNC(MOD(($Z391*1103515245 +12345)/ 65536, 32768),0)/32768),0))</f>
        <v>18</v>
      </c>
      <c r="P391" s="16" t="e">
        <f t="shared" ca="1" si="21"/>
        <v>#NAME?</v>
      </c>
      <c r="Q391" s="153">
        <f ca="1">VLOOKUP($AB$2,'RF Mod'!$A$2:$G$12,6,FALSE)+VLOOKUP($AD$2,'RF Mod'!$I$2:$O$11,6,FALSE)+(TRUNC(6+(24-6)*(TRUNC(MOD(($Z391*1103515245 +12345)/ 65536, 32768),0)/32768),0))</f>
        <v>16</v>
      </c>
      <c r="R391" s="16" t="e">
        <f t="shared" ca="1" si="22"/>
        <v>#NAME?</v>
      </c>
      <c r="S391" s="154">
        <f t="shared" ca="1" si="28"/>
        <v>192</v>
      </c>
      <c r="T391" s="154">
        <f t="shared" ca="1" si="23"/>
        <v>148</v>
      </c>
      <c r="U391" s="16" t="str">
        <f t="shared" ca="1" si="24"/>
        <v>Bloody</v>
      </c>
      <c r="V391" s="155">
        <f ca="1">IFERROR(__xludf.DUMMYFUNCTION("if(W391=""Middle Age"",QUERY(NPCVar!$K$2:$N1000, ""Select L where K = '""&amp;AB391&amp;""'""),if(W391=""Old"",QUERY(NPCVar!$K$2:$N1000, ""Select M where K = '""&amp;AB391&amp;""'""),if(W391=""Venerable"",QUERY(NPCVar!$K$2:$N1000, ""Select N where K = '""&amp;AB391&amp;""'""),fa"&amp;"lse)))*X391"),60.5)</f>
        <v>60.5</v>
      </c>
      <c r="W391" s="156" t="str">
        <f t="array" ref="W391">INDEX(NPCAgeType,TRUNC(1+(4-1)*(TRUNC(MOD((X391*1103515245 +12345)/ 65536, 32768),0)/32768),0))</f>
        <v>Middle Age</v>
      </c>
      <c r="X391" s="117">
        <f t="shared" si="29"/>
        <v>2.2000000000000002</v>
      </c>
      <c r="Y391" s="157" t="e">
        <f t="array" aca="1" ref="Y391" ca="1">LOOKUP(ABS(MAX(Z391 + MIN(ABS(INDIRECT("Class Jobs!B"&amp;MATCH(E391,'Class Jobs'!$A$1:$A1000,0)&amp;":"&amp;"AF"&amp;MATCH(E391,'Class Jobs'!$A$1:$A1000,0)&amp;"")-$Z391)) * SUM(IF(MIN(ABS(INDIRECT("Class Jobs!B"&amp;MATCH(E391,'Class Jobs'!$A$1:$A1000,0)&amp;":"&amp;"AF"&amp;MATCH(E391,'Class Jobs'!$A$1:$A1000,0)&amp;"")-$Z391))=ABS(INDIRECT("Class Jobs!B"&amp;MATCH(E391,'Class Jobs'!$A$1:$A1000,0)&amp;":"&amp;"AF"&amp;MATCH(E391,'Class Jobs'!$A$1:$A1000,0)&amp;"")-$Z391),SIGN(INDIRECT("Class Jobs!B"&amp;MATCH(E391,'Class Jobs'!$A$1:A1000,0)&amp;":"&amp;"AF"&amp;MATCH(E391,'Class Jobs'!$A$1:$A1000,0)&amp;"")-$Z391),0)),0)),INDIRECT("Class Jobs!B"&amp;MATCH(E391,'Class Jobs'!$A$1:$A1000,0)&amp;":"&amp;"AF"&amp;MATCH(E391,'Class Jobs'!$A$1:$A1000,1)&amp;""),'Class Jobs'!$B$1:$AF$1)</f>
        <v>#REF!</v>
      </c>
      <c r="Z391" s="158">
        <f t="shared" si="25"/>
        <v>0.87</v>
      </c>
      <c r="AA391" s="16" t="str">
        <f t="array" ref="AA391">INDEX(NPCGender,TRUNC(1+(COUNTA(NPCGender))*(TRUNC(MOD(($B391*1103515245 +12345)/ 65536, 32768),0)/32768),0))</f>
        <v>Neutral</v>
      </c>
      <c r="AB391" s="16" t="str">
        <f t="array" ref="AB391">INDEX(NPCRace,TRUNC(1+(COUNTA(NPCRace))*(TRUNC(MOD(($B391*1103515245 +12345)/ 65536, 32768),0)/32768),0))</f>
        <v>Genasi</v>
      </c>
      <c r="AC391" s="16" t="str">
        <f t="array" ref="AC391">INDEX(NPCAL,TRUNC(1+(COUNTA(NPCAL))*(TRUNC(MOD(($B391*1103515245 +12345)/ 65536, 32768),0)/32768),0))</f>
        <v>LN</v>
      </c>
      <c r="AD391" s="72" t="str">
        <f ca="1">IFERROR(__xludf.DUMMYFUNCTION("if(V391&lt;15,QUERY(NPCVar!C:D,""Select D WHERE C = '""&amp;D391&amp;""'""),if((TRUNC(1+10)*(TRUNC(MOD((ROW(H391)*1103515245 +12345)/ 65536, 32768),0)/32768)/10) &gt; 0.85,INDEX(NPCFaction,TRUNC(1+(counta(NPCFaction)-1)*(TRUNC(MOD(($B391*1103515245 +12345)/ 65536, 3276"&amp;"8),0)/32768),0)),QUERY(NPCVar!C:D,""Select D WHERE C = '""&amp;D391&amp;""'"")))"),"Farmers Guild")</f>
        <v>Farmers Guild</v>
      </c>
      <c r="AE391" s="108" t="e">
        <f t="shared" ca="1" si="26"/>
        <v>#NAME?</v>
      </c>
      <c r="AF391" s="159">
        <f ca="1">IFERROR(__xludf.DUMMYFUNCTION("AE391*(V391 / QUERY(NPCVar!$K$2:$N$12, ""Select N WHERE K='""&amp;AB391&amp;""'""))*TRUNC(1+10)*(TRUNC(MOD(($B391*1103515245 +12345)/ 65536, 32768),0)/32768)"),2.65093688964843)</f>
        <v>2.6509368896484302</v>
      </c>
      <c r="AG391" s="16"/>
      <c r="AH391" s="77"/>
      <c r="AI391" s="114"/>
    </row>
    <row r="392" spans="1:35" ht="16.2">
      <c r="A392" s="53">
        <v>391</v>
      </c>
      <c r="B392" s="118">
        <f t="shared" si="31"/>
        <v>0.69954000000000005</v>
      </c>
      <c r="C392" s="72" t="str">
        <f t="array" ref="C392">INDEX(NPCFName,TRUNC(1+(COUNTA(NPCFName))*(TRUNC(MOD(($B392*1103515245 +12345)/ 65536, 32768),0)/32768),0))</f>
        <v>Baradeer</v>
      </c>
      <c r="D392" s="16" t="str">
        <f t="array" ref="D392">INDEX(NPCLName,TRUNC(1+(COUNTA(NPCLName))*(TRUNC(MOD(($B392*1103515245 +12345)/ 65536, 32768),0)/32768),0))</f>
        <v>Leafblight</v>
      </c>
      <c r="E392" s="16" t="str">
        <f t="array" ref="E392">INDEX(NPCClass,TRUNC(1+(COUNTA(NPCClass))*(TRUNC(MOD(($B392*1103515245 +12345)/ 65536, 32768),0)/32768),0))</f>
        <v>Paladin</v>
      </c>
      <c r="F392" s="76">
        <v>6</v>
      </c>
      <c r="G392" s="153">
        <f ca="1">VLOOKUP($AB$2,'RF Mod'!$A$2:$G$12,2,FALSE)+VLOOKUP($AD$2,'RF Mod'!$I$2:$O$11,2,FALSE)+(TRUNC(6+(24-6)*(TRUNC(MOD(($Z392*1103515245 +12345)/ 65536, 32768),0)/32768),0))</f>
        <v>7</v>
      </c>
      <c r="H392" s="16">
        <f t="shared" ca="1" si="17"/>
        <v>-2</v>
      </c>
      <c r="I392" s="153">
        <f ca="1">VLOOKUP($AB$2,'RF Mod'!$A$2:$G$12,3,FALSE)+VLOOKUP($AD$2,'RF Mod'!$I$2:$O$11,3,FALSE)+(TRUNC(6+(24-6)*(TRUNC(MOD(($Z392*1103515245 +12345)/ 65536, 32768),0)/32768),0))</f>
        <v>11</v>
      </c>
      <c r="J392" s="16" t="e">
        <f t="shared" ca="1" si="18"/>
        <v>#NAME?</v>
      </c>
      <c r="K392" s="153">
        <f ca="1">VLOOKUP($AB$2,'RF Mod'!$A$2:$G$12,3,FALSE)+VLOOKUP($AD$2,'RF Mod'!$I$2:$O$11,3,FALSE)+(TRUNC(6+(24-6)*(TRUNC(MOD(($Z392*1103515245 +12345)/ 65536, 32768),0)/32768),0))</f>
        <v>11</v>
      </c>
      <c r="L392" s="16" t="e">
        <f t="shared" ca="1" si="19"/>
        <v>#NAME?</v>
      </c>
      <c r="M392" s="153">
        <f ca="1">VLOOKUP($AB$2,'RF Mod'!$A$2:$G$12,4,FALSE)+VLOOKUP($AD$2,'RF Mod'!$I$2:$O$11,4,FALSE)+(TRUNC(6+(24-6)*(TRUNC(MOD(($Z392*1103515245 +12345)/ 65536, 32768),0)/32768),0))</f>
        <v>10</v>
      </c>
      <c r="N392" s="16" t="e">
        <f t="shared" ca="1" si="20"/>
        <v>#NAME?</v>
      </c>
      <c r="O392" s="153">
        <f ca="1">VLOOKUP($AB$2,'RF Mod'!$A$2:$G$12,5,FALSE)+VLOOKUP($AD$2,'RF Mod'!$I$2:$O$11,5,FALSE)+(TRUNC(6+(24-6)*(TRUNC(MOD(($Z392*1103515245 +12345)/ 65536, 32768),0)/32768),0))</f>
        <v>13</v>
      </c>
      <c r="P392" s="16" t="e">
        <f t="shared" ca="1" si="21"/>
        <v>#NAME?</v>
      </c>
      <c r="Q392" s="153">
        <f ca="1">VLOOKUP($AB$2,'RF Mod'!$A$2:$G$12,6,FALSE)+VLOOKUP($AD$2,'RF Mod'!$I$2:$O$11,6,FALSE)+(TRUNC(6+(24-6)*(TRUNC(MOD(($Z392*1103515245 +12345)/ 65536, 32768),0)/32768),0))</f>
        <v>11</v>
      </c>
      <c r="R392" s="16" t="e">
        <f t="shared" ca="1" si="22"/>
        <v>#NAME?</v>
      </c>
      <c r="S392" s="154">
        <f t="shared" ca="1" si="28"/>
        <v>126</v>
      </c>
      <c r="T392" s="154">
        <f t="shared" ca="1" si="23"/>
        <v>65</v>
      </c>
      <c r="U392" s="16" t="str">
        <f t="shared" ca="1" si="24"/>
        <v>Bloody</v>
      </c>
      <c r="V392" s="155">
        <f ca="1">IFERROR(__xludf.DUMMYFUNCTION("if(W392=""Middle Age"",QUERY(NPCVar!$K$2:$N1000, ""Select L where K = '""&amp;AB392&amp;""'""),if(W392=""Old"",QUERY(NPCVar!$K$2:$N1000, ""Select M where K = '""&amp;AB392&amp;""'""),if(W392=""Venerable"",QUERY(NPCVar!$K$2:$N1000, ""Select N where K = '""&amp;AB392&amp;""'""),fa"&amp;"lse)))*X392"),151.875)</f>
        <v>151.875</v>
      </c>
      <c r="W392" s="156" t="str">
        <f t="array" ref="W392">INDEX(NPCAgeType,TRUNC(1+(4-1)*(TRUNC(MOD((X392*1103515245 +12345)/ 65536, 32768),0)/32768),0))</f>
        <v>Old</v>
      </c>
      <c r="X392" s="117">
        <f t="shared" si="29"/>
        <v>0.9</v>
      </c>
      <c r="Y392" s="157" t="e">
        <f t="array" aca="1" ref="Y392" ca="1">LOOKUP(ABS(MAX(Z392 + MIN(ABS(INDIRECT("Class Jobs!B"&amp;MATCH(E392,'Class Jobs'!$A$1:$A1000,0)&amp;":"&amp;"AF"&amp;MATCH(E392,'Class Jobs'!$A$1:$A1000,0)&amp;"")-$Z392)) * SUM(IF(MIN(ABS(INDIRECT("Class Jobs!B"&amp;MATCH(E392,'Class Jobs'!$A$1:$A1000,0)&amp;":"&amp;"AF"&amp;MATCH(E392,'Class Jobs'!$A$1:$A1000,0)&amp;"")-$Z392))=ABS(INDIRECT("Class Jobs!B"&amp;MATCH(E392,'Class Jobs'!$A$1:$A1000,0)&amp;":"&amp;"AF"&amp;MATCH(E392,'Class Jobs'!$A$1:$A1000,0)&amp;"")-$Z392),SIGN(INDIRECT("Class Jobs!B"&amp;MATCH(E392,'Class Jobs'!$A$1:A1000,0)&amp;":"&amp;"AF"&amp;MATCH(E392,'Class Jobs'!$A$1:$A1000,0)&amp;"")-$Z392),0)),0)),INDIRECT("Class Jobs!B"&amp;MATCH(E392,'Class Jobs'!$A$1:$A1000,0)&amp;":"&amp;"AF"&amp;MATCH(E392,'Class Jobs'!$A$1:$A1000,1)&amp;""),'Class Jobs'!$B$1:$AF$1)</f>
        <v>#REF!</v>
      </c>
      <c r="Z392" s="158">
        <f t="shared" si="25"/>
        <v>0.36</v>
      </c>
      <c r="AA392" s="16" t="str">
        <f t="array" ref="AA392">INDEX(NPCGender,TRUNC(1+(COUNTA(NPCGender))*(TRUNC(MOD(($B392*1103515245 +12345)/ 65536, 32768),0)/32768),0))</f>
        <v>Female</v>
      </c>
      <c r="AB392" s="16" t="str">
        <f t="array" ref="AB392">INDEX(NPCRace,TRUNC(1+(COUNTA(NPCRace))*(TRUNC(MOD(($B392*1103515245 +12345)/ 65536, 32768),0)/32768),0))</f>
        <v>Gnome</v>
      </c>
      <c r="AC392" s="16" t="str">
        <f t="array" ref="AC392">INDEX(NPCAL,TRUNC(1+(COUNTA(NPCAL))*(TRUNC(MOD(($B392*1103515245 +12345)/ 65536, 32768),0)/32768),0))</f>
        <v>NG</v>
      </c>
      <c r="AD392" s="72" t="str">
        <f ca="1">IFERROR(__xludf.DUMMYFUNCTION("if(V392&lt;15,QUERY(NPCVar!C:D,""Select D WHERE C = '""&amp;D392&amp;""'""),if((TRUNC(1+10)*(TRUNC(MOD((ROW(H392)*1103515245 +12345)/ 65536, 32768),0)/32768)/10) &gt; 0.85,INDEX(NPCFaction,TRUNC(1+(counta(NPCFaction)-1)*(TRUNC(MOD(($B392*1103515245 +12345)/ 65536, 3276"&amp;"8),0)/32768),0)),QUERY(NPCVar!C:D,""Select D WHERE C = '""&amp;D392&amp;""'"")))"),"Necromancer")</f>
        <v>Necromancer</v>
      </c>
      <c r="AE392" s="108" t="e">
        <f t="shared" ca="1" si="26"/>
        <v>#NAME?</v>
      </c>
      <c r="AF392" s="159">
        <f ca="1">IFERROR(__xludf.DUMMYFUNCTION("AE392*(V392 / QUERY(NPCVar!$K$2:$N$12, ""Select N WHERE K='""&amp;AB392&amp;""'""))*TRUNC(1+10)*(TRUNC(MOD(($B392*1103515245 +12345)/ 65536, 32768),0)/32768)"),1.06761566162109)</f>
        <v>1.0676156616210899</v>
      </c>
      <c r="AG392" s="16"/>
      <c r="AH392" s="77"/>
      <c r="AI392" s="114"/>
    </row>
    <row r="393" spans="1:35" ht="16.2">
      <c r="A393" s="53">
        <v>392</v>
      </c>
      <c r="B393" s="118">
        <f t="shared" si="31"/>
        <v>2.1936800000000001</v>
      </c>
      <c r="C393" s="72" t="str">
        <f t="array" ref="C393">INDEX(NPCFName,TRUNC(1+(COUNTA(NPCFName))*(TRUNC(MOD(($B393*1103515245 +12345)/ 65536, 32768),0)/32768),0))</f>
        <v>Guthale</v>
      </c>
      <c r="D393" s="16" t="str">
        <f t="array" ref="D393">INDEX(NPCLName,TRUNC(1+(COUNTA(NPCLName))*(TRUNC(MOD(($B393*1103515245 +12345)/ 65536, 32768),0)/32768),0))</f>
        <v>Distantlash</v>
      </c>
      <c r="E393" s="16" t="str">
        <f t="array" ref="E393">INDEX(NPCClass,TRUNC(1+(COUNTA(NPCClass))*(TRUNC(MOD(($B393*1103515245 +12345)/ 65536, 32768),0)/32768),0))</f>
        <v>Bard</v>
      </c>
      <c r="F393" s="76">
        <v>1</v>
      </c>
      <c r="G393" s="153">
        <f ca="1">VLOOKUP($AB$2,'RF Mod'!$A$2:$G$12,2,FALSE)+VLOOKUP($AD$2,'RF Mod'!$I$2:$O$11,2,FALSE)+(TRUNC(6+(24-6)*(TRUNC(MOD(($Z393*1103515245 +12345)/ 65536, 32768),0)/32768),0))</f>
        <v>5</v>
      </c>
      <c r="H393" s="16">
        <f t="shared" ca="1" si="17"/>
        <v>-3</v>
      </c>
      <c r="I393" s="153">
        <f ca="1">VLOOKUP($AB$2,'RF Mod'!$A$2:$G$12,3,FALSE)+VLOOKUP($AD$2,'RF Mod'!$I$2:$O$11,3,FALSE)+(TRUNC(6+(24-6)*(TRUNC(MOD(($Z393*1103515245 +12345)/ 65536, 32768),0)/32768),0))</f>
        <v>9</v>
      </c>
      <c r="J393" s="16">
        <f t="shared" ca="1" si="18"/>
        <v>-1</v>
      </c>
      <c r="K393" s="153">
        <f ca="1">VLOOKUP($AB$2,'RF Mod'!$A$2:$G$12,3,FALSE)+VLOOKUP($AD$2,'RF Mod'!$I$2:$O$11,3,FALSE)+(TRUNC(6+(24-6)*(TRUNC(MOD(($Z393*1103515245 +12345)/ 65536, 32768),0)/32768),0))</f>
        <v>9</v>
      </c>
      <c r="L393" s="16">
        <f t="shared" ca="1" si="19"/>
        <v>-1</v>
      </c>
      <c r="M393" s="153">
        <f ca="1">VLOOKUP($AB$2,'RF Mod'!$A$2:$G$12,4,FALSE)+VLOOKUP($AD$2,'RF Mod'!$I$2:$O$11,4,FALSE)+(TRUNC(6+(24-6)*(TRUNC(MOD(($Z393*1103515245 +12345)/ 65536, 32768),0)/32768),0))</f>
        <v>8</v>
      </c>
      <c r="N393" s="16">
        <f t="shared" ca="1" si="20"/>
        <v>-1</v>
      </c>
      <c r="O393" s="153">
        <f ca="1">VLOOKUP($AB$2,'RF Mod'!$A$2:$G$12,5,FALSE)+VLOOKUP($AD$2,'RF Mod'!$I$2:$O$11,5,FALSE)+(TRUNC(6+(24-6)*(TRUNC(MOD(($Z393*1103515245 +12345)/ 65536, 32768),0)/32768),0))</f>
        <v>11</v>
      </c>
      <c r="P393" s="16" t="e">
        <f t="shared" ca="1" si="21"/>
        <v>#NAME?</v>
      </c>
      <c r="Q393" s="153">
        <f ca="1">VLOOKUP($AB$2,'RF Mod'!$A$2:$G$12,6,FALSE)+VLOOKUP($AD$2,'RF Mod'!$I$2:$O$11,6,FALSE)+(TRUNC(6+(24-6)*(TRUNC(MOD(($Z393*1103515245 +12345)/ 65536, 32768),0)/32768),0))</f>
        <v>9</v>
      </c>
      <c r="R393" s="16">
        <f t="shared" ca="1" si="22"/>
        <v>-1</v>
      </c>
      <c r="S393" s="154">
        <f t="shared" ca="1" si="28"/>
        <v>11</v>
      </c>
      <c r="T393" s="154">
        <f t="shared" ca="1" si="23"/>
        <v>1</v>
      </c>
      <c r="U393" s="16" t="str">
        <f t="shared" ca="1" si="24"/>
        <v>Fine</v>
      </c>
      <c r="V393" s="155">
        <f ca="1">IFERROR(__xludf.DUMMYFUNCTION("if(W393=""Middle Age"",QUERY(NPCVar!$K$2:$N1000, ""Select L where K = '""&amp;AB393&amp;""'""),if(W393=""Old"",QUERY(NPCVar!$K$2:$N1000, ""Select M where K = '""&amp;AB393&amp;""'""),if(W393=""Venerable"",QUERY(NPCVar!$K$2:$N1000, ""Select N where K = '""&amp;AB393&amp;""'""),fa"&amp;"lse)))*X393"),32)</f>
        <v>32</v>
      </c>
      <c r="W393" s="156" t="str">
        <f t="array" ref="W393">INDEX(NPCAgeType,TRUNC(1+(4-1)*(TRUNC(MOD((X393*1103515245 +12345)/ 65536, 32768),0)/32768),0))</f>
        <v>Middle Age</v>
      </c>
      <c r="X393" s="117">
        <f t="shared" si="29"/>
        <v>0.4</v>
      </c>
      <c r="Y393" s="157" t="e">
        <f t="array" aca="1" ref="Y393" ca="1">LOOKUP(ABS(MAX(Z393 + MIN(ABS(INDIRECT("Class Jobs!B"&amp;MATCH(E393,'Class Jobs'!$A$1:$A1000,0)&amp;":"&amp;"AF"&amp;MATCH(E393,'Class Jobs'!$A$1:$A1000,0)&amp;"")-$Z393)) * SUM(IF(MIN(ABS(INDIRECT("Class Jobs!B"&amp;MATCH(E393,'Class Jobs'!$A$1:$A1000,0)&amp;":"&amp;"AF"&amp;MATCH(E393,'Class Jobs'!$A$1:$A1000,0)&amp;"")-$Z393))=ABS(INDIRECT("Class Jobs!B"&amp;MATCH(E393,'Class Jobs'!$A$1:$A1000,0)&amp;":"&amp;"AF"&amp;MATCH(E393,'Class Jobs'!$A$1:$A1000,0)&amp;"")-$Z393),SIGN(INDIRECT("Class Jobs!B"&amp;MATCH(E393,'Class Jobs'!$A$1:A1000,0)&amp;":"&amp;"AF"&amp;MATCH(E393,'Class Jobs'!$A$1:$A1000,0)&amp;"")-$Z393),0)),0)),INDIRECT("Class Jobs!B"&amp;MATCH(E393,'Class Jobs'!$A$1:$A1000,0)&amp;":"&amp;"AF"&amp;MATCH(E393,'Class Jobs'!$A$1:$A1000,1)&amp;""),'Class Jobs'!$B$1:$AF$1)</f>
        <v>#REF!</v>
      </c>
      <c r="Z393" s="158">
        <f t="shared" si="25"/>
        <v>0.13</v>
      </c>
      <c r="AA393" s="16" t="str">
        <f t="array" ref="AA393">INDEX(NPCGender,TRUNC(1+(COUNTA(NPCGender))*(TRUNC(MOD(($B393*1103515245 +12345)/ 65536, 32768),0)/32768),0))</f>
        <v>Male</v>
      </c>
      <c r="AB393" s="16" t="str">
        <f t="array" ref="AB393">INDEX(NPCRace,TRUNC(1+(COUNTA(NPCRace))*(TRUNC(MOD(($B393*1103515245 +12345)/ 65536, 32768),0)/32768),0))</f>
        <v>Dwarf</v>
      </c>
      <c r="AC393" s="16" t="str">
        <f t="array" ref="AC393">INDEX(NPCAL,TRUNC(1+(COUNTA(NPCAL))*(TRUNC(MOD(($B393*1103515245 +12345)/ 65536, 32768),0)/32768),0))</f>
        <v>CE</v>
      </c>
      <c r="AD393" s="72" t="str">
        <f ca="1">IFERROR(__xludf.DUMMYFUNCTION("if(V393&lt;15,QUERY(NPCVar!C:D,""Select D WHERE C = '""&amp;D393&amp;""'""),if((TRUNC(1+10)*(TRUNC(MOD((ROW(H393)*1103515245 +12345)/ 65536, 32768),0)/32768)/10) &gt; 0.85,INDEX(NPCFaction,TRUNC(1+(counta(NPCFaction)-1)*(TRUNC(MOD(($B393*1103515245 +12345)/ 65536, 3276"&amp;"8),0)/32768),0)),QUERY(NPCVar!C:D,""Select D WHERE C = '""&amp;D393&amp;""'"")))"),"Necromancer")</f>
        <v>Necromancer</v>
      </c>
      <c r="AE393" s="108" t="e">
        <f t="shared" ca="1" si="26"/>
        <v>#NAME?</v>
      </c>
      <c r="AF393" s="159">
        <f ca="1">IFERROR(__xludf.DUMMYFUNCTION("AE393*(V393 / QUERY(NPCVar!$K$2:$N$12, ""Select N WHERE K='""&amp;AB393&amp;""'""))*TRUNC(1+10)*(TRUNC(MOD(($B393*1103515245 +12345)/ 65536, 32768),0)/32768)"),0.0139984130859375)</f>
        <v>1.39984130859375E-2</v>
      </c>
      <c r="AG393" s="16"/>
      <c r="AH393" s="77"/>
      <c r="AI393" s="114"/>
    </row>
    <row r="394" spans="1:35" ht="16.2">
      <c r="A394" s="53">
        <v>393</v>
      </c>
      <c r="B394" s="118">
        <f t="shared" si="31"/>
        <v>1.18774</v>
      </c>
      <c r="C394" s="72" t="str">
        <f t="array" ref="C394">INDEX(NPCFName,TRUNC(1+(COUNTA(NPCFName))*(TRUNC(MOD(($B394*1103515245 +12345)/ 65536, 32768),0)/32768),0))</f>
        <v>Sythril</v>
      </c>
      <c r="D394" s="16" t="str">
        <f t="array" ref="D394">INDEX(NPCLName,TRUNC(1+(COUNTA(NPCLName))*(TRUNC(MOD(($B394*1103515245 +12345)/ 65536, 32768),0)/32768),0))</f>
        <v>Gloomrage</v>
      </c>
      <c r="E394" s="16" t="str">
        <f t="array" ref="E394">INDEX(NPCClass,TRUNC(1+(COUNTA(NPCClass))*(TRUNC(MOD(($B394*1103515245 +12345)/ 65536, 32768),0)/32768),0))</f>
        <v>Warlock</v>
      </c>
      <c r="F394" s="76">
        <v>8</v>
      </c>
      <c r="G394" s="153">
        <f ca="1">VLOOKUP($AB$2,'RF Mod'!$A$2:$G$12,2,FALSE)+VLOOKUP($AD$2,'RF Mod'!$I$2:$O$11,2,FALSE)+(TRUNC(6+(24-6)*(TRUNC(MOD(($Z394*1103515245 +12345)/ 65536, 32768),0)/32768),0))</f>
        <v>9</v>
      </c>
      <c r="H394" s="16">
        <f t="shared" ca="1" si="17"/>
        <v>-1</v>
      </c>
      <c r="I394" s="153">
        <f ca="1">VLOOKUP($AB$2,'RF Mod'!$A$2:$G$12,3,FALSE)+VLOOKUP($AD$2,'RF Mod'!$I$2:$O$11,3,FALSE)+(TRUNC(6+(24-6)*(TRUNC(MOD(($Z394*1103515245 +12345)/ 65536, 32768),0)/32768),0))</f>
        <v>13</v>
      </c>
      <c r="J394" s="16" t="e">
        <f t="shared" ca="1" si="18"/>
        <v>#NAME?</v>
      </c>
      <c r="K394" s="153">
        <f ca="1">VLOOKUP($AB$2,'RF Mod'!$A$2:$G$12,3,FALSE)+VLOOKUP($AD$2,'RF Mod'!$I$2:$O$11,3,FALSE)+(TRUNC(6+(24-6)*(TRUNC(MOD(($Z394*1103515245 +12345)/ 65536, 32768),0)/32768),0))</f>
        <v>13</v>
      </c>
      <c r="L394" s="16" t="e">
        <f t="shared" ca="1" si="19"/>
        <v>#NAME?</v>
      </c>
      <c r="M394" s="153">
        <f ca="1">VLOOKUP($AB$2,'RF Mod'!$A$2:$G$12,4,FALSE)+VLOOKUP($AD$2,'RF Mod'!$I$2:$O$11,4,FALSE)+(TRUNC(6+(24-6)*(TRUNC(MOD(($Z394*1103515245 +12345)/ 65536, 32768),0)/32768),0))</f>
        <v>12</v>
      </c>
      <c r="N394" s="16" t="e">
        <f t="shared" ca="1" si="20"/>
        <v>#NAME?</v>
      </c>
      <c r="O394" s="153">
        <f ca="1">VLOOKUP($AB$2,'RF Mod'!$A$2:$G$12,5,FALSE)+VLOOKUP($AD$2,'RF Mod'!$I$2:$O$11,5,FALSE)+(TRUNC(6+(24-6)*(TRUNC(MOD(($Z394*1103515245 +12345)/ 65536, 32768),0)/32768),0))</f>
        <v>15</v>
      </c>
      <c r="P394" s="16" t="e">
        <f t="shared" ca="1" si="21"/>
        <v>#NAME?</v>
      </c>
      <c r="Q394" s="153">
        <f ca="1">VLOOKUP($AB$2,'RF Mod'!$A$2:$G$12,6,FALSE)+VLOOKUP($AD$2,'RF Mod'!$I$2:$O$11,6,FALSE)+(TRUNC(6+(24-6)*(TRUNC(MOD(($Z394*1103515245 +12345)/ 65536, 32768),0)/32768),0))</f>
        <v>13</v>
      </c>
      <c r="R394" s="16" t="e">
        <f t="shared" ca="1" si="22"/>
        <v>#NAME?</v>
      </c>
      <c r="S394" s="154">
        <f t="shared" ca="1" si="28"/>
        <v>136</v>
      </c>
      <c r="T394" s="154">
        <f t="shared" ca="1" si="23"/>
        <v>29</v>
      </c>
      <c r="U394" s="16" t="str">
        <f t="shared" ca="1" si="24"/>
        <v>Fine</v>
      </c>
      <c r="V394" s="155">
        <f ca="1">IFERROR(__xludf.DUMMYFUNCTION("if(W394=""Middle Age"",QUERY(NPCVar!$K$2:$N1000, ""Select L where K = '""&amp;AB394&amp;""'""),if(W394=""Old"",QUERY(NPCVar!$K$2:$N1000, ""Select M where K = '""&amp;AB394&amp;""'""),if(W394=""Venerable"",QUERY(NPCVar!$K$2:$N1000, ""Select N where K = '""&amp;AB394&amp;""'""),fa"&amp;"lse)))*X394"),300)</f>
        <v>300</v>
      </c>
      <c r="W394" s="156" t="str">
        <f t="array" ref="W394">INDEX(NPCAgeType,TRUNC(1+(4-1)*(TRUNC(MOD((X394*1103515245 +12345)/ 65536, 32768),0)/32768),0))</f>
        <v>Venerable</v>
      </c>
      <c r="X394" s="117">
        <f t="shared" si="29"/>
        <v>1.5</v>
      </c>
      <c r="Y394" s="157" t="e">
        <f t="array" aca="1" ref="Y394" ca="1">LOOKUP(ABS(MAX(Z394 + MIN(ABS(INDIRECT("Class Jobs!B"&amp;MATCH(E394,'Class Jobs'!$A$1:$A1000,0)&amp;":"&amp;"AF"&amp;MATCH(E394,'Class Jobs'!$A$1:$A1000,0)&amp;"")-$Z394)) * SUM(IF(MIN(ABS(INDIRECT("Class Jobs!B"&amp;MATCH(E394,'Class Jobs'!$A$1:$A1000,0)&amp;":"&amp;"AF"&amp;MATCH(E394,'Class Jobs'!$A$1:$A1000,0)&amp;"")-$Z394))=ABS(INDIRECT("Class Jobs!B"&amp;MATCH(E394,'Class Jobs'!$A$1:$A1000,0)&amp;":"&amp;"AF"&amp;MATCH(E394,'Class Jobs'!$A$1:$A1000,0)&amp;"")-$Z394),SIGN(INDIRECT("Class Jobs!B"&amp;MATCH(E394,'Class Jobs'!$A$1:A1000,0)&amp;":"&amp;"AF"&amp;MATCH(E394,'Class Jobs'!$A$1:$A1000,0)&amp;"")-$Z394),0)),0)),INDIRECT("Class Jobs!B"&amp;MATCH(E394,'Class Jobs'!$A$1:$A1000,0)&amp;":"&amp;"AF"&amp;MATCH(E394,'Class Jobs'!$A$1:$A1000,1)&amp;""),'Class Jobs'!$B$1:$AF$1)</f>
        <v>#REF!</v>
      </c>
      <c r="Z394" s="158">
        <f t="shared" si="25"/>
        <v>0.61</v>
      </c>
      <c r="AA394" s="16" t="str">
        <f t="array" ref="AA394">INDEX(NPCGender,TRUNC(1+(COUNTA(NPCGender))*(TRUNC(MOD(($B394*1103515245 +12345)/ 65536, 32768),0)/32768),0))</f>
        <v>Female</v>
      </c>
      <c r="AB394" s="16" t="str">
        <f t="array" ref="AB394">INDEX(NPCRace,TRUNC(1+(COUNTA(NPCRace))*(TRUNC(MOD(($B394*1103515245 +12345)/ 65536, 32768),0)/32768),0))</f>
        <v>Halfling</v>
      </c>
      <c r="AC394" s="16" t="str">
        <f t="array" ref="AC394">INDEX(NPCAL,TRUNC(1+(COUNTA(NPCAL))*(TRUNC(MOD(($B394*1103515245 +12345)/ 65536, 32768),0)/32768),0))</f>
        <v>NE</v>
      </c>
      <c r="AD394" s="72" t="str">
        <f ca="1">IFERROR(__xludf.DUMMYFUNCTION("if(V394&lt;15,QUERY(NPCVar!C:D,""Select D WHERE C = '""&amp;D394&amp;""'""),if((TRUNC(1+10)*(TRUNC(MOD((ROW(H394)*1103515245 +12345)/ 65536, 32768),0)/32768)/10) &gt; 0.85,INDEX(NPCFaction,TRUNC(1+(counta(NPCFaction)-1)*(TRUNC(MOD(($B394*1103515245 +12345)/ 65536, 3276"&amp;"8),0)/32768),0)),QUERY(NPCVar!C:D,""Select D WHERE C = '""&amp;D394&amp;""'"")))"),"Traders Guild")</f>
        <v>Traders Guild</v>
      </c>
      <c r="AE394" s="108" t="e">
        <f t="shared" ca="1" si="26"/>
        <v>#NAME?</v>
      </c>
      <c r="AF394" s="159">
        <f ca="1">IFERROR(__xludf.DUMMYFUNCTION("AE394*(V394 / QUERY(NPCVar!$K$2:$N$12, ""Select N WHERE K='""&amp;AB394&amp;""'""))*TRUNC(1+10)*(TRUNC(MOD(($B394*1103515245 +12345)/ 65536, 32768),0)/32768)"),10.0702972412109)</f>
        <v>10.0702972412109</v>
      </c>
      <c r="AG394" s="16"/>
      <c r="AH394" s="77"/>
      <c r="AI394" s="114"/>
    </row>
    <row r="395" spans="1:35" ht="16.2">
      <c r="A395" s="53">
        <v>394</v>
      </c>
      <c r="B395" s="118">
        <f t="shared" si="31"/>
        <v>0.18189</v>
      </c>
      <c r="C395" s="72" t="str">
        <f t="array" ref="C395">INDEX(NPCFName,TRUNC(1+(COUNTA(NPCFName))*(TRUNC(MOD(($B395*1103515245 +12345)/ 65536, 32768),0)/32768),0))</f>
        <v>Elson</v>
      </c>
      <c r="D395" s="16" t="str">
        <f t="array" ref="D395">INDEX(NPCLName,TRUNC(1+(COUNTA(NPCLName))*(TRUNC(MOD(($B395*1103515245 +12345)/ 65536, 32768),0)/32768),0))</f>
        <v>Autumnorb</v>
      </c>
      <c r="E395" s="16" t="str">
        <f t="array" ref="E395">INDEX(NPCClass,TRUNC(1+(COUNTA(NPCClass))*(TRUNC(MOD(($B395*1103515245 +12345)/ 65536, 32768),0)/32768),0))</f>
        <v>Bard</v>
      </c>
      <c r="F395" s="76">
        <v>1</v>
      </c>
      <c r="G395" s="153">
        <f ca="1">VLOOKUP($AB$2,'RF Mod'!$A$2:$G$12,2,FALSE)+VLOOKUP($AD$2,'RF Mod'!$I$2:$O$11,2,FALSE)+(TRUNC(6+(24-6)*(TRUNC(MOD(($Z395*1103515245 +12345)/ 65536, 32768),0)/32768),0))</f>
        <v>4</v>
      </c>
      <c r="H395" s="16">
        <f t="shared" ca="1" si="17"/>
        <v>-3</v>
      </c>
      <c r="I395" s="153">
        <f ca="1">VLOOKUP($AB$2,'RF Mod'!$A$2:$G$12,3,FALSE)+VLOOKUP($AD$2,'RF Mod'!$I$2:$O$11,3,FALSE)+(TRUNC(6+(24-6)*(TRUNC(MOD(($Z395*1103515245 +12345)/ 65536, 32768),0)/32768),0))</f>
        <v>8</v>
      </c>
      <c r="J395" s="16">
        <f t="shared" ca="1" si="18"/>
        <v>-1</v>
      </c>
      <c r="K395" s="153">
        <f ca="1">VLOOKUP($AB$2,'RF Mod'!$A$2:$G$12,3,FALSE)+VLOOKUP($AD$2,'RF Mod'!$I$2:$O$11,3,FALSE)+(TRUNC(6+(24-6)*(TRUNC(MOD(($Z395*1103515245 +12345)/ 65536, 32768),0)/32768),0))</f>
        <v>8</v>
      </c>
      <c r="L395" s="16">
        <f t="shared" ca="1" si="19"/>
        <v>-1</v>
      </c>
      <c r="M395" s="153">
        <f ca="1">VLOOKUP($AB$2,'RF Mod'!$A$2:$G$12,4,FALSE)+VLOOKUP($AD$2,'RF Mod'!$I$2:$O$11,4,FALSE)+(TRUNC(6+(24-6)*(TRUNC(MOD(($Z395*1103515245 +12345)/ 65536, 32768),0)/32768),0))</f>
        <v>7</v>
      </c>
      <c r="N395" s="16">
        <f t="shared" ca="1" si="20"/>
        <v>-2</v>
      </c>
      <c r="O395" s="153">
        <f ca="1">VLOOKUP($AB$2,'RF Mod'!$A$2:$G$12,5,FALSE)+VLOOKUP($AD$2,'RF Mod'!$I$2:$O$11,5,FALSE)+(TRUNC(6+(24-6)*(TRUNC(MOD(($Z395*1103515245 +12345)/ 65536, 32768),0)/32768),0))</f>
        <v>10</v>
      </c>
      <c r="P395" s="16" t="e">
        <f t="shared" ca="1" si="21"/>
        <v>#NAME?</v>
      </c>
      <c r="Q395" s="153">
        <f ca="1">VLOOKUP($AB$2,'RF Mod'!$A$2:$G$12,6,FALSE)+VLOOKUP($AD$2,'RF Mod'!$I$2:$O$11,6,FALSE)+(TRUNC(6+(24-6)*(TRUNC(MOD(($Z395*1103515245 +12345)/ 65536, 32768),0)/32768),0))</f>
        <v>8</v>
      </c>
      <c r="R395" s="16">
        <f t="shared" ca="1" si="22"/>
        <v>-1</v>
      </c>
      <c r="S395" s="154">
        <f t="shared" ca="1" si="28"/>
        <v>10</v>
      </c>
      <c r="T395" s="154">
        <f t="shared" ca="1" si="23"/>
        <v>4</v>
      </c>
      <c r="U395" s="16" t="str">
        <f t="shared" ca="1" si="24"/>
        <v>Fine</v>
      </c>
      <c r="V395" s="155">
        <f ca="1">IFERROR(__xludf.DUMMYFUNCTION("if(W395=""Middle Age"",QUERY(NPCVar!$K$2:$N1000, ""Select L where K = '""&amp;AB395&amp;""'""),if(W395=""Old"",QUERY(NPCVar!$K$2:$N1000, ""Select M where K = '""&amp;AB395&amp;""'""),if(W395=""Venerable"",QUERY(NPCVar!$K$2:$N1000, ""Select N where K = '""&amp;AB395&amp;""'""),fa"&amp;"lse)))*X395"),24)</f>
        <v>24</v>
      </c>
      <c r="W395" s="156" t="str">
        <f t="array" ref="W395">INDEX(NPCAgeType,TRUNC(1+(4-1)*(TRUNC(MOD((X395*1103515245 +12345)/ 65536, 32768),0)/32768),0))</f>
        <v>Middle Age</v>
      </c>
      <c r="X395" s="117">
        <f t="shared" si="29"/>
        <v>0.3</v>
      </c>
      <c r="Y395" s="157" t="e">
        <f t="array" aca="1" ref="Y395" ca="1">LOOKUP(ABS(MAX(Z395 + MIN(ABS(INDIRECT("Class Jobs!B"&amp;MATCH(E395,'Class Jobs'!$A$1:$A1000,0)&amp;":"&amp;"AF"&amp;MATCH(E395,'Class Jobs'!$A$1:$A1000,0)&amp;"")-$Z395)) * SUM(IF(MIN(ABS(INDIRECT("Class Jobs!B"&amp;MATCH(E395,'Class Jobs'!$A$1:$A1000,0)&amp;":"&amp;"AF"&amp;MATCH(E395,'Class Jobs'!$A$1:$A1000,0)&amp;"")-$Z395))=ABS(INDIRECT("Class Jobs!B"&amp;MATCH(E395,'Class Jobs'!$A$1:$A1000,0)&amp;":"&amp;"AF"&amp;MATCH(E395,'Class Jobs'!$A$1:$A1000,0)&amp;"")-$Z395),SIGN(INDIRECT("Class Jobs!B"&amp;MATCH(E395,'Class Jobs'!$A$1:A1000,0)&amp;":"&amp;"AF"&amp;MATCH(E395,'Class Jobs'!$A$1:$A1000,0)&amp;"")-$Z395),0)),0)),INDIRECT("Class Jobs!B"&amp;MATCH(E395,'Class Jobs'!$A$1:$A1000,0)&amp;":"&amp;"AF"&amp;MATCH(E395,'Class Jobs'!$A$1:$A1000,1)&amp;""),'Class Jobs'!$B$1:$AF$1)</f>
        <v>#REF!</v>
      </c>
      <c r="Z395" s="158">
        <f t="shared" si="25"/>
        <v>0.1</v>
      </c>
      <c r="AA395" s="16" t="str">
        <f t="array" ref="AA395">INDEX(NPCGender,TRUNC(1+(COUNTA(NPCGender))*(TRUNC(MOD(($B395*1103515245 +12345)/ 65536, 32768),0)/32768),0))</f>
        <v>Male</v>
      </c>
      <c r="AB395" s="16" t="str">
        <f t="array" ref="AB395">INDEX(NPCRace,TRUNC(1+(COUNTA(NPCRace))*(TRUNC(MOD(($B395*1103515245 +12345)/ 65536, 32768),0)/32768),0))</f>
        <v>Dwarf</v>
      </c>
      <c r="AC395" s="16" t="str">
        <f t="array" ref="AC395">INDEX(NPCAL,TRUNC(1+(COUNTA(NPCAL))*(TRUNC(MOD(($B395*1103515245 +12345)/ 65536, 32768),0)/32768),0))</f>
        <v>CN</v>
      </c>
      <c r="AD395" s="72" t="str">
        <f ca="1">IFERROR(__xludf.DUMMYFUNCTION("if(V395&lt;15,QUERY(NPCVar!C:D,""Select D WHERE C = '""&amp;D395&amp;""'""),if((TRUNC(1+10)*(TRUNC(MOD((ROW(H395)*1103515245 +12345)/ 65536, 32768),0)/32768)/10) &gt; 0.85,INDEX(NPCFaction,TRUNC(1+(counta(NPCFaction)-1)*(TRUNC(MOD(($B395*1103515245 +12345)/ 65536, 3276"&amp;"8),0)/32768),0)),QUERY(NPCVar!C:D,""Select D WHERE C = '""&amp;D395&amp;""'"")))"),"Royalty")</f>
        <v>Royalty</v>
      </c>
      <c r="AE395" s="108" t="e">
        <f t="shared" ca="1" si="26"/>
        <v>#NAME?</v>
      </c>
      <c r="AF395" s="159">
        <f ca="1">IFERROR(__xludf.DUMMYFUNCTION("AE395*(V395 / QUERY(NPCVar!$K$2:$N$12, ""Select N WHERE K='""&amp;AB395&amp;""'""))*TRUNC(1+10)*(TRUNC(MOD(($B395*1103515245 +12345)/ 65536, 32768),0)/32768)"),0.0154183959960937)</f>
        <v>1.54183959960937E-2</v>
      </c>
      <c r="AG395" s="16"/>
      <c r="AH395" s="77"/>
      <c r="AI395" s="114"/>
    </row>
    <row r="396" spans="1:35" ht="16.2">
      <c r="A396" s="53">
        <v>395</v>
      </c>
      <c r="B396" s="118">
        <f t="shared" si="31"/>
        <v>1.6760200000000001</v>
      </c>
      <c r="C396" s="72" t="str">
        <f t="array" ref="C396">INDEX(NPCFName,TRUNC(1+(COUNTA(NPCFName))*(TRUNC(MOD(($B396*1103515245 +12345)/ 65536, 32768),0)/32768),0))</f>
        <v>Milo</v>
      </c>
      <c r="D396" s="16" t="str">
        <f t="array" ref="D396">INDEX(NPCLName,TRUNC(1+(COUNTA(NPCLName))*(TRUNC(MOD(($B396*1103515245 +12345)/ 65536, 32768),0)/32768),0))</f>
        <v>Springgust</v>
      </c>
      <c r="E396" s="16" t="str">
        <f t="array" ref="E396">INDEX(NPCClass,TRUNC(1+(COUNTA(NPCClass))*(TRUNC(MOD(($B396*1103515245 +12345)/ 65536, 32768),0)/32768),0))</f>
        <v>Fighter</v>
      </c>
      <c r="F396" s="76">
        <v>8</v>
      </c>
      <c r="G396" s="153">
        <f ca="1">VLOOKUP($AB$2,'RF Mod'!$A$2:$G$12,2,FALSE)+VLOOKUP($AD$2,'RF Mod'!$I$2:$O$11,2,FALSE)+(TRUNC(6+(24-6)*(TRUNC(MOD(($Z396*1103515245 +12345)/ 65536, 32768),0)/32768),0))</f>
        <v>11</v>
      </c>
      <c r="H396" s="16" t="e">
        <f t="shared" ca="1" si="17"/>
        <v>#NAME?</v>
      </c>
      <c r="I396" s="153">
        <f ca="1">VLOOKUP($AB$2,'RF Mod'!$A$2:$G$12,3,FALSE)+VLOOKUP($AD$2,'RF Mod'!$I$2:$O$11,3,FALSE)+(TRUNC(6+(24-6)*(TRUNC(MOD(($Z396*1103515245 +12345)/ 65536, 32768),0)/32768),0))</f>
        <v>15</v>
      </c>
      <c r="J396" s="16" t="e">
        <f t="shared" ca="1" si="18"/>
        <v>#NAME?</v>
      </c>
      <c r="K396" s="153">
        <f ca="1">VLOOKUP($AB$2,'RF Mod'!$A$2:$G$12,3,FALSE)+VLOOKUP($AD$2,'RF Mod'!$I$2:$O$11,3,FALSE)+(TRUNC(6+(24-6)*(TRUNC(MOD(($Z396*1103515245 +12345)/ 65536, 32768),0)/32768),0))</f>
        <v>15</v>
      </c>
      <c r="L396" s="16" t="e">
        <f t="shared" ca="1" si="19"/>
        <v>#NAME?</v>
      </c>
      <c r="M396" s="153">
        <f ca="1">VLOOKUP($AB$2,'RF Mod'!$A$2:$G$12,4,FALSE)+VLOOKUP($AD$2,'RF Mod'!$I$2:$O$11,4,FALSE)+(TRUNC(6+(24-6)*(TRUNC(MOD(($Z396*1103515245 +12345)/ 65536, 32768),0)/32768),0))</f>
        <v>14</v>
      </c>
      <c r="N396" s="16" t="e">
        <f t="shared" ca="1" si="20"/>
        <v>#NAME?</v>
      </c>
      <c r="O396" s="153">
        <f ca="1">VLOOKUP($AB$2,'RF Mod'!$A$2:$G$12,5,FALSE)+VLOOKUP($AD$2,'RF Mod'!$I$2:$O$11,5,FALSE)+(TRUNC(6+(24-6)*(TRUNC(MOD(($Z396*1103515245 +12345)/ 65536, 32768),0)/32768),0))</f>
        <v>17</v>
      </c>
      <c r="P396" s="16" t="e">
        <f t="shared" ca="1" si="21"/>
        <v>#NAME?</v>
      </c>
      <c r="Q396" s="153">
        <f ca="1">VLOOKUP($AB$2,'RF Mod'!$A$2:$G$12,6,FALSE)+VLOOKUP($AD$2,'RF Mod'!$I$2:$O$11,6,FALSE)+(TRUNC(6+(24-6)*(TRUNC(MOD(($Z396*1103515245 +12345)/ 65536, 32768),0)/32768),0))</f>
        <v>15</v>
      </c>
      <c r="R396" s="16" t="e">
        <f t="shared" ca="1" si="22"/>
        <v>#NAME?</v>
      </c>
      <c r="S396" s="154">
        <f t="shared" ca="1" si="28"/>
        <v>216</v>
      </c>
      <c r="T396" s="154">
        <f t="shared" ca="1" si="23"/>
        <v>159</v>
      </c>
      <c r="U396" s="16" t="str">
        <f t="shared" ca="1" si="24"/>
        <v>Bloody</v>
      </c>
      <c r="V396" s="155">
        <f ca="1">IFERROR(__xludf.DUMMYFUNCTION("if(W396=""Middle Age"",QUERY(NPCVar!$K$2:$N1000, ""Select L where K = '""&amp;AB396&amp;""'""),if(W396=""Old"",QUERY(NPCVar!$K$2:$N1000, ""Select M where K = '""&amp;AB396&amp;""'""),if(W396=""Venerable"",QUERY(NPCVar!$K$2:$N1000, ""Select N where K = '""&amp;AB396&amp;""'""),fa"&amp;"lse)))*X396"),57.75)</f>
        <v>57.75</v>
      </c>
      <c r="W396" s="156" t="str">
        <f t="array" ref="W396">INDEX(NPCAgeType,TRUNC(1+(4-1)*(TRUNC(MOD((X396*1103515245 +12345)/ 65536, 32768),0)/32768),0))</f>
        <v>Middle Age</v>
      </c>
      <c r="X396" s="117">
        <f t="shared" si="29"/>
        <v>2.1</v>
      </c>
      <c r="Y396" s="157" t="e">
        <f t="array" aca="1" ref="Y396" ca="1">LOOKUP(ABS(MAX(Z396 + MIN(ABS(INDIRECT("Class Jobs!B"&amp;MATCH(E396,'Class Jobs'!$A$1:$A1000,0)&amp;":"&amp;"AF"&amp;MATCH(E396,'Class Jobs'!$A$1:$A1000,0)&amp;"")-$Z396)) * SUM(IF(MIN(ABS(INDIRECT("Class Jobs!B"&amp;MATCH(E396,'Class Jobs'!$A$1:$A1000,0)&amp;":"&amp;"AF"&amp;MATCH(E396,'Class Jobs'!$A$1:$A1000,0)&amp;"")-$Z396))=ABS(INDIRECT("Class Jobs!B"&amp;MATCH(E396,'Class Jobs'!$A$1:$A1000,0)&amp;":"&amp;"AF"&amp;MATCH(E396,'Class Jobs'!$A$1:$A1000,0)&amp;"")-$Z396),SIGN(INDIRECT("Class Jobs!B"&amp;MATCH(E396,'Class Jobs'!$A$1:A1000,0)&amp;":"&amp;"AF"&amp;MATCH(E396,'Class Jobs'!$A$1:$A1000,0)&amp;"")-$Z396),0)),0)),INDIRECT("Class Jobs!B"&amp;MATCH(E396,'Class Jobs'!$A$1:$A1000,0)&amp;":"&amp;"AF"&amp;MATCH(E396,'Class Jobs'!$A$1:$A1000,1)&amp;""),'Class Jobs'!$B$1:$AF$1)</f>
        <v>#REF!</v>
      </c>
      <c r="Z396" s="158">
        <f t="shared" si="25"/>
        <v>0.86</v>
      </c>
      <c r="AA396" s="16" t="str">
        <f t="array" ref="AA396">INDEX(NPCGender,TRUNC(1+(COUNTA(NPCGender))*(TRUNC(MOD(($B396*1103515245 +12345)/ 65536, 32768),0)/32768),0))</f>
        <v>Neutral</v>
      </c>
      <c r="AB396" s="16" t="str">
        <f t="array" ref="AB396">INDEX(NPCRace,TRUNC(1+(COUNTA(NPCRace))*(TRUNC(MOD(($B396*1103515245 +12345)/ 65536, 32768),0)/32768),0))</f>
        <v>Genasi</v>
      </c>
      <c r="AC396" s="16" t="str">
        <f t="array" ref="AC396">INDEX(NPCAL,TRUNC(1+(COUNTA(NPCAL))*(TRUNC(MOD(($B396*1103515245 +12345)/ 65536, 32768),0)/32768),0))</f>
        <v>LN</v>
      </c>
      <c r="AD396" s="72" t="str">
        <f ca="1">IFERROR(__xludf.DUMMYFUNCTION("if(V396&lt;15,QUERY(NPCVar!C:D,""Select D WHERE C = '""&amp;D396&amp;""'""),if((TRUNC(1+10)*(TRUNC(MOD((ROW(H396)*1103515245 +12345)/ 65536, 32768),0)/32768)/10) &gt; 0.85,INDEX(NPCFaction,TRUNC(1+(counta(NPCFaction)-1)*(TRUNC(MOD(($B396*1103515245 +12345)/ 65536, 3276"&amp;"8),0)/32768),0)),QUERY(NPCVar!C:D,""Select D WHERE C = '""&amp;D396&amp;""'"")))"),"Traverlers Guild")</f>
        <v>Traverlers Guild</v>
      </c>
      <c r="AE396" s="108" t="e">
        <f t="shared" ca="1" si="26"/>
        <v>#NAME?</v>
      </c>
      <c r="AF396" s="159">
        <f ca="1">IFERROR(__xludf.DUMMYFUNCTION("AE396*(V396 / QUERY(NPCVar!$K$2:$N$12, ""Select N WHERE K='""&amp;AB396&amp;""'""))*TRUNC(1+10)*(TRUNC(MOD(($B396*1103515245 +12345)/ 65536, 32768),0)/32768)"),4.97364120483398)</f>
        <v>4.9736412048339798</v>
      </c>
      <c r="AG396" s="16"/>
      <c r="AH396" s="77"/>
      <c r="AI396" s="114"/>
    </row>
    <row r="397" spans="1:35" ht="16.2">
      <c r="A397" s="53">
        <v>396</v>
      </c>
      <c r="B397" s="118">
        <f t="shared" si="31"/>
        <v>0.67017000000000004</v>
      </c>
      <c r="C397" s="72" t="str">
        <f t="array" ref="C397">INDEX(NPCFName,TRUNC(1+(COUNTA(NPCFName))*(TRUNC(MOD(($B397*1103515245 +12345)/ 65536, 32768),0)/32768),0))</f>
        <v>Alderman</v>
      </c>
      <c r="D397" s="16" t="str">
        <f t="array" ref="D397">INDEX(NPCLName,TRUNC(1+(COUNTA(NPCLName))*(TRUNC(MOD(($B397*1103515245 +12345)/ 65536, 32768),0)/32768),0))</f>
        <v>Leafblight</v>
      </c>
      <c r="E397" s="16" t="str">
        <f t="array" ref="E397">INDEX(NPCClass,TRUNC(1+(COUNTA(NPCClass))*(TRUNC(MOD(($B397*1103515245 +12345)/ 65536, 32768),0)/32768),0))</f>
        <v>Paladin</v>
      </c>
      <c r="F397" s="76">
        <v>2</v>
      </c>
      <c r="G397" s="153">
        <f ca="1">VLOOKUP($AB$2,'RF Mod'!$A$2:$G$12,2,FALSE)+VLOOKUP($AD$2,'RF Mod'!$I$2:$O$11,2,FALSE)+(TRUNC(6+(24-6)*(TRUNC(MOD(($Z397*1103515245 +12345)/ 65536, 32768),0)/32768),0))</f>
        <v>7</v>
      </c>
      <c r="H397" s="16">
        <f t="shared" ca="1" si="17"/>
        <v>-2</v>
      </c>
      <c r="I397" s="153">
        <f ca="1">VLOOKUP($AB$2,'RF Mod'!$A$2:$G$12,3,FALSE)+VLOOKUP($AD$2,'RF Mod'!$I$2:$O$11,3,FALSE)+(TRUNC(6+(24-6)*(TRUNC(MOD(($Z397*1103515245 +12345)/ 65536, 32768),0)/32768),0))</f>
        <v>11</v>
      </c>
      <c r="J397" s="16" t="e">
        <f t="shared" ca="1" si="18"/>
        <v>#NAME?</v>
      </c>
      <c r="K397" s="153">
        <f ca="1">VLOOKUP($AB$2,'RF Mod'!$A$2:$G$12,3,FALSE)+VLOOKUP($AD$2,'RF Mod'!$I$2:$O$11,3,FALSE)+(TRUNC(6+(24-6)*(TRUNC(MOD(($Z397*1103515245 +12345)/ 65536, 32768),0)/32768),0))</f>
        <v>11</v>
      </c>
      <c r="L397" s="16" t="e">
        <f t="shared" ca="1" si="19"/>
        <v>#NAME?</v>
      </c>
      <c r="M397" s="153">
        <f ca="1">VLOOKUP($AB$2,'RF Mod'!$A$2:$G$12,4,FALSE)+VLOOKUP($AD$2,'RF Mod'!$I$2:$O$11,4,FALSE)+(TRUNC(6+(24-6)*(TRUNC(MOD(($Z397*1103515245 +12345)/ 65536, 32768),0)/32768),0))</f>
        <v>10</v>
      </c>
      <c r="N397" s="16" t="e">
        <f t="shared" ca="1" si="20"/>
        <v>#NAME?</v>
      </c>
      <c r="O397" s="153">
        <f ca="1">VLOOKUP($AB$2,'RF Mod'!$A$2:$G$12,5,FALSE)+VLOOKUP($AD$2,'RF Mod'!$I$2:$O$11,5,FALSE)+(TRUNC(6+(24-6)*(TRUNC(MOD(($Z397*1103515245 +12345)/ 65536, 32768),0)/32768),0))</f>
        <v>13</v>
      </c>
      <c r="P397" s="16" t="e">
        <f t="shared" ca="1" si="21"/>
        <v>#NAME?</v>
      </c>
      <c r="Q397" s="153">
        <f ca="1">VLOOKUP($AB$2,'RF Mod'!$A$2:$G$12,6,FALSE)+VLOOKUP($AD$2,'RF Mod'!$I$2:$O$11,6,FALSE)+(TRUNC(6+(24-6)*(TRUNC(MOD(($Z397*1103515245 +12345)/ 65536, 32768),0)/32768),0))</f>
        <v>11</v>
      </c>
      <c r="R397" s="16" t="e">
        <f t="shared" ca="1" si="22"/>
        <v>#NAME?</v>
      </c>
      <c r="S397" s="154">
        <f t="shared" ca="1" si="28"/>
        <v>34</v>
      </c>
      <c r="T397" s="154">
        <f t="shared" ca="1" si="23"/>
        <v>19</v>
      </c>
      <c r="U397" s="16" t="str">
        <f t="shared" ca="1" si="24"/>
        <v>Bloody</v>
      </c>
      <c r="V397" s="155">
        <f ca="1">IFERROR(__xludf.DUMMYFUNCTION("if(W397=""Middle Age"",QUERY(NPCVar!$K$2:$N1000, ""Select L where K = '""&amp;AB397&amp;""'""),if(W397=""Old"",QUERY(NPCVar!$K$2:$N1000, ""Select M where K = '""&amp;AB397&amp;""'""),if(W397=""Venerable"",QUERY(NPCVar!$K$2:$N1000, ""Select N where K = '""&amp;AB397&amp;""'""),fa"&amp;"lse)))*X397"),151.875)</f>
        <v>151.875</v>
      </c>
      <c r="W397" s="156" t="str">
        <f t="array" ref="W397">INDEX(NPCAgeType,TRUNC(1+(4-1)*(TRUNC(MOD((X397*1103515245 +12345)/ 65536, 32768),0)/32768),0))</f>
        <v>Old</v>
      </c>
      <c r="X397" s="117">
        <f t="shared" si="29"/>
        <v>0.9</v>
      </c>
      <c r="Y397" s="157" t="e">
        <f t="array" aca="1" ref="Y397" ca="1">LOOKUP(ABS(MAX(Z397 + MIN(ABS(INDIRECT("Class Jobs!B"&amp;MATCH(E397,'Class Jobs'!$A$1:$A1000,0)&amp;":"&amp;"AF"&amp;MATCH(E397,'Class Jobs'!$A$1:$A1000,0)&amp;"")-$Z397)) * SUM(IF(MIN(ABS(INDIRECT("Class Jobs!B"&amp;MATCH(E397,'Class Jobs'!$A$1:$A1000,0)&amp;":"&amp;"AF"&amp;MATCH(E397,'Class Jobs'!$A$1:$A1000,0)&amp;"")-$Z397))=ABS(INDIRECT("Class Jobs!B"&amp;MATCH(E397,'Class Jobs'!$A$1:$A1000,0)&amp;":"&amp;"AF"&amp;MATCH(E397,'Class Jobs'!$A$1:$A1000,0)&amp;"")-$Z397),SIGN(INDIRECT("Class Jobs!B"&amp;MATCH(E397,'Class Jobs'!$A$1:A1000,0)&amp;":"&amp;"AF"&amp;MATCH(E397,'Class Jobs'!$A$1:$A1000,0)&amp;"")-$Z397),0)),0)),INDIRECT("Class Jobs!B"&amp;MATCH(E397,'Class Jobs'!$A$1:$A1000,0)&amp;":"&amp;"AF"&amp;MATCH(E397,'Class Jobs'!$A$1:$A1000,1)&amp;""),'Class Jobs'!$B$1:$AF$1)</f>
        <v>#REF!</v>
      </c>
      <c r="Z397" s="158">
        <f t="shared" si="25"/>
        <v>0.35</v>
      </c>
      <c r="AA397" s="16" t="str">
        <f t="array" ref="AA397">INDEX(NPCGender,TRUNC(1+(COUNTA(NPCGender))*(TRUNC(MOD(($B397*1103515245 +12345)/ 65536, 32768),0)/32768),0))</f>
        <v>Female</v>
      </c>
      <c r="AB397" s="16" t="str">
        <f t="array" ref="AB397">INDEX(NPCRace,TRUNC(1+(COUNTA(NPCRace))*(TRUNC(MOD(($B397*1103515245 +12345)/ 65536, 32768),0)/32768),0))</f>
        <v>Gnome</v>
      </c>
      <c r="AC397" s="16" t="str">
        <f t="array" ref="AC397">INDEX(NPCAL,TRUNC(1+(COUNTA(NPCAL))*(TRUNC(MOD(($B397*1103515245 +12345)/ 65536, 32768),0)/32768),0))</f>
        <v>NG</v>
      </c>
      <c r="AD397" s="72" t="str">
        <f ca="1">IFERROR(__xludf.DUMMYFUNCTION("if(V397&lt;15,QUERY(NPCVar!C:D,""Select D WHERE C = '""&amp;D397&amp;""'""),if((TRUNC(1+10)*(TRUNC(MOD((ROW(H397)*1103515245 +12345)/ 65536, 32768),0)/32768)/10) &gt; 0.85,INDEX(NPCFaction,TRUNC(1+(counta(NPCFaction)-1)*(TRUNC(MOD(($B397*1103515245 +12345)/ 65536, 3276"&amp;"8),0)/32768),0)),QUERY(NPCVar!C:D,""Select D WHERE C = '""&amp;D397&amp;""'"")))"),"Necromancer")</f>
        <v>Necromancer</v>
      </c>
      <c r="AE397" s="108" t="e">
        <f t="shared" ca="1" si="26"/>
        <v>#NAME?</v>
      </c>
      <c r="AF397" s="159">
        <f ca="1">IFERROR(__xludf.DUMMYFUNCTION("AE397*(V397 / QUERY(NPCVar!$K$2:$N$12, ""Select N WHERE K='""&amp;AB397&amp;""'""))*TRUNC(1+10)*(TRUNC(MOD(($B397*1103515245 +12345)/ 65536, 32768),0)/32768)"),0.511375122070312)</f>
        <v>0.51137512207031199</v>
      </c>
      <c r="AG397" s="16"/>
      <c r="AH397" s="77"/>
      <c r="AI397" s="114"/>
    </row>
    <row r="398" spans="1:35" ht="16.2">
      <c r="A398" s="53">
        <v>397</v>
      </c>
      <c r="B398" s="118">
        <f t="shared" si="31"/>
        <v>2.1642999999999999</v>
      </c>
      <c r="C398" s="72" t="str">
        <f t="array" ref="C398">INDEX(NPCFName,TRUNC(1+(COUNTA(NPCFName))*(TRUNC(MOD(($B398*1103515245 +12345)/ 65536, 32768),0)/32768),0))</f>
        <v>Fydar</v>
      </c>
      <c r="D398" s="16" t="str">
        <f t="array" ref="D398">INDEX(NPCLName,TRUNC(1+(COUNTA(NPCLName))*(TRUNC(MOD(($B398*1103515245 +12345)/ 65536, 32768),0)/32768),0))</f>
        <v>Distantlash</v>
      </c>
      <c r="E398" s="16" t="str">
        <f t="array" ref="E398">INDEX(NPCClass,TRUNC(1+(COUNTA(NPCClass))*(TRUNC(MOD(($B398*1103515245 +12345)/ 65536, 32768),0)/32768),0))</f>
        <v>Bard</v>
      </c>
      <c r="F398" s="76">
        <v>1</v>
      </c>
      <c r="G398" s="153">
        <f ca="1">VLOOKUP($AB$2,'RF Mod'!$A$2:$G$12,2,FALSE)+VLOOKUP($AD$2,'RF Mod'!$I$2:$O$11,2,FALSE)+(TRUNC(6+(24-6)*(TRUNC(MOD(($Z398*1103515245 +12345)/ 65536, 32768),0)/32768),0))</f>
        <v>5</v>
      </c>
      <c r="H398" s="16">
        <f t="shared" ca="1" si="17"/>
        <v>-3</v>
      </c>
      <c r="I398" s="153">
        <f ca="1">VLOOKUP($AB$2,'RF Mod'!$A$2:$G$12,3,FALSE)+VLOOKUP($AD$2,'RF Mod'!$I$2:$O$11,3,FALSE)+(TRUNC(6+(24-6)*(TRUNC(MOD(($Z398*1103515245 +12345)/ 65536, 32768),0)/32768),0))</f>
        <v>9</v>
      </c>
      <c r="J398" s="16">
        <f t="shared" ca="1" si="18"/>
        <v>-1</v>
      </c>
      <c r="K398" s="153">
        <f ca="1">VLOOKUP($AB$2,'RF Mod'!$A$2:$G$12,3,FALSE)+VLOOKUP($AD$2,'RF Mod'!$I$2:$O$11,3,FALSE)+(TRUNC(6+(24-6)*(TRUNC(MOD(($Z398*1103515245 +12345)/ 65536, 32768),0)/32768),0))</f>
        <v>9</v>
      </c>
      <c r="L398" s="16">
        <f t="shared" ca="1" si="19"/>
        <v>-1</v>
      </c>
      <c r="M398" s="153">
        <f ca="1">VLOOKUP($AB$2,'RF Mod'!$A$2:$G$12,4,FALSE)+VLOOKUP($AD$2,'RF Mod'!$I$2:$O$11,4,FALSE)+(TRUNC(6+(24-6)*(TRUNC(MOD(($Z398*1103515245 +12345)/ 65536, 32768),0)/32768),0))</f>
        <v>8</v>
      </c>
      <c r="N398" s="16">
        <f t="shared" ca="1" si="20"/>
        <v>-1</v>
      </c>
      <c r="O398" s="153">
        <f ca="1">VLOOKUP($AB$2,'RF Mod'!$A$2:$G$12,5,FALSE)+VLOOKUP($AD$2,'RF Mod'!$I$2:$O$11,5,FALSE)+(TRUNC(6+(24-6)*(TRUNC(MOD(($Z398*1103515245 +12345)/ 65536, 32768),0)/32768),0))</f>
        <v>11</v>
      </c>
      <c r="P398" s="16" t="e">
        <f t="shared" ca="1" si="21"/>
        <v>#NAME?</v>
      </c>
      <c r="Q398" s="153">
        <f ca="1">VLOOKUP($AB$2,'RF Mod'!$A$2:$G$12,6,FALSE)+VLOOKUP($AD$2,'RF Mod'!$I$2:$O$11,6,FALSE)+(TRUNC(6+(24-6)*(TRUNC(MOD(($Z398*1103515245 +12345)/ 65536, 32768),0)/32768),0))</f>
        <v>9</v>
      </c>
      <c r="R398" s="16">
        <f t="shared" ca="1" si="22"/>
        <v>-1</v>
      </c>
      <c r="S398" s="154">
        <f t="shared" ca="1" si="28"/>
        <v>27</v>
      </c>
      <c r="T398" s="154">
        <f t="shared" ca="1" si="23"/>
        <v>12</v>
      </c>
      <c r="U398" s="16" t="str">
        <f t="shared" ca="1" si="24"/>
        <v>Fine</v>
      </c>
      <c r="V398" s="155">
        <f ca="1">IFERROR(__xludf.DUMMYFUNCTION("if(W398=""Middle Age"",QUERY(NPCVar!$K$2:$N1000, ""Select L where K = '""&amp;AB398&amp;""'""),if(W398=""Old"",QUERY(NPCVar!$K$2:$N1000, ""Select M where K = '""&amp;AB398&amp;""'""),if(W398=""Venerable"",QUERY(NPCVar!$K$2:$N1000, ""Select N where K = '""&amp;AB398&amp;""'""),fa"&amp;"lse)))*X398"),24)</f>
        <v>24</v>
      </c>
      <c r="W398" s="156" t="str">
        <f t="array" ref="W398">INDEX(NPCAgeType,TRUNC(1+(4-1)*(TRUNC(MOD((X398*1103515245 +12345)/ 65536, 32768),0)/32768),0))</f>
        <v>Middle Age</v>
      </c>
      <c r="X398" s="117">
        <f t="shared" si="29"/>
        <v>0.3</v>
      </c>
      <c r="Y398" s="157" t="e">
        <f t="array" aca="1" ref="Y398" ca="1">LOOKUP(ABS(MAX(Z398 + MIN(ABS(INDIRECT("Class Jobs!B"&amp;MATCH(E398,'Class Jobs'!$A$1:$A1000,0)&amp;":"&amp;"AF"&amp;MATCH(E398,'Class Jobs'!$A$1:$A1000,0)&amp;"")-$Z398)) * SUM(IF(MIN(ABS(INDIRECT("Class Jobs!B"&amp;MATCH(E398,'Class Jobs'!$A$1:$A1000,0)&amp;":"&amp;"AF"&amp;MATCH(E398,'Class Jobs'!$A$1:$A1000,0)&amp;"")-$Z398))=ABS(INDIRECT("Class Jobs!B"&amp;MATCH(E398,'Class Jobs'!$A$1:$A1000,0)&amp;":"&amp;"AF"&amp;MATCH(E398,'Class Jobs'!$A$1:$A1000,0)&amp;"")-$Z398),SIGN(INDIRECT("Class Jobs!B"&amp;MATCH(E398,'Class Jobs'!$A$1:A1000,0)&amp;":"&amp;"AF"&amp;MATCH(E398,'Class Jobs'!$A$1:$A1000,0)&amp;"")-$Z398),0)),0)),INDIRECT("Class Jobs!B"&amp;MATCH(E398,'Class Jobs'!$A$1:$A1000,0)&amp;":"&amp;"AF"&amp;MATCH(E398,'Class Jobs'!$A$1:$A1000,1)&amp;""),'Class Jobs'!$B$1:$AF$1)</f>
        <v>#REF!</v>
      </c>
      <c r="Z398" s="158">
        <f t="shared" si="25"/>
        <v>0.12</v>
      </c>
      <c r="AA398" s="16" t="str">
        <f t="array" ref="AA398">INDEX(NPCGender,TRUNC(1+(COUNTA(NPCGender))*(TRUNC(MOD(($B398*1103515245 +12345)/ 65536, 32768),0)/32768),0))</f>
        <v>Male</v>
      </c>
      <c r="AB398" s="16" t="str">
        <f t="array" ref="AB398">INDEX(NPCRace,TRUNC(1+(COUNTA(NPCRace))*(TRUNC(MOD(($B398*1103515245 +12345)/ 65536, 32768),0)/32768),0))</f>
        <v>Dwarf</v>
      </c>
      <c r="AC398" s="16" t="str">
        <f t="array" ref="AC398">INDEX(NPCAL,TRUNC(1+(COUNTA(NPCAL))*(TRUNC(MOD(($B398*1103515245 +12345)/ 65536, 32768),0)/32768),0))</f>
        <v>CE</v>
      </c>
      <c r="AD398" s="72" t="str">
        <f ca="1">IFERROR(__xludf.DUMMYFUNCTION("if(V398&lt;15,QUERY(NPCVar!C:D,""Select D WHERE C = '""&amp;D398&amp;""'""),if((TRUNC(1+10)*(TRUNC(MOD((ROW(H398)*1103515245 +12345)/ 65536, 32768),0)/32768)/10) &gt; 0.85,INDEX(NPCFaction,TRUNC(1+(counta(NPCFaction)-1)*(TRUNC(MOD(($B398*1103515245 +12345)/ 65536, 3276"&amp;"8),0)/32768),0)),QUERY(NPCVar!C:D,""Select D WHERE C = '""&amp;D398&amp;""'"")))"),"Death Guild")</f>
        <v>Death Guild</v>
      </c>
      <c r="AE398" s="108" t="e">
        <f t="shared" ca="1" si="26"/>
        <v>#NAME?</v>
      </c>
      <c r="AF398" s="159">
        <f ca="1">IFERROR(__xludf.DUMMYFUNCTION("AE398*(V398 / QUERY(NPCVar!$K$2:$N$12, ""Select N WHERE K='""&amp;AB398&amp;""'""))*TRUNC(1+10)*(TRUNC(MOD(($B398*1103515245 +12345)/ 65536, 32768),0)/32768)"),-0.0185050964355468)</f>
        <v>-1.8505096435546799E-2</v>
      </c>
      <c r="AG398" s="16"/>
      <c r="AH398" s="77"/>
      <c r="AI398" s="114"/>
    </row>
    <row r="399" spans="1:35" ht="16.2">
      <c r="A399" s="53">
        <v>398</v>
      </c>
      <c r="B399" s="118">
        <f t="shared" si="31"/>
        <v>1.15845</v>
      </c>
      <c r="C399" s="72" t="str">
        <f t="array" ref="C399">INDEX(NPCFName,TRUNC(1+(COUNTA(NPCFName))*(TRUNC(MOD(($B399*1103515245 +12345)/ 65536, 32768),0)/32768),0))</f>
        <v>Serin</v>
      </c>
      <c r="D399" s="16" t="str">
        <f t="array" ref="D399">INDEX(NPCLName,TRUNC(1+(COUNTA(NPCLName))*(TRUNC(MOD(($B399*1103515245 +12345)/ 65536, 32768),0)/32768),0))</f>
        <v>Chestaxe</v>
      </c>
      <c r="E399" s="16" t="str">
        <f t="array" ref="E399">INDEX(NPCClass,TRUNC(1+(COUNTA(NPCClass))*(TRUNC(MOD(($B399*1103515245 +12345)/ 65536, 32768),0)/32768),0))</f>
        <v>Warlock</v>
      </c>
      <c r="F399" s="76">
        <v>8</v>
      </c>
      <c r="G399" s="153">
        <f ca="1">VLOOKUP($AB$2,'RF Mod'!$A$2:$G$12,2,FALSE)+VLOOKUP($AD$2,'RF Mod'!$I$2:$O$11,2,FALSE)+(TRUNC(6+(24-6)*(TRUNC(MOD(($Z399*1103515245 +12345)/ 65536, 32768),0)/32768),0))</f>
        <v>9</v>
      </c>
      <c r="H399" s="16">
        <f t="shared" ca="1" si="17"/>
        <v>-1</v>
      </c>
      <c r="I399" s="153">
        <f ca="1">VLOOKUP($AB$2,'RF Mod'!$A$2:$G$12,3,FALSE)+VLOOKUP($AD$2,'RF Mod'!$I$2:$O$11,3,FALSE)+(TRUNC(6+(24-6)*(TRUNC(MOD(($Z399*1103515245 +12345)/ 65536, 32768),0)/32768),0))</f>
        <v>13</v>
      </c>
      <c r="J399" s="16" t="e">
        <f t="shared" ca="1" si="18"/>
        <v>#NAME?</v>
      </c>
      <c r="K399" s="153">
        <f ca="1">VLOOKUP($AB$2,'RF Mod'!$A$2:$G$12,3,FALSE)+VLOOKUP($AD$2,'RF Mod'!$I$2:$O$11,3,FALSE)+(TRUNC(6+(24-6)*(TRUNC(MOD(($Z399*1103515245 +12345)/ 65536, 32768),0)/32768),0))</f>
        <v>13</v>
      </c>
      <c r="L399" s="16" t="e">
        <f t="shared" ca="1" si="19"/>
        <v>#NAME?</v>
      </c>
      <c r="M399" s="153">
        <f ca="1">VLOOKUP($AB$2,'RF Mod'!$A$2:$G$12,4,FALSE)+VLOOKUP($AD$2,'RF Mod'!$I$2:$O$11,4,FALSE)+(TRUNC(6+(24-6)*(TRUNC(MOD(($Z399*1103515245 +12345)/ 65536, 32768),0)/32768),0))</f>
        <v>12</v>
      </c>
      <c r="N399" s="16" t="e">
        <f t="shared" ca="1" si="20"/>
        <v>#NAME?</v>
      </c>
      <c r="O399" s="153">
        <f ca="1">VLOOKUP($AB$2,'RF Mod'!$A$2:$G$12,5,FALSE)+VLOOKUP($AD$2,'RF Mod'!$I$2:$O$11,5,FALSE)+(TRUNC(6+(24-6)*(TRUNC(MOD(($Z399*1103515245 +12345)/ 65536, 32768),0)/32768),0))</f>
        <v>15</v>
      </c>
      <c r="P399" s="16" t="e">
        <f t="shared" ca="1" si="21"/>
        <v>#NAME?</v>
      </c>
      <c r="Q399" s="153">
        <f ca="1">VLOOKUP($AB$2,'RF Mod'!$A$2:$G$12,6,FALSE)+VLOOKUP($AD$2,'RF Mod'!$I$2:$O$11,6,FALSE)+(TRUNC(6+(24-6)*(TRUNC(MOD(($Z399*1103515245 +12345)/ 65536, 32768),0)/32768),0))</f>
        <v>13</v>
      </c>
      <c r="R399" s="16" t="e">
        <f t="shared" ca="1" si="22"/>
        <v>#NAME?</v>
      </c>
      <c r="S399" s="154">
        <f t="shared" ca="1" si="28"/>
        <v>120</v>
      </c>
      <c r="T399" s="154">
        <f t="shared" ca="1" si="23"/>
        <v>69</v>
      </c>
      <c r="U399" s="16" t="str">
        <f t="shared" ca="1" si="24"/>
        <v>Bloody</v>
      </c>
      <c r="V399" s="155">
        <f ca="1">IFERROR(__xludf.DUMMYFUNCTION("if(W399=""Middle Age"",QUERY(NPCVar!$K$2:$N1000, ""Select L where K = '""&amp;AB399&amp;""'""),if(W399=""Old"",QUERY(NPCVar!$K$2:$N1000, ""Select M where K = '""&amp;AB399&amp;""'""),if(W399=""Venerable"",QUERY(NPCVar!$K$2:$N1000, ""Select N where K = '""&amp;AB399&amp;""'""),fa"&amp;"lse)))*X399"),300)</f>
        <v>300</v>
      </c>
      <c r="W399" s="156" t="str">
        <f t="array" ref="W399">INDEX(NPCAgeType,TRUNC(1+(4-1)*(TRUNC(MOD((X399*1103515245 +12345)/ 65536, 32768),0)/32768),0))</f>
        <v>Venerable</v>
      </c>
      <c r="X399" s="117">
        <f t="shared" si="29"/>
        <v>1.5</v>
      </c>
      <c r="Y399" s="157" t="e">
        <f t="array" aca="1" ref="Y399" ca="1">LOOKUP(ABS(MAX(Z399 + MIN(ABS(INDIRECT("Class Jobs!B"&amp;MATCH(E399,'Class Jobs'!$A$1:$A1000,0)&amp;":"&amp;"AF"&amp;MATCH(E399,'Class Jobs'!$A$1:$A1000,0)&amp;"")-$Z399)) * SUM(IF(MIN(ABS(INDIRECT("Class Jobs!B"&amp;MATCH(E399,'Class Jobs'!$A$1:$A1000,0)&amp;":"&amp;"AF"&amp;MATCH(E399,'Class Jobs'!$A$1:$A1000,0)&amp;"")-$Z399))=ABS(INDIRECT("Class Jobs!B"&amp;MATCH(E399,'Class Jobs'!$A$1:$A1000,0)&amp;":"&amp;"AF"&amp;MATCH(E399,'Class Jobs'!$A$1:$A1000,0)&amp;"")-$Z399),SIGN(INDIRECT("Class Jobs!B"&amp;MATCH(E399,'Class Jobs'!$A$1:A1000,0)&amp;":"&amp;"AF"&amp;MATCH(E399,'Class Jobs'!$A$1:$A1000,0)&amp;"")-$Z399),0)),0)),INDIRECT("Class Jobs!B"&amp;MATCH(E399,'Class Jobs'!$A$1:$A1000,0)&amp;":"&amp;"AF"&amp;MATCH(E399,'Class Jobs'!$A$1:$A1000,1)&amp;""),'Class Jobs'!$B$1:$AF$1)</f>
        <v>#REF!</v>
      </c>
      <c r="Z399" s="158">
        <f t="shared" si="25"/>
        <v>0.59</v>
      </c>
      <c r="AA399" s="16" t="str">
        <f t="array" ref="AA399">INDEX(NPCGender,TRUNC(1+(COUNTA(NPCGender))*(TRUNC(MOD(($B399*1103515245 +12345)/ 65536, 32768),0)/32768),0))</f>
        <v>Female</v>
      </c>
      <c r="AB399" s="16" t="str">
        <f t="array" ref="AB399">INDEX(NPCRace,TRUNC(1+(COUNTA(NPCRace))*(TRUNC(MOD(($B399*1103515245 +12345)/ 65536, 32768),0)/32768),0))</f>
        <v>Halfling</v>
      </c>
      <c r="AC399" s="16" t="str">
        <f t="array" ref="AC399">INDEX(NPCAL,TRUNC(1+(COUNTA(NPCAL))*(TRUNC(MOD(($B399*1103515245 +12345)/ 65536, 32768),0)/32768),0))</f>
        <v>NE</v>
      </c>
      <c r="AD399" s="72" t="str">
        <f ca="1">IFERROR(__xludf.DUMMYFUNCTION("if(V399&lt;15,QUERY(NPCVar!C:D,""Select D WHERE C = '""&amp;D399&amp;""'""),if((TRUNC(1+10)*(TRUNC(MOD((ROW(H399)*1103515245 +12345)/ 65536, 32768),0)/32768)/10) &gt; 0.85,INDEX(NPCFaction,TRUNC(1+(counta(NPCFaction)-1)*(TRUNC(MOD(($B399*1103515245 +12345)/ 65536, 3276"&amp;"8),0)/32768),0)),QUERY(NPCVar!C:D,""Select D WHERE C = '""&amp;D399&amp;""'"")))"),"Farmers Guild")</f>
        <v>Farmers Guild</v>
      </c>
      <c r="AE399" s="108" t="e">
        <f t="shared" ca="1" si="26"/>
        <v>#NAME?</v>
      </c>
      <c r="AF399" s="159">
        <f ca="1">IFERROR(__xludf.DUMMYFUNCTION("AE399*(V399 / QUERY(NPCVar!$K$2:$N$12, ""Select N WHERE K='""&amp;AB399&amp;""'""))*TRUNC(1+10)*(TRUNC(MOD(($B399*1103515245 +12345)/ 65536, 32768),0)/32768)"),5.89323120117187)</f>
        <v>5.8932312011718704</v>
      </c>
      <c r="AG399" s="16"/>
      <c r="AH399" s="77"/>
      <c r="AI399" s="114"/>
    </row>
    <row r="400" spans="1:35" ht="16.2">
      <c r="A400" s="53">
        <v>399</v>
      </c>
      <c r="B400" s="118">
        <f t="shared" si="31"/>
        <v>0.15259</v>
      </c>
      <c r="C400" s="72" t="str">
        <f t="array" ref="C400">INDEX(NPCFName,TRUNC(1+(COUNTA(NPCFName))*(TRUNC(MOD(($B400*1103515245 +12345)/ 65536, 32768),0)/32768),0))</f>
        <v>Dorn</v>
      </c>
      <c r="D400" s="16" t="str">
        <f t="array" ref="D400">INDEX(NPCLName,TRUNC(1+(COUNTA(NPCLName))*(TRUNC(MOD(($B400*1103515245 +12345)/ 65536, 32768),0)/32768),0))</f>
        <v>Autumnorb</v>
      </c>
      <c r="E400" s="16" t="str">
        <f t="array" ref="E400">INDEX(NPCClass,TRUNC(1+(COUNTA(NPCClass))*(TRUNC(MOD(($B400*1103515245 +12345)/ 65536, 32768),0)/32768),0))</f>
        <v>Barbarian</v>
      </c>
      <c r="F400" s="76">
        <v>1</v>
      </c>
      <c r="G400" s="153">
        <f ca="1">VLOOKUP($AB$2,'RF Mod'!$A$2:$G$12,2,FALSE)+VLOOKUP($AD$2,'RF Mod'!$I$2:$O$11,2,FALSE)+(TRUNC(6+(24-6)*(TRUNC(MOD(($Z400*1103515245 +12345)/ 65536, 32768),0)/32768),0))</f>
        <v>4</v>
      </c>
      <c r="H400" s="16">
        <f t="shared" ca="1" si="17"/>
        <v>-3</v>
      </c>
      <c r="I400" s="153">
        <f ca="1">VLOOKUP($AB$2,'RF Mod'!$A$2:$G$12,3,FALSE)+VLOOKUP($AD$2,'RF Mod'!$I$2:$O$11,3,FALSE)+(TRUNC(6+(24-6)*(TRUNC(MOD(($Z400*1103515245 +12345)/ 65536, 32768),0)/32768),0))</f>
        <v>8</v>
      </c>
      <c r="J400" s="16">
        <f t="shared" ca="1" si="18"/>
        <v>-1</v>
      </c>
      <c r="K400" s="153">
        <f ca="1">VLOOKUP($AB$2,'RF Mod'!$A$2:$G$12,3,FALSE)+VLOOKUP($AD$2,'RF Mod'!$I$2:$O$11,3,FALSE)+(TRUNC(6+(24-6)*(TRUNC(MOD(($Z400*1103515245 +12345)/ 65536, 32768),0)/32768),0))</f>
        <v>8</v>
      </c>
      <c r="L400" s="16">
        <f t="shared" ca="1" si="19"/>
        <v>-1</v>
      </c>
      <c r="M400" s="153">
        <f ca="1">VLOOKUP($AB$2,'RF Mod'!$A$2:$G$12,4,FALSE)+VLOOKUP($AD$2,'RF Mod'!$I$2:$O$11,4,FALSE)+(TRUNC(6+(24-6)*(TRUNC(MOD(($Z400*1103515245 +12345)/ 65536, 32768),0)/32768),0))</f>
        <v>7</v>
      </c>
      <c r="N400" s="16">
        <f t="shared" ca="1" si="20"/>
        <v>-2</v>
      </c>
      <c r="O400" s="153">
        <f ca="1">VLOOKUP($AB$2,'RF Mod'!$A$2:$G$12,5,FALSE)+VLOOKUP($AD$2,'RF Mod'!$I$2:$O$11,5,FALSE)+(TRUNC(6+(24-6)*(TRUNC(MOD(($Z400*1103515245 +12345)/ 65536, 32768),0)/32768),0))</f>
        <v>10</v>
      </c>
      <c r="P400" s="16" t="e">
        <f t="shared" ca="1" si="21"/>
        <v>#NAME?</v>
      </c>
      <c r="Q400" s="153">
        <f ca="1">VLOOKUP($AB$2,'RF Mod'!$A$2:$G$12,6,FALSE)+VLOOKUP($AD$2,'RF Mod'!$I$2:$O$11,6,FALSE)+(TRUNC(6+(24-6)*(TRUNC(MOD(($Z400*1103515245 +12345)/ 65536, 32768),0)/32768),0))</f>
        <v>8</v>
      </c>
      <c r="R400" s="16">
        <f t="shared" ca="1" si="22"/>
        <v>-1</v>
      </c>
      <c r="S400" s="154">
        <f t="shared" ca="1" si="28"/>
        <v>26</v>
      </c>
      <c r="T400" s="154">
        <f t="shared" ca="1" si="23"/>
        <v>4</v>
      </c>
      <c r="U400" s="16" t="str">
        <f t="shared" ca="1" si="24"/>
        <v>Fine</v>
      </c>
      <c r="V400" s="155">
        <f ca="1">IFERROR(__xludf.DUMMYFUNCTION("if(W400=""Middle Age"",QUERY(NPCVar!$K$2:$N1000, ""Select L where K = '""&amp;AB400&amp;""'""),if(W400=""Old"",QUERY(NPCVar!$K$2:$N1000, ""Select M where K = '""&amp;AB400&amp;""'""),if(W400=""Venerable"",QUERY(NPCVar!$K$2:$N1000, ""Select N where K = '""&amp;AB400&amp;""'""),fa"&amp;"lse)))*X400"),4)</f>
        <v>4</v>
      </c>
      <c r="W400" s="156" t="str">
        <f t="array" ref="W400">INDEX(NPCAgeType,TRUNC(1+(4-1)*(TRUNC(MOD((X400*1103515245 +12345)/ 65536, 32768),0)/32768),0))</f>
        <v>Middle Age</v>
      </c>
      <c r="X400" s="117">
        <f t="shared" si="29"/>
        <v>0.2</v>
      </c>
      <c r="Y400" s="157" t="e">
        <f t="array" aca="1" ref="Y400" ca="1">LOOKUP(ABS(MAX(Z400 + MIN(ABS(INDIRECT("Class Jobs!B"&amp;MATCH(E400,'Class Jobs'!$A$1:$A1000,0)&amp;":"&amp;"AF"&amp;MATCH(E400,'Class Jobs'!$A$1:$A1000,0)&amp;"")-$Z400)) * SUM(IF(MIN(ABS(INDIRECT("Class Jobs!B"&amp;MATCH(E400,'Class Jobs'!$A$1:$A1000,0)&amp;":"&amp;"AF"&amp;MATCH(E400,'Class Jobs'!$A$1:$A1000,0)&amp;"")-$Z400))=ABS(INDIRECT("Class Jobs!B"&amp;MATCH(E400,'Class Jobs'!$A$1:$A1000,0)&amp;":"&amp;"AF"&amp;MATCH(E400,'Class Jobs'!$A$1:$A1000,0)&amp;"")-$Z400),SIGN(INDIRECT("Class Jobs!B"&amp;MATCH(E400,'Class Jobs'!$A$1:A1000,0)&amp;":"&amp;"AF"&amp;MATCH(E400,'Class Jobs'!$A$1:$A1000,0)&amp;"")-$Z400),0)),0)),INDIRECT("Class Jobs!B"&amp;MATCH(E400,'Class Jobs'!$A$1:$A1000,0)&amp;":"&amp;"AF"&amp;MATCH(E400,'Class Jobs'!$A$1:$A1000,1)&amp;""),'Class Jobs'!$B$1:$AF$1)</f>
        <v>#REF!</v>
      </c>
      <c r="Z400" s="158">
        <f t="shared" si="25"/>
        <v>0.08</v>
      </c>
      <c r="AA400" s="16" t="str">
        <f t="array" ref="AA400">INDEX(NPCGender,TRUNC(1+(COUNTA(NPCGender))*(TRUNC(MOD(($B400*1103515245 +12345)/ 65536, 32768),0)/32768),0))</f>
        <v>Male</v>
      </c>
      <c r="AB400" s="16" t="str">
        <f t="array" ref="AB400">INDEX(NPCRace,TRUNC(1+(COUNTA(NPCRace))*(TRUNC(MOD(($B400*1103515245 +12345)/ 65536, 32768),0)/32768),0))</f>
        <v>Dragonborn</v>
      </c>
      <c r="AC400" s="16" t="str">
        <f t="array" ref="AC400">INDEX(NPCAL,TRUNC(1+(COUNTA(NPCAL))*(TRUNC(MOD(($B400*1103515245 +12345)/ 65536, 32768),0)/32768),0))</f>
        <v>CN</v>
      </c>
      <c r="AD400" s="72" t="str">
        <f ca="1">IFERROR(__xludf.DUMMYFUNCTION("if(V400&lt;15,QUERY(NPCVar!C:D,""Select D WHERE C = '""&amp;D400&amp;""'""),if((TRUNC(1+10)*(TRUNC(MOD((ROW(H400)*1103515245 +12345)/ 65536, 32768),0)/32768)/10) &gt; 0.85,INDEX(NPCFaction,TRUNC(1+(counta(NPCFaction)-1)*(TRUNC(MOD(($B400*1103515245 +12345)/ 65536, 3276"&amp;"8),0)/32768),0)),QUERY(NPCVar!C:D,""Select D WHERE C = '""&amp;D400&amp;""'"")))"),"Royalty")</f>
        <v>Royalty</v>
      </c>
      <c r="AE400" s="108" t="e">
        <f t="shared" ca="1" si="26"/>
        <v>#NAME?</v>
      </c>
      <c r="AF400" s="159">
        <f ca="1">IFERROR(__xludf.DUMMYFUNCTION("AE400*(V400 / QUERY(NPCVar!$K$2:$N$12, ""Select N WHERE K='""&amp;AB400&amp;""'""))*TRUNC(1+10)*(TRUNC(MOD(($B400*1103515245 +12345)/ 65536, 32768),0)/32768)"),-0.00862396240234375)</f>
        <v>-8.6239624023437492E-3</v>
      </c>
      <c r="AG400" s="16"/>
      <c r="AH400" s="77"/>
      <c r="AI400" s="114"/>
    </row>
    <row r="401" spans="1:35" ht="16.2">
      <c r="A401" s="53">
        <v>400</v>
      </c>
      <c r="B401" s="118">
        <f t="shared" si="31"/>
        <v>1.64673</v>
      </c>
      <c r="C401" s="72" t="str">
        <f t="array" ref="C401">INDEX(NPCFName,TRUNC(1+(COUNTA(NPCFName))*(TRUNC(MOD(($B401*1103515245 +12345)/ 65536, 32768),0)/32768),0))</f>
        <v>Lurd</v>
      </c>
      <c r="D401" s="16" t="str">
        <f t="array" ref="D401">INDEX(NPCLName,TRUNC(1+(COUNTA(NPCLName))*(TRUNC(MOD(($B401*1103515245 +12345)/ 65536, 32768),0)/32768),0))</f>
        <v>Springgust</v>
      </c>
      <c r="E401" s="16" t="str">
        <f t="array" ref="E401">INDEX(NPCClass,TRUNC(1+(COUNTA(NPCClass))*(TRUNC(MOD(($B401*1103515245 +12345)/ 65536, 32768),0)/32768),0))</f>
        <v>Fighter</v>
      </c>
      <c r="F401" s="76">
        <v>8</v>
      </c>
      <c r="G401" s="153">
        <f ca="1">VLOOKUP($AB$2,'RF Mod'!$A$2:$G$12,2,FALSE)+VLOOKUP($AD$2,'RF Mod'!$I$2:$O$11,2,FALSE)+(TRUNC(6+(24-6)*(TRUNC(MOD(($Z401*1103515245 +12345)/ 65536, 32768),0)/32768),0))</f>
        <v>11</v>
      </c>
      <c r="H401" s="16" t="e">
        <f t="shared" ca="1" si="17"/>
        <v>#NAME?</v>
      </c>
      <c r="I401" s="153">
        <f ca="1">VLOOKUP($AB$2,'RF Mod'!$A$2:$G$12,3,FALSE)+VLOOKUP($AD$2,'RF Mod'!$I$2:$O$11,3,FALSE)+(TRUNC(6+(24-6)*(TRUNC(MOD(($Z401*1103515245 +12345)/ 65536, 32768),0)/32768),0))</f>
        <v>15</v>
      </c>
      <c r="J401" s="16" t="e">
        <f t="shared" ca="1" si="18"/>
        <v>#NAME?</v>
      </c>
      <c r="K401" s="153">
        <f ca="1">VLOOKUP($AB$2,'RF Mod'!$A$2:$G$12,3,FALSE)+VLOOKUP($AD$2,'RF Mod'!$I$2:$O$11,3,FALSE)+(TRUNC(6+(24-6)*(TRUNC(MOD(($Z401*1103515245 +12345)/ 65536, 32768),0)/32768),0))</f>
        <v>15</v>
      </c>
      <c r="L401" s="16" t="e">
        <f t="shared" ca="1" si="19"/>
        <v>#NAME?</v>
      </c>
      <c r="M401" s="153">
        <f ca="1">VLOOKUP($AB$2,'RF Mod'!$A$2:$G$12,4,FALSE)+VLOOKUP($AD$2,'RF Mod'!$I$2:$O$11,4,FALSE)+(TRUNC(6+(24-6)*(TRUNC(MOD(($Z401*1103515245 +12345)/ 65536, 32768),0)/32768),0))</f>
        <v>14</v>
      </c>
      <c r="N401" s="16" t="e">
        <f t="shared" ca="1" si="20"/>
        <v>#NAME?</v>
      </c>
      <c r="O401" s="153">
        <f ca="1">VLOOKUP($AB$2,'RF Mod'!$A$2:$G$12,5,FALSE)+VLOOKUP($AD$2,'RF Mod'!$I$2:$O$11,5,FALSE)+(TRUNC(6+(24-6)*(TRUNC(MOD(($Z401*1103515245 +12345)/ 65536, 32768),0)/32768),0))</f>
        <v>17</v>
      </c>
      <c r="P401" s="16" t="e">
        <f t="shared" ca="1" si="21"/>
        <v>#NAME?</v>
      </c>
      <c r="Q401" s="153">
        <f ca="1">VLOOKUP($AB$2,'RF Mod'!$A$2:$G$12,6,FALSE)+VLOOKUP($AD$2,'RF Mod'!$I$2:$O$11,6,FALSE)+(TRUNC(6+(24-6)*(TRUNC(MOD(($Z401*1103515245 +12345)/ 65536, 32768),0)/32768),0))</f>
        <v>15</v>
      </c>
      <c r="R401" s="16" t="e">
        <f t="shared" ca="1" si="22"/>
        <v>#NAME?</v>
      </c>
      <c r="S401" s="154">
        <f t="shared" ca="1" si="28"/>
        <v>200</v>
      </c>
      <c r="T401" s="154">
        <f t="shared" ca="1" si="23"/>
        <v>151</v>
      </c>
      <c r="U401" s="16" t="str">
        <f t="shared" ca="1" si="24"/>
        <v>Bloody</v>
      </c>
      <c r="V401" s="155">
        <f ca="1">IFERROR(__xludf.DUMMYFUNCTION("if(W401=""Middle Age"",QUERY(NPCVar!$K$2:$N1000, ""Select L where K = '""&amp;AB401&amp;""'""),if(W401=""Old"",QUERY(NPCVar!$K$2:$N1000, ""Select M where K = '""&amp;AB401&amp;""'""),if(W401=""Venerable"",QUERY(NPCVar!$K$2:$N1000, ""Select N where K = '""&amp;AB401&amp;""'""),fa"&amp;"lse)))*X401"),57.75)</f>
        <v>57.75</v>
      </c>
      <c r="W401" s="156" t="str">
        <f t="array" ref="W401">INDEX(NPCAgeType,TRUNC(1+(4-1)*(TRUNC(MOD((X401*1103515245 +12345)/ 65536, 32768),0)/32768),0))</f>
        <v>Middle Age</v>
      </c>
      <c r="X401" s="117">
        <f t="shared" si="29"/>
        <v>2.1</v>
      </c>
      <c r="Y401" s="157" t="e">
        <f t="array" aca="1" ref="Y401" ca="1">LOOKUP(ABS(MAX(Z401 + MIN(ABS(INDIRECT("Class Jobs!B"&amp;MATCH(E401,'Class Jobs'!$A$1:$A1000,0)&amp;":"&amp;"AF"&amp;MATCH(E401,'Class Jobs'!$A$1:$A1000,0)&amp;"")-$Z401)) * SUM(IF(MIN(ABS(INDIRECT("Class Jobs!B"&amp;MATCH(E401,'Class Jobs'!$A$1:$A1000,0)&amp;":"&amp;"AF"&amp;MATCH(E401,'Class Jobs'!$A$1:$A1000,0)&amp;"")-$Z401))=ABS(INDIRECT("Class Jobs!B"&amp;MATCH(E401,'Class Jobs'!$A$1:$A1000,0)&amp;":"&amp;"AF"&amp;MATCH(E401,'Class Jobs'!$A$1:$A1000,0)&amp;"")-$Z401),SIGN(INDIRECT("Class Jobs!B"&amp;MATCH(E401,'Class Jobs'!$A$1:A1000,0)&amp;":"&amp;"AF"&amp;MATCH(E401,'Class Jobs'!$A$1:$A1000,0)&amp;"")-$Z401),0)),0)),INDIRECT("Class Jobs!B"&amp;MATCH(E401,'Class Jobs'!$A$1:$A1000,0)&amp;":"&amp;"AF"&amp;MATCH(E401,'Class Jobs'!$A$1:$A1000,1)&amp;""),'Class Jobs'!$B$1:$AF$1)</f>
        <v>#REF!</v>
      </c>
      <c r="Z401" s="158">
        <f t="shared" si="25"/>
        <v>0.84</v>
      </c>
      <c r="AA401" s="16" t="str">
        <f t="array" ref="AA401">INDEX(NPCGender,TRUNC(1+(COUNTA(NPCGender))*(TRUNC(MOD(($B401*1103515245 +12345)/ 65536, 32768),0)/32768),0))</f>
        <v>Neutral</v>
      </c>
      <c r="AB401" s="16" t="str">
        <f t="array" ref="AB401">INDEX(NPCRace,TRUNC(1+(COUNTA(NPCRace))*(TRUNC(MOD(($B401*1103515245 +12345)/ 65536, 32768),0)/32768),0))</f>
        <v>Genasi</v>
      </c>
      <c r="AC401" s="16" t="str">
        <f t="array" ref="AC401">INDEX(NPCAL,TRUNC(1+(COUNTA(NPCAL))*(TRUNC(MOD(($B401*1103515245 +12345)/ 65536, 32768),0)/32768),0))</f>
        <v>LN</v>
      </c>
      <c r="AD401" s="72" t="str">
        <f ca="1">IFERROR(__xludf.DUMMYFUNCTION("if(V401&lt;15,QUERY(NPCVar!C:D,""Select D WHERE C = '""&amp;D401&amp;""'""),if((TRUNC(1+10)*(TRUNC(MOD((ROW(H401)*1103515245 +12345)/ 65536, 32768),0)/32768)/10) &gt; 0.85,INDEX(NPCFaction,TRUNC(1+(counta(NPCFaction)-1)*(TRUNC(MOD(($B401*1103515245 +12345)/ 65536, 3276"&amp;"8),0)/32768),0)),QUERY(NPCVar!C:D,""Select D WHERE C = '""&amp;D401&amp;""'"")))"),"Traverlers Guild")</f>
        <v>Traverlers Guild</v>
      </c>
      <c r="AE401" s="108" t="e">
        <f t="shared" ca="1" si="26"/>
        <v>#NAME?</v>
      </c>
      <c r="AF401" s="159">
        <f ca="1">IFERROR(__xludf.DUMMYFUNCTION("AE401*(V401 / QUERY(NPCVar!$K$2:$N$12, ""Select N WHERE K='""&amp;AB401&amp;""'""))*TRUNC(1+10)*(TRUNC(MOD(($B401*1103515245 +12345)/ 65536, 32768),0)/32768)"),2.93205322265624)</f>
        <v>2.9320532226562399</v>
      </c>
      <c r="AG401" s="16"/>
      <c r="AH401" s="77"/>
      <c r="AI401" s="114"/>
    </row>
    <row r="402" spans="1:35" ht="16.2">
      <c r="A402" s="53">
        <v>401</v>
      </c>
      <c r="B402" s="118">
        <f t="shared" si="31"/>
        <v>0.64087000000000005</v>
      </c>
      <c r="C402" s="72" t="str">
        <f t="array" ref="C402">INDEX(NPCFName,TRUNC(1+(COUNTA(NPCFName))*(TRUNC(MOD(($B402*1103515245 +12345)/ 65536, 32768),0)/32768),0))</f>
        <v>Zidar</v>
      </c>
      <c r="D402" s="16" t="str">
        <f t="array" ref="D402">INDEX(NPCLName,TRUNC(1+(COUNTA(NPCLName))*(TRUNC(MOD(($B402*1103515245 +12345)/ 65536, 32768),0)/32768),0))</f>
        <v>Stormdew</v>
      </c>
      <c r="E402" s="16" t="str">
        <f t="array" ref="E402">INDEX(NPCClass,TRUNC(1+(COUNTA(NPCClass))*(TRUNC(MOD(($B402*1103515245 +12345)/ 65536, 32768),0)/32768),0))</f>
        <v>Monk</v>
      </c>
      <c r="F402" s="76">
        <v>6</v>
      </c>
      <c r="G402" s="153">
        <f ca="1">VLOOKUP($AB$2,'RF Mod'!$A$2:$G$12,2,FALSE)+VLOOKUP($AD$2,'RF Mod'!$I$2:$O$11,2,FALSE)+(TRUNC(6+(24-6)*(TRUNC(MOD(($Z402*1103515245 +12345)/ 65536, 32768),0)/32768),0))</f>
        <v>7</v>
      </c>
      <c r="H402" s="16">
        <f t="shared" ca="1" si="17"/>
        <v>-2</v>
      </c>
      <c r="I402" s="153">
        <f ca="1">VLOOKUP($AB$2,'RF Mod'!$A$2:$G$12,3,FALSE)+VLOOKUP($AD$2,'RF Mod'!$I$2:$O$11,3,FALSE)+(TRUNC(6+(24-6)*(TRUNC(MOD(($Z402*1103515245 +12345)/ 65536, 32768),0)/32768),0))</f>
        <v>11</v>
      </c>
      <c r="J402" s="16" t="e">
        <f t="shared" ca="1" si="18"/>
        <v>#NAME?</v>
      </c>
      <c r="K402" s="153">
        <f ca="1">VLOOKUP($AB$2,'RF Mod'!$A$2:$G$12,3,FALSE)+VLOOKUP($AD$2,'RF Mod'!$I$2:$O$11,3,FALSE)+(TRUNC(6+(24-6)*(TRUNC(MOD(($Z402*1103515245 +12345)/ 65536, 32768),0)/32768),0))</f>
        <v>11</v>
      </c>
      <c r="L402" s="16" t="e">
        <f t="shared" ca="1" si="19"/>
        <v>#NAME?</v>
      </c>
      <c r="M402" s="153">
        <f ca="1">VLOOKUP($AB$2,'RF Mod'!$A$2:$G$12,4,FALSE)+VLOOKUP($AD$2,'RF Mod'!$I$2:$O$11,4,FALSE)+(TRUNC(6+(24-6)*(TRUNC(MOD(($Z402*1103515245 +12345)/ 65536, 32768),0)/32768),0))</f>
        <v>10</v>
      </c>
      <c r="N402" s="16" t="e">
        <f t="shared" ca="1" si="20"/>
        <v>#NAME?</v>
      </c>
      <c r="O402" s="153">
        <f ca="1">VLOOKUP($AB$2,'RF Mod'!$A$2:$G$12,5,FALSE)+VLOOKUP($AD$2,'RF Mod'!$I$2:$O$11,5,FALSE)+(TRUNC(6+(24-6)*(TRUNC(MOD(($Z402*1103515245 +12345)/ 65536, 32768),0)/32768),0))</f>
        <v>13</v>
      </c>
      <c r="P402" s="16" t="e">
        <f t="shared" ca="1" si="21"/>
        <v>#NAME?</v>
      </c>
      <c r="Q402" s="153">
        <f ca="1">VLOOKUP($AB$2,'RF Mod'!$A$2:$G$12,6,FALSE)+VLOOKUP($AD$2,'RF Mod'!$I$2:$O$11,6,FALSE)+(TRUNC(6+(24-6)*(TRUNC(MOD(($Z402*1103515245 +12345)/ 65536, 32768),0)/32768),0))</f>
        <v>11</v>
      </c>
      <c r="R402" s="16" t="e">
        <f t="shared" ca="1" si="22"/>
        <v>#NAME?</v>
      </c>
      <c r="S402" s="154">
        <f t="shared" ca="1" si="28"/>
        <v>78</v>
      </c>
      <c r="T402" s="154">
        <f t="shared" ca="1" si="23"/>
        <v>88</v>
      </c>
      <c r="U402" s="16" t="str">
        <f t="shared" ca="1" si="24"/>
        <v>Dead</v>
      </c>
      <c r="V402" s="155">
        <f ca="1">IFERROR(__xludf.DUMMYFUNCTION("if(W402=""Middle Age"",QUERY(NPCVar!$K$2:$N1000, ""Select L where K = '""&amp;AB402&amp;""'""),if(W402=""Old"",QUERY(NPCVar!$K$2:$N1000, ""Select M where K = '""&amp;AB402&amp;""'""),if(W402=""Venerable"",QUERY(NPCVar!$K$2:$N1000, ""Select N where K = '""&amp;AB402&amp;""'""),fa"&amp;"lse)))*X402"),135)</f>
        <v>135</v>
      </c>
      <c r="W402" s="156" t="str">
        <f t="array" ref="W402">INDEX(NPCAgeType,TRUNC(1+(4-1)*(TRUNC(MOD((X402*1103515245 +12345)/ 65536, 32768),0)/32768),0))</f>
        <v>Old</v>
      </c>
      <c r="X402" s="117">
        <f t="shared" si="29"/>
        <v>0.8</v>
      </c>
      <c r="Y402" s="157" t="e">
        <f t="array" aca="1" ref="Y402" ca="1">LOOKUP(ABS(MAX(Z402 + MIN(ABS(INDIRECT("Class Jobs!B"&amp;MATCH(E402,'Class Jobs'!$A$1:$A1000,0)&amp;":"&amp;"AF"&amp;MATCH(E402,'Class Jobs'!$A$1:$A1000,0)&amp;"")-$Z402)) * SUM(IF(MIN(ABS(INDIRECT("Class Jobs!B"&amp;MATCH(E402,'Class Jobs'!$A$1:$A1000,0)&amp;":"&amp;"AF"&amp;MATCH(E402,'Class Jobs'!$A$1:$A1000,0)&amp;"")-$Z402))=ABS(INDIRECT("Class Jobs!B"&amp;MATCH(E402,'Class Jobs'!$A$1:$A1000,0)&amp;":"&amp;"AF"&amp;MATCH(E402,'Class Jobs'!$A$1:$A1000,0)&amp;"")-$Z402),SIGN(INDIRECT("Class Jobs!B"&amp;MATCH(E402,'Class Jobs'!$A$1:A1000,0)&amp;":"&amp;"AF"&amp;MATCH(E402,'Class Jobs'!$A$1:$A1000,0)&amp;"")-$Z402),0)),0)),INDIRECT("Class Jobs!B"&amp;MATCH(E402,'Class Jobs'!$A$1:$A1000,0)&amp;":"&amp;"AF"&amp;MATCH(E402,'Class Jobs'!$A$1:$A1000,1)&amp;""),'Class Jobs'!$B$1:$AF$1)</f>
        <v>#REF!</v>
      </c>
      <c r="Z402" s="158">
        <f t="shared" si="25"/>
        <v>0.33</v>
      </c>
      <c r="AA402" s="16" t="str">
        <f t="array" ref="AA402">INDEX(NPCGender,TRUNC(1+(COUNTA(NPCGender))*(TRUNC(MOD(($B402*1103515245 +12345)/ 65536, 32768),0)/32768),0))</f>
        <v>Male</v>
      </c>
      <c r="AB402" s="16" t="str">
        <f t="array" ref="AB402">INDEX(NPCRace,TRUNC(1+(COUNTA(NPCRace))*(TRUNC(MOD(($B402*1103515245 +12345)/ 65536, 32768),0)/32768),0))</f>
        <v>Gnome</v>
      </c>
      <c r="AC402" s="16" t="str">
        <f t="array" ref="AC402">INDEX(NPCAL,TRUNC(1+(COUNTA(NPCAL))*(TRUNC(MOD(($B402*1103515245 +12345)/ 65536, 32768),0)/32768),0))</f>
        <v>CG</v>
      </c>
      <c r="AD402" s="72" t="str">
        <f ca="1">IFERROR(__xludf.DUMMYFUNCTION("if(V402&lt;15,QUERY(NPCVar!C:D,""Select D WHERE C = '""&amp;D402&amp;""'""),if((TRUNC(1+10)*(TRUNC(MOD((ROW(H402)*1103515245 +12345)/ 65536, 32768),0)/32768)/10) &gt; 0.85,INDEX(NPCFaction,TRUNC(1+(counta(NPCFaction)-1)*(TRUNC(MOD(($B402*1103515245 +12345)/ 65536, 3276"&amp;"8),0)/32768),0)),QUERY(NPCVar!C:D,""Select D WHERE C = '""&amp;D402&amp;""'"")))"),"Magic Guild")</f>
        <v>Magic Guild</v>
      </c>
      <c r="AE402" s="108" t="e">
        <f t="shared" ca="1" si="26"/>
        <v>#NAME?</v>
      </c>
      <c r="AF402" s="159">
        <f ca="1">IFERROR(__xludf.DUMMYFUNCTION("AE402*(V402 / QUERY(NPCVar!$K$2:$N$12, ""Select N WHERE K='""&amp;AB402&amp;""'""))*TRUNC(1+10)*(TRUNC(MOD(($B402*1103515245 +12345)/ 65536, 32768),0)/32768)"),0)</f>
        <v>0</v>
      </c>
      <c r="AG402" s="16"/>
      <c r="AH402" s="77"/>
      <c r="AI402" s="114"/>
    </row>
    <row r="403" spans="1:35" ht="16.2">
      <c r="A403" s="53">
        <v>402</v>
      </c>
      <c r="B403" s="118">
        <f t="shared" si="31"/>
        <v>2.1349300000000002</v>
      </c>
      <c r="C403" s="72" t="str">
        <f t="array" ref="C403">INDEX(NPCFName,TRUNC(1+(COUNTA(NPCFName))*(TRUNC(MOD(($B403*1103515245 +12345)/ 65536, 32768),0)/32768),0))</f>
        <v>Eritai</v>
      </c>
      <c r="D403" s="16" t="str">
        <f t="array" ref="D403">INDEX(NPCLName,TRUNC(1+(COUNTA(NPCLName))*(TRUNC(MOD(($B403*1103515245 +12345)/ 65536, 32768),0)/32768),0))</f>
        <v>Autumnorb</v>
      </c>
      <c r="E403" s="16" t="str">
        <f t="array" ref="E403">INDEX(NPCClass,TRUNC(1+(COUNTA(NPCClass))*(TRUNC(MOD(($B403*1103515245 +12345)/ 65536, 32768),0)/32768),0))</f>
        <v>Bard</v>
      </c>
      <c r="F403" s="76">
        <v>1</v>
      </c>
      <c r="G403" s="153">
        <f ca="1">VLOOKUP($AB$2,'RF Mod'!$A$2:$G$12,2,FALSE)+VLOOKUP($AD$2,'RF Mod'!$I$2:$O$11,2,FALSE)+(TRUNC(6+(24-6)*(TRUNC(MOD(($Z403*1103515245 +12345)/ 65536, 32768),0)/32768),0))</f>
        <v>4</v>
      </c>
      <c r="H403" s="16">
        <f t="shared" ca="1" si="17"/>
        <v>-3</v>
      </c>
      <c r="I403" s="153">
        <f ca="1">VLOOKUP($AB$2,'RF Mod'!$A$2:$G$12,3,FALSE)+VLOOKUP($AD$2,'RF Mod'!$I$2:$O$11,3,FALSE)+(TRUNC(6+(24-6)*(TRUNC(MOD(($Z403*1103515245 +12345)/ 65536, 32768),0)/32768),0))</f>
        <v>8</v>
      </c>
      <c r="J403" s="16">
        <f t="shared" ca="1" si="18"/>
        <v>-1</v>
      </c>
      <c r="K403" s="153">
        <f ca="1">VLOOKUP($AB$2,'RF Mod'!$A$2:$G$12,3,FALSE)+VLOOKUP($AD$2,'RF Mod'!$I$2:$O$11,3,FALSE)+(TRUNC(6+(24-6)*(TRUNC(MOD(($Z403*1103515245 +12345)/ 65536, 32768),0)/32768),0))</f>
        <v>8</v>
      </c>
      <c r="L403" s="16">
        <f t="shared" ca="1" si="19"/>
        <v>-1</v>
      </c>
      <c r="M403" s="153">
        <f ca="1">VLOOKUP($AB$2,'RF Mod'!$A$2:$G$12,4,FALSE)+VLOOKUP($AD$2,'RF Mod'!$I$2:$O$11,4,FALSE)+(TRUNC(6+(24-6)*(TRUNC(MOD(($Z403*1103515245 +12345)/ 65536, 32768),0)/32768),0))</f>
        <v>7</v>
      </c>
      <c r="N403" s="16">
        <f t="shared" ca="1" si="20"/>
        <v>-2</v>
      </c>
      <c r="O403" s="153">
        <f ca="1">VLOOKUP($AB$2,'RF Mod'!$A$2:$G$12,5,FALSE)+VLOOKUP($AD$2,'RF Mod'!$I$2:$O$11,5,FALSE)+(TRUNC(6+(24-6)*(TRUNC(MOD(($Z403*1103515245 +12345)/ 65536, 32768),0)/32768),0))</f>
        <v>10</v>
      </c>
      <c r="P403" s="16" t="e">
        <f t="shared" ca="1" si="21"/>
        <v>#NAME?</v>
      </c>
      <c r="Q403" s="153">
        <f ca="1">VLOOKUP($AB$2,'RF Mod'!$A$2:$G$12,6,FALSE)+VLOOKUP($AD$2,'RF Mod'!$I$2:$O$11,6,FALSE)+(TRUNC(6+(24-6)*(TRUNC(MOD(($Z403*1103515245 +12345)/ 65536, 32768),0)/32768),0))</f>
        <v>8</v>
      </c>
      <c r="R403" s="16">
        <f t="shared" ca="1" si="22"/>
        <v>-1</v>
      </c>
      <c r="S403" s="154">
        <f t="shared" ca="1" si="28"/>
        <v>10</v>
      </c>
      <c r="T403" s="154">
        <f t="shared" ca="1" si="23"/>
        <v>2</v>
      </c>
      <c r="U403" s="16" t="str">
        <f t="shared" ca="1" si="24"/>
        <v>Fine</v>
      </c>
      <c r="V403" s="155">
        <f ca="1">IFERROR(__xludf.DUMMYFUNCTION("if(W403=""Middle Age"",QUERY(NPCVar!$K$2:$N1000, ""Select L where K = '""&amp;AB403&amp;""'""),if(W403=""Old"",QUERY(NPCVar!$K$2:$N1000, ""Select M where K = '""&amp;AB403&amp;""'""),if(W403=""Venerable"",QUERY(NPCVar!$K$2:$N1000, ""Select N where K = '""&amp;AB403&amp;""'""),fa"&amp;"lse)))*X403"),24)</f>
        <v>24</v>
      </c>
      <c r="W403" s="156" t="str">
        <f t="array" ref="W403">INDEX(NPCAgeType,TRUNC(1+(4-1)*(TRUNC(MOD((X403*1103515245 +12345)/ 65536, 32768),0)/32768),0))</f>
        <v>Middle Age</v>
      </c>
      <c r="X403" s="117">
        <f t="shared" si="29"/>
        <v>0.3</v>
      </c>
      <c r="Y403" s="157" t="e">
        <f t="array" aca="1" ref="Y403" ca="1">LOOKUP(ABS(MAX(Z403 + MIN(ABS(INDIRECT("Class Jobs!B"&amp;MATCH(E403,'Class Jobs'!$A$1:$A1000,0)&amp;":"&amp;"AF"&amp;MATCH(E403,'Class Jobs'!$A$1:$A1000,0)&amp;"")-$Z403)) * SUM(IF(MIN(ABS(INDIRECT("Class Jobs!B"&amp;MATCH(E403,'Class Jobs'!$A$1:$A1000,0)&amp;":"&amp;"AF"&amp;MATCH(E403,'Class Jobs'!$A$1:$A1000,0)&amp;"")-$Z403))=ABS(INDIRECT("Class Jobs!B"&amp;MATCH(E403,'Class Jobs'!$A$1:$A1000,0)&amp;":"&amp;"AF"&amp;MATCH(E403,'Class Jobs'!$A$1:$A1000,0)&amp;"")-$Z403),SIGN(INDIRECT("Class Jobs!B"&amp;MATCH(E403,'Class Jobs'!$A$1:A1000,0)&amp;":"&amp;"AF"&amp;MATCH(E403,'Class Jobs'!$A$1:$A1000,0)&amp;"")-$Z403),0)),0)),INDIRECT("Class Jobs!B"&amp;MATCH(E403,'Class Jobs'!$A$1:$A1000,0)&amp;":"&amp;"AF"&amp;MATCH(E403,'Class Jobs'!$A$1:$A1000,1)&amp;""),'Class Jobs'!$B$1:$AF$1)</f>
        <v>#REF!</v>
      </c>
      <c r="Z403" s="158">
        <f t="shared" si="25"/>
        <v>0.1</v>
      </c>
      <c r="AA403" s="16" t="str">
        <f t="array" ref="AA403">INDEX(NPCGender,TRUNC(1+(COUNTA(NPCGender))*(TRUNC(MOD(($B403*1103515245 +12345)/ 65536, 32768),0)/32768),0))</f>
        <v>Male</v>
      </c>
      <c r="AB403" s="16" t="str">
        <f t="array" ref="AB403">INDEX(NPCRace,TRUNC(1+(COUNTA(NPCRace))*(TRUNC(MOD(($B403*1103515245 +12345)/ 65536, 32768),0)/32768),0))</f>
        <v>Dwarf</v>
      </c>
      <c r="AC403" s="16" t="str">
        <f t="array" ref="AC403">INDEX(NPCAL,TRUNC(1+(COUNTA(NPCAL))*(TRUNC(MOD(($B403*1103515245 +12345)/ 65536, 32768),0)/32768),0))</f>
        <v>CN</v>
      </c>
      <c r="AD403" s="72" t="str">
        <f ca="1">IFERROR(__xludf.DUMMYFUNCTION("if(V403&lt;15,QUERY(NPCVar!C:D,""Select D WHERE C = '""&amp;D403&amp;""'""),if((TRUNC(1+10)*(TRUNC(MOD((ROW(H403)*1103515245 +12345)/ 65536, 32768),0)/32768)/10) &gt; 0.85,INDEX(NPCFaction,TRUNC(1+(counta(NPCFaction)-1)*(TRUNC(MOD(($B403*1103515245 +12345)/ 65536, 3276"&amp;"8),0)/32768),0)),QUERY(NPCVar!C:D,""Select D WHERE C = '""&amp;D403&amp;""'"")))"),"Royalty")</f>
        <v>Royalty</v>
      </c>
      <c r="AE403" s="108" t="e">
        <f t="shared" ca="1" si="26"/>
        <v>#NAME?</v>
      </c>
      <c r="AF403" s="159">
        <f ca="1">IFERROR(__xludf.DUMMYFUNCTION("AE403*(V403 / QUERY(NPCVar!$K$2:$N$12, ""Select N WHERE K='""&amp;AB403&amp;""'""))*TRUNC(1+10)*(TRUNC(MOD(($B403*1103515245 +12345)/ 65536, 32768),0)/32768)"),0.0240188598632812)</f>
        <v>2.40188598632812E-2</v>
      </c>
      <c r="AG403" s="16"/>
      <c r="AH403" s="77"/>
      <c r="AI403" s="114"/>
    </row>
    <row r="404" spans="1:35" ht="16.2">
      <c r="A404" s="53">
        <v>403</v>
      </c>
      <c r="B404" s="118">
        <f t="shared" si="31"/>
        <v>1.12907</v>
      </c>
      <c r="C404" s="72" t="str">
        <f t="array" ref="C404">INDEX(NPCFName,TRUNC(1+(COUNTA(NPCFName))*(TRUNC(MOD(($B404*1103515245 +12345)/ 65536, 32768),0)/32768),0))</f>
        <v>Rogeir</v>
      </c>
      <c r="D404" s="16" t="str">
        <f t="array" ref="D404">INDEX(NPCLName,TRUNC(1+(COUNTA(NPCLName))*(TRUNC(MOD(($B404*1103515245 +12345)/ 65536, 32768),0)/32768),0))</f>
        <v>Chestaxe</v>
      </c>
      <c r="E404" s="16" t="str">
        <f t="array" ref="E404">INDEX(NPCClass,TRUNC(1+(COUNTA(NPCClass))*(TRUNC(MOD(($B404*1103515245 +12345)/ 65536, 32768),0)/32768),0))</f>
        <v>Sorcerer</v>
      </c>
      <c r="F404" s="76">
        <v>8</v>
      </c>
      <c r="G404" s="153">
        <f ca="1">VLOOKUP($AB$2,'RF Mod'!$A$2:$G$12,2,FALSE)+VLOOKUP($AD$2,'RF Mod'!$I$2:$O$11,2,FALSE)+(TRUNC(6+(24-6)*(TRUNC(MOD(($Z404*1103515245 +12345)/ 65536, 32768),0)/32768),0))</f>
        <v>9</v>
      </c>
      <c r="H404" s="16">
        <f t="shared" ca="1" si="17"/>
        <v>-1</v>
      </c>
      <c r="I404" s="153">
        <f ca="1">VLOOKUP($AB$2,'RF Mod'!$A$2:$G$12,3,FALSE)+VLOOKUP($AD$2,'RF Mod'!$I$2:$O$11,3,FALSE)+(TRUNC(6+(24-6)*(TRUNC(MOD(($Z404*1103515245 +12345)/ 65536, 32768),0)/32768),0))</f>
        <v>13</v>
      </c>
      <c r="J404" s="16" t="e">
        <f t="shared" ca="1" si="18"/>
        <v>#NAME?</v>
      </c>
      <c r="K404" s="153">
        <f ca="1">VLOOKUP($AB$2,'RF Mod'!$A$2:$G$12,3,FALSE)+VLOOKUP($AD$2,'RF Mod'!$I$2:$O$11,3,FALSE)+(TRUNC(6+(24-6)*(TRUNC(MOD(($Z404*1103515245 +12345)/ 65536, 32768),0)/32768),0))</f>
        <v>13</v>
      </c>
      <c r="L404" s="16" t="e">
        <f t="shared" ca="1" si="19"/>
        <v>#NAME?</v>
      </c>
      <c r="M404" s="153">
        <f ca="1">VLOOKUP($AB$2,'RF Mod'!$A$2:$G$12,4,FALSE)+VLOOKUP($AD$2,'RF Mod'!$I$2:$O$11,4,FALSE)+(TRUNC(6+(24-6)*(TRUNC(MOD(($Z404*1103515245 +12345)/ 65536, 32768),0)/32768),0))</f>
        <v>12</v>
      </c>
      <c r="N404" s="16" t="e">
        <f t="shared" ca="1" si="20"/>
        <v>#NAME?</v>
      </c>
      <c r="O404" s="153">
        <f ca="1">VLOOKUP($AB$2,'RF Mod'!$A$2:$G$12,5,FALSE)+VLOOKUP($AD$2,'RF Mod'!$I$2:$O$11,5,FALSE)+(TRUNC(6+(24-6)*(TRUNC(MOD(($Z404*1103515245 +12345)/ 65536, 32768),0)/32768),0))</f>
        <v>15</v>
      </c>
      <c r="P404" s="16" t="e">
        <f t="shared" ca="1" si="21"/>
        <v>#NAME?</v>
      </c>
      <c r="Q404" s="153">
        <f ca="1">VLOOKUP($AB$2,'RF Mod'!$A$2:$G$12,6,FALSE)+VLOOKUP($AD$2,'RF Mod'!$I$2:$O$11,6,FALSE)+(TRUNC(6+(24-6)*(TRUNC(MOD(($Z404*1103515245 +12345)/ 65536, 32768),0)/32768),0))</f>
        <v>13</v>
      </c>
      <c r="R404" s="16" t="e">
        <f t="shared" ca="1" si="22"/>
        <v>#NAME?</v>
      </c>
      <c r="S404" s="154">
        <f t="shared" ca="1" si="28"/>
        <v>248</v>
      </c>
      <c r="T404" s="154">
        <f t="shared" ca="1" si="23"/>
        <v>64</v>
      </c>
      <c r="U404" s="16" t="str">
        <f t="shared" ca="1" si="24"/>
        <v>Fine</v>
      </c>
      <c r="V404" s="155">
        <f ca="1">IFERROR(__xludf.DUMMYFUNCTION("if(W404=""Middle Age"",QUERY(NPCVar!$K$2:$N1000, ""Select L where K = '""&amp;AB404&amp;""'""),if(W404=""Old"",QUERY(NPCVar!$K$2:$N1000, ""Select M where K = '""&amp;AB404&amp;""'""),if(W404=""Venerable"",QUERY(NPCVar!$K$2:$N1000, ""Select N where K = '""&amp;AB404&amp;""'""),fa"&amp;"lse)))*X404"),280)</f>
        <v>280</v>
      </c>
      <c r="W404" s="156" t="str">
        <f t="array" ref="W404">INDEX(NPCAgeType,TRUNC(1+(4-1)*(TRUNC(MOD((X404*1103515245 +12345)/ 65536, 32768),0)/32768),0))</f>
        <v>Venerable</v>
      </c>
      <c r="X404" s="117">
        <f t="shared" si="29"/>
        <v>1.4</v>
      </c>
      <c r="Y404" s="157" t="e">
        <f t="array" aca="1" ref="Y404" ca="1">LOOKUP(ABS(MAX(Z404 + MIN(ABS(INDIRECT("Class Jobs!B"&amp;MATCH(E404,'Class Jobs'!$A$1:$A1000,0)&amp;":"&amp;"AF"&amp;MATCH(E404,'Class Jobs'!$A$1:$A1000,0)&amp;"")-$Z404)) * SUM(IF(MIN(ABS(INDIRECT("Class Jobs!B"&amp;MATCH(E404,'Class Jobs'!$A$1:$A1000,0)&amp;":"&amp;"AF"&amp;MATCH(E404,'Class Jobs'!$A$1:$A1000,0)&amp;"")-$Z404))=ABS(INDIRECT("Class Jobs!B"&amp;MATCH(E404,'Class Jobs'!$A$1:$A1000,0)&amp;":"&amp;"AF"&amp;MATCH(E404,'Class Jobs'!$A$1:$A1000,0)&amp;"")-$Z404),SIGN(INDIRECT("Class Jobs!B"&amp;MATCH(E404,'Class Jobs'!$A$1:A1000,0)&amp;":"&amp;"AF"&amp;MATCH(E404,'Class Jobs'!$A$1:$A1000,0)&amp;"")-$Z404),0)),0)),INDIRECT("Class Jobs!B"&amp;MATCH(E404,'Class Jobs'!$A$1:$A1000,0)&amp;":"&amp;"AF"&amp;MATCH(E404,'Class Jobs'!$A$1:$A1000,1)&amp;""),'Class Jobs'!$B$1:$AF$1)</f>
        <v>#REF!</v>
      </c>
      <c r="Z404" s="158">
        <f t="shared" si="25"/>
        <v>0.57999999999999996</v>
      </c>
      <c r="AA404" s="16" t="str">
        <f t="array" ref="AA404">INDEX(NPCGender,TRUNC(1+(COUNTA(NPCGender))*(TRUNC(MOD(($B404*1103515245 +12345)/ 65536, 32768),0)/32768),0))</f>
        <v>Female</v>
      </c>
      <c r="AB404" s="16" t="str">
        <f t="array" ref="AB404">INDEX(NPCRace,TRUNC(1+(COUNTA(NPCRace))*(TRUNC(MOD(($B404*1103515245 +12345)/ 65536, 32768),0)/32768),0))</f>
        <v>Halfling</v>
      </c>
      <c r="AC404" s="16" t="str">
        <f t="array" ref="AC404">INDEX(NPCAL,TRUNC(1+(COUNTA(NPCAL))*(TRUNC(MOD(($B404*1103515245 +12345)/ 65536, 32768),0)/32768),0))</f>
        <v>NE</v>
      </c>
      <c r="AD404" s="72" t="str">
        <f ca="1">IFERROR(__xludf.DUMMYFUNCTION("if(V404&lt;15,QUERY(NPCVar!C:D,""Select D WHERE C = '""&amp;D404&amp;""'""),if((TRUNC(1+10)*(TRUNC(MOD((ROW(H404)*1103515245 +12345)/ 65536, 32768),0)/32768)/10) &gt; 0.85,INDEX(NPCFaction,TRUNC(1+(counta(NPCFaction)-1)*(TRUNC(MOD(($B404*1103515245 +12345)/ 65536, 3276"&amp;"8),0)/32768),0)),QUERY(NPCVar!C:D,""Select D WHERE C = '""&amp;D404&amp;""'"")))"),"Farmers Guild")</f>
        <v>Farmers Guild</v>
      </c>
      <c r="AE404" s="108" t="e">
        <f t="shared" ca="1" si="26"/>
        <v>#NAME?</v>
      </c>
      <c r="AF404" s="159">
        <f ca="1">IFERROR(__xludf.DUMMYFUNCTION("AE404*(V404 / QUERY(NPCVar!$K$2:$N$12, ""Select N WHERE K='""&amp;AB404&amp;""'""))*TRUNC(1+10)*(TRUNC(MOD(($B404*1103515245 +12345)/ 65536, 32768),0)/32768)"),1.78692260742187)</f>
        <v>1.78692260742187</v>
      </c>
      <c r="AG404" s="16"/>
      <c r="AH404" s="77"/>
      <c r="AI404" s="114"/>
    </row>
    <row r="405" spans="1:35" ht="16.2">
      <c r="A405" s="53">
        <v>404</v>
      </c>
      <c r="B405" s="118">
        <f t="shared" si="31"/>
        <v>0.12322</v>
      </c>
      <c r="C405" s="72" t="str">
        <f t="array" ref="C405">INDEX(NPCFName,TRUNC(1+(COUNTA(NPCFName))*(TRUNC(MOD(($B405*1103515245 +12345)/ 65536, 32768),0)/32768),0))</f>
        <v>Daburn</v>
      </c>
      <c r="D405" s="16" t="str">
        <f t="array" ref="D405">INDEX(NPCLName,TRUNC(1+(COUNTA(NPCLName))*(TRUNC(MOD(($B405*1103515245 +12345)/ 65536, 32768),0)/32768),0))</f>
        <v>Crystalgazer</v>
      </c>
      <c r="E405" s="16" t="str">
        <f t="array" ref="E405">INDEX(NPCClass,TRUNC(1+(COUNTA(NPCClass))*(TRUNC(MOD(($B405*1103515245 +12345)/ 65536, 32768),0)/32768),0))</f>
        <v>Barbarian</v>
      </c>
      <c r="F405" s="76">
        <v>1</v>
      </c>
      <c r="G405" s="153">
        <f ca="1">VLOOKUP($AB$2,'RF Mod'!$A$2:$G$12,2,FALSE)+VLOOKUP($AD$2,'RF Mod'!$I$2:$O$11,2,FALSE)+(TRUNC(6+(24-6)*(TRUNC(MOD(($Z405*1103515245 +12345)/ 65536, 32768),0)/32768),0))</f>
        <v>4</v>
      </c>
      <c r="H405" s="16">
        <f t="shared" ca="1" si="17"/>
        <v>-3</v>
      </c>
      <c r="I405" s="153">
        <f ca="1">VLOOKUP($AB$2,'RF Mod'!$A$2:$G$12,3,FALSE)+VLOOKUP($AD$2,'RF Mod'!$I$2:$O$11,3,FALSE)+(TRUNC(6+(24-6)*(TRUNC(MOD(($Z405*1103515245 +12345)/ 65536, 32768),0)/32768),0))</f>
        <v>8</v>
      </c>
      <c r="J405" s="16">
        <f t="shared" ca="1" si="18"/>
        <v>-1</v>
      </c>
      <c r="K405" s="153">
        <f ca="1">VLOOKUP($AB$2,'RF Mod'!$A$2:$G$12,3,FALSE)+VLOOKUP($AD$2,'RF Mod'!$I$2:$O$11,3,FALSE)+(TRUNC(6+(24-6)*(TRUNC(MOD(($Z405*1103515245 +12345)/ 65536, 32768),0)/32768),0))</f>
        <v>8</v>
      </c>
      <c r="L405" s="16">
        <f t="shared" ca="1" si="19"/>
        <v>-1</v>
      </c>
      <c r="M405" s="153">
        <f ca="1">VLOOKUP($AB$2,'RF Mod'!$A$2:$G$12,4,FALSE)+VLOOKUP($AD$2,'RF Mod'!$I$2:$O$11,4,FALSE)+(TRUNC(6+(24-6)*(TRUNC(MOD(($Z405*1103515245 +12345)/ 65536, 32768),0)/32768),0))</f>
        <v>7</v>
      </c>
      <c r="N405" s="16">
        <f t="shared" ca="1" si="20"/>
        <v>-2</v>
      </c>
      <c r="O405" s="153">
        <f ca="1">VLOOKUP($AB$2,'RF Mod'!$A$2:$G$12,5,FALSE)+VLOOKUP($AD$2,'RF Mod'!$I$2:$O$11,5,FALSE)+(TRUNC(6+(24-6)*(TRUNC(MOD(($Z405*1103515245 +12345)/ 65536, 32768),0)/32768),0))</f>
        <v>10</v>
      </c>
      <c r="P405" s="16" t="e">
        <f t="shared" ca="1" si="21"/>
        <v>#NAME?</v>
      </c>
      <c r="Q405" s="153">
        <f ca="1">VLOOKUP($AB$2,'RF Mod'!$A$2:$G$12,6,FALSE)+VLOOKUP($AD$2,'RF Mod'!$I$2:$O$11,6,FALSE)+(TRUNC(6+(24-6)*(TRUNC(MOD(($Z405*1103515245 +12345)/ 65536, 32768),0)/32768),0))</f>
        <v>8</v>
      </c>
      <c r="R405" s="16">
        <f t="shared" ca="1" si="22"/>
        <v>-1</v>
      </c>
      <c r="S405" s="154">
        <f t="shared" ca="1" si="28"/>
        <v>10</v>
      </c>
      <c r="T405" s="154">
        <f t="shared" ca="1" si="23"/>
        <v>11</v>
      </c>
      <c r="U405" s="16" t="str">
        <f t="shared" ca="1" si="24"/>
        <v>Dead</v>
      </c>
      <c r="V405" s="155">
        <f ca="1">IFERROR(__xludf.DUMMYFUNCTION("if(W405=""Middle Age"",QUERY(NPCVar!$K$2:$N1000, ""Select L where K = '""&amp;AB405&amp;""'""),if(W405=""Old"",QUERY(NPCVar!$K$2:$N1000, ""Select M where K = '""&amp;AB405&amp;""'""),if(W405=""Venerable"",QUERY(NPCVar!$K$2:$N1000, ""Select N where K = '""&amp;AB405&amp;""'""),fa"&amp;"lse)))*X405"),4)</f>
        <v>4</v>
      </c>
      <c r="W405" s="156" t="str">
        <f t="array" ref="W405">INDEX(NPCAgeType,TRUNC(1+(4-1)*(TRUNC(MOD((X405*1103515245 +12345)/ 65536, 32768),0)/32768),0))</f>
        <v>Middle Age</v>
      </c>
      <c r="X405" s="117">
        <f t="shared" si="29"/>
        <v>0.2</v>
      </c>
      <c r="Y405" s="157" t="e">
        <f t="array" aca="1" ref="Y405" ca="1">LOOKUP(ABS(MAX(Z405 + MIN(ABS(INDIRECT("Class Jobs!B"&amp;MATCH(E405,'Class Jobs'!$A$1:$A1000,0)&amp;":"&amp;"AF"&amp;MATCH(E405,'Class Jobs'!$A$1:$A1000,0)&amp;"")-$Z405)) * SUM(IF(MIN(ABS(INDIRECT("Class Jobs!B"&amp;MATCH(E405,'Class Jobs'!$A$1:$A1000,0)&amp;":"&amp;"AF"&amp;MATCH(E405,'Class Jobs'!$A$1:$A1000,0)&amp;"")-$Z405))=ABS(INDIRECT("Class Jobs!B"&amp;MATCH(E405,'Class Jobs'!$A$1:$A1000,0)&amp;":"&amp;"AF"&amp;MATCH(E405,'Class Jobs'!$A$1:$A1000,0)&amp;"")-$Z405),SIGN(INDIRECT("Class Jobs!B"&amp;MATCH(E405,'Class Jobs'!$A$1:A1000,0)&amp;":"&amp;"AF"&amp;MATCH(E405,'Class Jobs'!$A$1:$A1000,0)&amp;"")-$Z405),0)),0)),INDIRECT("Class Jobs!B"&amp;MATCH(E405,'Class Jobs'!$A$1:$A1000,0)&amp;":"&amp;"AF"&amp;MATCH(E405,'Class Jobs'!$A$1:$A1000,1)&amp;""),'Class Jobs'!$B$1:$AF$1)</f>
        <v>#REF!</v>
      </c>
      <c r="Z405" s="158">
        <f t="shared" si="25"/>
        <v>7.0000000000000007E-2</v>
      </c>
      <c r="AA405" s="16" t="str">
        <f t="array" ref="AA405">INDEX(NPCGender,TRUNC(1+(COUNTA(NPCGender))*(TRUNC(MOD(($B405*1103515245 +12345)/ 65536, 32768),0)/32768),0))</f>
        <v>Male</v>
      </c>
      <c r="AB405" s="16" t="str">
        <f t="array" ref="AB405">INDEX(NPCRace,TRUNC(1+(COUNTA(NPCRace))*(TRUNC(MOD(($B405*1103515245 +12345)/ 65536, 32768),0)/32768),0))</f>
        <v>Dragonborn</v>
      </c>
      <c r="AC405" s="16" t="str">
        <f t="array" ref="AC405">INDEX(NPCAL,TRUNC(1+(COUNTA(NPCAL))*(TRUNC(MOD(($B405*1103515245 +12345)/ 65536, 32768),0)/32768),0))</f>
        <v>CN</v>
      </c>
      <c r="AD405" s="72" t="str">
        <f ca="1">IFERROR(__xludf.DUMMYFUNCTION("if(V405&lt;15,QUERY(NPCVar!C:D,""Select D WHERE C = '""&amp;D405&amp;""'""),if((TRUNC(1+10)*(TRUNC(MOD((ROW(H405)*1103515245 +12345)/ 65536, 32768),0)/32768)/10) &gt; 0.85,INDEX(NPCFaction,TRUNC(1+(counta(NPCFaction)-1)*(TRUNC(MOD(($B405*1103515245 +12345)/ 65536, 3276"&amp;"8),0)/32768),0)),QUERY(NPCVar!C:D,""Select D WHERE C = '""&amp;D405&amp;""'"")))"),"Death Guild")</f>
        <v>Death Guild</v>
      </c>
      <c r="AE405" s="108" t="e">
        <f t="shared" ca="1" si="26"/>
        <v>#NAME?</v>
      </c>
      <c r="AF405" s="159">
        <f ca="1">IFERROR(__xludf.DUMMYFUNCTION("AE405*(V405 / QUERY(NPCVar!$K$2:$N$12, ""Select N WHERE K='""&amp;AB405&amp;""'""))*TRUNC(1+10)*(TRUNC(MOD(($B405*1103515245 +12345)/ 65536, 32768),0)/32768)"),0.0104484558105468)</f>
        <v>1.04484558105468E-2</v>
      </c>
      <c r="AG405" s="16"/>
      <c r="AH405" s="77"/>
      <c r="AI405" s="114"/>
    </row>
    <row r="406" spans="1:35" ht="16.2">
      <c r="A406" s="53">
        <v>405</v>
      </c>
      <c r="B406" s="118">
        <f t="shared" si="31"/>
        <v>1.6173500000000001</v>
      </c>
      <c r="C406" s="72" t="str">
        <f t="array" ref="C406">INDEX(NPCFName,TRUNC(1+(COUNTA(NPCFName))*(TRUNC(MOD(($B406*1103515245 +12345)/ 65536, 32768),0)/32768),0))</f>
        <v>Kodof</v>
      </c>
      <c r="D406" s="16" t="str">
        <f t="array" ref="D406">INDEX(NPCLName,TRUNC(1+(COUNTA(NPCLName))*(TRUNC(MOD(($B406*1103515245 +12345)/ 65536, 32768),0)/32768),0))</f>
        <v>Deepcrest</v>
      </c>
      <c r="E406" s="16" t="str">
        <f t="array" ref="E406">INDEX(NPCClass,TRUNC(1+(COUNTA(NPCClass))*(TRUNC(MOD(($B406*1103515245 +12345)/ 65536, 32768),0)/32768),0))</f>
        <v>Cleric</v>
      </c>
      <c r="F406" s="76">
        <v>8</v>
      </c>
      <c r="G406" s="153">
        <f ca="1">VLOOKUP($AB$2,'RF Mod'!$A$2:$G$12,2,FALSE)+VLOOKUP($AD$2,'RF Mod'!$I$2:$O$11,2,FALSE)+(TRUNC(6+(24-6)*(TRUNC(MOD(($Z406*1103515245 +12345)/ 65536, 32768),0)/32768),0))</f>
        <v>11</v>
      </c>
      <c r="H406" s="16" t="e">
        <f t="shared" ca="1" si="17"/>
        <v>#NAME?</v>
      </c>
      <c r="I406" s="153">
        <f ca="1">VLOOKUP($AB$2,'RF Mod'!$A$2:$G$12,3,FALSE)+VLOOKUP($AD$2,'RF Mod'!$I$2:$O$11,3,FALSE)+(TRUNC(6+(24-6)*(TRUNC(MOD(($Z406*1103515245 +12345)/ 65536, 32768),0)/32768),0))</f>
        <v>15</v>
      </c>
      <c r="J406" s="16" t="e">
        <f t="shared" ca="1" si="18"/>
        <v>#NAME?</v>
      </c>
      <c r="K406" s="153">
        <f ca="1">VLOOKUP($AB$2,'RF Mod'!$A$2:$G$12,3,FALSE)+VLOOKUP($AD$2,'RF Mod'!$I$2:$O$11,3,FALSE)+(TRUNC(6+(24-6)*(TRUNC(MOD(($Z406*1103515245 +12345)/ 65536, 32768),0)/32768),0))</f>
        <v>15</v>
      </c>
      <c r="L406" s="16" t="e">
        <f t="shared" ca="1" si="19"/>
        <v>#NAME?</v>
      </c>
      <c r="M406" s="153">
        <f ca="1">VLOOKUP($AB$2,'RF Mod'!$A$2:$G$12,4,FALSE)+VLOOKUP($AD$2,'RF Mod'!$I$2:$O$11,4,FALSE)+(TRUNC(6+(24-6)*(TRUNC(MOD(($Z406*1103515245 +12345)/ 65536, 32768),0)/32768),0))</f>
        <v>14</v>
      </c>
      <c r="N406" s="16" t="e">
        <f t="shared" ca="1" si="20"/>
        <v>#NAME?</v>
      </c>
      <c r="O406" s="153">
        <f ca="1">VLOOKUP($AB$2,'RF Mod'!$A$2:$G$12,5,FALSE)+VLOOKUP($AD$2,'RF Mod'!$I$2:$O$11,5,FALSE)+(TRUNC(6+(24-6)*(TRUNC(MOD(($Z406*1103515245 +12345)/ 65536, 32768),0)/32768),0))</f>
        <v>17</v>
      </c>
      <c r="P406" s="16" t="e">
        <f t="shared" ca="1" si="21"/>
        <v>#NAME?</v>
      </c>
      <c r="Q406" s="153">
        <f ca="1">VLOOKUP($AB$2,'RF Mod'!$A$2:$G$12,6,FALSE)+VLOOKUP($AD$2,'RF Mod'!$I$2:$O$11,6,FALSE)+(TRUNC(6+(24-6)*(TRUNC(MOD(($Z406*1103515245 +12345)/ 65536, 32768),0)/32768),0))</f>
        <v>15</v>
      </c>
      <c r="R406" s="16" t="e">
        <f t="shared" ca="1" si="22"/>
        <v>#NAME?</v>
      </c>
      <c r="S406" s="154">
        <f t="shared" ca="1" si="28"/>
        <v>232</v>
      </c>
      <c r="T406" s="154">
        <f t="shared" ca="1" si="23"/>
        <v>109</v>
      </c>
      <c r="U406" s="16" t="str">
        <f t="shared" ca="1" si="24"/>
        <v>Fine</v>
      </c>
      <c r="V406" s="155">
        <f ca="1">IFERROR(__xludf.DUMMYFUNCTION("if(W406=""Middle Age"",QUERY(NPCVar!$K$2:$N1000, ""Select L where K = '""&amp;AB406&amp;""'""),if(W406=""Old"",QUERY(NPCVar!$K$2:$N1000, ""Select M where K = '""&amp;AB406&amp;""'""),if(W406=""Venerable"",QUERY(NPCVar!$K$2:$N1000, ""Select N where K = '""&amp;AB406&amp;""'""),fa"&amp;"lse)))*X406"),55)</f>
        <v>55</v>
      </c>
      <c r="W406" s="156" t="str">
        <f t="array" ref="W406">INDEX(NPCAgeType,TRUNC(1+(4-1)*(TRUNC(MOD((X406*1103515245 +12345)/ 65536, 32768),0)/32768),0))</f>
        <v>Middle Age</v>
      </c>
      <c r="X406" s="117">
        <f t="shared" si="29"/>
        <v>2</v>
      </c>
      <c r="Y406" s="157" t="e">
        <f t="array" aca="1" ref="Y406" ca="1">LOOKUP(ABS(MAX(Z406 + MIN(ABS(INDIRECT("Class Jobs!B"&amp;MATCH(E406,'Class Jobs'!$A$1:$A1000,0)&amp;":"&amp;"AF"&amp;MATCH(E406,'Class Jobs'!$A$1:$A1000,0)&amp;"")-$Z406)) * SUM(IF(MIN(ABS(INDIRECT("Class Jobs!B"&amp;MATCH(E406,'Class Jobs'!$A$1:$A1000,0)&amp;":"&amp;"AF"&amp;MATCH(E406,'Class Jobs'!$A$1:$A1000,0)&amp;"")-$Z406))=ABS(INDIRECT("Class Jobs!B"&amp;MATCH(E406,'Class Jobs'!$A$1:$A1000,0)&amp;":"&amp;"AF"&amp;MATCH(E406,'Class Jobs'!$A$1:$A1000,0)&amp;"")-$Z406),SIGN(INDIRECT("Class Jobs!B"&amp;MATCH(E406,'Class Jobs'!$A$1:A1000,0)&amp;":"&amp;"AF"&amp;MATCH(E406,'Class Jobs'!$A$1:$A1000,0)&amp;"")-$Z406),0)),0)),INDIRECT("Class Jobs!B"&amp;MATCH(E406,'Class Jobs'!$A$1:$A1000,0)&amp;":"&amp;"AF"&amp;MATCH(E406,'Class Jobs'!$A$1:$A1000,1)&amp;""),'Class Jobs'!$B$1:$AF$1)</f>
        <v>#REF!</v>
      </c>
      <c r="Z406" s="158">
        <f t="shared" si="25"/>
        <v>0.83</v>
      </c>
      <c r="AA406" s="16" t="str">
        <f t="array" ref="AA406">INDEX(NPCGender,TRUNC(1+(COUNTA(NPCGender))*(TRUNC(MOD(($B406*1103515245 +12345)/ 65536, 32768),0)/32768),0))</f>
        <v>Neutral</v>
      </c>
      <c r="AB406" s="16" t="str">
        <f t="array" ref="AB406">INDEX(NPCRace,TRUNC(1+(COUNTA(NPCRace))*(TRUNC(MOD(($B406*1103515245 +12345)/ 65536, 32768),0)/32768),0))</f>
        <v>Genasi</v>
      </c>
      <c r="AC406" s="16" t="str">
        <f t="array" ref="AC406">INDEX(NPCAL,TRUNC(1+(COUNTA(NPCAL))*(TRUNC(MOD(($B406*1103515245 +12345)/ 65536, 32768),0)/32768),0))</f>
        <v>LN</v>
      </c>
      <c r="AD406" s="72" t="str">
        <f ca="1">IFERROR(__xludf.DUMMYFUNCTION("if(V406&lt;15,QUERY(NPCVar!C:D,""Select D WHERE C = '""&amp;D406&amp;""'""),if((TRUNC(1+10)*(TRUNC(MOD((ROW(H406)*1103515245 +12345)/ 65536, 32768),0)/32768)/10) &gt; 0.85,INDEX(NPCFaction,TRUNC(1+(counta(NPCFaction)-1)*(TRUNC(MOD(($B406*1103515245 +12345)/ 65536, 3276"&amp;"8),0)/32768),0)),QUERY(NPCVar!C:D,""Select D WHERE C = '""&amp;D406&amp;""'"")))"),"Adventures Guild")</f>
        <v>Adventures Guild</v>
      </c>
      <c r="AE406" s="108" t="e">
        <f t="shared" ca="1" si="26"/>
        <v>#NAME?</v>
      </c>
      <c r="AF406" s="159">
        <f ca="1">IFERROR(__xludf.DUMMYFUNCTION("AE406*(V406 / QUERY(NPCVar!$K$2:$N$12, ""Select N WHERE K='""&amp;AB406&amp;""'""))*TRUNC(1+10)*(TRUNC(MOD(($B406*1103515245 +12345)/ 65536, 32768),0)/32768)"),1.3712905883789)</f>
        <v>1.3712905883788999</v>
      </c>
      <c r="AG406" s="16"/>
      <c r="AH406" s="77"/>
      <c r="AI406" s="114"/>
    </row>
    <row r="407" spans="1:35" ht="16.2">
      <c r="A407" s="53">
        <v>406</v>
      </c>
      <c r="B407" s="118">
        <f t="shared" si="31"/>
        <v>0.61150000000000004</v>
      </c>
      <c r="C407" s="72" t="str">
        <f t="array" ref="C407">INDEX(NPCFName,TRUNC(1+(COUNTA(NPCFName))*(TRUNC(MOD(($B407*1103515245 +12345)/ 65536, 32768),0)/32768),0))</f>
        <v>Wiltmar</v>
      </c>
      <c r="D407" s="16" t="str">
        <f t="array" ref="D407">INDEX(NPCLName,TRUNC(1+(COUNTA(NPCLName))*(TRUNC(MOD(($B407*1103515245 +12345)/ 65536, 32768),0)/32768),0))</f>
        <v>Stormdew</v>
      </c>
      <c r="E407" s="16" t="str">
        <f t="array" ref="E407">INDEX(NPCClass,TRUNC(1+(COUNTA(NPCClass))*(TRUNC(MOD(($B407*1103515245 +12345)/ 65536, 32768),0)/32768),0))</f>
        <v>Monk</v>
      </c>
      <c r="F407" s="76">
        <v>1</v>
      </c>
      <c r="G407" s="153">
        <f ca="1">VLOOKUP($AB$2,'RF Mod'!$A$2:$G$12,2,FALSE)+VLOOKUP($AD$2,'RF Mod'!$I$2:$O$11,2,FALSE)+(TRUNC(6+(24-6)*(TRUNC(MOD(($Z407*1103515245 +12345)/ 65536, 32768),0)/32768),0))</f>
        <v>6</v>
      </c>
      <c r="H407" s="16">
        <f t="shared" ca="1" si="17"/>
        <v>-2</v>
      </c>
      <c r="I407" s="153">
        <f ca="1">VLOOKUP($AB$2,'RF Mod'!$A$2:$G$12,3,FALSE)+VLOOKUP($AD$2,'RF Mod'!$I$2:$O$11,3,FALSE)+(TRUNC(6+(24-6)*(TRUNC(MOD(($Z407*1103515245 +12345)/ 65536, 32768),0)/32768),0))</f>
        <v>10</v>
      </c>
      <c r="J407" s="16" t="e">
        <f t="shared" ca="1" si="18"/>
        <v>#NAME?</v>
      </c>
      <c r="K407" s="153">
        <f ca="1">VLOOKUP($AB$2,'RF Mod'!$A$2:$G$12,3,FALSE)+VLOOKUP($AD$2,'RF Mod'!$I$2:$O$11,3,FALSE)+(TRUNC(6+(24-6)*(TRUNC(MOD(($Z407*1103515245 +12345)/ 65536, 32768),0)/32768),0))</f>
        <v>10</v>
      </c>
      <c r="L407" s="16" t="e">
        <f t="shared" ca="1" si="19"/>
        <v>#NAME?</v>
      </c>
      <c r="M407" s="153">
        <f ca="1">VLOOKUP($AB$2,'RF Mod'!$A$2:$G$12,4,FALSE)+VLOOKUP($AD$2,'RF Mod'!$I$2:$O$11,4,FALSE)+(TRUNC(6+(24-6)*(TRUNC(MOD(($Z407*1103515245 +12345)/ 65536, 32768),0)/32768),0))</f>
        <v>9</v>
      </c>
      <c r="N407" s="16">
        <f t="shared" ca="1" si="20"/>
        <v>-1</v>
      </c>
      <c r="O407" s="153">
        <f ca="1">VLOOKUP($AB$2,'RF Mod'!$A$2:$G$12,5,FALSE)+VLOOKUP($AD$2,'RF Mod'!$I$2:$O$11,5,FALSE)+(TRUNC(6+(24-6)*(TRUNC(MOD(($Z407*1103515245 +12345)/ 65536, 32768),0)/32768),0))</f>
        <v>12</v>
      </c>
      <c r="P407" s="16" t="e">
        <f t="shared" ca="1" si="21"/>
        <v>#NAME?</v>
      </c>
      <c r="Q407" s="153">
        <f ca="1">VLOOKUP($AB$2,'RF Mod'!$A$2:$G$12,6,FALSE)+VLOOKUP($AD$2,'RF Mod'!$I$2:$O$11,6,FALSE)+(TRUNC(6+(24-6)*(TRUNC(MOD(($Z407*1103515245 +12345)/ 65536, 32768),0)/32768),0))</f>
        <v>10</v>
      </c>
      <c r="R407" s="16" t="e">
        <f t="shared" ca="1" si="22"/>
        <v>#NAME?</v>
      </c>
      <c r="S407" s="154">
        <f t="shared" ca="1" si="28"/>
        <v>14</v>
      </c>
      <c r="T407" s="154">
        <f t="shared" ca="1" si="23"/>
        <v>11</v>
      </c>
      <c r="U407" s="16" t="str">
        <f t="shared" ca="1" si="24"/>
        <v>Bloody</v>
      </c>
      <c r="V407" s="155">
        <f ca="1">IFERROR(__xludf.DUMMYFUNCTION("if(W407=""Middle Age"",QUERY(NPCVar!$K$2:$N1000, ""Select L where K = '""&amp;AB407&amp;""'""),if(W407=""Old"",QUERY(NPCVar!$K$2:$N1000, ""Select M where K = '""&amp;AB407&amp;""'""),if(W407=""Venerable"",QUERY(NPCVar!$K$2:$N1000, ""Select N where K = '""&amp;AB407&amp;""'""),fa"&amp;"lse)))*X407"),135)</f>
        <v>135</v>
      </c>
      <c r="W407" s="156" t="str">
        <f t="array" ref="W407">INDEX(NPCAgeType,TRUNC(1+(4-1)*(TRUNC(MOD((X407*1103515245 +12345)/ 65536, 32768),0)/32768),0))</f>
        <v>Old</v>
      </c>
      <c r="X407" s="117">
        <f t="shared" si="29"/>
        <v>0.8</v>
      </c>
      <c r="Y407" s="157" t="e">
        <f t="array" aca="1" ref="Y407" ca="1">LOOKUP(ABS(MAX(Z407 + MIN(ABS(INDIRECT("Class Jobs!B"&amp;MATCH(E407,'Class Jobs'!$A$1:$A1000,0)&amp;":"&amp;"AF"&amp;MATCH(E407,'Class Jobs'!$A$1:$A1000,0)&amp;"")-$Z407)) * SUM(IF(MIN(ABS(INDIRECT("Class Jobs!B"&amp;MATCH(E407,'Class Jobs'!$A$1:$A1000,0)&amp;":"&amp;"AF"&amp;MATCH(E407,'Class Jobs'!$A$1:$A1000,0)&amp;"")-$Z407))=ABS(INDIRECT("Class Jobs!B"&amp;MATCH(E407,'Class Jobs'!$A$1:$A1000,0)&amp;":"&amp;"AF"&amp;MATCH(E407,'Class Jobs'!$A$1:$A1000,0)&amp;"")-$Z407),SIGN(INDIRECT("Class Jobs!B"&amp;MATCH(E407,'Class Jobs'!$A$1:A1000,0)&amp;":"&amp;"AF"&amp;MATCH(E407,'Class Jobs'!$A$1:$A1000,0)&amp;"")-$Z407),0)),0)),INDIRECT("Class Jobs!B"&amp;MATCH(E407,'Class Jobs'!$A$1:$A1000,0)&amp;":"&amp;"AF"&amp;MATCH(E407,'Class Jobs'!$A$1:$A1000,1)&amp;""),'Class Jobs'!$B$1:$AF$1)</f>
        <v>#REF!</v>
      </c>
      <c r="Z407" s="158">
        <f t="shared" si="25"/>
        <v>0.32</v>
      </c>
      <c r="AA407" s="16" t="str">
        <f t="array" ref="AA407">INDEX(NPCGender,TRUNC(1+(COUNTA(NPCGender))*(TRUNC(MOD(($B407*1103515245 +12345)/ 65536, 32768),0)/32768),0))</f>
        <v>Male</v>
      </c>
      <c r="AB407" s="16" t="str">
        <f t="array" ref="AB407">INDEX(NPCRace,TRUNC(1+(COUNTA(NPCRace))*(TRUNC(MOD(($B407*1103515245 +12345)/ 65536, 32768),0)/32768),0))</f>
        <v>Gnome</v>
      </c>
      <c r="AC407" s="16" t="str">
        <f t="array" ref="AC407">INDEX(NPCAL,TRUNC(1+(COUNTA(NPCAL))*(TRUNC(MOD(($B407*1103515245 +12345)/ 65536, 32768),0)/32768),0))</f>
        <v>CG</v>
      </c>
      <c r="AD407" s="72" t="str">
        <f ca="1">IFERROR(__xludf.DUMMYFUNCTION("if(V407&lt;15,QUERY(NPCVar!C:D,""Select D WHERE C = '""&amp;D407&amp;""'""),if((TRUNC(1+10)*(TRUNC(MOD((ROW(H407)*1103515245 +12345)/ 65536, 32768),0)/32768)/10) &gt; 0.85,INDEX(NPCFaction,TRUNC(1+(counta(NPCFaction)-1)*(TRUNC(MOD(($B407*1103515245 +12345)/ 65536, 3276"&amp;"8),0)/32768),0)),QUERY(NPCVar!C:D,""Select D WHERE C = '""&amp;D407&amp;""'"")))"),"Magic Guild")</f>
        <v>Magic Guild</v>
      </c>
      <c r="AE407" s="108" t="e">
        <f t="shared" ca="1" si="26"/>
        <v>#NAME?</v>
      </c>
      <c r="AF407" s="159">
        <f ca="1">IFERROR(__xludf.DUMMYFUNCTION("AE407*(V407 / QUERY(NPCVar!$K$2:$N$12, ""Select N WHERE K='""&amp;AB407&amp;""'""))*TRUNC(1+10)*(TRUNC(MOD(($B407*1103515245 +12345)/ 65536, 32768),0)/32768)"),0.414755859374999)</f>
        <v>0.41475585937499898</v>
      </c>
      <c r="AG407" s="16"/>
      <c r="AH407" s="77"/>
      <c r="AI407" s="114"/>
    </row>
    <row r="408" spans="1:35" ht="16.2">
      <c r="A408" s="53">
        <v>407</v>
      </c>
      <c r="B408" s="118">
        <f t="shared" si="31"/>
        <v>2.1056300000000001</v>
      </c>
      <c r="C408" s="72" t="str">
        <f t="array" ref="C408">INDEX(NPCFName,TRUNC(1+(COUNTA(NPCFName))*(TRUNC(MOD(($B408*1103515245 +12345)/ 65536, 32768),0)/32768),0))</f>
        <v>Dritz</v>
      </c>
      <c r="D408" s="16" t="str">
        <f t="array" ref="D408">INDEX(NPCLName,TRUNC(1+(COUNTA(NPCLName))*(TRUNC(MOD(($B408*1103515245 +12345)/ 65536, 32768),0)/32768),0))</f>
        <v>Autumnorb</v>
      </c>
      <c r="E408" s="16" t="str">
        <f t="array" ref="E408">INDEX(NPCClass,TRUNC(1+(COUNTA(NPCClass))*(TRUNC(MOD(($B408*1103515245 +12345)/ 65536, 32768),0)/32768),0))</f>
        <v>Barbarian</v>
      </c>
      <c r="F408" s="76">
        <v>1</v>
      </c>
      <c r="G408" s="153">
        <f ca="1">VLOOKUP($AB$2,'RF Mod'!$A$2:$G$12,2,FALSE)+VLOOKUP($AD$2,'RF Mod'!$I$2:$O$11,2,FALSE)+(TRUNC(6+(24-6)*(TRUNC(MOD(($Z408*1103515245 +12345)/ 65536, 32768),0)/32768),0))</f>
        <v>4</v>
      </c>
      <c r="H408" s="16">
        <f t="shared" ca="1" si="17"/>
        <v>-3</v>
      </c>
      <c r="I408" s="153">
        <f ca="1">VLOOKUP($AB$2,'RF Mod'!$A$2:$G$12,3,FALSE)+VLOOKUP($AD$2,'RF Mod'!$I$2:$O$11,3,FALSE)+(TRUNC(6+(24-6)*(TRUNC(MOD(($Z408*1103515245 +12345)/ 65536, 32768),0)/32768),0))</f>
        <v>8</v>
      </c>
      <c r="J408" s="16">
        <f t="shared" ca="1" si="18"/>
        <v>-1</v>
      </c>
      <c r="K408" s="153">
        <f ca="1">VLOOKUP($AB$2,'RF Mod'!$A$2:$G$12,3,FALSE)+VLOOKUP($AD$2,'RF Mod'!$I$2:$O$11,3,FALSE)+(TRUNC(6+(24-6)*(TRUNC(MOD(($Z408*1103515245 +12345)/ 65536, 32768),0)/32768),0))</f>
        <v>8</v>
      </c>
      <c r="L408" s="16">
        <f t="shared" ca="1" si="19"/>
        <v>-1</v>
      </c>
      <c r="M408" s="153">
        <f ca="1">VLOOKUP($AB$2,'RF Mod'!$A$2:$G$12,4,FALSE)+VLOOKUP($AD$2,'RF Mod'!$I$2:$O$11,4,FALSE)+(TRUNC(6+(24-6)*(TRUNC(MOD(($Z408*1103515245 +12345)/ 65536, 32768),0)/32768),0))</f>
        <v>7</v>
      </c>
      <c r="N408" s="16">
        <f t="shared" ca="1" si="20"/>
        <v>-2</v>
      </c>
      <c r="O408" s="153">
        <f ca="1">VLOOKUP($AB$2,'RF Mod'!$A$2:$G$12,5,FALSE)+VLOOKUP($AD$2,'RF Mod'!$I$2:$O$11,5,FALSE)+(TRUNC(6+(24-6)*(TRUNC(MOD(($Z408*1103515245 +12345)/ 65536, 32768),0)/32768),0))</f>
        <v>10</v>
      </c>
      <c r="P408" s="16" t="e">
        <f t="shared" ca="1" si="21"/>
        <v>#NAME?</v>
      </c>
      <c r="Q408" s="153">
        <f ca="1">VLOOKUP($AB$2,'RF Mod'!$A$2:$G$12,6,FALSE)+VLOOKUP($AD$2,'RF Mod'!$I$2:$O$11,6,FALSE)+(TRUNC(6+(24-6)*(TRUNC(MOD(($Z408*1103515245 +12345)/ 65536, 32768),0)/32768),0))</f>
        <v>8</v>
      </c>
      <c r="R408" s="16">
        <f t="shared" ca="1" si="22"/>
        <v>-1</v>
      </c>
      <c r="S408" s="154">
        <f t="shared" ca="1" si="28"/>
        <v>26</v>
      </c>
      <c r="T408" s="154">
        <f t="shared" ca="1" si="23"/>
        <v>25</v>
      </c>
      <c r="U408" s="16" t="str">
        <f t="shared" ca="1" si="24"/>
        <v>Bloody</v>
      </c>
      <c r="V408" s="155">
        <f ca="1">IFERROR(__xludf.DUMMYFUNCTION("if(W408=""Middle Age"",QUERY(NPCVar!$K$2:$N1000, ""Select L where K = '""&amp;AB408&amp;""'""),if(W408=""Old"",QUERY(NPCVar!$K$2:$N1000, ""Select M where K = '""&amp;AB408&amp;""'""),if(W408=""Venerable"",QUERY(NPCVar!$K$2:$N1000, ""Select N where K = '""&amp;AB408&amp;""'""),fa"&amp;"lse)))*X408"),4)</f>
        <v>4</v>
      </c>
      <c r="W408" s="156" t="str">
        <f t="array" ref="W408">INDEX(NPCAgeType,TRUNC(1+(4-1)*(TRUNC(MOD((X408*1103515245 +12345)/ 65536, 32768),0)/32768),0))</f>
        <v>Middle Age</v>
      </c>
      <c r="X408" s="117">
        <f t="shared" si="29"/>
        <v>0.2</v>
      </c>
      <c r="Y408" s="157" t="e">
        <f t="array" aca="1" ref="Y408" ca="1">LOOKUP(ABS(MAX(Z408 + MIN(ABS(INDIRECT("Class Jobs!B"&amp;MATCH(E408,'Class Jobs'!$A$1:$A1000,0)&amp;":"&amp;"AF"&amp;MATCH(E408,'Class Jobs'!$A$1:$A1000,0)&amp;"")-$Z408)) * SUM(IF(MIN(ABS(INDIRECT("Class Jobs!B"&amp;MATCH(E408,'Class Jobs'!$A$1:$A1000,0)&amp;":"&amp;"AF"&amp;MATCH(E408,'Class Jobs'!$A$1:$A1000,0)&amp;"")-$Z408))=ABS(INDIRECT("Class Jobs!B"&amp;MATCH(E408,'Class Jobs'!$A$1:$A1000,0)&amp;":"&amp;"AF"&amp;MATCH(E408,'Class Jobs'!$A$1:$A1000,0)&amp;"")-$Z408),SIGN(INDIRECT("Class Jobs!B"&amp;MATCH(E408,'Class Jobs'!$A$1:A1000,0)&amp;":"&amp;"AF"&amp;MATCH(E408,'Class Jobs'!$A$1:$A1000,0)&amp;"")-$Z408),0)),0)),INDIRECT("Class Jobs!B"&amp;MATCH(E408,'Class Jobs'!$A$1:$A1000,0)&amp;":"&amp;"AF"&amp;MATCH(E408,'Class Jobs'!$A$1:$A1000,1)&amp;""),'Class Jobs'!$B$1:$AF$1)</f>
        <v>#REF!</v>
      </c>
      <c r="Z408" s="158">
        <f t="shared" si="25"/>
        <v>0.09</v>
      </c>
      <c r="AA408" s="16" t="str">
        <f t="array" ref="AA408">INDEX(NPCGender,TRUNC(1+(COUNTA(NPCGender))*(TRUNC(MOD(($B408*1103515245 +12345)/ 65536, 32768),0)/32768),0))</f>
        <v>Male</v>
      </c>
      <c r="AB408" s="16" t="str">
        <f t="array" ref="AB408">INDEX(NPCRace,TRUNC(1+(COUNTA(NPCRace))*(TRUNC(MOD(($B408*1103515245 +12345)/ 65536, 32768),0)/32768),0))</f>
        <v>Dragonborn</v>
      </c>
      <c r="AC408" s="16" t="str">
        <f t="array" ref="AC408">INDEX(NPCAL,TRUNC(1+(COUNTA(NPCAL))*(TRUNC(MOD(($B408*1103515245 +12345)/ 65536, 32768),0)/32768),0))</f>
        <v>CN</v>
      </c>
      <c r="AD408" s="72" t="str">
        <f ca="1">IFERROR(__xludf.DUMMYFUNCTION("if(V408&lt;15,QUERY(NPCVar!C:D,""Select D WHERE C = '""&amp;D408&amp;""'""),if((TRUNC(1+10)*(TRUNC(MOD((ROW(H408)*1103515245 +12345)/ 65536, 32768),0)/32768)/10) &gt; 0.85,INDEX(NPCFaction,TRUNC(1+(counta(NPCFaction)-1)*(TRUNC(MOD(($B408*1103515245 +12345)/ 65536, 3276"&amp;"8),0)/32768),0)),QUERY(NPCVar!C:D,""Select D WHERE C = '""&amp;D408&amp;""'"")))"),"Royalty")</f>
        <v>Royalty</v>
      </c>
      <c r="AE408" s="108" t="e">
        <f t="shared" ca="1" si="26"/>
        <v>#NAME?</v>
      </c>
      <c r="AF408" s="159">
        <f ca="1">IFERROR(__xludf.DUMMYFUNCTION("AE408*(V408 / QUERY(NPCVar!$K$2:$N$12, ""Select N WHERE K='""&amp;AB408&amp;""'""))*TRUNC(1+10)*(TRUNC(MOD(($B408*1103515245 +12345)/ 65536, 32768),0)/32768)"),-0.00451004028320312)</f>
        <v>-4.5100402832031197E-3</v>
      </c>
      <c r="AG408" s="16"/>
      <c r="AH408" s="77"/>
      <c r="AI408" s="114"/>
    </row>
    <row r="409" spans="1:35" ht="16.2">
      <c r="A409" s="53">
        <v>408</v>
      </c>
      <c r="B409" s="118">
        <f t="shared" si="31"/>
        <v>1.09978</v>
      </c>
      <c r="C409" s="72" t="str">
        <f t="array" ref="C409">INDEX(NPCFName,TRUNC(1+(COUNTA(NPCFName))*(TRUNC(MOD(($B409*1103515245 +12345)/ 65536, 32768),0)/32768),0))</f>
        <v>Puthor</v>
      </c>
      <c r="D409" s="16" t="str">
        <f t="array" ref="D409">INDEX(NPCLName,TRUNC(1+(COUNTA(NPCLName))*(TRUNC(MOD(($B409*1103515245 +12345)/ 65536, 32768),0)/32768),0))</f>
        <v>Plainspirit</v>
      </c>
      <c r="E409" s="16" t="str">
        <f t="array" ref="E409">INDEX(NPCClass,TRUNC(1+(COUNTA(NPCClass))*(TRUNC(MOD(($B409*1103515245 +12345)/ 65536, 32768),0)/32768),0))</f>
        <v>Sorcerer</v>
      </c>
      <c r="F409" s="76">
        <v>8</v>
      </c>
      <c r="G409" s="153">
        <f ca="1">VLOOKUP($AB$2,'RF Mod'!$A$2:$G$12,2,FALSE)+VLOOKUP($AD$2,'RF Mod'!$I$2:$O$11,2,FALSE)+(TRUNC(6+(24-6)*(TRUNC(MOD(($Z409*1103515245 +12345)/ 65536, 32768),0)/32768),0))</f>
        <v>9</v>
      </c>
      <c r="H409" s="16">
        <f t="shared" ca="1" si="17"/>
        <v>-1</v>
      </c>
      <c r="I409" s="153">
        <f ca="1">VLOOKUP($AB$2,'RF Mod'!$A$2:$G$12,3,FALSE)+VLOOKUP($AD$2,'RF Mod'!$I$2:$O$11,3,FALSE)+(TRUNC(6+(24-6)*(TRUNC(MOD(($Z409*1103515245 +12345)/ 65536, 32768),0)/32768),0))</f>
        <v>13</v>
      </c>
      <c r="J409" s="16" t="e">
        <f t="shared" ca="1" si="18"/>
        <v>#NAME?</v>
      </c>
      <c r="K409" s="153">
        <f ca="1">VLOOKUP($AB$2,'RF Mod'!$A$2:$G$12,3,FALSE)+VLOOKUP($AD$2,'RF Mod'!$I$2:$O$11,3,FALSE)+(TRUNC(6+(24-6)*(TRUNC(MOD(($Z409*1103515245 +12345)/ 65536, 32768),0)/32768),0))</f>
        <v>13</v>
      </c>
      <c r="L409" s="16" t="e">
        <f t="shared" ca="1" si="19"/>
        <v>#NAME?</v>
      </c>
      <c r="M409" s="153">
        <f ca="1">VLOOKUP($AB$2,'RF Mod'!$A$2:$G$12,4,FALSE)+VLOOKUP($AD$2,'RF Mod'!$I$2:$O$11,4,FALSE)+(TRUNC(6+(24-6)*(TRUNC(MOD(($Z409*1103515245 +12345)/ 65536, 32768),0)/32768),0))</f>
        <v>12</v>
      </c>
      <c r="N409" s="16" t="e">
        <f t="shared" ca="1" si="20"/>
        <v>#NAME?</v>
      </c>
      <c r="O409" s="153">
        <f ca="1">VLOOKUP($AB$2,'RF Mod'!$A$2:$G$12,5,FALSE)+VLOOKUP($AD$2,'RF Mod'!$I$2:$O$11,5,FALSE)+(TRUNC(6+(24-6)*(TRUNC(MOD(($Z409*1103515245 +12345)/ 65536, 32768),0)/32768),0))</f>
        <v>15</v>
      </c>
      <c r="P409" s="16" t="e">
        <f t="shared" ca="1" si="21"/>
        <v>#NAME?</v>
      </c>
      <c r="Q409" s="153">
        <f ca="1">VLOOKUP($AB$2,'RF Mod'!$A$2:$G$12,6,FALSE)+VLOOKUP($AD$2,'RF Mod'!$I$2:$O$11,6,FALSE)+(TRUNC(6+(24-6)*(TRUNC(MOD(($Z409*1103515245 +12345)/ 65536, 32768),0)/32768),0))</f>
        <v>13</v>
      </c>
      <c r="R409" s="16" t="e">
        <f t="shared" ca="1" si="22"/>
        <v>#NAME?</v>
      </c>
      <c r="S409" s="154">
        <f t="shared" ca="1" si="28"/>
        <v>136</v>
      </c>
      <c r="T409" s="154">
        <f t="shared" ca="1" si="23"/>
        <v>2</v>
      </c>
      <c r="U409" s="16" t="str">
        <f t="shared" ca="1" si="24"/>
        <v>Fine</v>
      </c>
      <c r="V409" s="155">
        <f ca="1">IFERROR(__xludf.DUMMYFUNCTION("if(W409=""Middle Age"",QUERY(NPCVar!$K$2:$N1000, ""Select L where K = '""&amp;AB409&amp;""'""),if(W409=""Old"",QUERY(NPCVar!$K$2:$N1000, ""Select M where K = '""&amp;AB409&amp;""'""),if(W409=""Venerable"",QUERY(NPCVar!$K$2:$N1000, ""Select N where K = '""&amp;AB409&amp;""'""),fa"&amp;"lse)))*X409"),280)</f>
        <v>280</v>
      </c>
      <c r="W409" s="156" t="str">
        <f t="array" ref="W409">INDEX(NPCAgeType,TRUNC(1+(4-1)*(TRUNC(MOD((X409*1103515245 +12345)/ 65536, 32768),0)/32768),0))</f>
        <v>Venerable</v>
      </c>
      <c r="X409" s="117">
        <f t="shared" si="29"/>
        <v>1.4</v>
      </c>
      <c r="Y409" s="157" t="e">
        <f t="array" aca="1" ref="Y409" ca="1">LOOKUP(ABS(MAX(Z409 + MIN(ABS(INDIRECT("Class Jobs!B"&amp;MATCH(E409,'Class Jobs'!$A$1:$A1000,0)&amp;":"&amp;"AF"&amp;MATCH(E409,'Class Jobs'!$A$1:$A1000,0)&amp;"")-$Z409)) * SUM(IF(MIN(ABS(INDIRECT("Class Jobs!B"&amp;MATCH(E409,'Class Jobs'!$A$1:$A1000,0)&amp;":"&amp;"AF"&amp;MATCH(E409,'Class Jobs'!$A$1:$A1000,0)&amp;"")-$Z409))=ABS(INDIRECT("Class Jobs!B"&amp;MATCH(E409,'Class Jobs'!$A$1:$A1000,0)&amp;":"&amp;"AF"&amp;MATCH(E409,'Class Jobs'!$A$1:$A1000,0)&amp;"")-$Z409),SIGN(INDIRECT("Class Jobs!B"&amp;MATCH(E409,'Class Jobs'!$A$1:A1000,0)&amp;":"&amp;"AF"&amp;MATCH(E409,'Class Jobs'!$A$1:$A1000,0)&amp;"")-$Z409),0)),0)),INDIRECT("Class Jobs!B"&amp;MATCH(E409,'Class Jobs'!$A$1:$A1000,0)&amp;":"&amp;"AF"&amp;MATCH(E409,'Class Jobs'!$A$1:$A1000,1)&amp;""),'Class Jobs'!$B$1:$AF$1)</f>
        <v>#REF!</v>
      </c>
      <c r="Z409" s="158">
        <f t="shared" si="25"/>
        <v>0.56000000000000005</v>
      </c>
      <c r="AA409" s="16" t="str">
        <f t="array" ref="AA409">INDEX(NPCGender,TRUNC(1+(COUNTA(NPCGender))*(TRUNC(MOD(($B409*1103515245 +12345)/ 65536, 32768),0)/32768),0))</f>
        <v>Female</v>
      </c>
      <c r="AB409" s="16" t="str">
        <f t="array" ref="AB409">INDEX(NPCRace,TRUNC(1+(COUNTA(NPCRace))*(TRUNC(MOD(($B409*1103515245 +12345)/ 65536, 32768),0)/32768),0))</f>
        <v>Halfling</v>
      </c>
      <c r="AC409" s="16" t="str">
        <f t="array" ref="AC409">INDEX(NPCAL,TRUNC(1+(COUNTA(NPCAL))*(TRUNC(MOD(($B409*1103515245 +12345)/ 65536, 32768),0)/32768),0))</f>
        <v>NE</v>
      </c>
      <c r="AD409" s="72" t="str">
        <f ca="1">IFERROR(__xludf.DUMMYFUNCTION("if(V409&lt;15,QUERY(NPCVar!C:D,""Select D WHERE C = '""&amp;D409&amp;""'""),if((TRUNC(1+10)*(TRUNC(MOD((ROW(H409)*1103515245 +12345)/ 65536, 32768),0)/32768)/10) &gt; 0.85,INDEX(NPCFaction,TRUNC(1+(counta(NPCFaction)-1)*(TRUNC(MOD(($B409*1103515245 +12345)/ 65536, 3276"&amp;"8),0)/32768),0)),QUERY(NPCVar!C:D,""Select D WHERE C = '""&amp;D409&amp;""'"")))"),"Traders Guild")</f>
        <v>Traders Guild</v>
      </c>
      <c r="AE409" s="108" t="e">
        <f t="shared" ca="1" si="26"/>
        <v>#NAME?</v>
      </c>
      <c r="AF409" s="159">
        <f ca="1">IFERROR(__xludf.DUMMYFUNCTION("AE409*(V409 / QUERY(NPCVar!$K$2:$N$12, ""Select N WHERE K='""&amp;AB409&amp;""'""))*TRUNC(1+10)*(TRUNC(MOD(($B409*1103515245 +12345)/ 65536, 32768),0)/32768)"),6.09204223632812)</f>
        <v>6.0920422363281199</v>
      </c>
      <c r="AG409" s="16"/>
      <c r="AH409" s="77"/>
      <c r="AI409" s="114"/>
    </row>
    <row r="410" spans="1:35" ht="16.2">
      <c r="A410" s="53">
        <v>409</v>
      </c>
      <c r="B410" s="118">
        <f t="shared" si="31"/>
        <v>9.3920000000000003E-2</v>
      </c>
      <c r="C410" s="72" t="str">
        <f t="array" ref="C410">INDEX(NPCFName,TRUNC(1+(COUNTA(NPCFName))*(TRUNC(MOD(($B410*1103515245 +12345)/ 65536, 32768),0)/32768),0))</f>
        <v>Celorn</v>
      </c>
      <c r="D410" s="16" t="str">
        <f t="array" ref="D410">INDEX(NPCLName,TRUNC(1+(COUNTA(NPCLName))*(TRUNC(MOD(($B410*1103515245 +12345)/ 65536, 32768),0)/32768),0))</f>
        <v>Crystalgazer</v>
      </c>
      <c r="E410" s="16" t="str">
        <f t="array" ref="E410">INDEX(NPCClass,TRUNC(1+(COUNTA(NPCClass))*(TRUNC(MOD(($B410*1103515245 +12345)/ 65536, 32768),0)/32768),0))</f>
        <v>Barbarian</v>
      </c>
      <c r="F410" s="76">
        <v>1</v>
      </c>
      <c r="G410" s="153">
        <f ca="1">VLOOKUP($AB$2,'RF Mod'!$A$2:$G$12,2,FALSE)+VLOOKUP($AD$2,'RF Mod'!$I$2:$O$11,2,FALSE)+(TRUNC(6+(24-6)*(TRUNC(MOD(($Z410*1103515245 +12345)/ 65536, 32768),0)/32768),0))</f>
        <v>4</v>
      </c>
      <c r="H410" s="16">
        <f t="shared" ca="1" si="17"/>
        <v>-3</v>
      </c>
      <c r="I410" s="153">
        <f ca="1">VLOOKUP($AB$2,'RF Mod'!$A$2:$G$12,3,FALSE)+VLOOKUP($AD$2,'RF Mod'!$I$2:$O$11,3,FALSE)+(TRUNC(6+(24-6)*(TRUNC(MOD(($Z410*1103515245 +12345)/ 65536, 32768),0)/32768),0))</f>
        <v>8</v>
      </c>
      <c r="J410" s="16">
        <f t="shared" ca="1" si="18"/>
        <v>-1</v>
      </c>
      <c r="K410" s="153">
        <f ca="1">VLOOKUP($AB$2,'RF Mod'!$A$2:$G$12,3,FALSE)+VLOOKUP($AD$2,'RF Mod'!$I$2:$O$11,3,FALSE)+(TRUNC(6+(24-6)*(TRUNC(MOD(($Z410*1103515245 +12345)/ 65536, 32768),0)/32768),0))</f>
        <v>8</v>
      </c>
      <c r="L410" s="16">
        <f t="shared" ca="1" si="19"/>
        <v>-1</v>
      </c>
      <c r="M410" s="153">
        <f ca="1">VLOOKUP($AB$2,'RF Mod'!$A$2:$G$12,4,FALSE)+VLOOKUP($AD$2,'RF Mod'!$I$2:$O$11,4,FALSE)+(TRUNC(6+(24-6)*(TRUNC(MOD(($Z410*1103515245 +12345)/ 65536, 32768),0)/32768),0))</f>
        <v>7</v>
      </c>
      <c r="N410" s="16">
        <f t="shared" ca="1" si="20"/>
        <v>-2</v>
      </c>
      <c r="O410" s="153">
        <f ca="1">VLOOKUP($AB$2,'RF Mod'!$A$2:$G$12,5,FALSE)+VLOOKUP($AD$2,'RF Mod'!$I$2:$O$11,5,FALSE)+(TRUNC(6+(24-6)*(TRUNC(MOD(($Z410*1103515245 +12345)/ 65536, 32768),0)/32768),0))</f>
        <v>10</v>
      </c>
      <c r="P410" s="16" t="e">
        <f t="shared" ca="1" si="21"/>
        <v>#NAME?</v>
      </c>
      <c r="Q410" s="153">
        <f ca="1">VLOOKUP($AB$2,'RF Mod'!$A$2:$G$12,6,FALSE)+VLOOKUP($AD$2,'RF Mod'!$I$2:$O$11,6,FALSE)+(TRUNC(6+(24-6)*(TRUNC(MOD(($Z410*1103515245 +12345)/ 65536, 32768),0)/32768),0))</f>
        <v>8</v>
      </c>
      <c r="R410" s="16">
        <f t="shared" ca="1" si="22"/>
        <v>-1</v>
      </c>
      <c r="S410" s="154">
        <f t="shared" ca="1" si="28"/>
        <v>26</v>
      </c>
      <c r="T410" s="154">
        <f t="shared" ca="1" si="23"/>
        <v>7</v>
      </c>
      <c r="U410" s="16" t="str">
        <f t="shared" ca="1" si="24"/>
        <v>Fine</v>
      </c>
      <c r="V410" s="155">
        <f ca="1">IFERROR(__xludf.DUMMYFUNCTION("if(W410=""Middle Age"",QUERY(NPCVar!$K$2:$N1000, ""Select L where K = '""&amp;AB410&amp;""'""),if(W410=""Old"",QUERY(NPCVar!$K$2:$N1000, ""Select M where K = '""&amp;AB410&amp;""'""),if(W410=""Venerable"",QUERY(NPCVar!$K$2:$N1000, ""Select N where K = '""&amp;AB410&amp;""'""),fa"&amp;"lse)))*X410"),4)</f>
        <v>4</v>
      </c>
      <c r="W410" s="156" t="str">
        <f t="array" ref="W410">INDEX(NPCAgeType,TRUNC(1+(4-1)*(TRUNC(MOD((X410*1103515245 +12345)/ 65536, 32768),0)/32768),0))</f>
        <v>Middle Age</v>
      </c>
      <c r="X410" s="117">
        <f t="shared" si="29"/>
        <v>0.2</v>
      </c>
      <c r="Y410" s="157" t="e">
        <f t="array" aca="1" ref="Y410" ca="1">LOOKUP(ABS(MAX(Z410 + MIN(ABS(INDIRECT("Class Jobs!B"&amp;MATCH(E410,'Class Jobs'!$A$1:$A1000,0)&amp;":"&amp;"AF"&amp;MATCH(E410,'Class Jobs'!$A$1:$A1000,0)&amp;"")-$Z410)) * SUM(IF(MIN(ABS(INDIRECT("Class Jobs!B"&amp;MATCH(E410,'Class Jobs'!$A$1:$A1000,0)&amp;":"&amp;"AF"&amp;MATCH(E410,'Class Jobs'!$A$1:$A1000,0)&amp;"")-$Z410))=ABS(INDIRECT("Class Jobs!B"&amp;MATCH(E410,'Class Jobs'!$A$1:$A1000,0)&amp;":"&amp;"AF"&amp;MATCH(E410,'Class Jobs'!$A$1:$A1000,0)&amp;"")-$Z410),SIGN(INDIRECT("Class Jobs!B"&amp;MATCH(E410,'Class Jobs'!$A$1:A1000,0)&amp;":"&amp;"AF"&amp;MATCH(E410,'Class Jobs'!$A$1:$A1000,0)&amp;"")-$Z410),0)),0)),INDIRECT("Class Jobs!B"&amp;MATCH(E410,'Class Jobs'!$A$1:$A1000,0)&amp;":"&amp;"AF"&amp;MATCH(E410,'Class Jobs'!$A$1:$A1000,1)&amp;""),'Class Jobs'!$B$1:$AF$1)</f>
        <v>#REF!</v>
      </c>
      <c r="Z410" s="158">
        <f t="shared" si="25"/>
        <v>0.05</v>
      </c>
      <c r="AA410" s="16" t="str">
        <f t="array" ref="AA410">INDEX(NPCGender,TRUNC(1+(COUNTA(NPCGender))*(TRUNC(MOD(($B410*1103515245 +12345)/ 65536, 32768),0)/32768),0))</f>
        <v>Male</v>
      </c>
      <c r="AB410" s="16" t="str">
        <f t="array" ref="AB410">INDEX(NPCRace,TRUNC(1+(COUNTA(NPCRace))*(TRUNC(MOD(($B410*1103515245 +12345)/ 65536, 32768),0)/32768),0))</f>
        <v>Dragonborn</v>
      </c>
      <c r="AC410" s="16" t="str">
        <f t="array" ref="AC410">INDEX(NPCAL,TRUNC(1+(COUNTA(NPCAL))*(TRUNC(MOD(($B410*1103515245 +12345)/ 65536, 32768),0)/32768),0))</f>
        <v>CN</v>
      </c>
      <c r="AD410" s="72" t="str">
        <f ca="1">IFERROR(__xludf.DUMMYFUNCTION("if(V410&lt;15,QUERY(NPCVar!C:D,""Select D WHERE C = '""&amp;D410&amp;""'""),if((TRUNC(1+10)*(TRUNC(MOD((ROW(H410)*1103515245 +12345)/ 65536, 32768),0)/32768)/10) &gt; 0.85,INDEX(NPCFaction,TRUNC(1+(counta(NPCFaction)-1)*(TRUNC(MOD(($B410*1103515245 +12345)/ 65536, 3276"&amp;"8),0)/32768),0)),QUERY(NPCVar!C:D,""Select D WHERE C = '""&amp;D410&amp;""'"")))"),"Death Guild")</f>
        <v>Death Guild</v>
      </c>
      <c r="AE410" s="108" t="e">
        <f t="shared" ca="1" si="26"/>
        <v>#NAME?</v>
      </c>
      <c r="AF410" s="159">
        <f ca="1">IFERROR(__xludf.DUMMYFUNCTION("AE410*(V410 / QUERY(NPCVar!$K$2:$N$12, ""Select N WHERE K='""&amp;AB410&amp;""'""))*TRUNC(1+10)*(TRUNC(MOD(($B410*1103515245 +12345)/ 65536, 32768),0)/32768)"),-0.00265365600585937)</f>
        <v>-2.6536560058593702E-3</v>
      </c>
      <c r="AG410" s="16"/>
      <c r="AH410" s="77"/>
      <c r="AI410" s="114"/>
    </row>
    <row r="411" spans="1:35" ht="16.2">
      <c r="A411" s="53">
        <v>410</v>
      </c>
      <c r="B411" s="118">
        <f t="shared" si="31"/>
        <v>1.5879799999999999</v>
      </c>
      <c r="C411" s="72" t="str">
        <f t="array" ref="C411">INDEX(NPCFName,TRUNC(1+(COUNTA(NPCFName))*(TRUNC(MOD(($B411*1103515245 +12345)/ 65536, 32768),0)/32768),0))</f>
        <v>Jaython</v>
      </c>
      <c r="D411" s="16" t="str">
        <f t="array" ref="D411">INDEX(NPCLName,TRUNC(1+(COUNTA(NPCLName))*(TRUNC(MOD(($B411*1103515245 +12345)/ 65536, 32768),0)/32768),0))</f>
        <v>Deepcrest</v>
      </c>
      <c r="E411" s="16" t="str">
        <f t="array" ref="E411">INDEX(NPCClass,TRUNC(1+(COUNTA(NPCClass))*(TRUNC(MOD(($B411*1103515245 +12345)/ 65536, 32768),0)/32768),0))</f>
        <v>Cleric</v>
      </c>
      <c r="F411" s="76">
        <v>8</v>
      </c>
      <c r="G411" s="153">
        <f ca="1">VLOOKUP($AB$2,'RF Mod'!$A$2:$G$12,2,FALSE)+VLOOKUP($AD$2,'RF Mod'!$I$2:$O$11,2,FALSE)+(TRUNC(6+(24-6)*(TRUNC(MOD(($Z411*1103515245 +12345)/ 65536, 32768),0)/32768),0))</f>
        <v>11</v>
      </c>
      <c r="H411" s="16" t="e">
        <f t="shared" ca="1" si="17"/>
        <v>#NAME?</v>
      </c>
      <c r="I411" s="153">
        <f ca="1">VLOOKUP($AB$2,'RF Mod'!$A$2:$G$12,3,FALSE)+VLOOKUP($AD$2,'RF Mod'!$I$2:$O$11,3,FALSE)+(TRUNC(6+(24-6)*(TRUNC(MOD(($Z411*1103515245 +12345)/ 65536, 32768),0)/32768),0))</f>
        <v>15</v>
      </c>
      <c r="J411" s="16" t="e">
        <f t="shared" ca="1" si="18"/>
        <v>#NAME?</v>
      </c>
      <c r="K411" s="153">
        <f ca="1">VLOOKUP($AB$2,'RF Mod'!$A$2:$G$12,3,FALSE)+VLOOKUP($AD$2,'RF Mod'!$I$2:$O$11,3,FALSE)+(TRUNC(6+(24-6)*(TRUNC(MOD(($Z411*1103515245 +12345)/ 65536, 32768),0)/32768),0))</f>
        <v>15</v>
      </c>
      <c r="L411" s="16" t="e">
        <f t="shared" ca="1" si="19"/>
        <v>#NAME?</v>
      </c>
      <c r="M411" s="153">
        <f ca="1">VLOOKUP($AB$2,'RF Mod'!$A$2:$G$12,4,FALSE)+VLOOKUP($AD$2,'RF Mod'!$I$2:$O$11,4,FALSE)+(TRUNC(6+(24-6)*(TRUNC(MOD(($Z411*1103515245 +12345)/ 65536, 32768),0)/32768),0))</f>
        <v>14</v>
      </c>
      <c r="N411" s="16" t="e">
        <f t="shared" ca="1" si="20"/>
        <v>#NAME?</v>
      </c>
      <c r="O411" s="153">
        <f ca="1">VLOOKUP($AB$2,'RF Mod'!$A$2:$G$12,5,FALSE)+VLOOKUP($AD$2,'RF Mod'!$I$2:$O$11,5,FALSE)+(TRUNC(6+(24-6)*(TRUNC(MOD(($Z411*1103515245 +12345)/ 65536, 32768),0)/32768),0))</f>
        <v>17</v>
      </c>
      <c r="P411" s="16" t="e">
        <f t="shared" ca="1" si="21"/>
        <v>#NAME?</v>
      </c>
      <c r="Q411" s="153">
        <f ca="1">VLOOKUP($AB$2,'RF Mod'!$A$2:$G$12,6,FALSE)+VLOOKUP($AD$2,'RF Mod'!$I$2:$O$11,6,FALSE)+(TRUNC(6+(24-6)*(TRUNC(MOD(($Z411*1103515245 +12345)/ 65536, 32768),0)/32768),0))</f>
        <v>15</v>
      </c>
      <c r="R411" s="16" t="e">
        <f t="shared" ca="1" si="22"/>
        <v>#NAME?</v>
      </c>
      <c r="S411" s="154">
        <f t="shared" ca="1" si="28"/>
        <v>248</v>
      </c>
      <c r="T411" s="154">
        <f t="shared" ca="1" si="23"/>
        <v>213</v>
      </c>
      <c r="U411" s="16" t="str">
        <f t="shared" ca="1" si="24"/>
        <v>Bloody</v>
      </c>
      <c r="V411" s="155">
        <f ca="1">IFERROR(__xludf.DUMMYFUNCTION("if(W411=""Middle Age"",QUERY(NPCVar!$K$2:$N1000, ""Select L where K = '""&amp;AB411&amp;""'""),if(W411=""Old"",QUERY(NPCVar!$K$2:$N1000, ""Select M where K = '""&amp;AB411&amp;""'""),if(W411=""Venerable"",QUERY(NPCVar!$K$2:$N1000, ""Select N where K = '""&amp;AB411&amp;""'""),fa"&amp;"lse)))*X411"),50)</f>
        <v>50</v>
      </c>
      <c r="W411" s="156" t="str">
        <f t="array" ref="W411">INDEX(NPCAgeType,TRUNC(1+(4-1)*(TRUNC(MOD((X411*1103515245 +12345)/ 65536, 32768),0)/32768),0))</f>
        <v>Middle Age</v>
      </c>
      <c r="X411" s="117">
        <f t="shared" si="29"/>
        <v>2</v>
      </c>
      <c r="Y411" s="157" t="e">
        <f t="array" aca="1" ref="Y411" ca="1">LOOKUP(ABS(MAX(Z411 + MIN(ABS(INDIRECT("Class Jobs!B"&amp;MATCH(E411,'Class Jobs'!$A$1:$A1000,0)&amp;":"&amp;"AF"&amp;MATCH(E411,'Class Jobs'!$A$1:$A1000,0)&amp;"")-$Z411)) * SUM(IF(MIN(ABS(INDIRECT("Class Jobs!B"&amp;MATCH(E411,'Class Jobs'!$A$1:$A1000,0)&amp;":"&amp;"AF"&amp;MATCH(E411,'Class Jobs'!$A$1:$A1000,0)&amp;"")-$Z411))=ABS(INDIRECT("Class Jobs!B"&amp;MATCH(E411,'Class Jobs'!$A$1:$A1000,0)&amp;":"&amp;"AF"&amp;MATCH(E411,'Class Jobs'!$A$1:$A1000,0)&amp;"")-$Z411),SIGN(INDIRECT("Class Jobs!B"&amp;MATCH(E411,'Class Jobs'!$A$1:A1000,0)&amp;":"&amp;"AF"&amp;MATCH(E411,'Class Jobs'!$A$1:$A1000,0)&amp;"")-$Z411),0)),0)),INDIRECT("Class Jobs!B"&amp;MATCH(E411,'Class Jobs'!$A$1:$A1000,0)&amp;":"&amp;"AF"&amp;MATCH(E411,'Class Jobs'!$A$1:$A1000,1)&amp;""),'Class Jobs'!$B$1:$AF$1)</f>
        <v>#REF!</v>
      </c>
      <c r="Z411" s="158">
        <f t="shared" si="25"/>
        <v>0.81</v>
      </c>
      <c r="AA411" s="16" t="str">
        <f t="array" ref="AA411">INDEX(NPCGender,TRUNC(1+(COUNTA(NPCGender))*(TRUNC(MOD(($B411*1103515245 +12345)/ 65536, 32768),0)/32768),0))</f>
        <v>Neutral</v>
      </c>
      <c r="AB411" s="16" t="str">
        <f t="array" ref="AB411">INDEX(NPCRace,TRUNC(1+(COUNTA(NPCRace))*(TRUNC(MOD(($B411*1103515245 +12345)/ 65536, 32768),0)/32768),0))</f>
        <v>Tiefling</v>
      </c>
      <c r="AC411" s="16" t="str">
        <f t="array" ref="AC411">INDEX(NPCAL,TRUNC(1+(COUNTA(NPCAL))*(TRUNC(MOD(($B411*1103515245 +12345)/ 65536, 32768),0)/32768),0))</f>
        <v>LN</v>
      </c>
      <c r="AD411" s="72" t="str">
        <f ca="1">IFERROR(__xludf.DUMMYFUNCTION("if(V411&lt;15,QUERY(NPCVar!C:D,""Select D WHERE C = '""&amp;D411&amp;""'""),if((TRUNC(1+10)*(TRUNC(MOD((ROW(H411)*1103515245 +12345)/ 65536, 32768),0)/32768)/10) &gt; 0.85,INDEX(NPCFaction,TRUNC(1+(counta(NPCFaction)-1)*(TRUNC(MOD(($B411*1103515245 +12345)/ 65536, 3276"&amp;"8),0)/32768),0)),QUERY(NPCVar!C:D,""Select D WHERE C = '""&amp;D411&amp;""'"")))"),"Adventures Guild")</f>
        <v>Adventures Guild</v>
      </c>
      <c r="AE411" s="108" t="e">
        <f t="shared" ca="1" si="26"/>
        <v>#NAME?</v>
      </c>
      <c r="AF411" s="159">
        <f ca="1">IFERROR(__xludf.DUMMYFUNCTION("AE411*(V411 / QUERY(NPCVar!$K$2:$N$12, ""Select N WHERE K='""&amp;AB411&amp;""'""))*TRUNC(1+10)*(TRUNC(MOD(($B411*1103515245 +12345)/ 65536, 32768),0)/32768)"),3.59044189453124)</f>
        <v>3.59044189453124</v>
      </c>
      <c r="AG411" s="16"/>
      <c r="AH411" s="77"/>
      <c r="AI411" s="114"/>
    </row>
    <row r="412" spans="1:35" ht="16.2">
      <c r="A412" s="53">
        <v>411</v>
      </c>
      <c r="B412" s="118">
        <f t="shared" si="31"/>
        <v>0.58213000000000004</v>
      </c>
      <c r="C412" s="72" t="str">
        <f t="array" ref="C412">INDEX(NPCFName,TRUNC(1+(COUNTA(NPCFName))*(TRUNC(MOD(($B412*1103515245 +12345)/ 65536, 32768),0)/32768),0))</f>
        <v>Valynard</v>
      </c>
      <c r="D412" s="16" t="str">
        <f t="array" ref="D412">INDEX(NPCLName,TRUNC(1+(COUNTA(NPCLName))*(TRUNC(MOD(($B412*1103515245 +12345)/ 65536, 32768),0)/32768),0))</f>
        <v>Commonscream</v>
      </c>
      <c r="E412" s="16" t="str">
        <f t="array" ref="E412">INDEX(NPCClass,TRUNC(1+(COUNTA(NPCClass))*(TRUNC(MOD(($B412*1103515245 +12345)/ 65536, 32768),0)/32768),0))</f>
        <v>Monk</v>
      </c>
      <c r="F412" s="76">
        <v>3</v>
      </c>
      <c r="G412" s="153">
        <f ca="1">VLOOKUP($AB$2,'RF Mod'!$A$2:$G$12,2,FALSE)+VLOOKUP($AD$2,'RF Mod'!$I$2:$O$11,2,FALSE)+(TRUNC(6+(24-6)*(TRUNC(MOD(($Z412*1103515245 +12345)/ 65536, 32768),0)/32768),0))</f>
        <v>6</v>
      </c>
      <c r="H412" s="16">
        <f t="shared" ca="1" si="17"/>
        <v>-2</v>
      </c>
      <c r="I412" s="153">
        <f ca="1">VLOOKUP($AB$2,'RF Mod'!$A$2:$G$12,3,FALSE)+VLOOKUP($AD$2,'RF Mod'!$I$2:$O$11,3,FALSE)+(TRUNC(6+(24-6)*(TRUNC(MOD(($Z412*1103515245 +12345)/ 65536, 32768),0)/32768),0))</f>
        <v>10</v>
      </c>
      <c r="J412" s="16" t="e">
        <f t="shared" ca="1" si="18"/>
        <v>#NAME?</v>
      </c>
      <c r="K412" s="153">
        <f ca="1">VLOOKUP($AB$2,'RF Mod'!$A$2:$G$12,3,FALSE)+VLOOKUP($AD$2,'RF Mod'!$I$2:$O$11,3,FALSE)+(TRUNC(6+(24-6)*(TRUNC(MOD(($Z412*1103515245 +12345)/ 65536, 32768),0)/32768),0))</f>
        <v>10</v>
      </c>
      <c r="L412" s="16" t="e">
        <f t="shared" ca="1" si="19"/>
        <v>#NAME?</v>
      </c>
      <c r="M412" s="153">
        <f ca="1">VLOOKUP($AB$2,'RF Mod'!$A$2:$G$12,4,FALSE)+VLOOKUP($AD$2,'RF Mod'!$I$2:$O$11,4,FALSE)+(TRUNC(6+(24-6)*(TRUNC(MOD(($Z412*1103515245 +12345)/ 65536, 32768),0)/32768),0))</f>
        <v>9</v>
      </c>
      <c r="N412" s="16">
        <f t="shared" ca="1" si="20"/>
        <v>-1</v>
      </c>
      <c r="O412" s="153">
        <f ca="1">VLOOKUP($AB$2,'RF Mod'!$A$2:$G$12,5,FALSE)+VLOOKUP($AD$2,'RF Mod'!$I$2:$O$11,5,FALSE)+(TRUNC(6+(24-6)*(TRUNC(MOD(($Z412*1103515245 +12345)/ 65536, 32768),0)/32768),0))</f>
        <v>12</v>
      </c>
      <c r="P412" s="16" t="e">
        <f t="shared" ca="1" si="21"/>
        <v>#NAME?</v>
      </c>
      <c r="Q412" s="153">
        <f ca="1">VLOOKUP($AB$2,'RF Mod'!$A$2:$G$12,6,FALSE)+VLOOKUP($AD$2,'RF Mod'!$I$2:$O$11,6,FALSE)+(TRUNC(6+(24-6)*(TRUNC(MOD(($Z412*1103515245 +12345)/ 65536, 32768),0)/32768),0))</f>
        <v>10</v>
      </c>
      <c r="R412" s="16" t="e">
        <f t="shared" ca="1" si="22"/>
        <v>#NAME?</v>
      </c>
      <c r="S412" s="154">
        <f t="shared" ca="1" si="28"/>
        <v>36</v>
      </c>
      <c r="T412" s="154">
        <f t="shared" ca="1" si="23"/>
        <v>33</v>
      </c>
      <c r="U412" s="16" t="str">
        <f t="shared" ca="1" si="24"/>
        <v>Bloody</v>
      </c>
      <c r="V412" s="155">
        <f ca="1">IFERROR(__xludf.DUMMYFUNCTION("if(W412=""Middle Age"",QUERY(NPCVar!$K$2:$N1000, ""Select L where K = '""&amp;AB412&amp;""'""),if(W412=""Old"",QUERY(NPCVar!$K$2:$N1000, ""Select M where K = '""&amp;AB412&amp;""'""),if(W412=""Venerable"",QUERY(NPCVar!$K$2:$N1000, ""Select N where K = '""&amp;AB412&amp;""'""),fa"&amp;"lse)))*X412"),135)</f>
        <v>135</v>
      </c>
      <c r="W412" s="156" t="str">
        <f t="array" ref="W412">INDEX(NPCAgeType,TRUNC(1+(4-1)*(TRUNC(MOD((X412*1103515245 +12345)/ 65536, 32768),0)/32768),0))</f>
        <v>Old</v>
      </c>
      <c r="X412" s="117">
        <f t="shared" si="29"/>
        <v>0.8</v>
      </c>
      <c r="Y412" s="157" t="e">
        <f t="array" aca="1" ref="Y412" ca="1">LOOKUP(ABS(MAX(Z412 + MIN(ABS(INDIRECT("Class Jobs!B"&amp;MATCH(E412,'Class Jobs'!$A$1:$A1000,0)&amp;":"&amp;"AF"&amp;MATCH(E412,'Class Jobs'!$A$1:$A1000,0)&amp;"")-$Z412)) * SUM(IF(MIN(ABS(INDIRECT("Class Jobs!B"&amp;MATCH(E412,'Class Jobs'!$A$1:$A1000,0)&amp;":"&amp;"AF"&amp;MATCH(E412,'Class Jobs'!$A$1:$A1000,0)&amp;"")-$Z412))=ABS(INDIRECT("Class Jobs!B"&amp;MATCH(E412,'Class Jobs'!$A$1:$A1000,0)&amp;":"&amp;"AF"&amp;MATCH(E412,'Class Jobs'!$A$1:$A1000,0)&amp;"")-$Z412),SIGN(INDIRECT("Class Jobs!B"&amp;MATCH(E412,'Class Jobs'!$A$1:A1000,0)&amp;":"&amp;"AF"&amp;MATCH(E412,'Class Jobs'!$A$1:$A1000,0)&amp;"")-$Z412),0)),0)),INDIRECT("Class Jobs!B"&amp;MATCH(E412,'Class Jobs'!$A$1:$A1000,0)&amp;":"&amp;"AF"&amp;MATCH(E412,'Class Jobs'!$A$1:$A1000,1)&amp;""),'Class Jobs'!$B$1:$AF$1)</f>
        <v>#REF!</v>
      </c>
      <c r="Z412" s="158">
        <f t="shared" si="25"/>
        <v>0.3</v>
      </c>
      <c r="AA412" s="16" t="str">
        <f t="array" ref="AA412">INDEX(NPCGender,TRUNC(1+(COUNTA(NPCGender))*(TRUNC(MOD(($B412*1103515245 +12345)/ 65536, 32768),0)/32768),0))</f>
        <v>Male</v>
      </c>
      <c r="AB412" s="16" t="str">
        <f t="array" ref="AB412">INDEX(NPCRace,TRUNC(1+(COUNTA(NPCRace))*(TRUNC(MOD(($B412*1103515245 +12345)/ 65536, 32768),0)/32768),0))</f>
        <v>Gnome</v>
      </c>
      <c r="AC412" s="16" t="str">
        <f t="array" ref="AC412">INDEX(NPCAL,TRUNC(1+(COUNTA(NPCAL))*(TRUNC(MOD(($B412*1103515245 +12345)/ 65536, 32768),0)/32768),0))</f>
        <v>CG</v>
      </c>
      <c r="AD412" s="72" t="str">
        <f ca="1">IFERROR(__xludf.DUMMYFUNCTION("if(V412&lt;15,QUERY(NPCVar!C:D,""Select D WHERE C = '""&amp;D412&amp;""'""),if((TRUNC(1+10)*(TRUNC(MOD((ROW(H412)*1103515245 +12345)/ 65536, 32768),0)/32768)/10) &gt; 0.85,INDEX(NPCFaction,TRUNC(1+(counta(NPCFaction)-1)*(TRUNC(MOD(($B412*1103515245 +12345)/ 65536, 3276"&amp;"8),0)/32768),0)),QUERY(NPCVar!C:D,""Select D WHERE C = '""&amp;D412&amp;""'"")))"),"Necromancer")</f>
        <v>Necromancer</v>
      </c>
      <c r="AE412" s="108" t="e">
        <f t="shared" ca="1" si="26"/>
        <v>#NAME?</v>
      </c>
      <c r="AF412" s="159">
        <f ca="1">IFERROR(__xludf.DUMMYFUNCTION("AE412*(V412 / QUERY(NPCVar!$K$2:$N$12, ""Select N WHERE K='""&amp;AB412&amp;""'""))*TRUNC(1+10)*(TRUNC(MOD(($B412*1103515245 +12345)/ 65536, 32768),0)/32768)"),0)</f>
        <v>0</v>
      </c>
      <c r="AG412" s="16"/>
      <c r="AH412" s="77"/>
      <c r="AI412" s="114"/>
    </row>
    <row r="413" spans="1:35" ht="16.2">
      <c r="A413" s="53">
        <v>412</v>
      </c>
      <c r="B413" s="118">
        <f t="shared" si="31"/>
        <v>2.07626</v>
      </c>
      <c r="C413" s="72" t="str">
        <f t="array" ref="C413">INDEX(NPCFName,TRUNC(1+(COUNTA(NPCFName))*(TRUNC(MOD(($B413*1103515245 +12345)/ 65536, 32768),0)/32768),0))</f>
        <v>Dalmarn</v>
      </c>
      <c r="D413" s="16" t="str">
        <f t="array" ref="D413">INDEX(NPCLName,TRUNC(1+(COUNTA(NPCLName))*(TRUNC(MOD(($B413*1103515245 +12345)/ 65536, 32768),0)/32768),0))</f>
        <v>Autumnorb</v>
      </c>
      <c r="E413" s="16" t="str">
        <f t="array" ref="E413">INDEX(NPCClass,TRUNC(1+(COUNTA(NPCClass))*(TRUNC(MOD(($B413*1103515245 +12345)/ 65536, 32768),0)/32768),0))</f>
        <v>Barbarian</v>
      </c>
      <c r="F413" s="76">
        <v>1</v>
      </c>
      <c r="G413" s="153">
        <f ca="1">VLOOKUP($AB$2,'RF Mod'!$A$2:$G$12,2,FALSE)+VLOOKUP($AD$2,'RF Mod'!$I$2:$O$11,2,FALSE)+(TRUNC(6+(24-6)*(TRUNC(MOD(($Z413*1103515245 +12345)/ 65536, 32768),0)/32768),0))</f>
        <v>4</v>
      </c>
      <c r="H413" s="16">
        <f t="shared" ca="1" si="17"/>
        <v>-3</v>
      </c>
      <c r="I413" s="153">
        <f ca="1">VLOOKUP($AB$2,'RF Mod'!$A$2:$G$12,3,FALSE)+VLOOKUP($AD$2,'RF Mod'!$I$2:$O$11,3,FALSE)+(TRUNC(6+(24-6)*(TRUNC(MOD(($Z413*1103515245 +12345)/ 65536, 32768),0)/32768),0))</f>
        <v>8</v>
      </c>
      <c r="J413" s="16">
        <f t="shared" ca="1" si="18"/>
        <v>-1</v>
      </c>
      <c r="K413" s="153">
        <f ca="1">VLOOKUP($AB$2,'RF Mod'!$A$2:$G$12,3,FALSE)+VLOOKUP($AD$2,'RF Mod'!$I$2:$O$11,3,FALSE)+(TRUNC(6+(24-6)*(TRUNC(MOD(($Z413*1103515245 +12345)/ 65536, 32768),0)/32768),0))</f>
        <v>8</v>
      </c>
      <c r="L413" s="16">
        <f t="shared" ca="1" si="19"/>
        <v>-1</v>
      </c>
      <c r="M413" s="153">
        <f ca="1">VLOOKUP($AB$2,'RF Mod'!$A$2:$G$12,4,FALSE)+VLOOKUP($AD$2,'RF Mod'!$I$2:$O$11,4,FALSE)+(TRUNC(6+(24-6)*(TRUNC(MOD(($Z413*1103515245 +12345)/ 65536, 32768),0)/32768),0))</f>
        <v>7</v>
      </c>
      <c r="N413" s="16">
        <f t="shared" ca="1" si="20"/>
        <v>-2</v>
      </c>
      <c r="O413" s="153">
        <f ca="1">VLOOKUP($AB$2,'RF Mod'!$A$2:$G$12,5,FALSE)+VLOOKUP($AD$2,'RF Mod'!$I$2:$O$11,5,FALSE)+(TRUNC(6+(24-6)*(TRUNC(MOD(($Z413*1103515245 +12345)/ 65536, 32768),0)/32768),0))</f>
        <v>10</v>
      </c>
      <c r="P413" s="16" t="e">
        <f t="shared" ca="1" si="21"/>
        <v>#NAME?</v>
      </c>
      <c r="Q413" s="153">
        <f ca="1">VLOOKUP($AB$2,'RF Mod'!$A$2:$G$12,6,FALSE)+VLOOKUP($AD$2,'RF Mod'!$I$2:$O$11,6,FALSE)+(TRUNC(6+(24-6)*(TRUNC(MOD(($Z413*1103515245 +12345)/ 65536, 32768),0)/32768),0))</f>
        <v>8</v>
      </c>
      <c r="R413" s="16">
        <f t="shared" ca="1" si="22"/>
        <v>-1</v>
      </c>
      <c r="S413" s="154">
        <f t="shared" ca="1" si="28"/>
        <v>10</v>
      </c>
      <c r="T413" s="154">
        <f t="shared" ca="1" si="23"/>
        <v>10</v>
      </c>
      <c r="U413" s="16" t="str">
        <f t="shared" ca="1" si="24"/>
        <v>Unconscious</v>
      </c>
      <c r="V413" s="155">
        <f ca="1">IFERROR(__xludf.DUMMYFUNCTION("if(W413=""Middle Age"",QUERY(NPCVar!$K$2:$N1000, ""Select L where K = '""&amp;AB413&amp;""'""),if(W413=""Old"",QUERY(NPCVar!$K$2:$N1000, ""Select M where K = '""&amp;AB413&amp;""'""),if(W413=""Venerable"",QUERY(NPCVar!$K$2:$N1000, ""Select N where K = '""&amp;AB413&amp;""'""),fa"&amp;"lse)))*X413"),4)</f>
        <v>4</v>
      </c>
      <c r="W413" s="156" t="str">
        <f t="array" ref="W413">INDEX(NPCAgeType,TRUNC(1+(4-1)*(TRUNC(MOD((X413*1103515245 +12345)/ 65536, 32768),0)/32768),0))</f>
        <v>Middle Age</v>
      </c>
      <c r="X413" s="117">
        <f t="shared" si="29"/>
        <v>0.2</v>
      </c>
      <c r="Y413" s="157" t="e">
        <f t="array" aca="1" ref="Y413" ca="1">LOOKUP(ABS(MAX(Z413 + MIN(ABS(INDIRECT("Class Jobs!B"&amp;MATCH(E413,'Class Jobs'!$A$1:$A1000,0)&amp;":"&amp;"AF"&amp;MATCH(E413,'Class Jobs'!$A$1:$A1000,0)&amp;"")-$Z413)) * SUM(IF(MIN(ABS(INDIRECT("Class Jobs!B"&amp;MATCH(E413,'Class Jobs'!$A$1:$A1000,0)&amp;":"&amp;"AF"&amp;MATCH(E413,'Class Jobs'!$A$1:$A1000,0)&amp;"")-$Z413))=ABS(INDIRECT("Class Jobs!B"&amp;MATCH(E413,'Class Jobs'!$A$1:$A1000,0)&amp;":"&amp;"AF"&amp;MATCH(E413,'Class Jobs'!$A$1:$A1000,0)&amp;"")-$Z413),SIGN(INDIRECT("Class Jobs!B"&amp;MATCH(E413,'Class Jobs'!$A$1:A1000,0)&amp;":"&amp;"AF"&amp;MATCH(E413,'Class Jobs'!$A$1:$A1000,0)&amp;"")-$Z413),0)),0)),INDIRECT("Class Jobs!B"&amp;MATCH(E413,'Class Jobs'!$A$1:$A1000,0)&amp;":"&amp;"AF"&amp;MATCH(E413,'Class Jobs'!$A$1:$A1000,1)&amp;""),'Class Jobs'!$B$1:$AF$1)</f>
        <v>#REF!</v>
      </c>
      <c r="Z413" s="158">
        <f t="shared" si="25"/>
        <v>7.0000000000000007E-2</v>
      </c>
      <c r="AA413" s="16" t="str">
        <f t="array" ref="AA413">INDEX(NPCGender,TRUNC(1+(COUNTA(NPCGender))*(TRUNC(MOD(($B413*1103515245 +12345)/ 65536, 32768),0)/32768),0))</f>
        <v>Male</v>
      </c>
      <c r="AB413" s="16" t="str">
        <f t="array" ref="AB413">INDEX(NPCRace,TRUNC(1+(COUNTA(NPCRace))*(TRUNC(MOD(($B413*1103515245 +12345)/ 65536, 32768),0)/32768),0))</f>
        <v>Dragonborn</v>
      </c>
      <c r="AC413" s="16" t="str">
        <f t="array" ref="AC413">INDEX(NPCAL,TRUNC(1+(COUNTA(NPCAL))*(TRUNC(MOD(($B413*1103515245 +12345)/ 65536, 32768),0)/32768),0))</f>
        <v>CN</v>
      </c>
      <c r="AD413" s="72" t="str">
        <f ca="1">IFERROR(__xludf.DUMMYFUNCTION("if(V413&lt;15,QUERY(NPCVar!C:D,""Select D WHERE C = '""&amp;D413&amp;""'""),if((TRUNC(1+10)*(TRUNC(MOD((ROW(H413)*1103515245 +12345)/ 65536, 32768),0)/32768)/10) &gt; 0.85,INDEX(NPCFaction,TRUNC(1+(counta(NPCFaction)-1)*(TRUNC(MOD(($B413*1103515245 +12345)/ 65536, 3276"&amp;"8),0)/32768),0)),QUERY(NPCVar!C:D,""Select D WHERE C = '""&amp;D413&amp;""'"")))"),"Royalty")</f>
        <v>Royalty</v>
      </c>
      <c r="AE413" s="108" t="e">
        <f t="shared" ca="1" si="26"/>
        <v>#NAME?</v>
      </c>
      <c r="AF413" s="159">
        <f ca="1">IFERROR(__xludf.DUMMYFUNCTION("AE413*(V413 / QUERY(NPCVar!$K$2:$N$12, ""Select N WHERE K='""&amp;AB413&amp;""'""))*TRUNC(1+10)*(TRUNC(MOD(($B413*1103515245 +12345)/ 65536, 32768),0)/32768)"),0.014716796875)</f>
        <v>1.4716796875E-2</v>
      </c>
      <c r="AG413" s="16"/>
      <c r="AH413" s="77"/>
      <c r="AI413" s="114"/>
    </row>
    <row r="414" spans="1:35" ht="16.2">
      <c r="A414" s="53">
        <v>413</v>
      </c>
      <c r="B414" s="118">
        <f t="shared" si="31"/>
        <v>1.0704</v>
      </c>
      <c r="C414" s="72" t="str">
        <f t="array" ref="C414">INDEX(NPCFName,TRUNC(1+(COUNTA(NPCFName))*(TRUNC(MOD(($B414*1103515245 +12345)/ 65536, 32768),0)/32768),0))</f>
        <v>Okar</v>
      </c>
      <c r="D414" s="16" t="str">
        <f t="array" ref="D414">INDEX(NPCLName,TRUNC(1+(COUNTA(NPCLName))*(TRUNC(MOD(($B414*1103515245 +12345)/ 65536, 32768),0)/32768),0))</f>
        <v>Plainspirit</v>
      </c>
      <c r="E414" s="16" t="str">
        <f t="array" ref="E414">INDEX(NPCClass,TRUNC(1+(COUNTA(NPCClass))*(TRUNC(MOD(($B414*1103515245 +12345)/ 65536, 32768),0)/32768),0))</f>
        <v>Sorcerer</v>
      </c>
      <c r="F414" s="76">
        <v>8</v>
      </c>
      <c r="G414" s="153">
        <f ca="1">VLOOKUP($AB$2,'RF Mod'!$A$2:$G$12,2,FALSE)+VLOOKUP($AD$2,'RF Mod'!$I$2:$O$11,2,FALSE)+(TRUNC(6+(24-6)*(TRUNC(MOD(($Z414*1103515245 +12345)/ 65536, 32768),0)/32768),0))</f>
        <v>9</v>
      </c>
      <c r="H414" s="16">
        <f t="shared" ca="1" si="17"/>
        <v>-1</v>
      </c>
      <c r="I414" s="153">
        <f ca="1">VLOOKUP($AB$2,'RF Mod'!$A$2:$G$12,3,FALSE)+VLOOKUP($AD$2,'RF Mod'!$I$2:$O$11,3,FALSE)+(TRUNC(6+(24-6)*(TRUNC(MOD(($Z414*1103515245 +12345)/ 65536, 32768),0)/32768),0))</f>
        <v>13</v>
      </c>
      <c r="J414" s="16" t="e">
        <f t="shared" ca="1" si="18"/>
        <v>#NAME?</v>
      </c>
      <c r="K414" s="153">
        <f ca="1">VLOOKUP($AB$2,'RF Mod'!$A$2:$G$12,3,FALSE)+VLOOKUP($AD$2,'RF Mod'!$I$2:$O$11,3,FALSE)+(TRUNC(6+(24-6)*(TRUNC(MOD(($Z414*1103515245 +12345)/ 65536, 32768),0)/32768),0))</f>
        <v>13</v>
      </c>
      <c r="L414" s="16" t="e">
        <f t="shared" ca="1" si="19"/>
        <v>#NAME?</v>
      </c>
      <c r="M414" s="153">
        <f ca="1">VLOOKUP($AB$2,'RF Mod'!$A$2:$G$12,4,FALSE)+VLOOKUP($AD$2,'RF Mod'!$I$2:$O$11,4,FALSE)+(TRUNC(6+(24-6)*(TRUNC(MOD(($Z414*1103515245 +12345)/ 65536, 32768),0)/32768),0))</f>
        <v>12</v>
      </c>
      <c r="N414" s="16" t="e">
        <f t="shared" ca="1" si="20"/>
        <v>#NAME?</v>
      </c>
      <c r="O414" s="153">
        <f ca="1">VLOOKUP($AB$2,'RF Mod'!$A$2:$G$12,5,FALSE)+VLOOKUP($AD$2,'RF Mod'!$I$2:$O$11,5,FALSE)+(TRUNC(6+(24-6)*(TRUNC(MOD(($Z414*1103515245 +12345)/ 65536, 32768),0)/32768),0))</f>
        <v>15</v>
      </c>
      <c r="P414" s="16" t="e">
        <f t="shared" ca="1" si="21"/>
        <v>#NAME?</v>
      </c>
      <c r="Q414" s="153">
        <f ca="1">VLOOKUP($AB$2,'RF Mod'!$A$2:$G$12,6,FALSE)+VLOOKUP($AD$2,'RF Mod'!$I$2:$O$11,6,FALSE)+(TRUNC(6+(24-6)*(TRUNC(MOD(($Z414*1103515245 +12345)/ 65536, 32768),0)/32768),0))</f>
        <v>13</v>
      </c>
      <c r="R414" s="16" t="e">
        <f t="shared" ca="1" si="22"/>
        <v>#NAME?</v>
      </c>
      <c r="S414" s="154">
        <f t="shared" ca="1" si="28"/>
        <v>216</v>
      </c>
      <c r="T414" s="154">
        <f t="shared" ca="1" si="23"/>
        <v>27</v>
      </c>
      <c r="U414" s="16" t="str">
        <f t="shared" ca="1" si="24"/>
        <v>Fine</v>
      </c>
      <c r="V414" s="155">
        <f ca="1">IFERROR(__xludf.DUMMYFUNCTION("if(W414=""Middle Age"",QUERY(NPCVar!$K$2:$N1000, ""Select L where K = '""&amp;AB414&amp;""'""),if(W414=""Old"",QUERY(NPCVar!$K$2:$N1000, ""Select M where K = '""&amp;AB414&amp;""'""),if(W414=""Venerable"",QUERY(NPCVar!$K$2:$N1000, ""Select N where K = '""&amp;AB414&amp;""'""),fa"&amp;"lse)))*X414"),280)</f>
        <v>280</v>
      </c>
      <c r="W414" s="156" t="str">
        <f t="array" ref="W414">INDEX(NPCAgeType,TRUNC(1+(4-1)*(TRUNC(MOD((X414*1103515245 +12345)/ 65536, 32768),0)/32768),0))</f>
        <v>Venerable</v>
      </c>
      <c r="X414" s="117">
        <f t="shared" si="29"/>
        <v>1.4</v>
      </c>
      <c r="Y414" s="157" t="e">
        <f t="array" aca="1" ref="Y414" ca="1">LOOKUP(ABS(MAX(Z414 + MIN(ABS(INDIRECT("Class Jobs!B"&amp;MATCH(E414,'Class Jobs'!$A$1:$A1000,0)&amp;":"&amp;"AF"&amp;MATCH(E414,'Class Jobs'!$A$1:$A1000,0)&amp;"")-$Z414)) * SUM(IF(MIN(ABS(INDIRECT("Class Jobs!B"&amp;MATCH(E414,'Class Jobs'!$A$1:$A1000,0)&amp;":"&amp;"AF"&amp;MATCH(E414,'Class Jobs'!$A$1:$A1000,0)&amp;"")-$Z414))=ABS(INDIRECT("Class Jobs!B"&amp;MATCH(E414,'Class Jobs'!$A$1:$A1000,0)&amp;":"&amp;"AF"&amp;MATCH(E414,'Class Jobs'!$A$1:$A1000,0)&amp;"")-$Z414),SIGN(INDIRECT("Class Jobs!B"&amp;MATCH(E414,'Class Jobs'!$A$1:A1000,0)&amp;":"&amp;"AF"&amp;MATCH(E414,'Class Jobs'!$A$1:$A1000,0)&amp;"")-$Z414),0)),0)),INDIRECT("Class Jobs!B"&amp;MATCH(E414,'Class Jobs'!$A$1:$A1000,0)&amp;":"&amp;"AF"&amp;MATCH(E414,'Class Jobs'!$A$1:$A1000,1)&amp;""),'Class Jobs'!$B$1:$AF$1)</f>
        <v>#REF!</v>
      </c>
      <c r="Z414" s="158">
        <f t="shared" si="25"/>
        <v>0.55000000000000004</v>
      </c>
      <c r="AA414" s="16" t="str">
        <f t="array" ref="AA414">INDEX(NPCGender,TRUNC(1+(COUNTA(NPCGender))*(TRUNC(MOD(($B414*1103515245 +12345)/ 65536, 32768),0)/32768),0))</f>
        <v>Female</v>
      </c>
      <c r="AB414" s="16" t="str">
        <f t="array" ref="AB414">INDEX(NPCRace,TRUNC(1+(COUNTA(NPCRace))*(TRUNC(MOD(($B414*1103515245 +12345)/ 65536, 32768),0)/32768),0))</f>
        <v>Halfling</v>
      </c>
      <c r="AC414" s="16" t="str">
        <f t="array" ref="AC414">INDEX(NPCAL,TRUNC(1+(COUNTA(NPCAL))*(TRUNC(MOD(($B414*1103515245 +12345)/ 65536, 32768),0)/32768),0))</f>
        <v>NN</v>
      </c>
      <c r="AD414" s="72" t="str">
        <f ca="1">IFERROR(__xludf.DUMMYFUNCTION("if(V414&lt;15,QUERY(NPCVar!C:D,""Select D WHERE C = '""&amp;D414&amp;""'""),if((TRUNC(1+10)*(TRUNC(MOD((ROW(H414)*1103515245 +12345)/ 65536, 32768),0)/32768)/10) &gt; 0.85,INDEX(NPCFaction,TRUNC(1+(counta(NPCFaction)-1)*(TRUNC(MOD(($B414*1103515245 +12345)/ 65536, 3276"&amp;"8),0)/32768),0)),QUERY(NPCVar!C:D,""Select D WHERE C = '""&amp;D414&amp;""'"")))"),"Traders Guild")</f>
        <v>Traders Guild</v>
      </c>
      <c r="AE414" s="108" t="e">
        <f t="shared" ca="1" si="26"/>
        <v>#NAME?</v>
      </c>
      <c r="AF414" s="159">
        <f ca="1">IFERROR(__xludf.DUMMYFUNCTION("AE414*(V414 / QUERY(NPCVar!$K$2:$N$12, ""Select N WHERE K='""&amp;AB414&amp;""'""))*TRUNC(1+10)*(TRUNC(MOD(($B414*1103515245 +12345)/ 65536, 32768),0)/32768)"),3.38811279296875)</f>
        <v>3.3881127929687498</v>
      </c>
      <c r="AG414" s="16"/>
      <c r="AH414" s="77"/>
      <c r="AI414" s="114"/>
    </row>
    <row r="415" spans="1:35" ht="16.2">
      <c r="A415" s="53">
        <v>414</v>
      </c>
      <c r="B415" s="118">
        <f t="shared" si="31"/>
        <v>6.4549999999999996E-2</v>
      </c>
      <c r="C415" s="72" t="str">
        <f t="array" ref="C415">INDEX(NPCFName,TRUNC(1+(COUNTA(NPCFName))*(TRUNC(MOD(($B415*1103515245 +12345)/ 65536, 32768),0)/32768),0))</f>
        <v>Biston</v>
      </c>
      <c r="D415" s="16" t="str">
        <f t="array" ref="D415">INDEX(NPCLName,TRUNC(1+(COUNTA(NPCLName))*(TRUNC(MOD(($B415*1103515245 +12345)/ 65536, 32768),0)/32768),0))</f>
        <v>Stagfang</v>
      </c>
      <c r="E415" s="16" t="str">
        <f t="array" ref="E415">INDEX(NPCClass,TRUNC(1+(COUNTA(NPCClass))*(TRUNC(MOD(($B415*1103515245 +12345)/ 65536, 32768),0)/32768),0))</f>
        <v>Barbarian</v>
      </c>
      <c r="F415" s="76">
        <v>1</v>
      </c>
      <c r="G415" s="153">
        <f ca="1">VLOOKUP($AB$2,'RF Mod'!$A$2:$G$12,2,FALSE)+VLOOKUP($AD$2,'RF Mod'!$I$2:$O$11,2,FALSE)+(TRUNC(6+(24-6)*(TRUNC(MOD(($Z415*1103515245 +12345)/ 65536, 32768),0)/32768),0))</f>
        <v>4</v>
      </c>
      <c r="H415" s="16">
        <f t="shared" ca="1" si="17"/>
        <v>-3</v>
      </c>
      <c r="I415" s="153">
        <f ca="1">VLOOKUP($AB$2,'RF Mod'!$A$2:$G$12,3,FALSE)+VLOOKUP($AD$2,'RF Mod'!$I$2:$O$11,3,FALSE)+(TRUNC(6+(24-6)*(TRUNC(MOD(($Z415*1103515245 +12345)/ 65536, 32768),0)/32768),0))</f>
        <v>8</v>
      </c>
      <c r="J415" s="16">
        <f t="shared" ca="1" si="18"/>
        <v>-1</v>
      </c>
      <c r="K415" s="153">
        <f ca="1">VLOOKUP($AB$2,'RF Mod'!$A$2:$G$12,3,FALSE)+VLOOKUP($AD$2,'RF Mod'!$I$2:$O$11,3,FALSE)+(TRUNC(6+(24-6)*(TRUNC(MOD(($Z415*1103515245 +12345)/ 65536, 32768),0)/32768),0))</f>
        <v>8</v>
      </c>
      <c r="L415" s="16">
        <f t="shared" ca="1" si="19"/>
        <v>-1</v>
      </c>
      <c r="M415" s="153">
        <f ca="1">VLOOKUP($AB$2,'RF Mod'!$A$2:$G$12,4,FALSE)+VLOOKUP($AD$2,'RF Mod'!$I$2:$O$11,4,FALSE)+(TRUNC(6+(24-6)*(TRUNC(MOD(($Z415*1103515245 +12345)/ 65536, 32768),0)/32768),0))</f>
        <v>7</v>
      </c>
      <c r="N415" s="16">
        <f t="shared" ca="1" si="20"/>
        <v>-2</v>
      </c>
      <c r="O415" s="153">
        <f ca="1">VLOOKUP($AB$2,'RF Mod'!$A$2:$G$12,5,FALSE)+VLOOKUP($AD$2,'RF Mod'!$I$2:$O$11,5,FALSE)+(TRUNC(6+(24-6)*(TRUNC(MOD(($Z415*1103515245 +12345)/ 65536, 32768),0)/32768),0))</f>
        <v>10</v>
      </c>
      <c r="P415" s="16" t="e">
        <f t="shared" ca="1" si="21"/>
        <v>#NAME?</v>
      </c>
      <c r="Q415" s="153">
        <f ca="1">VLOOKUP($AB$2,'RF Mod'!$A$2:$G$12,6,FALSE)+VLOOKUP($AD$2,'RF Mod'!$I$2:$O$11,6,FALSE)+(TRUNC(6+(24-6)*(TRUNC(MOD(($Z415*1103515245 +12345)/ 65536, 32768),0)/32768),0))</f>
        <v>8</v>
      </c>
      <c r="R415" s="16">
        <f t="shared" ca="1" si="22"/>
        <v>-1</v>
      </c>
      <c r="S415" s="154">
        <f t="shared" ca="1" si="28"/>
        <v>10</v>
      </c>
      <c r="T415" s="154">
        <f t="shared" ca="1" si="23"/>
        <v>10</v>
      </c>
      <c r="U415" s="16" t="str">
        <f t="shared" ca="1" si="24"/>
        <v>Unconscious</v>
      </c>
      <c r="V415" s="155">
        <f ca="1">IFERROR(__xludf.DUMMYFUNCTION("if(W415=""Middle Age"",QUERY(NPCVar!$K$2:$N1000, ""Select L where K = '""&amp;AB415&amp;""'""),if(W415=""Old"",QUERY(NPCVar!$K$2:$N1000, ""Select M where K = '""&amp;AB415&amp;""'""),if(W415=""Venerable"",QUERY(NPCVar!$K$2:$N1000, ""Select N where K = '""&amp;AB415&amp;""'""),fa"&amp;"lse)))*X415"),2)</f>
        <v>2</v>
      </c>
      <c r="W415" s="156" t="str">
        <f t="array" ref="W415">INDEX(NPCAgeType,TRUNC(1+(4-1)*(TRUNC(MOD((X415*1103515245 +12345)/ 65536, 32768),0)/32768),0))</f>
        <v>Middle Age</v>
      </c>
      <c r="X415" s="117">
        <f t="shared" si="29"/>
        <v>0.1</v>
      </c>
      <c r="Y415" s="157" t="e">
        <f t="array" aca="1" ref="Y415" ca="1">LOOKUP(ABS(MAX(Z415 + MIN(ABS(INDIRECT("Class Jobs!B"&amp;MATCH(E415,'Class Jobs'!$A$1:$A1000,0)&amp;":"&amp;"AF"&amp;MATCH(E415,'Class Jobs'!$A$1:$A1000,0)&amp;"")-$Z415)) * SUM(IF(MIN(ABS(INDIRECT("Class Jobs!B"&amp;MATCH(E415,'Class Jobs'!$A$1:$A1000,0)&amp;":"&amp;"AF"&amp;MATCH(E415,'Class Jobs'!$A$1:$A1000,0)&amp;"")-$Z415))=ABS(INDIRECT("Class Jobs!B"&amp;MATCH(E415,'Class Jobs'!$A$1:$A1000,0)&amp;":"&amp;"AF"&amp;MATCH(E415,'Class Jobs'!$A$1:$A1000,0)&amp;"")-$Z415),SIGN(INDIRECT("Class Jobs!B"&amp;MATCH(E415,'Class Jobs'!$A$1:A1000,0)&amp;":"&amp;"AF"&amp;MATCH(E415,'Class Jobs'!$A$1:$A1000,0)&amp;"")-$Z415),0)),0)),INDIRECT("Class Jobs!B"&amp;MATCH(E415,'Class Jobs'!$A$1:$A1000,0)&amp;":"&amp;"AF"&amp;MATCH(E415,'Class Jobs'!$A$1:$A1000,1)&amp;""),'Class Jobs'!$B$1:$AF$1)</f>
        <v>#REF!</v>
      </c>
      <c r="Z415" s="158">
        <f t="shared" si="25"/>
        <v>0.04</v>
      </c>
      <c r="AA415" s="16" t="str">
        <f t="array" ref="AA415">INDEX(NPCGender,TRUNC(1+(COUNTA(NPCGender))*(TRUNC(MOD(($B415*1103515245 +12345)/ 65536, 32768),0)/32768),0))</f>
        <v>Male</v>
      </c>
      <c r="AB415" s="16" t="str">
        <f t="array" ref="AB415">INDEX(NPCRace,TRUNC(1+(COUNTA(NPCRace))*(TRUNC(MOD(($B415*1103515245 +12345)/ 65536, 32768),0)/32768),0))</f>
        <v>Dragonborn</v>
      </c>
      <c r="AC415" s="16" t="str">
        <f t="array" ref="AC415">INDEX(NPCAL,TRUNC(1+(COUNTA(NPCAL))*(TRUNC(MOD(($B415*1103515245 +12345)/ 65536, 32768),0)/32768),0))</f>
        <v>CN</v>
      </c>
      <c r="AD415" s="72" t="str">
        <f ca="1">IFERROR(__xludf.DUMMYFUNCTION("if(V415&lt;15,QUERY(NPCVar!C:D,""Select D WHERE C = '""&amp;D415&amp;""'""),if((TRUNC(1+10)*(TRUNC(MOD((ROW(H415)*1103515245 +12345)/ 65536, 32768),0)/32768)/10) &gt; 0.85,INDEX(NPCFaction,TRUNC(1+(counta(NPCFaction)-1)*(TRUNC(MOD(($B415*1103515245 +12345)/ 65536, 3276"&amp;"8),0)/32768),0)),QUERY(NPCVar!C:D,""Select D WHERE C = '""&amp;D415&amp;""'"")))"),"Royalty")</f>
        <v>Royalty</v>
      </c>
      <c r="AE415" s="108" t="e">
        <f t="shared" ca="1" si="26"/>
        <v>#NAME?</v>
      </c>
      <c r="AF415" s="159">
        <f ca="1">IFERROR(__xludf.DUMMYFUNCTION("AE415*(V415 / QUERY(NPCVar!$K$2:$N$12, ""Select N WHERE K='""&amp;AB415&amp;""'""))*TRUNC(1+10)*(TRUNC(MOD(($B415*1103515245 +12345)/ 65536, 32768),0)/32768)"),0.00364898681640625)</f>
        <v>3.6489868164062498E-3</v>
      </c>
      <c r="AG415" s="16"/>
      <c r="AH415" s="77"/>
      <c r="AI415" s="114"/>
    </row>
    <row r="416" spans="1:35" ht="16.2">
      <c r="A416" s="53">
        <v>415</v>
      </c>
      <c r="B416" s="118">
        <f t="shared" si="31"/>
        <v>1.5586800000000001</v>
      </c>
      <c r="C416" s="72" t="str">
        <f t="array" ref="C416">INDEX(NPCFName,TRUNC(1+(COUNTA(NPCFName))*(TRUNC(MOD(($B416*1103515245 +12345)/ 65536, 32768),0)/32768),0))</f>
        <v>Hezak</v>
      </c>
      <c r="D416" s="16" t="str">
        <f t="array" ref="D416">INDEX(NPCLName,TRUNC(1+(COUNTA(NPCLName))*(TRUNC(MOD(($B416*1103515245 +12345)/ 65536, 32768),0)/32768),0))</f>
        <v>Deepcrest</v>
      </c>
      <c r="E416" s="16" t="str">
        <f t="array" ref="E416">INDEX(NPCClass,TRUNC(1+(COUNTA(NPCClass))*(TRUNC(MOD(($B416*1103515245 +12345)/ 65536, 32768),0)/32768),0))</f>
        <v>Cleric</v>
      </c>
      <c r="F416" s="76">
        <v>8</v>
      </c>
      <c r="G416" s="153">
        <f ca="1">VLOOKUP($AB$2,'RF Mod'!$A$2:$G$12,2,FALSE)+VLOOKUP($AD$2,'RF Mod'!$I$2:$O$11,2,FALSE)+(TRUNC(6+(24-6)*(TRUNC(MOD(($Z416*1103515245 +12345)/ 65536, 32768),0)/32768),0))</f>
        <v>11</v>
      </c>
      <c r="H416" s="16" t="e">
        <f t="shared" ca="1" si="17"/>
        <v>#NAME?</v>
      </c>
      <c r="I416" s="153">
        <f ca="1">VLOOKUP($AB$2,'RF Mod'!$A$2:$G$12,3,FALSE)+VLOOKUP($AD$2,'RF Mod'!$I$2:$O$11,3,FALSE)+(TRUNC(6+(24-6)*(TRUNC(MOD(($Z416*1103515245 +12345)/ 65536, 32768),0)/32768),0))</f>
        <v>15</v>
      </c>
      <c r="J416" s="16" t="e">
        <f t="shared" ca="1" si="18"/>
        <v>#NAME?</v>
      </c>
      <c r="K416" s="153">
        <f ca="1">VLOOKUP($AB$2,'RF Mod'!$A$2:$G$12,3,FALSE)+VLOOKUP($AD$2,'RF Mod'!$I$2:$O$11,3,FALSE)+(TRUNC(6+(24-6)*(TRUNC(MOD(($Z416*1103515245 +12345)/ 65536, 32768),0)/32768),0))</f>
        <v>15</v>
      </c>
      <c r="L416" s="16" t="e">
        <f t="shared" ca="1" si="19"/>
        <v>#NAME?</v>
      </c>
      <c r="M416" s="153">
        <f ca="1">VLOOKUP($AB$2,'RF Mod'!$A$2:$G$12,4,FALSE)+VLOOKUP($AD$2,'RF Mod'!$I$2:$O$11,4,FALSE)+(TRUNC(6+(24-6)*(TRUNC(MOD(($Z416*1103515245 +12345)/ 65536, 32768),0)/32768),0))</f>
        <v>14</v>
      </c>
      <c r="N416" s="16" t="e">
        <f t="shared" ca="1" si="20"/>
        <v>#NAME?</v>
      </c>
      <c r="O416" s="153">
        <f ca="1">VLOOKUP($AB$2,'RF Mod'!$A$2:$G$12,5,FALSE)+VLOOKUP($AD$2,'RF Mod'!$I$2:$O$11,5,FALSE)+(TRUNC(6+(24-6)*(TRUNC(MOD(($Z416*1103515245 +12345)/ 65536, 32768),0)/32768),0))</f>
        <v>17</v>
      </c>
      <c r="P416" s="16" t="e">
        <f t="shared" ca="1" si="21"/>
        <v>#NAME?</v>
      </c>
      <c r="Q416" s="153">
        <f ca="1">VLOOKUP($AB$2,'RF Mod'!$A$2:$G$12,6,FALSE)+VLOOKUP($AD$2,'RF Mod'!$I$2:$O$11,6,FALSE)+(TRUNC(6+(24-6)*(TRUNC(MOD(($Z416*1103515245 +12345)/ 65536, 32768),0)/32768),0))</f>
        <v>15</v>
      </c>
      <c r="R416" s="16" t="e">
        <f t="shared" ca="1" si="22"/>
        <v>#NAME?</v>
      </c>
      <c r="S416" s="154">
        <f t="shared" ca="1" si="28"/>
        <v>264</v>
      </c>
      <c r="T416" s="154">
        <f t="shared" ca="1" si="23"/>
        <v>29</v>
      </c>
      <c r="U416" s="16" t="str">
        <f t="shared" ca="1" si="24"/>
        <v>Fine</v>
      </c>
      <c r="V416" s="155">
        <f ca="1">IFERROR(__xludf.DUMMYFUNCTION("if(W416=""Middle Age"",QUERY(NPCVar!$K$2:$N1000, ""Select L where K = '""&amp;AB416&amp;""'""),if(W416=""Old"",QUERY(NPCVar!$K$2:$N1000, ""Select M where K = '""&amp;AB416&amp;""'""),if(W416=""Venerable"",QUERY(NPCVar!$K$2:$N1000, ""Select N where K = '""&amp;AB416&amp;""'""),fa"&amp;"lse)))*X416"),50)</f>
        <v>50</v>
      </c>
      <c r="W416" s="156" t="str">
        <f t="array" ref="W416">INDEX(NPCAgeType,TRUNC(1+(4-1)*(TRUNC(MOD((X416*1103515245 +12345)/ 65536, 32768),0)/32768),0))</f>
        <v>Middle Age</v>
      </c>
      <c r="X416" s="117">
        <f t="shared" si="29"/>
        <v>2</v>
      </c>
      <c r="Y416" s="157" t="e">
        <f t="array" aca="1" ref="Y416" ca="1">LOOKUP(ABS(MAX(Z416 + MIN(ABS(INDIRECT("Class Jobs!B"&amp;MATCH(E416,'Class Jobs'!$A$1:$A1000,0)&amp;":"&amp;"AF"&amp;MATCH(E416,'Class Jobs'!$A$1:$A1000,0)&amp;"")-$Z416)) * SUM(IF(MIN(ABS(INDIRECT("Class Jobs!B"&amp;MATCH(E416,'Class Jobs'!$A$1:$A1000,0)&amp;":"&amp;"AF"&amp;MATCH(E416,'Class Jobs'!$A$1:$A1000,0)&amp;"")-$Z416))=ABS(INDIRECT("Class Jobs!B"&amp;MATCH(E416,'Class Jobs'!$A$1:$A1000,0)&amp;":"&amp;"AF"&amp;MATCH(E416,'Class Jobs'!$A$1:$A1000,0)&amp;"")-$Z416),SIGN(INDIRECT("Class Jobs!B"&amp;MATCH(E416,'Class Jobs'!$A$1:A1000,0)&amp;":"&amp;"AF"&amp;MATCH(E416,'Class Jobs'!$A$1:$A1000,0)&amp;"")-$Z416),0)),0)),INDIRECT("Class Jobs!B"&amp;MATCH(E416,'Class Jobs'!$A$1:$A1000,0)&amp;":"&amp;"AF"&amp;MATCH(E416,'Class Jobs'!$A$1:$A1000,1)&amp;""),'Class Jobs'!$B$1:$AF$1)</f>
        <v>#REF!</v>
      </c>
      <c r="Z416" s="158">
        <f t="shared" si="25"/>
        <v>0.8</v>
      </c>
      <c r="AA416" s="16" t="str">
        <f t="array" ref="AA416">INDEX(NPCGender,TRUNC(1+(COUNTA(NPCGender))*(TRUNC(MOD(($B416*1103515245 +12345)/ 65536, 32768),0)/32768),0))</f>
        <v>Neutral</v>
      </c>
      <c r="AB416" s="16" t="str">
        <f t="array" ref="AB416">INDEX(NPCRace,TRUNC(1+(COUNTA(NPCRace))*(TRUNC(MOD(($B416*1103515245 +12345)/ 65536, 32768),0)/32768),0))</f>
        <v>Tiefling</v>
      </c>
      <c r="AC416" s="16" t="str">
        <f t="array" ref="AC416">INDEX(NPCAL,TRUNC(1+(COUNTA(NPCAL))*(TRUNC(MOD(($B416*1103515245 +12345)/ 65536, 32768),0)/32768),0))</f>
        <v>LN</v>
      </c>
      <c r="AD416" s="72" t="str">
        <f ca="1">IFERROR(__xludf.DUMMYFUNCTION("if(V416&lt;15,QUERY(NPCVar!C:D,""Select D WHERE C = '""&amp;D416&amp;""'""),if((TRUNC(1+10)*(TRUNC(MOD((ROW(H416)*1103515245 +12345)/ 65536, 32768),0)/32768)/10) &gt; 0.85,INDEX(NPCFaction,TRUNC(1+(counta(NPCFaction)-1)*(TRUNC(MOD(($B416*1103515245 +12345)/ 65536, 3276"&amp;"8),0)/32768),0)),QUERY(NPCVar!C:D,""Select D WHERE C = '""&amp;D416&amp;""'"")))"),"Adventures Guild")</f>
        <v>Adventures Guild</v>
      </c>
      <c r="AE416" s="108" t="e">
        <f t="shared" ca="1" si="26"/>
        <v>#NAME?</v>
      </c>
      <c r="AF416" s="159">
        <f ca="1">IFERROR(__xludf.DUMMYFUNCTION("AE416*(V416 / QUERY(NPCVar!$K$2:$N$12, ""Select N WHERE K='""&amp;AB416&amp;""'""))*TRUNC(1+10)*(TRUNC(MOD(($B416*1103515245 +12345)/ 65536, 32768),0)/32768)"),1.76205444335937)</f>
        <v>1.7620544433593699</v>
      </c>
      <c r="AG416" s="16"/>
      <c r="AH416" s="77"/>
      <c r="AI416" s="114"/>
    </row>
    <row r="417" spans="1:35" ht="16.2">
      <c r="A417" s="53">
        <v>416</v>
      </c>
      <c r="B417" s="118">
        <f t="shared" si="31"/>
        <v>0.55283000000000004</v>
      </c>
      <c r="C417" s="72" t="str">
        <f t="array" ref="C417">INDEX(NPCFName,TRUNC(1+(COUNTA(NPCFName))*(TRUNC(MOD(($B417*1103515245 +12345)/ 65536, 32768),0)/32768),0))</f>
        <v>Thiltran</v>
      </c>
      <c r="D417" s="16" t="str">
        <f t="array" ref="D417">INDEX(NPCLName,TRUNC(1+(COUNTA(NPCLName))*(TRUNC(MOD(($B417*1103515245 +12345)/ 65536, 32768),0)/32768),0))</f>
        <v>Commonscream</v>
      </c>
      <c r="E417" s="16" t="str">
        <f t="array" ref="E417">INDEX(NPCClass,TRUNC(1+(COUNTA(NPCClass))*(TRUNC(MOD(($B417*1103515245 +12345)/ 65536, 32768),0)/32768),0))</f>
        <v>Monk</v>
      </c>
      <c r="F417" s="76">
        <v>1</v>
      </c>
      <c r="G417" s="153">
        <f ca="1">VLOOKUP($AB$2,'RF Mod'!$A$2:$G$12,2,FALSE)+VLOOKUP($AD$2,'RF Mod'!$I$2:$O$11,2,FALSE)+(TRUNC(6+(24-6)*(TRUNC(MOD(($Z417*1103515245 +12345)/ 65536, 32768),0)/32768),0))</f>
        <v>6</v>
      </c>
      <c r="H417" s="16">
        <f t="shared" ca="1" si="17"/>
        <v>-2</v>
      </c>
      <c r="I417" s="153">
        <f ca="1">VLOOKUP($AB$2,'RF Mod'!$A$2:$G$12,3,FALSE)+VLOOKUP($AD$2,'RF Mod'!$I$2:$O$11,3,FALSE)+(TRUNC(6+(24-6)*(TRUNC(MOD(($Z417*1103515245 +12345)/ 65536, 32768),0)/32768),0))</f>
        <v>10</v>
      </c>
      <c r="J417" s="16" t="e">
        <f t="shared" ca="1" si="18"/>
        <v>#NAME?</v>
      </c>
      <c r="K417" s="153">
        <f ca="1">VLOOKUP($AB$2,'RF Mod'!$A$2:$G$12,3,FALSE)+VLOOKUP($AD$2,'RF Mod'!$I$2:$O$11,3,FALSE)+(TRUNC(6+(24-6)*(TRUNC(MOD(($Z417*1103515245 +12345)/ 65536, 32768),0)/32768),0))</f>
        <v>10</v>
      </c>
      <c r="L417" s="16" t="e">
        <f t="shared" ca="1" si="19"/>
        <v>#NAME?</v>
      </c>
      <c r="M417" s="153">
        <f ca="1">VLOOKUP($AB$2,'RF Mod'!$A$2:$G$12,4,FALSE)+VLOOKUP($AD$2,'RF Mod'!$I$2:$O$11,4,FALSE)+(TRUNC(6+(24-6)*(TRUNC(MOD(($Z417*1103515245 +12345)/ 65536, 32768),0)/32768),0))</f>
        <v>9</v>
      </c>
      <c r="N417" s="16">
        <f t="shared" ca="1" si="20"/>
        <v>-1</v>
      </c>
      <c r="O417" s="153">
        <f ca="1">VLOOKUP($AB$2,'RF Mod'!$A$2:$G$12,5,FALSE)+VLOOKUP($AD$2,'RF Mod'!$I$2:$O$11,5,FALSE)+(TRUNC(6+(24-6)*(TRUNC(MOD(($Z417*1103515245 +12345)/ 65536, 32768),0)/32768),0))</f>
        <v>12</v>
      </c>
      <c r="P417" s="16" t="e">
        <f t="shared" ca="1" si="21"/>
        <v>#NAME?</v>
      </c>
      <c r="Q417" s="153">
        <f ca="1">VLOOKUP($AB$2,'RF Mod'!$A$2:$G$12,6,FALSE)+VLOOKUP($AD$2,'RF Mod'!$I$2:$O$11,6,FALSE)+(TRUNC(6+(24-6)*(TRUNC(MOD(($Z417*1103515245 +12345)/ 65536, 32768),0)/32768),0))</f>
        <v>10</v>
      </c>
      <c r="R417" s="16" t="e">
        <f t="shared" ca="1" si="22"/>
        <v>#NAME?</v>
      </c>
      <c r="S417" s="154">
        <f t="shared" ca="1" si="28"/>
        <v>14</v>
      </c>
      <c r="T417" s="154">
        <f t="shared" ca="1" si="23"/>
        <v>2</v>
      </c>
      <c r="U417" s="16" t="str">
        <f t="shared" ca="1" si="24"/>
        <v>Fine</v>
      </c>
      <c r="V417" s="155">
        <f ca="1">IFERROR(__xludf.DUMMYFUNCTION("if(W417=""Middle Age"",QUERY(NPCVar!$K$2:$N1000, ""Select L where K = '""&amp;AB417&amp;""'""),if(W417=""Old"",QUERY(NPCVar!$K$2:$N1000, ""Select M where K = '""&amp;AB417&amp;""'""),if(W417=""Venerable"",QUERY(NPCVar!$K$2:$N1000, ""Select N where K = '""&amp;AB417&amp;""'""),fa"&amp;"lse)))*X417"),118.124999999999)</f>
        <v>118.12499999999901</v>
      </c>
      <c r="W417" s="156" t="str">
        <f t="array" ref="W417">INDEX(NPCAgeType,TRUNC(1+(4-1)*(TRUNC(MOD((X417*1103515245 +12345)/ 65536, 32768),0)/32768),0))</f>
        <v>Old</v>
      </c>
      <c r="X417" s="117">
        <f t="shared" si="29"/>
        <v>0.7</v>
      </c>
      <c r="Y417" s="157" t="e">
        <f t="array" aca="1" ref="Y417" ca="1">LOOKUP(ABS(MAX(Z417 + MIN(ABS(INDIRECT("Class Jobs!B"&amp;MATCH(E417,'Class Jobs'!$A$1:$A1000,0)&amp;":"&amp;"AF"&amp;MATCH(E417,'Class Jobs'!$A$1:$A1000,0)&amp;"")-$Z417)) * SUM(IF(MIN(ABS(INDIRECT("Class Jobs!B"&amp;MATCH(E417,'Class Jobs'!$A$1:$A1000,0)&amp;":"&amp;"AF"&amp;MATCH(E417,'Class Jobs'!$A$1:$A1000,0)&amp;"")-$Z417))=ABS(INDIRECT("Class Jobs!B"&amp;MATCH(E417,'Class Jobs'!$A$1:$A1000,0)&amp;":"&amp;"AF"&amp;MATCH(E417,'Class Jobs'!$A$1:$A1000,0)&amp;"")-$Z417),SIGN(INDIRECT("Class Jobs!B"&amp;MATCH(E417,'Class Jobs'!$A$1:A1000,0)&amp;":"&amp;"AF"&amp;MATCH(E417,'Class Jobs'!$A$1:$A1000,0)&amp;"")-$Z417),0)),0)),INDIRECT("Class Jobs!B"&amp;MATCH(E417,'Class Jobs'!$A$1:$A1000,0)&amp;":"&amp;"AF"&amp;MATCH(E417,'Class Jobs'!$A$1:$A1000,1)&amp;""),'Class Jobs'!$B$1:$AF$1)</f>
        <v>#REF!</v>
      </c>
      <c r="Z417" s="158">
        <f t="shared" si="25"/>
        <v>0.28999999999999998</v>
      </c>
      <c r="AA417" s="16" t="str">
        <f t="array" ref="AA417">INDEX(NPCGender,TRUNC(1+(COUNTA(NPCGender))*(TRUNC(MOD(($B417*1103515245 +12345)/ 65536, 32768),0)/32768),0))</f>
        <v>Male</v>
      </c>
      <c r="AB417" s="16" t="str">
        <f t="array" ref="AB417">INDEX(NPCRace,TRUNC(1+(COUNTA(NPCRace))*(TRUNC(MOD(($B417*1103515245 +12345)/ 65536, 32768),0)/32768),0))</f>
        <v>Gnome</v>
      </c>
      <c r="AC417" s="16" t="str">
        <f t="array" ref="AC417">INDEX(NPCAL,TRUNC(1+(COUNTA(NPCAL))*(TRUNC(MOD(($B417*1103515245 +12345)/ 65536, 32768),0)/32768),0))</f>
        <v>CG</v>
      </c>
      <c r="AD417" s="72" t="str">
        <f ca="1">IFERROR(__xludf.DUMMYFUNCTION("if(V417&lt;15,QUERY(NPCVar!C:D,""Select D WHERE C = '""&amp;D417&amp;""'""),if((TRUNC(1+10)*(TRUNC(MOD((ROW(H417)*1103515245 +12345)/ 65536, 32768),0)/32768)/10) &gt; 0.85,INDEX(NPCFaction,TRUNC(1+(counta(NPCFaction)-1)*(TRUNC(MOD(($B417*1103515245 +12345)/ 65536, 3276"&amp;"8),0)/32768),0)),QUERY(NPCVar!C:D,""Select D WHERE C = '""&amp;D417&amp;""'"")))"),"Necromancer")</f>
        <v>Necromancer</v>
      </c>
      <c r="AE417" s="108" t="e">
        <f t="shared" ca="1" si="26"/>
        <v>#NAME?</v>
      </c>
      <c r="AF417" s="159">
        <f ca="1">IFERROR(__xludf.DUMMYFUNCTION("AE417*(V417 / QUERY(NPCVar!$K$2:$N$12, ""Select N WHERE K='""&amp;AB417&amp;""'""))*TRUNC(1+10)*(TRUNC(MOD(($B417*1103515245 +12345)/ 65536, 32768),0)/32768)"),0.410108184814452)</f>
        <v>0.41010818481445199</v>
      </c>
      <c r="AG417" s="16"/>
      <c r="AH417" s="77"/>
      <c r="AI417" s="114"/>
    </row>
    <row r="418" spans="1:35" ht="16.2">
      <c r="A418" s="53">
        <v>417</v>
      </c>
      <c r="B418" s="118">
        <f t="shared" si="31"/>
        <v>2.0469599999999999</v>
      </c>
      <c r="C418" s="72" t="str">
        <f t="array" ref="C418">INDEX(NPCFName,TRUNC(1+(COUNTA(NPCFName))*(TRUNC(MOD(($B418*1103515245 +12345)/ 65536, 32768),0)/32768),0))</f>
        <v>Cevelt</v>
      </c>
      <c r="D418" s="16" t="str">
        <f t="array" ref="D418">INDEX(NPCLName,TRUNC(1+(COUNTA(NPCLName))*(TRUNC(MOD(($B418*1103515245 +12345)/ 65536, 32768),0)/32768),0))</f>
        <v>Crystalgazer</v>
      </c>
      <c r="E418" s="16" t="str">
        <f t="array" ref="E418">INDEX(NPCClass,TRUNC(1+(COUNTA(NPCClass))*(TRUNC(MOD(($B418*1103515245 +12345)/ 65536, 32768),0)/32768),0))</f>
        <v>Barbarian</v>
      </c>
      <c r="F418" s="76">
        <v>1</v>
      </c>
      <c r="G418" s="153">
        <f ca="1">VLOOKUP($AB$2,'RF Mod'!$A$2:$G$12,2,FALSE)+VLOOKUP($AD$2,'RF Mod'!$I$2:$O$11,2,FALSE)+(TRUNC(6+(24-6)*(TRUNC(MOD(($Z418*1103515245 +12345)/ 65536, 32768),0)/32768),0))</f>
        <v>4</v>
      </c>
      <c r="H418" s="16">
        <f t="shared" ca="1" si="17"/>
        <v>-3</v>
      </c>
      <c r="I418" s="153">
        <f ca="1">VLOOKUP($AB$2,'RF Mod'!$A$2:$G$12,3,FALSE)+VLOOKUP($AD$2,'RF Mod'!$I$2:$O$11,3,FALSE)+(TRUNC(6+(24-6)*(TRUNC(MOD(($Z418*1103515245 +12345)/ 65536, 32768),0)/32768),0))</f>
        <v>8</v>
      </c>
      <c r="J418" s="16">
        <f t="shared" ca="1" si="18"/>
        <v>-1</v>
      </c>
      <c r="K418" s="153">
        <f ca="1">VLOOKUP($AB$2,'RF Mod'!$A$2:$G$12,3,FALSE)+VLOOKUP($AD$2,'RF Mod'!$I$2:$O$11,3,FALSE)+(TRUNC(6+(24-6)*(TRUNC(MOD(($Z418*1103515245 +12345)/ 65536, 32768),0)/32768),0))</f>
        <v>8</v>
      </c>
      <c r="L418" s="16">
        <f t="shared" ca="1" si="19"/>
        <v>-1</v>
      </c>
      <c r="M418" s="153">
        <f ca="1">VLOOKUP($AB$2,'RF Mod'!$A$2:$G$12,4,FALSE)+VLOOKUP($AD$2,'RF Mod'!$I$2:$O$11,4,FALSE)+(TRUNC(6+(24-6)*(TRUNC(MOD(($Z418*1103515245 +12345)/ 65536, 32768),0)/32768),0))</f>
        <v>7</v>
      </c>
      <c r="N418" s="16">
        <f t="shared" ca="1" si="20"/>
        <v>-2</v>
      </c>
      <c r="O418" s="153">
        <f ca="1">VLOOKUP($AB$2,'RF Mod'!$A$2:$G$12,5,FALSE)+VLOOKUP($AD$2,'RF Mod'!$I$2:$O$11,5,FALSE)+(TRUNC(6+(24-6)*(TRUNC(MOD(($Z418*1103515245 +12345)/ 65536, 32768),0)/32768),0))</f>
        <v>10</v>
      </c>
      <c r="P418" s="16" t="e">
        <f t="shared" ca="1" si="21"/>
        <v>#NAME?</v>
      </c>
      <c r="Q418" s="153">
        <f ca="1">VLOOKUP($AB$2,'RF Mod'!$A$2:$G$12,6,FALSE)+VLOOKUP($AD$2,'RF Mod'!$I$2:$O$11,6,FALSE)+(TRUNC(6+(24-6)*(TRUNC(MOD(($Z418*1103515245 +12345)/ 65536, 32768),0)/32768),0))</f>
        <v>8</v>
      </c>
      <c r="R418" s="16">
        <f t="shared" ca="1" si="22"/>
        <v>-1</v>
      </c>
      <c r="S418" s="154">
        <f t="shared" ca="1" si="28"/>
        <v>10</v>
      </c>
      <c r="T418" s="154">
        <f t="shared" ca="1" si="23"/>
        <v>1</v>
      </c>
      <c r="U418" s="16" t="str">
        <f t="shared" ca="1" si="24"/>
        <v>Fine</v>
      </c>
      <c r="V418" s="155">
        <f ca="1">IFERROR(__xludf.DUMMYFUNCTION("if(W418=""Middle Age"",QUERY(NPCVar!$K$2:$N1000, ""Select L where K = '""&amp;AB418&amp;""'""),if(W418=""Old"",QUERY(NPCVar!$K$2:$N1000, ""Select M where K = '""&amp;AB418&amp;""'""),if(W418=""Venerable"",QUERY(NPCVar!$K$2:$N1000, ""Select N where K = '""&amp;AB418&amp;""'""),fa"&amp;"lse)))*X418"),4)</f>
        <v>4</v>
      </c>
      <c r="W418" s="156" t="str">
        <f t="array" ref="W418">INDEX(NPCAgeType,TRUNC(1+(4-1)*(TRUNC(MOD((X418*1103515245 +12345)/ 65536, 32768),0)/32768),0))</f>
        <v>Middle Age</v>
      </c>
      <c r="X418" s="117">
        <f t="shared" si="29"/>
        <v>0.2</v>
      </c>
      <c r="Y418" s="157" t="e">
        <f t="array" aca="1" ref="Y418" ca="1">LOOKUP(ABS(MAX(Z418 + MIN(ABS(INDIRECT("Class Jobs!B"&amp;MATCH(E418,'Class Jobs'!$A$1:$A1000,0)&amp;":"&amp;"AF"&amp;MATCH(E418,'Class Jobs'!$A$1:$A1000,0)&amp;"")-$Z418)) * SUM(IF(MIN(ABS(INDIRECT("Class Jobs!B"&amp;MATCH(E418,'Class Jobs'!$A$1:$A1000,0)&amp;":"&amp;"AF"&amp;MATCH(E418,'Class Jobs'!$A$1:$A1000,0)&amp;"")-$Z418))=ABS(INDIRECT("Class Jobs!B"&amp;MATCH(E418,'Class Jobs'!$A$1:$A1000,0)&amp;":"&amp;"AF"&amp;MATCH(E418,'Class Jobs'!$A$1:$A1000,0)&amp;"")-$Z418),SIGN(INDIRECT("Class Jobs!B"&amp;MATCH(E418,'Class Jobs'!$A$1:A1000,0)&amp;":"&amp;"AF"&amp;MATCH(E418,'Class Jobs'!$A$1:$A1000,0)&amp;"")-$Z418),0)),0)),INDIRECT("Class Jobs!B"&amp;MATCH(E418,'Class Jobs'!$A$1:$A1000,0)&amp;":"&amp;"AF"&amp;MATCH(E418,'Class Jobs'!$A$1:$A1000,1)&amp;""),'Class Jobs'!$B$1:$AF$1)</f>
        <v>#REF!</v>
      </c>
      <c r="Z418" s="158">
        <f t="shared" si="25"/>
        <v>0.06</v>
      </c>
      <c r="AA418" s="16" t="str">
        <f t="array" ref="AA418">INDEX(NPCGender,TRUNC(1+(COUNTA(NPCGender))*(TRUNC(MOD(($B418*1103515245 +12345)/ 65536, 32768),0)/32768),0))</f>
        <v>Male</v>
      </c>
      <c r="AB418" s="16" t="str">
        <f t="array" ref="AB418">INDEX(NPCRace,TRUNC(1+(COUNTA(NPCRace))*(TRUNC(MOD(($B418*1103515245 +12345)/ 65536, 32768),0)/32768),0))</f>
        <v>Dragonborn</v>
      </c>
      <c r="AC418" s="16" t="str">
        <f t="array" ref="AC418">INDEX(NPCAL,TRUNC(1+(COUNTA(NPCAL))*(TRUNC(MOD(($B418*1103515245 +12345)/ 65536, 32768),0)/32768),0))</f>
        <v>CN</v>
      </c>
      <c r="AD418" s="72" t="str">
        <f ca="1">IFERROR(__xludf.DUMMYFUNCTION("if(V418&lt;15,QUERY(NPCVar!C:D,""Select D WHERE C = '""&amp;D418&amp;""'""),if((TRUNC(1+10)*(TRUNC(MOD((ROW(H418)*1103515245 +12345)/ 65536, 32768),0)/32768)/10) &gt; 0.85,INDEX(NPCFaction,TRUNC(1+(counta(NPCFaction)-1)*(TRUNC(MOD(($B418*1103515245 +12345)/ 65536, 3276"&amp;"8),0)/32768),0)),QUERY(NPCVar!C:D,""Select D WHERE C = '""&amp;D418&amp;""'"")))"),"Death Guild")</f>
        <v>Death Guild</v>
      </c>
      <c r="AE418" s="108" t="e">
        <f t="shared" ca="1" si="26"/>
        <v>#NAME?</v>
      </c>
      <c r="AF418" s="159">
        <f ca="1">IFERROR(__xludf.DUMMYFUNCTION("AE418*(V418 / QUERY(NPCVar!$K$2:$N$12, ""Select N WHERE K='""&amp;AB418&amp;""'""))*TRUNC(1+10)*(TRUNC(MOD(($B418*1103515245 +12345)/ 65536, 32768),0)/32768)"),0)</f>
        <v>0</v>
      </c>
      <c r="AG418" s="16"/>
      <c r="AH418" s="77"/>
      <c r="AI418" s="114"/>
    </row>
    <row r="419" spans="1:35" ht="16.2">
      <c r="A419" s="53">
        <v>418</v>
      </c>
      <c r="B419" s="118">
        <f t="shared" si="31"/>
        <v>1.0410299999999999</v>
      </c>
      <c r="C419" s="72" t="str">
        <f t="array" ref="C419">INDEX(NPCFName,TRUNC(1+(COUNTA(NPCFName))*(TRUNC(MOD(($B419*1103515245 +12345)/ 65536, 32768),0)/32768),0))</f>
        <v>Mythil</v>
      </c>
      <c r="D419" s="16" t="str">
        <f t="array" ref="D419">INDEX(NPCLName,TRUNC(1+(COUNTA(NPCLName))*(TRUNC(MOD(($B419*1103515245 +12345)/ 65536, 32768),0)/32768),0))</f>
        <v>Plainspirit</v>
      </c>
      <c r="E419" s="16" t="str">
        <f t="array" ref="E419">INDEX(NPCClass,TRUNC(1+(COUNTA(NPCClass))*(TRUNC(MOD(($B419*1103515245 +12345)/ 65536, 32768),0)/32768),0))</f>
        <v>Sorcerer</v>
      </c>
      <c r="F419" s="76">
        <v>5</v>
      </c>
      <c r="G419" s="153">
        <f ca="1">VLOOKUP($AB$2,'RF Mod'!$A$2:$G$12,2,FALSE)+VLOOKUP($AD$2,'RF Mod'!$I$2:$O$11,2,FALSE)+(TRUNC(6+(24-6)*(TRUNC(MOD(($Z419*1103515245 +12345)/ 65536, 32768),0)/32768),0))</f>
        <v>8</v>
      </c>
      <c r="H419" s="16">
        <f t="shared" ca="1" si="17"/>
        <v>-1</v>
      </c>
      <c r="I419" s="153">
        <f ca="1">VLOOKUP($AB$2,'RF Mod'!$A$2:$G$12,3,FALSE)+VLOOKUP($AD$2,'RF Mod'!$I$2:$O$11,3,FALSE)+(TRUNC(6+(24-6)*(TRUNC(MOD(($Z419*1103515245 +12345)/ 65536, 32768),0)/32768),0))</f>
        <v>12</v>
      </c>
      <c r="J419" s="16" t="e">
        <f t="shared" ca="1" si="18"/>
        <v>#NAME?</v>
      </c>
      <c r="K419" s="153">
        <f ca="1">VLOOKUP($AB$2,'RF Mod'!$A$2:$G$12,3,FALSE)+VLOOKUP($AD$2,'RF Mod'!$I$2:$O$11,3,FALSE)+(TRUNC(6+(24-6)*(TRUNC(MOD(($Z419*1103515245 +12345)/ 65536, 32768),0)/32768),0))</f>
        <v>12</v>
      </c>
      <c r="L419" s="16" t="e">
        <f t="shared" ca="1" si="19"/>
        <v>#NAME?</v>
      </c>
      <c r="M419" s="153">
        <f ca="1">VLOOKUP($AB$2,'RF Mod'!$A$2:$G$12,4,FALSE)+VLOOKUP($AD$2,'RF Mod'!$I$2:$O$11,4,FALSE)+(TRUNC(6+(24-6)*(TRUNC(MOD(($Z419*1103515245 +12345)/ 65536, 32768),0)/32768),0))</f>
        <v>11</v>
      </c>
      <c r="N419" s="16" t="e">
        <f t="shared" ca="1" si="20"/>
        <v>#NAME?</v>
      </c>
      <c r="O419" s="153">
        <f ca="1">VLOOKUP($AB$2,'RF Mod'!$A$2:$G$12,5,FALSE)+VLOOKUP($AD$2,'RF Mod'!$I$2:$O$11,5,FALSE)+(TRUNC(6+(24-6)*(TRUNC(MOD(($Z419*1103515245 +12345)/ 65536, 32768),0)/32768),0))</f>
        <v>14</v>
      </c>
      <c r="P419" s="16" t="e">
        <f t="shared" ca="1" si="21"/>
        <v>#NAME?</v>
      </c>
      <c r="Q419" s="153">
        <f ca="1">VLOOKUP($AB$2,'RF Mod'!$A$2:$G$12,6,FALSE)+VLOOKUP($AD$2,'RF Mod'!$I$2:$O$11,6,FALSE)+(TRUNC(6+(24-6)*(TRUNC(MOD(($Z419*1103515245 +12345)/ 65536, 32768),0)/32768),0))</f>
        <v>12</v>
      </c>
      <c r="R419" s="16" t="e">
        <f t="shared" ca="1" si="22"/>
        <v>#NAME?</v>
      </c>
      <c r="S419" s="154">
        <f t="shared" ca="1" si="28"/>
        <v>110</v>
      </c>
      <c r="T419" s="154">
        <f t="shared" ca="1" si="23"/>
        <v>66</v>
      </c>
      <c r="U419" s="16" t="str">
        <f t="shared" ca="1" si="24"/>
        <v>Bloody</v>
      </c>
      <c r="V419" s="155">
        <f ca="1">IFERROR(__xludf.DUMMYFUNCTION("if(W419=""Middle Age"",QUERY(NPCVar!$K$2:$N1000, ""Select L where K = '""&amp;AB419&amp;""'""),if(W419=""Old"",QUERY(NPCVar!$K$2:$N1000, ""Select M where K = '""&amp;AB419&amp;""'""),if(W419=""Venerable"",QUERY(NPCVar!$K$2:$N1000, ""Select N where K = '""&amp;AB419&amp;""'""),fa"&amp;"lse)))*X419"),91)</f>
        <v>91</v>
      </c>
      <c r="W419" s="156" t="str">
        <f t="array" ref="W419">INDEX(NPCAgeType,TRUNC(1+(4-1)*(TRUNC(MOD((X419*1103515245 +12345)/ 65536, 32768),0)/32768),0))</f>
        <v>Venerable</v>
      </c>
      <c r="X419" s="117">
        <f t="shared" si="29"/>
        <v>1.3</v>
      </c>
      <c r="Y419" s="157" t="e">
        <f t="array" aca="1" ref="Y419" ca="1">LOOKUP(ABS(MAX(Z419 + MIN(ABS(INDIRECT("Class Jobs!B"&amp;MATCH(E419,'Class Jobs'!$A$1:$A1000,0)&amp;":"&amp;"AF"&amp;MATCH(E419,'Class Jobs'!$A$1:$A1000,0)&amp;"")-$Z419)) * SUM(IF(MIN(ABS(INDIRECT("Class Jobs!B"&amp;MATCH(E419,'Class Jobs'!$A$1:$A1000,0)&amp;":"&amp;"AF"&amp;MATCH(E419,'Class Jobs'!$A$1:$A1000,0)&amp;"")-$Z419))=ABS(INDIRECT("Class Jobs!B"&amp;MATCH(E419,'Class Jobs'!$A$1:$A1000,0)&amp;":"&amp;"AF"&amp;MATCH(E419,'Class Jobs'!$A$1:$A1000,0)&amp;"")-$Z419),SIGN(INDIRECT("Class Jobs!B"&amp;MATCH(E419,'Class Jobs'!$A$1:A1000,0)&amp;":"&amp;"AF"&amp;MATCH(E419,'Class Jobs'!$A$1:$A1000,0)&amp;"")-$Z419),0)),0)),INDIRECT("Class Jobs!B"&amp;MATCH(E419,'Class Jobs'!$A$1:$A1000,0)&amp;":"&amp;"AF"&amp;MATCH(E419,'Class Jobs'!$A$1:$A1000,1)&amp;""),'Class Jobs'!$B$1:$AF$1)</f>
        <v>#REF!</v>
      </c>
      <c r="Z419" s="158">
        <f t="shared" si="25"/>
        <v>0.53</v>
      </c>
      <c r="AA419" s="16" t="str">
        <f t="array" ref="AA419">INDEX(NPCGender,TRUNC(1+(COUNTA(NPCGender))*(TRUNC(MOD(($B419*1103515245 +12345)/ 65536, 32768),0)/32768),0))</f>
        <v>Female</v>
      </c>
      <c r="AB419" s="16" t="str">
        <f t="array" ref="AB419">INDEX(NPCRace,TRUNC(1+(COUNTA(NPCRace))*(TRUNC(MOD(($B419*1103515245 +12345)/ 65536, 32768),0)/32768),0))</f>
        <v>Half-Orc</v>
      </c>
      <c r="AC419" s="16" t="str">
        <f t="array" ref="AC419">INDEX(NPCAL,TRUNC(1+(COUNTA(NPCAL))*(TRUNC(MOD(($B419*1103515245 +12345)/ 65536, 32768),0)/32768),0))</f>
        <v>NN</v>
      </c>
      <c r="AD419" s="72" t="str">
        <f ca="1">IFERROR(__xludf.DUMMYFUNCTION("if(V419&lt;15,QUERY(NPCVar!C:D,""Select D WHERE C = '""&amp;D419&amp;""'""),if((TRUNC(1+10)*(TRUNC(MOD((ROW(H419)*1103515245 +12345)/ 65536, 32768),0)/32768)/10) &gt; 0.85,INDEX(NPCFaction,TRUNC(1+(counta(NPCFaction)-1)*(TRUNC(MOD(($B419*1103515245 +12345)/ 65536, 3276"&amp;"8),0)/32768),0)),QUERY(NPCVar!C:D,""Select D WHERE C = '""&amp;D419&amp;""'"")))"),"Traders Guild")</f>
        <v>Traders Guild</v>
      </c>
      <c r="AE419" s="108" t="e">
        <f t="shared" ca="1" si="26"/>
        <v>#NAME?</v>
      </c>
      <c r="AF419" s="159">
        <f ca="1">IFERROR(__xludf.DUMMYFUNCTION("AE419*(V419 / QUERY(NPCVar!$K$2:$N$12, ""Select N WHERE K='""&amp;AB419&amp;""'""))*TRUNC(1+10)*(TRUNC(MOD(($B419*1103515245 +12345)/ 65536, 32768),0)/32768)"),6.88471160888671)</f>
        <v>6.8847116088867102</v>
      </c>
      <c r="AG419" s="16"/>
      <c r="AH419" s="77"/>
      <c r="AI419" s="114"/>
    </row>
    <row r="420" spans="1:35" ht="16.2">
      <c r="A420" s="53">
        <v>419</v>
      </c>
      <c r="B420" s="118">
        <f t="shared" si="31"/>
        <v>3.5180000000000003E-2</v>
      </c>
      <c r="C420" s="72" t="str">
        <f t="array" ref="C420">INDEX(NPCFName,TRUNC(1+(COUNTA(NPCFName))*(TRUNC(MOD(($B420*1103515245 +12345)/ 65536, 32768),0)/32768),0))</f>
        <v>Atgur</v>
      </c>
      <c r="D420" s="16" t="str">
        <f t="array" ref="D420">INDEX(NPCLName,TRUNC(1+(COUNTA(NPCLName))*(TRUNC(MOD(($B420*1103515245 +12345)/ 65536, 32768),0)/32768),0))</f>
        <v>Stagfang</v>
      </c>
      <c r="E420" s="16" t="str">
        <f t="array" ref="E420">INDEX(NPCClass,TRUNC(1+(COUNTA(NPCClass))*(TRUNC(MOD(($B420*1103515245 +12345)/ 65536, 32768),0)/32768),0))</f>
        <v>Barbarian</v>
      </c>
      <c r="F420" s="76">
        <v>1</v>
      </c>
      <c r="G420" s="153">
        <f ca="1">VLOOKUP($AB$2,'RF Mod'!$A$2:$G$12,2,FALSE)+VLOOKUP($AD$2,'RF Mod'!$I$2:$O$11,2,FALSE)+(TRUNC(6+(24-6)*(TRUNC(MOD(($Z420*1103515245 +12345)/ 65536, 32768),0)/32768),0))</f>
        <v>4</v>
      </c>
      <c r="H420" s="16">
        <f t="shared" ca="1" si="17"/>
        <v>-3</v>
      </c>
      <c r="I420" s="153">
        <f ca="1">VLOOKUP($AB$2,'RF Mod'!$A$2:$G$12,3,FALSE)+VLOOKUP($AD$2,'RF Mod'!$I$2:$O$11,3,FALSE)+(TRUNC(6+(24-6)*(TRUNC(MOD(($Z420*1103515245 +12345)/ 65536, 32768),0)/32768),0))</f>
        <v>8</v>
      </c>
      <c r="J420" s="16">
        <f t="shared" ca="1" si="18"/>
        <v>-1</v>
      </c>
      <c r="K420" s="153">
        <f ca="1">VLOOKUP($AB$2,'RF Mod'!$A$2:$G$12,3,FALSE)+VLOOKUP($AD$2,'RF Mod'!$I$2:$O$11,3,FALSE)+(TRUNC(6+(24-6)*(TRUNC(MOD(($Z420*1103515245 +12345)/ 65536, 32768),0)/32768),0))</f>
        <v>8</v>
      </c>
      <c r="L420" s="16">
        <f t="shared" ca="1" si="19"/>
        <v>-1</v>
      </c>
      <c r="M420" s="153">
        <f ca="1">VLOOKUP($AB$2,'RF Mod'!$A$2:$G$12,4,FALSE)+VLOOKUP($AD$2,'RF Mod'!$I$2:$O$11,4,FALSE)+(TRUNC(6+(24-6)*(TRUNC(MOD(($Z420*1103515245 +12345)/ 65536, 32768),0)/32768),0))</f>
        <v>7</v>
      </c>
      <c r="N420" s="16">
        <f t="shared" ca="1" si="20"/>
        <v>-2</v>
      </c>
      <c r="O420" s="153">
        <f ca="1">VLOOKUP($AB$2,'RF Mod'!$A$2:$G$12,5,FALSE)+VLOOKUP($AD$2,'RF Mod'!$I$2:$O$11,5,FALSE)+(TRUNC(6+(24-6)*(TRUNC(MOD(($Z420*1103515245 +12345)/ 65536, 32768),0)/32768),0))</f>
        <v>10</v>
      </c>
      <c r="P420" s="16" t="e">
        <f t="shared" ca="1" si="21"/>
        <v>#NAME?</v>
      </c>
      <c r="Q420" s="153">
        <f ca="1">VLOOKUP($AB$2,'RF Mod'!$A$2:$G$12,6,FALSE)+VLOOKUP($AD$2,'RF Mod'!$I$2:$O$11,6,FALSE)+(TRUNC(6+(24-6)*(TRUNC(MOD(($Z420*1103515245 +12345)/ 65536, 32768),0)/32768),0))</f>
        <v>8</v>
      </c>
      <c r="R420" s="16">
        <f t="shared" ca="1" si="22"/>
        <v>-1</v>
      </c>
      <c r="S420" s="154">
        <f t="shared" ca="1" si="28"/>
        <v>10</v>
      </c>
      <c r="T420" s="154">
        <f t="shared" ca="1" si="23"/>
        <v>9</v>
      </c>
      <c r="U420" s="16" t="str">
        <f t="shared" ca="1" si="24"/>
        <v>Bloody</v>
      </c>
      <c r="V420" s="155">
        <f ca="1">IFERROR(__xludf.DUMMYFUNCTION("if(W420=""Middle Age"",QUERY(NPCVar!$K$2:$N1000, ""Select L where K = '""&amp;AB420&amp;""'""),if(W420=""Old"",QUERY(NPCVar!$K$2:$N1000, ""Select M where K = '""&amp;AB420&amp;""'""),if(W420=""Venerable"",QUERY(NPCVar!$K$2:$N1000, ""Select N where K = '""&amp;AB420&amp;""'""),fa"&amp;"lse)))*X420"),2)</f>
        <v>2</v>
      </c>
      <c r="W420" s="156" t="str">
        <f t="array" ref="W420">INDEX(NPCAgeType,TRUNC(1+(4-1)*(TRUNC(MOD((X420*1103515245 +12345)/ 65536, 32768),0)/32768),0))</f>
        <v>Middle Age</v>
      </c>
      <c r="X420" s="117">
        <f t="shared" si="29"/>
        <v>0.1</v>
      </c>
      <c r="Y420" s="157" t="e">
        <f t="array" aca="1" ref="Y420" ca="1">LOOKUP(ABS(MAX(Z420 + MIN(ABS(INDIRECT("Class Jobs!B"&amp;MATCH(E420,'Class Jobs'!$A$1:$A1000,0)&amp;":"&amp;"AF"&amp;MATCH(E420,'Class Jobs'!$A$1:$A1000,0)&amp;"")-$Z420)) * SUM(IF(MIN(ABS(INDIRECT("Class Jobs!B"&amp;MATCH(E420,'Class Jobs'!$A$1:$A1000,0)&amp;":"&amp;"AF"&amp;MATCH(E420,'Class Jobs'!$A$1:$A1000,0)&amp;"")-$Z420))=ABS(INDIRECT("Class Jobs!B"&amp;MATCH(E420,'Class Jobs'!$A$1:$A1000,0)&amp;":"&amp;"AF"&amp;MATCH(E420,'Class Jobs'!$A$1:$A1000,0)&amp;"")-$Z420),SIGN(INDIRECT("Class Jobs!B"&amp;MATCH(E420,'Class Jobs'!$A$1:A1000,0)&amp;":"&amp;"AF"&amp;MATCH(E420,'Class Jobs'!$A$1:$A1000,0)&amp;"")-$Z420),0)),0)),INDIRECT("Class Jobs!B"&amp;MATCH(E420,'Class Jobs'!$A$1:$A1000,0)&amp;":"&amp;"AF"&amp;MATCH(E420,'Class Jobs'!$A$1:$A1000,1)&amp;""),'Class Jobs'!$B$1:$AF$1)</f>
        <v>#REF!</v>
      </c>
      <c r="Z420" s="158">
        <f t="shared" si="25"/>
        <v>0.02</v>
      </c>
      <c r="AA420" s="16" t="str">
        <f t="array" ref="AA420">INDEX(NPCGender,TRUNC(1+(COUNTA(NPCGender))*(TRUNC(MOD(($B420*1103515245 +12345)/ 65536, 32768),0)/32768),0))</f>
        <v>Male</v>
      </c>
      <c r="AB420" s="16" t="str">
        <f t="array" ref="AB420">INDEX(NPCRace,TRUNC(1+(COUNTA(NPCRace))*(TRUNC(MOD(($B420*1103515245 +12345)/ 65536, 32768),0)/32768),0))</f>
        <v>Dragonborn</v>
      </c>
      <c r="AC420" s="16" t="str">
        <f t="array" ref="AC420">INDEX(NPCAL,TRUNC(1+(COUNTA(NPCAL))*(TRUNC(MOD(($B420*1103515245 +12345)/ 65536, 32768),0)/32768),0))</f>
        <v>CN</v>
      </c>
      <c r="AD420" s="72" t="str">
        <f ca="1">IFERROR(__xludf.DUMMYFUNCTION("if(V420&lt;15,QUERY(NPCVar!C:D,""Select D WHERE C = '""&amp;D420&amp;""'""),if((TRUNC(1+10)*(TRUNC(MOD((ROW(H420)*1103515245 +12345)/ 65536, 32768),0)/32768)/10) &gt; 0.85,INDEX(NPCFaction,TRUNC(1+(counta(NPCFaction)-1)*(TRUNC(MOD(($B420*1103515245 +12345)/ 65536, 3276"&amp;"8),0)/32768),0)),QUERY(NPCVar!C:D,""Select D WHERE C = '""&amp;D420&amp;""'"")))"),"Royalty")</f>
        <v>Royalty</v>
      </c>
      <c r="AE420" s="108" t="e">
        <f t="shared" ca="1" si="26"/>
        <v>#NAME?</v>
      </c>
      <c r="AF420" s="159">
        <f ca="1">IFERROR(__xludf.DUMMYFUNCTION("AE420*(V420 / QUERY(NPCVar!$K$2:$N$12, ""Select N WHERE K='""&amp;AB420&amp;""'""))*TRUNC(1+10)*(TRUNC(MOD(($B420*1103515245 +12345)/ 65536, 32768),0)/32768)"),0)</f>
        <v>0</v>
      </c>
      <c r="AG420" s="16"/>
      <c r="AH420" s="77"/>
      <c r="AI420" s="114"/>
    </row>
    <row r="421" spans="1:35" ht="16.2">
      <c r="A421" s="53">
        <v>420</v>
      </c>
      <c r="B421" s="118">
        <f t="shared" si="31"/>
        <v>1.5293099999999999</v>
      </c>
      <c r="C421" s="72" t="str">
        <f t="array" ref="C421">INDEX(NPCFName,TRUNC(1+(COUNTA(NPCFName))*(TRUNC(MOD(($B421*1103515245 +12345)/ 65536, 32768),0)/32768),0))</f>
        <v>Gib</v>
      </c>
      <c r="D421" s="16" t="str">
        <f t="array" ref="D421">INDEX(NPCLName,TRUNC(1+(COUNTA(NPCLName))*(TRUNC(MOD(($B421*1103515245 +12345)/ 65536, 32768),0)/32768),0))</f>
        <v>Truthdoom</v>
      </c>
      <c r="E421" s="16" t="str">
        <f t="array" ref="E421">INDEX(NPCClass,TRUNC(1+(COUNTA(NPCClass))*(TRUNC(MOD(($B421*1103515245 +12345)/ 65536, 32768),0)/32768),0))</f>
        <v>Cleric</v>
      </c>
      <c r="F421" s="76">
        <v>8</v>
      </c>
      <c r="G421" s="153">
        <f ca="1">VLOOKUP($AB$2,'RF Mod'!$A$2:$G$12,2,FALSE)+VLOOKUP($AD$2,'RF Mod'!$I$2:$O$11,2,FALSE)+(TRUNC(6+(24-6)*(TRUNC(MOD(($Z421*1103515245 +12345)/ 65536, 32768),0)/32768),0))</f>
        <v>11</v>
      </c>
      <c r="H421" s="16" t="e">
        <f t="shared" ca="1" si="17"/>
        <v>#NAME?</v>
      </c>
      <c r="I421" s="153">
        <f ca="1">VLOOKUP($AB$2,'RF Mod'!$A$2:$G$12,3,FALSE)+VLOOKUP($AD$2,'RF Mod'!$I$2:$O$11,3,FALSE)+(TRUNC(6+(24-6)*(TRUNC(MOD(($Z421*1103515245 +12345)/ 65536, 32768),0)/32768),0))</f>
        <v>15</v>
      </c>
      <c r="J421" s="16" t="e">
        <f t="shared" ca="1" si="18"/>
        <v>#NAME?</v>
      </c>
      <c r="K421" s="153">
        <f ca="1">VLOOKUP($AB$2,'RF Mod'!$A$2:$G$12,3,FALSE)+VLOOKUP($AD$2,'RF Mod'!$I$2:$O$11,3,FALSE)+(TRUNC(6+(24-6)*(TRUNC(MOD(($Z421*1103515245 +12345)/ 65536, 32768),0)/32768),0))</f>
        <v>15</v>
      </c>
      <c r="L421" s="16" t="e">
        <f t="shared" ca="1" si="19"/>
        <v>#NAME?</v>
      </c>
      <c r="M421" s="153">
        <f ca="1">VLOOKUP($AB$2,'RF Mod'!$A$2:$G$12,4,FALSE)+VLOOKUP($AD$2,'RF Mod'!$I$2:$O$11,4,FALSE)+(TRUNC(6+(24-6)*(TRUNC(MOD(($Z421*1103515245 +12345)/ 65536, 32768),0)/32768),0))</f>
        <v>14</v>
      </c>
      <c r="N421" s="16" t="e">
        <f t="shared" ca="1" si="20"/>
        <v>#NAME?</v>
      </c>
      <c r="O421" s="153">
        <f ca="1">VLOOKUP($AB$2,'RF Mod'!$A$2:$G$12,5,FALSE)+VLOOKUP($AD$2,'RF Mod'!$I$2:$O$11,5,FALSE)+(TRUNC(6+(24-6)*(TRUNC(MOD(($Z421*1103515245 +12345)/ 65536, 32768),0)/32768),0))</f>
        <v>17</v>
      </c>
      <c r="P421" s="16" t="e">
        <f t="shared" ca="1" si="21"/>
        <v>#NAME?</v>
      </c>
      <c r="Q421" s="153">
        <f ca="1">VLOOKUP($AB$2,'RF Mod'!$A$2:$G$12,6,FALSE)+VLOOKUP($AD$2,'RF Mod'!$I$2:$O$11,6,FALSE)+(TRUNC(6+(24-6)*(TRUNC(MOD(($Z421*1103515245 +12345)/ 65536, 32768),0)/32768),0))</f>
        <v>15</v>
      </c>
      <c r="R421" s="16" t="e">
        <f t="shared" ca="1" si="22"/>
        <v>#NAME?</v>
      </c>
      <c r="S421" s="154">
        <f t="shared" ca="1" si="28"/>
        <v>216</v>
      </c>
      <c r="T421" s="154">
        <f t="shared" ca="1" si="23"/>
        <v>96</v>
      </c>
      <c r="U421" s="16" t="str">
        <f t="shared" ca="1" si="24"/>
        <v>Fine</v>
      </c>
      <c r="V421" s="155">
        <f ca="1">IFERROR(__xludf.DUMMYFUNCTION("if(W421=""Middle Age"",QUERY(NPCVar!$K$2:$N1000, ""Select L where K = '""&amp;AB421&amp;""'""),if(W421=""Old"",QUERY(NPCVar!$K$2:$N1000, ""Select M where K = '""&amp;AB421&amp;""'""),if(W421=""Venerable"",QUERY(NPCVar!$K$2:$N1000, ""Select N where K = '""&amp;AB421&amp;""'""),fa"&amp;"lse)))*X421"),190)</f>
        <v>190</v>
      </c>
      <c r="W421" s="156" t="str">
        <f t="array" ref="W421">INDEX(NPCAgeType,TRUNC(1+(4-1)*(TRUNC(MOD((X421*1103515245 +12345)/ 65536, 32768),0)/32768),0))</f>
        <v>Venerable</v>
      </c>
      <c r="X421" s="117">
        <f t="shared" si="29"/>
        <v>1.9</v>
      </c>
      <c r="Y421" s="157" t="e">
        <f t="array" aca="1" ref="Y421" ca="1">LOOKUP(ABS(MAX(Z421 + MIN(ABS(INDIRECT("Class Jobs!B"&amp;MATCH(E421,'Class Jobs'!$A$1:$A1000,0)&amp;":"&amp;"AF"&amp;MATCH(E421,'Class Jobs'!$A$1:$A1000,0)&amp;"")-$Z421)) * SUM(IF(MIN(ABS(INDIRECT("Class Jobs!B"&amp;MATCH(E421,'Class Jobs'!$A$1:$A1000,0)&amp;":"&amp;"AF"&amp;MATCH(E421,'Class Jobs'!$A$1:$A1000,0)&amp;"")-$Z421))=ABS(INDIRECT("Class Jobs!B"&amp;MATCH(E421,'Class Jobs'!$A$1:$A1000,0)&amp;":"&amp;"AF"&amp;MATCH(E421,'Class Jobs'!$A$1:$A1000,0)&amp;"")-$Z421),SIGN(INDIRECT("Class Jobs!B"&amp;MATCH(E421,'Class Jobs'!$A$1:A1000,0)&amp;":"&amp;"AF"&amp;MATCH(E421,'Class Jobs'!$A$1:$A1000,0)&amp;"")-$Z421),0)),0)),INDIRECT("Class Jobs!B"&amp;MATCH(E421,'Class Jobs'!$A$1:$A1000,0)&amp;":"&amp;"AF"&amp;MATCH(E421,'Class Jobs'!$A$1:$A1000,1)&amp;""),'Class Jobs'!$B$1:$AF$1)</f>
        <v>#REF!</v>
      </c>
      <c r="Z421" s="158">
        <f t="shared" si="25"/>
        <v>0.78</v>
      </c>
      <c r="AA421" s="16" t="str">
        <f t="array" ref="AA421">INDEX(NPCGender,TRUNC(1+(COUNTA(NPCGender))*(TRUNC(MOD(($B421*1103515245 +12345)/ 65536, 32768),0)/32768),0))</f>
        <v>Neutral</v>
      </c>
      <c r="AB421" s="16" t="str">
        <f t="array" ref="AB421">INDEX(NPCRace,TRUNC(1+(COUNTA(NPCRace))*(TRUNC(MOD(($B421*1103515245 +12345)/ 65536, 32768),0)/32768),0))</f>
        <v>Tiefling</v>
      </c>
      <c r="AC421" s="16" t="str">
        <f t="array" ref="AC421">INDEX(NPCAL,TRUNC(1+(COUNTA(NPCAL))*(TRUNC(MOD(($B421*1103515245 +12345)/ 65536, 32768),0)/32768),0))</f>
        <v>LN</v>
      </c>
      <c r="AD421" s="72" t="str">
        <f ca="1">IFERROR(__xludf.DUMMYFUNCTION("if(V421&lt;15,QUERY(NPCVar!C:D,""Select D WHERE C = '""&amp;D421&amp;""'""),if((TRUNC(1+10)*(TRUNC(MOD((ROW(H421)*1103515245 +12345)/ 65536, 32768),0)/32768)/10) &gt; 0.85,INDEX(NPCFaction,TRUNC(1+(counta(NPCFaction)-1)*(TRUNC(MOD(($B421*1103515245 +12345)/ 65536, 3276"&amp;"8),0)/32768),0)),QUERY(NPCVar!C:D,""Select D WHERE C = '""&amp;D421&amp;""'"")))"),"Traverlers Guild")</f>
        <v>Traverlers Guild</v>
      </c>
      <c r="AE421" s="108" t="e">
        <f t="shared" ca="1" si="26"/>
        <v>#NAME?</v>
      </c>
      <c r="AF421" s="159">
        <f ca="1">IFERROR(__xludf.DUMMYFUNCTION("AE421*(V421 / QUERY(NPCVar!$K$2:$N$12, ""Select N WHERE K='""&amp;AB421&amp;""'""))*TRUNC(1+10)*(TRUNC(MOD(($B421*1103515245 +12345)/ 65536, 32768),0)/32768)"),14.7819918823242)</f>
        <v>14.781991882324199</v>
      </c>
      <c r="AG421" s="16"/>
      <c r="AH421" s="77"/>
      <c r="AI421" s="114"/>
    </row>
    <row r="422" spans="1:35" ht="16.2">
      <c r="A422" s="53">
        <v>421</v>
      </c>
      <c r="B422" s="118">
        <f t="shared" si="31"/>
        <v>0.52346000000000004</v>
      </c>
      <c r="C422" s="72" t="str">
        <f t="array" ref="C422">INDEX(NPCFName,TRUNC(1+(COUNTA(NPCFName))*(TRUNC(MOD(($B422*1103515245 +12345)/ 65536, 32768),0)/32768),0))</f>
        <v>Shillen</v>
      </c>
      <c r="D422" s="16" t="str">
        <f t="array" ref="D422">INDEX(NPCLName,TRUNC(1+(COUNTA(NPCLName))*(TRUNC(MOD(($B422*1103515245 +12345)/ 65536, 32768),0)/32768),0))</f>
        <v>Commonscream</v>
      </c>
      <c r="E422" s="16" t="str">
        <f t="array" ref="E422">INDEX(NPCClass,TRUNC(1+(COUNTA(NPCClass))*(TRUNC(MOD(($B422*1103515245 +12345)/ 65536, 32768),0)/32768),0))</f>
        <v>Monk</v>
      </c>
      <c r="F422" s="76">
        <v>1</v>
      </c>
      <c r="G422" s="153">
        <f ca="1">VLOOKUP($AB$2,'RF Mod'!$A$2:$G$12,2,FALSE)+VLOOKUP($AD$2,'RF Mod'!$I$2:$O$11,2,FALSE)+(TRUNC(6+(24-6)*(TRUNC(MOD(($Z422*1103515245 +12345)/ 65536, 32768),0)/32768),0))</f>
        <v>6</v>
      </c>
      <c r="H422" s="16">
        <f t="shared" ca="1" si="17"/>
        <v>-2</v>
      </c>
      <c r="I422" s="153">
        <f ca="1">VLOOKUP($AB$2,'RF Mod'!$A$2:$G$12,3,FALSE)+VLOOKUP($AD$2,'RF Mod'!$I$2:$O$11,3,FALSE)+(TRUNC(6+(24-6)*(TRUNC(MOD(($Z422*1103515245 +12345)/ 65536, 32768),0)/32768),0))</f>
        <v>10</v>
      </c>
      <c r="J422" s="16" t="e">
        <f t="shared" ca="1" si="18"/>
        <v>#NAME?</v>
      </c>
      <c r="K422" s="153">
        <f ca="1">VLOOKUP($AB$2,'RF Mod'!$A$2:$G$12,3,FALSE)+VLOOKUP($AD$2,'RF Mod'!$I$2:$O$11,3,FALSE)+(TRUNC(6+(24-6)*(TRUNC(MOD(($Z422*1103515245 +12345)/ 65536, 32768),0)/32768),0))</f>
        <v>10</v>
      </c>
      <c r="L422" s="16" t="e">
        <f t="shared" ca="1" si="19"/>
        <v>#NAME?</v>
      </c>
      <c r="M422" s="153">
        <f ca="1">VLOOKUP($AB$2,'RF Mod'!$A$2:$G$12,4,FALSE)+VLOOKUP($AD$2,'RF Mod'!$I$2:$O$11,4,FALSE)+(TRUNC(6+(24-6)*(TRUNC(MOD(($Z422*1103515245 +12345)/ 65536, 32768),0)/32768),0))</f>
        <v>9</v>
      </c>
      <c r="N422" s="16">
        <f t="shared" ca="1" si="20"/>
        <v>-1</v>
      </c>
      <c r="O422" s="153">
        <f ca="1">VLOOKUP($AB$2,'RF Mod'!$A$2:$G$12,5,FALSE)+VLOOKUP($AD$2,'RF Mod'!$I$2:$O$11,5,FALSE)+(TRUNC(6+(24-6)*(TRUNC(MOD(($Z422*1103515245 +12345)/ 65536, 32768),0)/32768),0))</f>
        <v>12</v>
      </c>
      <c r="P422" s="16" t="e">
        <f t="shared" ca="1" si="21"/>
        <v>#NAME?</v>
      </c>
      <c r="Q422" s="153">
        <f ca="1">VLOOKUP($AB$2,'RF Mod'!$A$2:$G$12,6,FALSE)+VLOOKUP($AD$2,'RF Mod'!$I$2:$O$11,6,FALSE)+(TRUNC(6+(24-6)*(TRUNC(MOD(($Z422*1103515245 +12345)/ 65536, 32768),0)/32768),0))</f>
        <v>10</v>
      </c>
      <c r="R422" s="16" t="e">
        <f t="shared" ca="1" si="22"/>
        <v>#NAME?</v>
      </c>
      <c r="S422" s="154">
        <f t="shared" ca="1" si="28"/>
        <v>12</v>
      </c>
      <c r="T422" s="154">
        <f t="shared" ca="1" si="23"/>
        <v>4</v>
      </c>
      <c r="U422" s="16" t="str">
        <f t="shared" ca="1" si="24"/>
        <v>Fine</v>
      </c>
      <c r="V422" s="155">
        <f ca="1">IFERROR(__xludf.DUMMYFUNCTION("if(W422=""Middle Age"",QUERY(NPCVar!$K$2:$N1000, ""Select L where K = '""&amp;AB422&amp;""'""),if(W422=""Old"",QUERY(NPCVar!$K$2:$N1000, ""Select M where K = '""&amp;AB422&amp;""'""),if(W422=""Venerable"",QUERY(NPCVar!$K$2:$N1000, ""Select N where K = '""&amp;AB422&amp;""'""),fa"&amp;"lse)))*X422"),196.875)</f>
        <v>196.875</v>
      </c>
      <c r="W422" s="156" t="str">
        <f t="array" ref="W422">INDEX(NPCAgeType,TRUNC(1+(4-1)*(TRUNC(MOD((X422*1103515245 +12345)/ 65536, 32768),0)/32768),0))</f>
        <v>Old</v>
      </c>
      <c r="X422" s="117">
        <f t="shared" si="29"/>
        <v>0.7</v>
      </c>
      <c r="Y422" s="157" t="e">
        <f t="array" aca="1" ref="Y422" ca="1">LOOKUP(ABS(MAX(Z422 + MIN(ABS(INDIRECT("Class Jobs!B"&amp;MATCH(E422,'Class Jobs'!$A$1:$A1000,0)&amp;":"&amp;"AF"&amp;MATCH(E422,'Class Jobs'!$A$1:$A1000,0)&amp;"")-$Z422)) * SUM(IF(MIN(ABS(INDIRECT("Class Jobs!B"&amp;MATCH(E422,'Class Jobs'!$A$1:$A1000,0)&amp;":"&amp;"AF"&amp;MATCH(E422,'Class Jobs'!$A$1:$A1000,0)&amp;"")-$Z422))=ABS(INDIRECT("Class Jobs!B"&amp;MATCH(E422,'Class Jobs'!$A$1:$A1000,0)&amp;":"&amp;"AF"&amp;MATCH(E422,'Class Jobs'!$A$1:$A1000,0)&amp;"")-$Z422),SIGN(INDIRECT("Class Jobs!B"&amp;MATCH(E422,'Class Jobs'!$A$1:A1000,0)&amp;":"&amp;"AF"&amp;MATCH(E422,'Class Jobs'!$A$1:$A1000,0)&amp;"")-$Z422),0)),0)),INDIRECT("Class Jobs!B"&amp;MATCH(E422,'Class Jobs'!$A$1:$A1000,0)&amp;":"&amp;"AF"&amp;MATCH(E422,'Class Jobs'!$A$1:$A1000,1)&amp;""),'Class Jobs'!$B$1:$AF$1)</f>
        <v>#REF!</v>
      </c>
      <c r="Z422" s="158">
        <f t="shared" si="25"/>
        <v>0.27</v>
      </c>
      <c r="AA422" s="16" t="str">
        <f t="array" ref="AA422">INDEX(NPCGender,TRUNC(1+(COUNTA(NPCGender))*(TRUNC(MOD(($B422*1103515245 +12345)/ 65536, 32768),0)/32768),0))</f>
        <v>Male</v>
      </c>
      <c r="AB422" s="16" t="str">
        <f t="array" ref="AB422">INDEX(NPCRace,TRUNC(1+(COUNTA(NPCRace))*(TRUNC(MOD(($B422*1103515245 +12345)/ 65536, 32768),0)/32768),0))</f>
        <v>Elf</v>
      </c>
      <c r="AC422" s="16" t="str">
        <f t="array" ref="AC422">INDEX(NPCAL,TRUNC(1+(COUNTA(NPCAL))*(TRUNC(MOD(($B422*1103515245 +12345)/ 65536, 32768),0)/32768),0))</f>
        <v>CG</v>
      </c>
      <c r="AD422" s="72" t="str">
        <f ca="1">IFERROR(__xludf.DUMMYFUNCTION("if(V422&lt;15,QUERY(NPCVar!C:D,""Select D WHERE C = '""&amp;D422&amp;""'""),if((TRUNC(1+10)*(TRUNC(MOD((ROW(H422)*1103515245 +12345)/ 65536, 32768),0)/32768)/10) &gt; 0.85,INDEX(NPCFaction,TRUNC(1+(counta(NPCFaction)-1)*(TRUNC(MOD(($B422*1103515245 +12345)/ 65536, 3276"&amp;"8),0)/32768),0)),QUERY(NPCVar!C:D,""Select D WHERE C = '""&amp;D422&amp;""'"")))"),"Traders Guild")</f>
        <v>Traders Guild</v>
      </c>
      <c r="AE422" s="108" t="e">
        <f t="shared" ca="1" si="26"/>
        <v>#NAME?</v>
      </c>
      <c r="AF422" s="159">
        <f ca="1">IFERROR(__xludf.DUMMYFUNCTION("AE422*(V422 / QUERY(NPCVar!$K$2:$N$12, ""Select N WHERE K='""&amp;AB422&amp;""'""))*TRUNC(1+10)*(TRUNC(MOD(($B422*1103515245 +12345)/ 65536, 32768),0)/32768)"),0.15533706665039)</f>
        <v>0.15533706665038999</v>
      </c>
      <c r="AG422" s="16"/>
      <c r="AH422" s="77"/>
      <c r="AI422" s="114"/>
    </row>
    <row r="423" spans="1:35" ht="16.2">
      <c r="A423" s="53">
        <v>422</v>
      </c>
      <c r="B423" s="118">
        <f t="shared" si="31"/>
        <v>2.0175900000000002</v>
      </c>
      <c r="C423" s="72" t="str">
        <f t="array" ref="C423">INDEX(NPCFName,TRUNC(1+(COUNTA(NPCFName))*(TRUNC(MOD(($B423*1103515245 +12345)/ 65536, 32768),0)/32768),0))</f>
        <v>Breanon</v>
      </c>
      <c r="D423" s="16" t="str">
        <f t="array" ref="D423">INDEX(NPCLName,TRUNC(1+(COUNTA(NPCLName))*(TRUNC(MOD(($B423*1103515245 +12345)/ 65536, 32768),0)/32768),0))</f>
        <v>Crystalgazer</v>
      </c>
      <c r="E423" s="16" t="str">
        <f t="array" ref="E423">INDEX(NPCClass,TRUNC(1+(COUNTA(NPCClass))*(TRUNC(MOD(($B423*1103515245 +12345)/ 65536, 32768),0)/32768),0))</f>
        <v>Barbarian</v>
      </c>
      <c r="F423" s="76">
        <v>1</v>
      </c>
      <c r="G423" s="153">
        <f ca="1">VLOOKUP($AB$2,'RF Mod'!$A$2:$G$12,2,FALSE)+VLOOKUP($AD$2,'RF Mod'!$I$2:$O$11,2,FALSE)+(TRUNC(6+(24-6)*(TRUNC(MOD(($Z423*1103515245 +12345)/ 65536, 32768),0)/32768),0))</f>
        <v>4</v>
      </c>
      <c r="H423" s="16">
        <f t="shared" ca="1" si="17"/>
        <v>-3</v>
      </c>
      <c r="I423" s="153">
        <f ca="1">VLOOKUP($AB$2,'RF Mod'!$A$2:$G$12,3,FALSE)+VLOOKUP($AD$2,'RF Mod'!$I$2:$O$11,3,FALSE)+(TRUNC(6+(24-6)*(TRUNC(MOD(($Z423*1103515245 +12345)/ 65536, 32768),0)/32768),0))</f>
        <v>8</v>
      </c>
      <c r="J423" s="16">
        <f t="shared" ca="1" si="18"/>
        <v>-1</v>
      </c>
      <c r="K423" s="153">
        <f ca="1">VLOOKUP($AB$2,'RF Mod'!$A$2:$G$12,3,FALSE)+VLOOKUP($AD$2,'RF Mod'!$I$2:$O$11,3,FALSE)+(TRUNC(6+(24-6)*(TRUNC(MOD(($Z423*1103515245 +12345)/ 65536, 32768),0)/32768),0))</f>
        <v>8</v>
      </c>
      <c r="L423" s="16">
        <f t="shared" ca="1" si="19"/>
        <v>-1</v>
      </c>
      <c r="M423" s="153">
        <f ca="1">VLOOKUP($AB$2,'RF Mod'!$A$2:$G$12,4,FALSE)+VLOOKUP($AD$2,'RF Mod'!$I$2:$O$11,4,FALSE)+(TRUNC(6+(24-6)*(TRUNC(MOD(($Z423*1103515245 +12345)/ 65536, 32768),0)/32768),0))</f>
        <v>7</v>
      </c>
      <c r="N423" s="16">
        <f t="shared" ca="1" si="20"/>
        <v>-2</v>
      </c>
      <c r="O423" s="153">
        <f ca="1">VLOOKUP($AB$2,'RF Mod'!$A$2:$G$12,5,FALSE)+VLOOKUP($AD$2,'RF Mod'!$I$2:$O$11,5,FALSE)+(TRUNC(6+(24-6)*(TRUNC(MOD(($Z423*1103515245 +12345)/ 65536, 32768),0)/32768),0))</f>
        <v>10</v>
      </c>
      <c r="P423" s="16" t="e">
        <f t="shared" ca="1" si="21"/>
        <v>#NAME?</v>
      </c>
      <c r="Q423" s="153">
        <f ca="1">VLOOKUP($AB$2,'RF Mod'!$A$2:$G$12,6,FALSE)+VLOOKUP($AD$2,'RF Mod'!$I$2:$O$11,6,FALSE)+(TRUNC(6+(24-6)*(TRUNC(MOD(($Z423*1103515245 +12345)/ 65536, 32768),0)/32768),0))</f>
        <v>8</v>
      </c>
      <c r="R423" s="16">
        <f t="shared" ca="1" si="22"/>
        <v>-1</v>
      </c>
      <c r="S423" s="154">
        <f t="shared" ca="1" si="28"/>
        <v>10</v>
      </c>
      <c r="T423" s="154">
        <f t="shared" ca="1" si="23"/>
        <v>2</v>
      </c>
      <c r="U423" s="16" t="str">
        <f t="shared" ca="1" si="24"/>
        <v>Fine</v>
      </c>
      <c r="V423" s="155">
        <f ca="1">IFERROR(__xludf.DUMMYFUNCTION("if(W423=""Middle Age"",QUERY(NPCVar!$K$2:$N1000, ""Select L where K = '""&amp;AB423&amp;""'""),if(W423=""Old"",QUERY(NPCVar!$K$2:$N1000, ""Select M where K = '""&amp;AB423&amp;""'""),if(W423=""Venerable"",QUERY(NPCVar!$K$2:$N1000, ""Select N where K = '""&amp;AB423&amp;""'""),fa"&amp;"lse)))*X423"),2)</f>
        <v>2</v>
      </c>
      <c r="W423" s="156" t="str">
        <f t="array" ref="W423">INDEX(NPCAgeType,TRUNC(1+(4-1)*(TRUNC(MOD((X423*1103515245 +12345)/ 65536, 32768),0)/32768),0))</f>
        <v>Middle Age</v>
      </c>
      <c r="X423" s="117">
        <f t="shared" si="29"/>
        <v>0.1</v>
      </c>
      <c r="Y423" s="157" t="e">
        <f t="array" aca="1" ref="Y423" ca="1">LOOKUP(ABS(MAX(Z423 + MIN(ABS(INDIRECT("Class Jobs!B"&amp;MATCH(E423,'Class Jobs'!$A$1:$A1000,0)&amp;":"&amp;"AF"&amp;MATCH(E423,'Class Jobs'!$A$1:$A1000,0)&amp;"")-$Z423)) * SUM(IF(MIN(ABS(INDIRECT("Class Jobs!B"&amp;MATCH(E423,'Class Jobs'!$A$1:$A1000,0)&amp;":"&amp;"AF"&amp;MATCH(E423,'Class Jobs'!$A$1:$A1000,0)&amp;"")-$Z423))=ABS(INDIRECT("Class Jobs!B"&amp;MATCH(E423,'Class Jobs'!$A$1:$A1000,0)&amp;":"&amp;"AF"&amp;MATCH(E423,'Class Jobs'!$A$1:$A1000,0)&amp;"")-$Z423),SIGN(INDIRECT("Class Jobs!B"&amp;MATCH(E423,'Class Jobs'!$A$1:A1000,0)&amp;":"&amp;"AF"&amp;MATCH(E423,'Class Jobs'!$A$1:$A1000,0)&amp;"")-$Z423),0)),0)),INDIRECT("Class Jobs!B"&amp;MATCH(E423,'Class Jobs'!$A$1:$A1000,0)&amp;":"&amp;"AF"&amp;MATCH(E423,'Class Jobs'!$A$1:$A1000,1)&amp;""),'Class Jobs'!$B$1:$AF$1)</f>
        <v>#REF!</v>
      </c>
      <c r="Z423" s="158">
        <f t="shared" si="25"/>
        <v>0.04</v>
      </c>
      <c r="AA423" s="16" t="str">
        <f t="array" ref="AA423">INDEX(NPCGender,TRUNC(1+(COUNTA(NPCGender))*(TRUNC(MOD(($B423*1103515245 +12345)/ 65536, 32768),0)/32768),0))</f>
        <v>Male</v>
      </c>
      <c r="AB423" s="16" t="str">
        <f t="array" ref="AB423">INDEX(NPCRace,TRUNC(1+(COUNTA(NPCRace))*(TRUNC(MOD(($B423*1103515245 +12345)/ 65536, 32768),0)/32768),0))</f>
        <v>Dragonborn</v>
      </c>
      <c r="AC423" s="16" t="str">
        <f t="array" ref="AC423">INDEX(NPCAL,TRUNC(1+(COUNTA(NPCAL))*(TRUNC(MOD(($B423*1103515245 +12345)/ 65536, 32768),0)/32768),0))</f>
        <v>CN</v>
      </c>
      <c r="AD423" s="72" t="str">
        <f ca="1">IFERROR(__xludf.DUMMYFUNCTION("if(V423&lt;15,QUERY(NPCVar!C:D,""Select D WHERE C = '""&amp;D423&amp;""'""),if((TRUNC(1+10)*(TRUNC(MOD((ROW(H423)*1103515245 +12345)/ 65536, 32768),0)/32768)/10) &gt; 0.85,INDEX(NPCFaction,TRUNC(1+(counta(NPCFaction)-1)*(TRUNC(MOD(($B423*1103515245 +12345)/ 65536, 3276"&amp;"8),0)/32768),0)),QUERY(NPCVar!C:D,""Select D WHERE C = '""&amp;D423&amp;""'"")))"),"Death Guild")</f>
        <v>Death Guild</v>
      </c>
      <c r="AE423" s="108" t="e">
        <f t="shared" ca="1" si="26"/>
        <v>#NAME?</v>
      </c>
      <c r="AF423" s="159">
        <f ca="1">IFERROR(__xludf.DUMMYFUNCTION("AE423*(V423 / QUERY(NPCVar!$K$2:$N$12, ""Select N WHERE K='""&amp;AB423&amp;""'""))*TRUNC(1+10)*(TRUNC(MOD(($B423*1103515245 +12345)/ 65536, 32768),0)/32768)"),0.00505218505859375)</f>
        <v>5.0521850585937503E-3</v>
      </c>
      <c r="AG423" s="16"/>
      <c r="AH423" s="77"/>
      <c r="AI423" s="114"/>
    </row>
    <row r="424" spans="1:35" ht="16.2">
      <c r="A424" s="53">
        <v>423</v>
      </c>
      <c r="B424" s="118">
        <f t="shared" si="31"/>
        <v>1.01173</v>
      </c>
      <c r="C424" s="72" t="str">
        <f t="array" ref="C424">INDEX(NPCFName,TRUNC(1+(COUNTA(NPCFName))*(TRUNC(MOD(($B424*1103515245 +12345)/ 65536, 32768),0)/32768),0))</f>
        <v>Medarin</v>
      </c>
      <c r="D424" s="16" t="str">
        <f t="array" ref="D424">INDEX(NPCLName,TRUNC(1+(COUNTA(NPCLName))*(TRUNC(MOD(($B424*1103515245 +12345)/ 65536, 32768),0)/32768),0))</f>
        <v>Staghammer</v>
      </c>
      <c r="E424" s="16" t="str">
        <f t="array" ref="E424">INDEX(NPCClass,TRUNC(1+(COUNTA(NPCClass))*(TRUNC(MOD(($B424*1103515245 +12345)/ 65536, 32768),0)/32768),0))</f>
        <v>Sorcerer</v>
      </c>
      <c r="F424" s="76">
        <v>8</v>
      </c>
      <c r="G424" s="153">
        <f ca="1">VLOOKUP($AB$2,'RF Mod'!$A$2:$G$12,2,FALSE)+VLOOKUP($AD$2,'RF Mod'!$I$2:$O$11,2,FALSE)+(TRUNC(6+(24-6)*(TRUNC(MOD(($Z424*1103515245 +12345)/ 65536, 32768),0)/32768),0))</f>
        <v>8</v>
      </c>
      <c r="H424" s="16">
        <f t="shared" ca="1" si="17"/>
        <v>-1</v>
      </c>
      <c r="I424" s="153">
        <f ca="1">VLOOKUP($AB$2,'RF Mod'!$A$2:$G$12,3,FALSE)+VLOOKUP($AD$2,'RF Mod'!$I$2:$O$11,3,FALSE)+(TRUNC(6+(24-6)*(TRUNC(MOD(($Z424*1103515245 +12345)/ 65536, 32768),0)/32768),0))</f>
        <v>12</v>
      </c>
      <c r="J424" s="16" t="e">
        <f t="shared" ca="1" si="18"/>
        <v>#NAME?</v>
      </c>
      <c r="K424" s="153">
        <f ca="1">VLOOKUP($AB$2,'RF Mod'!$A$2:$G$12,3,FALSE)+VLOOKUP($AD$2,'RF Mod'!$I$2:$O$11,3,FALSE)+(TRUNC(6+(24-6)*(TRUNC(MOD(($Z424*1103515245 +12345)/ 65536, 32768),0)/32768),0))</f>
        <v>12</v>
      </c>
      <c r="L424" s="16" t="e">
        <f t="shared" ca="1" si="19"/>
        <v>#NAME?</v>
      </c>
      <c r="M424" s="153">
        <f ca="1">VLOOKUP($AB$2,'RF Mod'!$A$2:$G$12,4,FALSE)+VLOOKUP($AD$2,'RF Mod'!$I$2:$O$11,4,FALSE)+(TRUNC(6+(24-6)*(TRUNC(MOD(($Z424*1103515245 +12345)/ 65536, 32768),0)/32768),0))</f>
        <v>11</v>
      </c>
      <c r="N424" s="16" t="e">
        <f t="shared" ca="1" si="20"/>
        <v>#NAME?</v>
      </c>
      <c r="O424" s="153">
        <f ca="1">VLOOKUP($AB$2,'RF Mod'!$A$2:$G$12,5,FALSE)+VLOOKUP($AD$2,'RF Mod'!$I$2:$O$11,5,FALSE)+(TRUNC(6+(24-6)*(TRUNC(MOD(($Z424*1103515245 +12345)/ 65536, 32768),0)/32768),0))</f>
        <v>14</v>
      </c>
      <c r="P424" s="16" t="e">
        <f t="shared" ca="1" si="21"/>
        <v>#NAME?</v>
      </c>
      <c r="Q424" s="153">
        <f ca="1">VLOOKUP($AB$2,'RF Mod'!$A$2:$G$12,6,FALSE)+VLOOKUP($AD$2,'RF Mod'!$I$2:$O$11,6,FALSE)+(TRUNC(6+(24-6)*(TRUNC(MOD(($Z424*1103515245 +12345)/ 65536, 32768),0)/32768),0))</f>
        <v>12</v>
      </c>
      <c r="R424" s="16" t="e">
        <f t="shared" ca="1" si="22"/>
        <v>#NAME?</v>
      </c>
      <c r="S424" s="154">
        <f t="shared" ca="1" si="28"/>
        <v>240</v>
      </c>
      <c r="T424" s="154">
        <f t="shared" ca="1" si="23"/>
        <v>258</v>
      </c>
      <c r="U424" s="16" t="str">
        <f t="shared" ca="1" si="24"/>
        <v>Dead</v>
      </c>
      <c r="V424" s="155">
        <f ca="1">IFERROR(__xludf.DUMMYFUNCTION("if(W424=""Middle Age"",QUERY(NPCVar!$K$2:$N1000, ""Select L where K = '""&amp;AB424&amp;""'""),if(W424=""Old"",QUERY(NPCVar!$K$2:$N1000, ""Select M where K = '""&amp;AB424&amp;""'""),if(W424=""Venerable"",QUERY(NPCVar!$K$2:$N1000, ""Select N where K = '""&amp;AB424&amp;""'""),fa"&amp;"lse)))*X424"),91)</f>
        <v>91</v>
      </c>
      <c r="W424" s="156" t="str">
        <f t="array" ref="W424">INDEX(NPCAgeType,TRUNC(1+(4-1)*(TRUNC(MOD((X424*1103515245 +12345)/ 65536, 32768),0)/32768),0))</f>
        <v>Venerable</v>
      </c>
      <c r="X424" s="117">
        <f t="shared" si="29"/>
        <v>1.3</v>
      </c>
      <c r="Y424" s="157" t="e">
        <f t="array" aca="1" ref="Y424" ca="1">LOOKUP(ABS(MAX(Z424 + MIN(ABS(INDIRECT("Class Jobs!B"&amp;MATCH(E424,'Class Jobs'!$A$1:$A1000,0)&amp;":"&amp;"AF"&amp;MATCH(E424,'Class Jobs'!$A$1:$A1000,0)&amp;"")-$Z424)) * SUM(IF(MIN(ABS(INDIRECT("Class Jobs!B"&amp;MATCH(E424,'Class Jobs'!$A$1:$A1000,0)&amp;":"&amp;"AF"&amp;MATCH(E424,'Class Jobs'!$A$1:$A1000,0)&amp;"")-$Z424))=ABS(INDIRECT("Class Jobs!B"&amp;MATCH(E424,'Class Jobs'!$A$1:$A1000,0)&amp;":"&amp;"AF"&amp;MATCH(E424,'Class Jobs'!$A$1:$A1000,0)&amp;"")-$Z424),SIGN(INDIRECT("Class Jobs!B"&amp;MATCH(E424,'Class Jobs'!$A$1:A1000,0)&amp;":"&amp;"AF"&amp;MATCH(E424,'Class Jobs'!$A$1:$A1000,0)&amp;"")-$Z424),0)),0)),INDIRECT("Class Jobs!B"&amp;MATCH(E424,'Class Jobs'!$A$1:$A1000,0)&amp;":"&amp;"AF"&amp;MATCH(E424,'Class Jobs'!$A$1:$A1000,1)&amp;""),'Class Jobs'!$B$1:$AF$1)</f>
        <v>#REF!</v>
      </c>
      <c r="Z424" s="158">
        <f t="shared" si="25"/>
        <v>0.52</v>
      </c>
      <c r="AA424" s="16" t="str">
        <f t="array" ref="AA424">INDEX(NPCGender,TRUNC(1+(COUNTA(NPCGender))*(TRUNC(MOD(($B424*1103515245 +12345)/ 65536, 32768),0)/32768),0))</f>
        <v>Female</v>
      </c>
      <c r="AB424" s="16" t="str">
        <f t="array" ref="AB424">INDEX(NPCRace,TRUNC(1+(COUNTA(NPCRace))*(TRUNC(MOD(($B424*1103515245 +12345)/ 65536, 32768),0)/32768),0))</f>
        <v>Half-Orc</v>
      </c>
      <c r="AC424" s="16" t="str">
        <f t="array" ref="AC424">INDEX(NPCAL,TRUNC(1+(COUNTA(NPCAL))*(TRUNC(MOD(($B424*1103515245 +12345)/ 65536, 32768),0)/32768),0))</f>
        <v>NN</v>
      </c>
      <c r="AD424" s="72" t="str">
        <f ca="1">IFERROR(__xludf.DUMMYFUNCTION("if(V424&lt;15,QUERY(NPCVar!C:D,""Select D WHERE C = '""&amp;D424&amp;""'""),if((TRUNC(1+10)*(TRUNC(MOD((ROW(H424)*1103515245 +12345)/ 65536, 32768),0)/32768)/10) &gt; 0.85,INDEX(NPCFaction,TRUNC(1+(counta(NPCFaction)-1)*(TRUNC(MOD(($B424*1103515245 +12345)/ 65536, 3276"&amp;"8),0)/32768),0)),QUERY(NPCVar!C:D,""Select D WHERE C = '""&amp;D424&amp;""'"")))"),"Thieves Guild")</f>
        <v>Thieves Guild</v>
      </c>
      <c r="AE424" s="108" t="e">
        <f t="shared" ca="1" si="26"/>
        <v>#NAME?</v>
      </c>
      <c r="AF424" s="159">
        <f ca="1">IFERROR(__xludf.DUMMYFUNCTION("AE424*(V424 / QUERY(NPCVar!$K$2:$N$12, ""Select N WHERE K='""&amp;AB424&amp;""'""))*TRUNC(1+10)*(TRUNC(MOD(($B424*1103515245 +12345)/ 65536, 32768),0)/32768)"),3.71726684570312)</f>
        <v>3.7172668457031199</v>
      </c>
      <c r="AG424" s="16"/>
      <c r="AH424" s="77"/>
      <c r="AI424" s="114"/>
    </row>
    <row r="425" spans="1:35" ht="16.2">
      <c r="A425" s="53">
        <v>424</v>
      </c>
      <c r="B425" s="118">
        <f t="shared" si="31"/>
        <v>5.8799999999999998E-3</v>
      </c>
      <c r="C425" s="72" t="str">
        <f t="array" ref="C425">INDEX(NPCFName,TRUNC(1+(COUNTA(NPCFName))*(TRUNC(MOD(($B425*1103515245 +12345)/ 65536, 32768),0)/32768),0))</f>
        <v>Acamen</v>
      </c>
      <c r="D425" s="16" t="str">
        <f t="array" ref="D425">INDEX(NPCLName,TRUNC(1+(COUNTA(NPCLName))*(TRUNC(MOD(($B425*1103515245 +12345)/ 65536, 32768),0)/32768),0))</f>
        <v>Stagfang</v>
      </c>
      <c r="E425" s="16" t="str">
        <f t="array" ref="E425">INDEX(NPCClass,TRUNC(1+(COUNTA(NPCClass))*(TRUNC(MOD(($B425*1103515245 +12345)/ 65536, 32768),0)/32768),0))</f>
        <v>Barbarian</v>
      </c>
      <c r="F425" s="76">
        <v>1</v>
      </c>
      <c r="G425" s="153">
        <f ca="1">VLOOKUP($AB$2,'RF Mod'!$A$2:$G$12,2,FALSE)+VLOOKUP($AD$2,'RF Mod'!$I$2:$O$11,2,FALSE)+(TRUNC(6+(24-6)*(TRUNC(MOD(($Z425*1103515245 +12345)/ 65536, 32768),0)/32768),0))</f>
        <v>4</v>
      </c>
      <c r="H425" s="16">
        <f t="shared" ca="1" si="17"/>
        <v>-3</v>
      </c>
      <c r="I425" s="153">
        <f ca="1">VLOOKUP($AB$2,'RF Mod'!$A$2:$G$12,3,FALSE)+VLOOKUP($AD$2,'RF Mod'!$I$2:$O$11,3,FALSE)+(TRUNC(6+(24-6)*(TRUNC(MOD(($Z425*1103515245 +12345)/ 65536, 32768),0)/32768),0))</f>
        <v>8</v>
      </c>
      <c r="J425" s="16">
        <f t="shared" ca="1" si="18"/>
        <v>-1</v>
      </c>
      <c r="K425" s="153">
        <f ca="1">VLOOKUP($AB$2,'RF Mod'!$A$2:$G$12,3,FALSE)+VLOOKUP($AD$2,'RF Mod'!$I$2:$O$11,3,FALSE)+(TRUNC(6+(24-6)*(TRUNC(MOD(($Z425*1103515245 +12345)/ 65536, 32768),0)/32768),0))</f>
        <v>8</v>
      </c>
      <c r="L425" s="16">
        <f t="shared" ca="1" si="19"/>
        <v>-1</v>
      </c>
      <c r="M425" s="153">
        <f ca="1">VLOOKUP($AB$2,'RF Mod'!$A$2:$G$12,4,FALSE)+VLOOKUP($AD$2,'RF Mod'!$I$2:$O$11,4,FALSE)+(TRUNC(6+(24-6)*(TRUNC(MOD(($Z425*1103515245 +12345)/ 65536, 32768),0)/32768),0))</f>
        <v>7</v>
      </c>
      <c r="N425" s="16">
        <f t="shared" ca="1" si="20"/>
        <v>-2</v>
      </c>
      <c r="O425" s="153">
        <f ca="1">VLOOKUP($AB$2,'RF Mod'!$A$2:$G$12,5,FALSE)+VLOOKUP($AD$2,'RF Mod'!$I$2:$O$11,5,FALSE)+(TRUNC(6+(24-6)*(TRUNC(MOD(($Z425*1103515245 +12345)/ 65536, 32768),0)/32768),0))</f>
        <v>10</v>
      </c>
      <c r="P425" s="16" t="e">
        <f t="shared" ca="1" si="21"/>
        <v>#NAME?</v>
      </c>
      <c r="Q425" s="153">
        <f ca="1">VLOOKUP($AB$2,'RF Mod'!$A$2:$G$12,6,FALSE)+VLOOKUP($AD$2,'RF Mod'!$I$2:$O$11,6,FALSE)+(TRUNC(6+(24-6)*(TRUNC(MOD(($Z425*1103515245 +12345)/ 65536, 32768),0)/32768),0))</f>
        <v>8</v>
      </c>
      <c r="R425" s="16">
        <f t="shared" ca="1" si="22"/>
        <v>-1</v>
      </c>
      <c r="S425" s="154">
        <f t="shared" ca="1" si="28"/>
        <v>10</v>
      </c>
      <c r="T425" s="154">
        <f t="shared" ca="1" si="23"/>
        <v>12</v>
      </c>
      <c r="U425" s="16" t="str">
        <f t="shared" ca="1" si="24"/>
        <v>Dead</v>
      </c>
      <c r="V425" s="155">
        <f ca="1">IFERROR(__xludf.DUMMYFUNCTION("if(W425=""Middle Age"",QUERY(NPCVar!$K$2:$N1000, ""Select L where K = '""&amp;AB425&amp;""'""),if(W425=""Old"",QUERY(NPCVar!$K$2:$N1000, ""Select M where K = '""&amp;AB425&amp;""'""),if(W425=""Venerable"",QUERY(NPCVar!$K$2:$N1000, ""Select N where K = '""&amp;AB425&amp;""'""),fa"&amp;"lse)))*X425"),2)</f>
        <v>2</v>
      </c>
      <c r="W425" s="156" t="str">
        <f t="array" ref="W425">INDEX(NPCAgeType,TRUNC(1+(4-1)*(TRUNC(MOD((X425*1103515245 +12345)/ 65536, 32768),0)/32768),0))</f>
        <v>Middle Age</v>
      </c>
      <c r="X425" s="117">
        <f t="shared" si="29"/>
        <v>0.1</v>
      </c>
      <c r="Y425" s="157" t="e">
        <f t="array" aca="1" ref="Y425" ca="1">LOOKUP(ABS(MAX(Z425 + MIN(ABS(INDIRECT("Class Jobs!B"&amp;MATCH(E425,'Class Jobs'!$A$1:$A1000,0)&amp;":"&amp;"AF"&amp;MATCH(E425,'Class Jobs'!$A$1:$A1000,0)&amp;"")-$Z425)) * SUM(IF(MIN(ABS(INDIRECT("Class Jobs!B"&amp;MATCH(E425,'Class Jobs'!$A$1:$A1000,0)&amp;":"&amp;"AF"&amp;MATCH(E425,'Class Jobs'!$A$1:$A1000,0)&amp;"")-$Z425))=ABS(INDIRECT("Class Jobs!B"&amp;MATCH(E425,'Class Jobs'!$A$1:$A1000,0)&amp;":"&amp;"AF"&amp;MATCH(E425,'Class Jobs'!$A$1:$A1000,0)&amp;"")-$Z425),SIGN(INDIRECT("Class Jobs!B"&amp;MATCH(E425,'Class Jobs'!$A$1:A1000,0)&amp;":"&amp;"AF"&amp;MATCH(E425,'Class Jobs'!$A$1:$A1000,0)&amp;"")-$Z425),0)),0)),INDIRECT("Class Jobs!B"&amp;MATCH(E425,'Class Jobs'!$A$1:$A1000,0)&amp;":"&amp;"AF"&amp;MATCH(E425,'Class Jobs'!$A$1:$A1000,1)&amp;""),'Class Jobs'!$B$1:$AF$1)</f>
        <v>#REF!</v>
      </c>
      <c r="Z425" s="158">
        <f t="shared" si="25"/>
        <v>0.01</v>
      </c>
      <c r="AA425" s="16" t="str">
        <f t="array" ref="AA425">INDEX(NPCGender,TRUNC(1+(COUNTA(NPCGender))*(TRUNC(MOD(($B425*1103515245 +12345)/ 65536, 32768),0)/32768),0))</f>
        <v>Male</v>
      </c>
      <c r="AB425" s="16" t="str">
        <f t="array" ref="AB425">INDEX(NPCRace,TRUNC(1+(COUNTA(NPCRace))*(TRUNC(MOD(($B425*1103515245 +12345)/ 65536, 32768),0)/32768),0))</f>
        <v>Dragonborn</v>
      </c>
      <c r="AC425" s="16" t="str">
        <f t="array" ref="AC425">INDEX(NPCAL,TRUNC(1+(COUNTA(NPCAL))*(TRUNC(MOD(($B425*1103515245 +12345)/ 65536, 32768),0)/32768),0))</f>
        <v>CN</v>
      </c>
      <c r="AD425" s="72" t="str">
        <f ca="1">IFERROR(__xludf.DUMMYFUNCTION("if(V425&lt;15,QUERY(NPCVar!C:D,""Select D WHERE C = '""&amp;D425&amp;""'""),if((TRUNC(1+10)*(TRUNC(MOD((ROW(H425)*1103515245 +12345)/ 65536, 32768),0)/32768)/10) &gt; 0.85,INDEX(NPCFaction,TRUNC(1+(counta(NPCFaction)-1)*(TRUNC(MOD(($B425*1103515245 +12345)/ 65536, 3276"&amp;"8),0)/32768),0)),QUERY(NPCVar!C:D,""Select D WHERE C = '""&amp;D425&amp;""'"")))"),"Royalty")</f>
        <v>Royalty</v>
      </c>
      <c r="AE425" s="108" t="e">
        <f t="shared" ca="1" si="26"/>
        <v>#NAME?</v>
      </c>
      <c r="AF425" s="159">
        <f ca="1">IFERROR(__xludf.DUMMYFUNCTION("AE425*(V425 / QUERY(NPCVar!$K$2:$N$12, ""Select N WHERE K='""&amp;AB425&amp;""'""))*TRUNC(1+10)*(TRUNC(MOD(($B425*1103515245 +12345)/ 65536, 32768),0)/32768)"),0.000415420532226562)</f>
        <v>4.1542053222656198E-4</v>
      </c>
      <c r="AG425" s="16"/>
      <c r="AH425" s="77"/>
      <c r="AI425" s="114"/>
    </row>
    <row r="426" spans="1:35" ht="16.2">
      <c r="A426" s="53">
        <v>425</v>
      </c>
      <c r="B426" s="118">
        <f t="shared" si="31"/>
        <v>1.5000100000000001</v>
      </c>
      <c r="C426" s="72" t="str">
        <f t="array" ref="C426">INDEX(NPCFName,TRUNC(1+(COUNTA(NPCFName))*(TRUNC(MOD(($B426*1103515245 +12345)/ 65536, 32768),0)/32768),0))</f>
        <v>Fearlock</v>
      </c>
      <c r="D426" s="16" t="str">
        <f t="array" ref="D426">INDEX(NPCLName,TRUNC(1+(COUNTA(NPCLName))*(TRUNC(MOD(($B426*1103515245 +12345)/ 65536, 32768),0)/32768),0))</f>
        <v>Truthdoom</v>
      </c>
      <c r="E426" s="16" t="str">
        <f t="array" ref="E426">INDEX(NPCClass,TRUNC(1+(COUNTA(NPCClass))*(TRUNC(MOD(($B426*1103515245 +12345)/ 65536, 32768),0)/32768),0))</f>
        <v>Cleric</v>
      </c>
      <c r="F426" s="76">
        <v>8</v>
      </c>
      <c r="G426" s="153">
        <f ca="1">VLOOKUP($AB$2,'RF Mod'!$A$2:$G$12,2,FALSE)+VLOOKUP($AD$2,'RF Mod'!$I$2:$O$11,2,FALSE)+(TRUNC(6+(24-6)*(TRUNC(MOD(($Z426*1103515245 +12345)/ 65536, 32768),0)/32768),0))</f>
        <v>11</v>
      </c>
      <c r="H426" s="16" t="e">
        <f t="shared" ca="1" si="17"/>
        <v>#NAME?</v>
      </c>
      <c r="I426" s="153">
        <f ca="1">VLOOKUP($AB$2,'RF Mod'!$A$2:$G$12,3,FALSE)+VLOOKUP($AD$2,'RF Mod'!$I$2:$O$11,3,FALSE)+(TRUNC(6+(24-6)*(TRUNC(MOD(($Z426*1103515245 +12345)/ 65536, 32768),0)/32768),0))</f>
        <v>15</v>
      </c>
      <c r="J426" s="16" t="e">
        <f t="shared" ca="1" si="18"/>
        <v>#NAME?</v>
      </c>
      <c r="K426" s="153">
        <f ca="1">VLOOKUP($AB$2,'RF Mod'!$A$2:$G$12,3,FALSE)+VLOOKUP($AD$2,'RF Mod'!$I$2:$O$11,3,FALSE)+(TRUNC(6+(24-6)*(TRUNC(MOD(($Z426*1103515245 +12345)/ 65536, 32768),0)/32768),0))</f>
        <v>15</v>
      </c>
      <c r="L426" s="16" t="e">
        <f t="shared" ca="1" si="19"/>
        <v>#NAME?</v>
      </c>
      <c r="M426" s="153">
        <f ca="1">VLOOKUP($AB$2,'RF Mod'!$A$2:$G$12,4,FALSE)+VLOOKUP($AD$2,'RF Mod'!$I$2:$O$11,4,FALSE)+(TRUNC(6+(24-6)*(TRUNC(MOD(($Z426*1103515245 +12345)/ 65536, 32768),0)/32768),0))</f>
        <v>14</v>
      </c>
      <c r="N426" s="16" t="e">
        <f t="shared" ca="1" si="20"/>
        <v>#NAME?</v>
      </c>
      <c r="O426" s="153">
        <f ca="1">VLOOKUP($AB$2,'RF Mod'!$A$2:$G$12,5,FALSE)+VLOOKUP($AD$2,'RF Mod'!$I$2:$O$11,5,FALSE)+(TRUNC(6+(24-6)*(TRUNC(MOD(($Z426*1103515245 +12345)/ 65536, 32768),0)/32768),0))</f>
        <v>17</v>
      </c>
      <c r="P426" s="16" t="e">
        <f t="shared" ca="1" si="21"/>
        <v>#NAME?</v>
      </c>
      <c r="Q426" s="153">
        <f ca="1">VLOOKUP($AB$2,'RF Mod'!$A$2:$G$12,6,FALSE)+VLOOKUP($AD$2,'RF Mod'!$I$2:$O$11,6,FALSE)+(TRUNC(6+(24-6)*(TRUNC(MOD(($Z426*1103515245 +12345)/ 65536, 32768),0)/32768),0))</f>
        <v>15</v>
      </c>
      <c r="R426" s="16" t="e">
        <f t="shared" ca="1" si="22"/>
        <v>#NAME?</v>
      </c>
      <c r="S426" s="154">
        <f t="shared" ca="1" si="28"/>
        <v>152</v>
      </c>
      <c r="T426" s="154">
        <f t="shared" ca="1" si="23"/>
        <v>65</v>
      </c>
      <c r="U426" s="16" t="str">
        <f t="shared" ca="1" si="24"/>
        <v>Fine</v>
      </c>
      <c r="V426" s="155">
        <f ca="1">IFERROR(__xludf.DUMMYFUNCTION("if(W426=""Middle Age"",QUERY(NPCVar!$K$2:$N1000, ""Select L where K = '""&amp;AB426&amp;""'""),if(W426=""Old"",QUERY(NPCVar!$K$2:$N1000, ""Select M where K = '""&amp;AB426&amp;""'""),if(W426=""Venerable"",QUERY(NPCVar!$K$2:$N1000, ""Select N where K = '""&amp;AB426&amp;""'""),fa"&amp;"lse)))*X426"),190)</f>
        <v>190</v>
      </c>
      <c r="W426" s="156" t="str">
        <f t="array" ref="W426">INDEX(NPCAgeType,TRUNC(1+(4-1)*(TRUNC(MOD((X426*1103515245 +12345)/ 65536, 32768),0)/32768),0))</f>
        <v>Venerable</v>
      </c>
      <c r="X426" s="117">
        <f t="shared" si="29"/>
        <v>1.9</v>
      </c>
      <c r="Y426" s="157" t="e">
        <f t="array" aca="1" ref="Y426" ca="1">LOOKUP(ABS(MAX(Z426 + MIN(ABS(INDIRECT("Class Jobs!B"&amp;MATCH(E426,'Class Jobs'!$A$1:$A1000,0)&amp;":"&amp;"AF"&amp;MATCH(E426,'Class Jobs'!$A$1:$A1000,0)&amp;"")-$Z426)) * SUM(IF(MIN(ABS(INDIRECT("Class Jobs!B"&amp;MATCH(E426,'Class Jobs'!$A$1:$A1000,0)&amp;":"&amp;"AF"&amp;MATCH(E426,'Class Jobs'!$A$1:$A1000,0)&amp;"")-$Z426))=ABS(INDIRECT("Class Jobs!B"&amp;MATCH(E426,'Class Jobs'!$A$1:$A1000,0)&amp;":"&amp;"AF"&amp;MATCH(E426,'Class Jobs'!$A$1:$A1000,0)&amp;"")-$Z426),SIGN(INDIRECT("Class Jobs!B"&amp;MATCH(E426,'Class Jobs'!$A$1:A1000,0)&amp;":"&amp;"AF"&amp;MATCH(E426,'Class Jobs'!$A$1:$A1000,0)&amp;"")-$Z426),0)),0)),INDIRECT("Class Jobs!B"&amp;MATCH(E426,'Class Jobs'!$A$1:$A1000,0)&amp;":"&amp;"AF"&amp;MATCH(E426,'Class Jobs'!$A$1:$A1000,1)&amp;""),'Class Jobs'!$B$1:$AF$1)</f>
        <v>#REF!</v>
      </c>
      <c r="Z426" s="158">
        <f t="shared" si="25"/>
        <v>0.77</v>
      </c>
      <c r="AA426" s="16" t="str">
        <f t="array" ref="AA426">INDEX(NPCGender,TRUNC(1+(COUNTA(NPCGender))*(TRUNC(MOD(($B426*1103515245 +12345)/ 65536, 32768),0)/32768),0))</f>
        <v>Neutral</v>
      </c>
      <c r="AB426" s="16" t="str">
        <f t="array" ref="AB426">INDEX(NPCRace,TRUNC(1+(COUNTA(NPCRace))*(TRUNC(MOD(($B426*1103515245 +12345)/ 65536, 32768),0)/32768),0))</f>
        <v>Tiefling</v>
      </c>
      <c r="AC426" s="16" t="str">
        <f t="array" ref="AC426">INDEX(NPCAL,TRUNC(1+(COUNTA(NPCAL))*(TRUNC(MOD(($B426*1103515245 +12345)/ 65536, 32768),0)/32768),0))</f>
        <v>LG</v>
      </c>
      <c r="AD426" s="72" t="str">
        <f ca="1">IFERROR(__xludf.DUMMYFUNCTION("if(V426&lt;15,QUERY(NPCVar!C:D,""Select D WHERE C = '""&amp;D426&amp;""'""),if((TRUNC(1+10)*(TRUNC(MOD((ROW(H426)*1103515245 +12345)/ 65536, 32768),0)/32768)/10) &gt; 0.85,INDEX(NPCFaction,TRUNC(1+(counta(NPCFaction)-1)*(TRUNC(MOD(($B426*1103515245 +12345)/ 65536, 3276"&amp;"8),0)/32768),0)),QUERY(NPCVar!C:D,""Select D WHERE C = '""&amp;D426&amp;""'"")))"),"Magic Guild")</f>
        <v>Magic Guild</v>
      </c>
      <c r="AE426" s="108" t="e">
        <f t="shared" ca="1" si="26"/>
        <v>#NAME?</v>
      </c>
      <c r="AF426" s="159">
        <f ca="1">IFERROR(__xludf.DUMMYFUNCTION("AE426*(V426 / QUERY(NPCVar!$K$2:$N$12, ""Select N WHERE K='""&amp;AB426&amp;""'""))*TRUNC(1+10)*(TRUNC(MOD(($B426*1103515245 +12345)/ 65536, 32768),0)/32768)"),8.05467681884765)</f>
        <v>8.0546768188476499</v>
      </c>
      <c r="AG426" s="16"/>
      <c r="AH426" s="77"/>
      <c r="AI426" s="114"/>
    </row>
    <row r="427" spans="1:35" ht="16.2">
      <c r="A427" s="53">
        <v>426</v>
      </c>
      <c r="B427" s="118">
        <f t="shared" si="31"/>
        <v>0.49415999999999999</v>
      </c>
      <c r="C427" s="72" t="str">
        <f t="array" ref="C427">INDEX(NPCFName,TRUNC(1+(COUNTA(NPCFName))*(TRUNC(MOD(($B427*1103515245 +12345)/ 65536, 32768),0)/32768),0))</f>
        <v>Rythern</v>
      </c>
      <c r="D427" s="16" t="str">
        <f t="array" ref="D427">INDEX(NPCLName,TRUNC(1+(COUNTA(NPCLName))*(TRUNC(MOD(($B427*1103515245 +12345)/ 65536, 32768),0)/32768),0))</f>
        <v>Tuskleaf</v>
      </c>
      <c r="E427" s="16" t="str">
        <f t="array" ref="E427">INDEX(NPCClass,TRUNC(1+(COUNTA(NPCClass))*(TRUNC(MOD(($B427*1103515245 +12345)/ 65536, 32768),0)/32768),0))</f>
        <v>Monk</v>
      </c>
      <c r="F427" s="76">
        <v>5</v>
      </c>
      <c r="G427" s="153">
        <f ca="1">VLOOKUP($AB$2,'RF Mod'!$A$2:$G$12,2,FALSE)+VLOOKUP($AD$2,'RF Mod'!$I$2:$O$11,2,FALSE)+(TRUNC(6+(24-6)*(TRUNC(MOD(($Z427*1103515245 +12345)/ 65536, 32768),0)/32768),0))</f>
        <v>6</v>
      </c>
      <c r="H427" s="16">
        <f t="shared" ca="1" si="17"/>
        <v>-2</v>
      </c>
      <c r="I427" s="153">
        <f ca="1">VLOOKUP($AB$2,'RF Mod'!$A$2:$G$12,3,FALSE)+VLOOKUP($AD$2,'RF Mod'!$I$2:$O$11,3,FALSE)+(TRUNC(6+(24-6)*(TRUNC(MOD(($Z427*1103515245 +12345)/ 65536, 32768),0)/32768),0))</f>
        <v>10</v>
      </c>
      <c r="J427" s="16" t="e">
        <f t="shared" ca="1" si="18"/>
        <v>#NAME?</v>
      </c>
      <c r="K427" s="153">
        <f ca="1">VLOOKUP($AB$2,'RF Mod'!$A$2:$G$12,3,FALSE)+VLOOKUP($AD$2,'RF Mod'!$I$2:$O$11,3,FALSE)+(TRUNC(6+(24-6)*(TRUNC(MOD(($Z427*1103515245 +12345)/ 65536, 32768),0)/32768),0))</f>
        <v>10</v>
      </c>
      <c r="L427" s="16" t="e">
        <f t="shared" ca="1" si="19"/>
        <v>#NAME?</v>
      </c>
      <c r="M427" s="153">
        <f ca="1">VLOOKUP($AB$2,'RF Mod'!$A$2:$G$12,4,FALSE)+VLOOKUP($AD$2,'RF Mod'!$I$2:$O$11,4,FALSE)+(TRUNC(6+(24-6)*(TRUNC(MOD(($Z427*1103515245 +12345)/ 65536, 32768),0)/32768),0))</f>
        <v>9</v>
      </c>
      <c r="N427" s="16">
        <f t="shared" ca="1" si="20"/>
        <v>-1</v>
      </c>
      <c r="O427" s="153">
        <f ca="1">VLOOKUP($AB$2,'RF Mod'!$A$2:$G$12,5,FALSE)+VLOOKUP($AD$2,'RF Mod'!$I$2:$O$11,5,FALSE)+(TRUNC(6+(24-6)*(TRUNC(MOD(($Z427*1103515245 +12345)/ 65536, 32768),0)/32768),0))</f>
        <v>12</v>
      </c>
      <c r="P427" s="16" t="e">
        <f t="shared" ca="1" si="21"/>
        <v>#NAME?</v>
      </c>
      <c r="Q427" s="153">
        <f ca="1">VLOOKUP($AB$2,'RF Mod'!$A$2:$G$12,6,FALSE)+VLOOKUP($AD$2,'RF Mod'!$I$2:$O$11,6,FALSE)+(TRUNC(6+(24-6)*(TRUNC(MOD(($Z427*1103515245 +12345)/ 65536, 32768),0)/32768),0))</f>
        <v>10</v>
      </c>
      <c r="R427" s="16" t="e">
        <f t="shared" ca="1" si="22"/>
        <v>#NAME?</v>
      </c>
      <c r="S427" s="154">
        <f t="shared" ca="1" si="28"/>
        <v>80</v>
      </c>
      <c r="T427" s="154">
        <f t="shared" ca="1" si="23"/>
        <v>70</v>
      </c>
      <c r="U427" s="16" t="str">
        <f t="shared" ca="1" si="24"/>
        <v>Bloody</v>
      </c>
      <c r="V427" s="155">
        <f ca="1">IFERROR(__xludf.DUMMYFUNCTION("if(W427=""Middle Age"",QUERY(NPCVar!$K$2:$N1000, ""Select L where K = '""&amp;AB427&amp;""'""),if(W427=""Old"",QUERY(NPCVar!$K$2:$N1000, ""Select M where K = '""&amp;AB427&amp;""'""),if(W427=""Venerable"",QUERY(NPCVar!$K$2:$N1000, ""Select N where K = '""&amp;AB427&amp;""'""),fa"&amp;"lse)))*X427"),196.875)</f>
        <v>196.875</v>
      </c>
      <c r="W427" s="156" t="str">
        <f t="array" ref="W427">INDEX(NPCAgeType,TRUNC(1+(4-1)*(TRUNC(MOD((X427*1103515245 +12345)/ 65536, 32768),0)/32768),0))</f>
        <v>Old</v>
      </c>
      <c r="X427" s="117">
        <f t="shared" si="29"/>
        <v>0.7</v>
      </c>
      <c r="Y427" s="157" t="e">
        <f t="array" aca="1" ref="Y427" ca="1">LOOKUP(ABS(MAX(Z427 + MIN(ABS(INDIRECT("Class Jobs!B"&amp;MATCH(E427,'Class Jobs'!$A$1:$A1000,0)&amp;":"&amp;"AF"&amp;MATCH(E427,'Class Jobs'!$A$1:$A1000,0)&amp;"")-$Z427)) * SUM(IF(MIN(ABS(INDIRECT("Class Jobs!B"&amp;MATCH(E427,'Class Jobs'!$A$1:$A1000,0)&amp;":"&amp;"AF"&amp;MATCH(E427,'Class Jobs'!$A$1:$A1000,0)&amp;"")-$Z427))=ABS(INDIRECT("Class Jobs!B"&amp;MATCH(E427,'Class Jobs'!$A$1:$A1000,0)&amp;":"&amp;"AF"&amp;MATCH(E427,'Class Jobs'!$A$1:$A1000,0)&amp;"")-$Z427),SIGN(INDIRECT("Class Jobs!B"&amp;MATCH(E427,'Class Jobs'!$A$1:A1000,0)&amp;":"&amp;"AF"&amp;MATCH(E427,'Class Jobs'!$A$1:$A1000,0)&amp;"")-$Z427),0)),0)),INDIRECT("Class Jobs!B"&amp;MATCH(E427,'Class Jobs'!$A$1:$A1000,0)&amp;":"&amp;"AF"&amp;MATCH(E427,'Class Jobs'!$A$1:$A1000,1)&amp;""),'Class Jobs'!$B$1:$AF$1)</f>
        <v>#REF!</v>
      </c>
      <c r="Z427" s="158">
        <f t="shared" si="25"/>
        <v>0.26</v>
      </c>
      <c r="AA427" s="16" t="str">
        <f t="array" ref="AA427">INDEX(NPCGender,TRUNC(1+(COUNTA(NPCGender))*(TRUNC(MOD(($B427*1103515245 +12345)/ 65536, 32768),0)/32768),0))</f>
        <v>Male</v>
      </c>
      <c r="AB427" s="16" t="str">
        <f t="array" ref="AB427">INDEX(NPCRace,TRUNC(1+(COUNTA(NPCRace))*(TRUNC(MOD(($B427*1103515245 +12345)/ 65536, 32768),0)/32768),0))</f>
        <v>Elf</v>
      </c>
      <c r="AC427" s="16" t="str">
        <f t="array" ref="AC427">INDEX(NPCAL,TRUNC(1+(COUNTA(NPCAL))*(TRUNC(MOD(($B427*1103515245 +12345)/ 65536, 32768),0)/32768),0))</f>
        <v>CG</v>
      </c>
      <c r="AD427" s="72" t="str">
        <f ca="1">IFERROR(__xludf.DUMMYFUNCTION("if(V427&lt;15,QUERY(NPCVar!C:D,""Select D WHERE C = '""&amp;D427&amp;""'""),if((TRUNC(1+10)*(TRUNC(MOD((ROW(H427)*1103515245 +12345)/ 65536, 32768),0)/32768)/10) &gt; 0.85,INDEX(NPCFaction,TRUNC(1+(counta(NPCFaction)-1)*(TRUNC(MOD(($B427*1103515245 +12345)/ 65536, 3276"&amp;"8),0)/32768),0)),QUERY(NPCVar!C:D,""Select D WHERE C = '""&amp;D427&amp;""'"")))"),"Magic Guild")</f>
        <v>Magic Guild</v>
      </c>
      <c r="AE427" s="108" t="e">
        <f t="shared" ca="1" si="26"/>
        <v>#NAME?</v>
      </c>
      <c r="AF427" s="159">
        <f ca="1">IFERROR(__xludf.DUMMYFUNCTION("AE427*(V427 / QUERY(NPCVar!$K$2:$N$12, ""Select N WHERE K='""&amp;AB427&amp;""'""))*TRUNC(1+10)*(TRUNC(MOD(($B427*1103515245 +12345)/ 65536, 32768),0)/32768)"),0.513269691467285)</f>
        <v>0.51326969146728496</v>
      </c>
      <c r="AG427" s="16"/>
      <c r="AH427" s="77"/>
      <c r="AI427" s="114"/>
    </row>
    <row r="428" spans="1:35" ht="16.2">
      <c r="A428" s="53">
        <v>427</v>
      </c>
      <c r="B428" s="118">
        <f t="shared" si="31"/>
        <v>1.9882200000000001</v>
      </c>
      <c r="C428" s="72" t="str">
        <f t="array" ref="C428">INDEX(NPCFName,TRUNC(1+(COUNTA(NPCFName))*(TRUNC(MOD(($B428*1103515245 +12345)/ 65536, 32768),0)/32768),0))</f>
        <v>Aysen</v>
      </c>
      <c r="D428" s="16" t="str">
        <f t="array" ref="D428">INDEX(NPCLName,TRUNC(1+(COUNTA(NPCLName))*(TRUNC(MOD(($B428*1103515245 +12345)/ 65536, 32768),0)/32768),0))</f>
        <v>Stagfang</v>
      </c>
      <c r="E428" s="16" t="str">
        <f t="array" ref="E428">INDEX(NPCClass,TRUNC(1+(COUNTA(NPCClass))*(TRUNC(MOD(($B428*1103515245 +12345)/ 65536, 32768),0)/32768),0))</f>
        <v>Barbarian</v>
      </c>
      <c r="F428" s="76">
        <v>1</v>
      </c>
      <c r="G428" s="153">
        <f ca="1">VLOOKUP($AB$2,'RF Mod'!$A$2:$G$12,2,FALSE)+VLOOKUP($AD$2,'RF Mod'!$I$2:$O$11,2,FALSE)+(TRUNC(6+(24-6)*(TRUNC(MOD(($Z428*1103515245 +12345)/ 65536, 32768),0)/32768),0))</f>
        <v>4</v>
      </c>
      <c r="H428" s="16">
        <f t="shared" ca="1" si="17"/>
        <v>-3</v>
      </c>
      <c r="I428" s="153">
        <f ca="1">VLOOKUP($AB$2,'RF Mod'!$A$2:$G$12,3,FALSE)+VLOOKUP($AD$2,'RF Mod'!$I$2:$O$11,3,FALSE)+(TRUNC(6+(24-6)*(TRUNC(MOD(($Z428*1103515245 +12345)/ 65536, 32768),0)/32768),0))</f>
        <v>8</v>
      </c>
      <c r="J428" s="16">
        <f t="shared" ca="1" si="18"/>
        <v>-1</v>
      </c>
      <c r="K428" s="153">
        <f ca="1">VLOOKUP($AB$2,'RF Mod'!$A$2:$G$12,3,FALSE)+VLOOKUP($AD$2,'RF Mod'!$I$2:$O$11,3,FALSE)+(TRUNC(6+(24-6)*(TRUNC(MOD(($Z428*1103515245 +12345)/ 65536, 32768),0)/32768),0))</f>
        <v>8</v>
      </c>
      <c r="L428" s="16">
        <f t="shared" ca="1" si="19"/>
        <v>-1</v>
      </c>
      <c r="M428" s="153">
        <f ca="1">VLOOKUP($AB$2,'RF Mod'!$A$2:$G$12,4,FALSE)+VLOOKUP($AD$2,'RF Mod'!$I$2:$O$11,4,FALSE)+(TRUNC(6+(24-6)*(TRUNC(MOD(($Z428*1103515245 +12345)/ 65536, 32768),0)/32768),0))</f>
        <v>7</v>
      </c>
      <c r="N428" s="16">
        <f t="shared" ca="1" si="20"/>
        <v>-2</v>
      </c>
      <c r="O428" s="153">
        <f ca="1">VLOOKUP($AB$2,'RF Mod'!$A$2:$G$12,5,FALSE)+VLOOKUP($AD$2,'RF Mod'!$I$2:$O$11,5,FALSE)+(TRUNC(6+(24-6)*(TRUNC(MOD(($Z428*1103515245 +12345)/ 65536, 32768),0)/32768),0))</f>
        <v>10</v>
      </c>
      <c r="P428" s="16" t="e">
        <f t="shared" ca="1" si="21"/>
        <v>#NAME?</v>
      </c>
      <c r="Q428" s="153">
        <f ca="1">VLOOKUP($AB$2,'RF Mod'!$A$2:$G$12,6,FALSE)+VLOOKUP($AD$2,'RF Mod'!$I$2:$O$11,6,FALSE)+(TRUNC(6+(24-6)*(TRUNC(MOD(($Z428*1103515245 +12345)/ 65536, 32768),0)/32768),0))</f>
        <v>8</v>
      </c>
      <c r="R428" s="16">
        <f t="shared" ca="1" si="22"/>
        <v>-1</v>
      </c>
      <c r="S428" s="154">
        <f t="shared" ca="1" si="28"/>
        <v>10</v>
      </c>
      <c r="T428" s="154">
        <f t="shared" ca="1" si="23"/>
        <v>3</v>
      </c>
      <c r="U428" s="16" t="str">
        <f t="shared" ca="1" si="24"/>
        <v>Fine</v>
      </c>
      <c r="V428" s="155">
        <f ca="1">IFERROR(__xludf.DUMMYFUNCTION("if(W428=""Middle Age"",QUERY(NPCVar!$K$2:$N1000, ""Select L where K = '""&amp;AB428&amp;""'""),if(W428=""Old"",QUERY(NPCVar!$K$2:$N1000, ""Select M where K = '""&amp;AB428&amp;""'""),if(W428=""Venerable"",QUERY(NPCVar!$K$2:$N1000, ""Select N where K = '""&amp;AB428&amp;""'""),fa"&amp;"lse)))*X428"),2)</f>
        <v>2</v>
      </c>
      <c r="W428" s="156" t="str">
        <f t="array" ref="W428">INDEX(NPCAgeType,TRUNC(1+(4-1)*(TRUNC(MOD((X428*1103515245 +12345)/ 65536, 32768),0)/32768),0))</f>
        <v>Middle Age</v>
      </c>
      <c r="X428" s="117">
        <f t="shared" si="29"/>
        <v>0.1</v>
      </c>
      <c r="Y428" s="157" t="e">
        <f t="array" aca="1" ref="Y428" ca="1">LOOKUP(ABS(MAX(Z428 + MIN(ABS(INDIRECT("Class Jobs!B"&amp;MATCH(E428,'Class Jobs'!$A$1:$A1000,0)&amp;":"&amp;"AF"&amp;MATCH(E428,'Class Jobs'!$A$1:$A1000,0)&amp;"")-$Z428)) * SUM(IF(MIN(ABS(INDIRECT("Class Jobs!B"&amp;MATCH(E428,'Class Jobs'!$A$1:$A1000,0)&amp;":"&amp;"AF"&amp;MATCH(E428,'Class Jobs'!$A$1:$A1000,0)&amp;"")-$Z428))=ABS(INDIRECT("Class Jobs!B"&amp;MATCH(E428,'Class Jobs'!$A$1:$A1000,0)&amp;":"&amp;"AF"&amp;MATCH(E428,'Class Jobs'!$A$1:$A1000,0)&amp;"")-$Z428),SIGN(INDIRECT("Class Jobs!B"&amp;MATCH(E428,'Class Jobs'!$A$1:A1000,0)&amp;":"&amp;"AF"&amp;MATCH(E428,'Class Jobs'!$A$1:$A1000,0)&amp;"")-$Z428),0)),0)),INDIRECT("Class Jobs!B"&amp;MATCH(E428,'Class Jobs'!$A$1:$A1000,0)&amp;":"&amp;"AF"&amp;MATCH(E428,'Class Jobs'!$A$1:$A1000,1)&amp;""),'Class Jobs'!$B$1:$AF$1)</f>
        <v>#REF!</v>
      </c>
      <c r="Z428" s="158">
        <f t="shared" si="25"/>
        <v>0.03</v>
      </c>
      <c r="AA428" s="16" t="str">
        <f t="array" ref="AA428">INDEX(NPCGender,TRUNC(1+(COUNTA(NPCGender))*(TRUNC(MOD(($B428*1103515245 +12345)/ 65536, 32768),0)/32768),0))</f>
        <v>Male</v>
      </c>
      <c r="AB428" s="16" t="str">
        <f t="array" ref="AB428">INDEX(NPCRace,TRUNC(1+(COUNTA(NPCRace))*(TRUNC(MOD(($B428*1103515245 +12345)/ 65536, 32768),0)/32768),0))</f>
        <v>Dragonborn</v>
      </c>
      <c r="AC428" s="16" t="str">
        <f t="array" ref="AC428">INDEX(NPCAL,TRUNC(1+(COUNTA(NPCAL))*(TRUNC(MOD(($B428*1103515245 +12345)/ 65536, 32768),0)/32768),0))</f>
        <v>CN</v>
      </c>
      <c r="AD428" s="72" t="str">
        <f ca="1">IFERROR(__xludf.DUMMYFUNCTION("if(V428&lt;15,QUERY(NPCVar!C:D,""Select D WHERE C = '""&amp;D428&amp;""'""),if((TRUNC(1+10)*(TRUNC(MOD((ROW(H428)*1103515245 +12345)/ 65536, 32768),0)/32768)/10) &gt; 0.85,INDEX(NPCFaction,TRUNC(1+(counta(NPCFaction)-1)*(TRUNC(MOD(($B428*1103515245 +12345)/ 65536, 3276"&amp;"8),0)/32768),0)),QUERY(NPCVar!C:D,""Select D WHERE C = '""&amp;D428&amp;""'"")))"),"Royalty")</f>
        <v>Royalty</v>
      </c>
      <c r="AE428" s="108" t="e">
        <f t="shared" ca="1" si="26"/>
        <v>#NAME?</v>
      </c>
      <c r="AF428" s="159">
        <f ca="1">IFERROR(__xludf.DUMMYFUNCTION("AE428*(V428 / QUERY(NPCVar!$K$2:$N$12, ""Select N WHERE K='""&amp;AB428&amp;""'""))*TRUNC(1+10)*(TRUNC(MOD(($B428*1103515245 +12345)/ 65536, 32768),0)/32768)"),0.000595855712890625)</f>
        <v>5.9585571289062496E-4</v>
      </c>
      <c r="AG428" s="16"/>
      <c r="AH428" s="77"/>
      <c r="AI428" s="114"/>
    </row>
    <row r="429" spans="1:35" ht="16.2">
      <c r="A429" s="53">
        <v>428</v>
      </c>
      <c r="B429" s="118">
        <f t="shared" si="31"/>
        <v>0.98236000000000001</v>
      </c>
      <c r="C429" s="72" t="str">
        <f t="array" ref="C429">INDEX(NPCFName,TRUNC(1+(COUNTA(NPCFName))*(TRUNC(MOD(($B429*1103515245 +12345)/ 65536, 32768),0)/32768),0))</f>
        <v>Leit</v>
      </c>
      <c r="D429" s="16" t="str">
        <f t="array" ref="D429">INDEX(NPCLName,TRUNC(1+(COUNTA(NPCLName))*(TRUNC(MOD(($B429*1103515245 +12345)/ 65536, 32768),0)/32768),0))</f>
        <v>Staghammer</v>
      </c>
      <c r="E429" s="16" t="str">
        <f t="array" ref="E429">INDEX(NPCClass,TRUNC(1+(COUNTA(NPCClass))*(TRUNC(MOD(($B429*1103515245 +12345)/ 65536, 32768),0)/32768),0))</f>
        <v>Sorcerer</v>
      </c>
      <c r="F429" s="76">
        <v>8</v>
      </c>
      <c r="G429" s="153">
        <f ca="1">VLOOKUP($AB$2,'RF Mod'!$A$2:$G$12,2,FALSE)+VLOOKUP($AD$2,'RF Mod'!$I$2:$O$11,2,FALSE)+(TRUNC(6+(24-6)*(TRUNC(MOD(($Z429*1103515245 +12345)/ 65536, 32768),0)/32768),0))</f>
        <v>8</v>
      </c>
      <c r="H429" s="16">
        <f t="shared" ca="1" si="17"/>
        <v>-1</v>
      </c>
      <c r="I429" s="153">
        <f ca="1">VLOOKUP($AB$2,'RF Mod'!$A$2:$G$12,3,FALSE)+VLOOKUP($AD$2,'RF Mod'!$I$2:$O$11,3,FALSE)+(TRUNC(6+(24-6)*(TRUNC(MOD(($Z429*1103515245 +12345)/ 65536, 32768),0)/32768),0))</f>
        <v>12</v>
      </c>
      <c r="J429" s="16" t="e">
        <f t="shared" ca="1" si="18"/>
        <v>#NAME?</v>
      </c>
      <c r="K429" s="153">
        <f ca="1">VLOOKUP($AB$2,'RF Mod'!$A$2:$G$12,3,FALSE)+VLOOKUP($AD$2,'RF Mod'!$I$2:$O$11,3,FALSE)+(TRUNC(6+(24-6)*(TRUNC(MOD(($Z429*1103515245 +12345)/ 65536, 32768),0)/32768),0))</f>
        <v>12</v>
      </c>
      <c r="L429" s="16" t="e">
        <f t="shared" ca="1" si="19"/>
        <v>#NAME?</v>
      </c>
      <c r="M429" s="153">
        <f ca="1">VLOOKUP($AB$2,'RF Mod'!$A$2:$G$12,4,FALSE)+VLOOKUP($AD$2,'RF Mod'!$I$2:$O$11,4,FALSE)+(TRUNC(6+(24-6)*(TRUNC(MOD(($Z429*1103515245 +12345)/ 65536, 32768),0)/32768),0))</f>
        <v>11</v>
      </c>
      <c r="N429" s="16" t="e">
        <f t="shared" ca="1" si="20"/>
        <v>#NAME?</v>
      </c>
      <c r="O429" s="153">
        <f ca="1">VLOOKUP($AB$2,'RF Mod'!$A$2:$G$12,5,FALSE)+VLOOKUP($AD$2,'RF Mod'!$I$2:$O$11,5,FALSE)+(TRUNC(6+(24-6)*(TRUNC(MOD(($Z429*1103515245 +12345)/ 65536, 32768),0)/32768),0))</f>
        <v>14</v>
      </c>
      <c r="P429" s="16" t="e">
        <f t="shared" ca="1" si="21"/>
        <v>#NAME?</v>
      </c>
      <c r="Q429" s="153">
        <f ca="1">VLOOKUP($AB$2,'RF Mod'!$A$2:$G$12,6,FALSE)+VLOOKUP($AD$2,'RF Mod'!$I$2:$O$11,6,FALSE)+(TRUNC(6+(24-6)*(TRUNC(MOD(($Z429*1103515245 +12345)/ 65536, 32768),0)/32768),0))</f>
        <v>12</v>
      </c>
      <c r="R429" s="16" t="e">
        <f t="shared" ca="1" si="22"/>
        <v>#NAME?</v>
      </c>
      <c r="S429" s="154">
        <f t="shared" ca="1" si="28"/>
        <v>208</v>
      </c>
      <c r="T429" s="154">
        <f t="shared" ca="1" si="23"/>
        <v>22</v>
      </c>
      <c r="U429" s="16" t="str">
        <f t="shared" ca="1" si="24"/>
        <v>Fine</v>
      </c>
      <c r="V429" s="155">
        <f ca="1">IFERROR(__xludf.DUMMYFUNCTION("if(W429=""Middle Age"",QUERY(NPCVar!$K$2:$N1000, ""Select L where K = '""&amp;AB429&amp;""'""),if(W429=""Old"",QUERY(NPCVar!$K$2:$N1000, ""Select M where K = '""&amp;AB429&amp;""'""),if(W429=""Venerable"",QUERY(NPCVar!$K$2:$N1000, ""Select N where K = '""&amp;AB429&amp;""'""),fa"&amp;"lse)))*X429"),91)</f>
        <v>91</v>
      </c>
      <c r="W429" s="156" t="str">
        <f t="array" ref="W429">INDEX(NPCAgeType,TRUNC(1+(4-1)*(TRUNC(MOD((X429*1103515245 +12345)/ 65536, 32768),0)/32768),0))</f>
        <v>Venerable</v>
      </c>
      <c r="X429" s="117">
        <f t="shared" si="29"/>
        <v>1.3</v>
      </c>
      <c r="Y429" s="157" t="e">
        <f t="array" aca="1" ref="Y429" ca="1">LOOKUP(ABS(MAX(Z429 + MIN(ABS(INDIRECT("Class Jobs!B"&amp;MATCH(E429,'Class Jobs'!$A$1:$A1000,0)&amp;":"&amp;"AF"&amp;MATCH(E429,'Class Jobs'!$A$1:$A1000,0)&amp;"")-$Z429)) * SUM(IF(MIN(ABS(INDIRECT("Class Jobs!B"&amp;MATCH(E429,'Class Jobs'!$A$1:$A1000,0)&amp;":"&amp;"AF"&amp;MATCH(E429,'Class Jobs'!$A$1:$A1000,0)&amp;"")-$Z429))=ABS(INDIRECT("Class Jobs!B"&amp;MATCH(E429,'Class Jobs'!$A$1:$A1000,0)&amp;":"&amp;"AF"&amp;MATCH(E429,'Class Jobs'!$A$1:$A1000,0)&amp;"")-$Z429),SIGN(INDIRECT("Class Jobs!B"&amp;MATCH(E429,'Class Jobs'!$A$1:A1000,0)&amp;":"&amp;"AF"&amp;MATCH(E429,'Class Jobs'!$A$1:$A1000,0)&amp;"")-$Z429),0)),0)),INDIRECT("Class Jobs!B"&amp;MATCH(E429,'Class Jobs'!$A$1:$A1000,0)&amp;":"&amp;"AF"&amp;MATCH(E429,'Class Jobs'!$A$1:$A1000,1)&amp;""),'Class Jobs'!$B$1:$AF$1)</f>
        <v>#REF!</v>
      </c>
      <c r="Z429" s="158">
        <f t="shared" si="25"/>
        <v>0.5</v>
      </c>
      <c r="AA429" s="16" t="str">
        <f t="array" ref="AA429">INDEX(NPCGender,TRUNC(1+(COUNTA(NPCGender))*(TRUNC(MOD(($B429*1103515245 +12345)/ 65536, 32768),0)/32768),0))</f>
        <v>Female</v>
      </c>
      <c r="AB429" s="16" t="str">
        <f t="array" ref="AB429">INDEX(NPCRace,TRUNC(1+(COUNTA(NPCRace))*(TRUNC(MOD(($B429*1103515245 +12345)/ 65536, 32768),0)/32768),0))</f>
        <v>Half-Orc</v>
      </c>
      <c r="AC429" s="16" t="str">
        <f t="array" ref="AC429">INDEX(NPCAL,TRUNC(1+(COUNTA(NPCAL))*(TRUNC(MOD(($B429*1103515245 +12345)/ 65536, 32768),0)/32768),0))</f>
        <v>NN</v>
      </c>
      <c r="AD429" s="72" t="str">
        <f ca="1">IFERROR(__xludf.DUMMYFUNCTION("if(V429&lt;15,QUERY(NPCVar!C:D,""Select D WHERE C = '""&amp;D429&amp;""'""),if((TRUNC(1+10)*(TRUNC(MOD((ROW(H429)*1103515245 +12345)/ 65536, 32768),0)/32768)/10) &gt; 0.85,INDEX(NPCFaction,TRUNC(1+(counta(NPCFaction)-1)*(TRUNC(MOD(($B429*1103515245 +12345)/ 65536, 3276"&amp;"8),0)/32768),0)),QUERY(NPCVar!C:D,""Select D WHERE C = '""&amp;D429&amp;""'"")))"),"Farmers Guild")</f>
        <v>Farmers Guild</v>
      </c>
      <c r="AE429" s="108" t="e">
        <f t="shared" ca="1" si="26"/>
        <v>#NAME?</v>
      </c>
      <c r="AF429" s="159">
        <f ca="1">IFERROR(__xludf.DUMMYFUNCTION("AE429*(V429 / QUERY(NPCVar!$K$2:$N$12, ""Select N WHERE K='""&amp;AB429&amp;""'""))*TRUNC(1+10)*(TRUNC(MOD(($B429*1103515245 +12345)/ 65536, 32768),0)/32768)"),7.21851501464843)</f>
        <v>7.21851501464843</v>
      </c>
      <c r="AG429" s="16"/>
      <c r="AH429" s="77"/>
      <c r="AI429" s="114"/>
    </row>
    <row r="430" spans="1:35" ht="16.2">
      <c r="A430" s="53">
        <v>429</v>
      </c>
      <c r="B430" s="118">
        <f t="shared" si="31"/>
        <v>2.4765000000000001</v>
      </c>
      <c r="C430" s="72" t="str">
        <f t="array" ref="C430">INDEX(NPCFName,TRUNC(1+(COUNTA(NPCFName))*(TRUNC(MOD(($B430*1103515245 +12345)/ 65536, 32768),0)/32768),0))</f>
        <v>Stenwulf</v>
      </c>
      <c r="D430" s="16" t="str">
        <f t="array" ref="D430">INDEX(NPCLName,TRUNC(1+(COUNTA(NPCLName))*(TRUNC(MOD(($B430*1103515245 +12345)/ 65536, 32768),0)/32768),0))</f>
        <v>Commonscream</v>
      </c>
      <c r="E430" s="16" t="str">
        <f t="array" ref="E430">INDEX(NPCClass,TRUNC(1+(COUNTA(NPCClass))*(TRUNC(MOD(($B430*1103515245 +12345)/ 65536, 32768),0)/32768),0))</f>
        <v>Monk</v>
      </c>
      <c r="F430" s="76">
        <v>1</v>
      </c>
      <c r="G430" s="153">
        <f ca="1">VLOOKUP($AB$2,'RF Mod'!$A$2:$G$12,2,FALSE)+VLOOKUP($AD$2,'RF Mod'!$I$2:$O$11,2,FALSE)+(TRUNC(6+(24-6)*(TRUNC(MOD(($Z430*1103515245 +12345)/ 65536, 32768),0)/32768),0))</f>
        <v>6</v>
      </c>
      <c r="H430" s="16">
        <f t="shared" ca="1" si="17"/>
        <v>-2</v>
      </c>
      <c r="I430" s="153">
        <f ca="1">VLOOKUP($AB$2,'RF Mod'!$A$2:$G$12,3,FALSE)+VLOOKUP($AD$2,'RF Mod'!$I$2:$O$11,3,FALSE)+(TRUNC(6+(24-6)*(TRUNC(MOD(($Z430*1103515245 +12345)/ 65536, 32768),0)/32768),0))</f>
        <v>10</v>
      </c>
      <c r="J430" s="16" t="e">
        <f t="shared" ca="1" si="18"/>
        <v>#NAME?</v>
      </c>
      <c r="K430" s="153">
        <f ca="1">VLOOKUP($AB$2,'RF Mod'!$A$2:$G$12,3,FALSE)+VLOOKUP($AD$2,'RF Mod'!$I$2:$O$11,3,FALSE)+(TRUNC(6+(24-6)*(TRUNC(MOD(($Z430*1103515245 +12345)/ 65536, 32768),0)/32768),0))</f>
        <v>10</v>
      </c>
      <c r="L430" s="16" t="e">
        <f t="shared" ca="1" si="19"/>
        <v>#NAME?</v>
      </c>
      <c r="M430" s="153">
        <f ca="1">VLOOKUP($AB$2,'RF Mod'!$A$2:$G$12,4,FALSE)+VLOOKUP($AD$2,'RF Mod'!$I$2:$O$11,4,FALSE)+(TRUNC(6+(24-6)*(TRUNC(MOD(($Z430*1103515245 +12345)/ 65536, 32768),0)/32768),0))</f>
        <v>9</v>
      </c>
      <c r="N430" s="16">
        <f t="shared" ca="1" si="20"/>
        <v>-1</v>
      </c>
      <c r="O430" s="153">
        <f ca="1">VLOOKUP($AB$2,'RF Mod'!$A$2:$G$12,5,FALSE)+VLOOKUP($AD$2,'RF Mod'!$I$2:$O$11,5,FALSE)+(TRUNC(6+(24-6)*(TRUNC(MOD(($Z430*1103515245 +12345)/ 65536, 32768),0)/32768),0))</f>
        <v>12</v>
      </c>
      <c r="P430" s="16" t="e">
        <f t="shared" ca="1" si="21"/>
        <v>#NAME?</v>
      </c>
      <c r="Q430" s="153">
        <f ca="1">VLOOKUP($AB$2,'RF Mod'!$A$2:$G$12,6,FALSE)+VLOOKUP($AD$2,'RF Mod'!$I$2:$O$11,6,FALSE)+(TRUNC(6+(24-6)*(TRUNC(MOD(($Z430*1103515245 +12345)/ 65536, 32768),0)/32768),0))</f>
        <v>10</v>
      </c>
      <c r="R430" s="16" t="e">
        <f t="shared" ca="1" si="22"/>
        <v>#NAME?</v>
      </c>
      <c r="S430" s="154">
        <f t="shared" ca="1" si="28"/>
        <v>14</v>
      </c>
      <c r="T430" s="154">
        <f t="shared" ca="1" si="23"/>
        <v>4</v>
      </c>
      <c r="U430" s="16" t="str">
        <f t="shared" ca="1" si="24"/>
        <v>Fine</v>
      </c>
      <c r="V430" s="155">
        <f ca="1">IFERROR(__xludf.DUMMYFUNCTION("if(W430=""Middle Age"",QUERY(NPCVar!$K$2:$N1000, ""Select L where K = '""&amp;AB430&amp;""'""),if(W430=""Old"",QUERY(NPCVar!$K$2:$N1000, ""Select M where K = '""&amp;AB430&amp;""'""),if(W430=""Venerable"",QUERY(NPCVar!$K$2:$N1000, ""Select N where K = '""&amp;AB430&amp;""'""),fa"&amp;"lse)))*X430"),196.875)</f>
        <v>196.875</v>
      </c>
      <c r="W430" s="156" t="str">
        <f t="array" ref="W430">INDEX(NPCAgeType,TRUNC(1+(4-1)*(TRUNC(MOD((X430*1103515245 +12345)/ 65536, 32768),0)/32768),0))</f>
        <v>Old</v>
      </c>
      <c r="X430" s="117">
        <f t="shared" si="29"/>
        <v>0.7</v>
      </c>
      <c r="Y430" s="157" t="e">
        <f t="array" aca="1" ref="Y430" ca="1">LOOKUP(ABS(MAX(Z430 + MIN(ABS(INDIRECT("Class Jobs!B"&amp;MATCH(E430,'Class Jobs'!$A$1:$A1000,0)&amp;":"&amp;"AF"&amp;MATCH(E430,'Class Jobs'!$A$1:$A1000,0)&amp;"")-$Z430)) * SUM(IF(MIN(ABS(INDIRECT("Class Jobs!B"&amp;MATCH(E430,'Class Jobs'!$A$1:$A1000,0)&amp;":"&amp;"AF"&amp;MATCH(E430,'Class Jobs'!$A$1:$A1000,0)&amp;"")-$Z430))=ABS(INDIRECT("Class Jobs!B"&amp;MATCH(E430,'Class Jobs'!$A$1:$A1000,0)&amp;":"&amp;"AF"&amp;MATCH(E430,'Class Jobs'!$A$1:$A1000,0)&amp;"")-$Z430),SIGN(INDIRECT("Class Jobs!B"&amp;MATCH(E430,'Class Jobs'!$A$1:A1000,0)&amp;":"&amp;"AF"&amp;MATCH(E430,'Class Jobs'!$A$1:$A1000,0)&amp;"")-$Z430),0)),0)),INDIRECT("Class Jobs!B"&amp;MATCH(E430,'Class Jobs'!$A$1:$A1000,0)&amp;":"&amp;"AF"&amp;MATCH(E430,'Class Jobs'!$A$1:$A1000,1)&amp;""),'Class Jobs'!$B$1:$AF$1)</f>
        <v>#REF!</v>
      </c>
      <c r="Z430" s="158">
        <f t="shared" si="25"/>
        <v>0.27</v>
      </c>
      <c r="AA430" s="16" t="str">
        <f t="array" ref="AA430">INDEX(NPCGender,TRUNC(1+(COUNTA(NPCGender))*(TRUNC(MOD(($B430*1103515245 +12345)/ 65536, 32768),0)/32768),0))</f>
        <v>Male</v>
      </c>
      <c r="AB430" s="16" t="str">
        <f t="array" ref="AB430">INDEX(NPCRace,TRUNC(1+(COUNTA(NPCRace))*(TRUNC(MOD(($B430*1103515245 +12345)/ 65536, 32768),0)/32768),0))</f>
        <v>Elf</v>
      </c>
      <c r="AC430" s="16" t="str">
        <f t="array" ref="AC430">INDEX(NPCAL,TRUNC(1+(COUNTA(NPCAL))*(TRUNC(MOD(($B430*1103515245 +12345)/ 65536, 32768),0)/32768),0))</f>
        <v>CG</v>
      </c>
      <c r="AD430" s="72" t="str">
        <f ca="1">IFERROR(__xludf.DUMMYFUNCTION("if(V430&lt;15,QUERY(NPCVar!C:D,""Select D WHERE C = '""&amp;D430&amp;""'""),if((TRUNC(1+10)*(TRUNC(MOD((ROW(H430)*1103515245 +12345)/ 65536, 32768),0)/32768)/10) &gt; 0.85,INDEX(NPCFaction,TRUNC(1+(counta(NPCFaction)-1)*(TRUNC(MOD(($B430*1103515245 +12345)/ 65536, 3276"&amp;"8),0)/32768),0)),QUERY(NPCVar!C:D,""Select D WHERE C = '""&amp;D430&amp;""'"")))"),"Traders Guild")</f>
        <v>Traders Guild</v>
      </c>
      <c r="AE430" s="108" t="e">
        <f t="shared" ca="1" si="26"/>
        <v>#NAME?</v>
      </c>
      <c r="AF430" s="159">
        <f ca="1">IFERROR(__xludf.DUMMYFUNCTION("AE430*(V430 / QUERY(NPCVar!$K$2:$N$12, ""Select N WHERE K='""&amp;AB430&amp;""'""))*TRUNC(1+10)*(TRUNC(MOD(($B430*1103515245 +12345)/ 65536, 32768),0)/32768)"),0.236125030517578)</f>
        <v>0.23612503051757799</v>
      </c>
      <c r="AG430" s="16"/>
      <c r="AH430" s="77"/>
      <c r="AI430" s="114"/>
    </row>
    <row r="431" spans="1:35" ht="16.2">
      <c r="A431" s="53">
        <v>430</v>
      </c>
      <c r="B431" s="118">
        <f t="shared" si="31"/>
        <v>1.4706399999999999</v>
      </c>
      <c r="C431" s="72" t="str">
        <f t="array" ref="C431">INDEX(NPCFName,TRUNC(1+(COUNTA(NPCFName))*(TRUNC(MOD(($B431*1103515245 +12345)/ 65536, 32768),0)/32768),0))</f>
        <v>Eiridan</v>
      </c>
      <c r="D431" s="16" t="str">
        <f t="array" ref="D431">INDEX(NPCLName,TRUNC(1+(COUNTA(NPCLName))*(TRUNC(MOD(($B431*1103515245 +12345)/ 65536, 32768),0)/32768),0))</f>
        <v>Sacredgloom</v>
      </c>
      <c r="E431" s="16" t="str">
        <f t="array" ref="E431">INDEX(NPCClass,TRUNC(1+(COUNTA(NPCClass))*(TRUNC(MOD(($B431*1103515245 +12345)/ 65536, 32768),0)/32768),0))</f>
        <v>Cleric</v>
      </c>
      <c r="F431" s="76">
        <v>8</v>
      </c>
      <c r="G431" s="153">
        <f ca="1">VLOOKUP($AB$2,'RF Mod'!$A$2:$G$12,2,FALSE)+VLOOKUP($AD$2,'RF Mod'!$I$2:$O$11,2,FALSE)+(TRUNC(6+(24-6)*(TRUNC(MOD(($Z431*1103515245 +12345)/ 65536, 32768),0)/32768),0))</f>
        <v>10</v>
      </c>
      <c r="H431" s="16" t="e">
        <f t="shared" ca="1" si="17"/>
        <v>#NAME?</v>
      </c>
      <c r="I431" s="153">
        <f ca="1">VLOOKUP($AB$2,'RF Mod'!$A$2:$G$12,3,FALSE)+VLOOKUP($AD$2,'RF Mod'!$I$2:$O$11,3,FALSE)+(TRUNC(6+(24-6)*(TRUNC(MOD(($Z431*1103515245 +12345)/ 65536, 32768),0)/32768),0))</f>
        <v>14</v>
      </c>
      <c r="J431" s="16" t="e">
        <f t="shared" ca="1" si="18"/>
        <v>#NAME?</v>
      </c>
      <c r="K431" s="153">
        <f ca="1">VLOOKUP($AB$2,'RF Mod'!$A$2:$G$12,3,FALSE)+VLOOKUP($AD$2,'RF Mod'!$I$2:$O$11,3,FALSE)+(TRUNC(6+(24-6)*(TRUNC(MOD(($Z431*1103515245 +12345)/ 65536, 32768),0)/32768),0))</f>
        <v>14</v>
      </c>
      <c r="L431" s="16" t="e">
        <f t="shared" ca="1" si="19"/>
        <v>#NAME?</v>
      </c>
      <c r="M431" s="153">
        <f ca="1">VLOOKUP($AB$2,'RF Mod'!$A$2:$G$12,4,FALSE)+VLOOKUP($AD$2,'RF Mod'!$I$2:$O$11,4,FALSE)+(TRUNC(6+(24-6)*(TRUNC(MOD(($Z431*1103515245 +12345)/ 65536, 32768),0)/32768),0))</f>
        <v>13</v>
      </c>
      <c r="N431" s="16" t="e">
        <f t="shared" ca="1" si="20"/>
        <v>#NAME?</v>
      </c>
      <c r="O431" s="153">
        <f ca="1">VLOOKUP($AB$2,'RF Mod'!$A$2:$G$12,5,FALSE)+VLOOKUP($AD$2,'RF Mod'!$I$2:$O$11,5,FALSE)+(TRUNC(6+(24-6)*(TRUNC(MOD(($Z431*1103515245 +12345)/ 65536, 32768),0)/32768),0))</f>
        <v>16</v>
      </c>
      <c r="P431" s="16" t="e">
        <f t="shared" ca="1" si="21"/>
        <v>#NAME?</v>
      </c>
      <c r="Q431" s="153">
        <f ca="1">VLOOKUP($AB$2,'RF Mod'!$A$2:$G$12,6,FALSE)+VLOOKUP($AD$2,'RF Mod'!$I$2:$O$11,6,FALSE)+(TRUNC(6+(24-6)*(TRUNC(MOD(($Z431*1103515245 +12345)/ 65536, 32768),0)/32768),0))</f>
        <v>14</v>
      </c>
      <c r="R431" s="16" t="e">
        <f t="shared" ca="1" si="22"/>
        <v>#NAME?</v>
      </c>
      <c r="S431" s="154">
        <f t="shared" ca="1" si="28"/>
        <v>144</v>
      </c>
      <c r="T431" s="154">
        <f t="shared" ca="1" si="23"/>
        <v>103</v>
      </c>
      <c r="U431" s="16" t="str">
        <f t="shared" ca="1" si="24"/>
        <v>Bloody</v>
      </c>
      <c r="V431" s="155">
        <f ca="1">IFERROR(__xludf.DUMMYFUNCTION("if(W431=""Middle Age"",QUERY(NPCVar!$K$2:$N1000, ""Select L where K = '""&amp;AB431&amp;""'""),if(W431=""Old"",QUERY(NPCVar!$K$2:$N1000, ""Select M where K = '""&amp;AB431&amp;""'""),if(W431=""Venerable"",QUERY(NPCVar!$K$2:$N1000, ""Select N where K = '""&amp;AB431&amp;""'""),fa"&amp;"lse)))*X431"),190)</f>
        <v>190</v>
      </c>
      <c r="W431" s="156" t="str">
        <f t="array" ref="W431">INDEX(NPCAgeType,TRUNC(1+(4-1)*(TRUNC(MOD((X431*1103515245 +12345)/ 65536, 32768),0)/32768),0))</f>
        <v>Venerable</v>
      </c>
      <c r="X431" s="117">
        <f t="shared" si="29"/>
        <v>1.9</v>
      </c>
      <c r="Y431" s="157" t="e">
        <f t="array" aca="1" ref="Y431" ca="1">LOOKUP(ABS(MAX(Z431 + MIN(ABS(INDIRECT("Class Jobs!B"&amp;MATCH(E431,'Class Jobs'!$A$1:$A1000,0)&amp;":"&amp;"AF"&amp;MATCH(E431,'Class Jobs'!$A$1:$A1000,0)&amp;"")-$Z431)) * SUM(IF(MIN(ABS(INDIRECT("Class Jobs!B"&amp;MATCH(E431,'Class Jobs'!$A$1:$A1000,0)&amp;":"&amp;"AF"&amp;MATCH(E431,'Class Jobs'!$A$1:$A1000,0)&amp;"")-$Z431))=ABS(INDIRECT("Class Jobs!B"&amp;MATCH(E431,'Class Jobs'!$A$1:$A1000,0)&amp;":"&amp;"AF"&amp;MATCH(E431,'Class Jobs'!$A$1:$A1000,0)&amp;"")-$Z431),SIGN(INDIRECT("Class Jobs!B"&amp;MATCH(E431,'Class Jobs'!$A$1:A1000,0)&amp;":"&amp;"AF"&amp;MATCH(E431,'Class Jobs'!$A$1:$A1000,0)&amp;"")-$Z431),0)),0)),INDIRECT("Class Jobs!B"&amp;MATCH(E431,'Class Jobs'!$A$1:$A1000,0)&amp;":"&amp;"AF"&amp;MATCH(E431,'Class Jobs'!$A$1:$A1000,1)&amp;""),'Class Jobs'!$B$1:$AF$1)</f>
        <v>#REF!</v>
      </c>
      <c r="Z431" s="158">
        <f t="shared" si="25"/>
        <v>0.75</v>
      </c>
      <c r="AA431" s="16" t="str">
        <f t="array" ref="AA431">INDEX(NPCGender,TRUNC(1+(COUNTA(NPCGender))*(TRUNC(MOD(($B431*1103515245 +12345)/ 65536, 32768),0)/32768),0))</f>
        <v>Neutral</v>
      </c>
      <c r="AB431" s="16" t="str">
        <f t="array" ref="AB431">INDEX(NPCRace,TRUNC(1+(COUNTA(NPCRace))*(TRUNC(MOD(($B431*1103515245 +12345)/ 65536, 32768),0)/32768),0))</f>
        <v>Tiefling</v>
      </c>
      <c r="AC431" s="16" t="str">
        <f t="array" ref="AC431">INDEX(NPCAL,TRUNC(1+(COUNTA(NPCAL))*(TRUNC(MOD(($B431*1103515245 +12345)/ 65536, 32768),0)/32768),0))</f>
        <v>LG</v>
      </c>
      <c r="AD431" s="72" t="str">
        <f ca="1">IFERROR(__xludf.DUMMYFUNCTION("if(V431&lt;15,QUERY(NPCVar!C:D,""Select D WHERE C = '""&amp;D431&amp;""'""),if((TRUNC(1+10)*(TRUNC(MOD((ROW(H431)*1103515245 +12345)/ 65536, 32768),0)/32768)/10) &gt; 0.85,INDEX(NPCFaction,TRUNC(1+(counta(NPCFaction)-1)*(TRUNC(MOD(($B431*1103515245 +12345)/ 65536, 3276"&amp;"8),0)/32768),0)),QUERY(NPCVar!C:D,""Select D WHERE C = '""&amp;D431&amp;""'"")))"),"Adventures Guild")</f>
        <v>Adventures Guild</v>
      </c>
      <c r="AE431" s="108" t="e">
        <f t="shared" ca="1" si="26"/>
        <v>#NAME?</v>
      </c>
      <c r="AF431" s="159">
        <f ca="1">IFERROR(__xludf.DUMMYFUNCTION("AE431*(V431 / QUERY(NPCVar!$K$2:$N$12, ""Select N WHERE K='""&amp;AB431&amp;""'""))*TRUNC(1+10)*(TRUNC(MOD(($B431*1103515245 +12345)/ 65536, 32768),0)/32768)"),15.7942718505859)</f>
        <v>15.794271850585901</v>
      </c>
      <c r="AG431" s="16"/>
      <c r="AH431" s="77"/>
      <c r="AI431" s="114"/>
    </row>
    <row r="432" spans="1:35" ht="16.2">
      <c r="A432" s="53">
        <v>431</v>
      </c>
      <c r="B432" s="118">
        <f t="shared" si="31"/>
        <v>0.46478999999999998</v>
      </c>
      <c r="C432" s="72" t="str">
        <f t="array" ref="C432">INDEX(NPCFName,TRUNC(1+(COUNTA(NPCFName))*(TRUNC(MOD(($B432*1103515245 +12345)/ 65536, 32768),0)/32768),0))</f>
        <v>Radag'mal</v>
      </c>
      <c r="D432" s="16" t="str">
        <f t="array" ref="D432">INDEX(NPCLName,TRUNC(1+(COUNTA(NPCLName))*(TRUNC(MOD(($B432*1103515245 +12345)/ 65536, 32768),0)/32768),0))</f>
        <v>Tuskleaf</v>
      </c>
      <c r="E432" s="16" t="str">
        <f t="array" ref="E432">INDEX(NPCClass,TRUNC(1+(COUNTA(NPCClass))*(TRUNC(MOD(($B432*1103515245 +12345)/ 65536, 32768),0)/32768),0))</f>
        <v>Druid</v>
      </c>
      <c r="F432" s="76">
        <v>1</v>
      </c>
      <c r="G432" s="153">
        <f ca="1">VLOOKUP($AB$2,'RF Mod'!$A$2:$G$12,2,FALSE)+VLOOKUP($AD$2,'RF Mod'!$I$2:$O$11,2,FALSE)+(TRUNC(6+(24-6)*(TRUNC(MOD(($Z432*1103515245 +12345)/ 65536, 32768),0)/32768),0))</f>
        <v>6</v>
      </c>
      <c r="H432" s="16">
        <f t="shared" ca="1" si="17"/>
        <v>-2</v>
      </c>
      <c r="I432" s="153">
        <f ca="1">VLOOKUP($AB$2,'RF Mod'!$A$2:$G$12,3,FALSE)+VLOOKUP($AD$2,'RF Mod'!$I$2:$O$11,3,FALSE)+(TRUNC(6+(24-6)*(TRUNC(MOD(($Z432*1103515245 +12345)/ 65536, 32768),0)/32768),0))</f>
        <v>10</v>
      </c>
      <c r="J432" s="16" t="e">
        <f t="shared" ca="1" si="18"/>
        <v>#NAME?</v>
      </c>
      <c r="K432" s="153">
        <f ca="1">VLOOKUP($AB$2,'RF Mod'!$A$2:$G$12,3,FALSE)+VLOOKUP($AD$2,'RF Mod'!$I$2:$O$11,3,FALSE)+(TRUNC(6+(24-6)*(TRUNC(MOD(($Z432*1103515245 +12345)/ 65536, 32768),0)/32768),0))</f>
        <v>10</v>
      </c>
      <c r="L432" s="16" t="e">
        <f t="shared" ca="1" si="19"/>
        <v>#NAME?</v>
      </c>
      <c r="M432" s="153">
        <f ca="1">VLOOKUP($AB$2,'RF Mod'!$A$2:$G$12,4,FALSE)+VLOOKUP($AD$2,'RF Mod'!$I$2:$O$11,4,FALSE)+(TRUNC(6+(24-6)*(TRUNC(MOD(($Z432*1103515245 +12345)/ 65536, 32768),0)/32768),0))</f>
        <v>9</v>
      </c>
      <c r="N432" s="16">
        <f t="shared" ca="1" si="20"/>
        <v>-1</v>
      </c>
      <c r="O432" s="153">
        <f ca="1">VLOOKUP($AB$2,'RF Mod'!$A$2:$G$12,5,FALSE)+VLOOKUP($AD$2,'RF Mod'!$I$2:$O$11,5,FALSE)+(TRUNC(6+(24-6)*(TRUNC(MOD(($Z432*1103515245 +12345)/ 65536, 32768),0)/32768),0))</f>
        <v>12</v>
      </c>
      <c r="P432" s="16" t="e">
        <f t="shared" ca="1" si="21"/>
        <v>#NAME?</v>
      </c>
      <c r="Q432" s="153">
        <f ca="1">VLOOKUP($AB$2,'RF Mod'!$A$2:$G$12,6,FALSE)+VLOOKUP($AD$2,'RF Mod'!$I$2:$O$11,6,FALSE)+(TRUNC(6+(24-6)*(TRUNC(MOD(($Z432*1103515245 +12345)/ 65536, 32768),0)/32768),0))</f>
        <v>10</v>
      </c>
      <c r="R432" s="16" t="e">
        <f t="shared" ca="1" si="22"/>
        <v>#NAME?</v>
      </c>
      <c r="S432" s="154">
        <f t="shared" ca="1" si="28"/>
        <v>12</v>
      </c>
      <c r="T432" s="154">
        <f t="shared" ca="1" si="23"/>
        <v>9</v>
      </c>
      <c r="U432" s="16" t="str">
        <f t="shared" ca="1" si="24"/>
        <v>Bloody</v>
      </c>
      <c r="V432" s="155">
        <f ca="1">IFERROR(__xludf.DUMMYFUNCTION("if(W432=""Middle Age"",QUERY(NPCVar!$K$2:$N1000, ""Select L where K = '""&amp;AB432&amp;""'""),if(W432=""Old"",QUERY(NPCVar!$K$2:$N1000, ""Select M where K = '""&amp;AB432&amp;""'""),if(W432=""Venerable"",QUERY(NPCVar!$K$2:$N1000, ""Select N where K = '""&amp;AB432&amp;""'""),fa"&amp;"lse)))*X432"),112.5)</f>
        <v>112.5</v>
      </c>
      <c r="W432" s="156" t="str">
        <f t="array" ref="W432">INDEX(NPCAgeType,TRUNC(1+(4-1)*(TRUNC(MOD((X432*1103515245 +12345)/ 65536, 32768),0)/32768),0))</f>
        <v>Middle Age</v>
      </c>
      <c r="X432" s="117">
        <f t="shared" si="29"/>
        <v>0.6</v>
      </c>
      <c r="Y432" s="157" t="e">
        <f t="array" aca="1" ref="Y432" ca="1">LOOKUP(ABS(MAX(Z432 + MIN(ABS(INDIRECT("Class Jobs!B"&amp;MATCH(E432,'Class Jobs'!$A$1:$A1000,0)&amp;":"&amp;"AF"&amp;MATCH(E432,'Class Jobs'!$A$1:$A1000,0)&amp;"")-$Z432)) * SUM(IF(MIN(ABS(INDIRECT("Class Jobs!B"&amp;MATCH(E432,'Class Jobs'!$A$1:$A1000,0)&amp;":"&amp;"AF"&amp;MATCH(E432,'Class Jobs'!$A$1:$A1000,0)&amp;"")-$Z432))=ABS(INDIRECT("Class Jobs!B"&amp;MATCH(E432,'Class Jobs'!$A$1:$A1000,0)&amp;":"&amp;"AF"&amp;MATCH(E432,'Class Jobs'!$A$1:$A1000,0)&amp;"")-$Z432),SIGN(INDIRECT("Class Jobs!B"&amp;MATCH(E432,'Class Jobs'!$A$1:A1000,0)&amp;":"&amp;"AF"&amp;MATCH(E432,'Class Jobs'!$A$1:$A1000,0)&amp;"")-$Z432),0)),0)),INDIRECT("Class Jobs!B"&amp;MATCH(E432,'Class Jobs'!$A$1:$A1000,0)&amp;":"&amp;"AF"&amp;MATCH(E432,'Class Jobs'!$A$1:$A1000,1)&amp;""),'Class Jobs'!$B$1:$AF$1)</f>
        <v>#REF!</v>
      </c>
      <c r="Z432" s="158">
        <f t="shared" si="25"/>
        <v>0.24</v>
      </c>
      <c r="AA432" s="16" t="str">
        <f t="array" ref="AA432">INDEX(NPCGender,TRUNC(1+(COUNTA(NPCGender))*(TRUNC(MOD(($B432*1103515245 +12345)/ 65536, 32768),0)/32768),0))</f>
        <v>Male</v>
      </c>
      <c r="AB432" s="16" t="str">
        <f t="array" ref="AB432">INDEX(NPCRace,TRUNC(1+(COUNTA(NPCRace))*(TRUNC(MOD(($B432*1103515245 +12345)/ 65536, 32768),0)/32768),0))</f>
        <v>Elf</v>
      </c>
      <c r="AC432" s="16" t="str">
        <f t="array" ref="AC432">INDEX(NPCAL,TRUNC(1+(COUNTA(NPCAL))*(TRUNC(MOD(($B432*1103515245 +12345)/ 65536, 32768),0)/32768),0))</f>
        <v>CG</v>
      </c>
      <c r="AD432" s="72" t="str">
        <f ca="1">IFERROR(__xludf.DUMMYFUNCTION("if(V432&lt;15,QUERY(NPCVar!C:D,""Select D WHERE C = '""&amp;D432&amp;""'""),if((TRUNC(1+10)*(TRUNC(MOD((ROW(H432)*1103515245 +12345)/ 65536, 32768),0)/32768)/10) &gt; 0.85,INDEX(NPCFaction,TRUNC(1+(counta(NPCFaction)-1)*(TRUNC(MOD(($B432*1103515245 +12345)/ 65536, 3276"&amp;"8),0)/32768),0)),QUERY(NPCVar!C:D,""Select D WHERE C = '""&amp;D432&amp;""'"")))"),"Traders Guild")</f>
        <v>Traders Guild</v>
      </c>
      <c r="AE432" s="108" t="e">
        <f t="shared" ca="1" si="26"/>
        <v>#NAME?</v>
      </c>
      <c r="AF432" s="159">
        <f ca="1">IFERROR(__xludf.DUMMYFUNCTION("AE432*(V432 / QUERY(NPCVar!$K$2:$N$12, ""Select N WHERE K='""&amp;AB432&amp;""'""))*TRUNC(1+10)*(TRUNC(MOD(($B432*1103515245 +12345)/ 65536, 32768),0)/32768)"),0.118221130371093)</f>
        <v>0.118221130371093</v>
      </c>
      <c r="AG432" s="16"/>
      <c r="AH432" s="77"/>
      <c r="AI432" s="114"/>
    </row>
    <row r="433" spans="1:35" ht="16.2">
      <c r="A433" s="53">
        <v>432</v>
      </c>
      <c r="B433" s="118">
        <f t="shared" si="31"/>
        <v>1.95892</v>
      </c>
      <c r="C433" s="72" t="str">
        <f t="array" ref="C433">INDEX(NPCFName,TRUNC(1+(COUNTA(NPCFName))*(TRUNC(MOD(($B433*1103515245 +12345)/ 65536, 32768),0)/32768),0))</f>
        <v>Ahburn</v>
      </c>
      <c r="D433" s="16" t="str">
        <f t="array" ref="D433">INDEX(NPCLName,TRUNC(1+(COUNTA(NPCLName))*(TRUNC(MOD(($B433*1103515245 +12345)/ 65536, 32768),0)/32768),0))</f>
        <v>Stagfang</v>
      </c>
      <c r="E433" s="16" t="str">
        <f t="array" ref="E433">INDEX(NPCClass,TRUNC(1+(COUNTA(NPCClass))*(TRUNC(MOD(($B433*1103515245 +12345)/ 65536, 32768),0)/32768),0))</f>
        <v>Barbarian</v>
      </c>
      <c r="F433" s="76">
        <v>1</v>
      </c>
      <c r="G433" s="153">
        <f ca="1">VLOOKUP($AB$2,'RF Mod'!$A$2:$G$12,2,FALSE)+VLOOKUP($AD$2,'RF Mod'!$I$2:$O$11,2,FALSE)+(TRUNC(6+(24-6)*(TRUNC(MOD(($Z433*1103515245 +12345)/ 65536, 32768),0)/32768),0))</f>
        <v>4</v>
      </c>
      <c r="H433" s="16">
        <f t="shared" ca="1" si="17"/>
        <v>-3</v>
      </c>
      <c r="I433" s="153">
        <f ca="1">VLOOKUP($AB$2,'RF Mod'!$A$2:$G$12,3,FALSE)+VLOOKUP($AD$2,'RF Mod'!$I$2:$O$11,3,FALSE)+(TRUNC(6+(24-6)*(TRUNC(MOD(($Z433*1103515245 +12345)/ 65536, 32768),0)/32768),0))</f>
        <v>8</v>
      </c>
      <c r="J433" s="16">
        <f t="shared" ca="1" si="18"/>
        <v>-1</v>
      </c>
      <c r="K433" s="153">
        <f ca="1">VLOOKUP($AB$2,'RF Mod'!$A$2:$G$12,3,FALSE)+VLOOKUP($AD$2,'RF Mod'!$I$2:$O$11,3,FALSE)+(TRUNC(6+(24-6)*(TRUNC(MOD(($Z433*1103515245 +12345)/ 65536, 32768),0)/32768),0))</f>
        <v>8</v>
      </c>
      <c r="L433" s="16">
        <f t="shared" ca="1" si="19"/>
        <v>-1</v>
      </c>
      <c r="M433" s="153">
        <f ca="1">VLOOKUP($AB$2,'RF Mod'!$A$2:$G$12,4,FALSE)+VLOOKUP($AD$2,'RF Mod'!$I$2:$O$11,4,FALSE)+(TRUNC(6+(24-6)*(TRUNC(MOD(($Z433*1103515245 +12345)/ 65536, 32768),0)/32768),0))</f>
        <v>7</v>
      </c>
      <c r="N433" s="16">
        <f t="shared" ca="1" si="20"/>
        <v>-2</v>
      </c>
      <c r="O433" s="153">
        <f ca="1">VLOOKUP($AB$2,'RF Mod'!$A$2:$G$12,5,FALSE)+VLOOKUP($AD$2,'RF Mod'!$I$2:$O$11,5,FALSE)+(TRUNC(6+(24-6)*(TRUNC(MOD(($Z433*1103515245 +12345)/ 65536, 32768),0)/32768),0))</f>
        <v>10</v>
      </c>
      <c r="P433" s="16" t="e">
        <f t="shared" ca="1" si="21"/>
        <v>#NAME?</v>
      </c>
      <c r="Q433" s="153">
        <f ca="1">VLOOKUP($AB$2,'RF Mod'!$A$2:$G$12,6,FALSE)+VLOOKUP($AD$2,'RF Mod'!$I$2:$O$11,6,FALSE)+(TRUNC(6+(24-6)*(TRUNC(MOD(($Z433*1103515245 +12345)/ 65536, 32768),0)/32768),0))</f>
        <v>8</v>
      </c>
      <c r="R433" s="16">
        <f t="shared" ca="1" si="22"/>
        <v>-1</v>
      </c>
      <c r="S433" s="154">
        <f t="shared" ca="1" si="28"/>
        <v>10</v>
      </c>
      <c r="T433" s="154">
        <f t="shared" ca="1" si="23"/>
        <v>3</v>
      </c>
      <c r="U433" s="16" t="str">
        <f t="shared" ca="1" si="24"/>
        <v>Fine</v>
      </c>
      <c r="V433" s="155">
        <f ca="1">IFERROR(__xludf.DUMMYFUNCTION("if(W433=""Middle Age"",QUERY(NPCVar!$K$2:$N1000, ""Select L where K = '""&amp;AB433&amp;""'""),if(W433=""Old"",QUERY(NPCVar!$K$2:$N1000, ""Select M where K = '""&amp;AB433&amp;""'""),if(W433=""Venerable"",QUERY(NPCVar!$K$2:$N1000, ""Select N where K = '""&amp;AB433&amp;""'""),fa"&amp;"lse)))*X433"),2)</f>
        <v>2</v>
      </c>
      <c r="W433" s="156" t="str">
        <f t="array" ref="W433">INDEX(NPCAgeType,TRUNC(1+(4-1)*(TRUNC(MOD((X433*1103515245 +12345)/ 65536, 32768),0)/32768),0))</f>
        <v>Middle Age</v>
      </c>
      <c r="X433" s="117">
        <f t="shared" si="29"/>
        <v>0.1</v>
      </c>
      <c r="Y433" s="157" t="e">
        <f t="array" aca="1" ref="Y433" ca="1">LOOKUP(ABS(MAX(Z433 + MIN(ABS(INDIRECT("Class Jobs!B"&amp;MATCH(E433,'Class Jobs'!$A$1:$A1000,0)&amp;":"&amp;"AF"&amp;MATCH(E433,'Class Jobs'!$A$1:$A1000,0)&amp;"")-$Z433)) * SUM(IF(MIN(ABS(INDIRECT("Class Jobs!B"&amp;MATCH(E433,'Class Jobs'!$A$1:$A1000,0)&amp;":"&amp;"AF"&amp;MATCH(E433,'Class Jobs'!$A$1:$A1000,0)&amp;"")-$Z433))=ABS(INDIRECT("Class Jobs!B"&amp;MATCH(E433,'Class Jobs'!$A$1:$A1000,0)&amp;":"&amp;"AF"&amp;MATCH(E433,'Class Jobs'!$A$1:$A1000,0)&amp;"")-$Z433),SIGN(INDIRECT("Class Jobs!B"&amp;MATCH(E433,'Class Jobs'!$A$1:A1000,0)&amp;":"&amp;"AF"&amp;MATCH(E433,'Class Jobs'!$A$1:$A1000,0)&amp;"")-$Z433),0)),0)),INDIRECT("Class Jobs!B"&amp;MATCH(E433,'Class Jobs'!$A$1:$A1000,0)&amp;":"&amp;"AF"&amp;MATCH(E433,'Class Jobs'!$A$1:$A1000,1)&amp;""),'Class Jobs'!$B$1:$AF$1)</f>
        <v>#REF!</v>
      </c>
      <c r="Z433" s="158">
        <f t="shared" si="25"/>
        <v>0.01</v>
      </c>
      <c r="AA433" s="16" t="str">
        <f t="array" ref="AA433">INDEX(NPCGender,TRUNC(1+(COUNTA(NPCGender))*(TRUNC(MOD(($B433*1103515245 +12345)/ 65536, 32768),0)/32768),0))</f>
        <v>Male</v>
      </c>
      <c r="AB433" s="16" t="str">
        <f t="array" ref="AB433">INDEX(NPCRace,TRUNC(1+(COUNTA(NPCRace))*(TRUNC(MOD(($B433*1103515245 +12345)/ 65536, 32768),0)/32768),0))</f>
        <v>Dragonborn</v>
      </c>
      <c r="AC433" s="16" t="str">
        <f t="array" ref="AC433">INDEX(NPCAL,TRUNC(1+(COUNTA(NPCAL))*(TRUNC(MOD(($B433*1103515245 +12345)/ 65536, 32768),0)/32768),0))</f>
        <v>CN</v>
      </c>
      <c r="AD433" s="72" t="str">
        <f ca="1">IFERROR(__xludf.DUMMYFUNCTION("if(V433&lt;15,QUERY(NPCVar!C:D,""Select D WHERE C = '""&amp;D433&amp;""'""),if((TRUNC(1+10)*(TRUNC(MOD((ROW(H433)*1103515245 +12345)/ 65536, 32768),0)/32768)/10) &gt; 0.85,INDEX(NPCFaction,TRUNC(1+(counta(NPCFaction)-1)*(TRUNC(MOD(($B433*1103515245 +12345)/ 65536, 3276"&amp;"8),0)/32768),0)),QUERY(NPCVar!C:D,""Select D WHERE C = '""&amp;D433&amp;""'"")))"),"Royalty")</f>
        <v>Royalty</v>
      </c>
      <c r="AE433" s="108" t="e">
        <f t="shared" ca="1" si="26"/>
        <v>#NAME?</v>
      </c>
      <c r="AF433" s="159">
        <f ca="1">IFERROR(__xludf.DUMMYFUNCTION("AE433*(V433 / QUERY(NPCVar!$K$2:$N$12, ""Select N WHERE K='""&amp;AB433&amp;""'""))*TRUNC(1+10)*(TRUNC(MOD(($B433*1103515245 +12345)/ 65536, 32768),0)/32768)"),0.00109268188476562)</f>
        <v>1.09268188476562E-3</v>
      </c>
      <c r="AG433" s="16"/>
      <c r="AH433" s="77"/>
      <c r="AI433" s="114"/>
    </row>
    <row r="434" spans="1:35" ht="16.2">
      <c r="A434" s="53">
        <v>433</v>
      </c>
      <c r="B434" s="118">
        <f t="shared" si="31"/>
        <v>0.95306999999999997</v>
      </c>
      <c r="C434" s="72" t="str">
        <f t="array" ref="C434">INDEX(NPCFName,TRUNC(1+(COUNTA(NPCFName))*(TRUNC(MOD(($B434*1103515245 +12345)/ 65536, 32768),0)/32768),0))</f>
        <v>Kaldar</v>
      </c>
      <c r="D434" s="16" t="str">
        <f t="array" ref="D434">INDEX(NPCLName,TRUNC(1+(COUNTA(NPCLName))*(TRUNC(MOD(($B434*1103515245 +12345)/ 65536, 32768),0)/32768),0))</f>
        <v>Autumnglow</v>
      </c>
      <c r="E434" s="16" t="str">
        <f t="array" ref="E434">INDEX(NPCClass,TRUNC(1+(COUNTA(NPCClass))*(TRUNC(MOD(($B434*1103515245 +12345)/ 65536, 32768),0)/32768),0))</f>
        <v>Ranger</v>
      </c>
      <c r="F434" s="76">
        <v>7</v>
      </c>
      <c r="G434" s="153">
        <f ca="1">VLOOKUP($AB$2,'RF Mod'!$A$2:$G$12,2,FALSE)+VLOOKUP($AD$2,'RF Mod'!$I$2:$O$11,2,FALSE)+(TRUNC(6+(24-6)*(TRUNC(MOD(($Z434*1103515245 +12345)/ 65536, 32768),0)/32768),0))</f>
        <v>8</v>
      </c>
      <c r="H434" s="16">
        <f t="shared" ca="1" si="17"/>
        <v>-1</v>
      </c>
      <c r="I434" s="153">
        <f ca="1">VLOOKUP($AB$2,'RF Mod'!$A$2:$G$12,3,FALSE)+VLOOKUP($AD$2,'RF Mod'!$I$2:$O$11,3,FALSE)+(TRUNC(6+(24-6)*(TRUNC(MOD(($Z434*1103515245 +12345)/ 65536, 32768),0)/32768),0))</f>
        <v>12</v>
      </c>
      <c r="J434" s="16" t="e">
        <f t="shared" ca="1" si="18"/>
        <v>#NAME?</v>
      </c>
      <c r="K434" s="153">
        <f ca="1">VLOOKUP($AB$2,'RF Mod'!$A$2:$G$12,3,FALSE)+VLOOKUP($AD$2,'RF Mod'!$I$2:$O$11,3,FALSE)+(TRUNC(6+(24-6)*(TRUNC(MOD(($Z434*1103515245 +12345)/ 65536, 32768),0)/32768),0))</f>
        <v>12</v>
      </c>
      <c r="L434" s="16" t="e">
        <f t="shared" ca="1" si="19"/>
        <v>#NAME?</v>
      </c>
      <c r="M434" s="153">
        <f ca="1">VLOOKUP($AB$2,'RF Mod'!$A$2:$G$12,4,FALSE)+VLOOKUP($AD$2,'RF Mod'!$I$2:$O$11,4,FALSE)+(TRUNC(6+(24-6)*(TRUNC(MOD(($Z434*1103515245 +12345)/ 65536, 32768),0)/32768),0))</f>
        <v>11</v>
      </c>
      <c r="N434" s="16" t="e">
        <f t="shared" ca="1" si="20"/>
        <v>#NAME?</v>
      </c>
      <c r="O434" s="153">
        <f ca="1">VLOOKUP($AB$2,'RF Mod'!$A$2:$G$12,5,FALSE)+VLOOKUP($AD$2,'RF Mod'!$I$2:$O$11,5,FALSE)+(TRUNC(6+(24-6)*(TRUNC(MOD(($Z434*1103515245 +12345)/ 65536, 32768),0)/32768),0))</f>
        <v>14</v>
      </c>
      <c r="P434" s="16" t="e">
        <f t="shared" ca="1" si="21"/>
        <v>#NAME?</v>
      </c>
      <c r="Q434" s="153">
        <f ca="1">VLOOKUP($AB$2,'RF Mod'!$A$2:$G$12,6,FALSE)+VLOOKUP($AD$2,'RF Mod'!$I$2:$O$11,6,FALSE)+(TRUNC(6+(24-6)*(TRUNC(MOD(($Z434*1103515245 +12345)/ 65536, 32768),0)/32768),0))</f>
        <v>12</v>
      </c>
      <c r="R434" s="16" t="e">
        <f t="shared" ca="1" si="22"/>
        <v>#NAME?</v>
      </c>
      <c r="S434" s="154">
        <f t="shared" ca="1" si="28"/>
        <v>182</v>
      </c>
      <c r="T434" s="154">
        <f t="shared" ca="1" si="23"/>
        <v>33</v>
      </c>
      <c r="U434" s="16" t="str">
        <f t="shared" ca="1" si="24"/>
        <v>Fine</v>
      </c>
      <c r="V434" s="155">
        <f ca="1">IFERROR(__xludf.DUMMYFUNCTION("if(W434=""Middle Age"",QUERY(NPCVar!$K$2:$N1000, ""Select L where K = '""&amp;AB434&amp;""'""),if(W434=""Old"",QUERY(NPCVar!$K$2:$N1000, ""Select M where K = '""&amp;AB434&amp;""'""),if(W434=""Venerable"",QUERY(NPCVar!$K$2:$N1000, ""Select N where K = '""&amp;AB434&amp;""'""),fa"&amp;"lse)))*X434"),31.5)</f>
        <v>31.5</v>
      </c>
      <c r="W434" s="156" t="str">
        <f t="array" ref="W434">INDEX(NPCAgeType,TRUNC(1+(4-1)*(TRUNC(MOD((X434*1103515245 +12345)/ 65536, 32768),0)/32768),0))</f>
        <v>Old</v>
      </c>
      <c r="X434" s="117">
        <f t="shared" si="29"/>
        <v>1.2</v>
      </c>
      <c r="Y434" s="157" t="e">
        <f t="array" aca="1" ref="Y434" ca="1">LOOKUP(ABS(MAX(Z434 + MIN(ABS(INDIRECT("Class Jobs!B"&amp;MATCH(E434,'Class Jobs'!$A$1:$A1000,0)&amp;":"&amp;"AF"&amp;MATCH(E434,'Class Jobs'!$A$1:$A1000,0)&amp;"")-$Z434)) * SUM(IF(MIN(ABS(INDIRECT("Class Jobs!B"&amp;MATCH(E434,'Class Jobs'!$A$1:$A1000,0)&amp;":"&amp;"AF"&amp;MATCH(E434,'Class Jobs'!$A$1:$A1000,0)&amp;"")-$Z434))=ABS(INDIRECT("Class Jobs!B"&amp;MATCH(E434,'Class Jobs'!$A$1:$A1000,0)&amp;":"&amp;"AF"&amp;MATCH(E434,'Class Jobs'!$A$1:$A1000,0)&amp;"")-$Z434),SIGN(INDIRECT("Class Jobs!B"&amp;MATCH(E434,'Class Jobs'!$A$1:A1000,0)&amp;":"&amp;"AF"&amp;MATCH(E434,'Class Jobs'!$A$1:$A1000,0)&amp;"")-$Z434),0)),0)),INDIRECT("Class Jobs!B"&amp;MATCH(E434,'Class Jobs'!$A$1:$A1000,0)&amp;":"&amp;"AF"&amp;MATCH(E434,'Class Jobs'!$A$1:$A1000,1)&amp;""),'Class Jobs'!$B$1:$AF$1)</f>
        <v>#REF!</v>
      </c>
      <c r="Z434" s="158">
        <f t="shared" si="25"/>
        <v>0.49</v>
      </c>
      <c r="AA434" s="16" t="str">
        <f t="array" ref="AA434">INDEX(NPCGender,TRUNC(1+(COUNTA(NPCGender))*(TRUNC(MOD(($B434*1103515245 +12345)/ 65536, 32768),0)/32768),0))</f>
        <v>Female</v>
      </c>
      <c r="AB434" s="16" t="str">
        <f t="array" ref="AB434">INDEX(NPCRace,TRUNC(1+(COUNTA(NPCRace))*(TRUNC(MOD(($B434*1103515245 +12345)/ 65536, 32768),0)/32768),0))</f>
        <v>Half-Orc</v>
      </c>
      <c r="AC434" s="16" t="str">
        <f t="array" ref="AC434">INDEX(NPCAL,TRUNC(1+(COUNTA(NPCAL))*(TRUNC(MOD(($B434*1103515245 +12345)/ 65536, 32768),0)/32768),0))</f>
        <v>NN</v>
      </c>
      <c r="AD434" s="72" t="str">
        <f ca="1">IFERROR(__xludf.DUMMYFUNCTION("if(V434&lt;15,QUERY(NPCVar!C:D,""Select D WHERE C = '""&amp;D434&amp;""'""),if((TRUNC(1+10)*(TRUNC(MOD((ROW(H434)*1103515245 +12345)/ 65536, 32768),0)/32768)/10) &gt; 0.85,INDEX(NPCFaction,TRUNC(1+(counta(NPCFaction)-1)*(TRUNC(MOD(($B434*1103515245 +12345)/ 65536, 3276"&amp;"8),0)/32768),0)),QUERY(NPCVar!C:D,""Select D WHERE C = '""&amp;D434&amp;""'"")))"),"Traders Guild")</f>
        <v>Traders Guild</v>
      </c>
      <c r="AE434" s="108" t="e">
        <f t="shared" ca="1" si="26"/>
        <v>#NAME?</v>
      </c>
      <c r="AF434" s="159">
        <f ca="1">IFERROR(__xludf.DUMMYFUNCTION("AE434*(V434 / QUERY(NPCVar!$K$2:$N$12, ""Select N WHERE K='""&amp;AB434&amp;""'""))*TRUNC(1+10)*(TRUNC(MOD(($B434*1103515245 +12345)/ 65536, 32768),0)/32768)"),1.4545458984375)</f>
        <v>1.4545458984374999</v>
      </c>
      <c r="AG434" s="16"/>
      <c r="AH434" s="77"/>
      <c r="AI434" s="114"/>
    </row>
    <row r="435" spans="1:35" ht="16.2">
      <c r="A435" s="53">
        <v>434</v>
      </c>
      <c r="B435" s="118">
        <f t="shared" si="31"/>
        <v>2.4472</v>
      </c>
      <c r="C435" s="72" t="str">
        <f t="array" ref="C435">INDEX(NPCFName,TRUNC(1+(COUNTA(NPCFName))*(TRUNC(MOD(($B435*1103515245 +12345)/ 65536, 32768),0)/32768),0))</f>
        <v>Samon</v>
      </c>
      <c r="D435" s="16" t="str">
        <f t="array" ref="D435">INDEX(NPCLName,TRUNC(1+(COUNTA(NPCLName))*(TRUNC(MOD(($B435*1103515245 +12345)/ 65536, 32768),0)/32768),0))</f>
        <v>Tuskleaf</v>
      </c>
      <c r="E435" s="16" t="str">
        <f t="array" ref="E435">INDEX(NPCClass,TRUNC(1+(COUNTA(NPCClass))*(TRUNC(MOD(($B435*1103515245 +12345)/ 65536, 32768),0)/32768),0))</f>
        <v>Monk</v>
      </c>
      <c r="F435" s="76">
        <v>4</v>
      </c>
      <c r="G435" s="153">
        <f ca="1">VLOOKUP($AB$2,'RF Mod'!$A$2:$G$12,2,FALSE)+VLOOKUP($AD$2,'RF Mod'!$I$2:$O$11,2,FALSE)+(TRUNC(6+(24-6)*(TRUNC(MOD(($Z435*1103515245 +12345)/ 65536, 32768),0)/32768),0))</f>
        <v>6</v>
      </c>
      <c r="H435" s="16">
        <f t="shared" ca="1" si="17"/>
        <v>-2</v>
      </c>
      <c r="I435" s="153">
        <f ca="1">VLOOKUP($AB$2,'RF Mod'!$A$2:$G$12,3,FALSE)+VLOOKUP($AD$2,'RF Mod'!$I$2:$O$11,3,FALSE)+(TRUNC(6+(24-6)*(TRUNC(MOD(($Z435*1103515245 +12345)/ 65536, 32768),0)/32768),0))</f>
        <v>10</v>
      </c>
      <c r="J435" s="16" t="e">
        <f t="shared" ca="1" si="18"/>
        <v>#NAME?</v>
      </c>
      <c r="K435" s="153">
        <f ca="1">VLOOKUP($AB$2,'RF Mod'!$A$2:$G$12,3,FALSE)+VLOOKUP($AD$2,'RF Mod'!$I$2:$O$11,3,FALSE)+(TRUNC(6+(24-6)*(TRUNC(MOD(($Z435*1103515245 +12345)/ 65536, 32768),0)/32768),0))</f>
        <v>10</v>
      </c>
      <c r="L435" s="16" t="e">
        <f t="shared" ca="1" si="19"/>
        <v>#NAME?</v>
      </c>
      <c r="M435" s="153">
        <f ca="1">VLOOKUP($AB$2,'RF Mod'!$A$2:$G$12,4,FALSE)+VLOOKUP($AD$2,'RF Mod'!$I$2:$O$11,4,FALSE)+(TRUNC(6+(24-6)*(TRUNC(MOD(($Z435*1103515245 +12345)/ 65536, 32768),0)/32768),0))</f>
        <v>9</v>
      </c>
      <c r="N435" s="16">
        <f t="shared" ca="1" si="20"/>
        <v>-1</v>
      </c>
      <c r="O435" s="153">
        <f ca="1">VLOOKUP($AB$2,'RF Mod'!$A$2:$G$12,5,FALSE)+VLOOKUP($AD$2,'RF Mod'!$I$2:$O$11,5,FALSE)+(TRUNC(6+(24-6)*(TRUNC(MOD(($Z435*1103515245 +12345)/ 65536, 32768),0)/32768),0))</f>
        <v>12</v>
      </c>
      <c r="P435" s="16" t="e">
        <f t="shared" ca="1" si="21"/>
        <v>#NAME?</v>
      </c>
      <c r="Q435" s="153">
        <f ca="1">VLOOKUP($AB$2,'RF Mod'!$A$2:$G$12,6,FALSE)+VLOOKUP($AD$2,'RF Mod'!$I$2:$O$11,6,FALSE)+(TRUNC(6+(24-6)*(TRUNC(MOD(($Z435*1103515245 +12345)/ 65536, 32768),0)/32768),0))</f>
        <v>10</v>
      </c>
      <c r="R435" s="16" t="e">
        <f t="shared" ca="1" si="22"/>
        <v>#NAME?</v>
      </c>
      <c r="S435" s="154">
        <f t="shared" ca="1" si="28"/>
        <v>112</v>
      </c>
      <c r="T435" s="154">
        <f t="shared" ca="1" si="23"/>
        <v>17</v>
      </c>
      <c r="U435" s="16" t="str">
        <f t="shared" ca="1" si="24"/>
        <v>Fine</v>
      </c>
      <c r="V435" s="155">
        <f ca="1">IFERROR(__xludf.DUMMYFUNCTION("if(W435=""Middle Age"",QUERY(NPCVar!$K$2:$N1000, ""Select L where K = '""&amp;AB435&amp;""'""),if(W435=""Old"",QUERY(NPCVar!$K$2:$N1000, ""Select M where K = '""&amp;AB435&amp;""'""),if(W435=""Venerable"",QUERY(NPCVar!$K$2:$N1000, ""Select N where K = '""&amp;AB435&amp;""'""),fa"&amp;"lse)))*X435"),196.875)</f>
        <v>196.875</v>
      </c>
      <c r="W435" s="156" t="str">
        <f t="array" ref="W435">INDEX(NPCAgeType,TRUNC(1+(4-1)*(TRUNC(MOD((X435*1103515245 +12345)/ 65536, 32768),0)/32768),0))</f>
        <v>Old</v>
      </c>
      <c r="X435" s="117">
        <f t="shared" si="29"/>
        <v>0.7</v>
      </c>
      <c r="Y435" s="157" t="e">
        <f t="array" aca="1" ref="Y435" ca="1">LOOKUP(ABS(MAX(Z435 + MIN(ABS(INDIRECT("Class Jobs!B"&amp;MATCH(E435,'Class Jobs'!$A$1:$A1000,0)&amp;":"&amp;"AF"&amp;MATCH(E435,'Class Jobs'!$A$1:$A1000,0)&amp;"")-$Z435)) * SUM(IF(MIN(ABS(INDIRECT("Class Jobs!B"&amp;MATCH(E435,'Class Jobs'!$A$1:$A1000,0)&amp;":"&amp;"AF"&amp;MATCH(E435,'Class Jobs'!$A$1:$A1000,0)&amp;"")-$Z435))=ABS(INDIRECT("Class Jobs!B"&amp;MATCH(E435,'Class Jobs'!$A$1:$A1000,0)&amp;":"&amp;"AF"&amp;MATCH(E435,'Class Jobs'!$A$1:$A1000,0)&amp;"")-$Z435),SIGN(INDIRECT("Class Jobs!B"&amp;MATCH(E435,'Class Jobs'!$A$1:A1000,0)&amp;":"&amp;"AF"&amp;MATCH(E435,'Class Jobs'!$A$1:$A1000,0)&amp;"")-$Z435),0)),0)),INDIRECT("Class Jobs!B"&amp;MATCH(E435,'Class Jobs'!$A$1:$A1000,0)&amp;":"&amp;"AF"&amp;MATCH(E435,'Class Jobs'!$A$1:$A1000,1)&amp;""),'Class Jobs'!$B$1:$AF$1)</f>
        <v>#REF!</v>
      </c>
      <c r="Z435" s="158">
        <f t="shared" si="25"/>
        <v>0.26</v>
      </c>
      <c r="AA435" s="16" t="str">
        <f t="array" ref="AA435">INDEX(NPCGender,TRUNC(1+(COUNTA(NPCGender))*(TRUNC(MOD(($B435*1103515245 +12345)/ 65536, 32768),0)/32768),0))</f>
        <v>Male</v>
      </c>
      <c r="AB435" s="16" t="str">
        <f t="array" ref="AB435">INDEX(NPCRace,TRUNC(1+(COUNTA(NPCRace))*(TRUNC(MOD(($B435*1103515245 +12345)/ 65536, 32768),0)/32768),0))</f>
        <v>Elf</v>
      </c>
      <c r="AC435" s="16" t="str">
        <f t="array" ref="AC435">INDEX(NPCAL,TRUNC(1+(COUNTA(NPCAL))*(TRUNC(MOD(($B435*1103515245 +12345)/ 65536, 32768),0)/32768),0))</f>
        <v>CG</v>
      </c>
      <c r="AD435" s="72" t="str">
        <f ca="1">IFERROR(__xludf.DUMMYFUNCTION("if(V435&lt;15,QUERY(NPCVar!C:D,""Select D WHERE C = '""&amp;D435&amp;""'""),if((TRUNC(1+10)*(TRUNC(MOD((ROW(H435)*1103515245 +12345)/ 65536, 32768),0)/32768)/10) &gt; 0.85,INDEX(NPCFaction,TRUNC(1+(counta(NPCFaction)-1)*(TRUNC(MOD(($B435*1103515245 +12345)/ 65536, 3276"&amp;"8),0)/32768),0)),QUERY(NPCVar!C:D,""Select D WHERE C = '""&amp;D435&amp;""'"")))"),"Magic Guild")</f>
        <v>Magic Guild</v>
      </c>
      <c r="AE435" s="108" t="e">
        <f t="shared" ca="1" si="26"/>
        <v>#NAME?</v>
      </c>
      <c r="AF435" s="159">
        <f ca="1">IFERROR(__xludf.DUMMYFUNCTION("AE435*(V435 / QUERY(NPCVar!$K$2:$N$12, ""Select N WHERE K='""&amp;AB435&amp;""'""))*TRUNC(1+10)*(TRUNC(MOD(($B435*1103515245 +12345)/ 65536, 32768),0)/32768)"),-0.074355239868164)</f>
        <v>-7.4355239868164003E-2</v>
      </c>
      <c r="AG435" s="16"/>
      <c r="AH435" s="77"/>
      <c r="AI435" s="114"/>
    </row>
    <row r="436" spans="1:35" ht="16.2">
      <c r="A436" s="53">
        <v>435</v>
      </c>
      <c r="B436" s="118">
        <f t="shared" si="31"/>
        <v>1.4412700000000001</v>
      </c>
      <c r="C436" s="72" t="str">
        <f t="array" ref="C436">INDEX(NPCFName,TRUNC(1+(COUNTA(NPCFName))*(TRUNC(MOD(($B436*1103515245 +12345)/ 65536, 32768),0)/32768),0))</f>
        <v>Dismer</v>
      </c>
      <c r="D436" s="16" t="str">
        <f t="array" ref="D436">INDEX(NPCLName,TRUNC(1+(COUNTA(NPCLName))*(TRUNC(MOD(($B436*1103515245 +12345)/ 65536, 32768),0)/32768),0))</f>
        <v>Sacredgloom</v>
      </c>
      <c r="E436" s="16" t="str">
        <f t="array" ref="E436">INDEX(NPCClass,TRUNC(1+(COUNTA(NPCClass))*(TRUNC(MOD(($B436*1103515245 +12345)/ 65536, 32768),0)/32768),0))</f>
        <v>None</v>
      </c>
      <c r="F436" s="76">
        <v>8</v>
      </c>
      <c r="G436" s="153">
        <f ca="1">VLOOKUP($AB$2,'RF Mod'!$A$2:$G$12,2,FALSE)+VLOOKUP($AD$2,'RF Mod'!$I$2:$O$11,2,FALSE)+(TRUNC(6+(24-6)*(TRUNC(MOD(($Z436*1103515245 +12345)/ 65536, 32768),0)/32768),0))</f>
        <v>10</v>
      </c>
      <c r="H436" s="16" t="e">
        <f t="shared" ca="1" si="17"/>
        <v>#NAME?</v>
      </c>
      <c r="I436" s="153">
        <f ca="1">VLOOKUP($AB$2,'RF Mod'!$A$2:$G$12,3,FALSE)+VLOOKUP($AD$2,'RF Mod'!$I$2:$O$11,3,FALSE)+(TRUNC(6+(24-6)*(TRUNC(MOD(($Z436*1103515245 +12345)/ 65536, 32768),0)/32768),0))</f>
        <v>14</v>
      </c>
      <c r="J436" s="16" t="e">
        <f t="shared" ca="1" si="18"/>
        <v>#NAME?</v>
      </c>
      <c r="K436" s="153">
        <f ca="1">VLOOKUP($AB$2,'RF Mod'!$A$2:$G$12,3,FALSE)+VLOOKUP($AD$2,'RF Mod'!$I$2:$O$11,3,FALSE)+(TRUNC(6+(24-6)*(TRUNC(MOD(($Z436*1103515245 +12345)/ 65536, 32768),0)/32768),0))</f>
        <v>14</v>
      </c>
      <c r="L436" s="16" t="e">
        <f t="shared" ca="1" si="19"/>
        <v>#NAME?</v>
      </c>
      <c r="M436" s="153">
        <f ca="1">VLOOKUP($AB$2,'RF Mod'!$A$2:$G$12,4,FALSE)+VLOOKUP($AD$2,'RF Mod'!$I$2:$O$11,4,FALSE)+(TRUNC(6+(24-6)*(TRUNC(MOD(($Z436*1103515245 +12345)/ 65536, 32768),0)/32768),0))</f>
        <v>13</v>
      </c>
      <c r="N436" s="16" t="e">
        <f t="shared" ca="1" si="20"/>
        <v>#NAME?</v>
      </c>
      <c r="O436" s="153">
        <f ca="1">VLOOKUP($AB$2,'RF Mod'!$A$2:$G$12,5,FALSE)+VLOOKUP($AD$2,'RF Mod'!$I$2:$O$11,5,FALSE)+(TRUNC(6+(24-6)*(TRUNC(MOD(($Z436*1103515245 +12345)/ 65536, 32768),0)/32768),0))</f>
        <v>16</v>
      </c>
      <c r="P436" s="16" t="e">
        <f t="shared" ca="1" si="21"/>
        <v>#NAME?</v>
      </c>
      <c r="Q436" s="153">
        <f ca="1">VLOOKUP($AB$2,'RF Mod'!$A$2:$G$12,6,FALSE)+VLOOKUP($AD$2,'RF Mod'!$I$2:$O$11,6,FALSE)+(TRUNC(6+(24-6)*(TRUNC(MOD(($Z436*1103515245 +12345)/ 65536, 32768),0)/32768),0))</f>
        <v>14</v>
      </c>
      <c r="R436" s="16" t="e">
        <f t="shared" ca="1" si="22"/>
        <v>#NAME?</v>
      </c>
      <c r="S436" s="154">
        <f t="shared" ca="1" si="28"/>
        <v>192</v>
      </c>
      <c r="T436" s="154">
        <f t="shared" ca="1" si="23"/>
        <v>62</v>
      </c>
      <c r="U436" s="16" t="str">
        <f t="shared" ca="1" si="24"/>
        <v>Fine</v>
      </c>
      <c r="V436" s="155">
        <f ca="1">IFERROR(__xludf.DUMMYFUNCTION("if(W436=""Middle Age"",QUERY(NPCVar!$K$2:$N1000, ""Select L where K = '""&amp;AB436&amp;""'""),if(W436=""Old"",QUERY(NPCVar!$K$2:$N1000, ""Select M where K = '""&amp;AB436&amp;""'""),if(W436=""Venerable"",QUERY(NPCVar!$K$2:$N1000, ""Select N where K = '""&amp;AB436&amp;""'""),fa"&amp;"lse)))*X436"),180)</f>
        <v>180</v>
      </c>
      <c r="W436" s="156" t="str">
        <f t="array" ref="W436">INDEX(NPCAgeType,TRUNC(1+(4-1)*(TRUNC(MOD((X436*1103515245 +12345)/ 65536, 32768),0)/32768),0))</f>
        <v>Venerable</v>
      </c>
      <c r="X436" s="117">
        <f t="shared" si="29"/>
        <v>1.8</v>
      </c>
      <c r="Y436" s="157" t="e">
        <f t="array" aca="1" ref="Y436" ca="1">LOOKUP(ABS(MAX(Z436 + MIN(ABS(INDIRECT("Class Jobs!B"&amp;MATCH(E436,'Class Jobs'!$A$1:$A1000,0)&amp;":"&amp;"AF"&amp;MATCH(E436,'Class Jobs'!$A$1:$A1000,0)&amp;"")-$Z436)) * SUM(IF(MIN(ABS(INDIRECT("Class Jobs!B"&amp;MATCH(E436,'Class Jobs'!$A$1:$A1000,0)&amp;":"&amp;"AF"&amp;MATCH(E436,'Class Jobs'!$A$1:$A1000,0)&amp;"")-$Z436))=ABS(INDIRECT("Class Jobs!B"&amp;MATCH(E436,'Class Jobs'!$A$1:$A1000,0)&amp;":"&amp;"AF"&amp;MATCH(E436,'Class Jobs'!$A$1:$A1000,0)&amp;"")-$Z436),SIGN(INDIRECT("Class Jobs!B"&amp;MATCH(E436,'Class Jobs'!$A$1:A1000,0)&amp;":"&amp;"AF"&amp;MATCH(E436,'Class Jobs'!$A$1:$A1000,0)&amp;"")-$Z436),0)),0)),INDIRECT("Class Jobs!B"&amp;MATCH(E436,'Class Jobs'!$A$1:$A1000,0)&amp;":"&amp;"AF"&amp;MATCH(E436,'Class Jobs'!$A$1:$A1000,1)&amp;""),'Class Jobs'!$B$1:$AF$1)</f>
        <v>#REF!</v>
      </c>
      <c r="Z436" s="158">
        <f t="shared" si="25"/>
        <v>0.74</v>
      </c>
      <c r="AA436" s="16" t="str">
        <f t="array" ref="AA436">INDEX(NPCGender,TRUNC(1+(COUNTA(NPCGender))*(TRUNC(MOD(($B436*1103515245 +12345)/ 65536, 32768),0)/32768),0))</f>
        <v>Neutral</v>
      </c>
      <c r="AB436" s="16" t="str">
        <f t="array" ref="AB436">INDEX(NPCRace,TRUNC(1+(COUNTA(NPCRace))*(TRUNC(MOD(($B436*1103515245 +12345)/ 65536, 32768),0)/32768),0))</f>
        <v>Tiefling</v>
      </c>
      <c r="AC436" s="16" t="str">
        <f t="array" ref="AC436">INDEX(NPCAL,TRUNC(1+(COUNTA(NPCAL))*(TRUNC(MOD(($B436*1103515245 +12345)/ 65536, 32768),0)/32768),0))</f>
        <v>LG</v>
      </c>
      <c r="AD436" s="72" t="str">
        <f ca="1">IFERROR(__xludf.DUMMYFUNCTION("if(V436&lt;15,QUERY(NPCVar!C:D,""Select D WHERE C = '""&amp;D436&amp;""'""),if((TRUNC(1+10)*(TRUNC(MOD((ROW(H436)*1103515245 +12345)/ 65536, 32768),0)/32768)/10) &gt; 0.85,INDEX(NPCFaction,TRUNC(1+(counta(NPCFaction)-1)*(TRUNC(MOD(($B436*1103515245 +12345)/ 65536, 3276"&amp;"8),0)/32768),0)),QUERY(NPCVar!C:D,""Select D WHERE C = '""&amp;D436&amp;""'"")))"),"Adventures Guild")</f>
        <v>Adventures Guild</v>
      </c>
      <c r="AE436" s="108" t="e">
        <f t="shared" ca="1" si="26"/>
        <v>#NAME?</v>
      </c>
      <c r="AF436" s="159">
        <f ca="1">IFERROR(__xludf.DUMMYFUNCTION("AE436*(V436 / QUERY(NPCVar!$K$2:$N$12, ""Select N WHERE K='""&amp;AB436&amp;""'""))*TRUNC(1+10)*(TRUNC(MOD(($B436*1103515245 +12345)/ 65536, 32768),0)/32768)"),8.7983349609375)</f>
        <v>8.7983349609375008</v>
      </c>
      <c r="AG436" s="16"/>
      <c r="AH436" s="77"/>
      <c r="AI436" s="114"/>
    </row>
    <row r="437" spans="1:35" ht="16.2">
      <c r="A437" s="53">
        <v>436</v>
      </c>
      <c r="B437" s="118">
        <f t="shared" si="31"/>
        <v>0.43541000000000002</v>
      </c>
      <c r="C437" s="72" t="str">
        <f t="array" ref="C437">INDEX(NPCFName,TRUNC(1+(COUNTA(NPCFName))*(TRUNC(MOD(($B437*1103515245 +12345)/ 65536, 32768),0)/32768),0))</f>
        <v>Pendus</v>
      </c>
      <c r="D437" s="16" t="str">
        <f t="array" ref="D437">INDEX(NPCLName,TRUNC(1+(COUNTA(NPCLName))*(TRUNC(MOD(($B437*1103515245 +12345)/ 65536, 32768),0)/32768),0))</f>
        <v>Stillsun</v>
      </c>
      <c r="E437" s="16" t="str">
        <f t="array" ref="E437">INDEX(NPCClass,TRUNC(1+(COUNTA(NPCClass))*(TRUNC(MOD(($B437*1103515245 +12345)/ 65536, 32768),0)/32768),0))</f>
        <v>Druid</v>
      </c>
      <c r="F437" s="76">
        <v>3</v>
      </c>
      <c r="G437" s="153">
        <f ca="1">VLOOKUP($AB$2,'RF Mod'!$A$2:$G$12,2,FALSE)+VLOOKUP($AD$2,'RF Mod'!$I$2:$O$11,2,FALSE)+(TRUNC(6+(24-6)*(TRUNC(MOD(($Z437*1103515245 +12345)/ 65536, 32768),0)/32768),0))</f>
        <v>6</v>
      </c>
      <c r="H437" s="16">
        <f t="shared" ca="1" si="17"/>
        <v>-2</v>
      </c>
      <c r="I437" s="153">
        <f ca="1">VLOOKUP($AB$2,'RF Mod'!$A$2:$G$12,3,FALSE)+VLOOKUP($AD$2,'RF Mod'!$I$2:$O$11,3,FALSE)+(TRUNC(6+(24-6)*(TRUNC(MOD(($Z437*1103515245 +12345)/ 65536, 32768),0)/32768),0))</f>
        <v>10</v>
      </c>
      <c r="J437" s="16" t="e">
        <f t="shared" ca="1" si="18"/>
        <v>#NAME?</v>
      </c>
      <c r="K437" s="153">
        <f ca="1">VLOOKUP($AB$2,'RF Mod'!$A$2:$G$12,3,FALSE)+VLOOKUP($AD$2,'RF Mod'!$I$2:$O$11,3,FALSE)+(TRUNC(6+(24-6)*(TRUNC(MOD(($Z437*1103515245 +12345)/ 65536, 32768),0)/32768),0))</f>
        <v>10</v>
      </c>
      <c r="L437" s="16" t="e">
        <f t="shared" ca="1" si="19"/>
        <v>#NAME?</v>
      </c>
      <c r="M437" s="153">
        <f ca="1">VLOOKUP($AB$2,'RF Mod'!$A$2:$G$12,4,FALSE)+VLOOKUP($AD$2,'RF Mod'!$I$2:$O$11,4,FALSE)+(TRUNC(6+(24-6)*(TRUNC(MOD(($Z437*1103515245 +12345)/ 65536, 32768),0)/32768),0))</f>
        <v>9</v>
      </c>
      <c r="N437" s="16">
        <f t="shared" ca="1" si="20"/>
        <v>-1</v>
      </c>
      <c r="O437" s="153">
        <f ca="1">VLOOKUP($AB$2,'RF Mod'!$A$2:$G$12,5,FALSE)+VLOOKUP($AD$2,'RF Mod'!$I$2:$O$11,5,FALSE)+(TRUNC(6+(24-6)*(TRUNC(MOD(($Z437*1103515245 +12345)/ 65536, 32768),0)/32768),0))</f>
        <v>12</v>
      </c>
      <c r="P437" s="16" t="e">
        <f t="shared" ca="1" si="21"/>
        <v>#NAME?</v>
      </c>
      <c r="Q437" s="153">
        <f ca="1">VLOOKUP($AB$2,'RF Mod'!$A$2:$G$12,6,FALSE)+VLOOKUP($AD$2,'RF Mod'!$I$2:$O$11,6,FALSE)+(TRUNC(6+(24-6)*(TRUNC(MOD(($Z437*1103515245 +12345)/ 65536, 32768),0)/32768),0))</f>
        <v>10</v>
      </c>
      <c r="R437" s="16" t="e">
        <f t="shared" ca="1" si="22"/>
        <v>#NAME?</v>
      </c>
      <c r="S437" s="154">
        <f t="shared" ca="1" si="28"/>
        <v>84</v>
      </c>
      <c r="T437" s="154">
        <f t="shared" ca="1" si="23"/>
        <v>60</v>
      </c>
      <c r="U437" s="16" t="str">
        <f t="shared" ca="1" si="24"/>
        <v>Bloody</v>
      </c>
      <c r="V437" s="155">
        <f ca="1">IFERROR(__xludf.DUMMYFUNCTION("if(W437=""Middle Age"",QUERY(NPCVar!$K$2:$N1000, ""Select L where K = '""&amp;AB437&amp;""'""),if(W437=""Old"",QUERY(NPCVar!$K$2:$N1000, ""Select M where K = '""&amp;AB437&amp;""'""),if(W437=""Venerable"",QUERY(NPCVar!$K$2:$N1000, ""Select N where K = '""&amp;AB437&amp;""'""),fa"&amp;"lse)))*X437"),112.5)</f>
        <v>112.5</v>
      </c>
      <c r="W437" s="156" t="str">
        <f t="array" ref="W437">INDEX(NPCAgeType,TRUNC(1+(4-1)*(TRUNC(MOD((X437*1103515245 +12345)/ 65536, 32768),0)/32768),0))</f>
        <v>Middle Age</v>
      </c>
      <c r="X437" s="117">
        <f t="shared" si="29"/>
        <v>0.6</v>
      </c>
      <c r="Y437" s="157" t="e">
        <f t="array" aca="1" ref="Y437" ca="1">LOOKUP(ABS(MAX(Z437 + MIN(ABS(INDIRECT("Class Jobs!B"&amp;MATCH(E437,'Class Jobs'!$A$1:$A1000,0)&amp;":"&amp;"AF"&amp;MATCH(E437,'Class Jobs'!$A$1:$A1000,0)&amp;"")-$Z437)) * SUM(IF(MIN(ABS(INDIRECT("Class Jobs!B"&amp;MATCH(E437,'Class Jobs'!$A$1:$A1000,0)&amp;":"&amp;"AF"&amp;MATCH(E437,'Class Jobs'!$A$1:$A1000,0)&amp;"")-$Z437))=ABS(INDIRECT("Class Jobs!B"&amp;MATCH(E437,'Class Jobs'!$A$1:$A1000,0)&amp;":"&amp;"AF"&amp;MATCH(E437,'Class Jobs'!$A$1:$A1000,0)&amp;"")-$Z437),SIGN(INDIRECT("Class Jobs!B"&amp;MATCH(E437,'Class Jobs'!$A$1:A1000,0)&amp;":"&amp;"AF"&amp;MATCH(E437,'Class Jobs'!$A$1:$A1000,0)&amp;"")-$Z437),0)),0)),INDIRECT("Class Jobs!B"&amp;MATCH(E437,'Class Jobs'!$A$1:$A1000,0)&amp;":"&amp;"AF"&amp;MATCH(E437,'Class Jobs'!$A$1:$A1000,1)&amp;""),'Class Jobs'!$B$1:$AF$1)</f>
        <v>#REF!</v>
      </c>
      <c r="Z437" s="158">
        <f t="shared" si="25"/>
        <v>0.23</v>
      </c>
      <c r="AA437" s="16" t="str">
        <f t="array" ref="AA437">INDEX(NPCGender,TRUNC(1+(COUNTA(NPCGender))*(TRUNC(MOD(($B437*1103515245 +12345)/ 65536, 32768),0)/32768),0))</f>
        <v>Male</v>
      </c>
      <c r="AB437" s="16" t="str">
        <f t="array" ref="AB437">INDEX(NPCRace,TRUNC(1+(COUNTA(NPCRace))*(TRUNC(MOD(($B437*1103515245 +12345)/ 65536, 32768),0)/32768),0))</f>
        <v>Elf</v>
      </c>
      <c r="AC437" s="16" t="str">
        <f t="array" ref="AC437">INDEX(NPCAL,TRUNC(1+(COUNTA(NPCAL))*(TRUNC(MOD(($B437*1103515245 +12345)/ 65536, 32768),0)/32768),0))</f>
        <v>CG</v>
      </c>
      <c r="AD437" s="72" t="str">
        <f ca="1">IFERROR(__xludf.DUMMYFUNCTION("if(V437&lt;15,QUERY(NPCVar!C:D,""Select D WHERE C = '""&amp;D437&amp;""'""),if((TRUNC(1+10)*(TRUNC(MOD((ROW(H437)*1103515245 +12345)/ 65536, 32768),0)/32768)/10) &gt; 0.85,INDEX(NPCFaction,TRUNC(1+(counta(NPCFaction)-1)*(TRUNC(MOD(($B437*1103515245 +12345)/ 65536, 3276"&amp;"8),0)/32768),0)),QUERY(NPCVar!C:D,""Select D WHERE C = '""&amp;D437&amp;""'"")))"),"Necromancer")</f>
        <v>Necromancer</v>
      </c>
      <c r="AE437" s="108" t="e">
        <f t="shared" ca="1" si="26"/>
        <v>#NAME?</v>
      </c>
      <c r="AF437" s="159">
        <f ca="1">IFERROR(__xludf.DUMMYFUNCTION("AE437*(V437 / QUERY(NPCVar!$K$2:$N$12, ""Select N WHERE K='""&amp;AB437&amp;""'""))*TRUNC(1+10)*(TRUNC(MOD(($B437*1103515245 +12345)/ 65536, 32768),0)/32768)"),-0.0369145202636718)</f>
        <v>-3.6914520263671799E-2</v>
      </c>
      <c r="AG437" s="16"/>
      <c r="AH437" s="77"/>
      <c r="AI437" s="114"/>
    </row>
    <row r="438" spans="1:35" ht="16.2">
      <c r="A438" s="53">
        <v>437</v>
      </c>
      <c r="B438" s="118">
        <f t="shared" si="31"/>
        <v>1.9295500000000001</v>
      </c>
      <c r="C438" s="72" t="str">
        <f t="array" ref="C438">INDEX(NPCFName,TRUNC(1+(COUNTA(NPCFName))*(TRUNC(MOD(($B438*1103515245 +12345)/ 65536, 32768),0)/32768),0))</f>
        <v>Yssith</v>
      </c>
      <c r="D438" s="16" t="str">
        <f t="array" ref="D438">INDEX(NPCLName,TRUNC(1+(COUNTA(NPCLName))*(TRUNC(MOD(($B438*1103515245 +12345)/ 65536, 32768),0)/32768),0))</f>
        <v>Stillspell</v>
      </c>
      <c r="E438" s="16" t="str">
        <f t="array" ref="E438">INDEX(NPCClass,TRUNC(1+(COUNTA(NPCClass))*(TRUNC(MOD(($B438*1103515245 +12345)/ 65536, 32768),0)/32768),0))</f>
        <v>Wizard</v>
      </c>
      <c r="F438" s="76">
        <v>8</v>
      </c>
      <c r="G438" s="153">
        <f ca="1">VLOOKUP($AB$2,'RF Mod'!$A$2:$G$12,2,FALSE)+VLOOKUP($AD$2,'RF Mod'!$I$2:$O$11,2,FALSE)+(TRUNC(6+(24-6)*(TRUNC(MOD(($Z438*1103515245 +12345)/ 65536, 32768),0)/32768),0))</f>
        <v>13</v>
      </c>
      <c r="H438" s="16" t="e">
        <f t="shared" ca="1" si="17"/>
        <v>#NAME?</v>
      </c>
      <c r="I438" s="153">
        <f ca="1">VLOOKUP($AB$2,'RF Mod'!$A$2:$G$12,3,FALSE)+VLOOKUP($AD$2,'RF Mod'!$I$2:$O$11,3,FALSE)+(TRUNC(6+(24-6)*(TRUNC(MOD(($Z438*1103515245 +12345)/ 65536, 32768),0)/32768),0))</f>
        <v>17</v>
      </c>
      <c r="J438" s="16" t="e">
        <f t="shared" ca="1" si="18"/>
        <v>#NAME?</v>
      </c>
      <c r="K438" s="153">
        <f ca="1">VLOOKUP($AB$2,'RF Mod'!$A$2:$G$12,3,FALSE)+VLOOKUP($AD$2,'RF Mod'!$I$2:$O$11,3,FALSE)+(TRUNC(6+(24-6)*(TRUNC(MOD(($Z438*1103515245 +12345)/ 65536, 32768),0)/32768),0))</f>
        <v>17</v>
      </c>
      <c r="L438" s="16" t="e">
        <f t="shared" ca="1" si="19"/>
        <v>#NAME?</v>
      </c>
      <c r="M438" s="153">
        <f ca="1">VLOOKUP($AB$2,'RF Mod'!$A$2:$G$12,4,FALSE)+VLOOKUP($AD$2,'RF Mod'!$I$2:$O$11,4,FALSE)+(TRUNC(6+(24-6)*(TRUNC(MOD(($Z438*1103515245 +12345)/ 65536, 32768),0)/32768),0))</f>
        <v>16</v>
      </c>
      <c r="N438" s="16" t="e">
        <f t="shared" ca="1" si="20"/>
        <v>#NAME?</v>
      </c>
      <c r="O438" s="153">
        <f ca="1">VLOOKUP($AB$2,'RF Mod'!$A$2:$G$12,5,FALSE)+VLOOKUP($AD$2,'RF Mod'!$I$2:$O$11,5,FALSE)+(TRUNC(6+(24-6)*(TRUNC(MOD(($Z438*1103515245 +12345)/ 65536, 32768),0)/32768),0))</f>
        <v>19</v>
      </c>
      <c r="P438" s="16" t="e">
        <f t="shared" ca="1" si="21"/>
        <v>#NAME?</v>
      </c>
      <c r="Q438" s="153">
        <f ca="1">VLOOKUP($AB$2,'RF Mod'!$A$2:$G$12,6,FALSE)+VLOOKUP($AD$2,'RF Mod'!$I$2:$O$11,6,FALSE)+(TRUNC(6+(24-6)*(TRUNC(MOD(($Z438*1103515245 +12345)/ 65536, 32768),0)/32768),0))</f>
        <v>17</v>
      </c>
      <c r="R438" s="16" t="e">
        <f t="shared" ca="1" si="22"/>
        <v>#NAME?</v>
      </c>
      <c r="S438" s="154">
        <f t="shared" ca="1" si="28"/>
        <v>200</v>
      </c>
      <c r="T438" s="154">
        <f t="shared" ca="1" si="23"/>
        <v>108</v>
      </c>
      <c r="U438" s="16" t="str">
        <f t="shared" ca="1" si="24"/>
        <v>Bloody</v>
      </c>
      <c r="V438" s="155">
        <f ca="1">IFERROR(__xludf.DUMMYFUNCTION("if(W438=""Middle Age"",QUERY(NPCVar!$K$2:$N1000, ""Select L where K = '""&amp;AB438&amp;""'""),if(W438=""Old"",QUERY(NPCVar!$K$2:$N1000, ""Select M where K = '""&amp;AB438&amp;""'""),if(W438=""Venerable"",QUERY(NPCVar!$K$2:$N1000, ""Select N where K = '""&amp;AB438&amp;""'""),fa"&amp;"lse)))*X438"),72)</f>
        <v>72</v>
      </c>
      <c r="W438" s="156" t="str">
        <f t="array" ref="W438">INDEX(NPCAgeType,TRUNC(1+(4-1)*(TRUNC(MOD((X438*1103515245 +12345)/ 65536, 32768),0)/32768),0))</f>
        <v>Middle Age</v>
      </c>
      <c r="X438" s="117">
        <f t="shared" si="29"/>
        <v>2.4</v>
      </c>
      <c r="Y438" s="157" t="e">
        <f t="array" aca="1" ref="Y438" ca="1">LOOKUP(ABS(MAX(Z438 + MIN(ABS(INDIRECT("Class Jobs!B"&amp;MATCH(E438,'Class Jobs'!$A$1:$A1000,0)&amp;":"&amp;"AF"&amp;MATCH(E438,'Class Jobs'!$A$1:$A1000,0)&amp;"")-$Z438)) * SUM(IF(MIN(ABS(INDIRECT("Class Jobs!B"&amp;MATCH(E438,'Class Jobs'!$A$1:$A1000,0)&amp;":"&amp;"AF"&amp;MATCH(E438,'Class Jobs'!$A$1:$A1000,0)&amp;"")-$Z438))=ABS(INDIRECT("Class Jobs!B"&amp;MATCH(E438,'Class Jobs'!$A$1:$A1000,0)&amp;":"&amp;"AF"&amp;MATCH(E438,'Class Jobs'!$A$1:$A1000,0)&amp;"")-$Z438),SIGN(INDIRECT("Class Jobs!B"&amp;MATCH(E438,'Class Jobs'!$A$1:A1000,0)&amp;":"&amp;"AF"&amp;MATCH(E438,'Class Jobs'!$A$1:$A1000,0)&amp;"")-$Z438),0)),0)),INDIRECT("Class Jobs!B"&amp;MATCH(E438,'Class Jobs'!$A$1:$A1000,0)&amp;":"&amp;"AF"&amp;MATCH(E438,'Class Jobs'!$A$1:$A1000,1)&amp;""),'Class Jobs'!$B$1:$AF$1)</f>
        <v>#REF!</v>
      </c>
      <c r="Z438" s="158">
        <f t="shared" si="25"/>
        <v>0.99</v>
      </c>
      <c r="AA438" s="16" t="str">
        <f t="array" ref="AA438">INDEX(NPCGender,TRUNC(1+(COUNTA(NPCGender))*(TRUNC(MOD(($B438*1103515245 +12345)/ 65536, 32768),0)/32768),0))</f>
        <v>Neutral</v>
      </c>
      <c r="AB438" s="16" t="str">
        <f t="array" ref="AB438">INDEX(NPCRace,TRUNC(1+(COUNTA(NPCRace))*(TRUNC(MOD(($B438*1103515245 +12345)/ 65536, 32768),0)/32768),0))</f>
        <v>Goliath</v>
      </c>
      <c r="AC438" s="16" t="str">
        <f t="array" ref="AC438">INDEX(NPCAL,TRUNC(1+(COUNTA(NPCAL))*(TRUNC(MOD(($B438*1103515245 +12345)/ 65536, 32768),0)/32768),0))</f>
        <v>LE</v>
      </c>
      <c r="AD438" s="72" t="str">
        <f ca="1">IFERROR(__xludf.DUMMYFUNCTION("if(V438&lt;15,QUERY(NPCVar!C:D,""Select D WHERE C = '""&amp;D438&amp;""'""),if((TRUNC(1+10)*(TRUNC(MOD((ROW(H438)*1103515245 +12345)/ 65536, 32768),0)/32768)/10) &gt; 0.85,INDEX(NPCFaction,TRUNC(1+(counta(NPCFaction)-1)*(TRUNC(MOD(($B438*1103515245 +12345)/ 65536, 3276"&amp;"8),0)/32768),0)),QUERY(NPCVar!C:D,""Select D WHERE C = '""&amp;D438&amp;""'"")))"),"Followers of Isis")</f>
        <v>Followers of Isis</v>
      </c>
      <c r="AE438" s="108" t="e">
        <f t="shared" ca="1" si="26"/>
        <v>#NAME?</v>
      </c>
      <c r="AF438" s="159">
        <f ca="1">IFERROR(__xludf.DUMMYFUNCTION("AE438*(V438 / QUERY(NPCVar!$K$2:$N$12, ""Select N WHERE K='""&amp;AB438&amp;""'""))*TRUNC(1+10)*(TRUNC(MOD(($B438*1103515245 +12345)/ 65536, 32768),0)/32768)"),4.58080444335937)</f>
        <v>4.5808044433593702</v>
      </c>
      <c r="AG438" s="16"/>
      <c r="AH438" s="77"/>
      <c r="AI438" s="114"/>
    </row>
    <row r="439" spans="1:35" ht="16.2">
      <c r="A439" s="53">
        <v>438</v>
      </c>
      <c r="B439" s="118">
        <f t="shared" si="31"/>
        <v>0.92369000000000001</v>
      </c>
      <c r="C439" s="72" t="str">
        <f t="array" ref="C439">INDEX(NPCFName,TRUNC(1+(COUNTA(NPCFName))*(TRUNC(MOD(($B439*1103515245 +12345)/ 65536, 32768),0)/32768),0))</f>
        <v>Illium</v>
      </c>
      <c r="D439" s="16" t="str">
        <f t="array" ref="D439">INDEX(NPCLName,TRUNC(1+(COUNTA(NPCLName))*(TRUNC(MOD(($B439*1103515245 +12345)/ 65536, 32768),0)/32768),0))</f>
        <v>Autumnglow</v>
      </c>
      <c r="E439" s="16" t="str">
        <f t="array" ref="E439">INDEX(NPCClass,TRUNC(1+(COUNTA(NPCClass))*(TRUNC(MOD(($B439*1103515245 +12345)/ 65536, 32768),0)/32768),0))</f>
        <v>Ranger</v>
      </c>
      <c r="F439" s="76">
        <v>8</v>
      </c>
      <c r="G439" s="153">
        <f ca="1">VLOOKUP($AB$2,'RF Mod'!$A$2:$G$12,2,FALSE)+VLOOKUP($AD$2,'RF Mod'!$I$2:$O$11,2,FALSE)+(TRUNC(6+(24-6)*(TRUNC(MOD(($Z439*1103515245 +12345)/ 65536, 32768),0)/32768),0))</f>
        <v>8</v>
      </c>
      <c r="H439" s="16">
        <f t="shared" ca="1" si="17"/>
        <v>-1</v>
      </c>
      <c r="I439" s="153">
        <f ca="1">VLOOKUP($AB$2,'RF Mod'!$A$2:$G$12,3,FALSE)+VLOOKUP($AD$2,'RF Mod'!$I$2:$O$11,3,FALSE)+(TRUNC(6+(24-6)*(TRUNC(MOD(($Z439*1103515245 +12345)/ 65536, 32768),0)/32768),0))</f>
        <v>12</v>
      </c>
      <c r="J439" s="16" t="e">
        <f t="shared" ca="1" si="18"/>
        <v>#NAME?</v>
      </c>
      <c r="K439" s="153">
        <f ca="1">VLOOKUP($AB$2,'RF Mod'!$A$2:$G$12,3,FALSE)+VLOOKUP($AD$2,'RF Mod'!$I$2:$O$11,3,FALSE)+(TRUNC(6+(24-6)*(TRUNC(MOD(($Z439*1103515245 +12345)/ 65536, 32768),0)/32768),0))</f>
        <v>12</v>
      </c>
      <c r="L439" s="16" t="e">
        <f t="shared" ca="1" si="19"/>
        <v>#NAME?</v>
      </c>
      <c r="M439" s="153">
        <f ca="1">VLOOKUP($AB$2,'RF Mod'!$A$2:$G$12,4,FALSE)+VLOOKUP($AD$2,'RF Mod'!$I$2:$O$11,4,FALSE)+(TRUNC(6+(24-6)*(TRUNC(MOD(($Z439*1103515245 +12345)/ 65536, 32768),0)/32768),0))</f>
        <v>11</v>
      </c>
      <c r="N439" s="16" t="e">
        <f t="shared" ca="1" si="20"/>
        <v>#NAME?</v>
      </c>
      <c r="O439" s="153">
        <f ca="1">VLOOKUP($AB$2,'RF Mod'!$A$2:$G$12,5,FALSE)+VLOOKUP($AD$2,'RF Mod'!$I$2:$O$11,5,FALSE)+(TRUNC(6+(24-6)*(TRUNC(MOD(($Z439*1103515245 +12345)/ 65536, 32768),0)/32768),0))</f>
        <v>14</v>
      </c>
      <c r="P439" s="16" t="e">
        <f t="shared" ca="1" si="21"/>
        <v>#NAME?</v>
      </c>
      <c r="Q439" s="153">
        <f ca="1">VLOOKUP($AB$2,'RF Mod'!$A$2:$G$12,6,FALSE)+VLOOKUP($AD$2,'RF Mod'!$I$2:$O$11,6,FALSE)+(TRUNC(6+(24-6)*(TRUNC(MOD(($Z439*1103515245 +12345)/ 65536, 32768),0)/32768),0))</f>
        <v>12</v>
      </c>
      <c r="R439" s="16" t="e">
        <f t="shared" ca="1" si="22"/>
        <v>#NAME?</v>
      </c>
      <c r="S439" s="154">
        <f t="shared" ca="1" si="28"/>
        <v>144</v>
      </c>
      <c r="T439" s="154">
        <f t="shared" ca="1" si="23"/>
        <v>49</v>
      </c>
      <c r="U439" s="16" t="str">
        <f t="shared" ca="1" si="24"/>
        <v>Fine</v>
      </c>
      <c r="V439" s="155">
        <f ca="1">IFERROR(__xludf.DUMMYFUNCTION("if(W439=""Middle Age"",QUERY(NPCVar!$K$2:$N1000, ""Select L where K = '""&amp;AB439&amp;""'""),if(W439=""Old"",QUERY(NPCVar!$K$2:$N1000, ""Select M where K = '""&amp;AB439&amp;""'""),if(W439=""Venerable"",QUERY(NPCVar!$K$2:$N1000, ""Select N where K = '""&amp;AB439&amp;""'""),fa"&amp;"lse)))*X439"),31.5)</f>
        <v>31.5</v>
      </c>
      <c r="W439" s="156" t="str">
        <f t="array" ref="W439">INDEX(NPCAgeType,TRUNC(1+(4-1)*(TRUNC(MOD((X439*1103515245 +12345)/ 65536, 32768),0)/32768),0))</f>
        <v>Old</v>
      </c>
      <c r="X439" s="117">
        <f t="shared" si="29"/>
        <v>1.2</v>
      </c>
      <c r="Y439" s="157" t="e">
        <f t="array" aca="1" ref="Y439" ca="1">LOOKUP(ABS(MAX(Z439 + MIN(ABS(INDIRECT("Class Jobs!B"&amp;MATCH(E439,'Class Jobs'!$A$1:$A1000,0)&amp;":"&amp;"AF"&amp;MATCH(E439,'Class Jobs'!$A$1:$A1000,0)&amp;"")-$Z439)) * SUM(IF(MIN(ABS(INDIRECT("Class Jobs!B"&amp;MATCH(E439,'Class Jobs'!$A$1:$A1000,0)&amp;":"&amp;"AF"&amp;MATCH(E439,'Class Jobs'!$A$1:$A1000,0)&amp;"")-$Z439))=ABS(INDIRECT("Class Jobs!B"&amp;MATCH(E439,'Class Jobs'!$A$1:$A1000,0)&amp;":"&amp;"AF"&amp;MATCH(E439,'Class Jobs'!$A$1:$A1000,0)&amp;"")-$Z439),SIGN(INDIRECT("Class Jobs!B"&amp;MATCH(E439,'Class Jobs'!$A$1:A1000,0)&amp;":"&amp;"AF"&amp;MATCH(E439,'Class Jobs'!$A$1:$A1000,0)&amp;"")-$Z439),0)),0)),INDIRECT("Class Jobs!B"&amp;MATCH(E439,'Class Jobs'!$A$1:$A1000,0)&amp;":"&amp;"AF"&amp;MATCH(E439,'Class Jobs'!$A$1:$A1000,1)&amp;""),'Class Jobs'!$B$1:$AF$1)</f>
        <v>#REF!</v>
      </c>
      <c r="Z439" s="158">
        <f t="shared" si="25"/>
        <v>0.47</v>
      </c>
      <c r="AA439" s="16" t="str">
        <f t="array" ref="AA439">INDEX(NPCGender,TRUNC(1+(COUNTA(NPCGender))*(TRUNC(MOD(($B439*1103515245 +12345)/ 65536, 32768),0)/32768),0))</f>
        <v>Female</v>
      </c>
      <c r="AB439" s="16" t="str">
        <f t="array" ref="AB439">INDEX(NPCRace,TRUNC(1+(COUNTA(NPCRace))*(TRUNC(MOD(($B439*1103515245 +12345)/ 65536, 32768),0)/32768),0))</f>
        <v>Half-Orc</v>
      </c>
      <c r="AC439" s="16" t="str">
        <f t="array" ref="AC439">INDEX(NPCAL,TRUNC(1+(COUNTA(NPCAL))*(TRUNC(MOD(($B439*1103515245 +12345)/ 65536, 32768),0)/32768),0))</f>
        <v>NN</v>
      </c>
      <c r="AD439" s="72" t="str">
        <f ca="1">IFERROR(__xludf.DUMMYFUNCTION("if(V439&lt;15,QUERY(NPCVar!C:D,""Select D WHERE C = '""&amp;D439&amp;""'""),if((TRUNC(1+10)*(TRUNC(MOD((ROW(H439)*1103515245 +12345)/ 65536, 32768),0)/32768)/10) &gt; 0.85,INDEX(NPCFaction,TRUNC(1+(counta(NPCFaction)-1)*(TRUNC(MOD(($B439*1103515245 +12345)/ 65536, 3276"&amp;"8),0)/32768),0)),QUERY(NPCVar!C:D,""Select D WHERE C = '""&amp;D439&amp;""'"")))"),"Traders Guild")</f>
        <v>Traders Guild</v>
      </c>
      <c r="AE439" s="108" t="e">
        <f t="shared" ca="1" si="26"/>
        <v>#NAME?</v>
      </c>
      <c r="AF439" s="159">
        <f ca="1">IFERROR(__xludf.DUMMYFUNCTION("AE439*(V439 / QUERY(NPCVar!$K$2:$N$12, ""Select N WHERE K='""&amp;AB439&amp;""'""))*TRUNC(1+10)*(TRUNC(MOD(($B439*1103515245 +12345)/ 65536, 32768),0)/32768)"),0.469893493652343)</f>
        <v>0.46989349365234301</v>
      </c>
      <c r="AG439" s="16"/>
      <c r="AH439" s="77"/>
      <c r="AI439" s="114"/>
    </row>
    <row r="440" spans="1:35" ht="16.2">
      <c r="A440" s="53">
        <v>439</v>
      </c>
      <c r="B440" s="118">
        <f t="shared" si="31"/>
        <v>2.4178299999999999</v>
      </c>
      <c r="C440" s="72" t="str">
        <f t="array" ref="C440">INDEX(NPCFName,TRUNC(1+(COUNTA(NPCFName))*(TRUNC(MOD(($B440*1103515245 +12345)/ 65536, 32768),0)/32768),0))</f>
        <v>Reth</v>
      </c>
      <c r="D440" s="16" t="str">
        <f t="array" ref="D440">INDEX(NPCLName,TRUNC(1+(COUNTA(NPCLName))*(TRUNC(MOD(($B440*1103515245 +12345)/ 65536, 32768),0)/32768),0))</f>
        <v>Tuskleaf</v>
      </c>
      <c r="E440" s="16" t="str">
        <f t="array" ref="E440">INDEX(NPCClass,TRUNC(1+(COUNTA(NPCClass))*(TRUNC(MOD(($B440*1103515245 +12345)/ 65536, 32768),0)/32768),0))</f>
        <v>Druid</v>
      </c>
      <c r="F440" s="76">
        <v>1</v>
      </c>
      <c r="G440" s="153">
        <f ca="1">VLOOKUP($AB$2,'RF Mod'!$A$2:$G$12,2,FALSE)+VLOOKUP($AD$2,'RF Mod'!$I$2:$O$11,2,FALSE)+(TRUNC(6+(24-6)*(TRUNC(MOD(($Z440*1103515245 +12345)/ 65536, 32768),0)/32768),0))</f>
        <v>6</v>
      </c>
      <c r="H440" s="16">
        <f t="shared" ca="1" si="17"/>
        <v>-2</v>
      </c>
      <c r="I440" s="153">
        <f ca="1">VLOOKUP($AB$2,'RF Mod'!$A$2:$G$12,3,FALSE)+VLOOKUP($AD$2,'RF Mod'!$I$2:$O$11,3,FALSE)+(TRUNC(6+(24-6)*(TRUNC(MOD(($Z440*1103515245 +12345)/ 65536, 32768),0)/32768),0))</f>
        <v>10</v>
      </c>
      <c r="J440" s="16" t="e">
        <f t="shared" ca="1" si="18"/>
        <v>#NAME?</v>
      </c>
      <c r="K440" s="153">
        <f ca="1">VLOOKUP($AB$2,'RF Mod'!$A$2:$G$12,3,FALSE)+VLOOKUP($AD$2,'RF Mod'!$I$2:$O$11,3,FALSE)+(TRUNC(6+(24-6)*(TRUNC(MOD(($Z440*1103515245 +12345)/ 65536, 32768),0)/32768),0))</f>
        <v>10</v>
      </c>
      <c r="L440" s="16" t="e">
        <f t="shared" ca="1" si="19"/>
        <v>#NAME?</v>
      </c>
      <c r="M440" s="153">
        <f ca="1">VLOOKUP($AB$2,'RF Mod'!$A$2:$G$12,4,FALSE)+VLOOKUP($AD$2,'RF Mod'!$I$2:$O$11,4,FALSE)+(TRUNC(6+(24-6)*(TRUNC(MOD(($Z440*1103515245 +12345)/ 65536, 32768),0)/32768),0))</f>
        <v>9</v>
      </c>
      <c r="N440" s="16">
        <f t="shared" ca="1" si="20"/>
        <v>-1</v>
      </c>
      <c r="O440" s="153">
        <f ca="1">VLOOKUP($AB$2,'RF Mod'!$A$2:$G$12,5,FALSE)+VLOOKUP($AD$2,'RF Mod'!$I$2:$O$11,5,FALSE)+(TRUNC(6+(24-6)*(TRUNC(MOD(($Z440*1103515245 +12345)/ 65536, 32768),0)/32768),0))</f>
        <v>12</v>
      </c>
      <c r="P440" s="16" t="e">
        <f t="shared" ca="1" si="21"/>
        <v>#NAME?</v>
      </c>
      <c r="Q440" s="153">
        <f ca="1">VLOOKUP($AB$2,'RF Mod'!$A$2:$G$12,6,FALSE)+VLOOKUP($AD$2,'RF Mod'!$I$2:$O$11,6,FALSE)+(TRUNC(6+(24-6)*(TRUNC(MOD(($Z440*1103515245 +12345)/ 65536, 32768),0)/32768),0))</f>
        <v>10</v>
      </c>
      <c r="R440" s="16" t="e">
        <f t="shared" ca="1" si="22"/>
        <v>#NAME?</v>
      </c>
      <c r="S440" s="154">
        <f t="shared" ca="1" si="28"/>
        <v>12</v>
      </c>
      <c r="T440" s="154">
        <f t="shared" ca="1" si="23"/>
        <v>1</v>
      </c>
      <c r="U440" s="16" t="str">
        <f t="shared" ca="1" si="24"/>
        <v>Fine</v>
      </c>
      <c r="V440" s="155">
        <f ca="1">IFERROR(__xludf.DUMMYFUNCTION("if(W440=""Middle Age"",QUERY(NPCVar!$K$2:$N1000, ""Select L where K = '""&amp;AB440&amp;""'""),if(W440=""Old"",QUERY(NPCVar!$K$2:$N1000, ""Select M where K = '""&amp;AB440&amp;""'""),if(W440=""Venerable"",QUERY(NPCVar!$K$2:$N1000, ""Select N where K = '""&amp;AB440&amp;""'""),fa"&amp;"lse)))*X440"),112.5)</f>
        <v>112.5</v>
      </c>
      <c r="W440" s="156" t="str">
        <f t="array" ref="W440">INDEX(NPCAgeType,TRUNC(1+(4-1)*(TRUNC(MOD((X440*1103515245 +12345)/ 65536, 32768),0)/32768),0))</f>
        <v>Middle Age</v>
      </c>
      <c r="X440" s="117">
        <f t="shared" si="29"/>
        <v>0.6</v>
      </c>
      <c r="Y440" s="157" t="e">
        <f t="array" aca="1" ref="Y440" ca="1">LOOKUP(ABS(MAX(Z440 + MIN(ABS(INDIRECT("Class Jobs!B"&amp;MATCH(E440,'Class Jobs'!$A$1:$A1000,0)&amp;":"&amp;"AF"&amp;MATCH(E440,'Class Jobs'!$A$1:$A1000,0)&amp;"")-$Z440)) * SUM(IF(MIN(ABS(INDIRECT("Class Jobs!B"&amp;MATCH(E440,'Class Jobs'!$A$1:$A1000,0)&amp;":"&amp;"AF"&amp;MATCH(E440,'Class Jobs'!$A$1:$A1000,0)&amp;"")-$Z440))=ABS(INDIRECT("Class Jobs!B"&amp;MATCH(E440,'Class Jobs'!$A$1:$A1000,0)&amp;":"&amp;"AF"&amp;MATCH(E440,'Class Jobs'!$A$1:$A1000,0)&amp;"")-$Z440),SIGN(INDIRECT("Class Jobs!B"&amp;MATCH(E440,'Class Jobs'!$A$1:A1000,0)&amp;":"&amp;"AF"&amp;MATCH(E440,'Class Jobs'!$A$1:$A1000,0)&amp;"")-$Z440),0)),0)),INDIRECT("Class Jobs!B"&amp;MATCH(E440,'Class Jobs'!$A$1:$A1000,0)&amp;":"&amp;"AF"&amp;MATCH(E440,'Class Jobs'!$A$1:$A1000,1)&amp;""),'Class Jobs'!$B$1:$AF$1)</f>
        <v>#REF!</v>
      </c>
      <c r="Z440" s="158">
        <f t="shared" si="25"/>
        <v>0.25</v>
      </c>
      <c r="AA440" s="16" t="str">
        <f t="array" ref="AA440">INDEX(NPCGender,TRUNC(1+(COUNTA(NPCGender))*(TRUNC(MOD(($B440*1103515245 +12345)/ 65536, 32768),0)/32768),0))</f>
        <v>Male</v>
      </c>
      <c r="AB440" s="16" t="str">
        <f t="array" ref="AB440">INDEX(NPCRace,TRUNC(1+(COUNTA(NPCRace))*(TRUNC(MOD(($B440*1103515245 +12345)/ 65536, 32768),0)/32768),0))</f>
        <v>Elf</v>
      </c>
      <c r="AC440" s="16" t="str">
        <f t="array" ref="AC440">INDEX(NPCAL,TRUNC(1+(COUNTA(NPCAL))*(TRUNC(MOD(($B440*1103515245 +12345)/ 65536, 32768),0)/32768),0))</f>
        <v>CG</v>
      </c>
      <c r="AD440" s="72" t="str">
        <f ca="1">IFERROR(__xludf.DUMMYFUNCTION("if(V440&lt;15,QUERY(NPCVar!C:D,""Select D WHERE C = '""&amp;D440&amp;""'""),if((TRUNC(1+10)*(TRUNC(MOD((ROW(H440)*1103515245 +12345)/ 65536, 32768),0)/32768)/10) &gt; 0.85,INDEX(NPCFaction,TRUNC(1+(counta(NPCFaction)-1)*(TRUNC(MOD(($B440*1103515245 +12345)/ 65536, 3276"&amp;"8),0)/32768),0)),QUERY(NPCVar!C:D,""Select D WHERE C = '""&amp;D440&amp;""'"")))"),"Magic Guild")</f>
        <v>Magic Guild</v>
      </c>
      <c r="AE440" s="108" t="e">
        <f t="shared" ca="1" si="26"/>
        <v>#NAME?</v>
      </c>
      <c r="AF440" s="159">
        <f ca="1">IFERROR(__xludf.DUMMYFUNCTION("AE440*(V440 / QUERY(NPCVar!$K$2:$N$12, ""Select N WHERE K='""&amp;AB440&amp;""'""))*TRUNC(1+10)*(TRUNC(MOD(($B440*1103515245 +12345)/ 65536, 32768),0)/32768)"),0.160004882812499)</f>
        <v>0.160004882812499</v>
      </c>
      <c r="AG440" s="16"/>
      <c r="AH440" s="77"/>
      <c r="AI440" s="114"/>
    </row>
    <row r="441" spans="1:35" ht="16.2">
      <c r="A441" s="53">
        <v>440</v>
      </c>
      <c r="B441" s="118">
        <f t="shared" si="31"/>
        <v>1.4119699999999999</v>
      </c>
      <c r="C441" s="72" t="str">
        <f t="array" ref="C441">INDEX(NPCFName,TRUNC(1+(COUNTA(NPCFName))*(TRUNC(MOD(($B441*1103515245 +12345)/ 65536, 32768),0)/32768),0))</f>
        <v>Cusmirk</v>
      </c>
      <c r="D441" s="16" t="str">
        <f t="array" ref="D441">INDEX(NPCLName,TRUNC(1+(COUNTA(NPCLName))*(TRUNC(MOD(($B441*1103515245 +12345)/ 65536, 32768),0)/32768),0))</f>
        <v>Rockspell</v>
      </c>
      <c r="E441" s="16" t="str">
        <f t="array" ref="E441">INDEX(NPCClass,TRUNC(1+(COUNTA(NPCClass))*(TRUNC(MOD(($B441*1103515245 +12345)/ 65536, 32768),0)/32768),0))</f>
        <v>None</v>
      </c>
      <c r="F441" s="76">
        <v>8</v>
      </c>
      <c r="G441" s="153">
        <f ca="1">VLOOKUP($AB$2,'RF Mod'!$A$2:$G$12,2,FALSE)+VLOOKUP($AD$2,'RF Mod'!$I$2:$O$11,2,FALSE)+(TRUNC(6+(24-6)*(TRUNC(MOD(($Z441*1103515245 +12345)/ 65536, 32768),0)/32768),0))</f>
        <v>10</v>
      </c>
      <c r="H441" s="16" t="e">
        <f t="shared" ca="1" si="17"/>
        <v>#NAME?</v>
      </c>
      <c r="I441" s="153">
        <f ca="1">VLOOKUP($AB$2,'RF Mod'!$A$2:$G$12,3,FALSE)+VLOOKUP($AD$2,'RF Mod'!$I$2:$O$11,3,FALSE)+(TRUNC(6+(24-6)*(TRUNC(MOD(($Z441*1103515245 +12345)/ 65536, 32768),0)/32768),0))</f>
        <v>14</v>
      </c>
      <c r="J441" s="16" t="e">
        <f t="shared" ca="1" si="18"/>
        <v>#NAME?</v>
      </c>
      <c r="K441" s="153">
        <f ca="1">VLOOKUP($AB$2,'RF Mod'!$A$2:$G$12,3,FALSE)+VLOOKUP($AD$2,'RF Mod'!$I$2:$O$11,3,FALSE)+(TRUNC(6+(24-6)*(TRUNC(MOD(($Z441*1103515245 +12345)/ 65536, 32768),0)/32768),0))</f>
        <v>14</v>
      </c>
      <c r="L441" s="16" t="e">
        <f t="shared" ca="1" si="19"/>
        <v>#NAME?</v>
      </c>
      <c r="M441" s="153">
        <f ca="1">VLOOKUP($AB$2,'RF Mod'!$A$2:$G$12,4,FALSE)+VLOOKUP($AD$2,'RF Mod'!$I$2:$O$11,4,FALSE)+(TRUNC(6+(24-6)*(TRUNC(MOD(($Z441*1103515245 +12345)/ 65536, 32768),0)/32768),0))</f>
        <v>13</v>
      </c>
      <c r="N441" s="16" t="e">
        <f t="shared" ca="1" si="20"/>
        <v>#NAME?</v>
      </c>
      <c r="O441" s="153">
        <f ca="1">VLOOKUP($AB$2,'RF Mod'!$A$2:$G$12,5,FALSE)+VLOOKUP($AD$2,'RF Mod'!$I$2:$O$11,5,FALSE)+(TRUNC(6+(24-6)*(TRUNC(MOD(($Z441*1103515245 +12345)/ 65536, 32768),0)/32768),0))</f>
        <v>16</v>
      </c>
      <c r="P441" s="16" t="e">
        <f t="shared" ca="1" si="21"/>
        <v>#NAME?</v>
      </c>
      <c r="Q441" s="153">
        <f ca="1">VLOOKUP($AB$2,'RF Mod'!$A$2:$G$12,6,FALSE)+VLOOKUP($AD$2,'RF Mod'!$I$2:$O$11,6,FALSE)+(TRUNC(6+(24-6)*(TRUNC(MOD(($Z441*1103515245 +12345)/ 65536, 32768),0)/32768),0))</f>
        <v>14</v>
      </c>
      <c r="R441" s="16" t="e">
        <f t="shared" ca="1" si="22"/>
        <v>#NAME?</v>
      </c>
      <c r="S441" s="154">
        <f t="shared" ca="1" si="28"/>
        <v>192</v>
      </c>
      <c r="T441" s="154">
        <f t="shared" ca="1" si="23"/>
        <v>176</v>
      </c>
      <c r="U441" s="16" t="str">
        <f t="shared" ca="1" si="24"/>
        <v>Bloody</v>
      </c>
      <c r="V441" s="155">
        <f ca="1">IFERROR(__xludf.DUMMYFUNCTION("if(W441=""Middle Age"",QUERY(NPCVar!$K$2:$N1000, ""Select L where K = '""&amp;AB441&amp;""'""),if(W441=""Old"",QUERY(NPCVar!$K$2:$N1000, ""Select M where K = '""&amp;AB441&amp;""'""),if(W441=""Venerable"",QUERY(NPCVar!$K$2:$N1000, ""Select N where K = '""&amp;AB441&amp;""'""),fa"&amp;"lse)))*X441"),162)</f>
        <v>162</v>
      </c>
      <c r="W441" s="156" t="str">
        <f t="array" ref="W441">INDEX(NPCAgeType,TRUNC(1+(4-1)*(TRUNC(MOD((X441*1103515245 +12345)/ 65536, 32768),0)/32768),0))</f>
        <v>Venerable</v>
      </c>
      <c r="X441" s="117">
        <f t="shared" si="29"/>
        <v>1.8</v>
      </c>
      <c r="Y441" s="157" t="e">
        <f t="array" aca="1" ref="Y441" ca="1">LOOKUP(ABS(MAX(Z441 + MIN(ABS(INDIRECT("Class Jobs!B"&amp;MATCH(E441,'Class Jobs'!$A$1:$A1000,0)&amp;":"&amp;"AF"&amp;MATCH(E441,'Class Jobs'!$A$1:$A1000,0)&amp;"")-$Z441)) * SUM(IF(MIN(ABS(INDIRECT("Class Jobs!B"&amp;MATCH(E441,'Class Jobs'!$A$1:$A1000,0)&amp;":"&amp;"AF"&amp;MATCH(E441,'Class Jobs'!$A$1:$A1000,0)&amp;"")-$Z441))=ABS(INDIRECT("Class Jobs!B"&amp;MATCH(E441,'Class Jobs'!$A$1:$A1000,0)&amp;":"&amp;"AF"&amp;MATCH(E441,'Class Jobs'!$A$1:$A1000,0)&amp;"")-$Z441),SIGN(INDIRECT("Class Jobs!B"&amp;MATCH(E441,'Class Jobs'!$A$1:A1000,0)&amp;":"&amp;"AF"&amp;MATCH(E441,'Class Jobs'!$A$1:$A1000,0)&amp;"")-$Z441),0)),0)),INDIRECT("Class Jobs!B"&amp;MATCH(E441,'Class Jobs'!$A$1:$A1000,0)&amp;":"&amp;"AF"&amp;MATCH(E441,'Class Jobs'!$A$1:$A1000,1)&amp;""),'Class Jobs'!$B$1:$AF$1)</f>
        <v>#REF!</v>
      </c>
      <c r="Z441" s="158">
        <f t="shared" si="25"/>
        <v>0.72</v>
      </c>
      <c r="AA441" s="16" t="str">
        <f t="array" ref="AA441">INDEX(NPCGender,TRUNC(1+(COUNTA(NPCGender))*(TRUNC(MOD(($B441*1103515245 +12345)/ 65536, 32768),0)/32768),0))</f>
        <v>Neutral</v>
      </c>
      <c r="AB441" s="16" t="str">
        <f t="array" ref="AB441">INDEX(NPCRace,TRUNC(1+(COUNTA(NPCRace))*(TRUNC(MOD(($B441*1103515245 +12345)/ 65536, 32768),0)/32768),0))</f>
        <v>Human</v>
      </c>
      <c r="AC441" s="16" t="str">
        <f t="array" ref="AC441">INDEX(NPCAL,TRUNC(1+(COUNTA(NPCAL))*(TRUNC(MOD(($B441*1103515245 +12345)/ 65536, 32768),0)/32768),0))</f>
        <v>LG</v>
      </c>
      <c r="AD441" s="72" t="str">
        <f ca="1">IFERROR(__xludf.DUMMYFUNCTION("if(V441&lt;15,QUERY(NPCVar!C:D,""Select D WHERE C = '""&amp;D441&amp;""'""),if((TRUNC(1+10)*(TRUNC(MOD((ROW(H441)*1103515245 +12345)/ 65536, 32768),0)/32768)/10) &gt; 0.85,INDEX(NPCFaction,TRUNC(1+(counta(NPCFaction)-1)*(TRUNC(MOD(($B441*1103515245 +12345)/ 65536, 3276"&amp;"8),0)/32768),0)),QUERY(NPCVar!C:D,""Select D WHERE C = '""&amp;D441&amp;""'"")))"),"Traverlers Guild")</f>
        <v>Traverlers Guild</v>
      </c>
      <c r="AE441" s="108" t="e">
        <f t="shared" ca="1" si="26"/>
        <v>#NAME?</v>
      </c>
      <c r="AF441" s="159">
        <f ca="1">IFERROR(__xludf.DUMMYFUNCTION("AE441*(V441 / QUERY(NPCVar!$K$2:$N$12, ""Select N WHERE K='""&amp;AB441&amp;""'""))*TRUNC(1+10)*(TRUNC(MOD(($B441*1103515245 +12345)/ 65536, 32768),0)/32768)"),2.87319946289062)</f>
        <v>2.8731994628906201</v>
      </c>
      <c r="AG441" s="16"/>
      <c r="AH441" s="77"/>
      <c r="AI441" s="114"/>
    </row>
    <row r="442" spans="1:35" ht="16.2">
      <c r="A442" s="53">
        <v>441</v>
      </c>
      <c r="B442" s="118">
        <f t="shared" si="31"/>
        <v>0.40611999999999998</v>
      </c>
      <c r="C442" s="72" t="str">
        <f t="array" ref="C442">INDEX(NPCFName,TRUNC(1+(COUNTA(NPCFName))*(TRUNC(MOD(($B442*1103515245 +12345)/ 65536, 32768),0)/32768),0))</f>
        <v>Nuthor</v>
      </c>
      <c r="D442" s="16" t="str">
        <f t="array" ref="D442">INDEX(NPCLName,TRUNC(1+(COUNTA(NPCLName))*(TRUNC(MOD(($B442*1103515245 +12345)/ 65536, 32768),0)/32768),0))</f>
        <v>Stillsun</v>
      </c>
      <c r="E442" s="16" t="str">
        <f t="array" ref="E442">INDEX(NPCClass,TRUNC(1+(COUNTA(NPCClass))*(TRUNC(MOD(($B442*1103515245 +12345)/ 65536, 32768),0)/32768),0))</f>
        <v>Druid</v>
      </c>
      <c r="F442" s="76">
        <v>1</v>
      </c>
      <c r="G442" s="153">
        <f ca="1">VLOOKUP($AB$2,'RF Mod'!$A$2:$G$12,2,FALSE)+VLOOKUP($AD$2,'RF Mod'!$I$2:$O$11,2,FALSE)+(TRUNC(6+(24-6)*(TRUNC(MOD(($Z442*1103515245 +12345)/ 65536, 32768),0)/32768),0))</f>
        <v>5</v>
      </c>
      <c r="H442" s="16">
        <f t="shared" ca="1" si="17"/>
        <v>-3</v>
      </c>
      <c r="I442" s="153">
        <f ca="1">VLOOKUP($AB$2,'RF Mod'!$A$2:$G$12,3,FALSE)+VLOOKUP($AD$2,'RF Mod'!$I$2:$O$11,3,FALSE)+(TRUNC(6+(24-6)*(TRUNC(MOD(($Z442*1103515245 +12345)/ 65536, 32768),0)/32768),0))</f>
        <v>9</v>
      </c>
      <c r="J442" s="16">
        <f t="shared" ca="1" si="18"/>
        <v>-1</v>
      </c>
      <c r="K442" s="153">
        <f ca="1">VLOOKUP($AB$2,'RF Mod'!$A$2:$G$12,3,FALSE)+VLOOKUP($AD$2,'RF Mod'!$I$2:$O$11,3,FALSE)+(TRUNC(6+(24-6)*(TRUNC(MOD(($Z442*1103515245 +12345)/ 65536, 32768),0)/32768),0))</f>
        <v>9</v>
      </c>
      <c r="L442" s="16">
        <f t="shared" ca="1" si="19"/>
        <v>-1</v>
      </c>
      <c r="M442" s="153">
        <f ca="1">VLOOKUP($AB$2,'RF Mod'!$A$2:$G$12,4,FALSE)+VLOOKUP($AD$2,'RF Mod'!$I$2:$O$11,4,FALSE)+(TRUNC(6+(24-6)*(TRUNC(MOD(($Z442*1103515245 +12345)/ 65536, 32768),0)/32768),0))</f>
        <v>8</v>
      </c>
      <c r="N442" s="16">
        <f t="shared" ca="1" si="20"/>
        <v>-1</v>
      </c>
      <c r="O442" s="153">
        <f ca="1">VLOOKUP($AB$2,'RF Mod'!$A$2:$G$12,5,FALSE)+VLOOKUP($AD$2,'RF Mod'!$I$2:$O$11,5,FALSE)+(TRUNC(6+(24-6)*(TRUNC(MOD(($Z442*1103515245 +12345)/ 65536, 32768),0)/32768),0))</f>
        <v>11</v>
      </c>
      <c r="P442" s="16" t="e">
        <f t="shared" ca="1" si="21"/>
        <v>#NAME?</v>
      </c>
      <c r="Q442" s="153">
        <f ca="1">VLOOKUP($AB$2,'RF Mod'!$A$2:$G$12,6,FALSE)+VLOOKUP($AD$2,'RF Mod'!$I$2:$O$11,6,FALSE)+(TRUNC(6+(24-6)*(TRUNC(MOD(($Z442*1103515245 +12345)/ 65536, 32768),0)/32768),0))</f>
        <v>9</v>
      </c>
      <c r="R442" s="16">
        <f t="shared" ca="1" si="22"/>
        <v>-1</v>
      </c>
      <c r="S442" s="154">
        <f t="shared" ca="1" si="28"/>
        <v>11</v>
      </c>
      <c r="T442" s="154">
        <f t="shared" ca="1" si="23"/>
        <v>3</v>
      </c>
      <c r="U442" s="16" t="str">
        <f t="shared" ca="1" si="24"/>
        <v>Fine</v>
      </c>
      <c r="V442" s="155">
        <f ca="1">IFERROR(__xludf.DUMMYFUNCTION("if(W442=""Middle Age"",QUERY(NPCVar!$K$2:$N1000, ""Select L where K = '""&amp;AB442&amp;""'""),if(W442=""Old"",QUERY(NPCVar!$K$2:$N1000, ""Select M where K = '""&amp;AB442&amp;""'""),if(W442=""Venerable"",QUERY(NPCVar!$K$2:$N1000, ""Select N where K = '""&amp;AB442&amp;""'""),fa"&amp;"lse)))*X442"),112.5)</f>
        <v>112.5</v>
      </c>
      <c r="W442" s="156" t="str">
        <f t="array" ref="W442">INDEX(NPCAgeType,TRUNC(1+(4-1)*(TRUNC(MOD((X442*1103515245 +12345)/ 65536, 32768),0)/32768),0))</f>
        <v>Middle Age</v>
      </c>
      <c r="X442" s="117">
        <f t="shared" si="29"/>
        <v>0.6</v>
      </c>
      <c r="Y442" s="157" t="e">
        <f t="array" aca="1" ref="Y442" ca="1">LOOKUP(ABS(MAX(Z442 + MIN(ABS(INDIRECT("Class Jobs!B"&amp;MATCH(E442,'Class Jobs'!$A$1:$A1000,0)&amp;":"&amp;"AF"&amp;MATCH(E442,'Class Jobs'!$A$1:$A1000,0)&amp;"")-$Z442)) * SUM(IF(MIN(ABS(INDIRECT("Class Jobs!B"&amp;MATCH(E442,'Class Jobs'!$A$1:$A1000,0)&amp;":"&amp;"AF"&amp;MATCH(E442,'Class Jobs'!$A$1:$A1000,0)&amp;"")-$Z442))=ABS(INDIRECT("Class Jobs!B"&amp;MATCH(E442,'Class Jobs'!$A$1:$A1000,0)&amp;":"&amp;"AF"&amp;MATCH(E442,'Class Jobs'!$A$1:$A1000,0)&amp;"")-$Z442),SIGN(INDIRECT("Class Jobs!B"&amp;MATCH(E442,'Class Jobs'!$A$1:A1000,0)&amp;":"&amp;"AF"&amp;MATCH(E442,'Class Jobs'!$A$1:$A1000,0)&amp;"")-$Z442),0)),0)),INDIRECT("Class Jobs!B"&amp;MATCH(E442,'Class Jobs'!$A$1:$A1000,0)&amp;":"&amp;"AF"&amp;MATCH(E442,'Class Jobs'!$A$1:$A1000,1)&amp;""),'Class Jobs'!$B$1:$AF$1)</f>
        <v>#REF!</v>
      </c>
      <c r="Z442" s="158">
        <f t="shared" si="25"/>
        <v>0.21</v>
      </c>
      <c r="AA442" s="16" t="str">
        <f t="array" ref="AA442">INDEX(NPCGender,TRUNC(1+(COUNTA(NPCGender))*(TRUNC(MOD(($B442*1103515245 +12345)/ 65536, 32768),0)/32768),0))</f>
        <v>Male</v>
      </c>
      <c r="AB442" s="16" t="str">
        <f t="array" ref="AB442">INDEX(NPCRace,TRUNC(1+(COUNTA(NPCRace))*(TRUNC(MOD(($B442*1103515245 +12345)/ 65536, 32768),0)/32768),0))</f>
        <v>Elf</v>
      </c>
      <c r="AC442" s="16" t="str">
        <f t="array" ref="AC442">INDEX(NPCAL,TRUNC(1+(COUNTA(NPCAL))*(TRUNC(MOD(($B442*1103515245 +12345)/ 65536, 32768),0)/32768),0))</f>
        <v>CE</v>
      </c>
      <c r="AD442" s="72" t="str">
        <f ca="1">IFERROR(__xludf.DUMMYFUNCTION("if(V442&lt;15,QUERY(NPCVar!C:D,""Select D WHERE C = '""&amp;D442&amp;""'""),if((TRUNC(1+10)*(TRUNC(MOD((ROW(H442)*1103515245 +12345)/ 65536, 32768),0)/32768)/10) &gt; 0.85,INDEX(NPCFaction,TRUNC(1+(counta(NPCFaction)-1)*(TRUNC(MOD(($B442*1103515245 +12345)/ 65536, 3276"&amp;"8),0)/32768),0)),QUERY(NPCVar!C:D,""Select D WHERE C = '""&amp;D442&amp;""'"")))"),"Necromancer")</f>
        <v>Necromancer</v>
      </c>
      <c r="AE442" s="108" t="e">
        <f t="shared" ca="1" si="26"/>
        <v>#NAME?</v>
      </c>
      <c r="AF442" s="159">
        <f ca="1">IFERROR(__xludf.DUMMYFUNCTION("AE442*(V442 / QUERY(NPCVar!$K$2:$N$12, ""Select N WHERE K='""&amp;AB442&amp;""'""))*TRUNC(1+10)*(TRUNC(MOD(($B442*1103515245 +12345)/ 65536, 32768),0)/32768)"),0.103296203613281)</f>
        <v>0.103296203613281</v>
      </c>
      <c r="AG442" s="16"/>
      <c r="AH442" s="77"/>
      <c r="AI442" s="114"/>
    </row>
    <row r="443" spans="1:35" ht="16.2">
      <c r="A443" s="53">
        <v>442</v>
      </c>
      <c r="B443" s="118">
        <f t="shared" si="31"/>
        <v>1.90025</v>
      </c>
      <c r="C443" s="72" t="str">
        <f t="array" ref="C443">INDEX(NPCFName,TRUNC(1+(COUNTA(NPCFName))*(TRUNC(MOD(($B443*1103515245 +12345)/ 65536, 32768),0)/32768),0))</f>
        <v>Wanar</v>
      </c>
      <c r="D443" s="16" t="str">
        <f t="array" ref="D443">INDEX(NPCLName,TRUNC(1+(COUNTA(NPCLName))*(TRUNC(MOD(($B443*1103515245 +12345)/ 65536, 32768),0)/32768),0))</f>
        <v>Stillspell</v>
      </c>
      <c r="E443" s="16" t="str">
        <f t="array" ref="E443">INDEX(NPCClass,TRUNC(1+(COUNTA(NPCClass))*(TRUNC(MOD(($B443*1103515245 +12345)/ 65536, 32768),0)/32768),0))</f>
        <v>Wizard</v>
      </c>
      <c r="F443" s="76">
        <v>8</v>
      </c>
      <c r="G443" s="153">
        <f ca="1">VLOOKUP($AB$2,'RF Mod'!$A$2:$G$12,2,FALSE)+VLOOKUP($AD$2,'RF Mod'!$I$2:$O$11,2,FALSE)+(TRUNC(6+(24-6)*(TRUNC(MOD(($Z443*1103515245 +12345)/ 65536, 32768),0)/32768),0))</f>
        <v>12</v>
      </c>
      <c r="H443" s="16" t="e">
        <f t="shared" ca="1" si="17"/>
        <v>#NAME?</v>
      </c>
      <c r="I443" s="153">
        <f ca="1">VLOOKUP($AB$2,'RF Mod'!$A$2:$G$12,3,FALSE)+VLOOKUP($AD$2,'RF Mod'!$I$2:$O$11,3,FALSE)+(TRUNC(6+(24-6)*(TRUNC(MOD(($Z443*1103515245 +12345)/ 65536, 32768),0)/32768),0))</f>
        <v>16</v>
      </c>
      <c r="J443" s="16" t="e">
        <f t="shared" ca="1" si="18"/>
        <v>#NAME?</v>
      </c>
      <c r="K443" s="153">
        <f ca="1">VLOOKUP($AB$2,'RF Mod'!$A$2:$G$12,3,FALSE)+VLOOKUP($AD$2,'RF Mod'!$I$2:$O$11,3,FALSE)+(TRUNC(6+(24-6)*(TRUNC(MOD(($Z443*1103515245 +12345)/ 65536, 32768),0)/32768),0))</f>
        <v>16</v>
      </c>
      <c r="L443" s="16" t="e">
        <f t="shared" ca="1" si="19"/>
        <v>#NAME?</v>
      </c>
      <c r="M443" s="153">
        <f ca="1">VLOOKUP($AB$2,'RF Mod'!$A$2:$G$12,4,FALSE)+VLOOKUP($AD$2,'RF Mod'!$I$2:$O$11,4,FALSE)+(TRUNC(6+(24-6)*(TRUNC(MOD(($Z443*1103515245 +12345)/ 65536, 32768),0)/32768),0))</f>
        <v>15</v>
      </c>
      <c r="N443" s="16" t="e">
        <f t="shared" ca="1" si="20"/>
        <v>#NAME?</v>
      </c>
      <c r="O443" s="153">
        <f ca="1">VLOOKUP($AB$2,'RF Mod'!$A$2:$G$12,5,FALSE)+VLOOKUP($AD$2,'RF Mod'!$I$2:$O$11,5,FALSE)+(TRUNC(6+(24-6)*(TRUNC(MOD(($Z443*1103515245 +12345)/ 65536, 32768),0)/32768),0))</f>
        <v>18</v>
      </c>
      <c r="P443" s="16" t="e">
        <f t="shared" ca="1" si="21"/>
        <v>#NAME?</v>
      </c>
      <c r="Q443" s="153">
        <f ca="1">VLOOKUP($AB$2,'RF Mod'!$A$2:$G$12,6,FALSE)+VLOOKUP($AD$2,'RF Mod'!$I$2:$O$11,6,FALSE)+(TRUNC(6+(24-6)*(TRUNC(MOD(($Z443*1103515245 +12345)/ 65536, 32768),0)/32768),0))</f>
        <v>16</v>
      </c>
      <c r="R443" s="16" t="e">
        <f t="shared" ca="1" si="22"/>
        <v>#NAME?</v>
      </c>
      <c r="S443" s="154">
        <f t="shared" ca="1" si="28"/>
        <v>272</v>
      </c>
      <c r="T443" s="154">
        <f t="shared" ca="1" si="23"/>
        <v>121</v>
      </c>
      <c r="U443" s="16" t="str">
        <f t="shared" ca="1" si="24"/>
        <v>Fine</v>
      </c>
      <c r="V443" s="155">
        <f ca="1">IFERROR(__xludf.DUMMYFUNCTION("if(W443=""Middle Age"",QUERY(NPCVar!$K$2:$N1000, ""Select L where K = '""&amp;AB443&amp;""'""),if(W443=""Old"",QUERY(NPCVar!$K$2:$N1000, ""Select M where K = '""&amp;AB443&amp;""'""),if(W443=""Venerable"",QUERY(NPCVar!$K$2:$N1000, ""Select N where K = '""&amp;AB443&amp;""'""),fa"&amp;"lse)))*X443"),72)</f>
        <v>72</v>
      </c>
      <c r="W443" s="156" t="str">
        <f t="array" ref="W443">INDEX(NPCAgeType,TRUNC(1+(4-1)*(TRUNC(MOD((X443*1103515245 +12345)/ 65536, 32768),0)/32768),0))</f>
        <v>Middle Age</v>
      </c>
      <c r="X443" s="117">
        <f t="shared" si="29"/>
        <v>2.4</v>
      </c>
      <c r="Y443" s="157" t="e">
        <f t="array" aca="1" ref="Y443" ca="1">LOOKUP(ABS(MAX(Z443 + MIN(ABS(INDIRECT("Class Jobs!B"&amp;MATCH(E443,'Class Jobs'!$A$1:$A1000,0)&amp;":"&amp;"AF"&amp;MATCH(E443,'Class Jobs'!$A$1:$A1000,0)&amp;"")-$Z443)) * SUM(IF(MIN(ABS(INDIRECT("Class Jobs!B"&amp;MATCH(E443,'Class Jobs'!$A$1:$A1000,0)&amp;":"&amp;"AF"&amp;MATCH(E443,'Class Jobs'!$A$1:$A1000,0)&amp;"")-$Z443))=ABS(INDIRECT("Class Jobs!B"&amp;MATCH(E443,'Class Jobs'!$A$1:$A1000,0)&amp;":"&amp;"AF"&amp;MATCH(E443,'Class Jobs'!$A$1:$A1000,0)&amp;"")-$Z443),SIGN(INDIRECT("Class Jobs!B"&amp;MATCH(E443,'Class Jobs'!$A$1:A1000,0)&amp;":"&amp;"AF"&amp;MATCH(E443,'Class Jobs'!$A$1:$A1000,0)&amp;"")-$Z443),0)),0)),INDIRECT("Class Jobs!B"&amp;MATCH(E443,'Class Jobs'!$A$1:$A1000,0)&amp;":"&amp;"AF"&amp;MATCH(E443,'Class Jobs'!$A$1:$A1000,1)&amp;""),'Class Jobs'!$B$1:$AF$1)</f>
        <v>#REF!</v>
      </c>
      <c r="Z443" s="158">
        <f t="shared" si="25"/>
        <v>0.97</v>
      </c>
      <c r="AA443" s="16" t="str">
        <f t="array" ref="AA443">INDEX(NPCGender,TRUNC(1+(COUNTA(NPCGender))*(TRUNC(MOD(($B443*1103515245 +12345)/ 65536, 32768),0)/32768),0))</f>
        <v>Neutral</v>
      </c>
      <c r="AB443" s="16" t="str">
        <f t="array" ref="AB443">INDEX(NPCRace,TRUNC(1+(COUNTA(NPCRace))*(TRUNC(MOD(($B443*1103515245 +12345)/ 65536, 32768),0)/32768),0))</f>
        <v>Goliath</v>
      </c>
      <c r="AC443" s="16" t="str">
        <f t="array" ref="AC443">INDEX(NPCAL,TRUNC(1+(COUNTA(NPCAL))*(TRUNC(MOD(($B443*1103515245 +12345)/ 65536, 32768),0)/32768),0))</f>
        <v>LE</v>
      </c>
      <c r="AD443" s="72" t="str">
        <f ca="1">IFERROR(__xludf.DUMMYFUNCTION("if(V443&lt;15,QUERY(NPCVar!C:D,""Select D WHERE C = '""&amp;D443&amp;""'""),if((TRUNC(1+10)*(TRUNC(MOD((ROW(H443)*1103515245 +12345)/ 65536, 32768),0)/32768)/10) &gt; 0.85,INDEX(NPCFaction,TRUNC(1+(counta(NPCFaction)-1)*(TRUNC(MOD(($B443*1103515245 +12345)/ 65536, 3276"&amp;"8),0)/32768),0)),QUERY(NPCVar!C:D,""Select D WHERE C = '""&amp;D443&amp;""'"")))"),"Followers of Isis")</f>
        <v>Followers of Isis</v>
      </c>
      <c r="AE443" s="108" t="e">
        <f t="shared" ca="1" si="26"/>
        <v>#NAME?</v>
      </c>
      <c r="AF443" s="159">
        <f ca="1">IFERROR(__xludf.DUMMYFUNCTION("AE443*(V443 / QUERY(NPCVar!$K$2:$N$12, ""Select N WHERE K='""&amp;AB443&amp;""'""))*TRUNC(1+10)*(TRUNC(MOD(($B443*1103515245 +12345)/ 65536, 32768),0)/32768)"),1.93341247558593)</f>
        <v>1.9334124755859301</v>
      </c>
      <c r="AG443" s="16"/>
      <c r="AH443" s="77"/>
      <c r="AI443" s="114"/>
    </row>
    <row r="444" spans="1:35" ht="16.2">
      <c r="A444" s="53">
        <v>443</v>
      </c>
      <c r="B444" s="118">
        <f t="shared" si="31"/>
        <v>0.89432</v>
      </c>
      <c r="C444" s="72" t="str">
        <f t="array" ref="C444">INDEX(NPCFName,TRUNC(1+(COUNTA(NPCFName))*(TRUNC(MOD(($B444*1103515245 +12345)/ 65536, 32768),0)/32768),0))</f>
        <v>Gundir</v>
      </c>
      <c r="D444" s="16" t="str">
        <f t="array" ref="D444">INDEX(NPCLName,TRUNC(1+(COUNTA(NPCLName))*(TRUNC(MOD(($B444*1103515245 +12345)/ 65536, 32768),0)/32768),0))</f>
        <v>Saurflame</v>
      </c>
      <c r="E444" s="16" t="str">
        <f t="array" ref="E444">INDEX(NPCClass,TRUNC(1+(COUNTA(NPCClass))*(TRUNC(MOD(($B444*1103515245 +12345)/ 65536, 32768),0)/32768),0))</f>
        <v>Ranger</v>
      </c>
      <c r="F444" s="76">
        <v>6</v>
      </c>
      <c r="G444" s="153">
        <f ca="1">VLOOKUP($AB$2,'RF Mod'!$A$2:$G$12,2,FALSE)+VLOOKUP($AD$2,'RF Mod'!$I$2:$O$11,2,FALSE)+(TRUNC(6+(24-6)*(TRUNC(MOD(($Z444*1103515245 +12345)/ 65536, 32768),0)/32768),0))</f>
        <v>8</v>
      </c>
      <c r="H444" s="16">
        <f t="shared" ca="1" si="17"/>
        <v>-1</v>
      </c>
      <c r="I444" s="153">
        <f ca="1">VLOOKUP($AB$2,'RF Mod'!$A$2:$G$12,3,FALSE)+VLOOKUP($AD$2,'RF Mod'!$I$2:$O$11,3,FALSE)+(TRUNC(6+(24-6)*(TRUNC(MOD(($Z444*1103515245 +12345)/ 65536, 32768),0)/32768),0))</f>
        <v>12</v>
      </c>
      <c r="J444" s="16" t="e">
        <f t="shared" ca="1" si="18"/>
        <v>#NAME?</v>
      </c>
      <c r="K444" s="153">
        <f ca="1">VLOOKUP($AB$2,'RF Mod'!$A$2:$G$12,3,FALSE)+VLOOKUP($AD$2,'RF Mod'!$I$2:$O$11,3,FALSE)+(TRUNC(6+(24-6)*(TRUNC(MOD(($Z444*1103515245 +12345)/ 65536, 32768),0)/32768),0))</f>
        <v>12</v>
      </c>
      <c r="L444" s="16" t="e">
        <f t="shared" ca="1" si="19"/>
        <v>#NAME?</v>
      </c>
      <c r="M444" s="153">
        <f ca="1">VLOOKUP($AB$2,'RF Mod'!$A$2:$G$12,4,FALSE)+VLOOKUP($AD$2,'RF Mod'!$I$2:$O$11,4,FALSE)+(TRUNC(6+(24-6)*(TRUNC(MOD(($Z444*1103515245 +12345)/ 65536, 32768),0)/32768),0))</f>
        <v>11</v>
      </c>
      <c r="N444" s="16" t="e">
        <f t="shared" ca="1" si="20"/>
        <v>#NAME?</v>
      </c>
      <c r="O444" s="153">
        <f ca="1">VLOOKUP($AB$2,'RF Mod'!$A$2:$G$12,5,FALSE)+VLOOKUP($AD$2,'RF Mod'!$I$2:$O$11,5,FALSE)+(TRUNC(6+(24-6)*(TRUNC(MOD(($Z444*1103515245 +12345)/ 65536, 32768),0)/32768),0))</f>
        <v>14</v>
      </c>
      <c r="P444" s="16" t="e">
        <f t="shared" ca="1" si="21"/>
        <v>#NAME?</v>
      </c>
      <c r="Q444" s="153">
        <f ca="1">VLOOKUP($AB$2,'RF Mod'!$A$2:$G$12,6,FALSE)+VLOOKUP($AD$2,'RF Mod'!$I$2:$O$11,6,FALSE)+(TRUNC(6+(24-6)*(TRUNC(MOD(($Z444*1103515245 +12345)/ 65536, 32768),0)/32768),0))</f>
        <v>12</v>
      </c>
      <c r="R444" s="16" t="e">
        <f t="shared" ca="1" si="22"/>
        <v>#NAME?</v>
      </c>
      <c r="S444" s="154">
        <f t="shared" ca="1" si="28"/>
        <v>168</v>
      </c>
      <c r="T444" s="154">
        <f t="shared" ca="1" si="23"/>
        <v>4</v>
      </c>
      <c r="U444" s="16" t="str">
        <f t="shared" ca="1" si="24"/>
        <v>Fine</v>
      </c>
      <c r="V444" s="155">
        <f ca="1">IFERROR(__xludf.DUMMYFUNCTION("if(W444=""Middle Age"",QUERY(NPCVar!$K$2:$N1000, ""Select L where K = '""&amp;AB444&amp;""'""),if(W444=""Old"",QUERY(NPCVar!$K$2:$N1000, ""Select M where K = '""&amp;AB444&amp;""'""),if(W444=""Venerable"",QUERY(NPCVar!$K$2:$N1000, ""Select N where K = '""&amp;AB444&amp;""'""),fa"&amp;"lse)))*X444"),31.5)</f>
        <v>31.5</v>
      </c>
      <c r="W444" s="156" t="str">
        <f t="array" ref="W444">INDEX(NPCAgeType,TRUNC(1+(4-1)*(TRUNC(MOD((X444*1103515245 +12345)/ 65536, 32768),0)/32768),0))</f>
        <v>Old</v>
      </c>
      <c r="X444" s="117">
        <f t="shared" si="29"/>
        <v>1.2</v>
      </c>
      <c r="Y444" s="157" t="e">
        <f t="array" aca="1" ref="Y444" ca="1">LOOKUP(ABS(MAX(Z444 + MIN(ABS(INDIRECT("Class Jobs!B"&amp;MATCH(E444,'Class Jobs'!$A$1:$A1000,0)&amp;":"&amp;"AF"&amp;MATCH(E444,'Class Jobs'!$A$1:$A1000,0)&amp;"")-$Z444)) * SUM(IF(MIN(ABS(INDIRECT("Class Jobs!B"&amp;MATCH(E444,'Class Jobs'!$A$1:$A1000,0)&amp;":"&amp;"AF"&amp;MATCH(E444,'Class Jobs'!$A$1:$A1000,0)&amp;"")-$Z444))=ABS(INDIRECT("Class Jobs!B"&amp;MATCH(E444,'Class Jobs'!$A$1:$A1000,0)&amp;":"&amp;"AF"&amp;MATCH(E444,'Class Jobs'!$A$1:$A1000,0)&amp;"")-$Z444),SIGN(INDIRECT("Class Jobs!B"&amp;MATCH(E444,'Class Jobs'!$A$1:A1000,0)&amp;":"&amp;"AF"&amp;MATCH(E444,'Class Jobs'!$A$1:$A1000,0)&amp;"")-$Z444),0)),0)),INDIRECT("Class Jobs!B"&amp;MATCH(E444,'Class Jobs'!$A$1:$A1000,0)&amp;":"&amp;"AF"&amp;MATCH(E444,'Class Jobs'!$A$1:$A1000,1)&amp;""),'Class Jobs'!$B$1:$AF$1)</f>
        <v>#REF!</v>
      </c>
      <c r="Z444" s="158">
        <f t="shared" si="25"/>
        <v>0.46</v>
      </c>
      <c r="AA444" s="16" t="str">
        <f t="array" ref="AA444">INDEX(NPCGender,TRUNC(1+(COUNTA(NPCGender))*(TRUNC(MOD(($B444*1103515245 +12345)/ 65536, 32768),0)/32768),0))</f>
        <v>Female</v>
      </c>
      <c r="AB444" s="16" t="str">
        <f t="array" ref="AB444">INDEX(NPCRace,TRUNC(1+(COUNTA(NPCRace))*(TRUNC(MOD(($B444*1103515245 +12345)/ 65536, 32768),0)/32768),0))</f>
        <v>Half-Orc</v>
      </c>
      <c r="AC444" s="16" t="str">
        <f t="array" ref="AC444">INDEX(NPCAL,TRUNC(1+(COUNTA(NPCAL))*(TRUNC(MOD(($B444*1103515245 +12345)/ 65536, 32768),0)/32768),0))</f>
        <v>NN</v>
      </c>
      <c r="AD444" s="72" t="str">
        <f ca="1">IFERROR(__xludf.DUMMYFUNCTION("if(V444&lt;15,QUERY(NPCVar!C:D,""Select D WHERE C = '""&amp;D444&amp;""'""),if((TRUNC(1+10)*(TRUNC(MOD((ROW(H444)*1103515245 +12345)/ 65536, 32768),0)/32768)/10) &gt; 0.85,INDEX(NPCFaction,TRUNC(1+(counta(NPCFaction)-1)*(TRUNC(MOD(($B444*1103515245 +12345)/ 65536, 3276"&amp;"8),0)/32768),0)),QUERY(NPCVar!C:D,""Select D WHERE C = '""&amp;D444&amp;""'"")))"),"Farmers Guild")</f>
        <v>Farmers Guild</v>
      </c>
      <c r="AE444" s="108" t="e">
        <f t="shared" ca="1" si="26"/>
        <v>#NAME?</v>
      </c>
      <c r="AF444" s="159">
        <f ca="1">IFERROR(__xludf.DUMMYFUNCTION("AE444*(V444 / QUERY(NPCVar!$K$2:$N$12, ""Select N WHERE K='""&amp;AB444&amp;""'""))*TRUNC(1+10)*(TRUNC(MOD(($B444*1103515245 +12345)/ 65536, 32768),0)/32768)"),1.59238998413085)</f>
        <v>1.59238998413085</v>
      </c>
      <c r="AG444" s="16"/>
      <c r="AH444" s="77"/>
      <c r="AI444" s="114"/>
    </row>
    <row r="445" spans="1:35" ht="16.2">
      <c r="A445" s="53">
        <v>444</v>
      </c>
      <c r="B445" s="118">
        <f t="shared" si="31"/>
        <v>2.3884500000000002</v>
      </c>
      <c r="C445" s="72" t="str">
        <f t="array" ref="C445">INDEX(NPCFName,TRUNC(1+(COUNTA(NPCFName))*(TRUNC(MOD(($B445*1103515245 +12345)/ 65536, 32768),0)/32768),0))</f>
        <v>Phoenix</v>
      </c>
      <c r="D445" s="16" t="str">
        <f t="array" ref="D445">INDEX(NPCLName,TRUNC(1+(COUNTA(NPCLName))*(TRUNC(MOD(($B445*1103515245 +12345)/ 65536, 32768),0)/32768),0))</f>
        <v>Stillsun</v>
      </c>
      <c r="E445" s="16" t="str">
        <f t="array" ref="E445">INDEX(NPCClass,TRUNC(1+(COUNTA(NPCClass))*(TRUNC(MOD(($B445*1103515245 +12345)/ 65536, 32768),0)/32768),0))</f>
        <v>Druid</v>
      </c>
      <c r="F445" s="76">
        <v>2</v>
      </c>
      <c r="G445" s="153">
        <f ca="1">VLOOKUP($AB$2,'RF Mod'!$A$2:$G$12,2,FALSE)+VLOOKUP($AD$2,'RF Mod'!$I$2:$O$11,2,FALSE)+(TRUNC(6+(24-6)*(TRUNC(MOD(($Z445*1103515245 +12345)/ 65536, 32768),0)/32768),0))</f>
        <v>6</v>
      </c>
      <c r="H445" s="16">
        <f t="shared" ca="1" si="17"/>
        <v>-2</v>
      </c>
      <c r="I445" s="153">
        <f ca="1">VLOOKUP($AB$2,'RF Mod'!$A$2:$G$12,3,FALSE)+VLOOKUP($AD$2,'RF Mod'!$I$2:$O$11,3,FALSE)+(TRUNC(6+(24-6)*(TRUNC(MOD(($Z445*1103515245 +12345)/ 65536, 32768),0)/32768),0))</f>
        <v>10</v>
      </c>
      <c r="J445" s="16" t="e">
        <f t="shared" ca="1" si="18"/>
        <v>#NAME?</v>
      </c>
      <c r="K445" s="153">
        <f ca="1">VLOOKUP($AB$2,'RF Mod'!$A$2:$G$12,3,FALSE)+VLOOKUP($AD$2,'RF Mod'!$I$2:$O$11,3,FALSE)+(TRUNC(6+(24-6)*(TRUNC(MOD(($Z445*1103515245 +12345)/ 65536, 32768),0)/32768),0))</f>
        <v>10</v>
      </c>
      <c r="L445" s="16" t="e">
        <f t="shared" ca="1" si="19"/>
        <v>#NAME?</v>
      </c>
      <c r="M445" s="153">
        <f ca="1">VLOOKUP($AB$2,'RF Mod'!$A$2:$G$12,4,FALSE)+VLOOKUP($AD$2,'RF Mod'!$I$2:$O$11,4,FALSE)+(TRUNC(6+(24-6)*(TRUNC(MOD(($Z445*1103515245 +12345)/ 65536, 32768),0)/32768),0))</f>
        <v>9</v>
      </c>
      <c r="N445" s="16">
        <f t="shared" ca="1" si="20"/>
        <v>-1</v>
      </c>
      <c r="O445" s="153">
        <f ca="1">VLOOKUP($AB$2,'RF Mod'!$A$2:$G$12,5,FALSE)+VLOOKUP($AD$2,'RF Mod'!$I$2:$O$11,5,FALSE)+(TRUNC(6+(24-6)*(TRUNC(MOD(($Z445*1103515245 +12345)/ 65536, 32768),0)/32768),0))</f>
        <v>12</v>
      </c>
      <c r="P445" s="16" t="e">
        <f t="shared" ca="1" si="21"/>
        <v>#NAME?</v>
      </c>
      <c r="Q445" s="153">
        <f ca="1">VLOOKUP($AB$2,'RF Mod'!$A$2:$G$12,6,FALSE)+VLOOKUP($AD$2,'RF Mod'!$I$2:$O$11,6,FALSE)+(TRUNC(6+(24-6)*(TRUNC(MOD(($Z445*1103515245 +12345)/ 65536, 32768),0)/32768),0))</f>
        <v>10</v>
      </c>
      <c r="R445" s="16" t="e">
        <f t="shared" ca="1" si="22"/>
        <v>#NAME?</v>
      </c>
      <c r="S445" s="154">
        <f t="shared" ca="1" si="28"/>
        <v>24</v>
      </c>
      <c r="T445" s="154">
        <f t="shared" ca="1" si="23"/>
        <v>18</v>
      </c>
      <c r="U445" s="16" t="str">
        <f t="shared" ca="1" si="24"/>
        <v>Bloody</v>
      </c>
      <c r="V445" s="155">
        <f ca="1">IFERROR(__xludf.DUMMYFUNCTION("if(W445=""Middle Age"",QUERY(NPCVar!$K$2:$N1000, ""Select L where K = '""&amp;AB445&amp;""'""),if(W445=""Old"",QUERY(NPCVar!$K$2:$N1000, ""Select M where K = '""&amp;AB445&amp;""'""),if(W445=""Venerable"",QUERY(NPCVar!$K$2:$N1000, ""Select N where K = '""&amp;AB445&amp;""'""),fa"&amp;"lse)))*X445"),112.5)</f>
        <v>112.5</v>
      </c>
      <c r="W445" s="156" t="str">
        <f t="array" ref="W445">INDEX(NPCAgeType,TRUNC(1+(4-1)*(TRUNC(MOD((X445*1103515245 +12345)/ 65536, 32768),0)/32768),0))</f>
        <v>Middle Age</v>
      </c>
      <c r="X445" s="117">
        <f t="shared" si="29"/>
        <v>0.6</v>
      </c>
      <c r="Y445" s="157" t="e">
        <f t="array" aca="1" ref="Y445" ca="1">LOOKUP(ABS(MAX(Z445 + MIN(ABS(INDIRECT("Class Jobs!B"&amp;MATCH(E445,'Class Jobs'!$A$1:$A1000,0)&amp;":"&amp;"AF"&amp;MATCH(E445,'Class Jobs'!$A$1:$A1000,0)&amp;"")-$Z445)) * SUM(IF(MIN(ABS(INDIRECT("Class Jobs!B"&amp;MATCH(E445,'Class Jobs'!$A$1:$A1000,0)&amp;":"&amp;"AF"&amp;MATCH(E445,'Class Jobs'!$A$1:$A1000,0)&amp;"")-$Z445))=ABS(INDIRECT("Class Jobs!B"&amp;MATCH(E445,'Class Jobs'!$A$1:$A1000,0)&amp;":"&amp;"AF"&amp;MATCH(E445,'Class Jobs'!$A$1:$A1000,0)&amp;"")-$Z445),SIGN(INDIRECT("Class Jobs!B"&amp;MATCH(E445,'Class Jobs'!$A$1:A1000,0)&amp;":"&amp;"AF"&amp;MATCH(E445,'Class Jobs'!$A$1:$A1000,0)&amp;"")-$Z445),0)),0)),INDIRECT("Class Jobs!B"&amp;MATCH(E445,'Class Jobs'!$A$1:$A1000,0)&amp;":"&amp;"AF"&amp;MATCH(E445,'Class Jobs'!$A$1:$A1000,1)&amp;""),'Class Jobs'!$B$1:$AF$1)</f>
        <v>#REF!</v>
      </c>
      <c r="Z445" s="158">
        <f t="shared" si="25"/>
        <v>0.23</v>
      </c>
      <c r="AA445" s="16" t="str">
        <f t="array" ref="AA445">INDEX(NPCGender,TRUNC(1+(COUNTA(NPCGender))*(TRUNC(MOD(($B445*1103515245 +12345)/ 65536, 32768),0)/32768),0))</f>
        <v>Male</v>
      </c>
      <c r="AB445" s="16" t="str">
        <f t="array" ref="AB445">INDEX(NPCRace,TRUNC(1+(COUNTA(NPCRace))*(TRUNC(MOD(($B445*1103515245 +12345)/ 65536, 32768),0)/32768),0))</f>
        <v>Elf</v>
      </c>
      <c r="AC445" s="16" t="str">
        <f t="array" ref="AC445">INDEX(NPCAL,TRUNC(1+(COUNTA(NPCAL))*(TRUNC(MOD(($B445*1103515245 +12345)/ 65536, 32768),0)/32768),0))</f>
        <v>CG</v>
      </c>
      <c r="AD445" s="72" t="str">
        <f ca="1">IFERROR(__xludf.DUMMYFUNCTION("if(V445&lt;15,QUERY(NPCVar!C:D,""Select D WHERE C = '""&amp;D445&amp;""'""),if((TRUNC(1+10)*(TRUNC(MOD((ROW(H445)*1103515245 +12345)/ 65536, 32768),0)/32768)/10) &gt; 0.85,INDEX(NPCFaction,TRUNC(1+(counta(NPCFaction)-1)*(TRUNC(MOD(($B445*1103515245 +12345)/ 65536, 3276"&amp;"8),0)/32768),0)),QUERY(NPCVar!C:D,""Select D WHERE C = '""&amp;D445&amp;""'"")))"),"Necromancer")</f>
        <v>Necromancer</v>
      </c>
      <c r="AE445" s="108" t="e">
        <f t="shared" ca="1" si="26"/>
        <v>#NAME?</v>
      </c>
      <c r="AF445" s="159">
        <f ca="1">IFERROR(__xludf.DUMMYFUNCTION("AE445*(V445 / QUERY(NPCVar!$K$2:$N$12, ""Select N WHERE K='""&amp;AB445&amp;""'""))*TRUNC(1+10)*(TRUNC(MOD(($B445*1103515245 +12345)/ 65536, 32768),0)/32768)"),0)</f>
        <v>0</v>
      </c>
      <c r="AG445" s="16"/>
      <c r="AH445" s="77"/>
      <c r="AI445" s="114"/>
    </row>
    <row r="446" spans="1:35" ht="16.2">
      <c r="A446" s="53">
        <v>445</v>
      </c>
      <c r="B446" s="118">
        <f t="shared" si="31"/>
        <v>1.3826000000000001</v>
      </c>
      <c r="C446" s="72" t="str">
        <f t="array" ref="C446">INDEX(NPCFName,TRUNC(1+(COUNTA(NPCFName))*(TRUNC(MOD(($B446*1103515245 +12345)/ 65536, 32768),0)/32768),0))</f>
        <v>Calden</v>
      </c>
      <c r="D446" s="16" t="str">
        <f t="array" ref="D446">INDEX(NPCLName,TRUNC(1+(COUNTA(NPCLName))*(TRUNC(MOD(($B446*1103515245 +12345)/ 65536, 32768),0)/32768),0))</f>
        <v>Rockspell</v>
      </c>
      <c r="E446" s="16" t="str">
        <f t="array" ref="E446">INDEX(NPCClass,TRUNC(1+(COUNTA(NPCClass))*(TRUNC(MOD(($B446*1103515245 +12345)/ 65536, 32768),0)/32768),0))</f>
        <v>None</v>
      </c>
      <c r="F446" s="76">
        <v>8</v>
      </c>
      <c r="G446" s="153">
        <f ca="1">VLOOKUP($AB$2,'RF Mod'!$A$2:$G$12,2,FALSE)+VLOOKUP($AD$2,'RF Mod'!$I$2:$O$11,2,FALSE)+(TRUNC(6+(24-6)*(TRUNC(MOD(($Z446*1103515245 +12345)/ 65536, 32768),0)/32768),0))</f>
        <v>10</v>
      </c>
      <c r="H446" s="16" t="e">
        <f t="shared" ca="1" si="17"/>
        <v>#NAME?</v>
      </c>
      <c r="I446" s="153">
        <f ca="1">VLOOKUP($AB$2,'RF Mod'!$A$2:$G$12,3,FALSE)+VLOOKUP($AD$2,'RF Mod'!$I$2:$O$11,3,FALSE)+(TRUNC(6+(24-6)*(TRUNC(MOD(($Z446*1103515245 +12345)/ 65536, 32768),0)/32768),0))</f>
        <v>14</v>
      </c>
      <c r="J446" s="16" t="e">
        <f t="shared" ca="1" si="18"/>
        <v>#NAME?</v>
      </c>
      <c r="K446" s="153">
        <f ca="1">VLOOKUP($AB$2,'RF Mod'!$A$2:$G$12,3,FALSE)+VLOOKUP($AD$2,'RF Mod'!$I$2:$O$11,3,FALSE)+(TRUNC(6+(24-6)*(TRUNC(MOD(($Z446*1103515245 +12345)/ 65536, 32768),0)/32768),0))</f>
        <v>14</v>
      </c>
      <c r="L446" s="16" t="e">
        <f t="shared" ca="1" si="19"/>
        <v>#NAME?</v>
      </c>
      <c r="M446" s="153">
        <f ca="1">VLOOKUP($AB$2,'RF Mod'!$A$2:$G$12,4,FALSE)+VLOOKUP($AD$2,'RF Mod'!$I$2:$O$11,4,FALSE)+(TRUNC(6+(24-6)*(TRUNC(MOD(($Z446*1103515245 +12345)/ 65536, 32768),0)/32768),0))</f>
        <v>13</v>
      </c>
      <c r="N446" s="16" t="e">
        <f t="shared" ca="1" si="20"/>
        <v>#NAME?</v>
      </c>
      <c r="O446" s="153">
        <f ca="1">VLOOKUP($AB$2,'RF Mod'!$A$2:$G$12,5,FALSE)+VLOOKUP($AD$2,'RF Mod'!$I$2:$O$11,5,FALSE)+(TRUNC(6+(24-6)*(TRUNC(MOD(($Z446*1103515245 +12345)/ 65536, 32768),0)/32768),0))</f>
        <v>16</v>
      </c>
      <c r="P446" s="16" t="e">
        <f t="shared" ca="1" si="21"/>
        <v>#NAME?</v>
      </c>
      <c r="Q446" s="153">
        <f ca="1">VLOOKUP($AB$2,'RF Mod'!$A$2:$G$12,6,FALSE)+VLOOKUP($AD$2,'RF Mod'!$I$2:$O$11,6,FALSE)+(TRUNC(6+(24-6)*(TRUNC(MOD(($Z446*1103515245 +12345)/ 65536, 32768),0)/32768),0))</f>
        <v>14</v>
      </c>
      <c r="R446" s="16" t="e">
        <f t="shared" ca="1" si="22"/>
        <v>#NAME?</v>
      </c>
      <c r="S446" s="154">
        <f t="shared" ca="1" si="28"/>
        <v>240</v>
      </c>
      <c r="T446" s="154">
        <f t="shared" ca="1" si="23"/>
        <v>261</v>
      </c>
      <c r="U446" s="16" t="str">
        <f t="shared" ca="1" si="24"/>
        <v>Dead</v>
      </c>
      <c r="V446" s="155">
        <f ca="1">IFERROR(__xludf.DUMMYFUNCTION("if(W446=""Middle Age"",QUERY(NPCVar!$K$2:$N1000, ""Select L where K = '""&amp;AB446&amp;""'""),if(W446=""Old"",QUERY(NPCVar!$K$2:$N1000, ""Select M where K = '""&amp;AB446&amp;""'""),if(W446=""Venerable"",QUERY(NPCVar!$K$2:$N1000, ""Select N where K = '""&amp;AB446&amp;""'""),fa"&amp;"lse)))*X446"),162)</f>
        <v>162</v>
      </c>
      <c r="W446" s="156" t="str">
        <f t="array" ref="W446">INDEX(NPCAgeType,TRUNC(1+(4-1)*(TRUNC(MOD((X446*1103515245 +12345)/ 65536, 32768),0)/32768),0))</f>
        <v>Venerable</v>
      </c>
      <c r="X446" s="117">
        <f t="shared" si="29"/>
        <v>1.8</v>
      </c>
      <c r="Y446" s="157" t="e">
        <f t="array" aca="1" ref="Y446" ca="1">LOOKUP(ABS(MAX(Z446 + MIN(ABS(INDIRECT("Class Jobs!B"&amp;MATCH(E446,'Class Jobs'!$A$1:$A1000,0)&amp;":"&amp;"AF"&amp;MATCH(E446,'Class Jobs'!$A$1:$A1000,0)&amp;"")-$Z446)) * SUM(IF(MIN(ABS(INDIRECT("Class Jobs!B"&amp;MATCH(E446,'Class Jobs'!$A$1:$A1000,0)&amp;":"&amp;"AF"&amp;MATCH(E446,'Class Jobs'!$A$1:$A1000,0)&amp;"")-$Z446))=ABS(INDIRECT("Class Jobs!B"&amp;MATCH(E446,'Class Jobs'!$A$1:$A1000,0)&amp;":"&amp;"AF"&amp;MATCH(E446,'Class Jobs'!$A$1:$A1000,0)&amp;"")-$Z446),SIGN(INDIRECT("Class Jobs!B"&amp;MATCH(E446,'Class Jobs'!$A$1:A1000,0)&amp;":"&amp;"AF"&amp;MATCH(E446,'Class Jobs'!$A$1:$A1000,0)&amp;"")-$Z446),0)),0)),INDIRECT("Class Jobs!B"&amp;MATCH(E446,'Class Jobs'!$A$1:$A1000,0)&amp;":"&amp;"AF"&amp;MATCH(E446,'Class Jobs'!$A$1:$A1000,1)&amp;""),'Class Jobs'!$B$1:$AF$1)</f>
        <v>#REF!</v>
      </c>
      <c r="Z446" s="158">
        <f t="shared" si="25"/>
        <v>0.71</v>
      </c>
      <c r="AA446" s="16" t="str">
        <f t="array" ref="AA446">INDEX(NPCGender,TRUNC(1+(COUNTA(NPCGender))*(TRUNC(MOD(($B446*1103515245 +12345)/ 65536, 32768),0)/32768),0))</f>
        <v>Neutral</v>
      </c>
      <c r="AB446" s="16" t="str">
        <f t="array" ref="AB446">INDEX(NPCRace,TRUNC(1+(COUNTA(NPCRace))*(TRUNC(MOD(($B446*1103515245 +12345)/ 65536, 32768),0)/32768),0))</f>
        <v>Human</v>
      </c>
      <c r="AC446" s="16" t="str">
        <f t="array" ref="AC446">INDEX(NPCAL,TRUNC(1+(COUNTA(NPCAL))*(TRUNC(MOD(($B446*1103515245 +12345)/ 65536, 32768),0)/32768),0))</f>
        <v>LG</v>
      </c>
      <c r="AD446" s="72" t="str">
        <f ca="1">IFERROR(__xludf.DUMMYFUNCTION("if(V446&lt;15,QUERY(NPCVar!C:D,""Select D WHERE C = '""&amp;D446&amp;""'""),if((TRUNC(1+10)*(TRUNC(MOD((ROW(H446)*1103515245 +12345)/ 65536, 32768),0)/32768)/10) &gt; 0.85,INDEX(NPCFaction,TRUNC(1+(counta(NPCFaction)-1)*(TRUNC(MOD(($B446*1103515245 +12345)/ 65536, 3276"&amp;"8),0)/32768),0)),QUERY(NPCVar!C:D,""Select D WHERE C = '""&amp;D446&amp;""'"")))"),"Traverlers Guild")</f>
        <v>Traverlers Guild</v>
      </c>
      <c r="AE446" s="108" t="e">
        <f t="shared" ca="1" si="26"/>
        <v>#NAME?</v>
      </c>
      <c r="AF446" s="159">
        <f ca="1">IFERROR(__xludf.DUMMYFUNCTION("AE446*(V446 / QUERY(NPCVar!$K$2:$N$12, ""Select N WHERE K='""&amp;AB446&amp;""'""))*TRUNC(1+10)*(TRUNC(MOD(($B446*1103515245 +12345)/ 65536, 32768),0)/32768)"),11.253515625)</f>
        <v>11.253515625</v>
      </c>
      <c r="AG446" s="16"/>
      <c r="AH446" s="77"/>
      <c r="AI446" s="114"/>
    </row>
    <row r="447" spans="1:35" ht="16.2">
      <c r="A447" s="53">
        <v>446</v>
      </c>
      <c r="B447" s="118">
        <f t="shared" si="31"/>
        <v>0.37674000000000002</v>
      </c>
      <c r="C447" s="72" t="str">
        <f t="array" ref="C447">INDEX(NPCFName,TRUNC(1+(COUNTA(NPCFName))*(TRUNC(MOD(($B447*1103515245 +12345)/ 65536, 32768),0)/32768),0))</f>
        <v>Mezo</v>
      </c>
      <c r="D447" s="16" t="str">
        <f t="array" ref="D447">INDEX(NPCLName,TRUNC(1+(COUNTA(NPCLName))*(TRUNC(MOD(($B447*1103515245 +12345)/ 65536, 32768),0)/32768),0))</f>
        <v>Ashcloud</v>
      </c>
      <c r="E447" s="16" t="str">
        <f t="array" ref="E447">INDEX(NPCClass,TRUNC(1+(COUNTA(NPCClass))*(TRUNC(MOD(($B447*1103515245 +12345)/ 65536, 32768),0)/32768),0))</f>
        <v>Druid</v>
      </c>
      <c r="F447" s="76">
        <v>1</v>
      </c>
      <c r="G447" s="153">
        <f ca="1">VLOOKUP($AB$2,'RF Mod'!$A$2:$G$12,2,FALSE)+VLOOKUP($AD$2,'RF Mod'!$I$2:$O$11,2,FALSE)+(TRUNC(6+(24-6)*(TRUNC(MOD(($Z447*1103515245 +12345)/ 65536, 32768),0)/32768),0))</f>
        <v>5</v>
      </c>
      <c r="H447" s="16">
        <f t="shared" ca="1" si="17"/>
        <v>-3</v>
      </c>
      <c r="I447" s="153">
        <f ca="1">VLOOKUP($AB$2,'RF Mod'!$A$2:$G$12,3,FALSE)+VLOOKUP($AD$2,'RF Mod'!$I$2:$O$11,3,FALSE)+(TRUNC(6+(24-6)*(TRUNC(MOD(($Z447*1103515245 +12345)/ 65536, 32768),0)/32768),0))</f>
        <v>9</v>
      </c>
      <c r="J447" s="16">
        <f t="shared" ca="1" si="18"/>
        <v>-1</v>
      </c>
      <c r="K447" s="153">
        <f ca="1">VLOOKUP($AB$2,'RF Mod'!$A$2:$G$12,3,FALSE)+VLOOKUP($AD$2,'RF Mod'!$I$2:$O$11,3,FALSE)+(TRUNC(6+(24-6)*(TRUNC(MOD(($Z447*1103515245 +12345)/ 65536, 32768),0)/32768),0))</f>
        <v>9</v>
      </c>
      <c r="L447" s="16">
        <f t="shared" ca="1" si="19"/>
        <v>-1</v>
      </c>
      <c r="M447" s="153">
        <f ca="1">VLOOKUP($AB$2,'RF Mod'!$A$2:$G$12,4,FALSE)+VLOOKUP($AD$2,'RF Mod'!$I$2:$O$11,4,FALSE)+(TRUNC(6+(24-6)*(TRUNC(MOD(($Z447*1103515245 +12345)/ 65536, 32768),0)/32768),0))</f>
        <v>8</v>
      </c>
      <c r="N447" s="16">
        <f t="shared" ca="1" si="20"/>
        <v>-1</v>
      </c>
      <c r="O447" s="153">
        <f ca="1">VLOOKUP($AB$2,'RF Mod'!$A$2:$G$12,5,FALSE)+VLOOKUP($AD$2,'RF Mod'!$I$2:$O$11,5,FALSE)+(TRUNC(6+(24-6)*(TRUNC(MOD(($Z447*1103515245 +12345)/ 65536, 32768),0)/32768),0))</f>
        <v>11</v>
      </c>
      <c r="P447" s="16" t="e">
        <f t="shared" ca="1" si="21"/>
        <v>#NAME?</v>
      </c>
      <c r="Q447" s="153">
        <f ca="1">VLOOKUP($AB$2,'RF Mod'!$A$2:$G$12,6,FALSE)+VLOOKUP($AD$2,'RF Mod'!$I$2:$O$11,6,FALSE)+(TRUNC(6+(24-6)*(TRUNC(MOD(($Z447*1103515245 +12345)/ 65536, 32768),0)/32768),0))</f>
        <v>9</v>
      </c>
      <c r="R447" s="16">
        <f t="shared" ca="1" si="22"/>
        <v>-1</v>
      </c>
      <c r="S447" s="154">
        <f t="shared" ca="1" si="28"/>
        <v>27</v>
      </c>
      <c r="T447" s="154">
        <f t="shared" ca="1" si="23"/>
        <v>7</v>
      </c>
      <c r="U447" s="16" t="str">
        <f t="shared" ca="1" si="24"/>
        <v>Fine</v>
      </c>
      <c r="V447" s="155">
        <f ca="1">IFERROR(__xludf.DUMMYFUNCTION("if(W447=""Middle Age"",QUERY(NPCVar!$K$2:$N1000, ""Select L where K = '""&amp;AB447&amp;""'""),if(W447=""Old"",QUERY(NPCVar!$K$2:$N1000, ""Select M where K = '""&amp;AB447&amp;""'""),if(W447=""Venerable"",QUERY(NPCVar!$K$2:$N1000, ""Select N where K = '""&amp;AB447&amp;""'""),fa"&amp;"lse)))*X447"),93.75)</f>
        <v>93.75</v>
      </c>
      <c r="W447" s="156" t="str">
        <f t="array" ref="W447">INDEX(NPCAgeType,TRUNC(1+(4-1)*(TRUNC(MOD((X447*1103515245 +12345)/ 65536, 32768),0)/32768),0))</f>
        <v>Middle Age</v>
      </c>
      <c r="X447" s="117">
        <f t="shared" si="29"/>
        <v>0.5</v>
      </c>
      <c r="Y447" s="157" t="e">
        <f t="array" aca="1" ref="Y447" ca="1">LOOKUP(ABS(MAX(Z447 + MIN(ABS(INDIRECT("Class Jobs!B"&amp;MATCH(E447,'Class Jobs'!$A$1:$A1000,0)&amp;":"&amp;"AF"&amp;MATCH(E447,'Class Jobs'!$A$1:$A1000,0)&amp;"")-$Z447)) * SUM(IF(MIN(ABS(INDIRECT("Class Jobs!B"&amp;MATCH(E447,'Class Jobs'!$A$1:$A1000,0)&amp;":"&amp;"AF"&amp;MATCH(E447,'Class Jobs'!$A$1:$A1000,0)&amp;"")-$Z447))=ABS(INDIRECT("Class Jobs!B"&amp;MATCH(E447,'Class Jobs'!$A$1:$A1000,0)&amp;":"&amp;"AF"&amp;MATCH(E447,'Class Jobs'!$A$1:$A1000,0)&amp;"")-$Z447),SIGN(INDIRECT("Class Jobs!B"&amp;MATCH(E447,'Class Jobs'!$A$1:A1000,0)&amp;":"&amp;"AF"&amp;MATCH(E447,'Class Jobs'!$A$1:$A1000,0)&amp;"")-$Z447),0)),0)),INDIRECT("Class Jobs!B"&amp;MATCH(E447,'Class Jobs'!$A$1:$A1000,0)&amp;":"&amp;"AF"&amp;MATCH(E447,'Class Jobs'!$A$1:$A1000,1)&amp;""),'Class Jobs'!$B$1:$AF$1)</f>
        <v>#REF!</v>
      </c>
      <c r="Z447" s="158">
        <f t="shared" si="25"/>
        <v>0.2</v>
      </c>
      <c r="AA447" s="16" t="str">
        <f t="array" ref="AA447">INDEX(NPCGender,TRUNC(1+(COUNTA(NPCGender))*(TRUNC(MOD(($B447*1103515245 +12345)/ 65536, 32768),0)/32768),0))</f>
        <v>Male</v>
      </c>
      <c r="AB447" s="16" t="str">
        <f t="array" ref="AB447">INDEX(NPCRace,TRUNC(1+(COUNTA(NPCRace))*(TRUNC(MOD(($B447*1103515245 +12345)/ 65536, 32768),0)/32768),0))</f>
        <v>Elf</v>
      </c>
      <c r="AC447" s="16" t="str">
        <f t="array" ref="AC447">INDEX(NPCAL,TRUNC(1+(COUNTA(NPCAL))*(TRUNC(MOD(($B447*1103515245 +12345)/ 65536, 32768),0)/32768),0))</f>
        <v>CE</v>
      </c>
      <c r="AD447" s="72" t="str">
        <f ca="1">IFERROR(__xludf.DUMMYFUNCTION("if(V447&lt;15,QUERY(NPCVar!C:D,""Select D WHERE C = '""&amp;D447&amp;""'""),if((TRUNC(1+10)*(TRUNC(MOD((ROW(H447)*1103515245 +12345)/ 65536, 32768),0)/32768)/10) &gt; 0.85,INDEX(NPCFaction,TRUNC(1+(counta(NPCFaction)-1)*(TRUNC(MOD(($B447*1103515245 +12345)/ 65536, 3276"&amp;"8),0)/32768),0)),QUERY(NPCVar!C:D,""Select D WHERE C = '""&amp;D447&amp;""'"")))"),"Magic Guild")</f>
        <v>Magic Guild</v>
      </c>
      <c r="AE447" s="108" t="e">
        <f t="shared" ca="1" si="26"/>
        <v>#NAME?</v>
      </c>
      <c r="AF447" s="159">
        <f ca="1">IFERROR(__xludf.DUMMYFUNCTION("AE447*(V447 / QUERY(NPCVar!$K$2:$N$12, ""Select N WHERE K='""&amp;AB447&amp;""'""))*TRUNC(1+10)*(TRUNC(MOD(($B447*1103515245 +12345)/ 65536, 32768),0)/32768)"),-0.0266162872314453)</f>
        <v>-2.6616287231445299E-2</v>
      </c>
      <c r="AG447" s="16"/>
      <c r="AH447" s="77"/>
      <c r="AI447" s="114"/>
    </row>
    <row r="448" spans="1:35" ht="16.2">
      <c r="A448" s="53">
        <v>447</v>
      </c>
      <c r="B448" s="118">
        <f t="shared" si="31"/>
        <v>1.8708800000000001</v>
      </c>
      <c r="C448" s="72" t="str">
        <f t="array" ref="C448">INDEX(NPCFName,TRUNC(1+(COUNTA(NPCFName))*(TRUNC(MOD(($B448*1103515245 +12345)/ 65536, 32768),0)/32768),0))</f>
        <v>Uhrd</v>
      </c>
      <c r="D448" s="16" t="str">
        <f t="array" ref="D448">INDEX(NPCLName,TRUNC(1+(COUNTA(NPCLName))*(TRUNC(MOD(($B448*1103515245 +12345)/ 65536, 32768),0)/32768),0))</f>
        <v>Marblearm</v>
      </c>
      <c r="E448" s="16" t="str">
        <f t="array" ref="E448">INDEX(NPCClass,TRUNC(1+(COUNTA(NPCClass))*(TRUNC(MOD(($B448*1103515245 +12345)/ 65536, 32768),0)/32768),0))</f>
        <v>Wizard</v>
      </c>
      <c r="F448" s="76">
        <v>8</v>
      </c>
      <c r="G448" s="153">
        <f ca="1">VLOOKUP($AB$2,'RF Mod'!$A$2:$G$12,2,FALSE)+VLOOKUP($AD$2,'RF Mod'!$I$2:$O$11,2,FALSE)+(TRUNC(6+(24-6)*(TRUNC(MOD(($Z448*1103515245 +12345)/ 65536, 32768),0)/32768),0))</f>
        <v>12</v>
      </c>
      <c r="H448" s="16" t="e">
        <f t="shared" ca="1" si="17"/>
        <v>#NAME?</v>
      </c>
      <c r="I448" s="153">
        <f ca="1">VLOOKUP($AB$2,'RF Mod'!$A$2:$G$12,3,FALSE)+VLOOKUP($AD$2,'RF Mod'!$I$2:$O$11,3,FALSE)+(TRUNC(6+(24-6)*(TRUNC(MOD(($Z448*1103515245 +12345)/ 65536, 32768),0)/32768),0))</f>
        <v>16</v>
      </c>
      <c r="J448" s="16" t="e">
        <f t="shared" ca="1" si="18"/>
        <v>#NAME?</v>
      </c>
      <c r="K448" s="153">
        <f ca="1">VLOOKUP($AB$2,'RF Mod'!$A$2:$G$12,3,FALSE)+VLOOKUP($AD$2,'RF Mod'!$I$2:$O$11,3,FALSE)+(TRUNC(6+(24-6)*(TRUNC(MOD(($Z448*1103515245 +12345)/ 65536, 32768),0)/32768),0))</f>
        <v>16</v>
      </c>
      <c r="L448" s="16" t="e">
        <f t="shared" ca="1" si="19"/>
        <v>#NAME?</v>
      </c>
      <c r="M448" s="153">
        <f ca="1">VLOOKUP($AB$2,'RF Mod'!$A$2:$G$12,4,FALSE)+VLOOKUP($AD$2,'RF Mod'!$I$2:$O$11,4,FALSE)+(TRUNC(6+(24-6)*(TRUNC(MOD(($Z448*1103515245 +12345)/ 65536, 32768),0)/32768),0))</f>
        <v>15</v>
      </c>
      <c r="N448" s="16" t="e">
        <f t="shared" ca="1" si="20"/>
        <v>#NAME?</v>
      </c>
      <c r="O448" s="153">
        <f ca="1">VLOOKUP($AB$2,'RF Mod'!$A$2:$G$12,5,FALSE)+VLOOKUP($AD$2,'RF Mod'!$I$2:$O$11,5,FALSE)+(TRUNC(6+(24-6)*(TRUNC(MOD(($Z448*1103515245 +12345)/ 65536, 32768),0)/32768),0))</f>
        <v>18</v>
      </c>
      <c r="P448" s="16" t="e">
        <f t="shared" ca="1" si="21"/>
        <v>#NAME?</v>
      </c>
      <c r="Q448" s="153">
        <f ca="1">VLOOKUP($AB$2,'RF Mod'!$A$2:$G$12,6,FALSE)+VLOOKUP($AD$2,'RF Mod'!$I$2:$O$11,6,FALSE)+(TRUNC(6+(24-6)*(TRUNC(MOD(($Z448*1103515245 +12345)/ 65536, 32768),0)/32768),0))</f>
        <v>16</v>
      </c>
      <c r="R448" s="16" t="e">
        <f t="shared" ca="1" si="22"/>
        <v>#NAME?</v>
      </c>
      <c r="S448" s="154">
        <f t="shared" ca="1" si="28"/>
        <v>224</v>
      </c>
      <c r="T448" s="154">
        <f t="shared" ca="1" si="23"/>
        <v>83</v>
      </c>
      <c r="U448" s="16" t="str">
        <f t="shared" ca="1" si="24"/>
        <v>Fine</v>
      </c>
      <c r="V448" s="155">
        <f ca="1">IFERROR(__xludf.DUMMYFUNCTION("if(W448=""Middle Age"",QUERY(NPCVar!$K$2:$N1000, ""Select L where K = '""&amp;AB448&amp;""'""),if(W448=""Old"",QUERY(NPCVar!$K$2:$N1000, ""Select M where K = '""&amp;AB448&amp;""'""),if(W448=""Venerable"",QUERY(NPCVar!$K$2:$N1000, ""Select N where K = '""&amp;AB448&amp;""'""),fa"&amp;"lse)))*X448"),72)</f>
        <v>72</v>
      </c>
      <c r="W448" s="156" t="str">
        <f t="array" ref="W448">INDEX(NPCAgeType,TRUNC(1+(4-1)*(TRUNC(MOD((X448*1103515245 +12345)/ 65536, 32768),0)/32768),0))</f>
        <v>Middle Age</v>
      </c>
      <c r="X448" s="117">
        <f t="shared" si="29"/>
        <v>2.4</v>
      </c>
      <c r="Y448" s="157" t="e">
        <f t="array" aca="1" ref="Y448" ca="1">LOOKUP(ABS(MAX(Z448 + MIN(ABS(INDIRECT("Class Jobs!B"&amp;MATCH(E448,'Class Jobs'!$A$1:$A1000,0)&amp;":"&amp;"AF"&amp;MATCH(E448,'Class Jobs'!$A$1:$A1000,0)&amp;"")-$Z448)) * SUM(IF(MIN(ABS(INDIRECT("Class Jobs!B"&amp;MATCH(E448,'Class Jobs'!$A$1:$A1000,0)&amp;":"&amp;"AF"&amp;MATCH(E448,'Class Jobs'!$A$1:$A1000,0)&amp;"")-$Z448))=ABS(INDIRECT("Class Jobs!B"&amp;MATCH(E448,'Class Jobs'!$A$1:$A1000,0)&amp;":"&amp;"AF"&amp;MATCH(E448,'Class Jobs'!$A$1:$A1000,0)&amp;"")-$Z448),SIGN(INDIRECT("Class Jobs!B"&amp;MATCH(E448,'Class Jobs'!$A$1:A1000,0)&amp;":"&amp;"AF"&amp;MATCH(E448,'Class Jobs'!$A$1:$A1000,0)&amp;"")-$Z448),0)),0)),INDIRECT("Class Jobs!B"&amp;MATCH(E448,'Class Jobs'!$A$1:$A1000,0)&amp;":"&amp;"AF"&amp;MATCH(E448,'Class Jobs'!$A$1:$A1000,1)&amp;""),'Class Jobs'!$B$1:$AF$1)</f>
        <v>#REF!</v>
      </c>
      <c r="Z448" s="158">
        <f t="shared" si="25"/>
        <v>0.96</v>
      </c>
      <c r="AA448" s="16" t="str">
        <f t="array" ref="AA448">INDEX(NPCGender,TRUNC(1+(COUNTA(NPCGender))*(TRUNC(MOD(($B448*1103515245 +12345)/ 65536, 32768),0)/32768),0))</f>
        <v>Neutral</v>
      </c>
      <c r="AB448" s="16" t="str">
        <f t="array" ref="AB448">INDEX(NPCRace,TRUNC(1+(COUNTA(NPCRace))*(TRUNC(MOD(($B448*1103515245 +12345)/ 65536, 32768),0)/32768),0))</f>
        <v>Goliath</v>
      </c>
      <c r="AC448" s="16" t="str">
        <f t="array" ref="AC448">INDEX(NPCAL,TRUNC(1+(COUNTA(NPCAL))*(TRUNC(MOD(($B448*1103515245 +12345)/ 65536, 32768),0)/32768),0))</f>
        <v>LE</v>
      </c>
      <c r="AD448" s="72" t="str">
        <f ca="1">IFERROR(__xludf.DUMMYFUNCTION("if(V448&lt;15,QUERY(NPCVar!C:D,""Select D WHERE C = '""&amp;D448&amp;""'""),if((TRUNC(1+10)*(TRUNC(MOD((ROW(H448)*1103515245 +12345)/ 65536, 32768),0)/32768)/10) &gt; 0.85,INDEX(NPCFaction,TRUNC(1+(counta(NPCFaction)-1)*(TRUNC(MOD(($B448*1103515245 +12345)/ 65536, 3276"&amp;"8),0)/32768),0)),QUERY(NPCVar!C:D,""Select D WHERE C = '""&amp;D448&amp;""'"")))"),"Thieves Guild")</f>
        <v>Thieves Guild</v>
      </c>
      <c r="AE448" s="108" t="e">
        <f t="shared" ca="1" si="26"/>
        <v>#NAME?</v>
      </c>
      <c r="AF448" s="159">
        <f ca="1">IFERROR(__xludf.DUMMYFUNCTION("AE448*(V448 / QUERY(NPCVar!$K$2:$N$12, ""Select N WHERE K='""&amp;AB448&amp;""'""))*TRUNC(1+10)*(TRUNC(MOD(($B448*1103515245 +12345)/ 65536, 32768),0)/32768)"),5.07600585937499)</f>
        <v>5.0760058593749902</v>
      </c>
      <c r="AG448" s="16"/>
      <c r="AH448" s="77"/>
      <c r="AI448" s="114"/>
    </row>
    <row r="449" spans="1:35" ht="16.2">
      <c r="A449" s="53">
        <v>448</v>
      </c>
      <c r="B449" s="118">
        <f t="shared" si="31"/>
        <v>0.86502000000000001</v>
      </c>
      <c r="C449" s="72" t="str">
        <f t="array" ref="C449">INDEX(NPCFName,TRUNC(1+(COUNTA(NPCFName))*(TRUNC(MOD(($B449*1103515245 +12345)/ 65536, 32768),0)/32768),0))</f>
        <v>Fraderk</v>
      </c>
      <c r="D449" s="16" t="str">
        <f t="array" ref="D449">INDEX(NPCLName,TRUNC(1+(COUNTA(NPCLName))*(TRUNC(MOD(($B449*1103515245 +12345)/ 65536, 32768),0)/32768),0))</f>
        <v>Saurflame</v>
      </c>
      <c r="E449" s="16" t="str">
        <f t="array" ref="E449">INDEX(NPCClass,TRUNC(1+(COUNTA(NPCClass))*(TRUNC(MOD(($B449*1103515245 +12345)/ 65536, 32768),0)/32768),0))</f>
        <v>Ranger</v>
      </c>
      <c r="F449" s="76">
        <v>8</v>
      </c>
      <c r="G449" s="153">
        <f ca="1">VLOOKUP($AB$2,'RF Mod'!$A$2:$G$12,2,FALSE)+VLOOKUP($AD$2,'RF Mod'!$I$2:$O$11,2,FALSE)+(TRUNC(6+(24-6)*(TRUNC(MOD(($Z449*1103515245 +12345)/ 65536, 32768),0)/32768),0))</f>
        <v>8</v>
      </c>
      <c r="H449" s="16">
        <f t="shared" ca="1" si="17"/>
        <v>-1</v>
      </c>
      <c r="I449" s="153">
        <f ca="1">VLOOKUP($AB$2,'RF Mod'!$A$2:$G$12,3,FALSE)+VLOOKUP($AD$2,'RF Mod'!$I$2:$O$11,3,FALSE)+(TRUNC(6+(24-6)*(TRUNC(MOD(($Z449*1103515245 +12345)/ 65536, 32768),0)/32768),0))</f>
        <v>12</v>
      </c>
      <c r="J449" s="16" t="e">
        <f t="shared" ca="1" si="18"/>
        <v>#NAME?</v>
      </c>
      <c r="K449" s="153">
        <f ca="1">VLOOKUP($AB$2,'RF Mod'!$A$2:$G$12,3,FALSE)+VLOOKUP($AD$2,'RF Mod'!$I$2:$O$11,3,FALSE)+(TRUNC(6+(24-6)*(TRUNC(MOD(($Z449*1103515245 +12345)/ 65536, 32768),0)/32768),0))</f>
        <v>12</v>
      </c>
      <c r="L449" s="16" t="e">
        <f t="shared" ca="1" si="19"/>
        <v>#NAME?</v>
      </c>
      <c r="M449" s="153">
        <f ca="1">VLOOKUP($AB$2,'RF Mod'!$A$2:$G$12,4,FALSE)+VLOOKUP($AD$2,'RF Mod'!$I$2:$O$11,4,FALSE)+(TRUNC(6+(24-6)*(TRUNC(MOD(($Z449*1103515245 +12345)/ 65536, 32768),0)/32768),0))</f>
        <v>11</v>
      </c>
      <c r="N449" s="16" t="e">
        <f t="shared" ca="1" si="20"/>
        <v>#NAME?</v>
      </c>
      <c r="O449" s="153">
        <f ca="1">VLOOKUP($AB$2,'RF Mod'!$A$2:$G$12,5,FALSE)+VLOOKUP($AD$2,'RF Mod'!$I$2:$O$11,5,FALSE)+(TRUNC(6+(24-6)*(TRUNC(MOD(($Z449*1103515245 +12345)/ 65536, 32768),0)/32768),0))</f>
        <v>14</v>
      </c>
      <c r="P449" s="16" t="e">
        <f t="shared" ca="1" si="21"/>
        <v>#NAME?</v>
      </c>
      <c r="Q449" s="153">
        <f ca="1">VLOOKUP($AB$2,'RF Mod'!$A$2:$G$12,6,FALSE)+VLOOKUP($AD$2,'RF Mod'!$I$2:$O$11,6,FALSE)+(TRUNC(6+(24-6)*(TRUNC(MOD(($Z449*1103515245 +12345)/ 65536, 32768),0)/32768),0))</f>
        <v>12</v>
      </c>
      <c r="R449" s="16" t="e">
        <f t="shared" ca="1" si="22"/>
        <v>#NAME?</v>
      </c>
      <c r="S449" s="154">
        <f t="shared" ca="1" si="28"/>
        <v>144</v>
      </c>
      <c r="T449" s="154">
        <f t="shared" ca="1" si="23"/>
        <v>146</v>
      </c>
      <c r="U449" s="16" t="str">
        <f t="shared" ca="1" si="24"/>
        <v>Dead</v>
      </c>
      <c r="V449" s="155">
        <f ca="1">IFERROR(__xludf.DUMMYFUNCTION("if(W449=""Middle Age"",QUERY(NPCVar!$K$2:$N1000, ""Select L where K = '""&amp;AB449&amp;""'""),if(W449=""Old"",QUERY(NPCVar!$K$2:$N1000, ""Select M where K = '""&amp;AB449&amp;""'""),if(W449=""Venerable"",QUERY(NPCVar!$K$2:$N1000, ""Select N where K = '""&amp;AB449&amp;""'""),fa"&amp;"lse)))*X449"),74.25)</f>
        <v>74.25</v>
      </c>
      <c r="W449" s="156" t="str">
        <f t="array" ref="W449">INDEX(NPCAgeType,TRUNC(1+(4-1)*(TRUNC(MOD((X449*1103515245 +12345)/ 65536, 32768),0)/32768),0))</f>
        <v>Old</v>
      </c>
      <c r="X449" s="117">
        <f t="shared" si="29"/>
        <v>1.1000000000000001</v>
      </c>
      <c r="Y449" s="157" t="e">
        <f t="array" aca="1" ref="Y449" ca="1">LOOKUP(ABS(MAX(Z449 + MIN(ABS(INDIRECT("Class Jobs!B"&amp;MATCH(E449,'Class Jobs'!$A$1:$A1000,0)&amp;":"&amp;"AF"&amp;MATCH(E449,'Class Jobs'!$A$1:$A1000,0)&amp;"")-$Z449)) * SUM(IF(MIN(ABS(INDIRECT("Class Jobs!B"&amp;MATCH(E449,'Class Jobs'!$A$1:$A1000,0)&amp;":"&amp;"AF"&amp;MATCH(E449,'Class Jobs'!$A$1:$A1000,0)&amp;"")-$Z449))=ABS(INDIRECT("Class Jobs!B"&amp;MATCH(E449,'Class Jobs'!$A$1:$A1000,0)&amp;":"&amp;"AF"&amp;MATCH(E449,'Class Jobs'!$A$1:$A1000,0)&amp;"")-$Z449),SIGN(INDIRECT("Class Jobs!B"&amp;MATCH(E449,'Class Jobs'!$A$1:A1000,0)&amp;":"&amp;"AF"&amp;MATCH(E449,'Class Jobs'!$A$1:$A1000,0)&amp;"")-$Z449),0)),0)),INDIRECT("Class Jobs!B"&amp;MATCH(E449,'Class Jobs'!$A$1:$A1000,0)&amp;":"&amp;"AF"&amp;MATCH(E449,'Class Jobs'!$A$1:$A1000,1)&amp;""),'Class Jobs'!$B$1:$AF$1)</f>
        <v>#REF!</v>
      </c>
      <c r="Z449" s="158">
        <f t="shared" si="25"/>
        <v>0.45</v>
      </c>
      <c r="AA449" s="16" t="str">
        <f t="array" ref="AA449">INDEX(NPCGender,TRUNC(1+(COUNTA(NPCGender))*(TRUNC(MOD(($B449*1103515245 +12345)/ 65536, 32768),0)/32768),0))</f>
        <v>Female</v>
      </c>
      <c r="AB449" s="16" t="str">
        <f t="array" ref="AB449">INDEX(NPCRace,TRUNC(1+(COUNTA(NPCRace))*(TRUNC(MOD(($B449*1103515245 +12345)/ 65536, 32768),0)/32768),0))</f>
        <v>Half-Elf</v>
      </c>
      <c r="AC449" s="16" t="str">
        <f t="array" ref="AC449">INDEX(NPCAL,TRUNC(1+(COUNTA(NPCAL))*(TRUNC(MOD(($B449*1103515245 +12345)/ 65536, 32768),0)/32768),0))</f>
        <v>NN</v>
      </c>
      <c r="AD449" s="72" t="str">
        <f ca="1">IFERROR(__xludf.DUMMYFUNCTION("if(V449&lt;15,QUERY(NPCVar!C:D,""Select D WHERE C = '""&amp;D449&amp;""'""),if((TRUNC(1+10)*(TRUNC(MOD((ROW(H449)*1103515245 +12345)/ 65536, 32768),0)/32768)/10) &gt; 0.85,INDEX(NPCFaction,TRUNC(1+(counta(NPCFaction)-1)*(TRUNC(MOD(($B449*1103515245 +12345)/ 65536, 3276"&amp;"8),0)/32768),0)),QUERY(NPCVar!C:D,""Select D WHERE C = '""&amp;D449&amp;""'"")))"),"Farmers Guild")</f>
        <v>Farmers Guild</v>
      </c>
      <c r="AE449" s="108" t="e">
        <f t="shared" ca="1" si="26"/>
        <v>#NAME?</v>
      </c>
      <c r="AF449" s="159">
        <f ca="1">IFERROR(__xludf.DUMMYFUNCTION("AE449*(V449 / QUERY(NPCVar!$K$2:$N$12, ""Select N WHERE K='""&amp;AB449&amp;""'""))*TRUNC(1+10)*(TRUNC(MOD(($B449*1103515245 +12345)/ 65536, 32768),0)/32768)"),0.605060005187988)</f>
        <v>0.60506000518798797</v>
      </c>
      <c r="AG449" s="16"/>
      <c r="AH449" s="77"/>
      <c r="AI449" s="114"/>
    </row>
    <row r="450" spans="1:35" ht="16.2">
      <c r="A450" s="53">
        <v>449</v>
      </c>
      <c r="B450" s="118">
        <f t="shared" ref="B450:B513" si="32">(TRUNC(1+(250000-1)*(TRUNC(MOD(((Seed*ROW())*1103515245 +12345)/ 65536, 32768),0)/32768),0))/100000</f>
        <v>2.3591600000000001</v>
      </c>
      <c r="C450" s="72" t="str">
        <f t="array" ref="C450">INDEX(NPCFName,TRUNC(1+(COUNTA(NPCFName))*(TRUNC(MOD(($B450*1103515245 +12345)/ 65536, 32768),0)/32768),0))</f>
        <v>O’tho</v>
      </c>
      <c r="D450" s="16" t="str">
        <f t="array" ref="D450">INDEX(NPCLName,TRUNC(1+(COUNTA(NPCLName))*(TRUNC(MOD(($B450*1103515245 +12345)/ 65536, 32768),0)/32768),0))</f>
        <v>Stillsun</v>
      </c>
      <c r="E450" s="16" t="str">
        <f t="array" ref="E450">INDEX(NPCClass,TRUNC(1+(COUNTA(NPCClass))*(TRUNC(MOD(($B450*1103515245 +12345)/ 65536, 32768),0)/32768),0))</f>
        <v>Druid</v>
      </c>
      <c r="F450" s="76">
        <v>1</v>
      </c>
      <c r="G450" s="153">
        <f ca="1">VLOOKUP($AB$2,'RF Mod'!$A$2:$G$12,2,FALSE)+VLOOKUP($AD$2,'RF Mod'!$I$2:$O$11,2,FALSE)+(TRUNC(6+(24-6)*(TRUNC(MOD(($Z450*1103515245 +12345)/ 65536, 32768),0)/32768),0))</f>
        <v>6</v>
      </c>
      <c r="H450" s="16">
        <f t="shared" ca="1" si="17"/>
        <v>-2</v>
      </c>
      <c r="I450" s="153">
        <f ca="1">VLOOKUP($AB$2,'RF Mod'!$A$2:$G$12,3,FALSE)+VLOOKUP($AD$2,'RF Mod'!$I$2:$O$11,3,FALSE)+(TRUNC(6+(24-6)*(TRUNC(MOD(($Z450*1103515245 +12345)/ 65536, 32768),0)/32768),0))</f>
        <v>10</v>
      </c>
      <c r="J450" s="16" t="e">
        <f t="shared" ca="1" si="18"/>
        <v>#NAME?</v>
      </c>
      <c r="K450" s="153">
        <f ca="1">VLOOKUP($AB$2,'RF Mod'!$A$2:$G$12,3,FALSE)+VLOOKUP($AD$2,'RF Mod'!$I$2:$O$11,3,FALSE)+(TRUNC(6+(24-6)*(TRUNC(MOD(($Z450*1103515245 +12345)/ 65536, 32768),0)/32768),0))</f>
        <v>10</v>
      </c>
      <c r="L450" s="16" t="e">
        <f t="shared" ca="1" si="19"/>
        <v>#NAME?</v>
      </c>
      <c r="M450" s="153">
        <f ca="1">VLOOKUP($AB$2,'RF Mod'!$A$2:$G$12,4,FALSE)+VLOOKUP($AD$2,'RF Mod'!$I$2:$O$11,4,FALSE)+(TRUNC(6+(24-6)*(TRUNC(MOD(($Z450*1103515245 +12345)/ 65536, 32768),0)/32768),0))</f>
        <v>9</v>
      </c>
      <c r="N450" s="16">
        <f t="shared" ca="1" si="20"/>
        <v>-1</v>
      </c>
      <c r="O450" s="153">
        <f ca="1">VLOOKUP($AB$2,'RF Mod'!$A$2:$G$12,5,FALSE)+VLOOKUP($AD$2,'RF Mod'!$I$2:$O$11,5,FALSE)+(TRUNC(6+(24-6)*(TRUNC(MOD(($Z450*1103515245 +12345)/ 65536, 32768),0)/32768),0))</f>
        <v>12</v>
      </c>
      <c r="P450" s="16" t="e">
        <f t="shared" ca="1" si="21"/>
        <v>#NAME?</v>
      </c>
      <c r="Q450" s="153">
        <f ca="1">VLOOKUP($AB$2,'RF Mod'!$A$2:$G$12,6,FALSE)+VLOOKUP($AD$2,'RF Mod'!$I$2:$O$11,6,FALSE)+(TRUNC(6+(24-6)*(TRUNC(MOD(($Z450*1103515245 +12345)/ 65536, 32768),0)/32768),0))</f>
        <v>10</v>
      </c>
      <c r="R450" s="16" t="e">
        <f t="shared" ca="1" si="22"/>
        <v>#NAME?</v>
      </c>
      <c r="S450" s="154">
        <f t="shared" ca="1" si="28"/>
        <v>12</v>
      </c>
      <c r="T450" s="154">
        <f t="shared" ca="1" si="23"/>
        <v>2</v>
      </c>
      <c r="U450" s="16" t="str">
        <f t="shared" ca="1" si="24"/>
        <v>Fine</v>
      </c>
      <c r="V450" s="155">
        <f ca="1">IFERROR(__xludf.DUMMYFUNCTION("if(W450=""Middle Age"",QUERY(NPCVar!$K$2:$N1000, ""Select L where K = '""&amp;AB450&amp;""'""),if(W450=""Old"",QUERY(NPCVar!$K$2:$N1000, ""Select M where K = '""&amp;AB450&amp;""'""),if(W450=""Venerable"",QUERY(NPCVar!$K$2:$N1000, ""Select N where K = '""&amp;AB450&amp;""'""),fa"&amp;"lse)))*X450"),112.5)</f>
        <v>112.5</v>
      </c>
      <c r="W450" s="156" t="str">
        <f t="array" ref="W450">INDEX(NPCAgeType,TRUNC(1+(4-1)*(TRUNC(MOD((X450*1103515245 +12345)/ 65536, 32768),0)/32768),0))</f>
        <v>Middle Age</v>
      </c>
      <c r="X450" s="117">
        <f t="shared" si="29"/>
        <v>0.6</v>
      </c>
      <c r="Y450" s="157" t="e">
        <f t="array" aca="1" ref="Y450" ca="1">LOOKUP(ABS(MAX(Z450 + MIN(ABS(INDIRECT("Class Jobs!B"&amp;MATCH(E450,'Class Jobs'!$A$1:$A1000,0)&amp;":"&amp;"AF"&amp;MATCH(E450,'Class Jobs'!$A$1:$A1000,0)&amp;"")-$Z450)) * SUM(IF(MIN(ABS(INDIRECT("Class Jobs!B"&amp;MATCH(E450,'Class Jobs'!$A$1:$A1000,0)&amp;":"&amp;"AF"&amp;MATCH(E450,'Class Jobs'!$A$1:$A1000,0)&amp;"")-$Z450))=ABS(INDIRECT("Class Jobs!B"&amp;MATCH(E450,'Class Jobs'!$A$1:$A1000,0)&amp;":"&amp;"AF"&amp;MATCH(E450,'Class Jobs'!$A$1:$A1000,0)&amp;"")-$Z450),SIGN(INDIRECT("Class Jobs!B"&amp;MATCH(E450,'Class Jobs'!$A$1:A1000,0)&amp;":"&amp;"AF"&amp;MATCH(E450,'Class Jobs'!$A$1:$A1000,0)&amp;"")-$Z450),0)),0)),INDIRECT("Class Jobs!B"&amp;MATCH(E450,'Class Jobs'!$A$1:$A1000,0)&amp;":"&amp;"AF"&amp;MATCH(E450,'Class Jobs'!$A$1:$A1000,1)&amp;""),'Class Jobs'!$B$1:$AF$1)</f>
        <v>#REF!</v>
      </c>
      <c r="Z450" s="158">
        <f t="shared" si="25"/>
        <v>0.22</v>
      </c>
      <c r="AA450" s="16" t="str">
        <f t="array" ref="AA450">INDEX(NPCGender,TRUNC(1+(COUNTA(NPCGender))*(TRUNC(MOD(($B450*1103515245 +12345)/ 65536, 32768),0)/32768),0))</f>
        <v>Male</v>
      </c>
      <c r="AB450" s="16" t="str">
        <f t="array" ref="AB450">INDEX(NPCRace,TRUNC(1+(COUNTA(NPCRace))*(TRUNC(MOD(($B450*1103515245 +12345)/ 65536, 32768),0)/32768),0))</f>
        <v>Elf</v>
      </c>
      <c r="AC450" s="16" t="str">
        <f t="array" ref="AC450">INDEX(NPCAL,TRUNC(1+(COUNTA(NPCAL))*(TRUNC(MOD(($B450*1103515245 +12345)/ 65536, 32768),0)/32768),0))</f>
        <v>CE</v>
      </c>
      <c r="AD450" s="72" t="str">
        <f ca="1">IFERROR(__xludf.DUMMYFUNCTION("if(V450&lt;15,QUERY(NPCVar!C:D,""Select D WHERE C = '""&amp;D450&amp;""'""),if((TRUNC(1+10)*(TRUNC(MOD((ROW(H450)*1103515245 +12345)/ 65536, 32768),0)/32768)/10) &gt; 0.85,INDEX(NPCFaction,TRUNC(1+(counta(NPCFaction)-1)*(TRUNC(MOD(($B450*1103515245 +12345)/ 65536, 3276"&amp;"8),0)/32768),0)),QUERY(NPCVar!C:D,""Select D WHERE C = '""&amp;D450&amp;""'"")))"),"Necromancer")</f>
        <v>Necromancer</v>
      </c>
      <c r="AE450" s="108" t="e">
        <f t="shared" ca="1" si="26"/>
        <v>#NAME?</v>
      </c>
      <c r="AF450" s="159">
        <f ca="1">IFERROR(__xludf.DUMMYFUNCTION("AE450*(V450 / QUERY(NPCVar!$K$2:$N$12, ""Select N WHERE K='""&amp;AB450&amp;""'""))*TRUNC(1+10)*(TRUNC(MOD(($B450*1103515245 +12345)/ 65536, 32768),0)/32768)"),0.175131225585937)</f>
        <v>0.17513122558593699</v>
      </c>
      <c r="AG450" s="16"/>
      <c r="AH450" s="77"/>
      <c r="AI450" s="114"/>
    </row>
    <row r="451" spans="1:35" ht="16.2">
      <c r="A451" s="53">
        <v>450</v>
      </c>
      <c r="B451" s="118">
        <f t="shared" si="32"/>
        <v>1.3532999999999999</v>
      </c>
      <c r="C451" s="72" t="str">
        <f t="array" ref="C451">INDEX(NPCFName,TRUNC(1+(COUNTA(NPCFName))*(TRUNC(MOD(($B451*1103515245 +12345)/ 65536, 32768),0)/32768),0))</f>
        <v>Bein</v>
      </c>
      <c r="D451" s="16" t="str">
        <f t="array" ref="D451">INDEX(NPCLName,TRUNC(1+(COUNTA(NPCLName))*(TRUNC(MOD(($B451*1103515245 +12345)/ 65536, 32768),0)/32768),0))</f>
        <v>Emberhell</v>
      </c>
      <c r="E451" s="16" t="str">
        <f t="array" ref="E451">INDEX(NPCClass,TRUNC(1+(COUNTA(NPCClass))*(TRUNC(MOD(($B451*1103515245 +12345)/ 65536, 32768),0)/32768),0))</f>
        <v>None</v>
      </c>
      <c r="F451" s="76">
        <v>8</v>
      </c>
      <c r="G451" s="153">
        <f ca="1">VLOOKUP($AB$2,'RF Mod'!$A$2:$G$12,2,FALSE)+VLOOKUP($AD$2,'RF Mod'!$I$2:$O$11,2,FALSE)+(TRUNC(6+(24-6)*(TRUNC(MOD(($Z451*1103515245 +12345)/ 65536, 32768),0)/32768),0))</f>
        <v>10</v>
      </c>
      <c r="H451" s="16" t="e">
        <f t="shared" ca="1" si="17"/>
        <v>#NAME?</v>
      </c>
      <c r="I451" s="153">
        <f ca="1">VLOOKUP($AB$2,'RF Mod'!$A$2:$G$12,3,FALSE)+VLOOKUP($AD$2,'RF Mod'!$I$2:$O$11,3,FALSE)+(TRUNC(6+(24-6)*(TRUNC(MOD(($Z451*1103515245 +12345)/ 65536, 32768),0)/32768),0))</f>
        <v>14</v>
      </c>
      <c r="J451" s="16" t="e">
        <f t="shared" ca="1" si="18"/>
        <v>#NAME?</v>
      </c>
      <c r="K451" s="153">
        <f ca="1">VLOOKUP($AB$2,'RF Mod'!$A$2:$G$12,3,FALSE)+VLOOKUP($AD$2,'RF Mod'!$I$2:$O$11,3,FALSE)+(TRUNC(6+(24-6)*(TRUNC(MOD(($Z451*1103515245 +12345)/ 65536, 32768),0)/32768),0))</f>
        <v>14</v>
      </c>
      <c r="L451" s="16" t="e">
        <f t="shared" ca="1" si="19"/>
        <v>#NAME?</v>
      </c>
      <c r="M451" s="153">
        <f ca="1">VLOOKUP($AB$2,'RF Mod'!$A$2:$G$12,4,FALSE)+VLOOKUP($AD$2,'RF Mod'!$I$2:$O$11,4,FALSE)+(TRUNC(6+(24-6)*(TRUNC(MOD(($Z451*1103515245 +12345)/ 65536, 32768),0)/32768),0))</f>
        <v>13</v>
      </c>
      <c r="N451" s="16" t="e">
        <f t="shared" ca="1" si="20"/>
        <v>#NAME?</v>
      </c>
      <c r="O451" s="153">
        <f ca="1">VLOOKUP($AB$2,'RF Mod'!$A$2:$G$12,5,FALSE)+VLOOKUP($AD$2,'RF Mod'!$I$2:$O$11,5,FALSE)+(TRUNC(6+(24-6)*(TRUNC(MOD(($Z451*1103515245 +12345)/ 65536, 32768),0)/32768),0))</f>
        <v>16</v>
      </c>
      <c r="P451" s="16" t="e">
        <f t="shared" ca="1" si="21"/>
        <v>#NAME?</v>
      </c>
      <c r="Q451" s="153">
        <f ca="1">VLOOKUP($AB$2,'RF Mod'!$A$2:$G$12,6,FALSE)+VLOOKUP($AD$2,'RF Mod'!$I$2:$O$11,6,FALSE)+(TRUNC(6+(24-6)*(TRUNC(MOD(($Z451*1103515245 +12345)/ 65536, 32768),0)/32768),0))</f>
        <v>14</v>
      </c>
      <c r="R451" s="16" t="e">
        <f t="shared" ca="1" si="22"/>
        <v>#NAME?</v>
      </c>
      <c r="S451" s="154">
        <f t="shared" ca="1" si="28"/>
        <v>224</v>
      </c>
      <c r="T451" s="154">
        <f t="shared" ca="1" si="23"/>
        <v>154</v>
      </c>
      <c r="U451" s="16" t="str">
        <f t="shared" ca="1" si="24"/>
        <v>Bloody</v>
      </c>
      <c r="V451" s="155">
        <f ca="1">IFERROR(__xludf.DUMMYFUNCTION("if(W451=""Middle Age"",QUERY(NPCVar!$K$2:$N1000, ""Select L where K = '""&amp;AB451&amp;""'""),if(W451=""Old"",QUERY(NPCVar!$K$2:$N1000, ""Select M where K = '""&amp;AB451&amp;""'""),if(W451=""Venerable"",QUERY(NPCVar!$K$2:$N1000, ""Select N where K = '""&amp;AB451&amp;""'""),fa"&amp;"lse)))*X451"),153)</f>
        <v>153</v>
      </c>
      <c r="W451" s="156" t="str">
        <f t="array" ref="W451">INDEX(NPCAgeType,TRUNC(1+(4-1)*(TRUNC(MOD((X451*1103515245 +12345)/ 65536, 32768),0)/32768),0))</f>
        <v>Venerable</v>
      </c>
      <c r="X451" s="117">
        <f t="shared" si="29"/>
        <v>1.7</v>
      </c>
      <c r="Y451" s="157" t="e">
        <f t="array" aca="1" ref="Y451" ca="1">LOOKUP(ABS(MAX(Z451 + MIN(ABS(INDIRECT("Class Jobs!B"&amp;MATCH(E451,'Class Jobs'!$A$1:$A1000,0)&amp;":"&amp;"AF"&amp;MATCH(E451,'Class Jobs'!$A$1:$A1000,0)&amp;"")-$Z451)) * SUM(IF(MIN(ABS(INDIRECT("Class Jobs!B"&amp;MATCH(E451,'Class Jobs'!$A$1:$A1000,0)&amp;":"&amp;"AF"&amp;MATCH(E451,'Class Jobs'!$A$1:$A1000,0)&amp;"")-$Z451))=ABS(INDIRECT("Class Jobs!B"&amp;MATCH(E451,'Class Jobs'!$A$1:$A1000,0)&amp;":"&amp;"AF"&amp;MATCH(E451,'Class Jobs'!$A$1:$A1000,0)&amp;"")-$Z451),SIGN(INDIRECT("Class Jobs!B"&amp;MATCH(E451,'Class Jobs'!$A$1:A1000,0)&amp;":"&amp;"AF"&amp;MATCH(E451,'Class Jobs'!$A$1:$A1000,0)&amp;"")-$Z451),0)),0)),INDIRECT("Class Jobs!B"&amp;MATCH(E451,'Class Jobs'!$A$1:$A1000,0)&amp;":"&amp;"AF"&amp;MATCH(E451,'Class Jobs'!$A$1:$A1000,1)&amp;""),'Class Jobs'!$B$1:$AF$1)</f>
        <v>#REF!</v>
      </c>
      <c r="Z451" s="158">
        <f t="shared" si="25"/>
        <v>0.69</v>
      </c>
      <c r="AA451" s="16" t="str">
        <f t="array" ref="AA451">INDEX(NPCGender,TRUNC(1+(COUNTA(NPCGender))*(TRUNC(MOD(($B451*1103515245 +12345)/ 65536, 32768),0)/32768),0))</f>
        <v>Neutral</v>
      </c>
      <c r="AB451" s="16" t="str">
        <f t="array" ref="AB451">INDEX(NPCRace,TRUNC(1+(COUNTA(NPCRace))*(TRUNC(MOD(($B451*1103515245 +12345)/ 65536, 32768),0)/32768),0))</f>
        <v>Human</v>
      </c>
      <c r="AC451" s="16" t="str">
        <f t="array" ref="AC451">INDEX(NPCAL,TRUNC(1+(COUNTA(NPCAL))*(TRUNC(MOD(($B451*1103515245 +12345)/ 65536, 32768),0)/32768),0))</f>
        <v>LG</v>
      </c>
      <c r="AD451" s="72" t="str">
        <f ca="1">IFERROR(__xludf.DUMMYFUNCTION("if(V451&lt;15,QUERY(NPCVar!C:D,""Select D WHERE C = '""&amp;D451&amp;""'""),if((TRUNC(1+10)*(TRUNC(MOD((ROW(H451)*1103515245 +12345)/ 65536, 32768),0)/32768)/10) &gt; 0.85,INDEX(NPCFaction,TRUNC(1+(counta(NPCFaction)-1)*(TRUNC(MOD(($B451*1103515245 +12345)/ 65536, 3276"&amp;"8),0)/32768),0)),QUERY(NPCVar!C:D,""Select D WHERE C = '""&amp;D451&amp;""'"")))"),"Adventures Guild")</f>
        <v>Adventures Guild</v>
      </c>
      <c r="AE451" s="108" t="e">
        <f t="shared" ca="1" si="26"/>
        <v>#NAME?</v>
      </c>
      <c r="AF451" s="159">
        <f ca="1">IFERROR(__xludf.DUMMYFUNCTION("AE451*(V451 / QUERY(NPCVar!$K$2:$N$12, ""Select N WHERE K='""&amp;AB451&amp;""'""))*TRUNC(1+10)*(TRUNC(MOD(($B451*1103515245 +12345)/ 65536, 32768),0)/32768)"),5.20162231445312)</f>
        <v>5.20162231445312</v>
      </c>
      <c r="AG451" s="16"/>
      <c r="AH451" s="77"/>
      <c r="AI451" s="114"/>
    </row>
    <row r="452" spans="1:35" ht="16.2">
      <c r="A452" s="53">
        <v>451</v>
      </c>
      <c r="B452" s="118">
        <f t="shared" si="32"/>
        <v>0.34744999999999998</v>
      </c>
      <c r="C452" s="72" t="str">
        <f t="array" ref="C452">INDEX(NPCFName,TRUNC(1+(COUNTA(NPCFName))*(TRUNC(MOD(($B452*1103515245 +12345)/ 65536, 32768),0)/32768),0))</f>
        <v>Ludokrin</v>
      </c>
      <c r="D452" s="16" t="str">
        <f t="array" ref="D452">INDEX(NPCLName,TRUNC(1+(COUNTA(NPCLName))*(TRUNC(MOD(($B452*1103515245 +12345)/ 65536, 32768),0)/32768),0))</f>
        <v>Ashcloud</v>
      </c>
      <c r="E452" s="16" t="str">
        <f t="array" ref="E452">INDEX(NPCClass,TRUNC(1+(COUNTA(NPCClass))*(TRUNC(MOD(($B452*1103515245 +12345)/ 65536, 32768),0)/32768),0))</f>
        <v>Druid</v>
      </c>
      <c r="F452" s="76">
        <v>1</v>
      </c>
      <c r="G452" s="153">
        <f ca="1">VLOOKUP($AB$2,'RF Mod'!$A$2:$G$12,2,FALSE)+VLOOKUP($AD$2,'RF Mod'!$I$2:$O$11,2,FALSE)+(TRUNC(6+(24-6)*(TRUNC(MOD(($Z452*1103515245 +12345)/ 65536, 32768),0)/32768),0))</f>
        <v>5</v>
      </c>
      <c r="H452" s="16">
        <f t="shared" ca="1" si="17"/>
        <v>-3</v>
      </c>
      <c r="I452" s="153">
        <f ca="1">VLOOKUP($AB$2,'RF Mod'!$A$2:$G$12,3,FALSE)+VLOOKUP($AD$2,'RF Mod'!$I$2:$O$11,3,FALSE)+(TRUNC(6+(24-6)*(TRUNC(MOD(($Z452*1103515245 +12345)/ 65536, 32768),0)/32768),0))</f>
        <v>9</v>
      </c>
      <c r="J452" s="16">
        <f t="shared" ca="1" si="18"/>
        <v>-1</v>
      </c>
      <c r="K452" s="153">
        <f ca="1">VLOOKUP($AB$2,'RF Mod'!$A$2:$G$12,3,FALSE)+VLOOKUP($AD$2,'RF Mod'!$I$2:$O$11,3,FALSE)+(TRUNC(6+(24-6)*(TRUNC(MOD(($Z452*1103515245 +12345)/ 65536, 32768),0)/32768),0))</f>
        <v>9</v>
      </c>
      <c r="L452" s="16">
        <f t="shared" ca="1" si="19"/>
        <v>-1</v>
      </c>
      <c r="M452" s="153">
        <f ca="1">VLOOKUP($AB$2,'RF Mod'!$A$2:$G$12,4,FALSE)+VLOOKUP($AD$2,'RF Mod'!$I$2:$O$11,4,FALSE)+(TRUNC(6+(24-6)*(TRUNC(MOD(($Z452*1103515245 +12345)/ 65536, 32768),0)/32768),0))</f>
        <v>8</v>
      </c>
      <c r="N452" s="16">
        <f t="shared" ca="1" si="20"/>
        <v>-1</v>
      </c>
      <c r="O452" s="153">
        <f ca="1">VLOOKUP($AB$2,'RF Mod'!$A$2:$G$12,5,FALSE)+VLOOKUP($AD$2,'RF Mod'!$I$2:$O$11,5,FALSE)+(TRUNC(6+(24-6)*(TRUNC(MOD(($Z452*1103515245 +12345)/ 65536, 32768),0)/32768),0))</f>
        <v>11</v>
      </c>
      <c r="P452" s="16" t="e">
        <f t="shared" ca="1" si="21"/>
        <v>#NAME?</v>
      </c>
      <c r="Q452" s="153">
        <f ca="1">VLOOKUP($AB$2,'RF Mod'!$A$2:$G$12,6,FALSE)+VLOOKUP($AD$2,'RF Mod'!$I$2:$O$11,6,FALSE)+(TRUNC(6+(24-6)*(TRUNC(MOD(($Z452*1103515245 +12345)/ 65536, 32768),0)/32768),0))</f>
        <v>9</v>
      </c>
      <c r="R452" s="16">
        <f t="shared" ca="1" si="22"/>
        <v>-1</v>
      </c>
      <c r="S452" s="154">
        <f t="shared" ca="1" si="28"/>
        <v>11</v>
      </c>
      <c r="T452" s="154">
        <f t="shared" ca="1" si="23"/>
        <v>6</v>
      </c>
      <c r="U452" s="16" t="str">
        <f t="shared" ca="1" si="24"/>
        <v>Bloody</v>
      </c>
      <c r="V452" s="155">
        <f ca="1">IFERROR(__xludf.DUMMYFUNCTION("if(W452=""Middle Age"",QUERY(NPCVar!$K$2:$N1000, ""Select L where K = '""&amp;AB452&amp;""'""),if(W452=""Old"",QUERY(NPCVar!$K$2:$N1000, ""Select M where K = '""&amp;AB452&amp;""'""),if(W452=""Venerable"",QUERY(NPCVar!$K$2:$N1000, ""Select N where K = '""&amp;AB452&amp;""'""),fa"&amp;"lse)))*X452"),40)</f>
        <v>40</v>
      </c>
      <c r="W452" s="156" t="str">
        <f t="array" ref="W452">INDEX(NPCAgeType,TRUNC(1+(4-1)*(TRUNC(MOD((X452*1103515245 +12345)/ 65536, 32768),0)/32768),0))</f>
        <v>Middle Age</v>
      </c>
      <c r="X452" s="117">
        <f t="shared" si="29"/>
        <v>0.5</v>
      </c>
      <c r="Y452" s="157" t="e">
        <f t="array" aca="1" ref="Y452" ca="1">LOOKUP(ABS(MAX(Z452 + MIN(ABS(INDIRECT("Class Jobs!B"&amp;MATCH(E452,'Class Jobs'!$A$1:$A1000,0)&amp;":"&amp;"AF"&amp;MATCH(E452,'Class Jobs'!$A$1:$A1000,0)&amp;"")-$Z452)) * SUM(IF(MIN(ABS(INDIRECT("Class Jobs!B"&amp;MATCH(E452,'Class Jobs'!$A$1:$A1000,0)&amp;":"&amp;"AF"&amp;MATCH(E452,'Class Jobs'!$A$1:$A1000,0)&amp;"")-$Z452))=ABS(INDIRECT("Class Jobs!B"&amp;MATCH(E452,'Class Jobs'!$A$1:$A1000,0)&amp;":"&amp;"AF"&amp;MATCH(E452,'Class Jobs'!$A$1:$A1000,0)&amp;"")-$Z452),SIGN(INDIRECT("Class Jobs!B"&amp;MATCH(E452,'Class Jobs'!$A$1:A1000,0)&amp;":"&amp;"AF"&amp;MATCH(E452,'Class Jobs'!$A$1:$A1000,0)&amp;"")-$Z452),0)),0)),INDIRECT("Class Jobs!B"&amp;MATCH(E452,'Class Jobs'!$A$1:$A1000,0)&amp;":"&amp;"AF"&amp;MATCH(E452,'Class Jobs'!$A$1:$A1000,1)&amp;""),'Class Jobs'!$B$1:$AF$1)</f>
        <v>#REF!</v>
      </c>
      <c r="Z452" s="158">
        <f t="shared" si="25"/>
        <v>0.18</v>
      </c>
      <c r="AA452" s="16" t="str">
        <f t="array" ref="AA452">INDEX(NPCGender,TRUNC(1+(COUNTA(NPCGender))*(TRUNC(MOD(($B452*1103515245 +12345)/ 65536, 32768),0)/32768),0))</f>
        <v>Male</v>
      </c>
      <c r="AB452" s="16" t="str">
        <f t="array" ref="AB452">INDEX(NPCRace,TRUNC(1+(COUNTA(NPCRace))*(TRUNC(MOD(($B452*1103515245 +12345)/ 65536, 32768),0)/32768),0))</f>
        <v>Dwarf</v>
      </c>
      <c r="AC452" s="16" t="str">
        <f t="array" ref="AC452">INDEX(NPCAL,TRUNC(1+(COUNTA(NPCAL))*(TRUNC(MOD(($B452*1103515245 +12345)/ 65536, 32768),0)/32768),0))</f>
        <v>CE</v>
      </c>
      <c r="AD452" s="72" t="str">
        <f ca="1">IFERROR(__xludf.DUMMYFUNCTION("if(V452&lt;15,QUERY(NPCVar!C:D,""Select D WHERE C = '""&amp;D452&amp;""'""),if((TRUNC(1+10)*(TRUNC(MOD((ROW(H452)*1103515245 +12345)/ 65536, 32768),0)/32768)/10) &gt; 0.85,INDEX(NPCFaction,TRUNC(1+(counta(NPCFaction)-1)*(TRUNC(MOD(($B452*1103515245 +12345)/ 65536, 3276"&amp;"8),0)/32768),0)),QUERY(NPCVar!C:D,""Select D WHERE C = '""&amp;D452&amp;""'"")))"),"Magic Guild")</f>
        <v>Magic Guild</v>
      </c>
      <c r="AE452" s="108" t="e">
        <f t="shared" ca="1" si="26"/>
        <v>#NAME?</v>
      </c>
      <c r="AF452" s="159">
        <f ca="1">IFERROR(__xludf.DUMMYFUNCTION("AE452*(V452 / QUERY(NPCVar!$K$2:$N$12, ""Select N WHERE K='""&amp;AB452&amp;""'""))*TRUNC(1+10)*(TRUNC(MOD(($B452*1103515245 +12345)/ 65536, 32768),0)/32768)"),0.0981903076171874)</f>
        <v>9.8190307617187403E-2</v>
      </c>
      <c r="AG452" s="16"/>
      <c r="AH452" s="77"/>
      <c r="AI452" s="114"/>
    </row>
    <row r="453" spans="1:35" ht="16.2">
      <c r="A453" s="53">
        <v>452</v>
      </c>
      <c r="B453" s="118">
        <f t="shared" si="32"/>
        <v>1.8414999999999999</v>
      </c>
      <c r="C453" s="72" t="str">
        <f t="array" ref="C453">INDEX(NPCFName,TRUNC(1+(COUNTA(NPCFName))*(TRUNC(MOD(($B453*1103515245 +12345)/ 65536, 32768),0)/32768),0))</f>
        <v>Teslanar</v>
      </c>
      <c r="D453" s="16" t="str">
        <f t="array" ref="D453">INDEX(NPCLName,TRUNC(1+(COUNTA(NPCLName))*(TRUNC(MOD(($B453*1103515245 +12345)/ 65536, 32768),0)/32768),0))</f>
        <v>Marblearm</v>
      </c>
      <c r="E453" s="16" t="str">
        <f t="array" ref="E453">INDEX(NPCClass,TRUNC(1+(COUNTA(NPCClass))*(TRUNC(MOD(($B453*1103515245 +12345)/ 65536, 32768),0)/32768),0))</f>
        <v>Wizard</v>
      </c>
      <c r="F453" s="76">
        <v>8</v>
      </c>
      <c r="G453" s="153">
        <f ca="1">VLOOKUP($AB$2,'RF Mod'!$A$2:$G$12,2,FALSE)+VLOOKUP($AD$2,'RF Mod'!$I$2:$O$11,2,FALSE)+(TRUNC(6+(24-6)*(TRUNC(MOD(($Z453*1103515245 +12345)/ 65536, 32768),0)/32768),0))</f>
        <v>12</v>
      </c>
      <c r="H453" s="16" t="e">
        <f t="shared" ca="1" si="17"/>
        <v>#NAME?</v>
      </c>
      <c r="I453" s="153">
        <f ca="1">VLOOKUP($AB$2,'RF Mod'!$A$2:$G$12,3,FALSE)+VLOOKUP($AD$2,'RF Mod'!$I$2:$O$11,3,FALSE)+(TRUNC(6+(24-6)*(TRUNC(MOD(($Z453*1103515245 +12345)/ 65536, 32768),0)/32768),0))</f>
        <v>16</v>
      </c>
      <c r="J453" s="16" t="e">
        <f t="shared" ca="1" si="18"/>
        <v>#NAME?</v>
      </c>
      <c r="K453" s="153">
        <f ca="1">VLOOKUP($AB$2,'RF Mod'!$A$2:$G$12,3,FALSE)+VLOOKUP($AD$2,'RF Mod'!$I$2:$O$11,3,FALSE)+(TRUNC(6+(24-6)*(TRUNC(MOD(($Z453*1103515245 +12345)/ 65536, 32768),0)/32768),0))</f>
        <v>16</v>
      </c>
      <c r="L453" s="16" t="e">
        <f t="shared" ca="1" si="19"/>
        <v>#NAME?</v>
      </c>
      <c r="M453" s="153">
        <f ca="1">VLOOKUP($AB$2,'RF Mod'!$A$2:$G$12,4,FALSE)+VLOOKUP($AD$2,'RF Mod'!$I$2:$O$11,4,FALSE)+(TRUNC(6+(24-6)*(TRUNC(MOD(($Z453*1103515245 +12345)/ 65536, 32768),0)/32768),0))</f>
        <v>15</v>
      </c>
      <c r="N453" s="16" t="e">
        <f t="shared" ca="1" si="20"/>
        <v>#NAME?</v>
      </c>
      <c r="O453" s="153">
        <f ca="1">VLOOKUP($AB$2,'RF Mod'!$A$2:$G$12,5,FALSE)+VLOOKUP($AD$2,'RF Mod'!$I$2:$O$11,5,FALSE)+(TRUNC(6+(24-6)*(TRUNC(MOD(($Z453*1103515245 +12345)/ 65536, 32768),0)/32768),0))</f>
        <v>18</v>
      </c>
      <c r="P453" s="16" t="e">
        <f t="shared" ca="1" si="21"/>
        <v>#NAME?</v>
      </c>
      <c r="Q453" s="153">
        <f ca="1">VLOOKUP($AB$2,'RF Mod'!$A$2:$G$12,6,FALSE)+VLOOKUP($AD$2,'RF Mod'!$I$2:$O$11,6,FALSE)+(TRUNC(6+(24-6)*(TRUNC(MOD(($Z453*1103515245 +12345)/ 65536, 32768),0)/32768),0))</f>
        <v>16</v>
      </c>
      <c r="R453" s="16" t="e">
        <f t="shared" ca="1" si="22"/>
        <v>#NAME?</v>
      </c>
      <c r="S453" s="154">
        <f t="shared" ca="1" si="28"/>
        <v>176</v>
      </c>
      <c r="T453" s="154">
        <f t="shared" ca="1" si="23"/>
        <v>92</v>
      </c>
      <c r="U453" s="16" t="str">
        <f t="shared" ca="1" si="24"/>
        <v>Bloody</v>
      </c>
      <c r="V453" s="155">
        <f ca="1">IFERROR(__xludf.DUMMYFUNCTION("if(W453=""Middle Age"",QUERY(NPCVar!$K$2:$N1000, ""Select L where K = '""&amp;AB453&amp;""'""),if(W453=""Old"",QUERY(NPCVar!$K$2:$N1000, ""Select M where K = '""&amp;AB453&amp;""'""),if(W453=""Venerable"",QUERY(NPCVar!$K$2:$N1000, ""Select N where K = '""&amp;AB453&amp;""'""),fa"&amp;"lse)))*X453"),69)</f>
        <v>69</v>
      </c>
      <c r="W453" s="156" t="str">
        <f t="array" ref="W453">INDEX(NPCAgeType,TRUNC(1+(4-1)*(TRUNC(MOD((X453*1103515245 +12345)/ 65536, 32768),0)/32768),0))</f>
        <v>Middle Age</v>
      </c>
      <c r="X453" s="117">
        <f t="shared" si="29"/>
        <v>2.2999999999999998</v>
      </c>
      <c r="Y453" s="157" t="e">
        <f t="array" aca="1" ref="Y453" ca="1">LOOKUP(ABS(MAX(Z453 + MIN(ABS(INDIRECT("Class Jobs!B"&amp;MATCH(E453,'Class Jobs'!$A$1:$A1000,0)&amp;":"&amp;"AF"&amp;MATCH(E453,'Class Jobs'!$A$1:$A1000,0)&amp;"")-$Z453)) * SUM(IF(MIN(ABS(INDIRECT("Class Jobs!B"&amp;MATCH(E453,'Class Jobs'!$A$1:$A1000,0)&amp;":"&amp;"AF"&amp;MATCH(E453,'Class Jobs'!$A$1:$A1000,0)&amp;"")-$Z453))=ABS(INDIRECT("Class Jobs!B"&amp;MATCH(E453,'Class Jobs'!$A$1:$A1000,0)&amp;":"&amp;"AF"&amp;MATCH(E453,'Class Jobs'!$A$1:$A1000,0)&amp;"")-$Z453),SIGN(INDIRECT("Class Jobs!B"&amp;MATCH(E453,'Class Jobs'!$A$1:A1000,0)&amp;":"&amp;"AF"&amp;MATCH(E453,'Class Jobs'!$A$1:$A1000,0)&amp;"")-$Z453),0)),0)),INDIRECT("Class Jobs!B"&amp;MATCH(E453,'Class Jobs'!$A$1:$A1000,0)&amp;":"&amp;"AF"&amp;MATCH(E453,'Class Jobs'!$A$1:$A1000,1)&amp;""),'Class Jobs'!$B$1:$AF$1)</f>
        <v>#REF!</v>
      </c>
      <c r="Z453" s="158">
        <f t="shared" si="25"/>
        <v>0.94</v>
      </c>
      <c r="AA453" s="16" t="str">
        <f t="array" ref="AA453">INDEX(NPCGender,TRUNC(1+(COUNTA(NPCGender))*(TRUNC(MOD(($B453*1103515245 +12345)/ 65536, 32768),0)/32768),0))</f>
        <v>Neutral</v>
      </c>
      <c r="AB453" s="16" t="str">
        <f t="array" ref="AB453">INDEX(NPCRace,TRUNC(1+(COUNTA(NPCRace))*(TRUNC(MOD(($B453*1103515245 +12345)/ 65536, 32768),0)/32768),0))</f>
        <v>Goliath</v>
      </c>
      <c r="AC453" s="16" t="str">
        <f t="array" ref="AC453">INDEX(NPCAL,TRUNC(1+(COUNTA(NPCAL))*(TRUNC(MOD(($B453*1103515245 +12345)/ 65536, 32768),0)/32768),0))</f>
        <v>LE</v>
      </c>
      <c r="AD453" s="72" t="str">
        <f ca="1">IFERROR(__xludf.DUMMYFUNCTION("if(V453&lt;15,QUERY(NPCVar!C:D,""Select D WHERE C = '""&amp;D453&amp;""'""),if((TRUNC(1+10)*(TRUNC(MOD((ROW(H453)*1103515245 +12345)/ 65536, 32768),0)/32768)/10) &gt; 0.85,INDEX(NPCFaction,TRUNC(1+(counta(NPCFaction)-1)*(TRUNC(MOD(($B453*1103515245 +12345)/ 65536, 3276"&amp;"8),0)/32768),0)),QUERY(NPCVar!C:D,""Select D WHERE C = '""&amp;D453&amp;""'"")))"),"Traverlers Guild")</f>
        <v>Traverlers Guild</v>
      </c>
      <c r="AE453" s="108" t="e">
        <f t="shared" ca="1" si="26"/>
        <v>#NAME?</v>
      </c>
      <c r="AF453" s="159">
        <f ca="1">IFERROR(__xludf.DUMMYFUNCTION("AE453*(V453 / QUERY(NPCVar!$K$2:$N$12, ""Select N WHERE K='""&amp;AB453&amp;""'""))*TRUNC(1+10)*(TRUNC(MOD(($B453*1103515245 +12345)/ 65536, 32768),0)/32768)"),2.39403411865234)</f>
        <v>2.3940341186523399</v>
      </c>
      <c r="AG453" s="16"/>
      <c r="AH453" s="77"/>
      <c r="AI453" s="114"/>
    </row>
    <row r="454" spans="1:35" ht="16.2">
      <c r="A454" s="53">
        <v>453</v>
      </c>
      <c r="B454" s="118">
        <f t="shared" si="32"/>
        <v>0.83565</v>
      </c>
      <c r="C454" s="72" t="str">
        <f t="array" ref="C454">INDEX(NPCFName,TRUNC(1+(COUNTA(NPCFName))*(TRUNC(MOD(($B454*1103515245 +12345)/ 65536, 32768),0)/32768),0))</f>
        <v>Erikarn</v>
      </c>
      <c r="D454" s="16" t="str">
        <f t="array" ref="D454">INDEX(NPCLName,TRUNC(1+(COUNTA(NPCLName))*(TRUNC(MOD(($B454*1103515245 +12345)/ 65536, 32768),0)/32768),0))</f>
        <v>Windshade</v>
      </c>
      <c r="E454" s="16" t="str">
        <f t="array" ref="E454">INDEX(NPCClass,TRUNC(1+(COUNTA(NPCClass))*(TRUNC(MOD(($B454*1103515245 +12345)/ 65536, 32768),0)/32768),0))</f>
        <v>Ranger</v>
      </c>
      <c r="F454" s="76">
        <v>1</v>
      </c>
      <c r="G454" s="153">
        <f ca="1">VLOOKUP($AB$2,'RF Mod'!$A$2:$G$12,2,FALSE)+VLOOKUP($AD$2,'RF Mod'!$I$2:$O$11,2,FALSE)+(TRUNC(6+(24-6)*(TRUNC(MOD(($Z454*1103515245 +12345)/ 65536, 32768),0)/32768),0))</f>
        <v>7</v>
      </c>
      <c r="H454" s="16">
        <f t="shared" ca="1" si="17"/>
        <v>-2</v>
      </c>
      <c r="I454" s="153">
        <f ca="1">VLOOKUP($AB$2,'RF Mod'!$A$2:$G$12,3,FALSE)+VLOOKUP($AD$2,'RF Mod'!$I$2:$O$11,3,FALSE)+(TRUNC(6+(24-6)*(TRUNC(MOD(($Z454*1103515245 +12345)/ 65536, 32768),0)/32768),0))</f>
        <v>11</v>
      </c>
      <c r="J454" s="16" t="e">
        <f t="shared" ca="1" si="18"/>
        <v>#NAME?</v>
      </c>
      <c r="K454" s="153">
        <f ca="1">VLOOKUP($AB$2,'RF Mod'!$A$2:$G$12,3,FALSE)+VLOOKUP($AD$2,'RF Mod'!$I$2:$O$11,3,FALSE)+(TRUNC(6+(24-6)*(TRUNC(MOD(($Z454*1103515245 +12345)/ 65536, 32768),0)/32768),0))</f>
        <v>11</v>
      </c>
      <c r="L454" s="16" t="e">
        <f t="shared" ca="1" si="19"/>
        <v>#NAME?</v>
      </c>
      <c r="M454" s="153">
        <f ca="1">VLOOKUP($AB$2,'RF Mod'!$A$2:$G$12,4,FALSE)+VLOOKUP($AD$2,'RF Mod'!$I$2:$O$11,4,FALSE)+(TRUNC(6+(24-6)*(TRUNC(MOD(($Z454*1103515245 +12345)/ 65536, 32768),0)/32768),0))</f>
        <v>10</v>
      </c>
      <c r="N454" s="16" t="e">
        <f t="shared" ca="1" si="20"/>
        <v>#NAME?</v>
      </c>
      <c r="O454" s="153">
        <f ca="1">VLOOKUP($AB$2,'RF Mod'!$A$2:$G$12,5,FALSE)+VLOOKUP($AD$2,'RF Mod'!$I$2:$O$11,5,FALSE)+(TRUNC(6+(24-6)*(TRUNC(MOD(($Z454*1103515245 +12345)/ 65536, 32768),0)/32768),0))</f>
        <v>13</v>
      </c>
      <c r="P454" s="16" t="e">
        <f t="shared" ca="1" si="21"/>
        <v>#NAME?</v>
      </c>
      <c r="Q454" s="153">
        <f ca="1">VLOOKUP($AB$2,'RF Mod'!$A$2:$G$12,6,FALSE)+VLOOKUP($AD$2,'RF Mod'!$I$2:$O$11,6,FALSE)+(TRUNC(6+(24-6)*(TRUNC(MOD(($Z454*1103515245 +12345)/ 65536, 32768),0)/32768),0))</f>
        <v>11</v>
      </c>
      <c r="R454" s="16" t="e">
        <f t="shared" ca="1" si="22"/>
        <v>#NAME?</v>
      </c>
      <c r="S454" s="154">
        <f t="shared" ca="1" si="28"/>
        <v>25</v>
      </c>
      <c r="T454" s="154">
        <f t="shared" ca="1" si="23"/>
        <v>27</v>
      </c>
      <c r="U454" s="16" t="str">
        <f t="shared" ca="1" si="24"/>
        <v>Dead</v>
      </c>
      <c r="V454" s="155">
        <f ca="1">IFERROR(__xludf.DUMMYFUNCTION("if(W454=""Middle Age"",QUERY(NPCVar!$K$2:$N1000, ""Select L where K = '""&amp;AB454&amp;""'""),if(W454=""Old"",QUERY(NPCVar!$K$2:$N1000, ""Select M where K = '""&amp;AB454&amp;""'""),if(W454=""Venerable"",QUERY(NPCVar!$K$2:$N1000, ""Select N where K = '""&amp;AB454&amp;""'""),fa"&amp;"lse)))*X454"),74.25)</f>
        <v>74.25</v>
      </c>
      <c r="W454" s="156" t="str">
        <f t="array" ref="W454">INDEX(NPCAgeType,TRUNC(1+(4-1)*(TRUNC(MOD((X454*1103515245 +12345)/ 65536, 32768),0)/32768),0))</f>
        <v>Old</v>
      </c>
      <c r="X454" s="117">
        <f t="shared" si="29"/>
        <v>1.1000000000000001</v>
      </c>
      <c r="Y454" s="157" t="e">
        <f t="array" aca="1" ref="Y454" ca="1">LOOKUP(ABS(MAX(Z454 + MIN(ABS(INDIRECT("Class Jobs!B"&amp;MATCH(E454,'Class Jobs'!$A$1:$A1000,0)&amp;":"&amp;"AF"&amp;MATCH(E454,'Class Jobs'!$A$1:$A1000,0)&amp;"")-$Z454)) * SUM(IF(MIN(ABS(INDIRECT("Class Jobs!B"&amp;MATCH(E454,'Class Jobs'!$A$1:$A1000,0)&amp;":"&amp;"AF"&amp;MATCH(E454,'Class Jobs'!$A$1:$A1000,0)&amp;"")-$Z454))=ABS(INDIRECT("Class Jobs!B"&amp;MATCH(E454,'Class Jobs'!$A$1:$A1000,0)&amp;":"&amp;"AF"&amp;MATCH(E454,'Class Jobs'!$A$1:$A1000,0)&amp;"")-$Z454),SIGN(INDIRECT("Class Jobs!B"&amp;MATCH(E454,'Class Jobs'!$A$1:A1000,0)&amp;":"&amp;"AF"&amp;MATCH(E454,'Class Jobs'!$A$1:$A1000,0)&amp;"")-$Z454),0)),0)),INDIRECT("Class Jobs!B"&amp;MATCH(E454,'Class Jobs'!$A$1:$A1000,0)&amp;":"&amp;"AF"&amp;MATCH(E454,'Class Jobs'!$A$1:$A1000,1)&amp;""),'Class Jobs'!$B$1:$AF$1)</f>
        <v>#REF!</v>
      </c>
      <c r="Z454" s="158">
        <f t="shared" si="25"/>
        <v>0.43</v>
      </c>
      <c r="AA454" s="16" t="str">
        <f t="array" ref="AA454">INDEX(NPCGender,TRUNC(1+(COUNTA(NPCGender))*(TRUNC(MOD(($B454*1103515245 +12345)/ 65536, 32768),0)/32768),0))</f>
        <v>Female</v>
      </c>
      <c r="AB454" s="16" t="str">
        <f t="array" ref="AB454">INDEX(NPCRace,TRUNC(1+(COUNTA(NPCRace))*(TRUNC(MOD(($B454*1103515245 +12345)/ 65536, 32768),0)/32768),0))</f>
        <v>Half-Elf</v>
      </c>
      <c r="AC454" s="16" t="str">
        <f t="array" ref="AC454">INDEX(NPCAL,TRUNC(1+(COUNTA(NPCAL))*(TRUNC(MOD(($B454*1103515245 +12345)/ 65536, 32768),0)/32768),0))</f>
        <v>NG</v>
      </c>
      <c r="AD454" s="72" t="str">
        <f ca="1">IFERROR(__xludf.DUMMYFUNCTION("if(V454&lt;15,QUERY(NPCVar!C:D,""Select D WHERE C = '""&amp;D454&amp;""'""),if((TRUNC(1+10)*(TRUNC(MOD((ROW(H454)*1103515245 +12345)/ 65536, 32768),0)/32768)/10) &gt; 0.85,INDEX(NPCFaction,TRUNC(1+(counta(NPCFaction)-1)*(TRUNC(MOD(($B454*1103515245 +12345)/ 65536, 3276"&amp;"8),0)/32768),0)),QUERY(NPCVar!C:D,""Select D WHERE C = '""&amp;D454&amp;""'"")))"),"Traders Guild")</f>
        <v>Traders Guild</v>
      </c>
      <c r="AE454" s="108" t="e">
        <f t="shared" ca="1" si="26"/>
        <v>#NAME?</v>
      </c>
      <c r="AF454" s="159">
        <f ca="1">IFERROR(__xludf.DUMMYFUNCTION("AE454*(V454 / QUERY(NPCVar!$K$2:$N$12, ""Select N WHERE K='""&amp;AB454&amp;""'""))*TRUNC(1+10)*(TRUNC(MOD(($B454*1103515245 +12345)/ 65536, 32768),0)/32768)"),1.36392253875732)</f>
        <v>1.3639225387573199</v>
      </c>
      <c r="AG454" s="16"/>
      <c r="AH454" s="77"/>
      <c r="AI454" s="114"/>
    </row>
    <row r="455" spans="1:35" ht="16.2">
      <c r="A455" s="53">
        <v>454</v>
      </c>
      <c r="B455" s="118">
        <f t="shared" si="32"/>
        <v>2.32978</v>
      </c>
      <c r="C455" s="72" t="str">
        <f t="array" ref="C455">INDEX(NPCFName,TRUNC(1+(COUNTA(NPCFName))*(TRUNC(MOD(($B455*1103515245 +12345)/ 65536, 32768),0)/32768),0))</f>
        <v>Modric</v>
      </c>
      <c r="D455" s="16" t="str">
        <f t="array" ref="D455">INDEX(NPCLName,TRUNC(1+(COUNTA(NPCLName))*(TRUNC(MOD(($B455*1103515245 +12345)/ 65536, 32768),0)/32768),0))</f>
        <v>Ashcloud</v>
      </c>
      <c r="E455" s="16" t="str">
        <f t="array" ref="E455">INDEX(NPCClass,TRUNC(1+(COUNTA(NPCClass))*(TRUNC(MOD(($B455*1103515245 +12345)/ 65536, 32768),0)/32768),0))</f>
        <v>Druid</v>
      </c>
      <c r="F455" s="76">
        <v>1</v>
      </c>
      <c r="G455" s="153">
        <f ca="1">VLOOKUP($AB$2,'RF Mod'!$A$2:$G$12,2,FALSE)+VLOOKUP($AD$2,'RF Mod'!$I$2:$O$11,2,FALSE)+(TRUNC(6+(24-6)*(TRUNC(MOD(($Z455*1103515245 +12345)/ 65536, 32768),0)/32768),0))</f>
        <v>5</v>
      </c>
      <c r="H455" s="16">
        <f t="shared" ca="1" si="17"/>
        <v>-3</v>
      </c>
      <c r="I455" s="153">
        <f ca="1">VLOOKUP($AB$2,'RF Mod'!$A$2:$G$12,3,FALSE)+VLOOKUP($AD$2,'RF Mod'!$I$2:$O$11,3,FALSE)+(TRUNC(6+(24-6)*(TRUNC(MOD(($Z455*1103515245 +12345)/ 65536, 32768),0)/32768),0))</f>
        <v>9</v>
      </c>
      <c r="J455" s="16">
        <f t="shared" ca="1" si="18"/>
        <v>-1</v>
      </c>
      <c r="K455" s="153">
        <f ca="1">VLOOKUP($AB$2,'RF Mod'!$A$2:$G$12,3,FALSE)+VLOOKUP($AD$2,'RF Mod'!$I$2:$O$11,3,FALSE)+(TRUNC(6+(24-6)*(TRUNC(MOD(($Z455*1103515245 +12345)/ 65536, 32768),0)/32768),0))</f>
        <v>9</v>
      </c>
      <c r="L455" s="16">
        <f t="shared" ca="1" si="19"/>
        <v>-1</v>
      </c>
      <c r="M455" s="153">
        <f ca="1">VLOOKUP($AB$2,'RF Mod'!$A$2:$G$12,4,FALSE)+VLOOKUP($AD$2,'RF Mod'!$I$2:$O$11,4,FALSE)+(TRUNC(6+(24-6)*(TRUNC(MOD(($Z455*1103515245 +12345)/ 65536, 32768),0)/32768),0))</f>
        <v>8</v>
      </c>
      <c r="N455" s="16">
        <f t="shared" ca="1" si="20"/>
        <v>-1</v>
      </c>
      <c r="O455" s="153">
        <f ca="1">VLOOKUP($AB$2,'RF Mod'!$A$2:$G$12,5,FALSE)+VLOOKUP($AD$2,'RF Mod'!$I$2:$O$11,5,FALSE)+(TRUNC(6+(24-6)*(TRUNC(MOD(($Z455*1103515245 +12345)/ 65536, 32768),0)/32768),0))</f>
        <v>11</v>
      </c>
      <c r="P455" s="16" t="e">
        <f t="shared" ca="1" si="21"/>
        <v>#NAME?</v>
      </c>
      <c r="Q455" s="153">
        <f ca="1">VLOOKUP($AB$2,'RF Mod'!$A$2:$G$12,6,FALSE)+VLOOKUP($AD$2,'RF Mod'!$I$2:$O$11,6,FALSE)+(TRUNC(6+(24-6)*(TRUNC(MOD(($Z455*1103515245 +12345)/ 65536, 32768),0)/32768),0))</f>
        <v>9</v>
      </c>
      <c r="R455" s="16">
        <f t="shared" ca="1" si="22"/>
        <v>-1</v>
      </c>
      <c r="S455" s="154">
        <f t="shared" ca="1" si="28"/>
        <v>11</v>
      </c>
      <c r="T455" s="154">
        <f t="shared" ca="1" si="23"/>
        <v>3</v>
      </c>
      <c r="U455" s="16" t="str">
        <f t="shared" ca="1" si="24"/>
        <v>Fine</v>
      </c>
      <c r="V455" s="155">
        <f ca="1">IFERROR(__xludf.DUMMYFUNCTION("if(W455=""Middle Age"",QUERY(NPCVar!$K$2:$N1000, ""Select L where K = '""&amp;AB455&amp;""'""),if(W455=""Old"",QUERY(NPCVar!$K$2:$N1000, ""Select M where K = '""&amp;AB455&amp;""'""),if(W455=""Venerable"",QUERY(NPCVar!$K$2:$N1000, ""Select N where K = '""&amp;AB455&amp;""'""),fa"&amp;"lse)))*X455"),93.75)</f>
        <v>93.75</v>
      </c>
      <c r="W455" s="156" t="str">
        <f t="array" ref="W455">INDEX(NPCAgeType,TRUNC(1+(4-1)*(TRUNC(MOD((X455*1103515245 +12345)/ 65536, 32768),0)/32768),0))</f>
        <v>Middle Age</v>
      </c>
      <c r="X455" s="117">
        <f t="shared" si="29"/>
        <v>0.5</v>
      </c>
      <c r="Y455" s="157" t="e">
        <f t="array" aca="1" ref="Y455" ca="1">LOOKUP(ABS(MAX(Z455 + MIN(ABS(INDIRECT("Class Jobs!B"&amp;MATCH(E455,'Class Jobs'!$A$1:$A1000,0)&amp;":"&amp;"AF"&amp;MATCH(E455,'Class Jobs'!$A$1:$A1000,0)&amp;"")-$Z455)) * SUM(IF(MIN(ABS(INDIRECT("Class Jobs!B"&amp;MATCH(E455,'Class Jobs'!$A$1:$A1000,0)&amp;":"&amp;"AF"&amp;MATCH(E455,'Class Jobs'!$A$1:$A1000,0)&amp;"")-$Z455))=ABS(INDIRECT("Class Jobs!B"&amp;MATCH(E455,'Class Jobs'!$A$1:$A1000,0)&amp;":"&amp;"AF"&amp;MATCH(E455,'Class Jobs'!$A$1:$A1000,0)&amp;"")-$Z455),SIGN(INDIRECT("Class Jobs!B"&amp;MATCH(E455,'Class Jobs'!$A$1:A1000,0)&amp;":"&amp;"AF"&amp;MATCH(E455,'Class Jobs'!$A$1:$A1000,0)&amp;"")-$Z455),0)),0)),INDIRECT("Class Jobs!B"&amp;MATCH(E455,'Class Jobs'!$A$1:$A1000,0)&amp;":"&amp;"AF"&amp;MATCH(E455,'Class Jobs'!$A$1:$A1000,1)&amp;""),'Class Jobs'!$B$1:$AF$1)</f>
        <v>#REF!</v>
      </c>
      <c r="Z455" s="158">
        <f t="shared" si="25"/>
        <v>0.2</v>
      </c>
      <c r="AA455" s="16" t="str">
        <f t="array" ref="AA455">INDEX(NPCGender,TRUNC(1+(COUNTA(NPCGender))*(TRUNC(MOD(($B455*1103515245 +12345)/ 65536, 32768),0)/32768),0))</f>
        <v>Male</v>
      </c>
      <c r="AB455" s="16" t="str">
        <f t="array" ref="AB455">INDEX(NPCRace,TRUNC(1+(COUNTA(NPCRace))*(TRUNC(MOD(($B455*1103515245 +12345)/ 65536, 32768),0)/32768),0))</f>
        <v>Elf</v>
      </c>
      <c r="AC455" s="16" t="str">
        <f t="array" ref="AC455">INDEX(NPCAL,TRUNC(1+(COUNTA(NPCAL))*(TRUNC(MOD(($B455*1103515245 +12345)/ 65536, 32768),0)/32768),0))</f>
        <v>CE</v>
      </c>
      <c r="AD455" s="72" t="str">
        <f ca="1">IFERROR(__xludf.DUMMYFUNCTION("if(V455&lt;15,QUERY(NPCVar!C:D,""Select D WHERE C = '""&amp;D455&amp;""'""),if((TRUNC(1+10)*(TRUNC(MOD((ROW(H455)*1103515245 +12345)/ 65536, 32768),0)/32768)/10) &gt; 0.85,INDEX(NPCFaction,TRUNC(1+(counta(NPCFaction)-1)*(TRUNC(MOD(($B455*1103515245 +12345)/ 65536, 3276"&amp;"8),0)/32768),0)),QUERY(NPCVar!C:D,""Select D WHERE C = '""&amp;D455&amp;""'"")))"),"Necromancer")</f>
        <v>Necromancer</v>
      </c>
      <c r="AE455" s="108" t="e">
        <f t="shared" ca="1" si="26"/>
        <v>#NAME?</v>
      </c>
      <c r="AF455" s="159">
        <f ca="1">IFERROR(__xludf.DUMMYFUNCTION("AE455*(V455 / QUERY(NPCVar!$K$2:$N$12, ""Select N WHERE K='""&amp;AB455&amp;""'""))*TRUNC(1+10)*(TRUNC(MOD(($B455*1103515245 +12345)/ 65536, 32768),0)/32768)"),0)</f>
        <v>0</v>
      </c>
      <c r="AG455" s="16"/>
      <c r="AH455" s="77"/>
      <c r="AI455" s="114"/>
    </row>
    <row r="456" spans="1:35" ht="16.2">
      <c r="A456" s="53">
        <v>455</v>
      </c>
      <c r="B456" s="118">
        <f t="shared" si="32"/>
        <v>1.3239300000000001</v>
      </c>
      <c r="C456" s="72" t="str">
        <f t="array" ref="C456">INDEX(NPCFName,TRUNC(1+(COUNTA(NPCFName))*(TRUNC(MOD(($B456*1103515245 +12345)/ 65536, 32768),0)/32768),0))</f>
        <v>Anumi</v>
      </c>
      <c r="D456" s="16" t="str">
        <f t="array" ref="D456">INDEX(NPCLName,TRUNC(1+(COUNTA(NPCLName))*(TRUNC(MOD(($B456*1103515245 +12345)/ 65536, 32768),0)/32768),0))</f>
        <v>Emberhell</v>
      </c>
      <c r="E456" s="16" t="str">
        <f t="array" ref="E456">INDEX(NPCClass,TRUNC(1+(COUNTA(NPCClass))*(TRUNC(MOD(($B456*1103515245 +12345)/ 65536, 32768),0)/32768),0))</f>
        <v>None</v>
      </c>
      <c r="F456" s="76">
        <v>8</v>
      </c>
      <c r="G456" s="153">
        <f ca="1">VLOOKUP($AB$2,'RF Mod'!$A$2:$G$12,2,FALSE)+VLOOKUP($AD$2,'RF Mod'!$I$2:$O$11,2,FALSE)+(TRUNC(6+(24-6)*(TRUNC(MOD(($Z456*1103515245 +12345)/ 65536, 32768),0)/32768),0))</f>
        <v>10</v>
      </c>
      <c r="H456" s="16" t="e">
        <f t="shared" ca="1" si="17"/>
        <v>#NAME?</v>
      </c>
      <c r="I456" s="153">
        <f ca="1">VLOOKUP($AB$2,'RF Mod'!$A$2:$G$12,3,FALSE)+VLOOKUP($AD$2,'RF Mod'!$I$2:$O$11,3,FALSE)+(TRUNC(6+(24-6)*(TRUNC(MOD(($Z456*1103515245 +12345)/ 65536, 32768),0)/32768),0))</f>
        <v>14</v>
      </c>
      <c r="J456" s="16" t="e">
        <f t="shared" ca="1" si="18"/>
        <v>#NAME?</v>
      </c>
      <c r="K456" s="153">
        <f ca="1">VLOOKUP($AB$2,'RF Mod'!$A$2:$G$12,3,FALSE)+VLOOKUP($AD$2,'RF Mod'!$I$2:$O$11,3,FALSE)+(TRUNC(6+(24-6)*(TRUNC(MOD(($Z456*1103515245 +12345)/ 65536, 32768),0)/32768),0))</f>
        <v>14</v>
      </c>
      <c r="L456" s="16" t="e">
        <f t="shared" ca="1" si="19"/>
        <v>#NAME?</v>
      </c>
      <c r="M456" s="153">
        <f ca="1">VLOOKUP($AB$2,'RF Mod'!$A$2:$G$12,4,FALSE)+VLOOKUP($AD$2,'RF Mod'!$I$2:$O$11,4,FALSE)+(TRUNC(6+(24-6)*(TRUNC(MOD(($Z456*1103515245 +12345)/ 65536, 32768),0)/32768),0))</f>
        <v>13</v>
      </c>
      <c r="N456" s="16" t="e">
        <f t="shared" ca="1" si="20"/>
        <v>#NAME?</v>
      </c>
      <c r="O456" s="153">
        <f ca="1">VLOOKUP($AB$2,'RF Mod'!$A$2:$G$12,5,FALSE)+VLOOKUP($AD$2,'RF Mod'!$I$2:$O$11,5,FALSE)+(TRUNC(6+(24-6)*(TRUNC(MOD(($Z456*1103515245 +12345)/ 65536, 32768),0)/32768),0))</f>
        <v>16</v>
      </c>
      <c r="P456" s="16" t="e">
        <f t="shared" ca="1" si="21"/>
        <v>#NAME?</v>
      </c>
      <c r="Q456" s="153">
        <f ca="1">VLOOKUP($AB$2,'RF Mod'!$A$2:$G$12,6,FALSE)+VLOOKUP($AD$2,'RF Mod'!$I$2:$O$11,6,FALSE)+(TRUNC(6+(24-6)*(TRUNC(MOD(($Z456*1103515245 +12345)/ 65536, 32768),0)/32768),0))</f>
        <v>14</v>
      </c>
      <c r="R456" s="16" t="e">
        <f t="shared" ca="1" si="22"/>
        <v>#NAME?</v>
      </c>
      <c r="S456" s="154">
        <f t="shared" ca="1" si="28"/>
        <v>240</v>
      </c>
      <c r="T456" s="154">
        <f t="shared" ca="1" si="23"/>
        <v>14</v>
      </c>
      <c r="U456" s="16" t="str">
        <f t="shared" ca="1" si="24"/>
        <v>Fine</v>
      </c>
      <c r="V456" s="155">
        <f ca="1">IFERROR(__xludf.DUMMYFUNCTION("if(W456=""Middle Age"",QUERY(NPCVar!$K$2:$N1000, ""Select L where K = '""&amp;AB456&amp;""'""),if(W456=""Old"",QUERY(NPCVar!$K$2:$N1000, ""Select M where K = '""&amp;AB456&amp;""'""),if(W456=""Venerable"",QUERY(NPCVar!$K$2:$N1000, ""Select N where K = '""&amp;AB456&amp;""'""),fa"&amp;"lse)))*X456"),153)</f>
        <v>153</v>
      </c>
      <c r="W456" s="156" t="str">
        <f t="array" ref="W456">INDEX(NPCAgeType,TRUNC(1+(4-1)*(TRUNC(MOD((X456*1103515245 +12345)/ 65536, 32768),0)/32768),0))</f>
        <v>Venerable</v>
      </c>
      <c r="X456" s="117">
        <f t="shared" si="29"/>
        <v>1.7</v>
      </c>
      <c r="Y456" s="157" t="e">
        <f t="array" aca="1" ref="Y456" ca="1">LOOKUP(ABS(MAX(Z456 + MIN(ABS(INDIRECT("Class Jobs!B"&amp;MATCH(E456,'Class Jobs'!$A$1:$A1000,0)&amp;":"&amp;"AF"&amp;MATCH(E456,'Class Jobs'!$A$1:$A1000,0)&amp;"")-$Z456)) * SUM(IF(MIN(ABS(INDIRECT("Class Jobs!B"&amp;MATCH(E456,'Class Jobs'!$A$1:$A1000,0)&amp;":"&amp;"AF"&amp;MATCH(E456,'Class Jobs'!$A$1:$A1000,0)&amp;"")-$Z456))=ABS(INDIRECT("Class Jobs!B"&amp;MATCH(E456,'Class Jobs'!$A$1:$A1000,0)&amp;":"&amp;"AF"&amp;MATCH(E456,'Class Jobs'!$A$1:$A1000,0)&amp;"")-$Z456),SIGN(INDIRECT("Class Jobs!B"&amp;MATCH(E456,'Class Jobs'!$A$1:A1000,0)&amp;":"&amp;"AF"&amp;MATCH(E456,'Class Jobs'!$A$1:$A1000,0)&amp;"")-$Z456),0)),0)),INDIRECT("Class Jobs!B"&amp;MATCH(E456,'Class Jobs'!$A$1:$A1000,0)&amp;":"&amp;"AF"&amp;MATCH(E456,'Class Jobs'!$A$1:$A1000,1)&amp;""),'Class Jobs'!$B$1:$AF$1)</f>
        <v>#REF!</v>
      </c>
      <c r="Z456" s="158">
        <f t="shared" si="25"/>
        <v>0.68</v>
      </c>
      <c r="AA456" s="16" t="str">
        <f t="array" ref="AA456">INDEX(NPCGender,TRUNC(1+(COUNTA(NPCGender))*(TRUNC(MOD(($B456*1103515245 +12345)/ 65536, 32768),0)/32768),0))</f>
        <v>Neutral</v>
      </c>
      <c r="AB456" s="16" t="str">
        <f t="array" ref="AB456">INDEX(NPCRace,TRUNC(1+(COUNTA(NPCRace))*(TRUNC(MOD(($B456*1103515245 +12345)/ 65536, 32768),0)/32768),0))</f>
        <v>Human</v>
      </c>
      <c r="AC456" s="16" t="str">
        <f t="array" ref="AC456">INDEX(NPCAL,TRUNC(1+(COUNTA(NPCAL))*(TRUNC(MOD(($B456*1103515245 +12345)/ 65536, 32768),0)/32768),0))</f>
        <v>LG</v>
      </c>
      <c r="AD456" s="72" t="str">
        <f ca="1">IFERROR(__xludf.DUMMYFUNCTION("if(V456&lt;15,QUERY(NPCVar!C:D,""Select D WHERE C = '""&amp;D456&amp;""'""),if((TRUNC(1+10)*(TRUNC(MOD((ROW(H456)*1103515245 +12345)/ 65536, 32768),0)/32768)/10) &gt; 0.85,INDEX(NPCFaction,TRUNC(1+(counta(NPCFaction)-1)*(TRUNC(MOD(($B456*1103515245 +12345)/ 65536, 3276"&amp;"8),0)/32768),0)),QUERY(NPCVar!C:D,""Select D WHERE C = '""&amp;D456&amp;""'"")))"),"Adventures Guild")</f>
        <v>Adventures Guild</v>
      </c>
      <c r="AE456" s="108" t="e">
        <f t="shared" ca="1" si="26"/>
        <v>#NAME?</v>
      </c>
      <c r="AF456" s="159">
        <f ca="1">IFERROR(__xludf.DUMMYFUNCTION("AE456*(V456 / QUERY(NPCVar!$K$2:$N$12, ""Select N WHERE K='""&amp;AB456&amp;""'""))*TRUNC(1+10)*(TRUNC(MOD(($B456*1103515245 +12345)/ 65536, 32768),0)/32768)"),11.4494128417968)</f>
        <v>11.4494128417968</v>
      </c>
      <c r="AG456" s="16"/>
      <c r="AH456" s="77"/>
      <c r="AI456" s="114"/>
    </row>
    <row r="457" spans="1:35" ht="16.2">
      <c r="A457" s="53">
        <v>456</v>
      </c>
      <c r="B457" s="118">
        <f t="shared" si="32"/>
        <v>0.31807000000000002</v>
      </c>
      <c r="C457" s="72" t="str">
        <f t="array" ref="C457">INDEX(NPCFName,TRUNC(1+(COUNTA(NPCFName))*(TRUNC(MOD(($B457*1103515245 +12345)/ 65536, 32768),0)/32768),0))</f>
        <v>Kildarien</v>
      </c>
      <c r="D457" s="16" t="str">
        <f t="array" ref="D457">INDEX(NPCLName,TRUNC(1+(COUNTA(NPCLName))*(TRUNC(MOD(($B457*1103515245 +12345)/ 65536, 32768),0)/32768),0))</f>
        <v>Fistwing</v>
      </c>
      <c r="E457" s="16" t="str">
        <f t="array" ref="E457">INDEX(NPCClass,TRUNC(1+(COUNTA(NPCClass))*(TRUNC(MOD(($B457*1103515245 +12345)/ 65536, 32768),0)/32768),0))</f>
        <v>Bard</v>
      </c>
      <c r="F457" s="76">
        <v>1</v>
      </c>
      <c r="G457" s="153">
        <f ca="1">VLOOKUP($AB$2,'RF Mod'!$A$2:$G$12,2,FALSE)+VLOOKUP($AD$2,'RF Mod'!$I$2:$O$11,2,FALSE)+(TRUNC(6+(24-6)*(TRUNC(MOD(($Z457*1103515245 +12345)/ 65536, 32768),0)/32768),0))</f>
        <v>5</v>
      </c>
      <c r="H457" s="16">
        <f t="shared" ca="1" si="17"/>
        <v>-3</v>
      </c>
      <c r="I457" s="153">
        <f ca="1">VLOOKUP($AB$2,'RF Mod'!$A$2:$G$12,3,FALSE)+VLOOKUP($AD$2,'RF Mod'!$I$2:$O$11,3,FALSE)+(TRUNC(6+(24-6)*(TRUNC(MOD(($Z457*1103515245 +12345)/ 65536, 32768),0)/32768),0))</f>
        <v>9</v>
      </c>
      <c r="J457" s="16">
        <f t="shared" ca="1" si="18"/>
        <v>-1</v>
      </c>
      <c r="K457" s="153">
        <f ca="1">VLOOKUP($AB$2,'RF Mod'!$A$2:$G$12,3,FALSE)+VLOOKUP($AD$2,'RF Mod'!$I$2:$O$11,3,FALSE)+(TRUNC(6+(24-6)*(TRUNC(MOD(($Z457*1103515245 +12345)/ 65536, 32768),0)/32768),0))</f>
        <v>9</v>
      </c>
      <c r="L457" s="16">
        <f t="shared" ca="1" si="19"/>
        <v>-1</v>
      </c>
      <c r="M457" s="153">
        <f ca="1">VLOOKUP($AB$2,'RF Mod'!$A$2:$G$12,4,FALSE)+VLOOKUP($AD$2,'RF Mod'!$I$2:$O$11,4,FALSE)+(TRUNC(6+(24-6)*(TRUNC(MOD(($Z457*1103515245 +12345)/ 65536, 32768),0)/32768),0))</f>
        <v>8</v>
      </c>
      <c r="N457" s="16">
        <f t="shared" ca="1" si="20"/>
        <v>-1</v>
      </c>
      <c r="O457" s="153">
        <f ca="1">VLOOKUP($AB$2,'RF Mod'!$A$2:$G$12,5,FALSE)+VLOOKUP($AD$2,'RF Mod'!$I$2:$O$11,5,FALSE)+(TRUNC(6+(24-6)*(TRUNC(MOD(($Z457*1103515245 +12345)/ 65536, 32768),0)/32768),0))</f>
        <v>11</v>
      </c>
      <c r="P457" s="16" t="e">
        <f t="shared" ca="1" si="21"/>
        <v>#NAME?</v>
      </c>
      <c r="Q457" s="153">
        <f ca="1">VLOOKUP($AB$2,'RF Mod'!$A$2:$G$12,6,FALSE)+VLOOKUP($AD$2,'RF Mod'!$I$2:$O$11,6,FALSE)+(TRUNC(6+(24-6)*(TRUNC(MOD(($Z457*1103515245 +12345)/ 65536, 32768),0)/32768),0))</f>
        <v>9</v>
      </c>
      <c r="R457" s="16">
        <f t="shared" ca="1" si="22"/>
        <v>-1</v>
      </c>
      <c r="S457" s="154">
        <f t="shared" ca="1" si="28"/>
        <v>11</v>
      </c>
      <c r="T457" s="154">
        <f t="shared" ca="1" si="23"/>
        <v>2</v>
      </c>
      <c r="U457" s="16" t="str">
        <f t="shared" ca="1" si="24"/>
        <v>Fine</v>
      </c>
      <c r="V457" s="155">
        <f ca="1">IFERROR(__xludf.DUMMYFUNCTION("if(W457=""Middle Age"",QUERY(NPCVar!$K$2:$N1000, ""Select L where K = '""&amp;AB457&amp;""'""),if(W457=""Old"",QUERY(NPCVar!$K$2:$N1000, ""Select M where K = '""&amp;AB457&amp;""'""),if(W457=""Venerable"",QUERY(NPCVar!$K$2:$N1000, ""Select N where K = '""&amp;AB457&amp;""'""),fa"&amp;"lse)))*X457"),32)</f>
        <v>32</v>
      </c>
      <c r="W457" s="156" t="str">
        <f t="array" ref="W457">INDEX(NPCAgeType,TRUNC(1+(4-1)*(TRUNC(MOD((X457*1103515245 +12345)/ 65536, 32768),0)/32768),0))</f>
        <v>Middle Age</v>
      </c>
      <c r="X457" s="117">
        <f t="shared" si="29"/>
        <v>0.4</v>
      </c>
      <c r="Y457" s="157" t="e">
        <f t="array" aca="1" ref="Y457" ca="1">LOOKUP(ABS(MAX(Z457 + MIN(ABS(INDIRECT("Class Jobs!B"&amp;MATCH(E457,'Class Jobs'!$A$1:$A1000,0)&amp;":"&amp;"AF"&amp;MATCH(E457,'Class Jobs'!$A$1:$A1000,0)&amp;"")-$Z457)) * SUM(IF(MIN(ABS(INDIRECT("Class Jobs!B"&amp;MATCH(E457,'Class Jobs'!$A$1:$A1000,0)&amp;":"&amp;"AF"&amp;MATCH(E457,'Class Jobs'!$A$1:$A1000,0)&amp;"")-$Z457))=ABS(INDIRECT("Class Jobs!B"&amp;MATCH(E457,'Class Jobs'!$A$1:$A1000,0)&amp;":"&amp;"AF"&amp;MATCH(E457,'Class Jobs'!$A$1:$A1000,0)&amp;"")-$Z457),SIGN(INDIRECT("Class Jobs!B"&amp;MATCH(E457,'Class Jobs'!$A$1:A1000,0)&amp;":"&amp;"AF"&amp;MATCH(E457,'Class Jobs'!$A$1:$A1000,0)&amp;"")-$Z457),0)),0)),INDIRECT("Class Jobs!B"&amp;MATCH(E457,'Class Jobs'!$A$1:$A1000,0)&amp;":"&amp;"AF"&amp;MATCH(E457,'Class Jobs'!$A$1:$A1000,1)&amp;""),'Class Jobs'!$B$1:$AF$1)</f>
        <v>#REF!</v>
      </c>
      <c r="Z457" s="158">
        <f t="shared" si="25"/>
        <v>0.17</v>
      </c>
      <c r="AA457" s="16" t="str">
        <f t="array" ref="AA457">INDEX(NPCGender,TRUNC(1+(COUNTA(NPCGender))*(TRUNC(MOD(($B457*1103515245 +12345)/ 65536, 32768),0)/32768),0))</f>
        <v>Male</v>
      </c>
      <c r="AB457" s="16" t="str">
        <f t="array" ref="AB457">INDEX(NPCRace,TRUNC(1+(COUNTA(NPCRace))*(TRUNC(MOD(($B457*1103515245 +12345)/ 65536, 32768),0)/32768),0))</f>
        <v>Dwarf</v>
      </c>
      <c r="AC457" s="16" t="str">
        <f t="array" ref="AC457">INDEX(NPCAL,TRUNC(1+(COUNTA(NPCAL))*(TRUNC(MOD(($B457*1103515245 +12345)/ 65536, 32768),0)/32768),0))</f>
        <v>CE</v>
      </c>
      <c r="AD457" s="72" t="str">
        <f ca="1">IFERROR(__xludf.DUMMYFUNCTION("if(V457&lt;15,QUERY(NPCVar!C:D,""Select D WHERE C = '""&amp;D457&amp;""'""),if((TRUNC(1+10)*(TRUNC(MOD((ROW(H457)*1103515245 +12345)/ 65536, 32768),0)/32768)/10) &gt; 0.85,INDEX(NPCFaction,TRUNC(1+(counta(NPCFaction)-1)*(TRUNC(MOD(($B457*1103515245 +12345)/ 65536, 3276"&amp;"8),0)/32768),0)),QUERY(NPCVar!C:D,""Select D WHERE C = '""&amp;D457&amp;""'"")))"),"Necromancer")</f>
        <v>Necromancer</v>
      </c>
      <c r="AE457" s="108" t="e">
        <f t="shared" ca="1" si="26"/>
        <v>#NAME?</v>
      </c>
      <c r="AF457" s="159">
        <f ca="1">IFERROR(__xludf.DUMMYFUNCTION("AE457*(V457 / QUERY(NPCVar!$K$2:$N$12, ""Select N WHERE K='""&amp;AB457&amp;""'""))*TRUNC(1+10)*(TRUNC(MOD(($B457*1103515245 +12345)/ 65536, 32768),0)/32768)"),0)</f>
        <v>0</v>
      </c>
      <c r="AG457" s="16"/>
      <c r="AH457" s="77"/>
      <c r="AI457" s="114"/>
    </row>
    <row r="458" spans="1:35" ht="16.2">
      <c r="A458" s="53">
        <v>457</v>
      </c>
      <c r="B458" s="118">
        <f t="shared" si="32"/>
        <v>1.8122100000000001</v>
      </c>
      <c r="C458" s="72" t="str">
        <f t="array" ref="C458">INDEX(NPCFName,TRUNC(1+(COUNTA(NPCFName))*(TRUNC(MOD(($B458*1103515245 +12345)/ 65536, 32768),0)/32768),0))</f>
        <v>Shadowbane</v>
      </c>
      <c r="D458" s="16" t="str">
        <f t="array" ref="D458">INDEX(NPCLName,TRUNC(1+(COUNTA(NPCLName))*(TRUNC(MOD(($B458*1103515245 +12345)/ 65536, 32768),0)/32768),0))</f>
        <v>Stormwolf</v>
      </c>
      <c r="E458" s="16" t="str">
        <f t="array" ref="E458">INDEX(NPCClass,TRUNC(1+(COUNTA(NPCClass))*(TRUNC(MOD(($B458*1103515245 +12345)/ 65536, 32768),0)/32768),0))</f>
        <v>Wizard</v>
      </c>
      <c r="F458" s="76">
        <v>8</v>
      </c>
      <c r="G458" s="153">
        <f ca="1">VLOOKUP($AB$2,'RF Mod'!$A$2:$G$12,2,FALSE)+VLOOKUP($AD$2,'RF Mod'!$I$2:$O$11,2,FALSE)+(TRUNC(6+(24-6)*(TRUNC(MOD(($Z458*1103515245 +12345)/ 65536, 32768),0)/32768),0))</f>
        <v>12</v>
      </c>
      <c r="H458" s="16" t="e">
        <f t="shared" ca="1" si="17"/>
        <v>#NAME?</v>
      </c>
      <c r="I458" s="153">
        <f ca="1">VLOOKUP($AB$2,'RF Mod'!$A$2:$G$12,3,FALSE)+VLOOKUP($AD$2,'RF Mod'!$I$2:$O$11,3,FALSE)+(TRUNC(6+(24-6)*(TRUNC(MOD(($Z458*1103515245 +12345)/ 65536, 32768),0)/32768),0))</f>
        <v>16</v>
      </c>
      <c r="J458" s="16" t="e">
        <f t="shared" ca="1" si="18"/>
        <v>#NAME?</v>
      </c>
      <c r="K458" s="153">
        <f ca="1">VLOOKUP($AB$2,'RF Mod'!$A$2:$G$12,3,FALSE)+VLOOKUP($AD$2,'RF Mod'!$I$2:$O$11,3,FALSE)+(TRUNC(6+(24-6)*(TRUNC(MOD(($Z458*1103515245 +12345)/ 65536, 32768),0)/32768),0))</f>
        <v>16</v>
      </c>
      <c r="L458" s="16" t="e">
        <f t="shared" ca="1" si="19"/>
        <v>#NAME?</v>
      </c>
      <c r="M458" s="153">
        <f ca="1">VLOOKUP($AB$2,'RF Mod'!$A$2:$G$12,4,FALSE)+VLOOKUP($AD$2,'RF Mod'!$I$2:$O$11,4,FALSE)+(TRUNC(6+(24-6)*(TRUNC(MOD(($Z458*1103515245 +12345)/ 65536, 32768),0)/32768),0))</f>
        <v>15</v>
      </c>
      <c r="N458" s="16" t="e">
        <f t="shared" ca="1" si="20"/>
        <v>#NAME?</v>
      </c>
      <c r="O458" s="153">
        <f ca="1">VLOOKUP($AB$2,'RF Mod'!$A$2:$G$12,5,FALSE)+VLOOKUP($AD$2,'RF Mod'!$I$2:$O$11,5,FALSE)+(TRUNC(6+(24-6)*(TRUNC(MOD(($Z458*1103515245 +12345)/ 65536, 32768),0)/32768),0))</f>
        <v>18</v>
      </c>
      <c r="P458" s="16" t="e">
        <f t="shared" ca="1" si="21"/>
        <v>#NAME?</v>
      </c>
      <c r="Q458" s="153">
        <f ca="1">VLOOKUP($AB$2,'RF Mod'!$A$2:$G$12,6,FALSE)+VLOOKUP($AD$2,'RF Mod'!$I$2:$O$11,6,FALSE)+(TRUNC(6+(24-6)*(TRUNC(MOD(($Z458*1103515245 +12345)/ 65536, 32768),0)/32768),0))</f>
        <v>16</v>
      </c>
      <c r="R458" s="16" t="e">
        <f t="shared" ca="1" si="22"/>
        <v>#NAME?</v>
      </c>
      <c r="S458" s="154">
        <f t="shared" ca="1" si="28"/>
        <v>240</v>
      </c>
      <c r="T458" s="154">
        <f t="shared" ca="1" si="23"/>
        <v>51</v>
      </c>
      <c r="U458" s="16" t="str">
        <f t="shared" ca="1" si="24"/>
        <v>Fine</v>
      </c>
      <c r="V458" s="155">
        <f ca="1">IFERROR(__xludf.DUMMYFUNCTION("if(W458=""Middle Age"",QUERY(NPCVar!$K$2:$N1000, ""Select L where K = '""&amp;AB458&amp;""'""),if(W458=""Old"",QUERY(NPCVar!$K$2:$N1000, ""Select M where K = '""&amp;AB458&amp;""'""),if(W458=""Venerable"",QUERY(NPCVar!$K$2:$N1000, ""Select N where K = '""&amp;AB458&amp;""'""),fa"&amp;"lse)))*X458"),69)</f>
        <v>69</v>
      </c>
      <c r="W458" s="156" t="str">
        <f t="array" ref="W458">INDEX(NPCAgeType,TRUNC(1+(4-1)*(TRUNC(MOD((X458*1103515245 +12345)/ 65536, 32768),0)/32768),0))</f>
        <v>Middle Age</v>
      </c>
      <c r="X458" s="117">
        <f t="shared" si="29"/>
        <v>2.2999999999999998</v>
      </c>
      <c r="Y458" s="157" t="e">
        <f t="array" aca="1" ref="Y458" ca="1">LOOKUP(ABS(MAX(Z458 + MIN(ABS(INDIRECT("Class Jobs!B"&amp;MATCH(E458,'Class Jobs'!$A$1:$A1000,0)&amp;":"&amp;"AF"&amp;MATCH(E458,'Class Jobs'!$A$1:$A1000,0)&amp;"")-$Z458)) * SUM(IF(MIN(ABS(INDIRECT("Class Jobs!B"&amp;MATCH(E458,'Class Jobs'!$A$1:$A1000,0)&amp;":"&amp;"AF"&amp;MATCH(E458,'Class Jobs'!$A$1:$A1000,0)&amp;"")-$Z458))=ABS(INDIRECT("Class Jobs!B"&amp;MATCH(E458,'Class Jobs'!$A$1:$A1000,0)&amp;":"&amp;"AF"&amp;MATCH(E458,'Class Jobs'!$A$1:$A1000,0)&amp;"")-$Z458),SIGN(INDIRECT("Class Jobs!B"&amp;MATCH(E458,'Class Jobs'!$A$1:A1000,0)&amp;":"&amp;"AF"&amp;MATCH(E458,'Class Jobs'!$A$1:$A1000,0)&amp;"")-$Z458),0)),0)),INDIRECT("Class Jobs!B"&amp;MATCH(E458,'Class Jobs'!$A$1:$A1000,0)&amp;":"&amp;"AF"&amp;MATCH(E458,'Class Jobs'!$A$1:$A1000,1)&amp;""),'Class Jobs'!$B$1:$AF$1)</f>
        <v>#REF!</v>
      </c>
      <c r="Z458" s="158">
        <f t="shared" si="25"/>
        <v>0.93</v>
      </c>
      <c r="AA458" s="16" t="str">
        <f t="array" ref="AA458">INDEX(NPCGender,TRUNC(1+(COUNTA(NPCGender))*(TRUNC(MOD(($B458*1103515245 +12345)/ 65536, 32768),0)/32768),0))</f>
        <v>Neutral</v>
      </c>
      <c r="AB458" s="16" t="str">
        <f t="array" ref="AB458">INDEX(NPCRace,TRUNC(1+(COUNTA(NPCRace))*(TRUNC(MOD(($B458*1103515245 +12345)/ 65536, 32768),0)/32768),0))</f>
        <v>Goliath</v>
      </c>
      <c r="AC458" s="16" t="str">
        <f t="array" ref="AC458">INDEX(NPCAL,TRUNC(1+(COUNTA(NPCAL))*(TRUNC(MOD(($B458*1103515245 +12345)/ 65536, 32768),0)/32768),0))</f>
        <v>LE</v>
      </c>
      <c r="AD458" s="72" t="str">
        <f ca="1">IFERROR(__xludf.DUMMYFUNCTION("if(V458&lt;15,QUERY(NPCVar!C:D,""Select D WHERE C = '""&amp;D458&amp;""'""),if((TRUNC(1+10)*(TRUNC(MOD((ROW(H458)*1103515245 +12345)/ 65536, 32768),0)/32768)/10) &gt; 0.85,INDEX(NPCFaction,TRUNC(1+(counta(NPCFaction)-1)*(TRUNC(MOD(($B458*1103515245 +12345)/ 65536, 3276"&amp;"8),0)/32768),0)),QUERY(NPCVar!C:D,""Select D WHERE C = '""&amp;D458&amp;""'"")))"),"Followers of Isis")</f>
        <v>Followers of Isis</v>
      </c>
      <c r="AE458" s="108" t="e">
        <f t="shared" ca="1" si="26"/>
        <v>#NAME?</v>
      </c>
      <c r="AF458" s="159">
        <f ca="1">IFERROR(__xludf.DUMMYFUNCTION("AE458*(V458 / QUERY(NPCVar!$K$2:$N$12, ""Select N WHERE K='""&amp;AB458&amp;""'""))*TRUNC(1+10)*(TRUNC(MOD(($B458*1103515245 +12345)/ 65536, 32768),0)/32768)"),5.30093215942382)</f>
        <v>5.3009321594238203</v>
      </c>
      <c r="AG458" s="16"/>
      <c r="AH458" s="77"/>
      <c r="AI458" s="114"/>
    </row>
    <row r="459" spans="1:35" ht="16.2">
      <c r="A459" s="53">
        <v>458</v>
      </c>
      <c r="B459" s="118">
        <f t="shared" si="32"/>
        <v>0.80635000000000001</v>
      </c>
      <c r="C459" s="72" t="str">
        <f t="array" ref="C459">INDEX(NPCFName,TRUNC(1+(COUNTA(NPCFName))*(TRUNC(MOD(($B459*1103515245 +12345)/ 65536, 32768),0)/32768),0))</f>
        <v>Drophar</v>
      </c>
      <c r="D459" s="16" t="str">
        <f t="array" ref="D459">INDEX(NPCLName,TRUNC(1+(COUNTA(NPCLName))*(TRUNC(MOD(($B459*1103515245 +12345)/ 65536, 32768),0)/32768),0))</f>
        <v>Windshade</v>
      </c>
      <c r="E459" s="16" t="str">
        <f t="array" ref="E459">INDEX(NPCClass,TRUNC(1+(COUNTA(NPCClass))*(TRUNC(MOD(($B459*1103515245 +12345)/ 65536, 32768),0)/32768),0))</f>
        <v>Paladin</v>
      </c>
      <c r="F459" s="76">
        <v>5</v>
      </c>
      <c r="G459" s="153">
        <f ca="1">VLOOKUP($AB$2,'RF Mod'!$A$2:$G$12,2,FALSE)+VLOOKUP($AD$2,'RF Mod'!$I$2:$O$11,2,FALSE)+(TRUNC(6+(24-6)*(TRUNC(MOD(($Z459*1103515245 +12345)/ 65536, 32768),0)/32768),0))</f>
        <v>7</v>
      </c>
      <c r="H459" s="16">
        <f t="shared" ca="1" si="17"/>
        <v>-2</v>
      </c>
      <c r="I459" s="153">
        <f ca="1">VLOOKUP($AB$2,'RF Mod'!$A$2:$G$12,3,FALSE)+VLOOKUP($AD$2,'RF Mod'!$I$2:$O$11,3,FALSE)+(TRUNC(6+(24-6)*(TRUNC(MOD(($Z459*1103515245 +12345)/ 65536, 32768),0)/32768),0))</f>
        <v>11</v>
      </c>
      <c r="J459" s="16" t="e">
        <f t="shared" ca="1" si="18"/>
        <v>#NAME?</v>
      </c>
      <c r="K459" s="153">
        <f ca="1">VLOOKUP($AB$2,'RF Mod'!$A$2:$G$12,3,FALSE)+VLOOKUP($AD$2,'RF Mod'!$I$2:$O$11,3,FALSE)+(TRUNC(6+(24-6)*(TRUNC(MOD(($Z459*1103515245 +12345)/ 65536, 32768),0)/32768),0))</f>
        <v>11</v>
      </c>
      <c r="L459" s="16" t="e">
        <f t="shared" ca="1" si="19"/>
        <v>#NAME?</v>
      </c>
      <c r="M459" s="153">
        <f ca="1">VLOOKUP($AB$2,'RF Mod'!$A$2:$G$12,4,FALSE)+VLOOKUP($AD$2,'RF Mod'!$I$2:$O$11,4,FALSE)+(TRUNC(6+(24-6)*(TRUNC(MOD(($Z459*1103515245 +12345)/ 65536, 32768),0)/32768),0))</f>
        <v>10</v>
      </c>
      <c r="N459" s="16" t="e">
        <f t="shared" ca="1" si="20"/>
        <v>#NAME?</v>
      </c>
      <c r="O459" s="153">
        <f ca="1">VLOOKUP($AB$2,'RF Mod'!$A$2:$G$12,5,FALSE)+VLOOKUP($AD$2,'RF Mod'!$I$2:$O$11,5,FALSE)+(TRUNC(6+(24-6)*(TRUNC(MOD(($Z459*1103515245 +12345)/ 65536, 32768),0)/32768),0))</f>
        <v>13</v>
      </c>
      <c r="P459" s="16" t="e">
        <f t="shared" ca="1" si="21"/>
        <v>#NAME?</v>
      </c>
      <c r="Q459" s="153">
        <f ca="1">VLOOKUP($AB$2,'RF Mod'!$A$2:$G$12,6,FALSE)+VLOOKUP($AD$2,'RF Mod'!$I$2:$O$11,6,FALSE)+(TRUNC(6+(24-6)*(TRUNC(MOD(($Z459*1103515245 +12345)/ 65536, 32768),0)/32768),0))</f>
        <v>11</v>
      </c>
      <c r="R459" s="16" t="e">
        <f t="shared" ca="1" si="22"/>
        <v>#NAME?</v>
      </c>
      <c r="S459" s="154">
        <f t="shared" ca="1" si="28"/>
        <v>85</v>
      </c>
      <c r="T459" s="154">
        <f t="shared" ca="1" si="23"/>
        <v>3</v>
      </c>
      <c r="U459" s="16" t="str">
        <f t="shared" ca="1" si="24"/>
        <v>Fine</v>
      </c>
      <c r="V459" s="155">
        <f ca="1">IFERROR(__xludf.DUMMYFUNCTION("if(W459=""Middle Age"",QUERY(NPCVar!$K$2:$N1000, ""Select L where K = '""&amp;AB459&amp;""'""),if(W459=""Old"",QUERY(NPCVar!$K$2:$N1000, ""Select M where K = '""&amp;AB459&amp;""'""),if(W459=""Venerable"",QUERY(NPCVar!$K$2:$N1000, ""Select N where K = '""&amp;AB459&amp;""'""),fa"&amp;"lse)))*X459"),67.5)</f>
        <v>67.5</v>
      </c>
      <c r="W459" s="156" t="str">
        <f t="array" ref="W459">INDEX(NPCAgeType,TRUNC(1+(4-1)*(TRUNC(MOD((X459*1103515245 +12345)/ 65536, 32768),0)/32768),0))</f>
        <v>Old</v>
      </c>
      <c r="X459" s="117">
        <f t="shared" si="29"/>
        <v>1</v>
      </c>
      <c r="Y459" s="157" t="e">
        <f t="array" aca="1" ref="Y459" ca="1">LOOKUP(ABS(MAX(Z459 + MIN(ABS(INDIRECT("Class Jobs!B"&amp;MATCH(E459,'Class Jobs'!$A$1:$A1000,0)&amp;":"&amp;"AF"&amp;MATCH(E459,'Class Jobs'!$A$1:$A1000,0)&amp;"")-$Z459)) * SUM(IF(MIN(ABS(INDIRECT("Class Jobs!B"&amp;MATCH(E459,'Class Jobs'!$A$1:$A1000,0)&amp;":"&amp;"AF"&amp;MATCH(E459,'Class Jobs'!$A$1:$A1000,0)&amp;"")-$Z459))=ABS(INDIRECT("Class Jobs!B"&amp;MATCH(E459,'Class Jobs'!$A$1:$A1000,0)&amp;":"&amp;"AF"&amp;MATCH(E459,'Class Jobs'!$A$1:$A1000,0)&amp;"")-$Z459),SIGN(INDIRECT("Class Jobs!B"&amp;MATCH(E459,'Class Jobs'!$A$1:A1000,0)&amp;":"&amp;"AF"&amp;MATCH(E459,'Class Jobs'!$A$1:$A1000,0)&amp;"")-$Z459),0)),0)),INDIRECT("Class Jobs!B"&amp;MATCH(E459,'Class Jobs'!$A$1:$A1000,0)&amp;":"&amp;"AF"&amp;MATCH(E459,'Class Jobs'!$A$1:$A1000,1)&amp;""),'Class Jobs'!$B$1:$AF$1)</f>
        <v>#REF!</v>
      </c>
      <c r="Z459" s="158">
        <f t="shared" si="25"/>
        <v>0.42</v>
      </c>
      <c r="AA459" s="16" t="str">
        <f t="array" ref="AA459">INDEX(NPCGender,TRUNC(1+(COUNTA(NPCGender))*(TRUNC(MOD(($B459*1103515245 +12345)/ 65536, 32768),0)/32768),0))</f>
        <v>Female</v>
      </c>
      <c r="AB459" s="16" t="str">
        <f t="array" ref="AB459">INDEX(NPCRace,TRUNC(1+(COUNTA(NPCRace))*(TRUNC(MOD(($B459*1103515245 +12345)/ 65536, 32768),0)/32768),0))</f>
        <v>Half-Elf</v>
      </c>
      <c r="AC459" s="16" t="str">
        <f t="array" ref="AC459">INDEX(NPCAL,TRUNC(1+(COUNTA(NPCAL))*(TRUNC(MOD(($B459*1103515245 +12345)/ 65536, 32768),0)/32768),0))</f>
        <v>NG</v>
      </c>
      <c r="AD459" s="72" t="str">
        <f ca="1">IFERROR(__xludf.DUMMYFUNCTION("if(V459&lt;15,QUERY(NPCVar!C:D,""Select D WHERE C = '""&amp;D459&amp;""'""),if((TRUNC(1+10)*(TRUNC(MOD((ROW(H459)*1103515245 +12345)/ 65536, 32768),0)/32768)/10) &gt; 0.85,INDEX(NPCFaction,TRUNC(1+(counta(NPCFaction)-1)*(TRUNC(MOD(($B459*1103515245 +12345)/ 65536, 3276"&amp;"8),0)/32768),0)),QUERY(NPCVar!C:D,""Select D WHERE C = '""&amp;D459&amp;""'"")))"),"Adventures Guild")</f>
        <v>Adventures Guild</v>
      </c>
      <c r="AE459" s="108" t="e">
        <f t="shared" ca="1" si="26"/>
        <v>#NAME?</v>
      </c>
      <c r="AF459" s="159">
        <f ca="1">IFERROR(__xludf.DUMMYFUNCTION("AE459*(V459 / QUERY(NPCVar!$K$2:$N$12, ""Select N WHERE K='""&amp;AB459&amp;""'""))*TRUNC(1+10)*(TRUNC(MOD(($B459*1103515245 +12345)/ 65536, 32768),0)/32768)"),0.512742233276367)</f>
        <v>0.51274223327636703</v>
      </c>
      <c r="AG459" s="16"/>
      <c r="AH459" s="77"/>
      <c r="AI459" s="114"/>
    </row>
    <row r="460" spans="1:35" ht="16.2">
      <c r="A460" s="53">
        <v>459</v>
      </c>
      <c r="B460" s="118">
        <f t="shared" si="32"/>
        <v>2.3004899999999999</v>
      </c>
      <c r="C460" s="72" t="str">
        <f t="array" ref="C460">INDEX(NPCFName,TRUNC(1+(COUNTA(NPCFName))*(TRUNC(MOD(($B460*1103515245 +12345)/ 65536, 32768),0)/32768),0))</f>
        <v>Ma</v>
      </c>
      <c r="D460" s="16" t="str">
        <f t="array" ref="D460">INDEX(NPCLName,TRUNC(1+(COUNTA(NPCLName))*(TRUNC(MOD(($B460*1103515245 +12345)/ 65536, 32768),0)/32768),0))</f>
        <v>Ashcloud</v>
      </c>
      <c r="E460" s="16" t="str">
        <f t="array" ref="E460">INDEX(NPCClass,TRUNC(1+(COUNTA(NPCClass))*(TRUNC(MOD(($B460*1103515245 +12345)/ 65536, 32768),0)/32768),0))</f>
        <v>Druid</v>
      </c>
      <c r="F460" s="76">
        <v>2</v>
      </c>
      <c r="G460" s="153">
        <f ca="1">VLOOKUP($AB$2,'RF Mod'!$A$2:$G$12,2,FALSE)+VLOOKUP($AD$2,'RF Mod'!$I$2:$O$11,2,FALSE)+(TRUNC(6+(24-6)*(TRUNC(MOD(($Z460*1103515245 +12345)/ 65536, 32768),0)/32768),0))</f>
        <v>5</v>
      </c>
      <c r="H460" s="16">
        <f t="shared" ca="1" si="17"/>
        <v>-3</v>
      </c>
      <c r="I460" s="153">
        <f ca="1">VLOOKUP($AB$2,'RF Mod'!$A$2:$G$12,3,FALSE)+VLOOKUP($AD$2,'RF Mod'!$I$2:$O$11,3,FALSE)+(TRUNC(6+(24-6)*(TRUNC(MOD(($Z460*1103515245 +12345)/ 65536, 32768),0)/32768),0))</f>
        <v>9</v>
      </c>
      <c r="J460" s="16">
        <f t="shared" ca="1" si="18"/>
        <v>-1</v>
      </c>
      <c r="K460" s="153">
        <f ca="1">VLOOKUP($AB$2,'RF Mod'!$A$2:$G$12,3,FALSE)+VLOOKUP($AD$2,'RF Mod'!$I$2:$O$11,3,FALSE)+(TRUNC(6+(24-6)*(TRUNC(MOD(($Z460*1103515245 +12345)/ 65536, 32768),0)/32768),0))</f>
        <v>9</v>
      </c>
      <c r="L460" s="16">
        <f t="shared" ca="1" si="19"/>
        <v>-1</v>
      </c>
      <c r="M460" s="153">
        <f ca="1">VLOOKUP($AB$2,'RF Mod'!$A$2:$G$12,4,FALSE)+VLOOKUP($AD$2,'RF Mod'!$I$2:$O$11,4,FALSE)+(TRUNC(6+(24-6)*(TRUNC(MOD(($Z460*1103515245 +12345)/ 65536, 32768),0)/32768),0))</f>
        <v>8</v>
      </c>
      <c r="N460" s="16">
        <f t="shared" ca="1" si="20"/>
        <v>-1</v>
      </c>
      <c r="O460" s="153">
        <f ca="1">VLOOKUP($AB$2,'RF Mod'!$A$2:$G$12,5,FALSE)+VLOOKUP($AD$2,'RF Mod'!$I$2:$O$11,5,FALSE)+(TRUNC(6+(24-6)*(TRUNC(MOD(($Z460*1103515245 +12345)/ 65536, 32768),0)/32768),0))</f>
        <v>11</v>
      </c>
      <c r="P460" s="16" t="e">
        <f t="shared" ca="1" si="21"/>
        <v>#NAME?</v>
      </c>
      <c r="Q460" s="153">
        <f ca="1">VLOOKUP($AB$2,'RF Mod'!$A$2:$G$12,6,FALSE)+VLOOKUP($AD$2,'RF Mod'!$I$2:$O$11,6,FALSE)+(TRUNC(6+(24-6)*(TRUNC(MOD(($Z460*1103515245 +12345)/ 65536, 32768),0)/32768),0))</f>
        <v>9</v>
      </c>
      <c r="R460" s="16">
        <f t="shared" ca="1" si="22"/>
        <v>-1</v>
      </c>
      <c r="S460" s="154">
        <f t="shared" ca="1" si="28"/>
        <v>22</v>
      </c>
      <c r="T460" s="154">
        <f t="shared" ca="1" si="23"/>
        <v>9</v>
      </c>
      <c r="U460" s="16" t="str">
        <f t="shared" ca="1" si="24"/>
        <v>Fine</v>
      </c>
      <c r="V460" s="155">
        <f ca="1">IFERROR(__xludf.DUMMYFUNCTION("if(W460=""Middle Age"",QUERY(NPCVar!$K$2:$N1000, ""Select L where K = '""&amp;AB460&amp;""'""),if(W460=""Old"",QUERY(NPCVar!$K$2:$N1000, ""Select M where K = '""&amp;AB460&amp;""'""),if(W460=""Venerable"",QUERY(NPCVar!$K$2:$N1000, ""Select N where K = '""&amp;AB460&amp;""'""),fa"&amp;"lse)))*X460"),93.75)</f>
        <v>93.75</v>
      </c>
      <c r="W460" s="156" t="str">
        <f t="array" ref="W460">INDEX(NPCAgeType,TRUNC(1+(4-1)*(TRUNC(MOD((X460*1103515245 +12345)/ 65536, 32768),0)/32768),0))</f>
        <v>Middle Age</v>
      </c>
      <c r="X460" s="117">
        <f t="shared" si="29"/>
        <v>0.5</v>
      </c>
      <c r="Y460" s="157" t="e">
        <f t="array" aca="1" ref="Y460" ca="1">LOOKUP(ABS(MAX(Z460 + MIN(ABS(INDIRECT("Class Jobs!B"&amp;MATCH(E460,'Class Jobs'!$A$1:$A1000,0)&amp;":"&amp;"AF"&amp;MATCH(E460,'Class Jobs'!$A$1:$A1000,0)&amp;"")-$Z460)) * SUM(IF(MIN(ABS(INDIRECT("Class Jobs!B"&amp;MATCH(E460,'Class Jobs'!$A$1:$A1000,0)&amp;":"&amp;"AF"&amp;MATCH(E460,'Class Jobs'!$A$1:$A1000,0)&amp;"")-$Z460))=ABS(INDIRECT("Class Jobs!B"&amp;MATCH(E460,'Class Jobs'!$A$1:$A1000,0)&amp;":"&amp;"AF"&amp;MATCH(E460,'Class Jobs'!$A$1:$A1000,0)&amp;"")-$Z460),SIGN(INDIRECT("Class Jobs!B"&amp;MATCH(E460,'Class Jobs'!$A$1:A1000,0)&amp;":"&amp;"AF"&amp;MATCH(E460,'Class Jobs'!$A$1:$A1000,0)&amp;"")-$Z460),0)),0)),INDIRECT("Class Jobs!B"&amp;MATCH(E460,'Class Jobs'!$A$1:$A1000,0)&amp;":"&amp;"AF"&amp;MATCH(E460,'Class Jobs'!$A$1:$A1000,1)&amp;""),'Class Jobs'!$B$1:$AF$1)</f>
        <v>#REF!</v>
      </c>
      <c r="Z460" s="158">
        <f t="shared" si="25"/>
        <v>0.19</v>
      </c>
      <c r="AA460" s="16" t="str">
        <f t="array" ref="AA460">INDEX(NPCGender,TRUNC(1+(COUNTA(NPCGender))*(TRUNC(MOD(($B460*1103515245 +12345)/ 65536, 32768),0)/32768),0))</f>
        <v>Male</v>
      </c>
      <c r="AB460" s="16" t="str">
        <f t="array" ref="AB460">INDEX(NPCRace,TRUNC(1+(COUNTA(NPCRace))*(TRUNC(MOD(($B460*1103515245 +12345)/ 65536, 32768),0)/32768),0))</f>
        <v>Elf</v>
      </c>
      <c r="AC460" s="16" t="str">
        <f t="array" ref="AC460">INDEX(NPCAL,TRUNC(1+(COUNTA(NPCAL))*(TRUNC(MOD(($B460*1103515245 +12345)/ 65536, 32768),0)/32768),0))</f>
        <v>CE</v>
      </c>
      <c r="AD460" s="72" t="str">
        <f ca="1">IFERROR(__xludf.DUMMYFUNCTION("if(V460&lt;15,QUERY(NPCVar!C:D,""Select D WHERE C = '""&amp;D460&amp;""'""),if((TRUNC(1+10)*(TRUNC(MOD((ROW(H460)*1103515245 +12345)/ 65536, 32768),0)/32768)/10) &gt; 0.85,INDEX(NPCFaction,TRUNC(1+(counta(NPCFaction)-1)*(TRUNC(MOD(($B460*1103515245 +12345)/ 65536, 3276"&amp;"8),0)/32768),0)),QUERY(NPCVar!C:D,""Select D WHERE C = '""&amp;D460&amp;""'"")))"),"Magic Guild")</f>
        <v>Magic Guild</v>
      </c>
      <c r="AE460" s="108" t="e">
        <f t="shared" ca="1" si="26"/>
        <v>#NAME?</v>
      </c>
      <c r="AF460" s="159">
        <f ca="1">IFERROR(__xludf.DUMMYFUNCTION("AE460*(V460 / QUERY(NPCVar!$K$2:$N$12, ""Select N WHERE K='""&amp;AB460&amp;""'""))*TRUNC(1+10)*(TRUNC(MOD(($B460*1103515245 +12345)/ 65536, 32768),0)/32768)"),0.125213623046875)</f>
        <v>0.125213623046875</v>
      </c>
      <c r="AG460" s="16"/>
      <c r="AH460" s="77"/>
      <c r="AI460" s="114"/>
    </row>
    <row r="461" spans="1:35" ht="16.2">
      <c r="A461" s="53">
        <v>460</v>
      </c>
      <c r="B461" s="118">
        <f t="shared" si="32"/>
        <v>1.2945599999999999</v>
      </c>
      <c r="C461" s="72" t="str">
        <f t="array" ref="C461">INDEX(NPCFName,TRUNC(1+(COUNTA(NPCFName))*(TRUNC(MOD(($B461*1103515245 +12345)/ 65536, 32768),0)/32768),0))</f>
        <v>Zutar</v>
      </c>
      <c r="D461" s="16" t="str">
        <f t="array" ref="D461">INDEX(NPCLName,TRUNC(1+(COUNTA(NPCLName))*(TRUNC(MOD(($B461*1103515245 +12345)/ 65536, 32768),0)/32768),0))</f>
        <v>Mourninglash</v>
      </c>
      <c r="E461" s="16" t="str">
        <f t="array" ref="E461">INDEX(NPCClass,TRUNC(1+(COUNTA(NPCClass))*(TRUNC(MOD(($B461*1103515245 +12345)/ 65536, 32768),0)/32768),0))</f>
        <v>Warlock</v>
      </c>
      <c r="F461" s="76">
        <v>8</v>
      </c>
      <c r="G461" s="153">
        <f ca="1">VLOOKUP($AB$2,'RF Mod'!$A$2:$G$12,2,FALSE)+VLOOKUP($AD$2,'RF Mod'!$I$2:$O$11,2,FALSE)+(TRUNC(6+(24-6)*(TRUNC(MOD(($Z461*1103515245 +12345)/ 65536, 32768),0)/32768),0))</f>
        <v>10</v>
      </c>
      <c r="H461" s="16" t="e">
        <f t="shared" ca="1" si="17"/>
        <v>#NAME?</v>
      </c>
      <c r="I461" s="153">
        <f ca="1">VLOOKUP($AB$2,'RF Mod'!$A$2:$G$12,3,FALSE)+VLOOKUP($AD$2,'RF Mod'!$I$2:$O$11,3,FALSE)+(TRUNC(6+(24-6)*(TRUNC(MOD(($Z461*1103515245 +12345)/ 65536, 32768),0)/32768),0))</f>
        <v>14</v>
      </c>
      <c r="J461" s="16" t="e">
        <f t="shared" ca="1" si="18"/>
        <v>#NAME?</v>
      </c>
      <c r="K461" s="153">
        <f ca="1">VLOOKUP($AB$2,'RF Mod'!$A$2:$G$12,3,FALSE)+VLOOKUP($AD$2,'RF Mod'!$I$2:$O$11,3,FALSE)+(TRUNC(6+(24-6)*(TRUNC(MOD(($Z461*1103515245 +12345)/ 65536, 32768),0)/32768),0))</f>
        <v>14</v>
      </c>
      <c r="L461" s="16" t="e">
        <f t="shared" ca="1" si="19"/>
        <v>#NAME?</v>
      </c>
      <c r="M461" s="153">
        <f ca="1">VLOOKUP($AB$2,'RF Mod'!$A$2:$G$12,4,FALSE)+VLOOKUP($AD$2,'RF Mod'!$I$2:$O$11,4,FALSE)+(TRUNC(6+(24-6)*(TRUNC(MOD(($Z461*1103515245 +12345)/ 65536, 32768),0)/32768),0))</f>
        <v>13</v>
      </c>
      <c r="N461" s="16" t="e">
        <f t="shared" ca="1" si="20"/>
        <v>#NAME?</v>
      </c>
      <c r="O461" s="153">
        <f ca="1">VLOOKUP($AB$2,'RF Mod'!$A$2:$G$12,5,FALSE)+VLOOKUP($AD$2,'RF Mod'!$I$2:$O$11,5,FALSE)+(TRUNC(6+(24-6)*(TRUNC(MOD(($Z461*1103515245 +12345)/ 65536, 32768),0)/32768),0))</f>
        <v>16</v>
      </c>
      <c r="P461" s="16" t="e">
        <f t="shared" ca="1" si="21"/>
        <v>#NAME?</v>
      </c>
      <c r="Q461" s="153">
        <f ca="1">VLOOKUP($AB$2,'RF Mod'!$A$2:$G$12,6,FALSE)+VLOOKUP($AD$2,'RF Mod'!$I$2:$O$11,6,FALSE)+(TRUNC(6+(24-6)*(TRUNC(MOD(($Z461*1103515245 +12345)/ 65536, 32768),0)/32768),0))</f>
        <v>14</v>
      </c>
      <c r="R461" s="16" t="e">
        <f t="shared" ca="1" si="22"/>
        <v>#NAME?</v>
      </c>
      <c r="S461" s="154">
        <f t="shared" ca="1" si="28"/>
        <v>128</v>
      </c>
      <c r="T461" s="154">
        <f t="shared" ca="1" si="23"/>
        <v>32</v>
      </c>
      <c r="U461" s="16" t="str">
        <f t="shared" ca="1" si="24"/>
        <v>Fine</v>
      </c>
      <c r="V461" s="155">
        <f ca="1">IFERROR(__xludf.DUMMYFUNCTION("if(W461=""Middle Age"",QUERY(NPCVar!$K$2:$N1000, ""Select L where K = '""&amp;AB461&amp;""'""),if(W461=""Old"",QUERY(NPCVar!$K$2:$N1000, ""Select M where K = '""&amp;AB461&amp;""'""),if(W461=""Venerable"",QUERY(NPCVar!$K$2:$N1000, ""Select N where K = '""&amp;AB461&amp;""'""),fa"&amp;"lse)))*X461"),144)</f>
        <v>144</v>
      </c>
      <c r="W461" s="156" t="str">
        <f t="array" ref="W461">INDEX(NPCAgeType,TRUNC(1+(4-1)*(TRUNC(MOD((X461*1103515245 +12345)/ 65536, 32768),0)/32768),0))</f>
        <v>Venerable</v>
      </c>
      <c r="X461" s="117">
        <f t="shared" si="29"/>
        <v>1.6</v>
      </c>
      <c r="Y461" s="157" t="e">
        <f t="array" aca="1" ref="Y461" ca="1">LOOKUP(ABS(MAX(Z461 + MIN(ABS(INDIRECT("Class Jobs!B"&amp;MATCH(E461,'Class Jobs'!$A$1:$A1000,0)&amp;":"&amp;"AF"&amp;MATCH(E461,'Class Jobs'!$A$1:$A1000,0)&amp;"")-$Z461)) * SUM(IF(MIN(ABS(INDIRECT("Class Jobs!B"&amp;MATCH(E461,'Class Jobs'!$A$1:$A1000,0)&amp;":"&amp;"AF"&amp;MATCH(E461,'Class Jobs'!$A$1:$A1000,0)&amp;"")-$Z461))=ABS(INDIRECT("Class Jobs!B"&amp;MATCH(E461,'Class Jobs'!$A$1:$A1000,0)&amp;":"&amp;"AF"&amp;MATCH(E461,'Class Jobs'!$A$1:$A1000,0)&amp;"")-$Z461),SIGN(INDIRECT("Class Jobs!B"&amp;MATCH(E461,'Class Jobs'!$A$1:A1000,0)&amp;":"&amp;"AF"&amp;MATCH(E461,'Class Jobs'!$A$1:$A1000,0)&amp;"")-$Z461),0)),0)),INDIRECT("Class Jobs!B"&amp;MATCH(E461,'Class Jobs'!$A$1:$A1000,0)&amp;":"&amp;"AF"&amp;MATCH(E461,'Class Jobs'!$A$1:$A1000,1)&amp;""),'Class Jobs'!$B$1:$AF$1)</f>
        <v>#REF!</v>
      </c>
      <c r="Z461" s="158">
        <f t="shared" si="25"/>
        <v>0.66</v>
      </c>
      <c r="AA461" s="16" t="str">
        <f t="array" ref="AA461">INDEX(NPCGender,TRUNC(1+(COUNTA(NPCGender))*(TRUNC(MOD(($B461*1103515245 +12345)/ 65536, 32768),0)/32768),0))</f>
        <v>Female</v>
      </c>
      <c r="AB461" s="16" t="str">
        <f t="array" ref="AB461">INDEX(NPCRace,TRUNC(1+(COUNTA(NPCRace))*(TRUNC(MOD(($B461*1103515245 +12345)/ 65536, 32768),0)/32768),0))</f>
        <v>Human</v>
      </c>
      <c r="AC461" s="16" t="str">
        <f t="array" ref="AC461">INDEX(NPCAL,TRUNC(1+(COUNTA(NPCAL))*(TRUNC(MOD(($B461*1103515245 +12345)/ 65536, 32768),0)/32768),0))</f>
        <v>NE</v>
      </c>
      <c r="AD461" s="72" t="str">
        <f ca="1">IFERROR(__xludf.DUMMYFUNCTION("if(V461&lt;15,QUERY(NPCVar!C:D,""Select D WHERE C = '""&amp;D461&amp;""'""),if((TRUNC(1+10)*(TRUNC(MOD((ROW(H461)*1103515245 +12345)/ 65536, 32768),0)/32768)/10) &gt; 0.85,INDEX(NPCFaction,TRUNC(1+(counta(NPCFaction)-1)*(TRUNC(MOD(($B461*1103515245 +12345)/ 65536, 3276"&amp;"8),0)/32768),0)),QUERY(NPCVar!C:D,""Select D WHERE C = '""&amp;D461&amp;""'"")))"),"Death Guild")</f>
        <v>Death Guild</v>
      </c>
      <c r="AE461" s="108" t="e">
        <f t="shared" ca="1" si="26"/>
        <v>#NAME?</v>
      </c>
      <c r="AF461" s="159">
        <f ca="1">IFERROR(__xludf.DUMMYFUNCTION("AE461*(V461 / QUERY(NPCVar!$K$2:$N$12, ""Select N WHERE K='""&amp;AB461&amp;""'""))*TRUNC(1+10)*(TRUNC(MOD(($B461*1103515245 +12345)/ 65536, 32768),0)/32768)"),5.853955078125)</f>
        <v>5.8539550781249998</v>
      </c>
      <c r="AG461" s="16"/>
      <c r="AH461" s="77"/>
      <c r="AI461" s="114"/>
    </row>
    <row r="462" spans="1:35" ht="16.2">
      <c r="A462" s="53">
        <v>461</v>
      </c>
      <c r="B462" s="118">
        <f t="shared" si="32"/>
        <v>0.28870000000000001</v>
      </c>
      <c r="C462" s="72" t="str">
        <f t="array" ref="C462">INDEX(NPCFName,TRUNC(1+(COUNTA(NPCFName))*(TRUNC(MOD(($B462*1103515245 +12345)/ 65536, 32768),0)/32768),0))</f>
        <v>Janus</v>
      </c>
      <c r="D462" s="16" t="str">
        <f t="array" ref="D462">INDEX(NPCLName,TRUNC(1+(COUNTA(NPCLName))*(TRUNC(MOD(($B462*1103515245 +12345)/ 65536, 32768),0)/32768),0))</f>
        <v>Fistwing</v>
      </c>
      <c r="E462" s="16" t="str">
        <f t="array" ref="E462">INDEX(NPCClass,TRUNC(1+(COUNTA(NPCClass))*(TRUNC(MOD(($B462*1103515245 +12345)/ 65536, 32768),0)/32768),0))</f>
        <v>Bard</v>
      </c>
      <c r="F462" s="76">
        <v>1</v>
      </c>
      <c r="G462" s="153">
        <f ca="1">VLOOKUP($AB$2,'RF Mod'!$A$2:$G$12,2,FALSE)+VLOOKUP($AD$2,'RF Mod'!$I$2:$O$11,2,FALSE)+(TRUNC(6+(24-6)*(TRUNC(MOD(($Z462*1103515245 +12345)/ 65536, 32768),0)/32768),0))</f>
        <v>5</v>
      </c>
      <c r="H462" s="16">
        <f t="shared" ca="1" si="17"/>
        <v>-3</v>
      </c>
      <c r="I462" s="153">
        <f ca="1">VLOOKUP($AB$2,'RF Mod'!$A$2:$G$12,3,FALSE)+VLOOKUP($AD$2,'RF Mod'!$I$2:$O$11,3,FALSE)+(TRUNC(6+(24-6)*(TRUNC(MOD(($Z462*1103515245 +12345)/ 65536, 32768),0)/32768),0))</f>
        <v>9</v>
      </c>
      <c r="J462" s="16">
        <f t="shared" ca="1" si="18"/>
        <v>-1</v>
      </c>
      <c r="K462" s="153">
        <f ca="1">VLOOKUP($AB$2,'RF Mod'!$A$2:$G$12,3,FALSE)+VLOOKUP($AD$2,'RF Mod'!$I$2:$O$11,3,FALSE)+(TRUNC(6+(24-6)*(TRUNC(MOD(($Z462*1103515245 +12345)/ 65536, 32768),0)/32768),0))</f>
        <v>9</v>
      </c>
      <c r="L462" s="16">
        <f t="shared" ca="1" si="19"/>
        <v>-1</v>
      </c>
      <c r="M462" s="153">
        <f ca="1">VLOOKUP($AB$2,'RF Mod'!$A$2:$G$12,4,FALSE)+VLOOKUP($AD$2,'RF Mod'!$I$2:$O$11,4,FALSE)+(TRUNC(6+(24-6)*(TRUNC(MOD(($Z462*1103515245 +12345)/ 65536, 32768),0)/32768),0))</f>
        <v>8</v>
      </c>
      <c r="N462" s="16">
        <f t="shared" ca="1" si="20"/>
        <v>-1</v>
      </c>
      <c r="O462" s="153">
        <f ca="1">VLOOKUP($AB$2,'RF Mod'!$A$2:$G$12,5,FALSE)+VLOOKUP($AD$2,'RF Mod'!$I$2:$O$11,5,FALSE)+(TRUNC(6+(24-6)*(TRUNC(MOD(($Z462*1103515245 +12345)/ 65536, 32768),0)/32768),0))</f>
        <v>11</v>
      </c>
      <c r="P462" s="16" t="e">
        <f t="shared" ca="1" si="21"/>
        <v>#NAME?</v>
      </c>
      <c r="Q462" s="153">
        <f ca="1">VLOOKUP($AB$2,'RF Mod'!$A$2:$G$12,6,FALSE)+VLOOKUP($AD$2,'RF Mod'!$I$2:$O$11,6,FALSE)+(TRUNC(6+(24-6)*(TRUNC(MOD(($Z462*1103515245 +12345)/ 65536, 32768),0)/32768),0))</f>
        <v>9</v>
      </c>
      <c r="R462" s="16">
        <f t="shared" ca="1" si="22"/>
        <v>-1</v>
      </c>
      <c r="S462" s="154">
        <f t="shared" ca="1" si="28"/>
        <v>11</v>
      </c>
      <c r="T462" s="154">
        <f t="shared" ca="1" si="23"/>
        <v>7</v>
      </c>
      <c r="U462" s="16" t="str">
        <f t="shared" ca="1" si="24"/>
        <v>Bloody</v>
      </c>
      <c r="V462" s="155">
        <f ca="1">IFERROR(__xludf.DUMMYFUNCTION("if(W462=""Middle Age"",QUERY(NPCVar!$K$2:$N1000, ""Select L where K = '""&amp;AB462&amp;""'""),if(W462=""Old"",QUERY(NPCVar!$K$2:$N1000, ""Select M where K = '""&amp;AB462&amp;""'""),if(W462=""Venerable"",QUERY(NPCVar!$K$2:$N1000, ""Select N where K = '""&amp;AB462&amp;""'""),fa"&amp;"lse)))*X462"),32)</f>
        <v>32</v>
      </c>
      <c r="W462" s="156" t="str">
        <f t="array" ref="W462">INDEX(NPCAgeType,TRUNC(1+(4-1)*(TRUNC(MOD((X462*1103515245 +12345)/ 65536, 32768),0)/32768),0))</f>
        <v>Middle Age</v>
      </c>
      <c r="X462" s="117">
        <f t="shared" si="29"/>
        <v>0.4</v>
      </c>
      <c r="Y462" s="157" t="e">
        <f t="array" aca="1" ref="Y462" ca="1">LOOKUP(ABS(MAX(Z462 + MIN(ABS(INDIRECT("Class Jobs!B"&amp;MATCH(E462,'Class Jobs'!$A$1:$A1000,0)&amp;":"&amp;"AF"&amp;MATCH(E462,'Class Jobs'!$A$1:$A1000,0)&amp;"")-$Z462)) * SUM(IF(MIN(ABS(INDIRECT("Class Jobs!B"&amp;MATCH(E462,'Class Jobs'!$A$1:$A1000,0)&amp;":"&amp;"AF"&amp;MATCH(E462,'Class Jobs'!$A$1:$A1000,0)&amp;"")-$Z462))=ABS(INDIRECT("Class Jobs!B"&amp;MATCH(E462,'Class Jobs'!$A$1:$A1000,0)&amp;":"&amp;"AF"&amp;MATCH(E462,'Class Jobs'!$A$1:$A1000,0)&amp;"")-$Z462),SIGN(INDIRECT("Class Jobs!B"&amp;MATCH(E462,'Class Jobs'!$A$1:A1000,0)&amp;":"&amp;"AF"&amp;MATCH(E462,'Class Jobs'!$A$1:$A1000,0)&amp;"")-$Z462),0)),0)),INDIRECT("Class Jobs!B"&amp;MATCH(E462,'Class Jobs'!$A$1:$A1000,0)&amp;":"&amp;"AF"&amp;MATCH(E462,'Class Jobs'!$A$1:$A1000,1)&amp;""),'Class Jobs'!$B$1:$AF$1)</f>
        <v>#REF!</v>
      </c>
      <c r="Z462" s="158">
        <f t="shared" si="25"/>
        <v>0.15</v>
      </c>
      <c r="AA462" s="16" t="str">
        <f t="array" ref="AA462">INDEX(NPCGender,TRUNC(1+(COUNTA(NPCGender))*(TRUNC(MOD(($B462*1103515245 +12345)/ 65536, 32768),0)/32768),0))</f>
        <v>Male</v>
      </c>
      <c r="AB462" s="16" t="str">
        <f t="array" ref="AB462">INDEX(NPCRace,TRUNC(1+(COUNTA(NPCRace))*(TRUNC(MOD(($B462*1103515245 +12345)/ 65536, 32768),0)/32768),0))</f>
        <v>Dwarf</v>
      </c>
      <c r="AC462" s="16" t="str">
        <f t="array" ref="AC462">INDEX(NPCAL,TRUNC(1+(COUNTA(NPCAL))*(TRUNC(MOD(($B462*1103515245 +12345)/ 65536, 32768),0)/32768),0))</f>
        <v>CE</v>
      </c>
      <c r="AD462" s="72" t="str">
        <f ca="1">IFERROR(__xludf.DUMMYFUNCTION("if(V462&lt;15,QUERY(NPCVar!C:D,""Select D WHERE C = '""&amp;D462&amp;""'""),if((TRUNC(1+10)*(TRUNC(MOD((ROW(H462)*1103515245 +12345)/ 65536, 32768),0)/32768)/10) &gt; 0.85,INDEX(NPCFaction,TRUNC(1+(counta(NPCFaction)-1)*(TRUNC(MOD(($B462*1103515245 +12345)/ 65536, 3276"&amp;"8),0)/32768),0)),QUERY(NPCVar!C:D,""Select D WHERE C = '""&amp;D462&amp;""'"")))"),"Royalty")</f>
        <v>Royalty</v>
      </c>
      <c r="AE462" s="108" t="e">
        <f t="shared" ca="1" si="26"/>
        <v>#NAME?</v>
      </c>
      <c r="AF462" s="159">
        <f ca="1">IFERROR(__xludf.DUMMYFUNCTION("AE462*(V462 / QUERY(NPCVar!$K$2:$N$12, ""Select N WHERE K='""&amp;AB462&amp;""'""))*TRUNC(1+10)*(TRUNC(MOD(($B462*1103515245 +12345)/ 65536, 32768),0)/32768)"),0.0979083251953125)</f>
        <v>9.7908325195312507E-2</v>
      </c>
      <c r="AG462" s="16"/>
      <c r="AH462" s="77"/>
      <c r="AI462" s="114"/>
    </row>
    <row r="463" spans="1:35" ht="16.2">
      <c r="A463" s="53">
        <v>462</v>
      </c>
      <c r="B463" s="118">
        <f t="shared" si="32"/>
        <v>1.7828299999999999</v>
      </c>
      <c r="C463" s="72" t="str">
        <f t="array" ref="C463">INDEX(NPCFName,TRUNC(1+(COUNTA(NPCFName))*(TRUNC(MOD(($B463*1103515245 +12345)/ 65536, 32768),0)/32768),0))</f>
        <v>Rulrindale</v>
      </c>
      <c r="D463" s="16" t="str">
        <f t="array" ref="D463">INDEX(NPCLName,TRUNC(1+(COUNTA(NPCLName))*(TRUNC(MOD(($B463*1103515245 +12345)/ 65536, 32768),0)/32768),0))</f>
        <v>Stormwolf</v>
      </c>
      <c r="E463" s="16" t="str">
        <f t="array" ref="E463">INDEX(NPCClass,TRUNC(1+(COUNTA(NPCClass))*(TRUNC(MOD(($B463*1103515245 +12345)/ 65536, 32768),0)/32768),0))</f>
        <v>Fighter</v>
      </c>
      <c r="F463" s="76">
        <v>8</v>
      </c>
      <c r="G463" s="153">
        <f ca="1">VLOOKUP($AB$2,'RF Mod'!$A$2:$G$12,2,FALSE)+VLOOKUP($AD$2,'RF Mod'!$I$2:$O$11,2,FALSE)+(TRUNC(6+(24-6)*(TRUNC(MOD(($Z463*1103515245 +12345)/ 65536, 32768),0)/32768),0))</f>
        <v>12</v>
      </c>
      <c r="H463" s="16" t="e">
        <f t="shared" ca="1" si="17"/>
        <v>#NAME?</v>
      </c>
      <c r="I463" s="153">
        <f ca="1">VLOOKUP($AB$2,'RF Mod'!$A$2:$G$12,3,FALSE)+VLOOKUP($AD$2,'RF Mod'!$I$2:$O$11,3,FALSE)+(TRUNC(6+(24-6)*(TRUNC(MOD(($Z463*1103515245 +12345)/ 65536, 32768),0)/32768),0))</f>
        <v>16</v>
      </c>
      <c r="J463" s="16" t="e">
        <f t="shared" ca="1" si="18"/>
        <v>#NAME?</v>
      </c>
      <c r="K463" s="153">
        <f ca="1">VLOOKUP($AB$2,'RF Mod'!$A$2:$G$12,3,FALSE)+VLOOKUP($AD$2,'RF Mod'!$I$2:$O$11,3,FALSE)+(TRUNC(6+(24-6)*(TRUNC(MOD(($Z463*1103515245 +12345)/ 65536, 32768),0)/32768),0))</f>
        <v>16</v>
      </c>
      <c r="L463" s="16" t="e">
        <f t="shared" ca="1" si="19"/>
        <v>#NAME?</v>
      </c>
      <c r="M463" s="153">
        <f ca="1">VLOOKUP($AB$2,'RF Mod'!$A$2:$G$12,4,FALSE)+VLOOKUP($AD$2,'RF Mod'!$I$2:$O$11,4,FALSE)+(TRUNC(6+(24-6)*(TRUNC(MOD(($Z463*1103515245 +12345)/ 65536, 32768),0)/32768),0))</f>
        <v>15</v>
      </c>
      <c r="N463" s="16" t="e">
        <f t="shared" ca="1" si="20"/>
        <v>#NAME?</v>
      </c>
      <c r="O463" s="153">
        <f ca="1">VLOOKUP($AB$2,'RF Mod'!$A$2:$G$12,5,FALSE)+VLOOKUP($AD$2,'RF Mod'!$I$2:$O$11,5,FALSE)+(TRUNC(6+(24-6)*(TRUNC(MOD(($Z463*1103515245 +12345)/ 65536, 32768),0)/32768),0))</f>
        <v>18</v>
      </c>
      <c r="P463" s="16" t="e">
        <f t="shared" ca="1" si="21"/>
        <v>#NAME?</v>
      </c>
      <c r="Q463" s="153">
        <f ca="1">VLOOKUP($AB$2,'RF Mod'!$A$2:$G$12,6,FALSE)+VLOOKUP($AD$2,'RF Mod'!$I$2:$O$11,6,FALSE)+(TRUNC(6+(24-6)*(TRUNC(MOD(($Z463*1103515245 +12345)/ 65536, 32768),0)/32768),0))</f>
        <v>16</v>
      </c>
      <c r="R463" s="16" t="e">
        <f t="shared" ca="1" si="22"/>
        <v>#NAME?</v>
      </c>
      <c r="S463" s="154">
        <f t="shared" ca="1" si="28"/>
        <v>192</v>
      </c>
      <c r="T463" s="154">
        <f t="shared" ca="1" si="23"/>
        <v>101</v>
      </c>
      <c r="U463" s="16" t="str">
        <f t="shared" ca="1" si="24"/>
        <v>Bloody</v>
      </c>
      <c r="V463" s="155">
        <f ca="1">IFERROR(__xludf.DUMMYFUNCTION("if(W463=""Middle Age"",QUERY(NPCVar!$K$2:$N1000, ""Select L where K = '""&amp;AB463&amp;""'""),if(W463=""Old"",QUERY(NPCVar!$K$2:$N1000, ""Select M where K = '""&amp;AB463&amp;""'""),if(W463=""Venerable"",QUERY(NPCVar!$K$2:$N1000, ""Select N where K = '""&amp;AB463&amp;""'""),fa"&amp;"lse)))*X463"),66)</f>
        <v>66</v>
      </c>
      <c r="W463" s="156" t="str">
        <f t="array" ref="W463">INDEX(NPCAgeType,TRUNC(1+(4-1)*(TRUNC(MOD((X463*1103515245 +12345)/ 65536, 32768),0)/32768),0))</f>
        <v>Middle Age</v>
      </c>
      <c r="X463" s="117">
        <f t="shared" si="29"/>
        <v>2.2000000000000002</v>
      </c>
      <c r="Y463" s="157" t="e">
        <f t="array" aca="1" ref="Y463" ca="1">LOOKUP(ABS(MAX(Z463 + MIN(ABS(INDIRECT("Class Jobs!B"&amp;MATCH(E463,'Class Jobs'!$A$1:$A1000,0)&amp;":"&amp;"AF"&amp;MATCH(E463,'Class Jobs'!$A$1:$A1000,0)&amp;"")-$Z463)) * SUM(IF(MIN(ABS(INDIRECT("Class Jobs!B"&amp;MATCH(E463,'Class Jobs'!$A$1:$A1000,0)&amp;":"&amp;"AF"&amp;MATCH(E463,'Class Jobs'!$A$1:$A1000,0)&amp;"")-$Z463))=ABS(INDIRECT("Class Jobs!B"&amp;MATCH(E463,'Class Jobs'!$A$1:$A1000,0)&amp;":"&amp;"AF"&amp;MATCH(E463,'Class Jobs'!$A$1:$A1000,0)&amp;"")-$Z463),SIGN(INDIRECT("Class Jobs!B"&amp;MATCH(E463,'Class Jobs'!$A$1:A1000,0)&amp;":"&amp;"AF"&amp;MATCH(E463,'Class Jobs'!$A$1:$A1000,0)&amp;"")-$Z463),0)),0)),INDIRECT("Class Jobs!B"&amp;MATCH(E463,'Class Jobs'!$A$1:$A1000,0)&amp;":"&amp;"AF"&amp;MATCH(E463,'Class Jobs'!$A$1:$A1000,1)&amp;""),'Class Jobs'!$B$1:$AF$1)</f>
        <v>#REF!</v>
      </c>
      <c r="Z463" s="158">
        <f t="shared" si="25"/>
        <v>0.91</v>
      </c>
      <c r="AA463" s="16" t="str">
        <f t="array" ref="AA463">INDEX(NPCGender,TRUNC(1+(COUNTA(NPCGender))*(TRUNC(MOD(($B463*1103515245 +12345)/ 65536, 32768),0)/32768),0))</f>
        <v>Neutral</v>
      </c>
      <c r="AB463" s="16" t="str">
        <f t="array" ref="AB463">INDEX(NPCRace,TRUNC(1+(COUNTA(NPCRace))*(TRUNC(MOD(($B463*1103515245 +12345)/ 65536, 32768),0)/32768),0))</f>
        <v>Goliath</v>
      </c>
      <c r="AC463" s="16" t="str">
        <f t="array" ref="AC463">INDEX(NPCAL,TRUNC(1+(COUNTA(NPCAL))*(TRUNC(MOD(($B463*1103515245 +12345)/ 65536, 32768),0)/32768),0))</f>
        <v>LE</v>
      </c>
      <c r="AD463" s="72" t="str">
        <f ca="1">IFERROR(__xludf.DUMMYFUNCTION("if(V463&lt;15,QUERY(NPCVar!C:D,""Select D WHERE C = '""&amp;D463&amp;""'""),if((TRUNC(1+10)*(TRUNC(MOD((ROW(H463)*1103515245 +12345)/ 65536, 32768),0)/32768)/10) &gt; 0.85,INDEX(NPCFaction,TRUNC(1+(counta(NPCFaction)-1)*(TRUNC(MOD(($B463*1103515245 +12345)/ 65536, 3276"&amp;"8),0)/32768),0)),QUERY(NPCVar!C:D,""Select D WHERE C = '""&amp;D463&amp;""'"")))"),"Traverlers Guild")</f>
        <v>Traverlers Guild</v>
      </c>
      <c r="AE463" s="108" t="e">
        <f t="shared" ca="1" si="26"/>
        <v>#NAME?</v>
      </c>
      <c r="AF463" s="159">
        <f ca="1">IFERROR(__xludf.DUMMYFUNCTION("AE463*(V463 / QUERY(NPCVar!$K$2:$N$12, ""Select N WHERE K='""&amp;AB463&amp;""'""))*TRUNC(1+10)*(TRUNC(MOD(($B463*1103515245 +12345)/ 65536, 32768),0)/32768)"),2.77131652832031)</f>
        <v>2.7713165283203098</v>
      </c>
      <c r="AG463" s="16"/>
      <c r="AH463" s="77"/>
      <c r="AI463" s="114"/>
    </row>
    <row r="464" spans="1:35" ht="16.2">
      <c r="A464" s="53">
        <v>463</v>
      </c>
      <c r="B464" s="118">
        <f t="shared" si="32"/>
        <v>0.77698</v>
      </c>
      <c r="C464" s="72" t="str">
        <f t="array" ref="C464">INDEX(NPCFName,TRUNC(1+(COUNTA(NPCFName))*(TRUNC(MOD(($B464*1103515245 +12345)/ 65536, 32768),0)/32768),0))</f>
        <v>Dapvhir</v>
      </c>
      <c r="D464" s="16" t="str">
        <f t="array" ref="D464">INDEX(NPCLName,TRUNC(1+(COUNTA(NPCLName))*(TRUNC(MOD(($B464*1103515245 +12345)/ 65536, 32768),0)/32768),0))</f>
        <v>Fistroot</v>
      </c>
      <c r="E464" s="16" t="str">
        <f t="array" ref="E464">INDEX(NPCClass,TRUNC(1+(COUNTA(NPCClass))*(TRUNC(MOD(($B464*1103515245 +12345)/ 65536, 32768),0)/32768),0))</f>
        <v>Paladin</v>
      </c>
      <c r="F464" s="76">
        <v>6</v>
      </c>
      <c r="G464" s="153">
        <f ca="1">VLOOKUP($AB$2,'RF Mod'!$A$2:$G$12,2,FALSE)+VLOOKUP($AD$2,'RF Mod'!$I$2:$O$11,2,FALSE)+(TRUNC(6+(24-6)*(TRUNC(MOD(($Z464*1103515245 +12345)/ 65536, 32768),0)/32768),0))</f>
        <v>7</v>
      </c>
      <c r="H464" s="16">
        <f t="shared" ca="1" si="17"/>
        <v>-2</v>
      </c>
      <c r="I464" s="153">
        <f ca="1">VLOOKUP($AB$2,'RF Mod'!$A$2:$G$12,3,FALSE)+VLOOKUP($AD$2,'RF Mod'!$I$2:$O$11,3,FALSE)+(TRUNC(6+(24-6)*(TRUNC(MOD(($Z464*1103515245 +12345)/ 65536, 32768),0)/32768),0))</f>
        <v>11</v>
      </c>
      <c r="J464" s="16" t="e">
        <f t="shared" ca="1" si="18"/>
        <v>#NAME?</v>
      </c>
      <c r="K464" s="153">
        <f ca="1">VLOOKUP($AB$2,'RF Mod'!$A$2:$G$12,3,FALSE)+VLOOKUP($AD$2,'RF Mod'!$I$2:$O$11,3,FALSE)+(TRUNC(6+(24-6)*(TRUNC(MOD(($Z464*1103515245 +12345)/ 65536, 32768),0)/32768),0))</f>
        <v>11</v>
      </c>
      <c r="L464" s="16" t="e">
        <f t="shared" ca="1" si="19"/>
        <v>#NAME?</v>
      </c>
      <c r="M464" s="153">
        <f ca="1">VLOOKUP($AB$2,'RF Mod'!$A$2:$G$12,4,FALSE)+VLOOKUP($AD$2,'RF Mod'!$I$2:$O$11,4,FALSE)+(TRUNC(6+(24-6)*(TRUNC(MOD(($Z464*1103515245 +12345)/ 65536, 32768),0)/32768),0))</f>
        <v>10</v>
      </c>
      <c r="N464" s="16" t="e">
        <f t="shared" ca="1" si="20"/>
        <v>#NAME?</v>
      </c>
      <c r="O464" s="153">
        <f ca="1">VLOOKUP($AB$2,'RF Mod'!$A$2:$G$12,5,FALSE)+VLOOKUP($AD$2,'RF Mod'!$I$2:$O$11,5,FALSE)+(TRUNC(6+(24-6)*(TRUNC(MOD(($Z464*1103515245 +12345)/ 65536, 32768),0)/32768),0))</f>
        <v>13</v>
      </c>
      <c r="P464" s="16" t="e">
        <f t="shared" ca="1" si="21"/>
        <v>#NAME?</v>
      </c>
      <c r="Q464" s="153">
        <f ca="1">VLOOKUP($AB$2,'RF Mod'!$A$2:$G$12,6,FALSE)+VLOOKUP($AD$2,'RF Mod'!$I$2:$O$11,6,FALSE)+(TRUNC(6+(24-6)*(TRUNC(MOD(($Z464*1103515245 +12345)/ 65536, 32768),0)/32768),0))</f>
        <v>11</v>
      </c>
      <c r="R464" s="16" t="e">
        <f t="shared" ca="1" si="22"/>
        <v>#NAME?</v>
      </c>
      <c r="S464" s="154">
        <f t="shared" ca="1" si="28"/>
        <v>150</v>
      </c>
      <c r="T464" s="154">
        <f t="shared" ca="1" si="23"/>
        <v>99</v>
      </c>
      <c r="U464" s="16" t="str">
        <f t="shared" ca="1" si="24"/>
        <v>Bloody</v>
      </c>
      <c r="V464" s="155">
        <f ca="1">IFERROR(__xludf.DUMMYFUNCTION("if(W464=""Middle Age"",QUERY(NPCVar!$K$2:$N1000, ""Select L where K = '""&amp;AB464&amp;""'""),if(W464=""Old"",QUERY(NPCVar!$K$2:$N1000, ""Select M where K = '""&amp;AB464&amp;""'""),if(W464=""Venerable"",QUERY(NPCVar!$K$2:$N1000, ""Select N where K = '""&amp;AB464&amp;""'""),fa"&amp;"lse)))*X464"),67.5)</f>
        <v>67.5</v>
      </c>
      <c r="W464" s="156" t="str">
        <f t="array" ref="W464">INDEX(NPCAgeType,TRUNC(1+(4-1)*(TRUNC(MOD((X464*1103515245 +12345)/ 65536, 32768),0)/32768),0))</f>
        <v>Old</v>
      </c>
      <c r="X464" s="117">
        <f t="shared" si="29"/>
        <v>1</v>
      </c>
      <c r="Y464" s="157" t="e">
        <f t="array" aca="1" ref="Y464" ca="1">LOOKUP(ABS(MAX(Z464 + MIN(ABS(INDIRECT("Class Jobs!B"&amp;MATCH(E464,'Class Jobs'!$A$1:$A1000,0)&amp;":"&amp;"AF"&amp;MATCH(E464,'Class Jobs'!$A$1:$A1000,0)&amp;"")-$Z464)) * SUM(IF(MIN(ABS(INDIRECT("Class Jobs!B"&amp;MATCH(E464,'Class Jobs'!$A$1:$A1000,0)&amp;":"&amp;"AF"&amp;MATCH(E464,'Class Jobs'!$A$1:$A1000,0)&amp;"")-$Z464))=ABS(INDIRECT("Class Jobs!B"&amp;MATCH(E464,'Class Jobs'!$A$1:$A1000,0)&amp;":"&amp;"AF"&amp;MATCH(E464,'Class Jobs'!$A$1:$A1000,0)&amp;"")-$Z464),SIGN(INDIRECT("Class Jobs!B"&amp;MATCH(E464,'Class Jobs'!$A$1:A1000,0)&amp;":"&amp;"AF"&amp;MATCH(E464,'Class Jobs'!$A$1:$A1000,0)&amp;"")-$Z464),0)),0)),INDIRECT("Class Jobs!B"&amp;MATCH(E464,'Class Jobs'!$A$1:$A1000,0)&amp;":"&amp;"AF"&amp;MATCH(E464,'Class Jobs'!$A$1:$A1000,1)&amp;""),'Class Jobs'!$B$1:$AF$1)</f>
        <v>#REF!</v>
      </c>
      <c r="Z464" s="158">
        <f t="shared" si="25"/>
        <v>0.4</v>
      </c>
      <c r="AA464" s="16" t="str">
        <f t="array" ref="AA464">INDEX(NPCGender,TRUNC(1+(COUNTA(NPCGender))*(TRUNC(MOD(($B464*1103515245 +12345)/ 65536, 32768),0)/32768),0))</f>
        <v>Female</v>
      </c>
      <c r="AB464" s="16" t="str">
        <f t="array" ref="AB464">INDEX(NPCRace,TRUNC(1+(COUNTA(NPCRace))*(TRUNC(MOD(($B464*1103515245 +12345)/ 65536, 32768),0)/32768),0))</f>
        <v>Half-Elf</v>
      </c>
      <c r="AC464" s="16" t="str">
        <f t="array" ref="AC464">INDEX(NPCAL,TRUNC(1+(COUNTA(NPCAL))*(TRUNC(MOD(($B464*1103515245 +12345)/ 65536, 32768),0)/32768),0))</f>
        <v>NG</v>
      </c>
      <c r="AD464" s="72" t="str">
        <f ca="1">IFERROR(__xludf.DUMMYFUNCTION("if(V464&lt;15,QUERY(NPCVar!C:D,""Select D WHERE C = '""&amp;D464&amp;""'""),if((TRUNC(1+10)*(TRUNC(MOD((ROW(H464)*1103515245 +12345)/ 65536, 32768),0)/32768)/10) &gt; 0.85,INDEX(NPCFaction,TRUNC(1+(counta(NPCFaction)-1)*(TRUNC(MOD(($B464*1103515245 +12345)/ 65536, 3276"&amp;"8),0)/32768),0)),QUERY(NPCVar!C:D,""Select D WHERE C = '""&amp;D464&amp;""'"")))"),"Magic Guild")</f>
        <v>Magic Guild</v>
      </c>
      <c r="AE464" s="108" t="e">
        <f t="shared" ca="1" si="26"/>
        <v>#NAME?</v>
      </c>
      <c r="AF464" s="159">
        <f ca="1">IFERROR(__xludf.DUMMYFUNCTION("AE464*(V464 / QUERY(NPCVar!$K$2:$N$12, ""Select N WHERE K='""&amp;AB464&amp;""'""))*TRUNC(1+10)*(TRUNC(MOD(($B464*1103515245 +12345)/ 65536, 32768),0)/32768)"),1.31756286621093)</f>
        <v>1.31756286621093</v>
      </c>
      <c r="AG464" s="16"/>
      <c r="AH464" s="77"/>
      <c r="AI464" s="114"/>
    </row>
    <row r="465" spans="1:35" ht="16.2">
      <c r="A465" s="53">
        <v>464</v>
      </c>
      <c r="B465" s="118">
        <f t="shared" si="32"/>
        <v>2.2711100000000002</v>
      </c>
      <c r="C465" s="72" t="str">
        <f t="array" ref="C465">INDEX(NPCFName,TRUNC(1+(COUNTA(NPCFName))*(TRUNC(MOD(($B465*1103515245 +12345)/ 65536, 32768),0)/32768),0))</f>
        <v>Kolmorn</v>
      </c>
      <c r="D465" s="16" t="str">
        <f t="array" ref="D465">INDEX(NPCLName,TRUNC(1+(COUNTA(NPCLName))*(TRUNC(MOD(($B465*1103515245 +12345)/ 65536, 32768),0)/32768),0))</f>
        <v>Ashcloud</v>
      </c>
      <c r="E465" s="16" t="str">
        <f t="array" ref="E465">INDEX(NPCClass,TRUNC(1+(COUNTA(NPCClass))*(TRUNC(MOD(($B465*1103515245 +12345)/ 65536, 32768),0)/32768),0))</f>
        <v>Druid</v>
      </c>
      <c r="F465" s="76">
        <v>1</v>
      </c>
      <c r="G465" s="153">
        <f ca="1">VLOOKUP($AB$2,'RF Mod'!$A$2:$G$12,2,FALSE)+VLOOKUP($AD$2,'RF Mod'!$I$2:$O$11,2,FALSE)+(TRUNC(6+(24-6)*(TRUNC(MOD(($Z465*1103515245 +12345)/ 65536, 32768),0)/32768),0))</f>
        <v>5</v>
      </c>
      <c r="H465" s="16">
        <f t="shared" ca="1" si="17"/>
        <v>-3</v>
      </c>
      <c r="I465" s="153">
        <f ca="1">VLOOKUP($AB$2,'RF Mod'!$A$2:$G$12,3,FALSE)+VLOOKUP($AD$2,'RF Mod'!$I$2:$O$11,3,FALSE)+(TRUNC(6+(24-6)*(TRUNC(MOD(($Z465*1103515245 +12345)/ 65536, 32768),0)/32768),0))</f>
        <v>9</v>
      </c>
      <c r="J465" s="16">
        <f t="shared" ca="1" si="18"/>
        <v>-1</v>
      </c>
      <c r="K465" s="153">
        <f ca="1">VLOOKUP($AB$2,'RF Mod'!$A$2:$G$12,3,FALSE)+VLOOKUP($AD$2,'RF Mod'!$I$2:$O$11,3,FALSE)+(TRUNC(6+(24-6)*(TRUNC(MOD(($Z465*1103515245 +12345)/ 65536, 32768),0)/32768),0))</f>
        <v>9</v>
      </c>
      <c r="L465" s="16">
        <f t="shared" ca="1" si="19"/>
        <v>-1</v>
      </c>
      <c r="M465" s="153">
        <f ca="1">VLOOKUP($AB$2,'RF Mod'!$A$2:$G$12,4,FALSE)+VLOOKUP($AD$2,'RF Mod'!$I$2:$O$11,4,FALSE)+(TRUNC(6+(24-6)*(TRUNC(MOD(($Z465*1103515245 +12345)/ 65536, 32768),0)/32768),0))</f>
        <v>8</v>
      </c>
      <c r="N465" s="16">
        <f t="shared" ca="1" si="20"/>
        <v>-1</v>
      </c>
      <c r="O465" s="153">
        <f ca="1">VLOOKUP($AB$2,'RF Mod'!$A$2:$G$12,5,FALSE)+VLOOKUP($AD$2,'RF Mod'!$I$2:$O$11,5,FALSE)+(TRUNC(6+(24-6)*(TRUNC(MOD(($Z465*1103515245 +12345)/ 65536, 32768),0)/32768),0))</f>
        <v>11</v>
      </c>
      <c r="P465" s="16" t="e">
        <f t="shared" ca="1" si="21"/>
        <v>#NAME?</v>
      </c>
      <c r="Q465" s="153">
        <f ca="1">VLOOKUP($AB$2,'RF Mod'!$A$2:$G$12,6,FALSE)+VLOOKUP($AD$2,'RF Mod'!$I$2:$O$11,6,FALSE)+(TRUNC(6+(24-6)*(TRUNC(MOD(($Z465*1103515245 +12345)/ 65536, 32768),0)/32768),0))</f>
        <v>9</v>
      </c>
      <c r="R465" s="16">
        <f t="shared" ca="1" si="22"/>
        <v>-1</v>
      </c>
      <c r="S465" s="154">
        <f t="shared" ca="1" si="28"/>
        <v>11</v>
      </c>
      <c r="T465" s="154">
        <f t="shared" ca="1" si="23"/>
        <v>10</v>
      </c>
      <c r="U465" s="16" t="str">
        <f t="shared" ca="1" si="24"/>
        <v>Bloody</v>
      </c>
      <c r="V465" s="155">
        <f ca="1">IFERROR(__xludf.DUMMYFUNCTION("if(W465=""Middle Age"",QUERY(NPCVar!$K$2:$N1000, ""Select L where K = '""&amp;AB465&amp;""'""),if(W465=""Old"",QUERY(NPCVar!$K$2:$N1000, ""Select M where K = '""&amp;AB465&amp;""'""),if(W465=""Venerable"",QUERY(NPCVar!$K$2:$N1000, ""Select N where K = '""&amp;AB465&amp;""'""),fa"&amp;"lse)))*X465"),40)</f>
        <v>40</v>
      </c>
      <c r="W465" s="156" t="str">
        <f t="array" ref="W465">INDEX(NPCAgeType,TRUNC(1+(4-1)*(TRUNC(MOD((X465*1103515245 +12345)/ 65536, 32768),0)/32768),0))</f>
        <v>Middle Age</v>
      </c>
      <c r="X465" s="117">
        <f t="shared" si="29"/>
        <v>0.5</v>
      </c>
      <c r="Y465" s="157" t="e">
        <f t="array" aca="1" ref="Y465" ca="1">LOOKUP(ABS(MAX(Z465 + MIN(ABS(INDIRECT("Class Jobs!B"&amp;MATCH(E465,'Class Jobs'!$A$1:$A1000,0)&amp;":"&amp;"AF"&amp;MATCH(E465,'Class Jobs'!$A$1:$A1000,0)&amp;"")-$Z465)) * SUM(IF(MIN(ABS(INDIRECT("Class Jobs!B"&amp;MATCH(E465,'Class Jobs'!$A$1:$A1000,0)&amp;":"&amp;"AF"&amp;MATCH(E465,'Class Jobs'!$A$1:$A1000,0)&amp;"")-$Z465))=ABS(INDIRECT("Class Jobs!B"&amp;MATCH(E465,'Class Jobs'!$A$1:$A1000,0)&amp;":"&amp;"AF"&amp;MATCH(E465,'Class Jobs'!$A$1:$A1000,0)&amp;"")-$Z465),SIGN(INDIRECT("Class Jobs!B"&amp;MATCH(E465,'Class Jobs'!$A$1:A1000,0)&amp;":"&amp;"AF"&amp;MATCH(E465,'Class Jobs'!$A$1:$A1000,0)&amp;"")-$Z465),0)),0)),INDIRECT("Class Jobs!B"&amp;MATCH(E465,'Class Jobs'!$A$1:$A1000,0)&amp;":"&amp;"AF"&amp;MATCH(E465,'Class Jobs'!$A$1:$A1000,1)&amp;""),'Class Jobs'!$B$1:$AF$1)</f>
        <v>#REF!</v>
      </c>
      <c r="Z465" s="158">
        <f t="shared" si="25"/>
        <v>0.17</v>
      </c>
      <c r="AA465" s="16" t="str">
        <f t="array" ref="AA465">INDEX(NPCGender,TRUNC(1+(COUNTA(NPCGender))*(TRUNC(MOD(($B465*1103515245 +12345)/ 65536, 32768),0)/32768),0))</f>
        <v>Male</v>
      </c>
      <c r="AB465" s="16" t="str">
        <f t="array" ref="AB465">INDEX(NPCRace,TRUNC(1+(COUNTA(NPCRace))*(TRUNC(MOD(($B465*1103515245 +12345)/ 65536, 32768),0)/32768),0))</f>
        <v>Dwarf</v>
      </c>
      <c r="AC465" s="16" t="str">
        <f t="array" ref="AC465">INDEX(NPCAL,TRUNC(1+(COUNTA(NPCAL))*(TRUNC(MOD(($B465*1103515245 +12345)/ 65536, 32768),0)/32768),0))</f>
        <v>CE</v>
      </c>
      <c r="AD465" s="72" t="str">
        <f ca="1">IFERROR(__xludf.DUMMYFUNCTION("if(V465&lt;15,QUERY(NPCVar!C:D,""Select D WHERE C = '""&amp;D465&amp;""'""),if((TRUNC(1+10)*(TRUNC(MOD((ROW(H465)*1103515245 +12345)/ 65536, 32768),0)/32768)/10) &gt; 0.85,INDEX(NPCFaction,TRUNC(1+(counta(NPCFaction)-1)*(TRUNC(MOD(($B465*1103515245 +12345)/ 65536, 3276"&amp;"8),0)/32768),0)),QUERY(NPCVar!C:D,""Select D WHERE C = '""&amp;D465&amp;""'"")))"),"Necromancer")</f>
        <v>Necromancer</v>
      </c>
      <c r="AE465" s="108" t="e">
        <f t="shared" ca="1" si="26"/>
        <v>#NAME?</v>
      </c>
      <c r="AF465" s="159">
        <f ca="1">IFERROR(__xludf.DUMMYFUNCTION("AE465*(V465 / QUERY(NPCVar!$K$2:$N$12, ""Select N WHERE K='""&amp;AB465&amp;""'""))*TRUNC(1+10)*(TRUNC(MOD(($B465*1103515245 +12345)/ 65536, 32768),0)/32768)"),0.0229656219482421)</f>
        <v>2.2965621948242101E-2</v>
      </c>
      <c r="AG465" s="16"/>
      <c r="AH465" s="77"/>
      <c r="AI465" s="114"/>
    </row>
    <row r="466" spans="1:35" ht="16.2">
      <c r="A466" s="53">
        <v>465</v>
      </c>
      <c r="B466" s="118">
        <f t="shared" si="32"/>
        <v>1.2652600000000001</v>
      </c>
      <c r="C466" s="72" t="str">
        <f t="array" ref="C466">INDEX(NPCFName,TRUNC(1+(COUNTA(NPCFName))*(TRUNC(MOD(($B466*1103515245 +12345)/ 65536, 32768),0)/32768),0))</f>
        <v>Wraythe</v>
      </c>
      <c r="D466" s="16" t="str">
        <f t="array" ref="D466">INDEX(NPCLName,TRUNC(1+(COUNTA(NPCLName))*(TRUNC(MOD(($B466*1103515245 +12345)/ 65536, 32768),0)/32768),0))</f>
        <v>Mourninglash</v>
      </c>
      <c r="E466" s="16" t="str">
        <f t="array" ref="E466">INDEX(NPCClass,TRUNC(1+(COUNTA(NPCClass))*(TRUNC(MOD(($B466*1103515245 +12345)/ 65536, 32768),0)/32768),0))</f>
        <v>Warlock</v>
      </c>
      <c r="F466" s="76">
        <v>8</v>
      </c>
      <c r="G466" s="153">
        <f ca="1">VLOOKUP($AB$2,'RF Mod'!$A$2:$G$12,2,FALSE)+VLOOKUP($AD$2,'RF Mod'!$I$2:$O$11,2,FALSE)+(TRUNC(6+(24-6)*(TRUNC(MOD(($Z466*1103515245 +12345)/ 65536, 32768),0)/32768),0))</f>
        <v>10</v>
      </c>
      <c r="H466" s="16" t="e">
        <f t="shared" ca="1" si="17"/>
        <v>#NAME?</v>
      </c>
      <c r="I466" s="153">
        <f ca="1">VLOOKUP($AB$2,'RF Mod'!$A$2:$G$12,3,FALSE)+VLOOKUP($AD$2,'RF Mod'!$I$2:$O$11,3,FALSE)+(TRUNC(6+(24-6)*(TRUNC(MOD(($Z466*1103515245 +12345)/ 65536, 32768),0)/32768),0))</f>
        <v>14</v>
      </c>
      <c r="J466" s="16" t="e">
        <f t="shared" ca="1" si="18"/>
        <v>#NAME?</v>
      </c>
      <c r="K466" s="153">
        <f ca="1">VLOOKUP($AB$2,'RF Mod'!$A$2:$G$12,3,FALSE)+VLOOKUP($AD$2,'RF Mod'!$I$2:$O$11,3,FALSE)+(TRUNC(6+(24-6)*(TRUNC(MOD(($Z466*1103515245 +12345)/ 65536, 32768),0)/32768),0))</f>
        <v>14</v>
      </c>
      <c r="L466" s="16" t="e">
        <f t="shared" ca="1" si="19"/>
        <v>#NAME?</v>
      </c>
      <c r="M466" s="153">
        <f ca="1">VLOOKUP($AB$2,'RF Mod'!$A$2:$G$12,4,FALSE)+VLOOKUP($AD$2,'RF Mod'!$I$2:$O$11,4,FALSE)+(TRUNC(6+(24-6)*(TRUNC(MOD(($Z466*1103515245 +12345)/ 65536, 32768),0)/32768),0))</f>
        <v>13</v>
      </c>
      <c r="N466" s="16" t="e">
        <f t="shared" ca="1" si="20"/>
        <v>#NAME?</v>
      </c>
      <c r="O466" s="153">
        <f ca="1">VLOOKUP($AB$2,'RF Mod'!$A$2:$G$12,5,FALSE)+VLOOKUP($AD$2,'RF Mod'!$I$2:$O$11,5,FALSE)+(TRUNC(6+(24-6)*(TRUNC(MOD(($Z466*1103515245 +12345)/ 65536, 32768),0)/32768),0))</f>
        <v>16</v>
      </c>
      <c r="P466" s="16" t="e">
        <f t="shared" ca="1" si="21"/>
        <v>#NAME?</v>
      </c>
      <c r="Q466" s="153">
        <f ca="1">VLOOKUP($AB$2,'RF Mod'!$A$2:$G$12,6,FALSE)+VLOOKUP($AD$2,'RF Mod'!$I$2:$O$11,6,FALSE)+(TRUNC(6+(24-6)*(TRUNC(MOD(($Z466*1103515245 +12345)/ 65536, 32768),0)/32768),0))</f>
        <v>14</v>
      </c>
      <c r="R466" s="16" t="e">
        <f t="shared" ca="1" si="22"/>
        <v>#NAME?</v>
      </c>
      <c r="S466" s="154">
        <f t="shared" ca="1" si="28"/>
        <v>240</v>
      </c>
      <c r="T466" s="154">
        <f t="shared" ca="1" si="23"/>
        <v>108</v>
      </c>
      <c r="U466" s="16" t="str">
        <f t="shared" ca="1" si="24"/>
        <v>Fine</v>
      </c>
      <c r="V466" s="155">
        <f ca="1">IFERROR(__xludf.DUMMYFUNCTION("if(W466=""Middle Age"",QUERY(NPCVar!$K$2:$N1000, ""Select L where K = '""&amp;AB466&amp;""'""),if(W466=""Old"",QUERY(NPCVar!$K$2:$N1000, ""Select M where K = '""&amp;AB466&amp;""'""),if(W466=""Venerable"",QUERY(NPCVar!$K$2:$N1000, ""Select N where K = '""&amp;AB466&amp;""'""),fa"&amp;"lse)))*X466"),144)</f>
        <v>144</v>
      </c>
      <c r="W466" s="156" t="str">
        <f t="array" ref="W466">INDEX(NPCAgeType,TRUNC(1+(4-1)*(TRUNC(MOD((X466*1103515245 +12345)/ 65536, 32768),0)/32768),0))</f>
        <v>Venerable</v>
      </c>
      <c r="X466" s="117">
        <f t="shared" si="29"/>
        <v>1.6</v>
      </c>
      <c r="Y466" s="157" t="e">
        <f t="array" aca="1" ref="Y466" ca="1">LOOKUP(ABS(MAX(Z466 + MIN(ABS(INDIRECT("Class Jobs!B"&amp;MATCH(E466,'Class Jobs'!$A$1:$A1000,0)&amp;":"&amp;"AF"&amp;MATCH(E466,'Class Jobs'!$A$1:$A1000,0)&amp;"")-$Z466)) * SUM(IF(MIN(ABS(INDIRECT("Class Jobs!B"&amp;MATCH(E466,'Class Jobs'!$A$1:$A1000,0)&amp;":"&amp;"AF"&amp;MATCH(E466,'Class Jobs'!$A$1:$A1000,0)&amp;"")-$Z466))=ABS(INDIRECT("Class Jobs!B"&amp;MATCH(E466,'Class Jobs'!$A$1:$A1000,0)&amp;":"&amp;"AF"&amp;MATCH(E466,'Class Jobs'!$A$1:$A1000,0)&amp;"")-$Z466),SIGN(INDIRECT("Class Jobs!B"&amp;MATCH(E466,'Class Jobs'!$A$1:A1000,0)&amp;":"&amp;"AF"&amp;MATCH(E466,'Class Jobs'!$A$1:$A1000,0)&amp;"")-$Z466),0)),0)),INDIRECT("Class Jobs!B"&amp;MATCH(E466,'Class Jobs'!$A$1:$A1000,0)&amp;":"&amp;"AF"&amp;MATCH(E466,'Class Jobs'!$A$1:$A1000,1)&amp;""),'Class Jobs'!$B$1:$AF$1)</f>
        <v>#REF!</v>
      </c>
      <c r="Z466" s="158">
        <f t="shared" si="25"/>
        <v>0.65</v>
      </c>
      <c r="AA466" s="16" t="str">
        <f t="array" ref="AA466">INDEX(NPCGender,TRUNC(1+(COUNTA(NPCGender))*(TRUNC(MOD(($B466*1103515245 +12345)/ 65536, 32768),0)/32768),0))</f>
        <v>Female</v>
      </c>
      <c r="AB466" s="16" t="str">
        <f t="array" ref="AB466">INDEX(NPCRace,TRUNC(1+(COUNTA(NPCRace))*(TRUNC(MOD(($B466*1103515245 +12345)/ 65536, 32768),0)/32768),0))</f>
        <v>Human</v>
      </c>
      <c r="AC466" s="16" t="str">
        <f t="array" ref="AC466">INDEX(NPCAL,TRUNC(1+(COUNTA(NPCAL))*(TRUNC(MOD(($B466*1103515245 +12345)/ 65536, 32768),0)/32768),0))</f>
        <v>NE</v>
      </c>
      <c r="AD466" s="72" t="str">
        <f ca="1">IFERROR(__xludf.DUMMYFUNCTION("if(V466&lt;15,QUERY(NPCVar!C:D,""Select D WHERE C = '""&amp;D466&amp;""'""),if((TRUNC(1+10)*(TRUNC(MOD((ROW(H466)*1103515245 +12345)/ 65536, 32768),0)/32768)/10) &gt; 0.85,INDEX(NPCFaction,TRUNC(1+(counta(NPCFaction)-1)*(TRUNC(MOD(($B466*1103515245 +12345)/ 65536, 3276"&amp;"8),0)/32768),0)),QUERY(NPCVar!C:D,""Select D WHERE C = '""&amp;D466&amp;""'"")))"),"Traverlers Guild")</f>
        <v>Traverlers Guild</v>
      </c>
      <c r="AE466" s="108" t="e">
        <f t="shared" ca="1" si="26"/>
        <v>#NAME?</v>
      </c>
      <c r="AF466" s="159">
        <f ca="1">IFERROR(__xludf.DUMMYFUNCTION("AE466*(V466 / QUERY(NPCVar!$K$2:$N$12, ""Select N WHERE K='""&amp;AB466&amp;""'""))*TRUNC(1+10)*(TRUNC(MOD(($B466*1103515245 +12345)/ 65536, 32768),0)/32768)"),11.443115234375)</f>
        <v>11.443115234375</v>
      </c>
      <c r="AG466" s="16"/>
      <c r="AH466" s="77"/>
      <c r="AI466" s="114"/>
    </row>
    <row r="467" spans="1:35" ht="16.2">
      <c r="A467" s="53">
        <v>466</v>
      </c>
      <c r="B467" s="118">
        <f t="shared" si="32"/>
        <v>0.25940000000000002</v>
      </c>
      <c r="C467" s="72" t="str">
        <f t="array" ref="C467">INDEX(NPCFName,TRUNC(1+(COUNTA(NPCFName))*(TRUNC(MOD(($B467*1103515245 +12345)/ 65536, 32768),0)/32768),0))</f>
        <v>Hermenze</v>
      </c>
      <c r="D467" s="16" t="str">
        <f t="array" ref="D467">INDEX(NPCLName,TRUNC(1+(COUNTA(NPCLName))*(TRUNC(MOD(($B467*1103515245 +12345)/ 65536, 32768),0)/32768),0))</f>
        <v>Distantlash</v>
      </c>
      <c r="E467" s="16" t="str">
        <f t="array" ref="E467">INDEX(NPCClass,TRUNC(1+(COUNTA(NPCClass))*(TRUNC(MOD(($B467*1103515245 +12345)/ 65536, 32768),0)/32768),0))</f>
        <v>Bard</v>
      </c>
      <c r="F467" s="76">
        <v>1</v>
      </c>
      <c r="G467" s="153">
        <f ca="1">VLOOKUP($AB$2,'RF Mod'!$A$2:$G$12,2,FALSE)+VLOOKUP($AD$2,'RF Mod'!$I$2:$O$11,2,FALSE)+(TRUNC(6+(24-6)*(TRUNC(MOD(($Z467*1103515245 +12345)/ 65536, 32768),0)/32768),0))</f>
        <v>5</v>
      </c>
      <c r="H467" s="16">
        <f t="shared" ca="1" si="17"/>
        <v>-3</v>
      </c>
      <c r="I467" s="153">
        <f ca="1">VLOOKUP($AB$2,'RF Mod'!$A$2:$G$12,3,FALSE)+VLOOKUP($AD$2,'RF Mod'!$I$2:$O$11,3,FALSE)+(TRUNC(6+(24-6)*(TRUNC(MOD(($Z467*1103515245 +12345)/ 65536, 32768),0)/32768),0))</f>
        <v>9</v>
      </c>
      <c r="J467" s="16">
        <f t="shared" ca="1" si="18"/>
        <v>-1</v>
      </c>
      <c r="K467" s="153">
        <f ca="1">VLOOKUP($AB$2,'RF Mod'!$A$2:$G$12,3,FALSE)+VLOOKUP($AD$2,'RF Mod'!$I$2:$O$11,3,FALSE)+(TRUNC(6+(24-6)*(TRUNC(MOD(($Z467*1103515245 +12345)/ 65536, 32768),0)/32768),0))</f>
        <v>9</v>
      </c>
      <c r="L467" s="16">
        <f t="shared" ca="1" si="19"/>
        <v>-1</v>
      </c>
      <c r="M467" s="153">
        <f ca="1">VLOOKUP($AB$2,'RF Mod'!$A$2:$G$12,4,FALSE)+VLOOKUP($AD$2,'RF Mod'!$I$2:$O$11,4,FALSE)+(TRUNC(6+(24-6)*(TRUNC(MOD(($Z467*1103515245 +12345)/ 65536, 32768),0)/32768),0))</f>
        <v>8</v>
      </c>
      <c r="N467" s="16">
        <f t="shared" ca="1" si="20"/>
        <v>-1</v>
      </c>
      <c r="O467" s="153">
        <f ca="1">VLOOKUP($AB$2,'RF Mod'!$A$2:$G$12,5,FALSE)+VLOOKUP($AD$2,'RF Mod'!$I$2:$O$11,5,FALSE)+(TRUNC(6+(24-6)*(TRUNC(MOD(($Z467*1103515245 +12345)/ 65536, 32768),0)/32768),0))</f>
        <v>11</v>
      </c>
      <c r="P467" s="16" t="e">
        <f t="shared" ca="1" si="21"/>
        <v>#NAME?</v>
      </c>
      <c r="Q467" s="153">
        <f ca="1">VLOOKUP($AB$2,'RF Mod'!$A$2:$G$12,6,FALSE)+VLOOKUP($AD$2,'RF Mod'!$I$2:$O$11,6,FALSE)+(TRUNC(6+(24-6)*(TRUNC(MOD(($Z467*1103515245 +12345)/ 65536, 32768),0)/32768),0))</f>
        <v>9</v>
      </c>
      <c r="R467" s="16">
        <f t="shared" ca="1" si="22"/>
        <v>-1</v>
      </c>
      <c r="S467" s="154">
        <f t="shared" ca="1" si="28"/>
        <v>11</v>
      </c>
      <c r="T467" s="154">
        <f t="shared" ca="1" si="23"/>
        <v>5</v>
      </c>
      <c r="U467" s="16" t="str">
        <f t="shared" ca="1" si="24"/>
        <v>Fine</v>
      </c>
      <c r="V467" s="155">
        <f ca="1">IFERROR(__xludf.DUMMYFUNCTION("if(W467=""Middle Age"",QUERY(NPCVar!$K$2:$N1000, ""Select L where K = '""&amp;AB467&amp;""'""),if(W467=""Old"",QUERY(NPCVar!$K$2:$N1000, ""Select M where K = '""&amp;AB467&amp;""'""),if(W467=""Venerable"",QUERY(NPCVar!$K$2:$N1000, ""Select N where K = '""&amp;AB467&amp;""'""),fa"&amp;"lse)))*X467"),32)</f>
        <v>32</v>
      </c>
      <c r="W467" s="156" t="str">
        <f t="array" ref="W467">INDEX(NPCAgeType,TRUNC(1+(4-1)*(TRUNC(MOD((X467*1103515245 +12345)/ 65536, 32768),0)/32768),0))</f>
        <v>Middle Age</v>
      </c>
      <c r="X467" s="117">
        <f t="shared" si="29"/>
        <v>0.4</v>
      </c>
      <c r="Y467" s="157" t="e">
        <f t="array" aca="1" ref="Y467" ca="1">LOOKUP(ABS(MAX(Z467 + MIN(ABS(INDIRECT("Class Jobs!B"&amp;MATCH(E467,'Class Jobs'!$A$1:$A1000,0)&amp;":"&amp;"AF"&amp;MATCH(E467,'Class Jobs'!$A$1:$A1000,0)&amp;"")-$Z467)) * SUM(IF(MIN(ABS(INDIRECT("Class Jobs!B"&amp;MATCH(E467,'Class Jobs'!$A$1:$A1000,0)&amp;":"&amp;"AF"&amp;MATCH(E467,'Class Jobs'!$A$1:$A1000,0)&amp;"")-$Z467))=ABS(INDIRECT("Class Jobs!B"&amp;MATCH(E467,'Class Jobs'!$A$1:$A1000,0)&amp;":"&amp;"AF"&amp;MATCH(E467,'Class Jobs'!$A$1:$A1000,0)&amp;"")-$Z467),SIGN(INDIRECT("Class Jobs!B"&amp;MATCH(E467,'Class Jobs'!$A$1:A1000,0)&amp;":"&amp;"AF"&amp;MATCH(E467,'Class Jobs'!$A$1:$A1000,0)&amp;"")-$Z467),0)),0)),INDIRECT("Class Jobs!B"&amp;MATCH(E467,'Class Jobs'!$A$1:$A1000,0)&amp;":"&amp;"AF"&amp;MATCH(E467,'Class Jobs'!$A$1:$A1000,1)&amp;""),'Class Jobs'!$B$1:$AF$1)</f>
        <v>#REF!</v>
      </c>
      <c r="Z467" s="158">
        <f t="shared" si="25"/>
        <v>0.14000000000000001</v>
      </c>
      <c r="AA467" s="16" t="str">
        <f t="array" ref="AA467">INDEX(NPCGender,TRUNC(1+(COUNTA(NPCGender))*(TRUNC(MOD(($B467*1103515245 +12345)/ 65536, 32768),0)/32768),0))</f>
        <v>Male</v>
      </c>
      <c r="AB467" s="16" t="str">
        <f t="array" ref="AB467">INDEX(NPCRace,TRUNC(1+(COUNTA(NPCRace))*(TRUNC(MOD(($B467*1103515245 +12345)/ 65536, 32768),0)/32768),0))</f>
        <v>Dwarf</v>
      </c>
      <c r="AC467" s="16" t="str">
        <f t="array" ref="AC467">INDEX(NPCAL,TRUNC(1+(COUNTA(NPCAL))*(TRUNC(MOD(($B467*1103515245 +12345)/ 65536, 32768),0)/32768),0))</f>
        <v>CE</v>
      </c>
      <c r="AD467" s="72" t="str">
        <f ca="1">IFERROR(__xludf.DUMMYFUNCTION("if(V467&lt;15,QUERY(NPCVar!C:D,""Select D WHERE C = '""&amp;D467&amp;""'""),if((TRUNC(1+10)*(TRUNC(MOD((ROW(H467)*1103515245 +12345)/ 65536, 32768),0)/32768)/10) &gt; 0.85,INDEX(NPCFaction,TRUNC(1+(counta(NPCFaction)-1)*(TRUNC(MOD(($B467*1103515245 +12345)/ 65536, 3276"&amp;"8),0)/32768),0)),QUERY(NPCVar!C:D,""Select D WHERE C = '""&amp;D467&amp;""'"")))"),"Necromancer")</f>
        <v>Necromancer</v>
      </c>
      <c r="AE467" s="108" t="e">
        <f t="shared" ca="1" si="26"/>
        <v>#NAME?</v>
      </c>
      <c r="AF467" s="159">
        <f ca="1">IFERROR(__xludf.DUMMYFUNCTION("AE467*(V467 / QUERY(NPCVar!$K$2:$N$12, ""Select N WHERE K='""&amp;AB467&amp;""'""))*TRUNC(1+10)*(TRUNC(MOD(($B467*1103515245 +12345)/ 65536, 32768),0)/32768)"),0.029326171875)</f>
        <v>2.9326171875000001E-2</v>
      </c>
      <c r="AG467" s="16"/>
      <c r="AH467" s="77"/>
      <c r="AI467" s="114"/>
    </row>
    <row r="468" spans="1:35" ht="16.2">
      <c r="A468" s="53">
        <v>467</v>
      </c>
      <c r="B468" s="118">
        <f t="shared" si="32"/>
        <v>1.7535400000000001</v>
      </c>
      <c r="C468" s="72" t="str">
        <f t="array" ref="C468">INDEX(NPCFName,TRUNC(1+(COUNTA(NPCFName))*(TRUNC(MOD(($B468*1103515245 +12345)/ 65536, 32768),0)/32768),0))</f>
        <v>Quiad</v>
      </c>
      <c r="D468" s="16" t="str">
        <f t="array" ref="D468">INDEX(NPCLName,TRUNC(1+(COUNTA(NPCLName))*(TRUNC(MOD(($B468*1103515245 +12345)/ 65536, 32768),0)/32768),0))</f>
        <v>Stormwolf</v>
      </c>
      <c r="E468" s="16" t="str">
        <f t="array" ref="E468">INDEX(NPCClass,TRUNC(1+(COUNTA(NPCClass))*(TRUNC(MOD(($B468*1103515245 +12345)/ 65536, 32768),0)/32768),0))</f>
        <v>Fighter</v>
      </c>
      <c r="F468" s="76">
        <v>8</v>
      </c>
      <c r="G468" s="153">
        <f ca="1">VLOOKUP($AB$2,'RF Mod'!$A$2:$G$12,2,FALSE)+VLOOKUP($AD$2,'RF Mod'!$I$2:$O$11,2,FALSE)+(TRUNC(6+(24-6)*(TRUNC(MOD(($Z468*1103515245 +12345)/ 65536, 32768),0)/32768),0))</f>
        <v>12</v>
      </c>
      <c r="H468" s="16" t="e">
        <f t="shared" ca="1" si="17"/>
        <v>#NAME?</v>
      </c>
      <c r="I468" s="153">
        <f ca="1">VLOOKUP($AB$2,'RF Mod'!$A$2:$G$12,3,FALSE)+VLOOKUP($AD$2,'RF Mod'!$I$2:$O$11,3,FALSE)+(TRUNC(6+(24-6)*(TRUNC(MOD(($Z468*1103515245 +12345)/ 65536, 32768),0)/32768),0))</f>
        <v>16</v>
      </c>
      <c r="J468" s="16" t="e">
        <f t="shared" ca="1" si="18"/>
        <v>#NAME?</v>
      </c>
      <c r="K468" s="153">
        <f ca="1">VLOOKUP($AB$2,'RF Mod'!$A$2:$G$12,3,FALSE)+VLOOKUP($AD$2,'RF Mod'!$I$2:$O$11,3,FALSE)+(TRUNC(6+(24-6)*(TRUNC(MOD(($Z468*1103515245 +12345)/ 65536, 32768),0)/32768),0))</f>
        <v>16</v>
      </c>
      <c r="L468" s="16" t="e">
        <f t="shared" ca="1" si="19"/>
        <v>#NAME?</v>
      </c>
      <c r="M468" s="153">
        <f ca="1">VLOOKUP($AB$2,'RF Mod'!$A$2:$G$12,4,FALSE)+VLOOKUP($AD$2,'RF Mod'!$I$2:$O$11,4,FALSE)+(TRUNC(6+(24-6)*(TRUNC(MOD(($Z468*1103515245 +12345)/ 65536, 32768),0)/32768),0))</f>
        <v>15</v>
      </c>
      <c r="N468" s="16" t="e">
        <f t="shared" ca="1" si="20"/>
        <v>#NAME?</v>
      </c>
      <c r="O468" s="153">
        <f ca="1">VLOOKUP($AB$2,'RF Mod'!$A$2:$G$12,5,FALSE)+VLOOKUP($AD$2,'RF Mod'!$I$2:$O$11,5,FALSE)+(TRUNC(6+(24-6)*(TRUNC(MOD(($Z468*1103515245 +12345)/ 65536, 32768),0)/32768),0))</f>
        <v>18</v>
      </c>
      <c r="P468" s="16" t="e">
        <f t="shared" ca="1" si="21"/>
        <v>#NAME?</v>
      </c>
      <c r="Q468" s="153">
        <f ca="1">VLOOKUP($AB$2,'RF Mod'!$A$2:$G$12,6,FALSE)+VLOOKUP($AD$2,'RF Mod'!$I$2:$O$11,6,FALSE)+(TRUNC(6+(24-6)*(TRUNC(MOD(($Z468*1103515245 +12345)/ 65536, 32768),0)/32768),0))</f>
        <v>16</v>
      </c>
      <c r="R468" s="16" t="e">
        <f t="shared" ca="1" si="22"/>
        <v>#NAME?</v>
      </c>
      <c r="S468" s="154">
        <f t="shared" ca="1" si="28"/>
        <v>256</v>
      </c>
      <c r="T468" s="154">
        <f t="shared" ca="1" si="23"/>
        <v>118</v>
      </c>
      <c r="U468" s="16" t="str">
        <f t="shared" ca="1" si="24"/>
        <v>Fine</v>
      </c>
      <c r="V468" s="155">
        <f ca="1">IFERROR(__xludf.DUMMYFUNCTION("if(W468=""Middle Age"",QUERY(NPCVar!$K$2:$N1000, ""Select L where K = '""&amp;AB468&amp;""'""),if(W468=""Old"",QUERY(NPCVar!$K$2:$N1000, ""Select M where K = '""&amp;AB468&amp;""'""),if(W468=""Venerable"",QUERY(NPCVar!$K$2:$N1000, ""Select N where K = '""&amp;AB468&amp;""'""),fa"&amp;"lse)))*X468"),60.5)</f>
        <v>60.5</v>
      </c>
      <c r="W468" s="156" t="str">
        <f t="array" ref="W468">INDEX(NPCAgeType,TRUNC(1+(4-1)*(TRUNC(MOD((X468*1103515245 +12345)/ 65536, 32768),0)/32768),0))</f>
        <v>Middle Age</v>
      </c>
      <c r="X468" s="117">
        <f t="shared" si="29"/>
        <v>2.2000000000000002</v>
      </c>
      <c r="Y468" s="157" t="e">
        <f t="array" aca="1" ref="Y468" ca="1">LOOKUP(ABS(MAX(Z468 + MIN(ABS(INDIRECT("Class Jobs!B"&amp;MATCH(E468,'Class Jobs'!$A$1:$A1000,0)&amp;":"&amp;"AF"&amp;MATCH(E468,'Class Jobs'!$A$1:$A1000,0)&amp;"")-$Z468)) * SUM(IF(MIN(ABS(INDIRECT("Class Jobs!B"&amp;MATCH(E468,'Class Jobs'!$A$1:$A1000,0)&amp;":"&amp;"AF"&amp;MATCH(E468,'Class Jobs'!$A$1:$A1000,0)&amp;"")-$Z468))=ABS(INDIRECT("Class Jobs!B"&amp;MATCH(E468,'Class Jobs'!$A$1:$A1000,0)&amp;":"&amp;"AF"&amp;MATCH(E468,'Class Jobs'!$A$1:$A1000,0)&amp;"")-$Z468),SIGN(INDIRECT("Class Jobs!B"&amp;MATCH(E468,'Class Jobs'!$A$1:A1000,0)&amp;":"&amp;"AF"&amp;MATCH(E468,'Class Jobs'!$A$1:$A1000,0)&amp;"")-$Z468),0)),0)),INDIRECT("Class Jobs!B"&amp;MATCH(E468,'Class Jobs'!$A$1:$A1000,0)&amp;":"&amp;"AF"&amp;MATCH(E468,'Class Jobs'!$A$1:$A1000,1)&amp;""),'Class Jobs'!$B$1:$AF$1)</f>
        <v>#REF!</v>
      </c>
      <c r="Z468" s="158">
        <f t="shared" si="25"/>
        <v>0.9</v>
      </c>
      <c r="AA468" s="16" t="str">
        <f t="array" ref="AA468">INDEX(NPCGender,TRUNC(1+(COUNTA(NPCGender))*(TRUNC(MOD(($B468*1103515245 +12345)/ 65536, 32768),0)/32768),0))</f>
        <v>Neutral</v>
      </c>
      <c r="AB468" s="16" t="str">
        <f t="array" ref="AB468">INDEX(NPCRace,TRUNC(1+(COUNTA(NPCRace))*(TRUNC(MOD(($B468*1103515245 +12345)/ 65536, 32768),0)/32768),0))</f>
        <v>Genasi</v>
      </c>
      <c r="AC468" s="16" t="str">
        <f t="array" ref="AC468">INDEX(NPCAL,TRUNC(1+(COUNTA(NPCAL))*(TRUNC(MOD(($B468*1103515245 +12345)/ 65536, 32768),0)/32768),0))</f>
        <v>LE</v>
      </c>
      <c r="AD468" s="72" t="str">
        <f ca="1">IFERROR(__xludf.DUMMYFUNCTION("if(V468&lt;15,QUERY(NPCVar!C:D,""Select D WHERE C = '""&amp;D468&amp;""'""),if((TRUNC(1+10)*(TRUNC(MOD((ROW(H468)*1103515245 +12345)/ 65536, 32768),0)/32768)/10) &gt; 0.85,INDEX(NPCFaction,TRUNC(1+(counta(NPCFaction)-1)*(TRUNC(MOD(($B468*1103515245 +12345)/ 65536, 3276"&amp;"8),0)/32768),0)),QUERY(NPCVar!C:D,""Select D WHERE C = '""&amp;D468&amp;""'"")))"),"Followers of Isis")</f>
        <v>Followers of Isis</v>
      </c>
      <c r="AE468" s="108" t="e">
        <f t="shared" ca="1" si="26"/>
        <v>#NAME?</v>
      </c>
      <c r="AF468" s="159">
        <f ca="1">IFERROR(__xludf.DUMMYFUNCTION("AE468*(V468 / QUERY(NPCVar!$K$2:$N$12, ""Select N WHERE K='""&amp;AB468&amp;""'""))*TRUNC(1+10)*(TRUNC(MOD(($B468*1103515245 +12345)/ 65536, 32768),0)/32768)"),5.45142517089843)</f>
        <v>5.45142517089843</v>
      </c>
      <c r="AG468" s="16"/>
      <c r="AH468" s="77"/>
      <c r="AI468" s="114"/>
    </row>
    <row r="469" spans="1:35" ht="16.2">
      <c r="A469" s="53">
        <v>468</v>
      </c>
      <c r="B469" s="118">
        <f t="shared" si="32"/>
        <v>0.74761</v>
      </c>
      <c r="C469" s="72" t="str">
        <f t="array" ref="C469">INDEX(NPCFName,TRUNC(1+(COUNTA(NPCFName))*(TRUNC(MOD(($B469*1103515245 +12345)/ 65536, 32768),0)/32768),0))</f>
        <v>Cespar</v>
      </c>
      <c r="D469" s="16" t="str">
        <f t="array" ref="D469">INDEX(NPCLName,TRUNC(1+(COUNTA(NPCLName))*(TRUNC(MOD(($B469*1103515245 +12345)/ 65536, 32768),0)/32768),0))</f>
        <v>Fistroot</v>
      </c>
      <c r="E469" s="16" t="str">
        <f t="array" ref="E469">INDEX(NPCClass,TRUNC(1+(COUNTA(NPCClass))*(TRUNC(MOD(($B469*1103515245 +12345)/ 65536, 32768),0)/32768),0))</f>
        <v>Paladin</v>
      </c>
      <c r="F469" s="76">
        <v>3</v>
      </c>
      <c r="G469" s="153">
        <f ca="1">VLOOKUP($AB$2,'RF Mod'!$A$2:$G$12,2,FALSE)+VLOOKUP($AD$2,'RF Mod'!$I$2:$O$11,2,FALSE)+(TRUNC(6+(24-6)*(TRUNC(MOD(($Z469*1103515245 +12345)/ 65536, 32768),0)/32768),0))</f>
        <v>7</v>
      </c>
      <c r="H469" s="16">
        <f t="shared" ca="1" si="17"/>
        <v>-2</v>
      </c>
      <c r="I469" s="153">
        <f ca="1">VLOOKUP($AB$2,'RF Mod'!$A$2:$G$12,3,FALSE)+VLOOKUP($AD$2,'RF Mod'!$I$2:$O$11,3,FALSE)+(TRUNC(6+(24-6)*(TRUNC(MOD(($Z469*1103515245 +12345)/ 65536, 32768),0)/32768),0))</f>
        <v>11</v>
      </c>
      <c r="J469" s="16" t="e">
        <f t="shared" ca="1" si="18"/>
        <v>#NAME?</v>
      </c>
      <c r="K469" s="153">
        <f ca="1">VLOOKUP($AB$2,'RF Mod'!$A$2:$G$12,3,FALSE)+VLOOKUP($AD$2,'RF Mod'!$I$2:$O$11,3,FALSE)+(TRUNC(6+(24-6)*(TRUNC(MOD(($Z469*1103515245 +12345)/ 65536, 32768),0)/32768),0))</f>
        <v>11</v>
      </c>
      <c r="L469" s="16" t="e">
        <f t="shared" ca="1" si="19"/>
        <v>#NAME?</v>
      </c>
      <c r="M469" s="153">
        <f ca="1">VLOOKUP($AB$2,'RF Mod'!$A$2:$G$12,4,FALSE)+VLOOKUP($AD$2,'RF Mod'!$I$2:$O$11,4,FALSE)+(TRUNC(6+(24-6)*(TRUNC(MOD(($Z469*1103515245 +12345)/ 65536, 32768),0)/32768),0))</f>
        <v>10</v>
      </c>
      <c r="N469" s="16" t="e">
        <f t="shared" ca="1" si="20"/>
        <v>#NAME?</v>
      </c>
      <c r="O469" s="153">
        <f ca="1">VLOOKUP($AB$2,'RF Mod'!$A$2:$G$12,5,FALSE)+VLOOKUP($AD$2,'RF Mod'!$I$2:$O$11,5,FALSE)+(TRUNC(6+(24-6)*(TRUNC(MOD(($Z469*1103515245 +12345)/ 65536, 32768),0)/32768),0))</f>
        <v>13</v>
      </c>
      <c r="P469" s="16" t="e">
        <f t="shared" ca="1" si="21"/>
        <v>#NAME?</v>
      </c>
      <c r="Q469" s="153">
        <f ca="1">VLOOKUP($AB$2,'RF Mod'!$A$2:$G$12,6,FALSE)+VLOOKUP($AD$2,'RF Mod'!$I$2:$O$11,6,FALSE)+(TRUNC(6+(24-6)*(TRUNC(MOD(($Z469*1103515245 +12345)/ 65536, 32768),0)/32768),0))</f>
        <v>11</v>
      </c>
      <c r="R469" s="16" t="e">
        <f t="shared" ca="1" si="22"/>
        <v>#NAME?</v>
      </c>
      <c r="S469" s="154">
        <f t="shared" ca="1" si="28"/>
        <v>51</v>
      </c>
      <c r="T469" s="154">
        <f t="shared" ca="1" si="23"/>
        <v>2</v>
      </c>
      <c r="U469" s="16" t="str">
        <f t="shared" ca="1" si="24"/>
        <v>Fine</v>
      </c>
      <c r="V469" s="155">
        <f ca="1">IFERROR(__xludf.DUMMYFUNCTION("if(W469=""Middle Age"",QUERY(NPCVar!$K$2:$N1000, ""Select L where K = '""&amp;AB469&amp;""'""),if(W469=""Old"",QUERY(NPCVar!$K$2:$N1000, ""Select M where K = '""&amp;AB469&amp;""'""),if(W469=""Venerable"",QUERY(NPCVar!$K$2:$N1000, ""Select N where K = '""&amp;AB469&amp;""'""),fa"&amp;"lse)))*X469"),67.5)</f>
        <v>67.5</v>
      </c>
      <c r="W469" s="156" t="str">
        <f t="array" ref="W469">INDEX(NPCAgeType,TRUNC(1+(4-1)*(TRUNC(MOD((X469*1103515245 +12345)/ 65536, 32768),0)/32768),0))</f>
        <v>Old</v>
      </c>
      <c r="X469" s="117">
        <f t="shared" si="29"/>
        <v>1</v>
      </c>
      <c r="Y469" s="157" t="e">
        <f t="array" aca="1" ref="Y469" ca="1">LOOKUP(ABS(MAX(Z469 + MIN(ABS(INDIRECT("Class Jobs!B"&amp;MATCH(E469,'Class Jobs'!$A$1:$A1000,0)&amp;":"&amp;"AF"&amp;MATCH(E469,'Class Jobs'!$A$1:$A1000,0)&amp;"")-$Z469)) * SUM(IF(MIN(ABS(INDIRECT("Class Jobs!B"&amp;MATCH(E469,'Class Jobs'!$A$1:$A1000,0)&amp;":"&amp;"AF"&amp;MATCH(E469,'Class Jobs'!$A$1:$A1000,0)&amp;"")-$Z469))=ABS(INDIRECT("Class Jobs!B"&amp;MATCH(E469,'Class Jobs'!$A$1:$A1000,0)&amp;":"&amp;"AF"&amp;MATCH(E469,'Class Jobs'!$A$1:$A1000,0)&amp;"")-$Z469),SIGN(INDIRECT("Class Jobs!B"&amp;MATCH(E469,'Class Jobs'!$A$1:A1000,0)&amp;":"&amp;"AF"&amp;MATCH(E469,'Class Jobs'!$A$1:$A1000,0)&amp;"")-$Z469),0)),0)),INDIRECT("Class Jobs!B"&amp;MATCH(E469,'Class Jobs'!$A$1:$A1000,0)&amp;":"&amp;"AF"&amp;MATCH(E469,'Class Jobs'!$A$1:$A1000,1)&amp;""),'Class Jobs'!$B$1:$AF$1)</f>
        <v>#REF!</v>
      </c>
      <c r="Z469" s="158">
        <f t="shared" si="25"/>
        <v>0.39</v>
      </c>
      <c r="AA469" s="16" t="str">
        <f t="array" ref="AA469">INDEX(NPCGender,TRUNC(1+(COUNTA(NPCGender))*(TRUNC(MOD(($B469*1103515245 +12345)/ 65536, 32768),0)/32768),0))</f>
        <v>Female</v>
      </c>
      <c r="AB469" s="16" t="str">
        <f t="array" ref="AB469">INDEX(NPCRace,TRUNC(1+(COUNTA(NPCRace))*(TRUNC(MOD(($B469*1103515245 +12345)/ 65536, 32768),0)/32768),0))</f>
        <v>Half-Elf</v>
      </c>
      <c r="AC469" s="16" t="str">
        <f t="array" ref="AC469">INDEX(NPCAL,TRUNC(1+(COUNTA(NPCAL))*(TRUNC(MOD(($B469*1103515245 +12345)/ 65536, 32768),0)/32768),0))</f>
        <v>NG</v>
      </c>
      <c r="AD469" s="72" t="str">
        <f ca="1">IFERROR(__xludf.DUMMYFUNCTION("if(V469&lt;15,QUERY(NPCVar!C:D,""Select D WHERE C = '""&amp;D469&amp;""'""),if((TRUNC(1+10)*(TRUNC(MOD((ROW(H469)*1103515245 +12345)/ 65536, 32768),0)/32768)/10) &gt; 0.85,INDEX(NPCFaction,TRUNC(1+(counta(NPCFaction)-1)*(TRUNC(MOD(($B469*1103515245 +12345)/ 65536, 3276"&amp;"8),0)/32768),0)),QUERY(NPCVar!C:D,""Select D WHERE C = '""&amp;D469&amp;""'"")))"),"Magic Guild")</f>
        <v>Magic Guild</v>
      </c>
      <c r="AE469" s="108" t="e">
        <f t="shared" ca="1" si="26"/>
        <v>#NAME?</v>
      </c>
      <c r="AF469" s="159">
        <f ca="1">IFERROR(__xludf.DUMMYFUNCTION("AE469*(V469 / QUERY(NPCVar!$K$2:$N$12, ""Select N WHERE K='""&amp;AB469&amp;""'""))*TRUNC(1+10)*(TRUNC(MOD(($B469*1103515245 +12345)/ 65536, 32768),0)/32768)"),0.633856201171875)</f>
        <v>0.63385620117187502</v>
      </c>
      <c r="AG469" s="16"/>
      <c r="AH469" s="77"/>
      <c r="AI469" s="114"/>
    </row>
    <row r="470" spans="1:35" ht="16.2">
      <c r="A470" s="53">
        <v>469</v>
      </c>
      <c r="B470" s="118">
        <f t="shared" si="32"/>
        <v>2.2417400000000001</v>
      </c>
      <c r="C470" s="72" t="str">
        <f t="array" ref="C470">INDEX(NPCFName,TRUNC(1+(COUNTA(NPCFName))*(TRUNC(MOD(($B470*1103515245 +12345)/ 65536, 32768),0)/32768),0))</f>
        <v>Jex</v>
      </c>
      <c r="D470" s="16" t="str">
        <f t="array" ref="D470">INDEX(NPCLName,TRUNC(1+(COUNTA(NPCLName))*(TRUNC(MOD(($B470*1103515245 +12345)/ 65536, 32768),0)/32768),0))</f>
        <v>Fistwing</v>
      </c>
      <c r="E470" s="16" t="str">
        <f t="array" ref="E470">INDEX(NPCClass,TRUNC(1+(COUNTA(NPCClass))*(TRUNC(MOD(($B470*1103515245 +12345)/ 65536, 32768),0)/32768),0))</f>
        <v>Bard</v>
      </c>
      <c r="F470" s="76">
        <v>1</v>
      </c>
      <c r="G470" s="153">
        <f ca="1">VLOOKUP($AB$2,'RF Mod'!$A$2:$G$12,2,FALSE)+VLOOKUP($AD$2,'RF Mod'!$I$2:$O$11,2,FALSE)+(TRUNC(6+(24-6)*(TRUNC(MOD(($Z470*1103515245 +12345)/ 65536, 32768),0)/32768),0))</f>
        <v>5</v>
      </c>
      <c r="H470" s="16">
        <f t="shared" ca="1" si="17"/>
        <v>-3</v>
      </c>
      <c r="I470" s="153">
        <f ca="1">VLOOKUP($AB$2,'RF Mod'!$A$2:$G$12,3,FALSE)+VLOOKUP($AD$2,'RF Mod'!$I$2:$O$11,3,FALSE)+(TRUNC(6+(24-6)*(TRUNC(MOD(($Z470*1103515245 +12345)/ 65536, 32768),0)/32768),0))</f>
        <v>9</v>
      </c>
      <c r="J470" s="16">
        <f t="shared" ca="1" si="18"/>
        <v>-1</v>
      </c>
      <c r="K470" s="153">
        <f ca="1">VLOOKUP($AB$2,'RF Mod'!$A$2:$G$12,3,FALSE)+VLOOKUP($AD$2,'RF Mod'!$I$2:$O$11,3,FALSE)+(TRUNC(6+(24-6)*(TRUNC(MOD(($Z470*1103515245 +12345)/ 65536, 32768),0)/32768),0))</f>
        <v>9</v>
      </c>
      <c r="L470" s="16">
        <f t="shared" ca="1" si="19"/>
        <v>-1</v>
      </c>
      <c r="M470" s="153">
        <f ca="1">VLOOKUP($AB$2,'RF Mod'!$A$2:$G$12,4,FALSE)+VLOOKUP($AD$2,'RF Mod'!$I$2:$O$11,4,FALSE)+(TRUNC(6+(24-6)*(TRUNC(MOD(($Z470*1103515245 +12345)/ 65536, 32768),0)/32768),0))</f>
        <v>8</v>
      </c>
      <c r="N470" s="16">
        <f t="shared" ca="1" si="20"/>
        <v>-1</v>
      </c>
      <c r="O470" s="153">
        <f ca="1">VLOOKUP($AB$2,'RF Mod'!$A$2:$G$12,5,FALSE)+VLOOKUP($AD$2,'RF Mod'!$I$2:$O$11,5,FALSE)+(TRUNC(6+(24-6)*(TRUNC(MOD(($Z470*1103515245 +12345)/ 65536, 32768),0)/32768),0))</f>
        <v>11</v>
      </c>
      <c r="P470" s="16" t="e">
        <f t="shared" ca="1" si="21"/>
        <v>#NAME?</v>
      </c>
      <c r="Q470" s="153">
        <f ca="1">VLOOKUP($AB$2,'RF Mod'!$A$2:$G$12,6,FALSE)+VLOOKUP($AD$2,'RF Mod'!$I$2:$O$11,6,FALSE)+(TRUNC(6+(24-6)*(TRUNC(MOD(($Z470*1103515245 +12345)/ 65536, 32768),0)/32768),0))</f>
        <v>9</v>
      </c>
      <c r="R470" s="16">
        <f t="shared" ca="1" si="22"/>
        <v>-1</v>
      </c>
      <c r="S470" s="154">
        <f t="shared" ca="1" si="28"/>
        <v>27</v>
      </c>
      <c r="T470" s="154">
        <f t="shared" ca="1" si="23"/>
        <v>3</v>
      </c>
      <c r="U470" s="16" t="str">
        <f t="shared" ca="1" si="24"/>
        <v>Fine</v>
      </c>
      <c r="V470" s="155">
        <f ca="1">IFERROR(__xludf.DUMMYFUNCTION("if(W470=""Middle Age"",QUERY(NPCVar!$K$2:$N1000, ""Select L where K = '""&amp;AB470&amp;""'""),if(W470=""Old"",QUERY(NPCVar!$K$2:$N1000, ""Select M where K = '""&amp;AB470&amp;""'""),if(W470=""Venerable"",QUERY(NPCVar!$K$2:$N1000, ""Select N where K = '""&amp;AB470&amp;""'""),fa"&amp;"lse)))*X470"),32)</f>
        <v>32</v>
      </c>
      <c r="W470" s="156" t="str">
        <f t="array" ref="W470">INDEX(NPCAgeType,TRUNC(1+(4-1)*(TRUNC(MOD((X470*1103515245 +12345)/ 65536, 32768),0)/32768),0))</f>
        <v>Middle Age</v>
      </c>
      <c r="X470" s="117">
        <f t="shared" si="29"/>
        <v>0.4</v>
      </c>
      <c r="Y470" s="157" t="e">
        <f t="array" aca="1" ref="Y470" ca="1">LOOKUP(ABS(MAX(Z470 + MIN(ABS(INDIRECT("Class Jobs!B"&amp;MATCH(E470,'Class Jobs'!$A$1:$A1000,0)&amp;":"&amp;"AF"&amp;MATCH(E470,'Class Jobs'!$A$1:$A1000,0)&amp;"")-$Z470)) * SUM(IF(MIN(ABS(INDIRECT("Class Jobs!B"&amp;MATCH(E470,'Class Jobs'!$A$1:$A1000,0)&amp;":"&amp;"AF"&amp;MATCH(E470,'Class Jobs'!$A$1:$A1000,0)&amp;"")-$Z470))=ABS(INDIRECT("Class Jobs!B"&amp;MATCH(E470,'Class Jobs'!$A$1:$A1000,0)&amp;":"&amp;"AF"&amp;MATCH(E470,'Class Jobs'!$A$1:$A1000,0)&amp;"")-$Z470),SIGN(INDIRECT("Class Jobs!B"&amp;MATCH(E470,'Class Jobs'!$A$1:A1000,0)&amp;":"&amp;"AF"&amp;MATCH(E470,'Class Jobs'!$A$1:$A1000,0)&amp;"")-$Z470),0)),0)),INDIRECT("Class Jobs!B"&amp;MATCH(E470,'Class Jobs'!$A$1:$A1000,0)&amp;":"&amp;"AF"&amp;MATCH(E470,'Class Jobs'!$A$1:$A1000,1)&amp;""),'Class Jobs'!$B$1:$AF$1)</f>
        <v>#REF!</v>
      </c>
      <c r="Z470" s="158">
        <f t="shared" si="25"/>
        <v>0.16</v>
      </c>
      <c r="AA470" s="16" t="str">
        <f t="array" ref="AA470">INDEX(NPCGender,TRUNC(1+(COUNTA(NPCGender))*(TRUNC(MOD(($B470*1103515245 +12345)/ 65536, 32768),0)/32768),0))</f>
        <v>Male</v>
      </c>
      <c r="AB470" s="16" t="str">
        <f t="array" ref="AB470">INDEX(NPCRace,TRUNC(1+(COUNTA(NPCRace))*(TRUNC(MOD(($B470*1103515245 +12345)/ 65536, 32768),0)/32768),0))</f>
        <v>Dwarf</v>
      </c>
      <c r="AC470" s="16" t="str">
        <f t="array" ref="AC470">INDEX(NPCAL,TRUNC(1+(COUNTA(NPCAL))*(TRUNC(MOD(($B470*1103515245 +12345)/ 65536, 32768),0)/32768),0))</f>
        <v>CE</v>
      </c>
      <c r="AD470" s="72" t="str">
        <f ca="1">IFERROR(__xludf.DUMMYFUNCTION("if(V470&lt;15,QUERY(NPCVar!C:D,""Select D WHERE C = '""&amp;D470&amp;""'""),if((TRUNC(1+10)*(TRUNC(MOD((ROW(H470)*1103515245 +12345)/ 65536, 32768),0)/32768)/10) &gt; 0.85,INDEX(NPCFaction,TRUNC(1+(counta(NPCFaction)-1)*(TRUNC(MOD(($B470*1103515245 +12345)/ 65536, 3276"&amp;"8),0)/32768),0)),QUERY(NPCVar!C:D,""Select D WHERE C = '""&amp;D470&amp;""'"")))"),"Royalty")</f>
        <v>Royalty</v>
      </c>
      <c r="AE470" s="108" t="e">
        <f t="shared" ca="1" si="26"/>
        <v>#NAME?</v>
      </c>
      <c r="AF470" s="159">
        <f ca="1">IFERROR(__xludf.DUMMYFUNCTION("AE470*(V470 / QUERY(NPCVar!$K$2:$N$12, ""Select N WHERE K='""&amp;AB470&amp;""'""))*TRUNC(1+10)*(TRUNC(MOD(($B470*1103515245 +12345)/ 65536, 32768),0)/32768)"),-0.0334283447265625)</f>
        <v>-3.3428344726562503E-2</v>
      </c>
      <c r="AG470" s="16"/>
      <c r="AH470" s="77"/>
      <c r="AI470" s="114"/>
    </row>
    <row r="471" spans="1:35" ht="16.2">
      <c r="A471" s="53">
        <v>470</v>
      </c>
      <c r="B471" s="118">
        <f t="shared" si="32"/>
        <v>1.2358899999999999</v>
      </c>
      <c r="C471" s="72" t="str">
        <f t="array" ref="C471">INDEX(NPCFName,TRUNC(1+(COUNTA(NPCFName))*(TRUNC(MOD(($B471*1103515245 +12345)/ 65536, 32768),0)/32768),0))</f>
        <v>Vethelot</v>
      </c>
      <c r="D471" s="16" t="str">
        <f t="array" ref="D471">INDEX(NPCLName,TRUNC(1+(COUNTA(NPCLName))*(TRUNC(MOD(($B471*1103515245 +12345)/ 65536, 32768),0)/32768),0))</f>
        <v>Mourninglash</v>
      </c>
      <c r="E471" s="16" t="str">
        <f t="array" ref="E471">INDEX(NPCClass,TRUNC(1+(COUNTA(NPCClass))*(TRUNC(MOD(($B471*1103515245 +12345)/ 65536, 32768),0)/32768),0))</f>
        <v>Warlock</v>
      </c>
      <c r="F471" s="76">
        <v>8</v>
      </c>
      <c r="G471" s="153">
        <f ca="1">VLOOKUP($AB$2,'RF Mod'!$A$2:$G$12,2,FALSE)+VLOOKUP($AD$2,'RF Mod'!$I$2:$O$11,2,FALSE)+(TRUNC(6+(24-6)*(TRUNC(MOD(($Z471*1103515245 +12345)/ 65536, 32768),0)/32768),0))</f>
        <v>9</v>
      </c>
      <c r="H471" s="16">
        <f t="shared" ca="1" si="17"/>
        <v>-1</v>
      </c>
      <c r="I471" s="153">
        <f ca="1">VLOOKUP($AB$2,'RF Mod'!$A$2:$G$12,3,FALSE)+VLOOKUP($AD$2,'RF Mod'!$I$2:$O$11,3,FALSE)+(TRUNC(6+(24-6)*(TRUNC(MOD(($Z471*1103515245 +12345)/ 65536, 32768),0)/32768),0))</f>
        <v>13</v>
      </c>
      <c r="J471" s="16" t="e">
        <f t="shared" ca="1" si="18"/>
        <v>#NAME?</v>
      </c>
      <c r="K471" s="153">
        <f ca="1">VLOOKUP($AB$2,'RF Mod'!$A$2:$G$12,3,FALSE)+VLOOKUP($AD$2,'RF Mod'!$I$2:$O$11,3,FALSE)+(TRUNC(6+(24-6)*(TRUNC(MOD(($Z471*1103515245 +12345)/ 65536, 32768),0)/32768),0))</f>
        <v>13</v>
      </c>
      <c r="L471" s="16" t="e">
        <f t="shared" ca="1" si="19"/>
        <v>#NAME?</v>
      </c>
      <c r="M471" s="153">
        <f ca="1">VLOOKUP($AB$2,'RF Mod'!$A$2:$G$12,4,FALSE)+VLOOKUP($AD$2,'RF Mod'!$I$2:$O$11,4,FALSE)+(TRUNC(6+(24-6)*(TRUNC(MOD(($Z471*1103515245 +12345)/ 65536, 32768),0)/32768),0))</f>
        <v>12</v>
      </c>
      <c r="N471" s="16" t="e">
        <f t="shared" ca="1" si="20"/>
        <v>#NAME?</v>
      </c>
      <c r="O471" s="153">
        <f ca="1">VLOOKUP($AB$2,'RF Mod'!$A$2:$G$12,5,FALSE)+VLOOKUP($AD$2,'RF Mod'!$I$2:$O$11,5,FALSE)+(TRUNC(6+(24-6)*(TRUNC(MOD(($Z471*1103515245 +12345)/ 65536, 32768),0)/32768),0))</f>
        <v>15</v>
      </c>
      <c r="P471" s="16" t="e">
        <f t="shared" ca="1" si="21"/>
        <v>#NAME?</v>
      </c>
      <c r="Q471" s="153">
        <f ca="1">VLOOKUP($AB$2,'RF Mod'!$A$2:$G$12,6,FALSE)+VLOOKUP($AD$2,'RF Mod'!$I$2:$O$11,6,FALSE)+(TRUNC(6+(24-6)*(TRUNC(MOD(($Z471*1103515245 +12345)/ 65536, 32768),0)/32768),0))</f>
        <v>13</v>
      </c>
      <c r="R471" s="16" t="e">
        <f t="shared" ca="1" si="22"/>
        <v>#NAME?</v>
      </c>
      <c r="S471" s="154">
        <f t="shared" ca="1" si="28"/>
        <v>184</v>
      </c>
      <c r="T471" s="154">
        <f t="shared" ca="1" si="23"/>
        <v>145</v>
      </c>
      <c r="U471" s="16" t="str">
        <f t="shared" ca="1" si="24"/>
        <v>Bloody</v>
      </c>
      <c r="V471" s="155">
        <f ca="1">IFERROR(__xludf.DUMMYFUNCTION("if(W471=""Middle Age"",QUERY(NPCVar!$K$2:$N1000, ""Select L where K = '""&amp;AB471&amp;""'""),if(W471=""Old"",QUERY(NPCVar!$K$2:$N1000, ""Select M where K = '""&amp;AB471&amp;""'""),if(W471=""Venerable"",QUERY(NPCVar!$K$2:$N1000, ""Select N where K = '""&amp;AB471&amp;""'""),fa"&amp;"lse)))*X471"),320)</f>
        <v>320</v>
      </c>
      <c r="W471" s="156" t="str">
        <f t="array" ref="W471">INDEX(NPCAgeType,TRUNC(1+(4-1)*(TRUNC(MOD((X471*1103515245 +12345)/ 65536, 32768),0)/32768),0))</f>
        <v>Venerable</v>
      </c>
      <c r="X471" s="117">
        <f t="shared" si="29"/>
        <v>1.6</v>
      </c>
      <c r="Y471" s="157" t="e">
        <f t="array" aca="1" ref="Y471" ca="1">LOOKUP(ABS(MAX(Z471 + MIN(ABS(INDIRECT("Class Jobs!B"&amp;MATCH(E471,'Class Jobs'!$A$1:$A1000,0)&amp;":"&amp;"AF"&amp;MATCH(E471,'Class Jobs'!$A$1:$A1000,0)&amp;"")-$Z471)) * SUM(IF(MIN(ABS(INDIRECT("Class Jobs!B"&amp;MATCH(E471,'Class Jobs'!$A$1:$A1000,0)&amp;":"&amp;"AF"&amp;MATCH(E471,'Class Jobs'!$A$1:$A1000,0)&amp;"")-$Z471))=ABS(INDIRECT("Class Jobs!B"&amp;MATCH(E471,'Class Jobs'!$A$1:$A1000,0)&amp;":"&amp;"AF"&amp;MATCH(E471,'Class Jobs'!$A$1:$A1000,0)&amp;"")-$Z471),SIGN(INDIRECT("Class Jobs!B"&amp;MATCH(E471,'Class Jobs'!$A$1:A1000,0)&amp;":"&amp;"AF"&amp;MATCH(E471,'Class Jobs'!$A$1:$A1000,0)&amp;"")-$Z471),0)),0)),INDIRECT("Class Jobs!B"&amp;MATCH(E471,'Class Jobs'!$A$1:$A1000,0)&amp;":"&amp;"AF"&amp;MATCH(E471,'Class Jobs'!$A$1:$A1000,1)&amp;""),'Class Jobs'!$B$1:$AF$1)</f>
        <v>#REF!</v>
      </c>
      <c r="Z471" s="158">
        <f t="shared" si="25"/>
        <v>0.63</v>
      </c>
      <c r="AA471" s="16" t="str">
        <f t="array" ref="AA471">INDEX(NPCGender,TRUNC(1+(COUNTA(NPCGender))*(TRUNC(MOD(($B471*1103515245 +12345)/ 65536, 32768),0)/32768),0))</f>
        <v>Female</v>
      </c>
      <c r="AB471" s="16" t="str">
        <f t="array" ref="AB471">INDEX(NPCRace,TRUNC(1+(COUNTA(NPCRace))*(TRUNC(MOD(($B471*1103515245 +12345)/ 65536, 32768),0)/32768),0))</f>
        <v>Halfling</v>
      </c>
      <c r="AC471" s="16" t="str">
        <f t="array" ref="AC471">INDEX(NPCAL,TRUNC(1+(COUNTA(NPCAL))*(TRUNC(MOD(($B471*1103515245 +12345)/ 65536, 32768),0)/32768),0))</f>
        <v>NE</v>
      </c>
      <c r="AD471" s="72" t="str">
        <f ca="1">IFERROR(__xludf.DUMMYFUNCTION("if(V471&lt;15,QUERY(NPCVar!C:D,""Select D WHERE C = '""&amp;D471&amp;""'""),if((TRUNC(1+10)*(TRUNC(MOD((ROW(H471)*1103515245 +12345)/ 65536, 32768),0)/32768)/10) &gt; 0.85,INDEX(NPCFaction,TRUNC(1+(counta(NPCFaction)-1)*(TRUNC(MOD(($B471*1103515245 +12345)/ 65536, 3276"&amp;"8),0)/32768),0)),QUERY(NPCVar!C:D,""Select D WHERE C = '""&amp;D471&amp;""'"")))"),"Traverlers Guild")</f>
        <v>Traverlers Guild</v>
      </c>
      <c r="AE471" s="108" t="e">
        <f t="shared" ca="1" si="26"/>
        <v>#NAME?</v>
      </c>
      <c r="AF471" s="159">
        <f ca="1">IFERROR(__xludf.DUMMYFUNCTION("AE471*(V471 / QUERY(NPCVar!$K$2:$N$12, ""Select N WHERE K='""&amp;AB471&amp;""'""))*TRUNC(1+10)*(TRUNC(MOD(($B471*1103515245 +12345)/ 65536, 32768),0)/32768)"),6.70634765624999)</f>
        <v>6.7063476562499904</v>
      </c>
      <c r="AG471" s="16"/>
      <c r="AH471" s="77"/>
      <c r="AI471" s="114"/>
    </row>
    <row r="472" spans="1:35" ht="16.2">
      <c r="A472" s="53">
        <v>471</v>
      </c>
      <c r="B472" s="118">
        <f t="shared" si="32"/>
        <v>0.23003000000000001</v>
      </c>
      <c r="C472" s="72" t="str">
        <f t="array" ref="C472">INDEX(NPCFName,TRUNC(1+(COUNTA(NPCFName))*(TRUNC(MOD(($B472*1103515245 +12345)/ 65536, 32768),0)/32768),0))</f>
        <v>Gemardt</v>
      </c>
      <c r="D472" s="16" t="str">
        <f t="array" ref="D472">INDEX(NPCLName,TRUNC(1+(COUNTA(NPCLName))*(TRUNC(MOD(($B472*1103515245 +12345)/ 65536, 32768),0)/32768),0))</f>
        <v>Distantlash</v>
      </c>
      <c r="E472" s="16" t="str">
        <f t="array" ref="E472">INDEX(NPCClass,TRUNC(1+(COUNTA(NPCClass))*(TRUNC(MOD(($B472*1103515245 +12345)/ 65536, 32768),0)/32768),0))</f>
        <v>Bard</v>
      </c>
      <c r="F472" s="76">
        <v>1</v>
      </c>
      <c r="G472" s="153">
        <f ca="1">VLOOKUP($AB$2,'RF Mod'!$A$2:$G$12,2,FALSE)+VLOOKUP($AD$2,'RF Mod'!$I$2:$O$11,2,FALSE)+(TRUNC(6+(24-6)*(TRUNC(MOD(($Z472*1103515245 +12345)/ 65536, 32768),0)/32768),0))</f>
        <v>5</v>
      </c>
      <c r="H472" s="16">
        <f t="shared" ca="1" si="17"/>
        <v>-3</v>
      </c>
      <c r="I472" s="153">
        <f ca="1">VLOOKUP($AB$2,'RF Mod'!$A$2:$G$12,3,FALSE)+VLOOKUP($AD$2,'RF Mod'!$I$2:$O$11,3,FALSE)+(TRUNC(6+(24-6)*(TRUNC(MOD(($Z472*1103515245 +12345)/ 65536, 32768),0)/32768),0))</f>
        <v>9</v>
      </c>
      <c r="J472" s="16">
        <f t="shared" ca="1" si="18"/>
        <v>-1</v>
      </c>
      <c r="K472" s="153">
        <f ca="1">VLOOKUP($AB$2,'RF Mod'!$A$2:$G$12,3,FALSE)+VLOOKUP($AD$2,'RF Mod'!$I$2:$O$11,3,FALSE)+(TRUNC(6+(24-6)*(TRUNC(MOD(($Z472*1103515245 +12345)/ 65536, 32768),0)/32768),0))</f>
        <v>9</v>
      </c>
      <c r="L472" s="16">
        <f t="shared" ca="1" si="19"/>
        <v>-1</v>
      </c>
      <c r="M472" s="153">
        <f ca="1">VLOOKUP($AB$2,'RF Mod'!$A$2:$G$12,4,FALSE)+VLOOKUP($AD$2,'RF Mod'!$I$2:$O$11,4,FALSE)+(TRUNC(6+(24-6)*(TRUNC(MOD(($Z472*1103515245 +12345)/ 65536, 32768),0)/32768),0))</f>
        <v>8</v>
      </c>
      <c r="N472" s="16">
        <f t="shared" ca="1" si="20"/>
        <v>-1</v>
      </c>
      <c r="O472" s="153">
        <f ca="1">VLOOKUP($AB$2,'RF Mod'!$A$2:$G$12,5,FALSE)+VLOOKUP($AD$2,'RF Mod'!$I$2:$O$11,5,FALSE)+(TRUNC(6+(24-6)*(TRUNC(MOD(($Z472*1103515245 +12345)/ 65536, 32768),0)/32768),0))</f>
        <v>11</v>
      </c>
      <c r="P472" s="16" t="e">
        <f t="shared" ca="1" si="21"/>
        <v>#NAME?</v>
      </c>
      <c r="Q472" s="153">
        <f ca="1">VLOOKUP($AB$2,'RF Mod'!$A$2:$G$12,6,FALSE)+VLOOKUP($AD$2,'RF Mod'!$I$2:$O$11,6,FALSE)+(TRUNC(6+(24-6)*(TRUNC(MOD(($Z472*1103515245 +12345)/ 65536, 32768),0)/32768),0))</f>
        <v>9</v>
      </c>
      <c r="R472" s="16">
        <f t="shared" ca="1" si="22"/>
        <v>-1</v>
      </c>
      <c r="S472" s="154">
        <f t="shared" ca="1" si="28"/>
        <v>27</v>
      </c>
      <c r="T472" s="154">
        <f t="shared" ca="1" si="23"/>
        <v>11</v>
      </c>
      <c r="U472" s="16" t="str">
        <f t="shared" ca="1" si="24"/>
        <v>Fine</v>
      </c>
      <c r="V472" s="155">
        <f ca="1">IFERROR(__xludf.DUMMYFUNCTION("if(W472=""Middle Age"",QUERY(NPCVar!$K$2:$N1000, ""Select L where K = '""&amp;AB472&amp;""'""),if(W472=""Old"",QUERY(NPCVar!$K$2:$N1000, ""Select M where K = '""&amp;AB472&amp;""'""),if(W472=""Venerable"",QUERY(NPCVar!$K$2:$N1000, ""Select N where K = '""&amp;AB472&amp;""'""),fa"&amp;"lse)))*X472"),24)</f>
        <v>24</v>
      </c>
      <c r="W472" s="156" t="str">
        <f t="array" ref="W472">INDEX(NPCAgeType,TRUNC(1+(4-1)*(TRUNC(MOD((X472*1103515245 +12345)/ 65536, 32768),0)/32768),0))</f>
        <v>Middle Age</v>
      </c>
      <c r="X472" s="117">
        <f t="shared" si="29"/>
        <v>0.3</v>
      </c>
      <c r="Y472" s="157" t="e">
        <f t="array" aca="1" ref="Y472" ca="1">LOOKUP(ABS(MAX(Z472 + MIN(ABS(INDIRECT("Class Jobs!B"&amp;MATCH(E472,'Class Jobs'!$A$1:$A1000,0)&amp;":"&amp;"AF"&amp;MATCH(E472,'Class Jobs'!$A$1:$A1000,0)&amp;"")-$Z472)) * SUM(IF(MIN(ABS(INDIRECT("Class Jobs!B"&amp;MATCH(E472,'Class Jobs'!$A$1:$A1000,0)&amp;":"&amp;"AF"&amp;MATCH(E472,'Class Jobs'!$A$1:$A1000,0)&amp;"")-$Z472))=ABS(INDIRECT("Class Jobs!B"&amp;MATCH(E472,'Class Jobs'!$A$1:$A1000,0)&amp;":"&amp;"AF"&amp;MATCH(E472,'Class Jobs'!$A$1:$A1000,0)&amp;"")-$Z472),SIGN(INDIRECT("Class Jobs!B"&amp;MATCH(E472,'Class Jobs'!$A$1:A1000,0)&amp;":"&amp;"AF"&amp;MATCH(E472,'Class Jobs'!$A$1:$A1000,0)&amp;"")-$Z472),0)),0)),INDIRECT("Class Jobs!B"&amp;MATCH(E472,'Class Jobs'!$A$1:$A1000,0)&amp;":"&amp;"AF"&amp;MATCH(E472,'Class Jobs'!$A$1:$A1000,1)&amp;""),'Class Jobs'!$B$1:$AF$1)</f>
        <v>#REF!</v>
      </c>
      <c r="Z472" s="158">
        <f t="shared" si="25"/>
        <v>0.12</v>
      </c>
      <c r="AA472" s="16" t="str">
        <f t="array" ref="AA472">INDEX(NPCGender,TRUNC(1+(COUNTA(NPCGender))*(TRUNC(MOD(($B472*1103515245 +12345)/ 65536, 32768),0)/32768),0))</f>
        <v>Male</v>
      </c>
      <c r="AB472" s="16" t="str">
        <f t="array" ref="AB472">INDEX(NPCRace,TRUNC(1+(COUNTA(NPCRace))*(TRUNC(MOD(($B472*1103515245 +12345)/ 65536, 32768),0)/32768),0))</f>
        <v>Dwarf</v>
      </c>
      <c r="AC472" s="16" t="str">
        <f t="array" ref="AC472">INDEX(NPCAL,TRUNC(1+(COUNTA(NPCAL))*(TRUNC(MOD(($B472*1103515245 +12345)/ 65536, 32768),0)/32768),0))</f>
        <v>CE</v>
      </c>
      <c r="AD472" s="72" t="str">
        <f ca="1">IFERROR(__xludf.DUMMYFUNCTION("if(V472&lt;15,QUERY(NPCVar!C:D,""Select D WHERE C = '""&amp;D472&amp;""'""),if((TRUNC(1+10)*(TRUNC(MOD((ROW(H472)*1103515245 +12345)/ 65536, 32768),0)/32768)/10) &gt; 0.85,INDEX(NPCFaction,TRUNC(1+(counta(NPCFaction)-1)*(TRUNC(MOD(($B472*1103515245 +12345)/ 65536, 3276"&amp;"8),0)/32768),0)),QUERY(NPCVar!C:D,""Select D WHERE C = '""&amp;D472&amp;""'"")))"),"Death Guild")</f>
        <v>Death Guild</v>
      </c>
      <c r="AE472" s="108" t="e">
        <f t="shared" ca="1" si="26"/>
        <v>#NAME?</v>
      </c>
      <c r="AF472" s="159">
        <f ca="1">IFERROR(__xludf.DUMMYFUNCTION("AE472*(V472 / QUERY(NPCVar!$K$2:$N$12, ""Select N WHERE K='""&amp;AB472&amp;""'""))*TRUNC(1+10)*(TRUNC(MOD(($B472*1103515245 +12345)/ 65536, 32768),0)/32768)"),-0.0195021057128906)</f>
        <v>-1.9502105712890599E-2</v>
      </c>
      <c r="AG472" s="16"/>
      <c r="AH472" s="77"/>
      <c r="AI472" s="114"/>
    </row>
    <row r="473" spans="1:35" ht="16.2">
      <c r="A473" s="53">
        <v>472</v>
      </c>
      <c r="B473" s="118">
        <f t="shared" si="32"/>
        <v>1.7241599999999999</v>
      </c>
      <c r="C473" s="72" t="str">
        <f t="array" ref="C473">INDEX(NPCFName,TRUNC(1+(COUNTA(NPCFName))*(TRUNC(MOD(($B473*1103515245 +12345)/ 65536, 32768),0)/32768),0))</f>
        <v>Oxbaren</v>
      </c>
      <c r="D473" s="16" t="str">
        <f t="array" ref="D473">INDEX(NPCLName,TRUNC(1+(COUNTA(NPCLName))*(TRUNC(MOD(($B473*1103515245 +12345)/ 65536, 32768),0)/32768),0))</f>
        <v>Forestbluff</v>
      </c>
      <c r="E473" s="16" t="str">
        <f t="array" ref="E473">INDEX(NPCClass,TRUNC(1+(COUNTA(NPCClass))*(TRUNC(MOD(($B473*1103515245 +12345)/ 65536, 32768),0)/32768),0))</f>
        <v>Fighter</v>
      </c>
      <c r="F473" s="76">
        <v>8</v>
      </c>
      <c r="G473" s="153">
        <f ca="1">VLOOKUP($AB$2,'RF Mod'!$A$2:$G$12,2,FALSE)+VLOOKUP($AD$2,'RF Mod'!$I$2:$O$11,2,FALSE)+(TRUNC(6+(24-6)*(TRUNC(MOD(($Z473*1103515245 +12345)/ 65536, 32768),0)/32768),0))</f>
        <v>12</v>
      </c>
      <c r="H473" s="16" t="e">
        <f t="shared" ca="1" si="17"/>
        <v>#NAME?</v>
      </c>
      <c r="I473" s="153">
        <f ca="1">VLOOKUP($AB$2,'RF Mod'!$A$2:$G$12,3,FALSE)+VLOOKUP($AD$2,'RF Mod'!$I$2:$O$11,3,FALSE)+(TRUNC(6+(24-6)*(TRUNC(MOD(($Z473*1103515245 +12345)/ 65536, 32768),0)/32768),0))</f>
        <v>16</v>
      </c>
      <c r="J473" s="16" t="e">
        <f t="shared" ca="1" si="18"/>
        <v>#NAME?</v>
      </c>
      <c r="K473" s="153">
        <f ca="1">VLOOKUP($AB$2,'RF Mod'!$A$2:$G$12,3,FALSE)+VLOOKUP($AD$2,'RF Mod'!$I$2:$O$11,3,FALSE)+(TRUNC(6+(24-6)*(TRUNC(MOD(($Z473*1103515245 +12345)/ 65536, 32768),0)/32768),0))</f>
        <v>16</v>
      </c>
      <c r="L473" s="16" t="e">
        <f t="shared" ca="1" si="19"/>
        <v>#NAME?</v>
      </c>
      <c r="M473" s="153">
        <f ca="1">VLOOKUP($AB$2,'RF Mod'!$A$2:$G$12,4,FALSE)+VLOOKUP($AD$2,'RF Mod'!$I$2:$O$11,4,FALSE)+(TRUNC(6+(24-6)*(TRUNC(MOD(($Z473*1103515245 +12345)/ 65536, 32768),0)/32768),0))</f>
        <v>15</v>
      </c>
      <c r="N473" s="16" t="e">
        <f t="shared" ca="1" si="20"/>
        <v>#NAME?</v>
      </c>
      <c r="O473" s="153">
        <f ca="1">VLOOKUP($AB$2,'RF Mod'!$A$2:$G$12,5,FALSE)+VLOOKUP($AD$2,'RF Mod'!$I$2:$O$11,5,FALSE)+(TRUNC(6+(24-6)*(TRUNC(MOD(($Z473*1103515245 +12345)/ 65536, 32768),0)/32768),0))</f>
        <v>18</v>
      </c>
      <c r="P473" s="16" t="e">
        <f t="shared" ca="1" si="21"/>
        <v>#NAME?</v>
      </c>
      <c r="Q473" s="153">
        <f ca="1">VLOOKUP($AB$2,'RF Mod'!$A$2:$G$12,6,FALSE)+VLOOKUP($AD$2,'RF Mod'!$I$2:$O$11,6,FALSE)+(TRUNC(6+(24-6)*(TRUNC(MOD(($Z473*1103515245 +12345)/ 65536, 32768),0)/32768),0))</f>
        <v>16</v>
      </c>
      <c r="R473" s="16" t="e">
        <f t="shared" ca="1" si="22"/>
        <v>#NAME?</v>
      </c>
      <c r="S473" s="154">
        <f t="shared" ca="1" si="28"/>
        <v>224</v>
      </c>
      <c r="T473" s="154">
        <f t="shared" ca="1" si="23"/>
        <v>103</v>
      </c>
      <c r="U473" s="16" t="str">
        <f t="shared" ca="1" si="24"/>
        <v>Fine</v>
      </c>
      <c r="V473" s="155">
        <f ca="1">IFERROR(__xludf.DUMMYFUNCTION("if(W473=""Middle Age"",QUERY(NPCVar!$K$2:$N1000, ""Select L where K = '""&amp;AB473&amp;""'""),if(W473=""Old"",QUERY(NPCVar!$K$2:$N1000, ""Select M where K = '""&amp;AB473&amp;""'""),if(W473=""Venerable"",QUERY(NPCVar!$K$2:$N1000, ""Select N where K = '""&amp;AB473&amp;""'""),fa"&amp;"lse)))*X473"),60.5)</f>
        <v>60.5</v>
      </c>
      <c r="W473" s="156" t="str">
        <f t="array" ref="W473">INDEX(NPCAgeType,TRUNC(1+(4-1)*(TRUNC(MOD((X473*1103515245 +12345)/ 65536, 32768),0)/32768),0))</f>
        <v>Middle Age</v>
      </c>
      <c r="X473" s="117">
        <f t="shared" si="29"/>
        <v>2.2000000000000002</v>
      </c>
      <c r="Y473" s="157" t="e">
        <f t="array" aca="1" ref="Y473" ca="1">LOOKUP(ABS(MAX(Z473 + MIN(ABS(INDIRECT("Class Jobs!B"&amp;MATCH(E473,'Class Jobs'!$A$1:$A1000,0)&amp;":"&amp;"AF"&amp;MATCH(E473,'Class Jobs'!$A$1:$A1000,0)&amp;"")-$Z473)) * SUM(IF(MIN(ABS(INDIRECT("Class Jobs!B"&amp;MATCH(E473,'Class Jobs'!$A$1:$A1000,0)&amp;":"&amp;"AF"&amp;MATCH(E473,'Class Jobs'!$A$1:$A1000,0)&amp;"")-$Z473))=ABS(INDIRECT("Class Jobs!B"&amp;MATCH(E473,'Class Jobs'!$A$1:$A1000,0)&amp;":"&amp;"AF"&amp;MATCH(E473,'Class Jobs'!$A$1:$A1000,0)&amp;"")-$Z473),SIGN(INDIRECT("Class Jobs!B"&amp;MATCH(E473,'Class Jobs'!$A$1:A1000,0)&amp;":"&amp;"AF"&amp;MATCH(E473,'Class Jobs'!$A$1:$A1000,0)&amp;"")-$Z473),0)),0)),INDIRECT("Class Jobs!B"&amp;MATCH(E473,'Class Jobs'!$A$1:$A1000,0)&amp;":"&amp;"AF"&amp;MATCH(E473,'Class Jobs'!$A$1:$A1000,1)&amp;""),'Class Jobs'!$B$1:$AF$1)</f>
        <v>#REF!</v>
      </c>
      <c r="Z473" s="158">
        <f t="shared" si="25"/>
        <v>0.88</v>
      </c>
      <c r="AA473" s="16" t="str">
        <f t="array" ref="AA473">INDEX(NPCGender,TRUNC(1+(COUNTA(NPCGender))*(TRUNC(MOD(($B473*1103515245 +12345)/ 65536, 32768),0)/32768),0))</f>
        <v>Neutral</v>
      </c>
      <c r="AB473" s="16" t="str">
        <f t="array" ref="AB473">INDEX(NPCRace,TRUNC(1+(COUNTA(NPCRace))*(TRUNC(MOD(($B473*1103515245 +12345)/ 65536, 32768),0)/32768),0))</f>
        <v>Genasi</v>
      </c>
      <c r="AC473" s="16" t="str">
        <f t="array" ref="AC473">INDEX(NPCAL,TRUNC(1+(COUNTA(NPCAL))*(TRUNC(MOD(($B473*1103515245 +12345)/ 65536, 32768),0)/32768),0))</f>
        <v>LN</v>
      </c>
      <c r="AD473" s="72" t="str">
        <f ca="1">IFERROR(__xludf.DUMMYFUNCTION("if(V473&lt;15,QUERY(NPCVar!C:D,""Select D WHERE C = '""&amp;D473&amp;""'""),if((TRUNC(1+10)*(TRUNC(MOD((ROW(H473)*1103515245 +12345)/ 65536, 32768),0)/32768)/10) &gt; 0.85,INDEX(NPCFaction,TRUNC(1+(counta(NPCFaction)-1)*(TRUNC(MOD(($B473*1103515245 +12345)/ 65536, 3276"&amp;"8),0)/32768),0)),QUERY(NPCVar!C:D,""Select D WHERE C = '""&amp;D473&amp;""'"")))"),"Thieves Guild")</f>
        <v>Thieves Guild</v>
      </c>
      <c r="AE473" s="108" t="e">
        <f t="shared" ca="1" si="26"/>
        <v>#NAME?</v>
      </c>
      <c r="AF473" s="159">
        <f ca="1">IFERROR(__xludf.DUMMYFUNCTION("AE473*(V473 / QUERY(NPCVar!$K$2:$N$12, ""Select N WHERE K='""&amp;AB473&amp;""'""))*TRUNC(1+10)*(TRUNC(MOD(($B473*1103515245 +12345)/ 65536, 32768),0)/32768)"),3.21613037109375)</f>
        <v>3.2161303710937501</v>
      </c>
      <c r="AG473" s="16"/>
      <c r="AH473" s="77"/>
      <c r="AI473" s="114"/>
    </row>
    <row r="474" spans="1:35" ht="16.2">
      <c r="A474" s="53">
        <v>473</v>
      </c>
      <c r="B474" s="118">
        <f t="shared" si="32"/>
        <v>0.71831</v>
      </c>
      <c r="C474" s="72" t="str">
        <f t="array" ref="C474">INDEX(NPCFName,TRUNC(1+(COUNTA(NPCFName))*(TRUNC(MOD(($B474*1103515245 +12345)/ 65536, 32768),0)/32768),0))</f>
        <v>Bolrock</v>
      </c>
      <c r="D474" s="16" t="str">
        <f t="array" ref="D474">INDEX(NPCLName,TRUNC(1+(COUNTA(NPCLName))*(TRUNC(MOD(($B474*1103515245 +12345)/ 65536, 32768),0)/32768),0))</f>
        <v>Fistroot</v>
      </c>
      <c r="E474" s="16" t="str">
        <f t="array" ref="E474">INDEX(NPCClass,TRUNC(1+(COUNTA(NPCClass))*(TRUNC(MOD(($B474*1103515245 +12345)/ 65536, 32768),0)/32768),0))</f>
        <v>Paladin</v>
      </c>
      <c r="F474" s="76">
        <v>6</v>
      </c>
      <c r="G474" s="153">
        <f ca="1">VLOOKUP($AB$2,'RF Mod'!$A$2:$G$12,2,FALSE)+VLOOKUP($AD$2,'RF Mod'!$I$2:$O$11,2,FALSE)+(TRUNC(6+(24-6)*(TRUNC(MOD(($Z474*1103515245 +12345)/ 65536, 32768),0)/32768),0))</f>
        <v>7</v>
      </c>
      <c r="H474" s="16">
        <f t="shared" ca="1" si="17"/>
        <v>-2</v>
      </c>
      <c r="I474" s="153">
        <f ca="1">VLOOKUP($AB$2,'RF Mod'!$A$2:$G$12,3,FALSE)+VLOOKUP($AD$2,'RF Mod'!$I$2:$O$11,3,FALSE)+(TRUNC(6+(24-6)*(TRUNC(MOD(($Z474*1103515245 +12345)/ 65536, 32768),0)/32768),0))</f>
        <v>11</v>
      </c>
      <c r="J474" s="16" t="e">
        <f t="shared" ca="1" si="18"/>
        <v>#NAME?</v>
      </c>
      <c r="K474" s="153">
        <f ca="1">VLOOKUP($AB$2,'RF Mod'!$A$2:$G$12,3,FALSE)+VLOOKUP($AD$2,'RF Mod'!$I$2:$O$11,3,FALSE)+(TRUNC(6+(24-6)*(TRUNC(MOD(($Z474*1103515245 +12345)/ 65536, 32768),0)/32768),0))</f>
        <v>11</v>
      </c>
      <c r="L474" s="16" t="e">
        <f t="shared" ca="1" si="19"/>
        <v>#NAME?</v>
      </c>
      <c r="M474" s="153">
        <f ca="1">VLOOKUP($AB$2,'RF Mod'!$A$2:$G$12,4,FALSE)+VLOOKUP($AD$2,'RF Mod'!$I$2:$O$11,4,FALSE)+(TRUNC(6+(24-6)*(TRUNC(MOD(($Z474*1103515245 +12345)/ 65536, 32768),0)/32768),0))</f>
        <v>10</v>
      </c>
      <c r="N474" s="16" t="e">
        <f t="shared" ca="1" si="20"/>
        <v>#NAME?</v>
      </c>
      <c r="O474" s="153">
        <f ca="1">VLOOKUP($AB$2,'RF Mod'!$A$2:$G$12,5,FALSE)+VLOOKUP($AD$2,'RF Mod'!$I$2:$O$11,5,FALSE)+(TRUNC(6+(24-6)*(TRUNC(MOD(($Z474*1103515245 +12345)/ 65536, 32768),0)/32768),0))</f>
        <v>13</v>
      </c>
      <c r="P474" s="16" t="e">
        <f t="shared" ca="1" si="21"/>
        <v>#NAME?</v>
      </c>
      <c r="Q474" s="153">
        <f ca="1">VLOOKUP($AB$2,'RF Mod'!$A$2:$G$12,6,FALSE)+VLOOKUP($AD$2,'RF Mod'!$I$2:$O$11,6,FALSE)+(TRUNC(6+(24-6)*(TRUNC(MOD(($Z474*1103515245 +12345)/ 65536, 32768),0)/32768),0))</f>
        <v>11</v>
      </c>
      <c r="R474" s="16" t="e">
        <f t="shared" ca="1" si="22"/>
        <v>#NAME?</v>
      </c>
      <c r="S474" s="154">
        <f t="shared" ca="1" si="28"/>
        <v>78</v>
      </c>
      <c r="T474" s="154">
        <f t="shared" ca="1" si="23"/>
        <v>33</v>
      </c>
      <c r="U474" s="16" t="str">
        <f t="shared" ca="1" si="24"/>
        <v>Fine</v>
      </c>
      <c r="V474" s="155">
        <f ca="1">IFERROR(__xludf.DUMMYFUNCTION("if(W474=""Middle Age"",QUERY(NPCVar!$K$2:$N1000, ""Select L where K = '""&amp;AB474&amp;""'""),if(W474=""Old"",QUERY(NPCVar!$K$2:$N1000, ""Select M where K = '""&amp;AB474&amp;""'""),if(W474=""Venerable"",QUERY(NPCVar!$K$2:$N1000, ""Select N where K = '""&amp;AB474&amp;""'""),fa"&amp;"lse)))*X474"),60.75)</f>
        <v>60.75</v>
      </c>
      <c r="W474" s="156" t="str">
        <f t="array" ref="W474">INDEX(NPCAgeType,TRUNC(1+(4-1)*(TRUNC(MOD((X474*1103515245 +12345)/ 65536, 32768),0)/32768),0))</f>
        <v>Old</v>
      </c>
      <c r="X474" s="117">
        <f t="shared" si="29"/>
        <v>0.9</v>
      </c>
      <c r="Y474" s="157" t="e">
        <f t="array" aca="1" ref="Y474" ca="1">LOOKUP(ABS(MAX(Z474 + MIN(ABS(INDIRECT("Class Jobs!B"&amp;MATCH(E474,'Class Jobs'!$A$1:$A1000,0)&amp;":"&amp;"AF"&amp;MATCH(E474,'Class Jobs'!$A$1:$A1000,0)&amp;"")-$Z474)) * SUM(IF(MIN(ABS(INDIRECT("Class Jobs!B"&amp;MATCH(E474,'Class Jobs'!$A$1:$A1000,0)&amp;":"&amp;"AF"&amp;MATCH(E474,'Class Jobs'!$A$1:$A1000,0)&amp;"")-$Z474))=ABS(INDIRECT("Class Jobs!B"&amp;MATCH(E474,'Class Jobs'!$A$1:$A1000,0)&amp;":"&amp;"AF"&amp;MATCH(E474,'Class Jobs'!$A$1:$A1000,0)&amp;"")-$Z474),SIGN(INDIRECT("Class Jobs!B"&amp;MATCH(E474,'Class Jobs'!$A$1:A1000,0)&amp;":"&amp;"AF"&amp;MATCH(E474,'Class Jobs'!$A$1:$A1000,0)&amp;"")-$Z474),0)),0)),INDIRECT("Class Jobs!B"&amp;MATCH(E474,'Class Jobs'!$A$1:$A1000,0)&amp;":"&amp;"AF"&amp;MATCH(E474,'Class Jobs'!$A$1:$A1000,1)&amp;""),'Class Jobs'!$B$1:$AF$1)</f>
        <v>#REF!</v>
      </c>
      <c r="Z474" s="158">
        <f t="shared" si="25"/>
        <v>0.37</v>
      </c>
      <c r="AA474" s="16" t="str">
        <f t="array" ref="AA474">INDEX(NPCGender,TRUNC(1+(COUNTA(NPCGender))*(TRUNC(MOD(($B474*1103515245 +12345)/ 65536, 32768),0)/32768),0))</f>
        <v>Female</v>
      </c>
      <c r="AB474" s="16" t="str">
        <f t="array" ref="AB474">INDEX(NPCRace,TRUNC(1+(COUNTA(NPCRace))*(TRUNC(MOD(($B474*1103515245 +12345)/ 65536, 32768),0)/32768),0))</f>
        <v>Half-Elf</v>
      </c>
      <c r="AC474" s="16" t="str">
        <f t="array" ref="AC474">INDEX(NPCAL,TRUNC(1+(COUNTA(NPCAL))*(TRUNC(MOD(($B474*1103515245 +12345)/ 65536, 32768),0)/32768),0))</f>
        <v>NG</v>
      </c>
      <c r="AD474" s="72" t="str">
        <f ca="1">IFERROR(__xludf.DUMMYFUNCTION("if(V474&lt;15,QUERY(NPCVar!C:D,""Select D WHERE C = '""&amp;D474&amp;""'""),if((TRUNC(1+10)*(TRUNC(MOD((ROW(H474)*1103515245 +12345)/ 65536, 32768),0)/32768)/10) &gt; 0.85,INDEX(NPCFaction,TRUNC(1+(counta(NPCFaction)-1)*(TRUNC(MOD(($B474*1103515245 +12345)/ 65536, 3276"&amp;"8),0)/32768),0)),QUERY(NPCVar!C:D,""Select D WHERE C = '""&amp;D474&amp;""'"")))"),"Magic Guild")</f>
        <v>Magic Guild</v>
      </c>
      <c r="AE474" s="108" t="e">
        <f t="shared" ca="1" si="26"/>
        <v>#NAME?</v>
      </c>
      <c r="AF474" s="159">
        <f ca="1">IFERROR(__xludf.DUMMYFUNCTION("AE474*(V474 / QUERY(NPCVar!$K$2:$N$12, ""Select N WHERE K='""&amp;AB474&amp;""'""))*TRUNC(1+10)*(TRUNC(MOD(($B474*1103515245 +12345)/ 65536, 32768),0)/32768)"),0)</f>
        <v>0</v>
      </c>
      <c r="AG474" s="16"/>
      <c r="AH474" s="77"/>
      <c r="AI474" s="114"/>
    </row>
    <row r="475" spans="1:35" ht="16.2">
      <c r="A475" s="53">
        <v>474</v>
      </c>
      <c r="B475" s="118">
        <f t="shared" si="32"/>
        <v>2.21244</v>
      </c>
      <c r="C475" s="72" t="str">
        <f t="array" ref="C475">INDEX(NPCFName,TRUNC(1+(COUNTA(NPCFName))*(TRUNC(MOD(($B475*1103515245 +12345)/ 65536, 32768),0)/32768),0))</f>
        <v>Hydale</v>
      </c>
      <c r="D475" s="16" t="str">
        <f t="array" ref="D475">INDEX(NPCLName,TRUNC(1+(COUNTA(NPCLName))*(TRUNC(MOD(($B475*1103515245 +12345)/ 65536, 32768),0)/32768),0))</f>
        <v>Fistwing</v>
      </c>
      <c r="E475" s="16" t="str">
        <f t="array" ref="E475">INDEX(NPCClass,TRUNC(1+(COUNTA(NPCClass))*(TRUNC(MOD(($B475*1103515245 +12345)/ 65536, 32768),0)/32768),0))</f>
        <v>Bard</v>
      </c>
      <c r="F475" s="76">
        <v>1</v>
      </c>
      <c r="G475" s="153">
        <f ca="1">VLOOKUP($AB$2,'RF Mod'!$A$2:$G$12,2,FALSE)+VLOOKUP($AD$2,'RF Mod'!$I$2:$O$11,2,FALSE)+(TRUNC(6+(24-6)*(TRUNC(MOD(($Z475*1103515245 +12345)/ 65536, 32768),0)/32768),0))</f>
        <v>5</v>
      </c>
      <c r="H475" s="16">
        <f t="shared" ca="1" si="17"/>
        <v>-3</v>
      </c>
      <c r="I475" s="153">
        <f ca="1">VLOOKUP($AB$2,'RF Mod'!$A$2:$G$12,3,FALSE)+VLOOKUP($AD$2,'RF Mod'!$I$2:$O$11,3,FALSE)+(TRUNC(6+(24-6)*(TRUNC(MOD(($Z475*1103515245 +12345)/ 65536, 32768),0)/32768),0))</f>
        <v>9</v>
      </c>
      <c r="J475" s="16">
        <f t="shared" ca="1" si="18"/>
        <v>-1</v>
      </c>
      <c r="K475" s="153">
        <f ca="1">VLOOKUP($AB$2,'RF Mod'!$A$2:$G$12,3,FALSE)+VLOOKUP($AD$2,'RF Mod'!$I$2:$O$11,3,FALSE)+(TRUNC(6+(24-6)*(TRUNC(MOD(($Z475*1103515245 +12345)/ 65536, 32768),0)/32768),0))</f>
        <v>9</v>
      </c>
      <c r="L475" s="16">
        <f t="shared" ca="1" si="19"/>
        <v>-1</v>
      </c>
      <c r="M475" s="153">
        <f ca="1">VLOOKUP($AB$2,'RF Mod'!$A$2:$G$12,4,FALSE)+VLOOKUP($AD$2,'RF Mod'!$I$2:$O$11,4,FALSE)+(TRUNC(6+(24-6)*(TRUNC(MOD(($Z475*1103515245 +12345)/ 65536, 32768),0)/32768),0))</f>
        <v>8</v>
      </c>
      <c r="N475" s="16">
        <f t="shared" ca="1" si="20"/>
        <v>-1</v>
      </c>
      <c r="O475" s="153">
        <f ca="1">VLOOKUP($AB$2,'RF Mod'!$A$2:$G$12,5,FALSE)+VLOOKUP($AD$2,'RF Mod'!$I$2:$O$11,5,FALSE)+(TRUNC(6+(24-6)*(TRUNC(MOD(($Z475*1103515245 +12345)/ 65536, 32768),0)/32768),0))</f>
        <v>11</v>
      </c>
      <c r="P475" s="16" t="e">
        <f t="shared" ca="1" si="21"/>
        <v>#NAME?</v>
      </c>
      <c r="Q475" s="153">
        <f ca="1">VLOOKUP($AB$2,'RF Mod'!$A$2:$G$12,6,FALSE)+VLOOKUP($AD$2,'RF Mod'!$I$2:$O$11,6,FALSE)+(TRUNC(6+(24-6)*(TRUNC(MOD(($Z475*1103515245 +12345)/ 65536, 32768),0)/32768),0))</f>
        <v>9</v>
      </c>
      <c r="R475" s="16">
        <f t="shared" ca="1" si="22"/>
        <v>-1</v>
      </c>
      <c r="S475" s="154">
        <f t="shared" ca="1" si="28"/>
        <v>11</v>
      </c>
      <c r="T475" s="154">
        <f t="shared" ca="1" si="23"/>
        <v>2</v>
      </c>
      <c r="U475" s="16" t="str">
        <f t="shared" ca="1" si="24"/>
        <v>Fine</v>
      </c>
      <c r="V475" s="155">
        <f ca="1">IFERROR(__xludf.DUMMYFUNCTION("if(W475=""Middle Age"",QUERY(NPCVar!$K$2:$N1000, ""Select L where K = '""&amp;AB475&amp;""'""),if(W475=""Old"",QUERY(NPCVar!$K$2:$N1000, ""Select M where K = '""&amp;AB475&amp;""'""),if(W475=""Venerable"",QUERY(NPCVar!$K$2:$N1000, ""Select N where K = '""&amp;AB475&amp;""'""),fa"&amp;"lse)))*X475"),32)</f>
        <v>32</v>
      </c>
      <c r="W475" s="156" t="str">
        <f t="array" ref="W475">INDEX(NPCAgeType,TRUNC(1+(4-1)*(TRUNC(MOD((X475*1103515245 +12345)/ 65536, 32768),0)/32768),0))</f>
        <v>Middle Age</v>
      </c>
      <c r="X475" s="117">
        <f t="shared" si="29"/>
        <v>0.4</v>
      </c>
      <c r="Y475" s="157" t="e">
        <f t="array" aca="1" ref="Y475" ca="1">LOOKUP(ABS(MAX(Z475 + MIN(ABS(INDIRECT("Class Jobs!B"&amp;MATCH(E475,'Class Jobs'!$A$1:$A1000,0)&amp;":"&amp;"AF"&amp;MATCH(E475,'Class Jobs'!$A$1:$A1000,0)&amp;"")-$Z475)) * SUM(IF(MIN(ABS(INDIRECT("Class Jobs!B"&amp;MATCH(E475,'Class Jobs'!$A$1:$A1000,0)&amp;":"&amp;"AF"&amp;MATCH(E475,'Class Jobs'!$A$1:$A1000,0)&amp;"")-$Z475))=ABS(INDIRECT("Class Jobs!B"&amp;MATCH(E475,'Class Jobs'!$A$1:$A1000,0)&amp;":"&amp;"AF"&amp;MATCH(E475,'Class Jobs'!$A$1:$A1000,0)&amp;"")-$Z475),SIGN(INDIRECT("Class Jobs!B"&amp;MATCH(E475,'Class Jobs'!$A$1:A1000,0)&amp;":"&amp;"AF"&amp;MATCH(E475,'Class Jobs'!$A$1:$A1000,0)&amp;"")-$Z475),0)),0)),INDIRECT("Class Jobs!B"&amp;MATCH(E475,'Class Jobs'!$A$1:$A1000,0)&amp;":"&amp;"AF"&amp;MATCH(E475,'Class Jobs'!$A$1:$A1000,1)&amp;""),'Class Jobs'!$B$1:$AF$1)</f>
        <v>#REF!</v>
      </c>
      <c r="Z475" s="158">
        <f t="shared" si="25"/>
        <v>0.14000000000000001</v>
      </c>
      <c r="AA475" s="16" t="str">
        <f t="array" ref="AA475">INDEX(NPCGender,TRUNC(1+(COUNTA(NPCGender))*(TRUNC(MOD(($B475*1103515245 +12345)/ 65536, 32768),0)/32768),0))</f>
        <v>Male</v>
      </c>
      <c r="AB475" s="16" t="str">
        <f t="array" ref="AB475">INDEX(NPCRace,TRUNC(1+(COUNTA(NPCRace))*(TRUNC(MOD(($B475*1103515245 +12345)/ 65536, 32768),0)/32768),0))</f>
        <v>Dwarf</v>
      </c>
      <c r="AC475" s="16" t="str">
        <f t="array" ref="AC475">INDEX(NPCAL,TRUNC(1+(COUNTA(NPCAL))*(TRUNC(MOD(($B475*1103515245 +12345)/ 65536, 32768),0)/32768),0))</f>
        <v>CE</v>
      </c>
      <c r="AD475" s="72" t="str">
        <f ca="1">IFERROR(__xludf.DUMMYFUNCTION("if(V475&lt;15,QUERY(NPCVar!C:D,""Select D WHERE C = '""&amp;D475&amp;""'""),if((TRUNC(1+10)*(TRUNC(MOD((ROW(H475)*1103515245 +12345)/ 65536, 32768),0)/32768)/10) &gt; 0.85,INDEX(NPCFaction,TRUNC(1+(counta(NPCFaction)-1)*(TRUNC(MOD(($B475*1103515245 +12345)/ 65536, 3276"&amp;"8),0)/32768),0)),QUERY(NPCVar!C:D,""Select D WHERE C = '""&amp;D475&amp;""'"")))"),"Royalty")</f>
        <v>Royalty</v>
      </c>
      <c r="AE475" s="108" t="e">
        <f t="shared" ca="1" si="26"/>
        <v>#NAME?</v>
      </c>
      <c r="AF475" s="159">
        <f ca="1">IFERROR(__xludf.DUMMYFUNCTION("AE475*(V475 / QUERY(NPCVar!$K$2:$N$12, ""Select N WHERE K='""&amp;AB475&amp;""'""))*TRUNC(1+10)*(TRUNC(MOD(($B475*1103515245 +12345)/ 65536, 32768),0)/32768)"),0.0451675415039062)</f>
        <v>4.51675415039062E-2</v>
      </c>
      <c r="AG475" s="16"/>
      <c r="AH475" s="77"/>
      <c r="AI475" s="114"/>
    </row>
    <row r="476" spans="1:35" ht="16.2">
      <c r="A476" s="53">
        <v>475</v>
      </c>
      <c r="B476" s="118">
        <f t="shared" si="32"/>
        <v>1.2065900000000001</v>
      </c>
      <c r="C476" s="72" t="str">
        <f t="array" ref="C476">INDEX(NPCFName,TRUNC(1+(COUNTA(NPCFName))*(TRUNC(MOD(($B476*1103515245 +12345)/ 65536, 32768),0)/32768),0))</f>
        <v>Tobale</v>
      </c>
      <c r="D476" s="16" t="str">
        <f t="array" ref="D476">INDEX(NPCLName,TRUNC(1+(COUNTA(NPCLName))*(TRUNC(MOD(($B476*1103515245 +12345)/ 65536, 32768),0)/32768),0))</f>
        <v>Gloomrage</v>
      </c>
      <c r="E476" s="16" t="str">
        <f t="array" ref="E476">INDEX(NPCClass,TRUNC(1+(COUNTA(NPCClass))*(TRUNC(MOD(($B476*1103515245 +12345)/ 65536, 32768),0)/32768),0))</f>
        <v>Warlock</v>
      </c>
      <c r="F476" s="76">
        <v>8</v>
      </c>
      <c r="G476" s="153">
        <f ca="1">VLOOKUP($AB$2,'RF Mod'!$A$2:$G$12,2,FALSE)+VLOOKUP($AD$2,'RF Mod'!$I$2:$O$11,2,FALSE)+(TRUNC(6+(24-6)*(TRUNC(MOD(($Z476*1103515245 +12345)/ 65536, 32768),0)/32768),0))</f>
        <v>9</v>
      </c>
      <c r="H476" s="16">
        <f t="shared" ca="1" si="17"/>
        <v>-1</v>
      </c>
      <c r="I476" s="153">
        <f ca="1">VLOOKUP($AB$2,'RF Mod'!$A$2:$G$12,3,FALSE)+VLOOKUP($AD$2,'RF Mod'!$I$2:$O$11,3,FALSE)+(TRUNC(6+(24-6)*(TRUNC(MOD(($Z476*1103515245 +12345)/ 65536, 32768),0)/32768),0))</f>
        <v>13</v>
      </c>
      <c r="J476" s="16" t="e">
        <f t="shared" ca="1" si="18"/>
        <v>#NAME?</v>
      </c>
      <c r="K476" s="153">
        <f ca="1">VLOOKUP($AB$2,'RF Mod'!$A$2:$G$12,3,FALSE)+VLOOKUP($AD$2,'RF Mod'!$I$2:$O$11,3,FALSE)+(TRUNC(6+(24-6)*(TRUNC(MOD(($Z476*1103515245 +12345)/ 65536, 32768),0)/32768),0))</f>
        <v>13</v>
      </c>
      <c r="L476" s="16" t="e">
        <f t="shared" ca="1" si="19"/>
        <v>#NAME?</v>
      </c>
      <c r="M476" s="153">
        <f ca="1">VLOOKUP($AB$2,'RF Mod'!$A$2:$G$12,4,FALSE)+VLOOKUP($AD$2,'RF Mod'!$I$2:$O$11,4,FALSE)+(TRUNC(6+(24-6)*(TRUNC(MOD(($Z476*1103515245 +12345)/ 65536, 32768),0)/32768),0))</f>
        <v>12</v>
      </c>
      <c r="N476" s="16" t="e">
        <f t="shared" ca="1" si="20"/>
        <v>#NAME?</v>
      </c>
      <c r="O476" s="153">
        <f ca="1">VLOOKUP($AB$2,'RF Mod'!$A$2:$G$12,5,FALSE)+VLOOKUP($AD$2,'RF Mod'!$I$2:$O$11,5,FALSE)+(TRUNC(6+(24-6)*(TRUNC(MOD(($Z476*1103515245 +12345)/ 65536, 32768),0)/32768),0))</f>
        <v>15</v>
      </c>
      <c r="P476" s="16" t="e">
        <f t="shared" ca="1" si="21"/>
        <v>#NAME?</v>
      </c>
      <c r="Q476" s="153">
        <f ca="1">VLOOKUP($AB$2,'RF Mod'!$A$2:$G$12,6,FALSE)+VLOOKUP($AD$2,'RF Mod'!$I$2:$O$11,6,FALSE)+(TRUNC(6+(24-6)*(TRUNC(MOD(($Z476*1103515245 +12345)/ 65536, 32768),0)/32768),0))</f>
        <v>13</v>
      </c>
      <c r="R476" s="16" t="e">
        <f t="shared" ca="1" si="22"/>
        <v>#NAME?</v>
      </c>
      <c r="S476" s="154">
        <f t="shared" ca="1" si="28"/>
        <v>120</v>
      </c>
      <c r="T476" s="154">
        <f t="shared" ca="1" si="23"/>
        <v>124</v>
      </c>
      <c r="U476" s="16" t="str">
        <f t="shared" ca="1" si="24"/>
        <v>Dead</v>
      </c>
      <c r="V476" s="155">
        <f ca="1">IFERROR(__xludf.DUMMYFUNCTION("if(W476=""Middle Age"",QUERY(NPCVar!$K$2:$N1000, ""Select L where K = '""&amp;AB476&amp;""'""),if(W476=""Old"",QUERY(NPCVar!$K$2:$N1000, ""Select M where K = '""&amp;AB476&amp;""'""),if(W476=""Venerable"",QUERY(NPCVar!$K$2:$N1000, ""Select N where K = '""&amp;AB476&amp;""'""),fa"&amp;"lse)))*X476"),300)</f>
        <v>300</v>
      </c>
      <c r="W476" s="156" t="str">
        <f t="array" ref="W476">INDEX(NPCAgeType,TRUNC(1+(4-1)*(TRUNC(MOD((X476*1103515245 +12345)/ 65536, 32768),0)/32768),0))</f>
        <v>Venerable</v>
      </c>
      <c r="X476" s="117">
        <f t="shared" si="29"/>
        <v>1.5</v>
      </c>
      <c r="Y476" s="157" t="e">
        <f t="array" aca="1" ref="Y476" ca="1">LOOKUP(ABS(MAX(Z476 + MIN(ABS(INDIRECT("Class Jobs!B"&amp;MATCH(E476,'Class Jobs'!$A$1:$A1000,0)&amp;":"&amp;"AF"&amp;MATCH(E476,'Class Jobs'!$A$1:$A1000,0)&amp;"")-$Z476)) * SUM(IF(MIN(ABS(INDIRECT("Class Jobs!B"&amp;MATCH(E476,'Class Jobs'!$A$1:$A1000,0)&amp;":"&amp;"AF"&amp;MATCH(E476,'Class Jobs'!$A$1:$A1000,0)&amp;"")-$Z476))=ABS(INDIRECT("Class Jobs!B"&amp;MATCH(E476,'Class Jobs'!$A$1:$A1000,0)&amp;":"&amp;"AF"&amp;MATCH(E476,'Class Jobs'!$A$1:$A1000,0)&amp;"")-$Z476),SIGN(INDIRECT("Class Jobs!B"&amp;MATCH(E476,'Class Jobs'!$A$1:A1000,0)&amp;":"&amp;"AF"&amp;MATCH(E476,'Class Jobs'!$A$1:$A1000,0)&amp;"")-$Z476),0)),0)),INDIRECT("Class Jobs!B"&amp;MATCH(E476,'Class Jobs'!$A$1:$A1000,0)&amp;":"&amp;"AF"&amp;MATCH(E476,'Class Jobs'!$A$1:$A1000,1)&amp;""),'Class Jobs'!$B$1:$AF$1)</f>
        <v>#REF!</v>
      </c>
      <c r="Z476" s="158">
        <f t="shared" si="25"/>
        <v>0.62</v>
      </c>
      <c r="AA476" s="16" t="str">
        <f t="array" ref="AA476">INDEX(NPCGender,TRUNC(1+(COUNTA(NPCGender))*(TRUNC(MOD(($B476*1103515245 +12345)/ 65536, 32768),0)/32768),0))</f>
        <v>Female</v>
      </c>
      <c r="AB476" s="16" t="str">
        <f t="array" ref="AB476">INDEX(NPCRace,TRUNC(1+(COUNTA(NPCRace))*(TRUNC(MOD(($B476*1103515245 +12345)/ 65536, 32768),0)/32768),0))</f>
        <v>Halfling</v>
      </c>
      <c r="AC476" s="16" t="str">
        <f t="array" ref="AC476">INDEX(NPCAL,TRUNC(1+(COUNTA(NPCAL))*(TRUNC(MOD(($B476*1103515245 +12345)/ 65536, 32768),0)/32768),0))</f>
        <v>NE</v>
      </c>
      <c r="AD476" s="72" t="str">
        <f ca="1">IFERROR(__xludf.DUMMYFUNCTION("if(V476&lt;15,QUERY(NPCVar!C:D,""Select D WHERE C = '""&amp;D476&amp;""'""),if((TRUNC(1+10)*(TRUNC(MOD((ROW(H476)*1103515245 +12345)/ 65536, 32768),0)/32768)/10) &gt; 0.85,INDEX(NPCFaction,TRUNC(1+(counta(NPCFaction)-1)*(TRUNC(MOD(($B476*1103515245 +12345)/ 65536, 3276"&amp;"8),0)/32768),0)),QUERY(NPCVar!C:D,""Select D WHERE C = '""&amp;D476&amp;""'"")))"),"Traders Guild")</f>
        <v>Traders Guild</v>
      </c>
      <c r="AE476" s="108" t="e">
        <f t="shared" ca="1" si="26"/>
        <v>#NAME?</v>
      </c>
      <c r="AF476" s="159">
        <f ca="1">IFERROR(__xludf.DUMMYFUNCTION("AE476*(V476 / QUERY(NPCVar!$K$2:$N$12, ""Select N WHERE K='""&amp;AB476&amp;""'""))*TRUNC(1+10)*(TRUNC(MOD(($B476*1103515245 +12345)/ 65536, 32768),0)/32768)"),2.04608459472656)</f>
        <v>2.04608459472656</v>
      </c>
      <c r="AG476" s="16"/>
      <c r="AH476" s="77"/>
      <c r="AI476" s="114"/>
    </row>
    <row r="477" spans="1:35" ht="16.2">
      <c r="A477" s="53">
        <v>476</v>
      </c>
      <c r="B477" s="118">
        <f t="shared" si="32"/>
        <v>0.20072999999999999</v>
      </c>
      <c r="C477" s="72" t="str">
        <f t="array" ref="C477">INDEX(NPCFName,TRUNC(1+(COUNTA(NPCFName))*(TRUNC(MOD(($B477*1103515245 +12345)/ 65536, 32768),0)/32768),0))</f>
        <v>Eythil</v>
      </c>
      <c r="D477" s="16" t="str">
        <f t="array" ref="D477">INDEX(NPCLName,TRUNC(1+(COUNTA(NPCLName))*(TRUNC(MOD(($B477*1103515245 +12345)/ 65536, 32768),0)/32768),0))</f>
        <v>Distantlash</v>
      </c>
      <c r="E477" s="16" t="str">
        <f t="array" ref="E477">INDEX(NPCClass,TRUNC(1+(COUNTA(NPCClass))*(TRUNC(MOD(($B477*1103515245 +12345)/ 65536, 32768),0)/32768),0))</f>
        <v>Bard</v>
      </c>
      <c r="F477" s="76">
        <v>1</v>
      </c>
      <c r="G477" s="153">
        <f ca="1">VLOOKUP($AB$2,'RF Mod'!$A$2:$G$12,2,FALSE)+VLOOKUP($AD$2,'RF Mod'!$I$2:$O$11,2,FALSE)+(TRUNC(6+(24-6)*(TRUNC(MOD(($Z477*1103515245 +12345)/ 65536, 32768),0)/32768),0))</f>
        <v>5</v>
      </c>
      <c r="H477" s="16">
        <f t="shared" ca="1" si="17"/>
        <v>-3</v>
      </c>
      <c r="I477" s="153">
        <f ca="1">VLOOKUP($AB$2,'RF Mod'!$A$2:$G$12,3,FALSE)+VLOOKUP($AD$2,'RF Mod'!$I$2:$O$11,3,FALSE)+(TRUNC(6+(24-6)*(TRUNC(MOD(($Z477*1103515245 +12345)/ 65536, 32768),0)/32768),0))</f>
        <v>9</v>
      </c>
      <c r="J477" s="16">
        <f t="shared" ca="1" si="18"/>
        <v>-1</v>
      </c>
      <c r="K477" s="153">
        <f ca="1">VLOOKUP($AB$2,'RF Mod'!$A$2:$G$12,3,FALSE)+VLOOKUP($AD$2,'RF Mod'!$I$2:$O$11,3,FALSE)+(TRUNC(6+(24-6)*(TRUNC(MOD(($Z477*1103515245 +12345)/ 65536, 32768),0)/32768),0))</f>
        <v>9</v>
      </c>
      <c r="L477" s="16">
        <f t="shared" ca="1" si="19"/>
        <v>-1</v>
      </c>
      <c r="M477" s="153">
        <f ca="1">VLOOKUP($AB$2,'RF Mod'!$A$2:$G$12,4,FALSE)+VLOOKUP($AD$2,'RF Mod'!$I$2:$O$11,4,FALSE)+(TRUNC(6+(24-6)*(TRUNC(MOD(($Z477*1103515245 +12345)/ 65536, 32768),0)/32768),0))</f>
        <v>8</v>
      </c>
      <c r="N477" s="16">
        <f t="shared" ca="1" si="20"/>
        <v>-1</v>
      </c>
      <c r="O477" s="153">
        <f ca="1">VLOOKUP($AB$2,'RF Mod'!$A$2:$G$12,5,FALSE)+VLOOKUP($AD$2,'RF Mod'!$I$2:$O$11,5,FALSE)+(TRUNC(6+(24-6)*(TRUNC(MOD(($Z477*1103515245 +12345)/ 65536, 32768),0)/32768),0))</f>
        <v>11</v>
      </c>
      <c r="P477" s="16" t="e">
        <f t="shared" ca="1" si="21"/>
        <v>#NAME?</v>
      </c>
      <c r="Q477" s="153">
        <f ca="1">VLOOKUP($AB$2,'RF Mod'!$A$2:$G$12,6,FALSE)+VLOOKUP($AD$2,'RF Mod'!$I$2:$O$11,6,FALSE)+(TRUNC(6+(24-6)*(TRUNC(MOD(($Z477*1103515245 +12345)/ 65536, 32768),0)/32768),0))</f>
        <v>9</v>
      </c>
      <c r="R477" s="16">
        <f t="shared" ca="1" si="22"/>
        <v>-1</v>
      </c>
      <c r="S477" s="154">
        <f t="shared" ca="1" si="28"/>
        <v>11</v>
      </c>
      <c r="T477" s="154">
        <f t="shared" ca="1" si="23"/>
        <v>9</v>
      </c>
      <c r="U477" s="16" t="str">
        <f t="shared" ca="1" si="24"/>
        <v>Bloody</v>
      </c>
      <c r="V477" s="155">
        <f ca="1">IFERROR(__xludf.DUMMYFUNCTION("if(W477=""Middle Age"",QUERY(NPCVar!$K$2:$N1000, ""Select L where K = '""&amp;AB477&amp;""'""),if(W477=""Old"",QUERY(NPCVar!$K$2:$N1000, ""Select M where K = '""&amp;AB477&amp;""'""),if(W477=""Venerable"",QUERY(NPCVar!$K$2:$N1000, ""Select N where K = '""&amp;AB477&amp;""'""),fa"&amp;"lse)))*X477"),24)</f>
        <v>24</v>
      </c>
      <c r="W477" s="156" t="str">
        <f t="array" ref="W477">INDEX(NPCAgeType,TRUNC(1+(4-1)*(TRUNC(MOD((X477*1103515245 +12345)/ 65536, 32768),0)/32768),0))</f>
        <v>Middle Age</v>
      </c>
      <c r="X477" s="117">
        <f t="shared" si="29"/>
        <v>0.3</v>
      </c>
      <c r="Y477" s="157" t="e">
        <f t="array" aca="1" ref="Y477" ca="1">LOOKUP(ABS(MAX(Z477 + MIN(ABS(INDIRECT("Class Jobs!B"&amp;MATCH(E477,'Class Jobs'!$A$1:$A1000,0)&amp;":"&amp;"AF"&amp;MATCH(E477,'Class Jobs'!$A$1:$A1000,0)&amp;"")-$Z477)) * SUM(IF(MIN(ABS(INDIRECT("Class Jobs!B"&amp;MATCH(E477,'Class Jobs'!$A$1:$A1000,0)&amp;":"&amp;"AF"&amp;MATCH(E477,'Class Jobs'!$A$1:$A1000,0)&amp;"")-$Z477))=ABS(INDIRECT("Class Jobs!B"&amp;MATCH(E477,'Class Jobs'!$A$1:$A1000,0)&amp;":"&amp;"AF"&amp;MATCH(E477,'Class Jobs'!$A$1:$A1000,0)&amp;"")-$Z477),SIGN(INDIRECT("Class Jobs!B"&amp;MATCH(E477,'Class Jobs'!$A$1:A1000,0)&amp;":"&amp;"AF"&amp;MATCH(E477,'Class Jobs'!$A$1:$A1000,0)&amp;"")-$Z477),0)),0)),INDIRECT("Class Jobs!B"&amp;MATCH(E477,'Class Jobs'!$A$1:$A1000,0)&amp;":"&amp;"AF"&amp;MATCH(E477,'Class Jobs'!$A$1:$A1000,1)&amp;""),'Class Jobs'!$B$1:$AF$1)</f>
        <v>#REF!</v>
      </c>
      <c r="Z477" s="158">
        <f t="shared" si="25"/>
        <v>0.11</v>
      </c>
      <c r="AA477" s="16" t="str">
        <f t="array" ref="AA477">INDEX(NPCGender,TRUNC(1+(COUNTA(NPCGender))*(TRUNC(MOD(($B477*1103515245 +12345)/ 65536, 32768),0)/32768),0))</f>
        <v>Male</v>
      </c>
      <c r="AB477" s="16" t="str">
        <f t="array" ref="AB477">INDEX(NPCRace,TRUNC(1+(COUNTA(NPCRace))*(TRUNC(MOD(($B477*1103515245 +12345)/ 65536, 32768),0)/32768),0))</f>
        <v>Dwarf</v>
      </c>
      <c r="AC477" s="16" t="str">
        <f t="array" ref="AC477">INDEX(NPCAL,TRUNC(1+(COUNTA(NPCAL))*(TRUNC(MOD(($B477*1103515245 +12345)/ 65536, 32768),0)/32768),0))</f>
        <v>CN</v>
      </c>
      <c r="AD477" s="72" t="str">
        <f ca="1">IFERROR(__xludf.DUMMYFUNCTION("if(V477&lt;15,QUERY(NPCVar!C:D,""Select D WHERE C = '""&amp;D477&amp;""'""),if((TRUNC(1+10)*(TRUNC(MOD((ROW(H477)*1103515245 +12345)/ 65536, 32768),0)/32768)/10) &gt; 0.85,INDEX(NPCFaction,TRUNC(1+(counta(NPCFaction)-1)*(TRUNC(MOD(($B477*1103515245 +12345)/ 65536, 3276"&amp;"8),0)/32768),0)),QUERY(NPCVar!C:D,""Select D WHERE C = '""&amp;D477&amp;""'"")))"),"Death Guild")</f>
        <v>Death Guild</v>
      </c>
      <c r="AE477" s="108" t="e">
        <f t="shared" ca="1" si="26"/>
        <v>#NAME?</v>
      </c>
      <c r="AF477" s="159">
        <f ca="1">IFERROR(__xludf.DUMMYFUNCTION("AE477*(V477 / QUERY(NPCVar!$K$2:$N$12, ""Select N WHERE K='""&amp;AB477&amp;""'""))*TRUNC(1+10)*(TRUNC(MOD(($B477*1103515245 +12345)/ 65536, 32768),0)/32768)"),0.0255294799804687)</f>
        <v>2.55294799804687E-2</v>
      </c>
      <c r="AG477" s="16"/>
      <c r="AH477" s="77"/>
      <c r="AI477" s="114"/>
    </row>
    <row r="478" spans="1:35" ht="16.2">
      <c r="A478" s="53">
        <v>477</v>
      </c>
      <c r="B478" s="118">
        <f t="shared" si="32"/>
        <v>1.69479</v>
      </c>
      <c r="C478" s="72" t="str">
        <f t="array" ref="C478">INDEX(NPCFName,TRUNC(1+(COUNTA(NPCFName))*(TRUNC(MOD(($B478*1103515245 +12345)/ 65536, 32768),0)/32768),0))</f>
        <v>Nidale</v>
      </c>
      <c r="D478" s="16" t="str">
        <f t="array" ref="D478">INDEX(NPCLName,TRUNC(1+(COUNTA(NPCLName))*(TRUNC(MOD(($B478*1103515245 +12345)/ 65536, 32768),0)/32768),0))</f>
        <v>Forestbluff</v>
      </c>
      <c r="E478" s="16" t="str">
        <f t="array" ref="E478">INDEX(NPCClass,TRUNC(1+(COUNTA(NPCClass))*(TRUNC(MOD(($B478*1103515245 +12345)/ 65536, 32768),0)/32768),0))</f>
        <v>Fighter</v>
      </c>
      <c r="F478" s="76">
        <v>8</v>
      </c>
      <c r="G478" s="153">
        <f ca="1">VLOOKUP($AB$2,'RF Mod'!$A$2:$G$12,2,FALSE)+VLOOKUP($AD$2,'RF Mod'!$I$2:$O$11,2,FALSE)+(TRUNC(6+(24-6)*(TRUNC(MOD(($Z478*1103515245 +12345)/ 65536, 32768),0)/32768),0))</f>
        <v>12</v>
      </c>
      <c r="H478" s="16" t="e">
        <f t="shared" ca="1" si="17"/>
        <v>#NAME?</v>
      </c>
      <c r="I478" s="153">
        <f ca="1">VLOOKUP($AB$2,'RF Mod'!$A$2:$G$12,3,FALSE)+VLOOKUP($AD$2,'RF Mod'!$I$2:$O$11,3,FALSE)+(TRUNC(6+(24-6)*(TRUNC(MOD(($Z478*1103515245 +12345)/ 65536, 32768),0)/32768),0))</f>
        <v>16</v>
      </c>
      <c r="J478" s="16" t="e">
        <f t="shared" ca="1" si="18"/>
        <v>#NAME?</v>
      </c>
      <c r="K478" s="153">
        <f ca="1">VLOOKUP($AB$2,'RF Mod'!$A$2:$G$12,3,FALSE)+VLOOKUP($AD$2,'RF Mod'!$I$2:$O$11,3,FALSE)+(TRUNC(6+(24-6)*(TRUNC(MOD(($Z478*1103515245 +12345)/ 65536, 32768),0)/32768),0))</f>
        <v>16</v>
      </c>
      <c r="L478" s="16" t="e">
        <f t="shared" ca="1" si="19"/>
        <v>#NAME?</v>
      </c>
      <c r="M478" s="153">
        <f ca="1">VLOOKUP($AB$2,'RF Mod'!$A$2:$G$12,4,FALSE)+VLOOKUP($AD$2,'RF Mod'!$I$2:$O$11,4,FALSE)+(TRUNC(6+(24-6)*(TRUNC(MOD(($Z478*1103515245 +12345)/ 65536, 32768),0)/32768),0))</f>
        <v>15</v>
      </c>
      <c r="N478" s="16" t="e">
        <f t="shared" ca="1" si="20"/>
        <v>#NAME?</v>
      </c>
      <c r="O478" s="153">
        <f ca="1">VLOOKUP($AB$2,'RF Mod'!$A$2:$G$12,5,FALSE)+VLOOKUP($AD$2,'RF Mod'!$I$2:$O$11,5,FALSE)+(TRUNC(6+(24-6)*(TRUNC(MOD(($Z478*1103515245 +12345)/ 65536, 32768),0)/32768),0))</f>
        <v>18</v>
      </c>
      <c r="P478" s="16" t="e">
        <f t="shared" ca="1" si="21"/>
        <v>#NAME?</v>
      </c>
      <c r="Q478" s="153">
        <f ca="1">VLOOKUP($AB$2,'RF Mod'!$A$2:$G$12,6,FALSE)+VLOOKUP($AD$2,'RF Mod'!$I$2:$O$11,6,FALSE)+(TRUNC(6+(24-6)*(TRUNC(MOD(($Z478*1103515245 +12345)/ 65536, 32768),0)/32768),0))</f>
        <v>16</v>
      </c>
      <c r="R478" s="16" t="e">
        <f t="shared" ca="1" si="22"/>
        <v>#NAME?</v>
      </c>
      <c r="S478" s="154">
        <f t="shared" ca="1" si="28"/>
        <v>240</v>
      </c>
      <c r="T478" s="154">
        <f t="shared" ca="1" si="23"/>
        <v>188</v>
      </c>
      <c r="U478" s="16" t="str">
        <f t="shared" ca="1" si="24"/>
        <v>Bloody</v>
      </c>
      <c r="V478" s="155">
        <f ca="1">IFERROR(__xludf.DUMMYFUNCTION("if(W478=""Middle Age"",QUERY(NPCVar!$K$2:$N1000, ""Select L where K = '""&amp;AB478&amp;""'""),if(W478=""Old"",QUERY(NPCVar!$K$2:$N1000, ""Select M where K = '""&amp;AB478&amp;""'""),if(W478=""Venerable"",QUERY(NPCVar!$K$2:$N1000, ""Select N where K = '""&amp;AB478&amp;""'""),fa"&amp;"lse)))*X478"),57.75)</f>
        <v>57.75</v>
      </c>
      <c r="W478" s="156" t="str">
        <f t="array" ref="W478">INDEX(NPCAgeType,TRUNC(1+(4-1)*(TRUNC(MOD((X478*1103515245 +12345)/ 65536, 32768),0)/32768),0))</f>
        <v>Middle Age</v>
      </c>
      <c r="X478" s="117">
        <f t="shared" si="29"/>
        <v>2.1</v>
      </c>
      <c r="Y478" s="157" t="e">
        <f t="array" aca="1" ref="Y478" ca="1">LOOKUP(ABS(MAX(Z478 + MIN(ABS(INDIRECT("Class Jobs!B"&amp;MATCH(E478,'Class Jobs'!$A$1:$A1000,0)&amp;":"&amp;"AF"&amp;MATCH(E478,'Class Jobs'!$A$1:$A1000,0)&amp;"")-$Z478)) * SUM(IF(MIN(ABS(INDIRECT("Class Jobs!B"&amp;MATCH(E478,'Class Jobs'!$A$1:$A1000,0)&amp;":"&amp;"AF"&amp;MATCH(E478,'Class Jobs'!$A$1:$A1000,0)&amp;"")-$Z478))=ABS(INDIRECT("Class Jobs!B"&amp;MATCH(E478,'Class Jobs'!$A$1:$A1000,0)&amp;":"&amp;"AF"&amp;MATCH(E478,'Class Jobs'!$A$1:$A1000,0)&amp;"")-$Z478),SIGN(INDIRECT("Class Jobs!B"&amp;MATCH(E478,'Class Jobs'!$A$1:A1000,0)&amp;":"&amp;"AF"&amp;MATCH(E478,'Class Jobs'!$A$1:$A1000,0)&amp;"")-$Z478),0)),0)),INDIRECT("Class Jobs!B"&amp;MATCH(E478,'Class Jobs'!$A$1:$A1000,0)&amp;":"&amp;"AF"&amp;MATCH(E478,'Class Jobs'!$A$1:$A1000,1)&amp;""),'Class Jobs'!$B$1:$AF$1)</f>
        <v>#REF!</v>
      </c>
      <c r="Z478" s="158">
        <f t="shared" si="25"/>
        <v>0.87</v>
      </c>
      <c r="AA478" s="16" t="str">
        <f t="array" ref="AA478">INDEX(NPCGender,TRUNC(1+(COUNTA(NPCGender))*(TRUNC(MOD(($B478*1103515245 +12345)/ 65536, 32768),0)/32768),0))</f>
        <v>Neutral</v>
      </c>
      <c r="AB478" s="16" t="str">
        <f t="array" ref="AB478">INDEX(NPCRace,TRUNC(1+(COUNTA(NPCRace))*(TRUNC(MOD(($B478*1103515245 +12345)/ 65536, 32768),0)/32768),0))</f>
        <v>Genasi</v>
      </c>
      <c r="AC478" s="16" t="str">
        <f t="array" ref="AC478">INDEX(NPCAL,TRUNC(1+(COUNTA(NPCAL))*(TRUNC(MOD(($B478*1103515245 +12345)/ 65536, 32768),0)/32768),0))</f>
        <v>LN</v>
      </c>
      <c r="AD478" s="72" t="str">
        <f ca="1">IFERROR(__xludf.DUMMYFUNCTION("if(V478&lt;15,QUERY(NPCVar!C:D,""Select D WHERE C = '""&amp;D478&amp;""'""),if((TRUNC(1+10)*(TRUNC(MOD((ROW(H478)*1103515245 +12345)/ 65536, 32768),0)/32768)/10) &gt; 0.85,INDEX(NPCFaction,TRUNC(1+(counta(NPCFaction)-1)*(TRUNC(MOD(($B478*1103515245 +12345)/ 65536, 3276"&amp;"8),0)/32768),0)),QUERY(NPCVar!C:D,""Select D WHERE C = '""&amp;D478&amp;""'"")))"),"Thieves Guild")</f>
        <v>Thieves Guild</v>
      </c>
      <c r="AE478" s="108" t="e">
        <f t="shared" ca="1" si="26"/>
        <v>#NAME?</v>
      </c>
      <c r="AF478" s="159">
        <f ca="1">IFERROR(__xludf.DUMMYFUNCTION("AE478*(V478 / QUERY(NPCVar!$K$2:$N$12, ""Select N WHERE K='""&amp;AB478&amp;""'""))*TRUNC(1+10)*(TRUNC(MOD(($B478*1103515245 +12345)/ 65536, 32768),0)/32768)"),1.50879981994628)</f>
        <v>1.50879981994628</v>
      </c>
      <c r="AG478" s="16"/>
      <c r="AH478" s="77"/>
      <c r="AI478" s="114"/>
    </row>
    <row r="479" spans="1:35" ht="16.2">
      <c r="A479" s="53">
        <v>478</v>
      </c>
      <c r="B479" s="118">
        <f t="shared" si="32"/>
        <v>0.68894</v>
      </c>
      <c r="C479" s="72" t="str">
        <f t="array" ref="C479">INDEX(NPCFName,TRUNC(1+(COUNTA(NPCFName))*(TRUNC(MOD(($B479*1103515245 +12345)/ 65536, 32768),0)/32768),0))</f>
        <v>Ault</v>
      </c>
      <c r="D479" s="16" t="str">
        <f t="array" ref="D479">INDEX(NPCLName,TRUNC(1+(COUNTA(NPCLName))*(TRUNC(MOD(($B479*1103515245 +12345)/ 65536, 32768),0)/32768),0))</f>
        <v>Leafblight</v>
      </c>
      <c r="E479" s="16" t="str">
        <f t="array" ref="E479">INDEX(NPCClass,TRUNC(1+(COUNTA(NPCClass))*(TRUNC(MOD(($B479*1103515245 +12345)/ 65536, 32768),0)/32768),0))</f>
        <v>Paladin</v>
      </c>
      <c r="F479" s="76">
        <v>1</v>
      </c>
      <c r="G479" s="153">
        <f ca="1">VLOOKUP($AB$2,'RF Mod'!$A$2:$G$12,2,FALSE)+VLOOKUP($AD$2,'RF Mod'!$I$2:$O$11,2,FALSE)+(TRUNC(6+(24-6)*(TRUNC(MOD(($Z479*1103515245 +12345)/ 65536, 32768),0)/32768),0))</f>
        <v>7</v>
      </c>
      <c r="H479" s="16">
        <f t="shared" ca="1" si="17"/>
        <v>-2</v>
      </c>
      <c r="I479" s="153">
        <f ca="1">VLOOKUP($AB$2,'RF Mod'!$A$2:$G$12,3,FALSE)+VLOOKUP($AD$2,'RF Mod'!$I$2:$O$11,3,FALSE)+(TRUNC(6+(24-6)*(TRUNC(MOD(($Z479*1103515245 +12345)/ 65536, 32768),0)/32768),0))</f>
        <v>11</v>
      </c>
      <c r="J479" s="16" t="e">
        <f t="shared" ca="1" si="18"/>
        <v>#NAME?</v>
      </c>
      <c r="K479" s="153">
        <f ca="1">VLOOKUP($AB$2,'RF Mod'!$A$2:$G$12,3,FALSE)+VLOOKUP($AD$2,'RF Mod'!$I$2:$O$11,3,FALSE)+(TRUNC(6+(24-6)*(TRUNC(MOD(($Z479*1103515245 +12345)/ 65536, 32768),0)/32768),0))</f>
        <v>11</v>
      </c>
      <c r="L479" s="16" t="e">
        <f t="shared" ca="1" si="19"/>
        <v>#NAME?</v>
      </c>
      <c r="M479" s="153">
        <f ca="1">VLOOKUP($AB$2,'RF Mod'!$A$2:$G$12,4,FALSE)+VLOOKUP($AD$2,'RF Mod'!$I$2:$O$11,4,FALSE)+(TRUNC(6+(24-6)*(TRUNC(MOD(($Z479*1103515245 +12345)/ 65536, 32768),0)/32768),0))</f>
        <v>10</v>
      </c>
      <c r="N479" s="16" t="e">
        <f t="shared" ca="1" si="20"/>
        <v>#NAME?</v>
      </c>
      <c r="O479" s="153">
        <f ca="1">VLOOKUP($AB$2,'RF Mod'!$A$2:$G$12,5,FALSE)+VLOOKUP($AD$2,'RF Mod'!$I$2:$O$11,5,FALSE)+(TRUNC(6+(24-6)*(TRUNC(MOD(($Z479*1103515245 +12345)/ 65536, 32768),0)/32768),0))</f>
        <v>13</v>
      </c>
      <c r="P479" s="16" t="e">
        <f t="shared" ca="1" si="21"/>
        <v>#NAME?</v>
      </c>
      <c r="Q479" s="153">
        <f ca="1">VLOOKUP($AB$2,'RF Mod'!$A$2:$G$12,6,FALSE)+VLOOKUP($AD$2,'RF Mod'!$I$2:$O$11,6,FALSE)+(TRUNC(6+(24-6)*(TRUNC(MOD(($Z479*1103515245 +12345)/ 65536, 32768),0)/32768),0))</f>
        <v>11</v>
      </c>
      <c r="R479" s="16" t="e">
        <f t="shared" ca="1" si="22"/>
        <v>#NAME?</v>
      </c>
      <c r="S479" s="154">
        <f t="shared" ca="1" si="28"/>
        <v>19</v>
      </c>
      <c r="T479" s="154">
        <f t="shared" ca="1" si="23"/>
        <v>8</v>
      </c>
      <c r="U479" s="16" t="str">
        <f t="shared" ca="1" si="24"/>
        <v>Fine</v>
      </c>
      <c r="V479" s="155">
        <f ca="1">IFERROR(__xludf.DUMMYFUNCTION("if(W479=""Middle Age"",QUERY(NPCVar!$K$2:$N1000, ""Select L where K = '""&amp;AB479&amp;""'""),if(W479=""Old"",QUERY(NPCVar!$K$2:$N1000, ""Select M where K = '""&amp;AB479&amp;""'""),if(W479=""Venerable"",QUERY(NPCVar!$K$2:$N1000, ""Select N where K = '""&amp;AB479&amp;""'""),fa"&amp;"lse)))*X479"),151.875)</f>
        <v>151.875</v>
      </c>
      <c r="W479" s="156" t="str">
        <f t="array" ref="W479">INDEX(NPCAgeType,TRUNC(1+(4-1)*(TRUNC(MOD((X479*1103515245 +12345)/ 65536, 32768),0)/32768),0))</f>
        <v>Old</v>
      </c>
      <c r="X479" s="117">
        <f t="shared" si="29"/>
        <v>0.9</v>
      </c>
      <c r="Y479" s="157" t="e">
        <f t="array" aca="1" ref="Y479" ca="1">LOOKUP(ABS(MAX(Z479 + MIN(ABS(INDIRECT("Class Jobs!B"&amp;MATCH(E479,'Class Jobs'!$A$1:$A1000,0)&amp;":"&amp;"AF"&amp;MATCH(E479,'Class Jobs'!$A$1:$A1000,0)&amp;"")-$Z479)) * SUM(IF(MIN(ABS(INDIRECT("Class Jobs!B"&amp;MATCH(E479,'Class Jobs'!$A$1:$A1000,0)&amp;":"&amp;"AF"&amp;MATCH(E479,'Class Jobs'!$A$1:$A1000,0)&amp;"")-$Z479))=ABS(INDIRECT("Class Jobs!B"&amp;MATCH(E479,'Class Jobs'!$A$1:$A1000,0)&amp;":"&amp;"AF"&amp;MATCH(E479,'Class Jobs'!$A$1:$A1000,0)&amp;"")-$Z479),SIGN(INDIRECT("Class Jobs!B"&amp;MATCH(E479,'Class Jobs'!$A$1:A1000,0)&amp;":"&amp;"AF"&amp;MATCH(E479,'Class Jobs'!$A$1:$A1000,0)&amp;"")-$Z479),0)),0)),INDIRECT("Class Jobs!B"&amp;MATCH(E479,'Class Jobs'!$A$1:$A1000,0)&amp;":"&amp;"AF"&amp;MATCH(E479,'Class Jobs'!$A$1:$A1000,1)&amp;""),'Class Jobs'!$B$1:$AF$1)</f>
        <v>#REF!</v>
      </c>
      <c r="Z479" s="158">
        <f t="shared" si="25"/>
        <v>0.36</v>
      </c>
      <c r="AA479" s="16" t="str">
        <f t="array" ref="AA479">INDEX(NPCGender,TRUNC(1+(COUNTA(NPCGender))*(TRUNC(MOD(($B479*1103515245 +12345)/ 65536, 32768),0)/32768),0))</f>
        <v>Female</v>
      </c>
      <c r="AB479" s="16" t="str">
        <f t="array" ref="AB479">INDEX(NPCRace,TRUNC(1+(COUNTA(NPCRace))*(TRUNC(MOD(($B479*1103515245 +12345)/ 65536, 32768),0)/32768),0))</f>
        <v>Gnome</v>
      </c>
      <c r="AC479" s="16" t="str">
        <f t="array" ref="AC479">INDEX(NPCAL,TRUNC(1+(COUNTA(NPCAL))*(TRUNC(MOD(($B479*1103515245 +12345)/ 65536, 32768),0)/32768),0))</f>
        <v>NG</v>
      </c>
      <c r="AD479" s="72" t="str">
        <f ca="1">IFERROR(__xludf.DUMMYFUNCTION("if(V479&lt;15,QUERY(NPCVar!C:D,""Select D WHERE C = '""&amp;D479&amp;""'""),if((TRUNC(1+10)*(TRUNC(MOD((ROW(H479)*1103515245 +12345)/ 65536, 32768),0)/32768)/10) &gt; 0.85,INDEX(NPCFaction,TRUNC(1+(counta(NPCFaction)-1)*(TRUNC(MOD(($B479*1103515245 +12345)/ 65536, 3276"&amp;"8),0)/32768),0)),QUERY(NPCVar!C:D,""Select D WHERE C = '""&amp;D479&amp;""'"")))"),"Necromancer")</f>
        <v>Necromancer</v>
      </c>
      <c r="AE479" s="108" t="e">
        <f t="shared" ca="1" si="26"/>
        <v>#NAME?</v>
      </c>
      <c r="AF479" s="159">
        <f ca="1">IFERROR(__xludf.DUMMYFUNCTION("AE479*(V479 / QUERY(NPCVar!$K$2:$N$12, ""Select N WHERE K='""&amp;AB479&amp;""'""))*TRUNC(1+10)*(TRUNC(MOD(($B479*1103515245 +12345)/ 65536, 32768),0)/32768)"),0.657119750976562)</f>
        <v>0.65711975097656194</v>
      </c>
      <c r="AG479" s="16"/>
      <c r="AH479" s="77"/>
      <c r="AI479" s="114"/>
    </row>
    <row r="480" spans="1:35" ht="16.2">
      <c r="A480" s="53">
        <v>479</v>
      </c>
      <c r="B480" s="118">
        <f t="shared" si="32"/>
        <v>2.1830699999999998</v>
      </c>
      <c r="C480" s="72" t="str">
        <f t="array" ref="C480">INDEX(NPCFName,TRUNC(1+(COUNTA(NPCFName))*(TRUNC(MOD(($B480*1103515245 +12345)/ 65536, 32768),0)/32768),0))</f>
        <v>Gom</v>
      </c>
      <c r="D480" s="16" t="str">
        <f t="array" ref="D480">INDEX(NPCLName,TRUNC(1+(COUNTA(NPCLName))*(TRUNC(MOD(($B480*1103515245 +12345)/ 65536, 32768),0)/32768),0))</f>
        <v>Distantlash</v>
      </c>
      <c r="E480" s="16" t="str">
        <f t="array" ref="E480">INDEX(NPCClass,TRUNC(1+(COUNTA(NPCClass))*(TRUNC(MOD(($B480*1103515245 +12345)/ 65536, 32768),0)/32768),0))</f>
        <v>Bard</v>
      </c>
      <c r="F480" s="76">
        <v>1</v>
      </c>
      <c r="G480" s="153">
        <f ca="1">VLOOKUP($AB$2,'RF Mod'!$A$2:$G$12,2,FALSE)+VLOOKUP($AD$2,'RF Mod'!$I$2:$O$11,2,FALSE)+(TRUNC(6+(24-6)*(TRUNC(MOD(($Z480*1103515245 +12345)/ 65536, 32768),0)/32768),0))</f>
        <v>5</v>
      </c>
      <c r="H480" s="16">
        <f t="shared" ca="1" si="17"/>
        <v>-3</v>
      </c>
      <c r="I480" s="153">
        <f ca="1">VLOOKUP($AB$2,'RF Mod'!$A$2:$G$12,3,FALSE)+VLOOKUP($AD$2,'RF Mod'!$I$2:$O$11,3,FALSE)+(TRUNC(6+(24-6)*(TRUNC(MOD(($Z480*1103515245 +12345)/ 65536, 32768),0)/32768),0))</f>
        <v>9</v>
      </c>
      <c r="J480" s="16">
        <f t="shared" ca="1" si="18"/>
        <v>-1</v>
      </c>
      <c r="K480" s="153">
        <f ca="1">VLOOKUP($AB$2,'RF Mod'!$A$2:$G$12,3,FALSE)+VLOOKUP($AD$2,'RF Mod'!$I$2:$O$11,3,FALSE)+(TRUNC(6+(24-6)*(TRUNC(MOD(($Z480*1103515245 +12345)/ 65536, 32768),0)/32768),0))</f>
        <v>9</v>
      </c>
      <c r="L480" s="16">
        <f t="shared" ca="1" si="19"/>
        <v>-1</v>
      </c>
      <c r="M480" s="153">
        <f ca="1">VLOOKUP($AB$2,'RF Mod'!$A$2:$G$12,4,FALSE)+VLOOKUP($AD$2,'RF Mod'!$I$2:$O$11,4,FALSE)+(TRUNC(6+(24-6)*(TRUNC(MOD(($Z480*1103515245 +12345)/ 65536, 32768),0)/32768),0))</f>
        <v>8</v>
      </c>
      <c r="N480" s="16">
        <f t="shared" ca="1" si="20"/>
        <v>-1</v>
      </c>
      <c r="O480" s="153">
        <f ca="1">VLOOKUP($AB$2,'RF Mod'!$A$2:$G$12,5,FALSE)+VLOOKUP($AD$2,'RF Mod'!$I$2:$O$11,5,FALSE)+(TRUNC(6+(24-6)*(TRUNC(MOD(($Z480*1103515245 +12345)/ 65536, 32768),0)/32768),0))</f>
        <v>11</v>
      </c>
      <c r="P480" s="16" t="e">
        <f t="shared" ca="1" si="21"/>
        <v>#NAME?</v>
      </c>
      <c r="Q480" s="153">
        <f ca="1">VLOOKUP($AB$2,'RF Mod'!$A$2:$G$12,6,FALSE)+VLOOKUP($AD$2,'RF Mod'!$I$2:$O$11,6,FALSE)+(TRUNC(6+(24-6)*(TRUNC(MOD(($Z480*1103515245 +12345)/ 65536, 32768),0)/32768),0))</f>
        <v>9</v>
      </c>
      <c r="R480" s="16">
        <f t="shared" ca="1" si="22"/>
        <v>-1</v>
      </c>
      <c r="S480" s="154">
        <f t="shared" ca="1" si="28"/>
        <v>27</v>
      </c>
      <c r="T480" s="154">
        <f t="shared" ca="1" si="23"/>
        <v>20</v>
      </c>
      <c r="U480" s="16" t="str">
        <f t="shared" ca="1" si="24"/>
        <v>Bloody</v>
      </c>
      <c r="V480" s="155">
        <f ca="1">IFERROR(__xludf.DUMMYFUNCTION("if(W480=""Middle Age"",QUERY(NPCVar!$K$2:$N1000, ""Select L where K = '""&amp;AB480&amp;""'""),if(W480=""Old"",QUERY(NPCVar!$K$2:$N1000, ""Select M where K = '""&amp;AB480&amp;""'""),if(W480=""Venerable"",QUERY(NPCVar!$K$2:$N1000, ""Select N where K = '""&amp;AB480&amp;""'""),fa"&amp;"lse)))*X480"),24)</f>
        <v>24</v>
      </c>
      <c r="W480" s="156" t="str">
        <f t="array" ref="W480">INDEX(NPCAgeType,TRUNC(1+(4-1)*(TRUNC(MOD((X480*1103515245 +12345)/ 65536, 32768),0)/32768),0))</f>
        <v>Middle Age</v>
      </c>
      <c r="X480" s="117">
        <f t="shared" si="29"/>
        <v>0.3</v>
      </c>
      <c r="Y480" s="157" t="e">
        <f t="array" aca="1" ref="Y480" ca="1">LOOKUP(ABS(MAX(Z480 + MIN(ABS(INDIRECT("Class Jobs!B"&amp;MATCH(E480,'Class Jobs'!$A$1:$A1000,0)&amp;":"&amp;"AF"&amp;MATCH(E480,'Class Jobs'!$A$1:$A1000,0)&amp;"")-$Z480)) * SUM(IF(MIN(ABS(INDIRECT("Class Jobs!B"&amp;MATCH(E480,'Class Jobs'!$A$1:$A1000,0)&amp;":"&amp;"AF"&amp;MATCH(E480,'Class Jobs'!$A$1:$A1000,0)&amp;"")-$Z480))=ABS(INDIRECT("Class Jobs!B"&amp;MATCH(E480,'Class Jobs'!$A$1:$A1000,0)&amp;":"&amp;"AF"&amp;MATCH(E480,'Class Jobs'!$A$1:$A1000,0)&amp;"")-$Z480),SIGN(INDIRECT("Class Jobs!B"&amp;MATCH(E480,'Class Jobs'!$A$1:A1000,0)&amp;":"&amp;"AF"&amp;MATCH(E480,'Class Jobs'!$A$1:$A1000,0)&amp;"")-$Z480),0)),0)),INDIRECT("Class Jobs!B"&amp;MATCH(E480,'Class Jobs'!$A$1:$A1000,0)&amp;":"&amp;"AF"&amp;MATCH(E480,'Class Jobs'!$A$1:$A1000,1)&amp;""),'Class Jobs'!$B$1:$AF$1)</f>
        <v>#REF!</v>
      </c>
      <c r="Z480" s="158">
        <f t="shared" si="25"/>
        <v>0.13</v>
      </c>
      <c r="AA480" s="16" t="str">
        <f t="array" ref="AA480">INDEX(NPCGender,TRUNC(1+(COUNTA(NPCGender))*(TRUNC(MOD(($B480*1103515245 +12345)/ 65536, 32768),0)/32768),0))</f>
        <v>Male</v>
      </c>
      <c r="AB480" s="16" t="str">
        <f t="array" ref="AB480">INDEX(NPCRace,TRUNC(1+(COUNTA(NPCRace))*(TRUNC(MOD(($B480*1103515245 +12345)/ 65536, 32768),0)/32768),0))</f>
        <v>Dwarf</v>
      </c>
      <c r="AC480" s="16" t="str">
        <f t="array" ref="AC480">INDEX(NPCAL,TRUNC(1+(COUNTA(NPCAL))*(TRUNC(MOD(($B480*1103515245 +12345)/ 65536, 32768),0)/32768),0))</f>
        <v>CE</v>
      </c>
      <c r="AD480" s="72" t="str">
        <f ca="1">IFERROR(__xludf.DUMMYFUNCTION("if(V480&lt;15,QUERY(NPCVar!C:D,""Select D WHERE C = '""&amp;D480&amp;""'""),if((TRUNC(1+10)*(TRUNC(MOD((ROW(H480)*1103515245 +12345)/ 65536, 32768),0)/32768)/10) &gt; 0.85,INDEX(NPCFaction,TRUNC(1+(counta(NPCFaction)-1)*(TRUNC(MOD(($B480*1103515245 +12345)/ 65536, 3276"&amp;"8),0)/32768),0)),QUERY(NPCVar!C:D,""Select D WHERE C = '""&amp;D480&amp;""'"")))"),"Death Guild")</f>
        <v>Death Guild</v>
      </c>
      <c r="AE480" s="108" t="e">
        <f t="shared" ca="1" si="26"/>
        <v>#NAME?</v>
      </c>
      <c r="AF480" s="159">
        <f ca="1">IFERROR(__xludf.DUMMYFUNCTION("AE480*(V480 / QUERY(NPCVar!$K$2:$N$12, ""Select N WHERE K='""&amp;AB480&amp;""'""))*TRUNC(1+10)*(TRUNC(MOD(($B480*1103515245 +12345)/ 65536, 32768),0)/32768)"),-0.0100481414794921)</f>
        <v>-1.0048141479492101E-2</v>
      </c>
      <c r="AG480" s="16"/>
      <c r="AH480" s="77"/>
      <c r="AI480" s="114"/>
    </row>
    <row r="481" spans="1:35" ht="16.2">
      <c r="A481" s="53">
        <v>480</v>
      </c>
      <c r="B481" s="118">
        <f t="shared" si="32"/>
        <v>1.1772199999999999</v>
      </c>
      <c r="C481" s="72" t="str">
        <f t="array" ref="C481">INDEX(NPCFName,TRUNC(1+(COUNTA(NPCFName))*(TRUNC(MOD(($B481*1103515245 +12345)/ 65536, 32768),0)/32768),0))</f>
        <v>Sothale</v>
      </c>
      <c r="D481" s="16" t="str">
        <f t="array" ref="D481">INDEX(NPCLName,TRUNC(1+(COUNTA(NPCLName))*(TRUNC(MOD(($B481*1103515245 +12345)/ 65536, 32768),0)/32768),0))</f>
        <v>Gloomrage</v>
      </c>
      <c r="E481" s="16" t="str">
        <f t="array" ref="E481">INDEX(NPCClass,TRUNC(1+(COUNTA(NPCClass))*(TRUNC(MOD(($B481*1103515245 +12345)/ 65536, 32768),0)/32768),0))</f>
        <v>Warlock</v>
      </c>
      <c r="F481" s="76">
        <v>8</v>
      </c>
      <c r="G481" s="153">
        <f ca="1">VLOOKUP($AB$2,'RF Mod'!$A$2:$G$12,2,FALSE)+VLOOKUP($AD$2,'RF Mod'!$I$2:$O$11,2,FALSE)+(TRUNC(6+(24-6)*(TRUNC(MOD(($Z481*1103515245 +12345)/ 65536, 32768),0)/32768),0))</f>
        <v>9</v>
      </c>
      <c r="H481" s="16">
        <f t="shared" ca="1" si="17"/>
        <v>-1</v>
      </c>
      <c r="I481" s="153">
        <f ca="1">VLOOKUP($AB$2,'RF Mod'!$A$2:$G$12,3,FALSE)+VLOOKUP($AD$2,'RF Mod'!$I$2:$O$11,3,FALSE)+(TRUNC(6+(24-6)*(TRUNC(MOD(($Z481*1103515245 +12345)/ 65536, 32768),0)/32768),0))</f>
        <v>13</v>
      </c>
      <c r="J481" s="16" t="e">
        <f t="shared" ca="1" si="18"/>
        <v>#NAME?</v>
      </c>
      <c r="K481" s="153">
        <f ca="1">VLOOKUP($AB$2,'RF Mod'!$A$2:$G$12,3,FALSE)+VLOOKUP($AD$2,'RF Mod'!$I$2:$O$11,3,FALSE)+(TRUNC(6+(24-6)*(TRUNC(MOD(($Z481*1103515245 +12345)/ 65536, 32768),0)/32768),0))</f>
        <v>13</v>
      </c>
      <c r="L481" s="16" t="e">
        <f t="shared" ca="1" si="19"/>
        <v>#NAME?</v>
      </c>
      <c r="M481" s="153">
        <f ca="1">VLOOKUP($AB$2,'RF Mod'!$A$2:$G$12,4,FALSE)+VLOOKUP($AD$2,'RF Mod'!$I$2:$O$11,4,FALSE)+(TRUNC(6+(24-6)*(TRUNC(MOD(($Z481*1103515245 +12345)/ 65536, 32768),0)/32768),0))</f>
        <v>12</v>
      </c>
      <c r="N481" s="16" t="e">
        <f t="shared" ca="1" si="20"/>
        <v>#NAME?</v>
      </c>
      <c r="O481" s="153">
        <f ca="1">VLOOKUP($AB$2,'RF Mod'!$A$2:$G$12,5,FALSE)+VLOOKUP($AD$2,'RF Mod'!$I$2:$O$11,5,FALSE)+(TRUNC(6+(24-6)*(TRUNC(MOD(($Z481*1103515245 +12345)/ 65536, 32768),0)/32768),0))</f>
        <v>15</v>
      </c>
      <c r="P481" s="16" t="e">
        <f t="shared" ca="1" si="21"/>
        <v>#NAME?</v>
      </c>
      <c r="Q481" s="153">
        <f ca="1">VLOOKUP($AB$2,'RF Mod'!$A$2:$G$12,6,FALSE)+VLOOKUP($AD$2,'RF Mod'!$I$2:$O$11,6,FALSE)+(TRUNC(6+(24-6)*(TRUNC(MOD(($Z481*1103515245 +12345)/ 65536, 32768),0)/32768),0))</f>
        <v>13</v>
      </c>
      <c r="R481" s="16" t="e">
        <f t="shared" ca="1" si="22"/>
        <v>#NAME?</v>
      </c>
      <c r="S481" s="154">
        <f t="shared" ca="1" si="28"/>
        <v>200</v>
      </c>
      <c r="T481" s="154">
        <f t="shared" ca="1" si="23"/>
        <v>123</v>
      </c>
      <c r="U481" s="16" t="str">
        <f t="shared" ca="1" si="24"/>
        <v>Bloody</v>
      </c>
      <c r="V481" s="155">
        <f ca="1">IFERROR(__xludf.DUMMYFUNCTION("if(W481=""Middle Age"",QUERY(NPCVar!$K$2:$N1000, ""Select L where K = '""&amp;AB481&amp;""'""),if(W481=""Old"",QUERY(NPCVar!$K$2:$N1000, ""Select M where K = '""&amp;AB481&amp;""'""),if(W481=""Venerable"",QUERY(NPCVar!$K$2:$N1000, ""Select N where K = '""&amp;AB481&amp;""'""),fa"&amp;"lse)))*X481"),300)</f>
        <v>300</v>
      </c>
      <c r="W481" s="156" t="str">
        <f t="array" ref="W481">INDEX(NPCAgeType,TRUNC(1+(4-1)*(TRUNC(MOD((X481*1103515245 +12345)/ 65536, 32768),0)/32768),0))</f>
        <v>Venerable</v>
      </c>
      <c r="X481" s="117">
        <f t="shared" si="29"/>
        <v>1.5</v>
      </c>
      <c r="Y481" s="157" t="e">
        <f t="array" aca="1" ref="Y481" ca="1">LOOKUP(ABS(MAX(Z481 + MIN(ABS(INDIRECT("Class Jobs!B"&amp;MATCH(E481,'Class Jobs'!$A$1:$A1000,0)&amp;":"&amp;"AF"&amp;MATCH(E481,'Class Jobs'!$A$1:$A1000,0)&amp;"")-$Z481)) * SUM(IF(MIN(ABS(INDIRECT("Class Jobs!B"&amp;MATCH(E481,'Class Jobs'!$A$1:$A1000,0)&amp;":"&amp;"AF"&amp;MATCH(E481,'Class Jobs'!$A$1:$A1000,0)&amp;"")-$Z481))=ABS(INDIRECT("Class Jobs!B"&amp;MATCH(E481,'Class Jobs'!$A$1:$A1000,0)&amp;":"&amp;"AF"&amp;MATCH(E481,'Class Jobs'!$A$1:$A1000,0)&amp;"")-$Z481),SIGN(INDIRECT("Class Jobs!B"&amp;MATCH(E481,'Class Jobs'!$A$1:A1000,0)&amp;":"&amp;"AF"&amp;MATCH(E481,'Class Jobs'!$A$1:$A1000,0)&amp;"")-$Z481),0)),0)),INDIRECT("Class Jobs!B"&amp;MATCH(E481,'Class Jobs'!$A$1:$A1000,0)&amp;":"&amp;"AF"&amp;MATCH(E481,'Class Jobs'!$A$1:$A1000,1)&amp;""),'Class Jobs'!$B$1:$AF$1)</f>
        <v>#REF!</v>
      </c>
      <c r="Z481" s="158">
        <f t="shared" si="25"/>
        <v>0.6</v>
      </c>
      <c r="AA481" s="16" t="str">
        <f t="array" ref="AA481">INDEX(NPCGender,TRUNC(1+(COUNTA(NPCGender))*(TRUNC(MOD(($B481*1103515245 +12345)/ 65536, 32768),0)/32768),0))</f>
        <v>Female</v>
      </c>
      <c r="AB481" s="16" t="str">
        <f t="array" ref="AB481">INDEX(NPCRace,TRUNC(1+(COUNTA(NPCRace))*(TRUNC(MOD(($B481*1103515245 +12345)/ 65536, 32768),0)/32768),0))</f>
        <v>Halfling</v>
      </c>
      <c r="AC481" s="16" t="str">
        <f t="array" ref="AC481">INDEX(NPCAL,TRUNC(1+(COUNTA(NPCAL))*(TRUNC(MOD(($B481*1103515245 +12345)/ 65536, 32768),0)/32768),0))</f>
        <v>NE</v>
      </c>
      <c r="AD481" s="72" t="str">
        <f ca="1">IFERROR(__xludf.DUMMYFUNCTION("if(V481&lt;15,QUERY(NPCVar!C:D,""Select D WHERE C = '""&amp;D481&amp;""'""),if((TRUNC(1+10)*(TRUNC(MOD((ROW(H481)*1103515245 +12345)/ 65536, 32768),0)/32768)/10) &gt; 0.85,INDEX(NPCFaction,TRUNC(1+(counta(NPCFaction)-1)*(TRUNC(MOD(($B481*1103515245 +12345)/ 65536, 3276"&amp;"8),0)/32768),0)),QUERY(NPCVar!C:D,""Select D WHERE C = '""&amp;D481&amp;""'"")))"),"Traders Guild")</f>
        <v>Traders Guild</v>
      </c>
      <c r="AE481" s="108" t="e">
        <f t="shared" ca="1" si="26"/>
        <v>#NAME?</v>
      </c>
      <c r="AF481" s="159">
        <f ca="1">IFERROR(__xludf.DUMMYFUNCTION("AE481*(V481 / QUERY(NPCVar!$K$2:$N$12, ""Select N WHERE K='""&amp;AB481&amp;""'""))*TRUNC(1+10)*(TRUNC(MOD(($B481*1103515245 +12345)/ 65536, 32768),0)/32768)"),6.98681945800781)</f>
        <v>6.98681945800781</v>
      </c>
      <c r="AG481" s="16"/>
      <c r="AH481" s="77"/>
      <c r="AI481" s="114"/>
    </row>
    <row r="482" spans="1:35" ht="16.2">
      <c r="A482" s="53">
        <v>481</v>
      </c>
      <c r="B482" s="118">
        <f t="shared" si="32"/>
        <v>0.17136000000000001</v>
      </c>
      <c r="C482" s="72" t="str">
        <f t="array" ref="C482">INDEX(NPCFName,TRUNC(1+(COUNTA(NPCFName))*(TRUNC(MOD(($B482*1103515245 +12345)/ 65536, 32768),0)/32768),0))</f>
        <v>Eard</v>
      </c>
      <c r="D482" s="16" t="str">
        <f t="array" ref="D482">INDEX(NPCLName,TRUNC(1+(COUNTA(NPCLName))*(TRUNC(MOD(($B482*1103515245 +12345)/ 65536, 32768),0)/32768),0))</f>
        <v>Autumnorb</v>
      </c>
      <c r="E482" s="16" t="str">
        <f t="array" ref="E482">INDEX(NPCClass,TRUNC(1+(COUNTA(NPCClass))*(TRUNC(MOD(($B482*1103515245 +12345)/ 65536, 32768),0)/32768),0))</f>
        <v>Bard</v>
      </c>
      <c r="F482" s="76">
        <v>1</v>
      </c>
      <c r="G482" s="153">
        <f ca="1">VLOOKUP($AB$2,'RF Mod'!$A$2:$G$12,2,FALSE)+VLOOKUP($AD$2,'RF Mod'!$I$2:$O$11,2,FALSE)+(TRUNC(6+(24-6)*(TRUNC(MOD(($Z482*1103515245 +12345)/ 65536, 32768),0)/32768),0))</f>
        <v>4</v>
      </c>
      <c r="H482" s="16">
        <f t="shared" ca="1" si="17"/>
        <v>-3</v>
      </c>
      <c r="I482" s="153">
        <f ca="1">VLOOKUP($AB$2,'RF Mod'!$A$2:$G$12,3,FALSE)+VLOOKUP($AD$2,'RF Mod'!$I$2:$O$11,3,FALSE)+(TRUNC(6+(24-6)*(TRUNC(MOD(($Z482*1103515245 +12345)/ 65536, 32768),0)/32768),0))</f>
        <v>8</v>
      </c>
      <c r="J482" s="16">
        <f t="shared" ca="1" si="18"/>
        <v>-1</v>
      </c>
      <c r="K482" s="153">
        <f ca="1">VLOOKUP($AB$2,'RF Mod'!$A$2:$G$12,3,FALSE)+VLOOKUP($AD$2,'RF Mod'!$I$2:$O$11,3,FALSE)+(TRUNC(6+(24-6)*(TRUNC(MOD(($Z482*1103515245 +12345)/ 65536, 32768),0)/32768),0))</f>
        <v>8</v>
      </c>
      <c r="L482" s="16">
        <f t="shared" ca="1" si="19"/>
        <v>-1</v>
      </c>
      <c r="M482" s="153">
        <f ca="1">VLOOKUP($AB$2,'RF Mod'!$A$2:$G$12,4,FALSE)+VLOOKUP($AD$2,'RF Mod'!$I$2:$O$11,4,FALSE)+(TRUNC(6+(24-6)*(TRUNC(MOD(($Z482*1103515245 +12345)/ 65536, 32768),0)/32768),0))</f>
        <v>7</v>
      </c>
      <c r="N482" s="16">
        <f t="shared" ca="1" si="20"/>
        <v>-2</v>
      </c>
      <c r="O482" s="153">
        <f ca="1">VLOOKUP($AB$2,'RF Mod'!$A$2:$G$12,5,FALSE)+VLOOKUP($AD$2,'RF Mod'!$I$2:$O$11,5,FALSE)+(TRUNC(6+(24-6)*(TRUNC(MOD(($Z482*1103515245 +12345)/ 65536, 32768),0)/32768),0))</f>
        <v>10</v>
      </c>
      <c r="P482" s="16" t="e">
        <f t="shared" ca="1" si="21"/>
        <v>#NAME?</v>
      </c>
      <c r="Q482" s="153">
        <f ca="1">VLOOKUP($AB$2,'RF Mod'!$A$2:$G$12,6,FALSE)+VLOOKUP($AD$2,'RF Mod'!$I$2:$O$11,6,FALSE)+(TRUNC(6+(24-6)*(TRUNC(MOD(($Z482*1103515245 +12345)/ 65536, 32768),0)/32768),0))</f>
        <v>8</v>
      </c>
      <c r="R482" s="16">
        <f t="shared" ca="1" si="22"/>
        <v>-1</v>
      </c>
      <c r="S482" s="154">
        <f t="shared" ca="1" si="28"/>
        <v>26</v>
      </c>
      <c r="T482" s="154">
        <f t="shared" ca="1" si="23"/>
        <v>3</v>
      </c>
      <c r="U482" s="16" t="str">
        <f t="shared" ca="1" si="24"/>
        <v>Fine</v>
      </c>
      <c r="V482" s="155">
        <f ca="1">IFERROR(__xludf.DUMMYFUNCTION("if(W482=""Middle Age"",QUERY(NPCVar!$K$2:$N1000, ""Select L where K = '""&amp;AB482&amp;""'""),if(W482=""Old"",QUERY(NPCVar!$K$2:$N1000, ""Select M where K = '""&amp;AB482&amp;""'""),if(W482=""Venerable"",QUERY(NPCVar!$K$2:$N1000, ""Select N where K = '""&amp;AB482&amp;""'""),fa"&amp;"lse)))*X482"),6)</f>
        <v>6</v>
      </c>
      <c r="W482" s="156" t="str">
        <f t="array" ref="W482">INDEX(NPCAgeType,TRUNC(1+(4-1)*(TRUNC(MOD((X482*1103515245 +12345)/ 65536, 32768),0)/32768),0))</f>
        <v>Middle Age</v>
      </c>
      <c r="X482" s="117">
        <f t="shared" si="29"/>
        <v>0.3</v>
      </c>
      <c r="Y482" s="157" t="e">
        <f t="array" aca="1" ref="Y482" ca="1">LOOKUP(ABS(MAX(Z482 + MIN(ABS(INDIRECT("Class Jobs!B"&amp;MATCH(E482,'Class Jobs'!$A$1:$A1000,0)&amp;":"&amp;"AF"&amp;MATCH(E482,'Class Jobs'!$A$1:$A1000,0)&amp;"")-$Z482)) * SUM(IF(MIN(ABS(INDIRECT("Class Jobs!B"&amp;MATCH(E482,'Class Jobs'!$A$1:$A1000,0)&amp;":"&amp;"AF"&amp;MATCH(E482,'Class Jobs'!$A$1:$A1000,0)&amp;"")-$Z482))=ABS(INDIRECT("Class Jobs!B"&amp;MATCH(E482,'Class Jobs'!$A$1:$A1000,0)&amp;":"&amp;"AF"&amp;MATCH(E482,'Class Jobs'!$A$1:$A1000,0)&amp;"")-$Z482),SIGN(INDIRECT("Class Jobs!B"&amp;MATCH(E482,'Class Jobs'!$A$1:A1000,0)&amp;":"&amp;"AF"&amp;MATCH(E482,'Class Jobs'!$A$1:$A1000,0)&amp;"")-$Z482),0)),0)),INDIRECT("Class Jobs!B"&amp;MATCH(E482,'Class Jobs'!$A$1:$A1000,0)&amp;":"&amp;"AF"&amp;MATCH(E482,'Class Jobs'!$A$1:$A1000,1)&amp;""),'Class Jobs'!$B$1:$AF$1)</f>
        <v>#REF!</v>
      </c>
      <c r="Z482" s="158">
        <f t="shared" si="25"/>
        <v>0.09</v>
      </c>
      <c r="AA482" s="16" t="str">
        <f t="array" ref="AA482">INDEX(NPCGender,TRUNC(1+(COUNTA(NPCGender))*(TRUNC(MOD(($B482*1103515245 +12345)/ 65536, 32768),0)/32768),0))</f>
        <v>Male</v>
      </c>
      <c r="AB482" s="16" t="str">
        <f t="array" ref="AB482">INDEX(NPCRace,TRUNC(1+(COUNTA(NPCRace))*(TRUNC(MOD(($B482*1103515245 +12345)/ 65536, 32768),0)/32768),0))</f>
        <v>Dragonborn</v>
      </c>
      <c r="AC482" s="16" t="str">
        <f t="array" ref="AC482">INDEX(NPCAL,TRUNC(1+(COUNTA(NPCAL))*(TRUNC(MOD(($B482*1103515245 +12345)/ 65536, 32768),0)/32768),0))</f>
        <v>CN</v>
      </c>
      <c r="AD482" s="72" t="str">
        <f ca="1">IFERROR(__xludf.DUMMYFUNCTION("if(V482&lt;15,QUERY(NPCVar!C:D,""Select D WHERE C = '""&amp;D482&amp;""'""),if((TRUNC(1+10)*(TRUNC(MOD((ROW(H482)*1103515245 +12345)/ 65536, 32768),0)/32768)/10) &gt; 0.85,INDEX(NPCFaction,TRUNC(1+(counta(NPCFaction)-1)*(TRUNC(MOD(($B482*1103515245 +12345)/ 65536, 3276"&amp;"8),0)/32768),0)),QUERY(NPCVar!C:D,""Select D WHERE C = '""&amp;D482&amp;""'"")))"),"Royalty")</f>
        <v>Royalty</v>
      </c>
      <c r="AE482" s="108" t="e">
        <f t="shared" ca="1" si="26"/>
        <v>#NAME?</v>
      </c>
      <c r="AF482" s="159">
        <f ca="1">IFERROR(__xludf.DUMMYFUNCTION("AE482*(V482 / QUERY(NPCVar!$K$2:$N$12, ""Select N WHERE K='""&amp;AB482&amp;""'""))*TRUNC(1+10)*(TRUNC(MOD(($B482*1103515245 +12345)/ 65536, 32768),0)/32768)"),-0.00726356506347656)</f>
        <v>-7.2635650634765604E-3</v>
      </c>
      <c r="AG482" s="16"/>
      <c r="AH482" s="77"/>
      <c r="AI482" s="114"/>
    </row>
    <row r="483" spans="1:35" ht="16.2">
      <c r="A483" s="53">
        <v>482</v>
      </c>
      <c r="B483" s="118">
        <f t="shared" si="32"/>
        <v>1.6655</v>
      </c>
      <c r="C483" s="72" t="str">
        <f t="array" ref="C483">INDEX(NPCFName,TRUNC(1+(COUNTA(NPCFName))*(TRUNC(MOD(($B483*1103515245 +12345)/ 65536, 32768),0)/32768),0))</f>
        <v>Mesah</v>
      </c>
      <c r="D483" s="16" t="str">
        <f t="array" ref="D483">INDEX(NPCLName,TRUNC(1+(COUNTA(NPCLName))*(TRUNC(MOD(($B483*1103515245 +12345)/ 65536, 32768),0)/32768),0))</f>
        <v>Springgust</v>
      </c>
      <c r="E483" s="16" t="str">
        <f t="array" ref="E483">INDEX(NPCClass,TRUNC(1+(COUNTA(NPCClass))*(TRUNC(MOD(($B483*1103515245 +12345)/ 65536, 32768),0)/32768),0))</f>
        <v>Fighter</v>
      </c>
      <c r="F483" s="76">
        <v>8</v>
      </c>
      <c r="G483" s="153">
        <f ca="1">VLOOKUP($AB$2,'RF Mod'!$A$2:$G$12,2,FALSE)+VLOOKUP($AD$2,'RF Mod'!$I$2:$O$11,2,FALSE)+(TRUNC(6+(24-6)*(TRUNC(MOD(($Z483*1103515245 +12345)/ 65536, 32768),0)/32768),0))</f>
        <v>11</v>
      </c>
      <c r="H483" s="16" t="e">
        <f t="shared" ca="1" si="17"/>
        <v>#NAME?</v>
      </c>
      <c r="I483" s="153">
        <f ca="1">VLOOKUP($AB$2,'RF Mod'!$A$2:$G$12,3,FALSE)+VLOOKUP($AD$2,'RF Mod'!$I$2:$O$11,3,FALSE)+(TRUNC(6+(24-6)*(TRUNC(MOD(($Z483*1103515245 +12345)/ 65536, 32768),0)/32768),0))</f>
        <v>15</v>
      </c>
      <c r="J483" s="16" t="e">
        <f t="shared" ca="1" si="18"/>
        <v>#NAME?</v>
      </c>
      <c r="K483" s="153">
        <f ca="1">VLOOKUP($AB$2,'RF Mod'!$A$2:$G$12,3,FALSE)+VLOOKUP($AD$2,'RF Mod'!$I$2:$O$11,3,FALSE)+(TRUNC(6+(24-6)*(TRUNC(MOD(($Z483*1103515245 +12345)/ 65536, 32768),0)/32768),0))</f>
        <v>15</v>
      </c>
      <c r="L483" s="16" t="e">
        <f t="shared" ca="1" si="19"/>
        <v>#NAME?</v>
      </c>
      <c r="M483" s="153">
        <f ca="1">VLOOKUP($AB$2,'RF Mod'!$A$2:$G$12,4,FALSE)+VLOOKUP($AD$2,'RF Mod'!$I$2:$O$11,4,FALSE)+(TRUNC(6+(24-6)*(TRUNC(MOD(($Z483*1103515245 +12345)/ 65536, 32768),0)/32768),0))</f>
        <v>14</v>
      </c>
      <c r="N483" s="16" t="e">
        <f t="shared" ca="1" si="20"/>
        <v>#NAME?</v>
      </c>
      <c r="O483" s="153">
        <f ca="1">VLOOKUP($AB$2,'RF Mod'!$A$2:$G$12,5,FALSE)+VLOOKUP($AD$2,'RF Mod'!$I$2:$O$11,5,FALSE)+(TRUNC(6+(24-6)*(TRUNC(MOD(($Z483*1103515245 +12345)/ 65536, 32768),0)/32768),0))</f>
        <v>17</v>
      </c>
      <c r="P483" s="16" t="e">
        <f t="shared" ca="1" si="21"/>
        <v>#NAME?</v>
      </c>
      <c r="Q483" s="153">
        <f ca="1">VLOOKUP($AB$2,'RF Mod'!$A$2:$G$12,6,FALSE)+VLOOKUP($AD$2,'RF Mod'!$I$2:$O$11,6,FALSE)+(TRUNC(6+(24-6)*(TRUNC(MOD(($Z483*1103515245 +12345)/ 65536, 32768),0)/32768),0))</f>
        <v>15</v>
      </c>
      <c r="R483" s="16" t="e">
        <f t="shared" ca="1" si="22"/>
        <v>#NAME?</v>
      </c>
      <c r="S483" s="154">
        <f t="shared" ca="1" si="28"/>
        <v>136</v>
      </c>
      <c r="T483" s="154">
        <f t="shared" ca="1" si="23"/>
        <v>67</v>
      </c>
      <c r="U483" s="16" t="str">
        <f t="shared" ca="1" si="24"/>
        <v>Fine</v>
      </c>
      <c r="V483" s="155">
        <f ca="1">IFERROR(__xludf.DUMMYFUNCTION("if(W483=""Middle Age"",QUERY(NPCVar!$K$2:$N1000, ""Select L where K = '""&amp;AB483&amp;""'""),if(W483=""Old"",QUERY(NPCVar!$K$2:$N1000, ""Select M where K = '""&amp;AB483&amp;""'""),if(W483=""Venerable"",QUERY(NPCVar!$K$2:$N1000, ""Select N where K = '""&amp;AB483&amp;""'""),fa"&amp;"lse)))*X483"),57.75)</f>
        <v>57.75</v>
      </c>
      <c r="W483" s="156" t="str">
        <f t="array" ref="W483">INDEX(NPCAgeType,TRUNC(1+(4-1)*(TRUNC(MOD((X483*1103515245 +12345)/ 65536, 32768),0)/32768),0))</f>
        <v>Middle Age</v>
      </c>
      <c r="X483" s="117">
        <f t="shared" si="29"/>
        <v>2.1</v>
      </c>
      <c r="Y483" s="157" t="e">
        <f t="array" aca="1" ref="Y483" ca="1">LOOKUP(ABS(MAX(Z483 + MIN(ABS(INDIRECT("Class Jobs!B"&amp;MATCH(E483,'Class Jobs'!$A$1:$A1000,0)&amp;":"&amp;"AF"&amp;MATCH(E483,'Class Jobs'!$A$1:$A1000,0)&amp;"")-$Z483)) * SUM(IF(MIN(ABS(INDIRECT("Class Jobs!B"&amp;MATCH(E483,'Class Jobs'!$A$1:$A1000,0)&amp;":"&amp;"AF"&amp;MATCH(E483,'Class Jobs'!$A$1:$A1000,0)&amp;"")-$Z483))=ABS(INDIRECT("Class Jobs!B"&amp;MATCH(E483,'Class Jobs'!$A$1:$A1000,0)&amp;":"&amp;"AF"&amp;MATCH(E483,'Class Jobs'!$A$1:$A1000,0)&amp;"")-$Z483),SIGN(INDIRECT("Class Jobs!B"&amp;MATCH(E483,'Class Jobs'!$A$1:A1000,0)&amp;":"&amp;"AF"&amp;MATCH(E483,'Class Jobs'!$A$1:$A1000,0)&amp;"")-$Z483),0)),0)),INDIRECT("Class Jobs!B"&amp;MATCH(E483,'Class Jobs'!$A$1:$A1000,0)&amp;":"&amp;"AF"&amp;MATCH(E483,'Class Jobs'!$A$1:$A1000,1)&amp;""),'Class Jobs'!$B$1:$AF$1)</f>
        <v>#REF!</v>
      </c>
      <c r="Z483" s="158">
        <f t="shared" si="25"/>
        <v>0.85</v>
      </c>
      <c r="AA483" s="16" t="str">
        <f t="array" ref="AA483">INDEX(NPCGender,TRUNC(1+(COUNTA(NPCGender))*(TRUNC(MOD(($B483*1103515245 +12345)/ 65536, 32768),0)/32768),0))</f>
        <v>Neutral</v>
      </c>
      <c r="AB483" s="16" t="str">
        <f t="array" ref="AB483">INDEX(NPCRace,TRUNC(1+(COUNTA(NPCRace))*(TRUNC(MOD(($B483*1103515245 +12345)/ 65536, 32768),0)/32768),0))</f>
        <v>Genasi</v>
      </c>
      <c r="AC483" s="16" t="str">
        <f t="array" ref="AC483">INDEX(NPCAL,TRUNC(1+(COUNTA(NPCAL))*(TRUNC(MOD(($B483*1103515245 +12345)/ 65536, 32768),0)/32768),0))</f>
        <v>LN</v>
      </c>
      <c r="AD483" s="72" t="str">
        <f ca="1">IFERROR(__xludf.DUMMYFUNCTION("if(V483&lt;15,QUERY(NPCVar!C:D,""Select D WHERE C = '""&amp;D483&amp;""'""),if((TRUNC(1+10)*(TRUNC(MOD((ROW(H483)*1103515245 +12345)/ 65536, 32768),0)/32768)/10) &gt; 0.85,INDEX(NPCFaction,TRUNC(1+(counta(NPCFaction)-1)*(TRUNC(MOD(($B483*1103515245 +12345)/ 65536, 3276"&amp;"8),0)/32768),0)),QUERY(NPCVar!C:D,""Select D WHERE C = '""&amp;D483&amp;""'"")))"),"Traverlers Guild")</f>
        <v>Traverlers Guild</v>
      </c>
      <c r="AE483" s="108" t="e">
        <f t="shared" ca="1" si="26"/>
        <v>#NAME?</v>
      </c>
      <c r="AF483" s="159">
        <f ca="1">IFERROR(__xludf.DUMMYFUNCTION("AE483*(V483 / QUERY(NPCVar!$K$2:$N$12, ""Select N WHERE K='""&amp;AB483&amp;""'""))*TRUNC(1+10)*(TRUNC(MOD(($B483*1103515245 +12345)/ 65536, 32768),0)/32768)"),3.95395751953125)</f>
        <v>3.95395751953125</v>
      </c>
      <c r="AG483" s="16"/>
      <c r="AH483" s="77"/>
      <c r="AI483" s="114"/>
    </row>
    <row r="484" spans="1:35" ht="16.2">
      <c r="A484" s="53">
        <v>483</v>
      </c>
      <c r="B484" s="118">
        <f t="shared" si="32"/>
        <v>0.65964</v>
      </c>
      <c r="C484" s="72" t="str">
        <f t="array" ref="C484">INDEX(NPCFName,TRUNC(1+(COUNTA(NPCFName))*(TRUNC(MOD(($B484*1103515245 +12345)/ 65536, 32768),0)/32768),0))</f>
        <v>Agnar</v>
      </c>
      <c r="D484" s="16" t="str">
        <f t="array" ref="D484">INDEX(NPCLName,TRUNC(1+(COUNTA(NPCLName))*(TRUNC(MOD(($B484*1103515245 +12345)/ 65536, 32768),0)/32768),0))</f>
        <v>Leafblight</v>
      </c>
      <c r="E484" s="16" t="str">
        <f t="array" ref="E484">INDEX(NPCClass,TRUNC(1+(COUNTA(NPCClass))*(TRUNC(MOD(($B484*1103515245 +12345)/ 65536, 32768),0)/32768),0))</f>
        <v>Paladin</v>
      </c>
      <c r="F484" s="76">
        <v>5</v>
      </c>
      <c r="G484" s="153">
        <f ca="1">VLOOKUP($AB$2,'RF Mod'!$A$2:$G$12,2,FALSE)+VLOOKUP($AD$2,'RF Mod'!$I$2:$O$11,2,FALSE)+(TRUNC(6+(24-6)*(TRUNC(MOD(($Z484*1103515245 +12345)/ 65536, 32768),0)/32768),0))</f>
        <v>7</v>
      </c>
      <c r="H484" s="16">
        <f t="shared" ca="1" si="17"/>
        <v>-2</v>
      </c>
      <c r="I484" s="153">
        <f ca="1">VLOOKUP($AB$2,'RF Mod'!$A$2:$G$12,3,FALSE)+VLOOKUP($AD$2,'RF Mod'!$I$2:$O$11,3,FALSE)+(TRUNC(6+(24-6)*(TRUNC(MOD(($Z484*1103515245 +12345)/ 65536, 32768),0)/32768),0))</f>
        <v>11</v>
      </c>
      <c r="J484" s="16" t="e">
        <f t="shared" ca="1" si="18"/>
        <v>#NAME?</v>
      </c>
      <c r="K484" s="153">
        <f ca="1">VLOOKUP($AB$2,'RF Mod'!$A$2:$G$12,3,FALSE)+VLOOKUP($AD$2,'RF Mod'!$I$2:$O$11,3,FALSE)+(TRUNC(6+(24-6)*(TRUNC(MOD(($Z484*1103515245 +12345)/ 65536, 32768),0)/32768),0))</f>
        <v>11</v>
      </c>
      <c r="L484" s="16" t="e">
        <f t="shared" ca="1" si="19"/>
        <v>#NAME?</v>
      </c>
      <c r="M484" s="153">
        <f ca="1">VLOOKUP($AB$2,'RF Mod'!$A$2:$G$12,4,FALSE)+VLOOKUP($AD$2,'RF Mod'!$I$2:$O$11,4,FALSE)+(TRUNC(6+(24-6)*(TRUNC(MOD(($Z484*1103515245 +12345)/ 65536, 32768),0)/32768),0))</f>
        <v>10</v>
      </c>
      <c r="N484" s="16" t="e">
        <f t="shared" ca="1" si="20"/>
        <v>#NAME?</v>
      </c>
      <c r="O484" s="153">
        <f ca="1">VLOOKUP($AB$2,'RF Mod'!$A$2:$G$12,5,FALSE)+VLOOKUP($AD$2,'RF Mod'!$I$2:$O$11,5,FALSE)+(TRUNC(6+(24-6)*(TRUNC(MOD(($Z484*1103515245 +12345)/ 65536, 32768),0)/32768),0))</f>
        <v>13</v>
      </c>
      <c r="P484" s="16" t="e">
        <f t="shared" ca="1" si="21"/>
        <v>#NAME?</v>
      </c>
      <c r="Q484" s="153">
        <f ca="1">VLOOKUP($AB$2,'RF Mod'!$A$2:$G$12,6,FALSE)+VLOOKUP($AD$2,'RF Mod'!$I$2:$O$11,6,FALSE)+(TRUNC(6+(24-6)*(TRUNC(MOD(($Z484*1103515245 +12345)/ 65536, 32768),0)/32768),0))</f>
        <v>11</v>
      </c>
      <c r="R484" s="16" t="e">
        <f t="shared" ca="1" si="22"/>
        <v>#NAME?</v>
      </c>
      <c r="S484" s="154">
        <f t="shared" ca="1" si="28"/>
        <v>65</v>
      </c>
      <c r="T484" s="154">
        <f t="shared" ca="1" si="23"/>
        <v>18</v>
      </c>
      <c r="U484" s="16" t="str">
        <f t="shared" ca="1" si="24"/>
        <v>Fine</v>
      </c>
      <c r="V484" s="155">
        <f ca="1">IFERROR(__xludf.DUMMYFUNCTION("if(W484=""Middle Age"",QUERY(NPCVar!$K$2:$N1000, ""Select L where K = '""&amp;AB484&amp;""'""),if(W484=""Old"",QUERY(NPCVar!$K$2:$N1000, ""Select M where K = '""&amp;AB484&amp;""'""),if(W484=""Venerable"",QUERY(NPCVar!$K$2:$N1000, ""Select N where K = '""&amp;AB484&amp;""'""),fa"&amp;"lse)))*X484"),151.875)</f>
        <v>151.875</v>
      </c>
      <c r="W484" s="156" t="str">
        <f t="array" ref="W484">INDEX(NPCAgeType,TRUNC(1+(4-1)*(TRUNC(MOD((X484*1103515245 +12345)/ 65536, 32768),0)/32768),0))</f>
        <v>Old</v>
      </c>
      <c r="X484" s="117">
        <f t="shared" si="29"/>
        <v>0.9</v>
      </c>
      <c r="Y484" s="157" t="e">
        <f t="array" aca="1" ref="Y484" ca="1">LOOKUP(ABS(MAX(Z484 + MIN(ABS(INDIRECT("Class Jobs!B"&amp;MATCH(E484,'Class Jobs'!$A$1:$A1000,0)&amp;":"&amp;"AF"&amp;MATCH(E484,'Class Jobs'!$A$1:$A1000,0)&amp;"")-$Z484)) * SUM(IF(MIN(ABS(INDIRECT("Class Jobs!B"&amp;MATCH(E484,'Class Jobs'!$A$1:$A1000,0)&amp;":"&amp;"AF"&amp;MATCH(E484,'Class Jobs'!$A$1:$A1000,0)&amp;"")-$Z484))=ABS(INDIRECT("Class Jobs!B"&amp;MATCH(E484,'Class Jobs'!$A$1:$A1000,0)&amp;":"&amp;"AF"&amp;MATCH(E484,'Class Jobs'!$A$1:$A1000,0)&amp;"")-$Z484),SIGN(INDIRECT("Class Jobs!B"&amp;MATCH(E484,'Class Jobs'!$A$1:A1000,0)&amp;":"&amp;"AF"&amp;MATCH(E484,'Class Jobs'!$A$1:$A1000,0)&amp;"")-$Z484),0)),0)),INDIRECT("Class Jobs!B"&amp;MATCH(E484,'Class Jobs'!$A$1:$A1000,0)&amp;":"&amp;"AF"&amp;MATCH(E484,'Class Jobs'!$A$1:$A1000,1)&amp;""),'Class Jobs'!$B$1:$AF$1)</f>
        <v>#REF!</v>
      </c>
      <c r="Z484" s="158">
        <f t="shared" si="25"/>
        <v>0.34</v>
      </c>
      <c r="AA484" s="16" t="str">
        <f t="array" ref="AA484">INDEX(NPCGender,TRUNC(1+(COUNTA(NPCGender))*(TRUNC(MOD(($B484*1103515245 +12345)/ 65536, 32768),0)/32768),0))</f>
        <v>Female</v>
      </c>
      <c r="AB484" s="16" t="str">
        <f t="array" ref="AB484">INDEX(NPCRace,TRUNC(1+(COUNTA(NPCRace))*(TRUNC(MOD(($B484*1103515245 +12345)/ 65536, 32768),0)/32768),0))</f>
        <v>Gnome</v>
      </c>
      <c r="AC484" s="16" t="str">
        <f t="array" ref="AC484">INDEX(NPCAL,TRUNC(1+(COUNTA(NPCAL))*(TRUNC(MOD(($B484*1103515245 +12345)/ 65536, 32768),0)/32768),0))</f>
        <v>NG</v>
      </c>
      <c r="AD484" s="72" t="str">
        <f ca="1">IFERROR(__xludf.DUMMYFUNCTION("if(V484&lt;15,QUERY(NPCVar!C:D,""Select D WHERE C = '""&amp;D484&amp;""'""),if((TRUNC(1+10)*(TRUNC(MOD((ROW(H484)*1103515245 +12345)/ 65536, 32768),0)/32768)/10) &gt; 0.85,INDEX(NPCFaction,TRUNC(1+(counta(NPCFaction)-1)*(TRUNC(MOD(($B484*1103515245 +12345)/ 65536, 3276"&amp;"8),0)/32768),0)),QUERY(NPCVar!C:D,""Select D WHERE C = '""&amp;D484&amp;""'"")))"),"Necromancer")</f>
        <v>Necromancer</v>
      </c>
      <c r="AE484" s="108" t="e">
        <f t="shared" ca="1" si="26"/>
        <v>#NAME?</v>
      </c>
      <c r="AF484" s="159">
        <f ca="1">IFERROR(__xludf.DUMMYFUNCTION("AE484*(V484 / QUERY(NPCVar!$K$2:$N$12, ""Select N WHERE K='""&amp;AB484&amp;""'""))*TRUNC(1+10)*(TRUNC(MOD(($B484*1103515245 +12345)/ 65536, 32768),0)/32768)"),0.125838432312011)</f>
        <v>0.125838432312011</v>
      </c>
      <c r="AG484" s="16"/>
      <c r="AH484" s="77"/>
      <c r="AI484" s="114"/>
    </row>
    <row r="485" spans="1:35" ht="16.2">
      <c r="A485" s="53">
        <v>484</v>
      </c>
      <c r="B485" s="118">
        <f t="shared" si="32"/>
        <v>2.1537700000000002</v>
      </c>
      <c r="C485" s="72" t="str">
        <f t="array" ref="C485">INDEX(NPCFName,TRUNC(1+(COUNTA(NPCFName))*(TRUNC(MOD(($B485*1103515245 +12345)/ 65536, 32768),0)/32768),0))</f>
        <v>Ficadon</v>
      </c>
      <c r="D485" s="16" t="str">
        <f t="array" ref="D485">INDEX(NPCLName,TRUNC(1+(COUNTA(NPCLName))*(TRUNC(MOD(($B485*1103515245 +12345)/ 65536, 32768),0)/32768),0))</f>
        <v>Distantlash</v>
      </c>
      <c r="E485" s="16" t="str">
        <f t="array" ref="E485">INDEX(NPCClass,TRUNC(1+(COUNTA(NPCClass))*(TRUNC(MOD(($B485*1103515245 +12345)/ 65536, 32768),0)/32768),0))</f>
        <v>Bard</v>
      </c>
      <c r="F485" s="76">
        <v>1</v>
      </c>
      <c r="G485" s="153">
        <f ca="1">VLOOKUP($AB$2,'RF Mod'!$A$2:$G$12,2,FALSE)+VLOOKUP($AD$2,'RF Mod'!$I$2:$O$11,2,FALSE)+(TRUNC(6+(24-6)*(TRUNC(MOD(($Z485*1103515245 +12345)/ 65536, 32768),0)/32768),0))</f>
        <v>5</v>
      </c>
      <c r="H485" s="16">
        <f t="shared" ca="1" si="17"/>
        <v>-3</v>
      </c>
      <c r="I485" s="153">
        <f ca="1">VLOOKUP($AB$2,'RF Mod'!$A$2:$G$12,3,FALSE)+VLOOKUP($AD$2,'RF Mod'!$I$2:$O$11,3,FALSE)+(TRUNC(6+(24-6)*(TRUNC(MOD(($Z485*1103515245 +12345)/ 65536, 32768),0)/32768),0))</f>
        <v>9</v>
      </c>
      <c r="J485" s="16">
        <f t="shared" ca="1" si="18"/>
        <v>-1</v>
      </c>
      <c r="K485" s="153">
        <f ca="1">VLOOKUP($AB$2,'RF Mod'!$A$2:$G$12,3,FALSE)+VLOOKUP($AD$2,'RF Mod'!$I$2:$O$11,3,FALSE)+(TRUNC(6+(24-6)*(TRUNC(MOD(($Z485*1103515245 +12345)/ 65536, 32768),0)/32768),0))</f>
        <v>9</v>
      </c>
      <c r="L485" s="16">
        <f t="shared" ca="1" si="19"/>
        <v>-1</v>
      </c>
      <c r="M485" s="153">
        <f ca="1">VLOOKUP($AB$2,'RF Mod'!$A$2:$G$12,4,FALSE)+VLOOKUP($AD$2,'RF Mod'!$I$2:$O$11,4,FALSE)+(TRUNC(6+(24-6)*(TRUNC(MOD(($Z485*1103515245 +12345)/ 65536, 32768),0)/32768),0))</f>
        <v>8</v>
      </c>
      <c r="N485" s="16">
        <f t="shared" ca="1" si="20"/>
        <v>-1</v>
      </c>
      <c r="O485" s="153">
        <f ca="1">VLOOKUP($AB$2,'RF Mod'!$A$2:$G$12,5,FALSE)+VLOOKUP($AD$2,'RF Mod'!$I$2:$O$11,5,FALSE)+(TRUNC(6+(24-6)*(TRUNC(MOD(($Z485*1103515245 +12345)/ 65536, 32768),0)/32768),0))</f>
        <v>11</v>
      </c>
      <c r="P485" s="16" t="e">
        <f t="shared" ca="1" si="21"/>
        <v>#NAME?</v>
      </c>
      <c r="Q485" s="153">
        <f ca="1">VLOOKUP($AB$2,'RF Mod'!$A$2:$G$12,6,FALSE)+VLOOKUP($AD$2,'RF Mod'!$I$2:$O$11,6,FALSE)+(TRUNC(6+(24-6)*(TRUNC(MOD(($Z485*1103515245 +12345)/ 65536, 32768),0)/32768),0))</f>
        <v>9</v>
      </c>
      <c r="R485" s="16">
        <f t="shared" ca="1" si="22"/>
        <v>-1</v>
      </c>
      <c r="S485" s="154">
        <f t="shared" ca="1" si="28"/>
        <v>11</v>
      </c>
      <c r="T485" s="154">
        <f t="shared" ca="1" si="23"/>
        <v>2</v>
      </c>
      <c r="U485" s="16" t="str">
        <f t="shared" ca="1" si="24"/>
        <v>Fine</v>
      </c>
      <c r="V485" s="155">
        <f ca="1">IFERROR(__xludf.DUMMYFUNCTION("if(W485=""Middle Age"",QUERY(NPCVar!$K$2:$N1000, ""Select L where K = '""&amp;AB485&amp;""'""),if(W485=""Old"",QUERY(NPCVar!$K$2:$N1000, ""Select M where K = '""&amp;AB485&amp;""'""),if(W485=""Venerable"",QUERY(NPCVar!$K$2:$N1000, ""Select N where K = '""&amp;AB485&amp;""'""),fa"&amp;"lse)))*X485"),24)</f>
        <v>24</v>
      </c>
      <c r="W485" s="156" t="str">
        <f t="array" ref="W485">INDEX(NPCAgeType,TRUNC(1+(4-1)*(TRUNC(MOD((X485*1103515245 +12345)/ 65536, 32768),0)/32768),0))</f>
        <v>Middle Age</v>
      </c>
      <c r="X485" s="117">
        <f t="shared" si="29"/>
        <v>0.3</v>
      </c>
      <c r="Y485" s="157" t="e">
        <f t="array" aca="1" ref="Y485" ca="1">LOOKUP(ABS(MAX(Z485 + MIN(ABS(INDIRECT("Class Jobs!B"&amp;MATCH(E485,'Class Jobs'!$A$1:$A1000,0)&amp;":"&amp;"AF"&amp;MATCH(E485,'Class Jobs'!$A$1:$A1000,0)&amp;"")-$Z485)) * SUM(IF(MIN(ABS(INDIRECT("Class Jobs!B"&amp;MATCH(E485,'Class Jobs'!$A$1:$A1000,0)&amp;":"&amp;"AF"&amp;MATCH(E485,'Class Jobs'!$A$1:$A1000,0)&amp;"")-$Z485))=ABS(INDIRECT("Class Jobs!B"&amp;MATCH(E485,'Class Jobs'!$A$1:$A1000,0)&amp;":"&amp;"AF"&amp;MATCH(E485,'Class Jobs'!$A$1:$A1000,0)&amp;"")-$Z485),SIGN(INDIRECT("Class Jobs!B"&amp;MATCH(E485,'Class Jobs'!$A$1:A1000,0)&amp;":"&amp;"AF"&amp;MATCH(E485,'Class Jobs'!$A$1:$A1000,0)&amp;"")-$Z485),0)),0)),INDIRECT("Class Jobs!B"&amp;MATCH(E485,'Class Jobs'!$A$1:$A1000,0)&amp;":"&amp;"AF"&amp;MATCH(E485,'Class Jobs'!$A$1:$A1000,1)&amp;""),'Class Jobs'!$B$1:$AF$1)</f>
        <v>#REF!</v>
      </c>
      <c r="Z485" s="158">
        <f t="shared" si="25"/>
        <v>0.11</v>
      </c>
      <c r="AA485" s="16" t="str">
        <f t="array" ref="AA485">INDEX(NPCGender,TRUNC(1+(COUNTA(NPCGender))*(TRUNC(MOD(($B485*1103515245 +12345)/ 65536, 32768),0)/32768),0))</f>
        <v>Male</v>
      </c>
      <c r="AB485" s="16" t="str">
        <f t="array" ref="AB485">INDEX(NPCRace,TRUNC(1+(COUNTA(NPCRace))*(TRUNC(MOD(($B485*1103515245 +12345)/ 65536, 32768),0)/32768),0))</f>
        <v>Dwarf</v>
      </c>
      <c r="AC485" s="16" t="str">
        <f t="array" ref="AC485">INDEX(NPCAL,TRUNC(1+(COUNTA(NPCAL))*(TRUNC(MOD(($B485*1103515245 +12345)/ 65536, 32768),0)/32768),0))</f>
        <v>CN</v>
      </c>
      <c r="AD485" s="72" t="str">
        <f ca="1">IFERROR(__xludf.DUMMYFUNCTION("if(V485&lt;15,QUERY(NPCVar!C:D,""Select D WHERE C = '""&amp;D485&amp;""'""),if((TRUNC(1+10)*(TRUNC(MOD((ROW(H485)*1103515245 +12345)/ 65536, 32768),0)/32768)/10) &gt; 0.85,INDEX(NPCFaction,TRUNC(1+(counta(NPCFaction)-1)*(TRUNC(MOD(($B485*1103515245 +12345)/ 65536, 3276"&amp;"8),0)/32768),0)),QUERY(NPCVar!C:D,""Select D WHERE C = '""&amp;D485&amp;""'"")))"),"Death Guild")</f>
        <v>Death Guild</v>
      </c>
      <c r="AE485" s="108" t="e">
        <f t="shared" ca="1" si="26"/>
        <v>#NAME?</v>
      </c>
      <c r="AF485" s="159">
        <f ca="1">IFERROR(__xludf.DUMMYFUNCTION("AE485*(V485 / QUERY(NPCVar!$K$2:$N$12, ""Select N WHERE K='""&amp;AB485&amp;""'""))*TRUNC(1+10)*(TRUNC(MOD(($B485*1103515245 +12345)/ 65536, 32768),0)/32768)"),0.0352276611328125)</f>
        <v>3.5227661132812498E-2</v>
      </c>
      <c r="AG485" s="16"/>
      <c r="AH485" s="77"/>
      <c r="AI485" s="114"/>
    </row>
    <row r="486" spans="1:35" ht="16.2">
      <c r="A486" s="53">
        <v>485</v>
      </c>
      <c r="B486" s="118">
        <f t="shared" si="32"/>
        <v>1.14784</v>
      </c>
      <c r="C486" s="72" t="str">
        <f t="array" ref="C486">INDEX(NPCFName,TRUNC(1+(COUNTA(NPCFName))*(TRUNC(MOD(($B486*1103515245 +12345)/ 65536, 32768),0)/32768),0))</f>
        <v>Samot</v>
      </c>
      <c r="D486" s="16" t="str">
        <f t="array" ref="D486">INDEX(NPCLName,TRUNC(1+(COUNTA(NPCLName))*(TRUNC(MOD(($B486*1103515245 +12345)/ 65536, 32768),0)/32768),0))</f>
        <v>Chestaxe</v>
      </c>
      <c r="E486" s="16" t="str">
        <f t="array" ref="E486">INDEX(NPCClass,TRUNC(1+(COUNTA(NPCClass))*(TRUNC(MOD(($B486*1103515245 +12345)/ 65536, 32768),0)/32768),0))</f>
        <v>Warlock</v>
      </c>
      <c r="F486" s="76">
        <v>8</v>
      </c>
      <c r="G486" s="153">
        <f ca="1">VLOOKUP($AB$2,'RF Mod'!$A$2:$G$12,2,FALSE)+VLOOKUP($AD$2,'RF Mod'!$I$2:$O$11,2,FALSE)+(TRUNC(6+(24-6)*(TRUNC(MOD(($Z486*1103515245 +12345)/ 65536, 32768),0)/32768),0))</f>
        <v>9</v>
      </c>
      <c r="H486" s="16">
        <f t="shared" ca="1" si="17"/>
        <v>-1</v>
      </c>
      <c r="I486" s="153">
        <f ca="1">VLOOKUP($AB$2,'RF Mod'!$A$2:$G$12,3,FALSE)+VLOOKUP($AD$2,'RF Mod'!$I$2:$O$11,3,FALSE)+(TRUNC(6+(24-6)*(TRUNC(MOD(($Z486*1103515245 +12345)/ 65536, 32768),0)/32768),0))</f>
        <v>13</v>
      </c>
      <c r="J486" s="16" t="e">
        <f t="shared" ca="1" si="18"/>
        <v>#NAME?</v>
      </c>
      <c r="K486" s="153">
        <f ca="1">VLOOKUP($AB$2,'RF Mod'!$A$2:$G$12,3,FALSE)+VLOOKUP($AD$2,'RF Mod'!$I$2:$O$11,3,FALSE)+(TRUNC(6+(24-6)*(TRUNC(MOD(($Z486*1103515245 +12345)/ 65536, 32768),0)/32768),0))</f>
        <v>13</v>
      </c>
      <c r="L486" s="16" t="e">
        <f t="shared" ca="1" si="19"/>
        <v>#NAME?</v>
      </c>
      <c r="M486" s="153">
        <f ca="1">VLOOKUP($AB$2,'RF Mod'!$A$2:$G$12,4,FALSE)+VLOOKUP($AD$2,'RF Mod'!$I$2:$O$11,4,FALSE)+(TRUNC(6+(24-6)*(TRUNC(MOD(($Z486*1103515245 +12345)/ 65536, 32768),0)/32768),0))</f>
        <v>12</v>
      </c>
      <c r="N486" s="16" t="e">
        <f t="shared" ca="1" si="20"/>
        <v>#NAME?</v>
      </c>
      <c r="O486" s="153">
        <f ca="1">VLOOKUP($AB$2,'RF Mod'!$A$2:$G$12,5,FALSE)+VLOOKUP($AD$2,'RF Mod'!$I$2:$O$11,5,FALSE)+(TRUNC(6+(24-6)*(TRUNC(MOD(($Z486*1103515245 +12345)/ 65536, 32768),0)/32768),0))</f>
        <v>15</v>
      </c>
      <c r="P486" s="16" t="e">
        <f t="shared" ca="1" si="21"/>
        <v>#NAME?</v>
      </c>
      <c r="Q486" s="153">
        <f ca="1">VLOOKUP($AB$2,'RF Mod'!$A$2:$G$12,6,FALSE)+VLOOKUP($AD$2,'RF Mod'!$I$2:$O$11,6,FALSE)+(TRUNC(6+(24-6)*(TRUNC(MOD(($Z486*1103515245 +12345)/ 65536, 32768),0)/32768),0))</f>
        <v>13</v>
      </c>
      <c r="R486" s="16" t="e">
        <f t="shared" ca="1" si="22"/>
        <v>#NAME?</v>
      </c>
      <c r="S486" s="154">
        <f t="shared" ca="1" si="28"/>
        <v>120</v>
      </c>
      <c r="T486" s="154">
        <f t="shared" ca="1" si="23"/>
        <v>49</v>
      </c>
      <c r="U486" s="16" t="str">
        <f t="shared" ca="1" si="24"/>
        <v>Fine</v>
      </c>
      <c r="V486" s="155">
        <f ca="1">IFERROR(__xludf.DUMMYFUNCTION("if(W486=""Middle Age"",QUERY(NPCVar!$K$2:$N1000, ""Select L where K = '""&amp;AB486&amp;""'""),if(W486=""Old"",QUERY(NPCVar!$K$2:$N1000, ""Select M where K = '""&amp;AB486&amp;""'""),if(W486=""Venerable"",QUERY(NPCVar!$K$2:$N1000, ""Select N where K = '""&amp;AB486&amp;""'""),fa"&amp;"lse)))*X486"),300)</f>
        <v>300</v>
      </c>
      <c r="W486" s="156" t="str">
        <f t="array" ref="W486">INDEX(NPCAgeType,TRUNC(1+(4-1)*(TRUNC(MOD((X486*1103515245 +12345)/ 65536, 32768),0)/32768),0))</f>
        <v>Venerable</v>
      </c>
      <c r="X486" s="117">
        <f t="shared" si="29"/>
        <v>1.5</v>
      </c>
      <c r="Y486" s="157" t="e">
        <f t="array" aca="1" ref="Y486" ca="1">LOOKUP(ABS(MAX(Z486 + MIN(ABS(INDIRECT("Class Jobs!B"&amp;MATCH(E486,'Class Jobs'!$A$1:$A1000,0)&amp;":"&amp;"AF"&amp;MATCH(E486,'Class Jobs'!$A$1:$A1000,0)&amp;"")-$Z486)) * SUM(IF(MIN(ABS(INDIRECT("Class Jobs!B"&amp;MATCH(E486,'Class Jobs'!$A$1:$A1000,0)&amp;":"&amp;"AF"&amp;MATCH(E486,'Class Jobs'!$A$1:$A1000,0)&amp;"")-$Z486))=ABS(INDIRECT("Class Jobs!B"&amp;MATCH(E486,'Class Jobs'!$A$1:$A1000,0)&amp;":"&amp;"AF"&amp;MATCH(E486,'Class Jobs'!$A$1:$A1000,0)&amp;"")-$Z486),SIGN(INDIRECT("Class Jobs!B"&amp;MATCH(E486,'Class Jobs'!$A$1:A1000,0)&amp;":"&amp;"AF"&amp;MATCH(E486,'Class Jobs'!$A$1:$A1000,0)&amp;"")-$Z486),0)),0)),INDIRECT("Class Jobs!B"&amp;MATCH(E486,'Class Jobs'!$A$1:$A1000,0)&amp;":"&amp;"AF"&amp;MATCH(E486,'Class Jobs'!$A$1:$A1000,1)&amp;""),'Class Jobs'!$B$1:$AF$1)</f>
        <v>#REF!</v>
      </c>
      <c r="Z486" s="158">
        <f t="shared" si="25"/>
        <v>0.59</v>
      </c>
      <c r="AA486" s="16" t="str">
        <f t="array" ref="AA486">INDEX(NPCGender,TRUNC(1+(COUNTA(NPCGender))*(TRUNC(MOD(($B486*1103515245 +12345)/ 65536, 32768),0)/32768),0))</f>
        <v>Female</v>
      </c>
      <c r="AB486" s="16" t="str">
        <f t="array" ref="AB486">INDEX(NPCRace,TRUNC(1+(COUNTA(NPCRace))*(TRUNC(MOD(($B486*1103515245 +12345)/ 65536, 32768),0)/32768),0))</f>
        <v>Halfling</v>
      </c>
      <c r="AC486" s="16" t="str">
        <f t="array" ref="AC486">INDEX(NPCAL,TRUNC(1+(COUNTA(NPCAL))*(TRUNC(MOD(($B486*1103515245 +12345)/ 65536, 32768),0)/32768),0))</f>
        <v>NE</v>
      </c>
      <c r="AD486" s="72" t="str">
        <f ca="1">IFERROR(__xludf.DUMMYFUNCTION("if(V486&lt;15,QUERY(NPCVar!C:D,""Select D WHERE C = '""&amp;D486&amp;""'""),if((TRUNC(1+10)*(TRUNC(MOD((ROW(H486)*1103515245 +12345)/ 65536, 32768),0)/32768)/10) &gt; 0.85,INDEX(NPCFaction,TRUNC(1+(counta(NPCFaction)-1)*(TRUNC(MOD(($B486*1103515245 +12345)/ 65536, 3276"&amp;"8),0)/32768),0)),QUERY(NPCVar!C:D,""Select D WHERE C = '""&amp;D486&amp;""'"")))"),"Farmers Guild")</f>
        <v>Farmers Guild</v>
      </c>
      <c r="AE486" s="108" t="e">
        <f t="shared" ca="1" si="26"/>
        <v>#NAME?</v>
      </c>
      <c r="AF486" s="159">
        <f ca="1">IFERROR(__xludf.DUMMYFUNCTION("AE486*(V486 / QUERY(NPCVar!$K$2:$N$12, ""Select N WHERE K='""&amp;AB486&amp;""'""))*TRUNC(1+10)*(TRUNC(MOD(($B486*1103515245 +12345)/ 65536, 32768),0)/32768)"),3.89276733398437)</f>
        <v>3.89276733398437</v>
      </c>
      <c r="AG486" s="16"/>
      <c r="AH486" s="77"/>
      <c r="AI486" s="114"/>
    </row>
    <row r="487" spans="1:35" ht="16.2">
      <c r="A487" s="53">
        <v>486</v>
      </c>
      <c r="B487" s="118">
        <f t="shared" si="32"/>
        <v>0.14199000000000001</v>
      </c>
      <c r="C487" s="72" t="str">
        <f t="array" ref="C487">INDEX(NPCFName,TRUNC(1+(COUNTA(NPCFName))*(TRUNC(MOD(($B487*1103515245 +12345)/ 65536, 32768),0)/32768),0))</f>
        <v>Derik</v>
      </c>
      <c r="D487" s="16" t="str">
        <f t="array" ref="D487">INDEX(NPCLName,TRUNC(1+(COUNTA(NPCLName))*(TRUNC(MOD(($B487*1103515245 +12345)/ 65536, 32768),0)/32768),0))</f>
        <v>Autumnorb</v>
      </c>
      <c r="E487" s="16" t="str">
        <f t="array" ref="E487">INDEX(NPCClass,TRUNC(1+(COUNTA(NPCClass))*(TRUNC(MOD(($B487*1103515245 +12345)/ 65536, 32768),0)/32768),0))</f>
        <v>Barbarian</v>
      </c>
      <c r="F487" s="76">
        <v>1</v>
      </c>
      <c r="G487" s="153">
        <f ca="1">VLOOKUP($AB$2,'RF Mod'!$A$2:$G$12,2,FALSE)+VLOOKUP($AD$2,'RF Mod'!$I$2:$O$11,2,FALSE)+(TRUNC(6+(24-6)*(TRUNC(MOD(($Z487*1103515245 +12345)/ 65536, 32768),0)/32768),0))</f>
        <v>4</v>
      </c>
      <c r="H487" s="16">
        <f t="shared" ca="1" si="17"/>
        <v>-3</v>
      </c>
      <c r="I487" s="153">
        <f ca="1">VLOOKUP($AB$2,'RF Mod'!$A$2:$G$12,3,FALSE)+VLOOKUP($AD$2,'RF Mod'!$I$2:$O$11,3,FALSE)+(TRUNC(6+(24-6)*(TRUNC(MOD(($Z487*1103515245 +12345)/ 65536, 32768),0)/32768),0))</f>
        <v>8</v>
      </c>
      <c r="J487" s="16">
        <f t="shared" ca="1" si="18"/>
        <v>-1</v>
      </c>
      <c r="K487" s="153">
        <f ca="1">VLOOKUP($AB$2,'RF Mod'!$A$2:$G$12,3,FALSE)+VLOOKUP($AD$2,'RF Mod'!$I$2:$O$11,3,FALSE)+(TRUNC(6+(24-6)*(TRUNC(MOD(($Z487*1103515245 +12345)/ 65536, 32768),0)/32768),0))</f>
        <v>8</v>
      </c>
      <c r="L487" s="16">
        <f t="shared" ca="1" si="19"/>
        <v>-1</v>
      </c>
      <c r="M487" s="153">
        <f ca="1">VLOOKUP($AB$2,'RF Mod'!$A$2:$G$12,4,FALSE)+VLOOKUP($AD$2,'RF Mod'!$I$2:$O$11,4,FALSE)+(TRUNC(6+(24-6)*(TRUNC(MOD(($Z487*1103515245 +12345)/ 65536, 32768),0)/32768),0))</f>
        <v>7</v>
      </c>
      <c r="N487" s="16">
        <f t="shared" ca="1" si="20"/>
        <v>-2</v>
      </c>
      <c r="O487" s="153">
        <f ca="1">VLOOKUP($AB$2,'RF Mod'!$A$2:$G$12,5,FALSE)+VLOOKUP($AD$2,'RF Mod'!$I$2:$O$11,5,FALSE)+(TRUNC(6+(24-6)*(TRUNC(MOD(($Z487*1103515245 +12345)/ 65536, 32768),0)/32768),0))</f>
        <v>10</v>
      </c>
      <c r="P487" s="16" t="e">
        <f t="shared" ca="1" si="21"/>
        <v>#NAME?</v>
      </c>
      <c r="Q487" s="153">
        <f ca="1">VLOOKUP($AB$2,'RF Mod'!$A$2:$G$12,6,FALSE)+VLOOKUP($AD$2,'RF Mod'!$I$2:$O$11,6,FALSE)+(TRUNC(6+(24-6)*(TRUNC(MOD(($Z487*1103515245 +12345)/ 65536, 32768),0)/32768),0))</f>
        <v>8</v>
      </c>
      <c r="R487" s="16">
        <f t="shared" ca="1" si="22"/>
        <v>-1</v>
      </c>
      <c r="S487" s="154">
        <f t="shared" ca="1" si="28"/>
        <v>10</v>
      </c>
      <c r="T487" s="154">
        <f t="shared" ca="1" si="23"/>
        <v>8</v>
      </c>
      <c r="U487" s="16" t="str">
        <f t="shared" ca="1" si="24"/>
        <v>Bloody</v>
      </c>
      <c r="V487" s="155">
        <f ca="1">IFERROR(__xludf.DUMMYFUNCTION("if(W487=""Middle Age"",QUERY(NPCVar!$K$2:$N1000, ""Select L where K = '""&amp;AB487&amp;""'""),if(W487=""Old"",QUERY(NPCVar!$K$2:$N1000, ""Select M where K = '""&amp;AB487&amp;""'""),if(W487=""Venerable"",QUERY(NPCVar!$K$2:$N1000, ""Select N where K = '""&amp;AB487&amp;""'""),fa"&amp;"lse)))*X487"),4)</f>
        <v>4</v>
      </c>
      <c r="W487" s="156" t="str">
        <f t="array" ref="W487">INDEX(NPCAgeType,TRUNC(1+(4-1)*(TRUNC(MOD((X487*1103515245 +12345)/ 65536, 32768),0)/32768),0))</f>
        <v>Middle Age</v>
      </c>
      <c r="X487" s="117">
        <f t="shared" si="29"/>
        <v>0.2</v>
      </c>
      <c r="Y487" s="157" t="e">
        <f t="array" aca="1" ref="Y487" ca="1">LOOKUP(ABS(MAX(Z487 + MIN(ABS(INDIRECT("Class Jobs!B"&amp;MATCH(E487,'Class Jobs'!$A$1:$A1000,0)&amp;":"&amp;"AF"&amp;MATCH(E487,'Class Jobs'!$A$1:$A1000,0)&amp;"")-$Z487)) * SUM(IF(MIN(ABS(INDIRECT("Class Jobs!B"&amp;MATCH(E487,'Class Jobs'!$A$1:$A1000,0)&amp;":"&amp;"AF"&amp;MATCH(E487,'Class Jobs'!$A$1:$A1000,0)&amp;"")-$Z487))=ABS(INDIRECT("Class Jobs!B"&amp;MATCH(E487,'Class Jobs'!$A$1:$A1000,0)&amp;":"&amp;"AF"&amp;MATCH(E487,'Class Jobs'!$A$1:$A1000,0)&amp;"")-$Z487),SIGN(INDIRECT("Class Jobs!B"&amp;MATCH(E487,'Class Jobs'!$A$1:A1000,0)&amp;":"&amp;"AF"&amp;MATCH(E487,'Class Jobs'!$A$1:$A1000,0)&amp;"")-$Z487),0)),0)),INDIRECT("Class Jobs!B"&amp;MATCH(E487,'Class Jobs'!$A$1:$A1000,0)&amp;":"&amp;"AF"&amp;MATCH(E487,'Class Jobs'!$A$1:$A1000,1)&amp;""),'Class Jobs'!$B$1:$AF$1)</f>
        <v>#REF!</v>
      </c>
      <c r="Z487" s="158">
        <f t="shared" si="25"/>
        <v>0.08</v>
      </c>
      <c r="AA487" s="16" t="str">
        <f t="array" ref="AA487">INDEX(NPCGender,TRUNC(1+(COUNTA(NPCGender))*(TRUNC(MOD(($B487*1103515245 +12345)/ 65536, 32768),0)/32768),0))</f>
        <v>Male</v>
      </c>
      <c r="AB487" s="16" t="str">
        <f t="array" ref="AB487">INDEX(NPCRace,TRUNC(1+(COUNTA(NPCRace))*(TRUNC(MOD(($B487*1103515245 +12345)/ 65536, 32768),0)/32768),0))</f>
        <v>Dragonborn</v>
      </c>
      <c r="AC487" s="16" t="str">
        <f t="array" ref="AC487">INDEX(NPCAL,TRUNC(1+(COUNTA(NPCAL))*(TRUNC(MOD(($B487*1103515245 +12345)/ 65536, 32768),0)/32768),0))</f>
        <v>CN</v>
      </c>
      <c r="AD487" s="72" t="str">
        <f ca="1">IFERROR(__xludf.DUMMYFUNCTION("if(V487&lt;15,QUERY(NPCVar!C:D,""Select D WHERE C = '""&amp;D487&amp;""'""),if((TRUNC(1+10)*(TRUNC(MOD((ROW(H487)*1103515245 +12345)/ 65536, 32768),0)/32768)/10) &gt; 0.85,INDEX(NPCFaction,TRUNC(1+(counta(NPCFaction)-1)*(TRUNC(MOD(($B487*1103515245 +12345)/ 65536, 3276"&amp;"8),0)/32768),0)),QUERY(NPCVar!C:D,""Select D WHERE C = '""&amp;D487&amp;""'"")))"),"Royalty")</f>
        <v>Royalty</v>
      </c>
      <c r="AE487" s="108" t="e">
        <f t="shared" ca="1" si="26"/>
        <v>#NAME?</v>
      </c>
      <c r="AF487" s="159">
        <f ca="1">IFERROR(__xludf.DUMMYFUNCTION("AE487*(V487 / QUERY(NPCVar!$K$2:$N$12, ""Select N WHERE K='""&amp;AB487&amp;""'""))*TRUNC(1+10)*(TRUNC(MOD(($B487*1103515245 +12345)/ 65536, 32768),0)/32768)"),0.0160528564453125)</f>
        <v>1.6052856445312499E-2</v>
      </c>
      <c r="AG487" s="16"/>
      <c r="AH487" s="77"/>
      <c r="AI487" s="114"/>
    </row>
    <row r="488" spans="1:35" ht="16.2">
      <c r="A488" s="53">
        <v>487</v>
      </c>
      <c r="B488" s="118">
        <f t="shared" si="32"/>
        <v>1.63612</v>
      </c>
      <c r="C488" s="72" t="str">
        <f t="array" ref="C488">INDEX(NPCFName,TRUNC(1+(COUNTA(NPCFName))*(TRUNC(MOD(($B488*1103515245 +12345)/ 65536, 32768),0)/32768),0))</f>
        <v>Lin</v>
      </c>
      <c r="D488" s="16" t="str">
        <f t="array" ref="D488">INDEX(NPCLName,TRUNC(1+(COUNTA(NPCLName))*(TRUNC(MOD(($B488*1103515245 +12345)/ 65536, 32768),0)/32768),0))</f>
        <v>Springgust</v>
      </c>
      <c r="E488" s="16" t="str">
        <f t="array" ref="E488">INDEX(NPCClass,TRUNC(1+(COUNTA(NPCClass))*(TRUNC(MOD(($B488*1103515245 +12345)/ 65536, 32768),0)/32768),0))</f>
        <v>Fighter</v>
      </c>
      <c r="F488" s="76">
        <v>8</v>
      </c>
      <c r="G488" s="153">
        <f ca="1">VLOOKUP($AB$2,'RF Mod'!$A$2:$G$12,2,FALSE)+VLOOKUP($AD$2,'RF Mod'!$I$2:$O$11,2,FALSE)+(TRUNC(6+(24-6)*(TRUNC(MOD(($Z488*1103515245 +12345)/ 65536, 32768),0)/32768),0))</f>
        <v>11</v>
      </c>
      <c r="H488" s="16" t="e">
        <f t="shared" ca="1" si="17"/>
        <v>#NAME?</v>
      </c>
      <c r="I488" s="153">
        <f ca="1">VLOOKUP($AB$2,'RF Mod'!$A$2:$G$12,3,FALSE)+VLOOKUP($AD$2,'RF Mod'!$I$2:$O$11,3,FALSE)+(TRUNC(6+(24-6)*(TRUNC(MOD(($Z488*1103515245 +12345)/ 65536, 32768),0)/32768),0))</f>
        <v>15</v>
      </c>
      <c r="J488" s="16" t="e">
        <f t="shared" ca="1" si="18"/>
        <v>#NAME?</v>
      </c>
      <c r="K488" s="153">
        <f ca="1">VLOOKUP($AB$2,'RF Mod'!$A$2:$G$12,3,FALSE)+VLOOKUP($AD$2,'RF Mod'!$I$2:$O$11,3,FALSE)+(TRUNC(6+(24-6)*(TRUNC(MOD(($Z488*1103515245 +12345)/ 65536, 32768),0)/32768),0))</f>
        <v>15</v>
      </c>
      <c r="L488" s="16" t="e">
        <f t="shared" ca="1" si="19"/>
        <v>#NAME?</v>
      </c>
      <c r="M488" s="153">
        <f ca="1">VLOOKUP($AB$2,'RF Mod'!$A$2:$G$12,4,FALSE)+VLOOKUP($AD$2,'RF Mod'!$I$2:$O$11,4,FALSE)+(TRUNC(6+(24-6)*(TRUNC(MOD(($Z488*1103515245 +12345)/ 65536, 32768),0)/32768),0))</f>
        <v>14</v>
      </c>
      <c r="N488" s="16" t="e">
        <f t="shared" ca="1" si="20"/>
        <v>#NAME?</v>
      </c>
      <c r="O488" s="153">
        <f ca="1">VLOOKUP($AB$2,'RF Mod'!$A$2:$G$12,5,FALSE)+VLOOKUP($AD$2,'RF Mod'!$I$2:$O$11,5,FALSE)+(TRUNC(6+(24-6)*(TRUNC(MOD(($Z488*1103515245 +12345)/ 65536, 32768),0)/32768),0))</f>
        <v>17</v>
      </c>
      <c r="P488" s="16" t="e">
        <f t="shared" ca="1" si="21"/>
        <v>#NAME?</v>
      </c>
      <c r="Q488" s="153">
        <f ca="1">VLOOKUP($AB$2,'RF Mod'!$A$2:$G$12,6,FALSE)+VLOOKUP($AD$2,'RF Mod'!$I$2:$O$11,6,FALSE)+(TRUNC(6+(24-6)*(TRUNC(MOD(($Z488*1103515245 +12345)/ 65536, 32768),0)/32768),0))</f>
        <v>15</v>
      </c>
      <c r="R488" s="16" t="e">
        <f t="shared" ca="1" si="22"/>
        <v>#NAME?</v>
      </c>
      <c r="S488" s="154">
        <f t="shared" ca="1" si="28"/>
        <v>264</v>
      </c>
      <c r="T488" s="154">
        <f t="shared" ca="1" si="23"/>
        <v>172</v>
      </c>
      <c r="U488" s="16" t="str">
        <f t="shared" ca="1" si="24"/>
        <v>Bloody</v>
      </c>
      <c r="V488" s="155">
        <f ca="1">IFERROR(__xludf.DUMMYFUNCTION("if(W488=""Middle Age"",QUERY(NPCVar!$K$2:$N1000, ""Select L where K = '""&amp;AB488&amp;""'""),if(W488=""Old"",QUERY(NPCVar!$K$2:$N1000, ""Select M where K = '""&amp;AB488&amp;""'""),if(W488=""Venerable"",QUERY(NPCVar!$K$2:$N1000, ""Select N where K = '""&amp;AB488&amp;""'""),fa"&amp;"lse)))*X488"),57.75)</f>
        <v>57.75</v>
      </c>
      <c r="W488" s="156" t="str">
        <f t="array" ref="W488">INDEX(NPCAgeType,TRUNC(1+(4-1)*(TRUNC(MOD((X488*1103515245 +12345)/ 65536, 32768),0)/32768),0))</f>
        <v>Middle Age</v>
      </c>
      <c r="X488" s="117">
        <f t="shared" si="29"/>
        <v>2.1</v>
      </c>
      <c r="Y488" s="157" t="e">
        <f t="array" aca="1" ref="Y488" ca="1">LOOKUP(ABS(MAX(Z488 + MIN(ABS(INDIRECT("Class Jobs!B"&amp;MATCH(E488,'Class Jobs'!$A$1:$A1000,0)&amp;":"&amp;"AF"&amp;MATCH(E488,'Class Jobs'!$A$1:$A1000,0)&amp;"")-$Z488)) * SUM(IF(MIN(ABS(INDIRECT("Class Jobs!B"&amp;MATCH(E488,'Class Jobs'!$A$1:$A1000,0)&amp;":"&amp;"AF"&amp;MATCH(E488,'Class Jobs'!$A$1:$A1000,0)&amp;"")-$Z488))=ABS(INDIRECT("Class Jobs!B"&amp;MATCH(E488,'Class Jobs'!$A$1:$A1000,0)&amp;":"&amp;"AF"&amp;MATCH(E488,'Class Jobs'!$A$1:$A1000,0)&amp;"")-$Z488),SIGN(INDIRECT("Class Jobs!B"&amp;MATCH(E488,'Class Jobs'!$A$1:A1000,0)&amp;":"&amp;"AF"&amp;MATCH(E488,'Class Jobs'!$A$1:$A1000,0)&amp;"")-$Z488),0)),0)),INDIRECT("Class Jobs!B"&amp;MATCH(E488,'Class Jobs'!$A$1:$A1000,0)&amp;":"&amp;"AF"&amp;MATCH(E488,'Class Jobs'!$A$1:$A1000,1)&amp;""),'Class Jobs'!$B$1:$AF$1)</f>
        <v>#REF!</v>
      </c>
      <c r="Z488" s="158">
        <f t="shared" si="25"/>
        <v>0.84</v>
      </c>
      <c r="AA488" s="16" t="str">
        <f t="array" ref="AA488">INDEX(NPCGender,TRUNC(1+(COUNTA(NPCGender))*(TRUNC(MOD(($B488*1103515245 +12345)/ 65536, 32768),0)/32768),0))</f>
        <v>Neutral</v>
      </c>
      <c r="AB488" s="16" t="str">
        <f t="array" ref="AB488">INDEX(NPCRace,TRUNC(1+(COUNTA(NPCRace))*(TRUNC(MOD(($B488*1103515245 +12345)/ 65536, 32768),0)/32768),0))</f>
        <v>Genasi</v>
      </c>
      <c r="AC488" s="16" t="str">
        <f t="array" ref="AC488">INDEX(NPCAL,TRUNC(1+(COUNTA(NPCAL))*(TRUNC(MOD(($B488*1103515245 +12345)/ 65536, 32768),0)/32768),0))</f>
        <v>LN</v>
      </c>
      <c r="AD488" s="72" t="str">
        <f ca="1">IFERROR(__xludf.DUMMYFUNCTION("if(V488&lt;15,QUERY(NPCVar!C:D,""Select D WHERE C = '""&amp;D488&amp;""'""),if((TRUNC(1+10)*(TRUNC(MOD((ROW(H488)*1103515245 +12345)/ 65536, 32768),0)/32768)/10) &gt; 0.85,INDEX(NPCFaction,TRUNC(1+(counta(NPCFaction)-1)*(TRUNC(MOD(($B488*1103515245 +12345)/ 65536, 3276"&amp;"8),0)/32768),0)),QUERY(NPCVar!C:D,""Select D WHERE C = '""&amp;D488&amp;""'"")))"),"Traverlers Guild")</f>
        <v>Traverlers Guild</v>
      </c>
      <c r="AE488" s="108" t="e">
        <f t="shared" ca="1" si="26"/>
        <v>#NAME?</v>
      </c>
      <c r="AF488" s="159">
        <f ca="1">IFERROR(__xludf.DUMMYFUNCTION("AE488*(V488 / QUERY(NPCVar!$K$2:$N$12, ""Select N WHERE K='""&amp;AB488&amp;""'""))*TRUNC(1+10)*(TRUNC(MOD(($B488*1103515245 +12345)/ 65536, 32768),0)/32768)"),1.94208343505859)</f>
        <v>1.94208343505859</v>
      </c>
      <c r="AG488" s="16"/>
      <c r="AH488" s="77"/>
      <c r="AI488" s="114"/>
    </row>
    <row r="489" spans="1:35" ht="16.2">
      <c r="A489" s="53">
        <v>488</v>
      </c>
      <c r="B489" s="118">
        <f t="shared" si="32"/>
        <v>0.63027</v>
      </c>
      <c r="C489" s="72" t="str">
        <f t="array" ref="C489">INDEX(NPCFName,TRUNC(1+(COUNTA(NPCFName))*(TRUNC(MOD(($B489*1103515245 +12345)/ 65536, 32768),0)/32768),0))</f>
        <v>Yesirn</v>
      </c>
      <c r="D489" s="16" t="str">
        <f t="array" ref="D489">INDEX(NPCLName,TRUNC(1+(COUNTA(NPCLName))*(TRUNC(MOD(($B489*1103515245 +12345)/ 65536, 32768),0)/32768),0))</f>
        <v>Stormdew</v>
      </c>
      <c r="E489" s="16" t="str">
        <f t="array" ref="E489">INDEX(NPCClass,TRUNC(1+(COUNTA(NPCClass))*(TRUNC(MOD(($B489*1103515245 +12345)/ 65536, 32768),0)/32768),0))</f>
        <v>Monk</v>
      </c>
      <c r="F489" s="76">
        <v>1</v>
      </c>
      <c r="G489" s="153">
        <f ca="1">VLOOKUP($AB$2,'RF Mod'!$A$2:$G$12,2,FALSE)+VLOOKUP($AD$2,'RF Mod'!$I$2:$O$11,2,FALSE)+(TRUNC(6+(24-6)*(TRUNC(MOD(($Z489*1103515245 +12345)/ 65536, 32768),0)/32768),0))</f>
        <v>7</v>
      </c>
      <c r="H489" s="16">
        <f t="shared" ca="1" si="17"/>
        <v>-2</v>
      </c>
      <c r="I489" s="153">
        <f ca="1">VLOOKUP($AB$2,'RF Mod'!$A$2:$G$12,3,FALSE)+VLOOKUP($AD$2,'RF Mod'!$I$2:$O$11,3,FALSE)+(TRUNC(6+(24-6)*(TRUNC(MOD(($Z489*1103515245 +12345)/ 65536, 32768),0)/32768),0))</f>
        <v>11</v>
      </c>
      <c r="J489" s="16" t="e">
        <f t="shared" ca="1" si="18"/>
        <v>#NAME?</v>
      </c>
      <c r="K489" s="153">
        <f ca="1">VLOOKUP($AB$2,'RF Mod'!$A$2:$G$12,3,FALSE)+VLOOKUP($AD$2,'RF Mod'!$I$2:$O$11,3,FALSE)+(TRUNC(6+(24-6)*(TRUNC(MOD(($Z489*1103515245 +12345)/ 65536, 32768),0)/32768),0))</f>
        <v>11</v>
      </c>
      <c r="L489" s="16" t="e">
        <f t="shared" ca="1" si="19"/>
        <v>#NAME?</v>
      </c>
      <c r="M489" s="153">
        <f ca="1">VLOOKUP($AB$2,'RF Mod'!$A$2:$G$12,4,FALSE)+VLOOKUP($AD$2,'RF Mod'!$I$2:$O$11,4,FALSE)+(TRUNC(6+(24-6)*(TRUNC(MOD(($Z489*1103515245 +12345)/ 65536, 32768),0)/32768),0))</f>
        <v>10</v>
      </c>
      <c r="N489" s="16" t="e">
        <f t="shared" ca="1" si="20"/>
        <v>#NAME?</v>
      </c>
      <c r="O489" s="153">
        <f ca="1">VLOOKUP($AB$2,'RF Mod'!$A$2:$G$12,5,FALSE)+VLOOKUP($AD$2,'RF Mod'!$I$2:$O$11,5,FALSE)+(TRUNC(6+(24-6)*(TRUNC(MOD(($Z489*1103515245 +12345)/ 65536, 32768),0)/32768),0))</f>
        <v>13</v>
      </c>
      <c r="P489" s="16" t="e">
        <f t="shared" ca="1" si="21"/>
        <v>#NAME?</v>
      </c>
      <c r="Q489" s="153">
        <f ca="1">VLOOKUP($AB$2,'RF Mod'!$A$2:$G$12,6,FALSE)+VLOOKUP($AD$2,'RF Mod'!$I$2:$O$11,6,FALSE)+(TRUNC(6+(24-6)*(TRUNC(MOD(($Z489*1103515245 +12345)/ 65536, 32768),0)/32768),0))</f>
        <v>11</v>
      </c>
      <c r="R489" s="16" t="e">
        <f t="shared" ca="1" si="22"/>
        <v>#NAME?</v>
      </c>
      <c r="S489" s="154">
        <f t="shared" ca="1" si="28"/>
        <v>17</v>
      </c>
      <c r="T489" s="154">
        <f t="shared" ca="1" si="23"/>
        <v>7</v>
      </c>
      <c r="U489" s="16" t="str">
        <f t="shared" ca="1" si="24"/>
        <v>Fine</v>
      </c>
      <c r="V489" s="155">
        <f ca="1">IFERROR(__xludf.DUMMYFUNCTION("if(W489=""Middle Age"",QUERY(NPCVar!$K$2:$N1000, ""Select L where K = '""&amp;AB489&amp;""'""),if(W489=""Old"",QUERY(NPCVar!$K$2:$N1000, ""Select M where K = '""&amp;AB489&amp;""'""),if(W489=""Venerable"",QUERY(NPCVar!$K$2:$N1000, ""Select N where K = '""&amp;AB489&amp;""'""),fa"&amp;"lse)))*X489"),135)</f>
        <v>135</v>
      </c>
      <c r="W489" s="156" t="str">
        <f t="array" ref="W489">INDEX(NPCAgeType,TRUNC(1+(4-1)*(TRUNC(MOD((X489*1103515245 +12345)/ 65536, 32768),0)/32768),0))</f>
        <v>Old</v>
      </c>
      <c r="X489" s="117">
        <f t="shared" si="29"/>
        <v>0.8</v>
      </c>
      <c r="Y489" s="157" t="e">
        <f t="array" aca="1" ref="Y489" ca="1">LOOKUP(ABS(MAX(Z489 + MIN(ABS(INDIRECT("Class Jobs!B"&amp;MATCH(E489,'Class Jobs'!$A$1:$A1000,0)&amp;":"&amp;"AF"&amp;MATCH(E489,'Class Jobs'!$A$1:$A1000,0)&amp;"")-$Z489)) * SUM(IF(MIN(ABS(INDIRECT("Class Jobs!B"&amp;MATCH(E489,'Class Jobs'!$A$1:$A1000,0)&amp;":"&amp;"AF"&amp;MATCH(E489,'Class Jobs'!$A$1:$A1000,0)&amp;"")-$Z489))=ABS(INDIRECT("Class Jobs!B"&amp;MATCH(E489,'Class Jobs'!$A$1:$A1000,0)&amp;":"&amp;"AF"&amp;MATCH(E489,'Class Jobs'!$A$1:$A1000,0)&amp;"")-$Z489),SIGN(INDIRECT("Class Jobs!B"&amp;MATCH(E489,'Class Jobs'!$A$1:A1000,0)&amp;":"&amp;"AF"&amp;MATCH(E489,'Class Jobs'!$A$1:$A1000,0)&amp;"")-$Z489),0)),0)),INDIRECT("Class Jobs!B"&amp;MATCH(E489,'Class Jobs'!$A$1:$A1000,0)&amp;":"&amp;"AF"&amp;MATCH(E489,'Class Jobs'!$A$1:$A1000,1)&amp;""),'Class Jobs'!$B$1:$AF$1)</f>
        <v>#REF!</v>
      </c>
      <c r="Z489" s="158">
        <f t="shared" si="25"/>
        <v>0.33</v>
      </c>
      <c r="AA489" s="16" t="str">
        <f t="array" ref="AA489">INDEX(NPCGender,TRUNC(1+(COUNTA(NPCGender))*(TRUNC(MOD(($B489*1103515245 +12345)/ 65536, 32768),0)/32768),0))</f>
        <v>Male</v>
      </c>
      <c r="AB489" s="16" t="str">
        <f t="array" ref="AB489">INDEX(NPCRace,TRUNC(1+(COUNTA(NPCRace))*(TRUNC(MOD(($B489*1103515245 +12345)/ 65536, 32768),0)/32768),0))</f>
        <v>Gnome</v>
      </c>
      <c r="AC489" s="16" t="str">
        <f t="array" ref="AC489">INDEX(NPCAL,TRUNC(1+(COUNTA(NPCAL))*(TRUNC(MOD(($B489*1103515245 +12345)/ 65536, 32768),0)/32768),0))</f>
        <v>CG</v>
      </c>
      <c r="AD489" s="72" t="str">
        <f ca="1">IFERROR(__xludf.DUMMYFUNCTION("if(V489&lt;15,QUERY(NPCVar!C:D,""Select D WHERE C = '""&amp;D489&amp;""'""),if((TRUNC(1+10)*(TRUNC(MOD((ROW(H489)*1103515245 +12345)/ 65536, 32768),0)/32768)/10) &gt; 0.85,INDEX(NPCFaction,TRUNC(1+(counta(NPCFaction)-1)*(TRUNC(MOD(($B489*1103515245 +12345)/ 65536, 3276"&amp;"8),0)/32768),0)),QUERY(NPCVar!C:D,""Select D WHERE C = '""&amp;D489&amp;""'"")))"),"Magic Guild")</f>
        <v>Magic Guild</v>
      </c>
      <c r="AE489" s="108" t="e">
        <f t="shared" ca="1" si="26"/>
        <v>#NAME?</v>
      </c>
      <c r="AF489" s="159">
        <f ca="1">IFERROR(__xludf.DUMMYFUNCTION("AE489*(V489 / QUERY(NPCVar!$K$2:$N$12, ""Select N WHERE K='""&amp;AB489&amp;""'""))*TRUNC(1+10)*(TRUNC(MOD(($B489*1103515245 +12345)/ 65536, 32768),0)/32768)"),0.64122802734375)</f>
        <v>0.64122802734374995</v>
      </c>
      <c r="AG489" s="16"/>
      <c r="AH489" s="77"/>
      <c r="AI489" s="114"/>
    </row>
    <row r="490" spans="1:35" ht="16.2">
      <c r="A490" s="53">
        <v>489</v>
      </c>
      <c r="B490" s="118">
        <f t="shared" si="32"/>
        <v>2.1244000000000001</v>
      </c>
      <c r="C490" s="72" t="str">
        <f t="array" ref="C490">INDEX(NPCFName,TRUNC(1+(COUNTA(NPCFName))*(TRUNC(MOD(($B490*1103515245 +12345)/ 65536, 32768),0)/32768),0))</f>
        <v>Ekgamut</v>
      </c>
      <c r="D490" s="16" t="str">
        <f t="array" ref="D490">INDEX(NPCLName,TRUNC(1+(COUNTA(NPCLName))*(TRUNC(MOD(($B490*1103515245 +12345)/ 65536, 32768),0)/32768),0))</f>
        <v>Autumnorb</v>
      </c>
      <c r="E490" s="16" t="str">
        <f t="array" ref="E490">INDEX(NPCClass,TRUNC(1+(COUNTA(NPCClass))*(TRUNC(MOD(($B490*1103515245 +12345)/ 65536, 32768),0)/32768),0))</f>
        <v>Bard</v>
      </c>
      <c r="F490" s="76">
        <v>1</v>
      </c>
      <c r="G490" s="153">
        <f ca="1">VLOOKUP($AB$2,'RF Mod'!$A$2:$G$12,2,FALSE)+VLOOKUP($AD$2,'RF Mod'!$I$2:$O$11,2,FALSE)+(TRUNC(6+(24-6)*(TRUNC(MOD(($Z490*1103515245 +12345)/ 65536, 32768),0)/32768),0))</f>
        <v>4</v>
      </c>
      <c r="H490" s="16">
        <f t="shared" ca="1" si="17"/>
        <v>-3</v>
      </c>
      <c r="I490" s="153">
        <f ca="1">VLOOKUP($AB$2,'RF Mod'!$A$2:$G$12,3,FALSE)+VLOOKUP($AD$2,'RF Mod'!$I$2:$O$11,3,FALSE)+(TRUNC(6+(24-6)*(TRUNC(MOD(($Z490*1103515245 +12345)/ 65536, 32768),0)/32768),0))</f>
        <v>8</v>
      </c>
      <c r="J490" s="16">
        <f t="shared" ca="1" si="18"/>
        <v>-1</v>
      </c>
      <c r="K490" s="153">
        <f ca="1">VLOOKUP($AB$2,'RF Mod'!$A$2:$G$12,3,FALSE)+VLOOKUP($AD$2,'RF Mod'!$I$2:$O$11,3,FALSE)+(TRUNC(6+(24-6)*(TRUNC(MOD(($Z490*1103515245 +12345)/ 65536, 32768),0)/32768),0))</f>
        <v>8</v>
      </c>
      <c r="L490" s="16">
        <f t="shared" ca="1" si="19"/>
        <v>-1</v>
      </c>
      <c r="M490" s="153">
        <f ca="1">VLOOKUP($AB$2,'RF Mod'!$A$2:$G$12,4,FALSE)+VLOOKUP($AD$2,'RF Mod'!$I$2:$O$11,4,FALSE)+(TRUNC(6+(24-6)*(TRUNC(MOD(($Z490*1103515245 +12345)/ 65536, 32768),0)/32768),0))</f>
        <v>7</v>
      </c>
      <c r="N490" s="16">
        <f t="shared" ca="1" si="20"/>
        <v>-2</v>
      </c>
      <c r="O490" s="153">
        <f ca="1">VLOOKUP($AB$2,'RF Mod'!$A$2:$G$12,5,FALSE)+VLOOKUP($AD$2,'RF Mod'!$I$2:$O$11,5,FALSE)+(TRUNC(6+(24-6)*(TRUNC(MOD(($Z490*1103515245 +12345)/ 65536, 32768),0)/32768),0))</f>
        <v>10</v>
      </c>
      <c r="P490" s="16" t="e">
        <f t="shared" ca="1" si="21"/>
        <v>#NAME?</v>
      </c>
      <c r="Q490" s="153">
        <f ca="1">VLOOKUP($AB$2,'RF Mod'!$A$2:$G$12,6,FALSE)+VLOOKUP($AD$2,'RF Mod'!$I$2:$O$11,6,FALSE)+(TRUNC(6+(24-6)*(TRUNC(MOD(($Z490*1103515245 +12345)/ 65536, 32768),0)/32768),0))</f>
        <v>8</v>
      </c>
      <c r="R490" s="16">
        <f t="shared" ca="1" si="22"/>
        <v>-1</v>
      </c>
      <c r="S490" s="154">
        <f t="shared" ca="1" si="28"/>
        <v>10</v>
      </c>
      <c r="T490" s="154">
        <f t="shared" ca="1" si="23"/>
        <v>10</v>
      </c>
      <c r="U490" s="16" t="str">
        <f t="shared" ca="1" si="24"/>
        <v>Unconscious</v>
      </c>
      <c r="V490" s="155">
        <f ca="1">IFERROR(__xludf.DUMMYFUNCTION("if(W490=""Middle Age"",QUERY(NPCVar!$K$2:$N1000, ""Select L where K = '""&amp;AB490&amp;""'""),if(W490=""Old"",QUERY(NPCVar!$K$2:$N1000, ""Select M where K = '""&amp;AB490&amp;""'""),if(W490=""Venerable"",QUERY(NPCVar!$K$2:$N1000, ""Select N where K = '""&amp;AB490&amp;""'""),fa"&amp;"lse)))*X490"),24)</f>
        <v>24</v>
      </c>
      <c r="W490" s="156" t="str">
        <f t="array" ref="W490">INDEX(NPCAgeType,TRUNC(1+(4-1)*(TRUNC(MOD((X490*1103515245 +12345)/ 65536, 32768),0)/32768),0))</f>
        <v>Middle Age</v>
      </c>
      <c r="X490" s="117">
        <f t="shared" si="29"/>
        <v>0.3</v>
      </c>
      <c r="Y490" s="157" t="e">
        <f t="array" aca="1" ref="Y490" ca="1">LOOKUP(ABS(MAX(Z490 + MIN(ABS(INDIRECT("Class Jobs!B"&amp;MATCH(E490,'Class Jobs'!$A$1:$A1000,0)&amp;":"&amp;"AF"&amp;MATCH(E490,'Class Jobs'!$A$1:$A1000,0)&amp;"")-$Z490)) * SUM(IF(MIN(ABS(INDIRECT("Class Jobs!B"&amp;MATCH(E490,'Class Jobs'!$A$1:$A1000,0)&amp;":"&amp;"AF"&amp;MATCH(E490,'Class Jobs'!$A$1:$A1000,0)&amp;"")-$Z490))=ABS(INDIRECT("Class Jobs!B"&amp;MATCH(E490,'Class Jobs'!$A$1:$A1000,0)&amp;":"&amp;"AF"&amp;MATCH(E490,'Class Jobs'!$A$1:$A1000,0)&amp;"")-$Z490),SIGN(INDIRECT("Class Jobs!B"&amp;MATCH(E490,'Class Jobs'!$A$1:A1000,0)&amp;":"&amp;"AF"&amp;MATCH(E490,'Class Jobs'!$A$1:$A1000,0)&amp;"")-$Z490),0)),0)),INDIRECT("Class Jobs!B"&amp;MATCH(E490,'Class Jobs'!$A$1:$A1000,0)&amp;":"&amp;"AF"&amp;MATCH(E490,'Class Jobs'!$A$1:$A1000,1)&amp;""),'Class Jobs'!$B$1:$AF$1)</f>
        <v>#REF!</v>
      </c>
      <c r="Z490" s="158">
        <f t="shared" si="25"/>
        <v>0.1</v>
      </c>
      <c r="AA490" s="16" t="str">
        <f t="array" ref="AA490">INDEX(NPCGender,TRUNC(1+(COUNTA(NPCGender))*(TRUNC(MOD(($B490*1103515245 +12345)/ 65536, 32768),0)/32768),0))</f>
        <v>Male</v>
      </c>
      <c r="AB490" s="16" t="str">
        <f t="array" ref="AB490">INDEX(NPCRace,TRUNC(1+(COUNTA(NPCRace))*(TRUNC(MOD(($B490*1103515245 +12345)/ 65536, 32768),0)/32768),0))</f>
        <v>Dwarf</v>
      </c>
      <c r="AC490" s="16" t="str">
        <f t="array" ref="AC490">INDEX(NPCAL,TRUNC(1+(COUNTA(NPCAL))*(TRUNC(MOD(($B490*1103515245 +12345)/ 65536, 32768),0)/32768),0))</f>
        <v>CN</v>
      </c>
      <c r="AD490" s="72" t="str">
        <f ca="1">IFERROR(__xludf.DUMMYFUNCTION("if(V490&lt;15,QUERY(NPCVar!C:D,""Select D WHERE C = '""&amp;D490&amp;""'""),if((TRUNC(1+10)*(TRUNC(MOD((ROW(H490)*1103515245 +12345)/ 65536, 32768),0)/32768)/10) &gt; 0.85,INDEX(NPCFaction,TRUNC(1+(counta(NPCFaction)-1)*(TRUNC(MOD(($B490*1103515245 +12345)/ 65536, 3276"&amp;"8),0)/32768),0)),QUERY(NPCVar!C:D,""Select D WHERE C = '""&amp;D490&amp;""'"")))"),"Royalty")</f>
        <v>Royalty</v>
      </c>
      <c r="AE490" s="108" t="e">
        <f t="shared" ca="1" si="26"/>
        <v>#NAME?</v>
      </c>
      <c r="AF490" s="159">
        <f ca="1">IFERROR(__xludf.DUMMYFUNCTION("AE490*(V490 / QUERY(NPCVar!$K$2:$N$12, ""Select N WHERE K='""&amp;AB490&amp;""'""))*TRUNC(1+10)*(TRUNC(MOD(($B490*1103515245 +12345)/ 65536, 32768),0)/32768)"),0)</f>
        <v>0</v>
      </c>
      <c r="AG490" s="16"/>
      <c r="AH490" s="77"/>
      <c r="AI490" s="114"/>
    </row>
    <row r="491" spans="1:35" ht="16.2">
      <c r="A491" s="53">
        <v>490</v>
      </c>
      <c r="B491" s="118">
        <f t="shared" si="32"/>
        <v>1.1185499999999999</v>
      </c>
      <c r="C491" s="72" t="str">
        <f t="array" ref="C491">INDEX(NPCFName,TRUNC(1+(COUNTA(NPCFName))*(TRUNC(MOD(($B491*1103515245 +12345)/ 65536, 32768),0)/32768),0))</f>
        <v>Rethik</v>
      </c>
      <c r="D491" s="16" t="str">
        <f t="array" ref="D491">INDEX(NPCLName,TRUNC(1+(COUNTA(NPCLName))*(TRUNC(MOD(($B491*1103515245 +12345)/ 65536, 32768),0)/32768),0))</f>
        <v>Chestaxe</v>
      </c>
      <c r="E491" s="16" t="str">
        <f t="array" ref="E491">INDEX(NPCClass,TRUNC(1+(COUNTA(NPCClass))*(TRUNC(MOD(($B491*1103515245 +12345)/ 65536, 32768),0)/32768),0))</f>
        <v>Sorcerer</v>
      </c>
      <c r="F491" s="76">
        <v>6</v>
      </c>
      <c r="G491" s="153">
        <f ca="1">VLOOKUP($AB$2,'RF Mod'!$A$2:$G$12,2,FALSE)+VLOOKUP($AD$2,'RF Mod'!$I$2:$O$11,2,FALSE)+(TRUNC(6+(24-6)*(TRUNC(MOD(($Z491*1103515245 +12345)/ 65536, 32768),0)/32768),0))</f>
        <v>9</v>
      </c>
      <c r="H491" s="16">
        <f t="shared" ca="1" si="17"/>
        <v>-1</v>
      </c>
      <c r="I491" s="153">
        <f ca="1">VLOOKUP($AB$2,'RF Mod'!$A$2:$G$12,3,FALSE)+VLOOKUP($AD$2,'RF Mod'!$I$2:$O$11,3,FALSE)+(TRUNC(6+(24-6)*(TRUNC(MOD(($Z491*1103515245 +12345)/ 65536, 32768),0)/32768),0))</f>
        <v>13</v>
      </c>
      <c r="J491" s="16" t="e">
        <f t="shared" ca="1" si="18"/>
        <v>#NAME?</v>
      </c>
      <c r="K491" s="153">
        <f ca="1">VLOOKUP($AB$2,'RF Mod'!$A$2:$G$12,3,FALSE)+VLOOKUP($AD$2,'RF Mod'!$I$2:$O$11,3,FALSE)+(TRUNC(6+(24-6)*(TRUNC(MOD(($Z491*1103515245 +12345)/ 65536, 32768),0)/32768),0))</f>
        <v>13</v>
      </c>
      <c r="L491" s="16" t="e">
        <f t="shared" ca="1" si="19"/>
        <v>#NAME?</v>
      </c>
      <c r="M491" s="153">
        <f ca="1">VLOOKUP($AB$2,'RF Mod'!$A$2:$G$12,4,FALSE)+VLOOKUP($AD$2,'RF Mod'!$I$2:$O$11,4,FALSE)+(TRUNC(6+(24-6)*(TRUNC(MOD(($Z491*1103515245 +12345)/ 65536, 32768),0)/32768),0))</f>
        <v>12</v>
      </c>
      <c r="N491" s="16" t="e">
        <f t="shared" ca="1" si="20"/>
        <v>#NAME?</v>
      </c>
      <c r="O491" s="153">
        <f ca="1">VLOOKUP($AB$2,'RF Mod'!$A$2:$G$12,5,FALSE)+VLOOKUP($AD$2,'RF Mod'!$I$2:$O$11,5,FALSE)+(TRUNC(6+(24-6)*(TRUNC(MOD(($Z491*1103515245 +12345)/ 65536, 32768),0)/32768),0))</f>
        <v>15</v>
      </c>
      <c r="P491" s="16" t="e">
        <f t="shared" ca="1" si="21"/>
        <v>#NAME?</v>
      </c>
      <c r="Q491" s="153">
        <f ca="1">VLOOKUP($AB$2,'RF Mod'!$A$2:$G$12,6,FALSE)+VLOOKUP($AD$2,'RF Mod'!$I$2:$O$11,6,FALSE)+(TRUNC(6+(24-6)*(TRUNC(MOD(($Z491*1103515245 +12345)/ 65536, 32768),0)/32768),0))</f>
        <v>13</v>
      </c>
      <c r="R491" s="16" t="e">
        <f t="shared" ca="1" si="22"/>
        <v>#NAME?</v>
      </c>
      <c r="S491" s="154">
        <f t="shared" ca="1" si="28"/>
        <v>90</v>
      </c>
      <c r="T491" s="154">
        <f t="shared" ca="1" si="23"/>
        <v>108</v>
      </c>
      <c r="U491" s="16" t="str">
        <f t="shared" ca="1" si="24"/>
        <v>Dead</v>
      </c>
      <c r="V491" s="155">
        <f ca="1">IFERROR(__xludf.DUMMYFUNCTION("if(W491=""Middle Age"",QUERY(NPCVar!$K$2:$N1000, ""Select L where K = '""&amp;AB491&amp;""'""),if(W491=""Old"",QUERY(NPCVar!$K$2:$N1000, ""Select M where K = '""&amp;AB491&amp;""'""),if(W491=""Venerable"",QUERY(NPCVar!$K$2:$N1000, ""Select N where K = '""&amp;AB491&amp;""'""),fa"&amp;"lse)))*X491"),280)</f>
        <v>280</v>
      </c>
      <c r="W491" s="156" t="str">
        <f t="array" ref="W491">INDEX(NPCAgeType,TRUNC(1+(4-1)*(TRUNC(MOD((X491*1103515245 +12345)/ 65536, 32768),0)/32768),0))</f>
        <v>Venerable</v>
      </c>
      <c r="X491" s="117">
        <f t="shared" si="29"/>
        <v>1.4</v>
      </c>
      <c r="Y491" s="157" t="e">
        <f t="array" aca="1" ref="Y491" ca="1">LOOKUP(ABS(MAX(Z491 + MIN(ABS(INDIRECT("Class Jobs!B"&amp;MATCH(E491,'Class Jobs'!$A$1:$A1000,0)&amp;":"&amp;"AF"&amp;MATCH(E491,'Class Jobs'!$A$1:$A1000,0)&amp;"")-$Z491)) * SUM(IF(MIN(ABS(INDIRECT("Class Jobs!B"&amp;MATCH(E491,'Class Jobs'!$A$1:$A1000,0)&amp;":"&amp;"AF"&amp;MATCH(E491,'Class Jobs'!$A$1:$A1000,0)&amp;"")-$Z491))=ABS(INDIRECT("Class Jobs!B"&amp;MATCH(E491,'Class Jobs'!$A$1:$A1000,0)&amp;":"&amp;"AF"&amp;MATCH(E491,'Class Jobs'!$A$1:$A1000,0)&amp;"")-$Z491),SIGN(INDIRECT("Class Jobs!B"&amp;MATCH(E491,'Class Jobs'!$A$1:A1000,0)&amp;":"&amp;"AF"&amp;MATCH(E491,'Class Jobs'!$A$1:$A1000,0)&amp;"")-$Z491),0)),0)),INDIRECT("Class Jobs!B"&amp;MATCH(E491,'Class Jobs'!$A$1:$A1000,0)&amp;":"&amp;"AF"&amp;MATCH(E491,'Class Jobs'!$A$1:$A1000,1)&amp;""),'Class Jobs'!$B$1:$AF$1)</f>
        <v>#REF!</v>
      </c>
      <c r="Z491" s="158">
        <f t="shared" si="25"/>
        <v>0.56999999999999995</v>
      </c>
      <c r="AA491" s="16" t="str">
        <f t="array" ref="AA491">INDEX(NPCGender,TRUNC(1+(COUNTA(NPCGender))*(TRUNC(MOD(($B491*1103515245 +12345)/ 65536, 32768),0)/32768),0))</f>
        <v>Female</v>
      </c>
      <c r="AB491" s="16" t="str">
        <f t="array" ref="AB491">INDEX(NPCRace,TRUNC(1+(COUNTA(NPCRace))*(TRUNC(MOD(($B491*1103515245 +12345)/ 65536, 32768),0)/32768),0))</f>
        <v>Halfling</v>
      </c>
      <c r="AC491" s="16" t="str">
        <f t="array" ref="AC491">INDEX(NPCAL,TRUNC(1+(COUNTA(NPCAL))*(TRUNC(MOD(($B491*1103515245 +12345)/ 65536, 32768),0)/32768),0))</f>
        <v>NE</v>
      </c>
      <c r="AD491" s="72" t="str">
        <f ca="1">IFERROR(__xludf.DUMMYFUNCTION("if(V491&lt;15,QUERY(NPCVar!C:D,""Select D WHERE C = '""&amp;D491&amp;""'""),if((TRUNC(1+10)*(TRUNC(MOD((ROW(H491)*1103515245 +12345)/ 65536, 32768),0)/32768)/10) &gt; 0.85,INDEX(NPCFaction,TRUNC(1+(counta(NPCFaction)-1)*(TRUNC(MOD(($B491*1103515245 +12345)/ 65536, 3276"&amp;"8),0)/32768),0)),QUERY(NPCVar!C:D,""Select D WHERE C = '""&amp;D491&amp;""'"")))"),"Farmers Guild")</f>
        <v>Farmers Guild</v>
      </c>
      <c r="AE491" s="108" t="e">
        <f t="shared" ca="1" si="26"/>
        <v>#NAME?</v>
      </c>
      <c r="AF491" s="159">
        <f ca="1">IFERROR(__xludf.DUMMYFUNCTION("AE491*(V491 / QUERY(NPCVar!$K$2:$N$12, ""Select N WHERE K='""&amp;AB491&amp;""'""))*TRUNC(1+10)*(TRUNC(MOD(($B491*1103515245 +12345)/ 65536, 32768),0)/32768)"),7.96628540039062)</f>
        <v>7.9662854003906203</v>
      </c>
      <c r="AG491" s="16"/>
      <c r="AH491" s="77"/>
      <c r="AI491" s="114"/>
    </row>
    <row r="492" spans="1:35" ht="16.2">
      <c r="A492" s="53">
        <v>491</v>
      </c>
      <c r="B492" s="118">
        <f t="shared" si="32"/>
        <v>0.11269</v>
      </c>
      <c r="C492" s="72" t="str">
        <f t="array" ref="C492">INDEX(NPCFName,TRUNC(1+(COUNTA(NPCFName))*(TRUNC(MOD(($B492*1103515245 +12345)/ 65536, 32768),0)/32768),0))</f>
        <v>Cosdeer</v>
      </c>
      <c r="D492" s="16" t="str">
        <f t="array" ref="D492">INDEX(NPCLName,TRUNC(1+(COUNTA(NPCLName))*(TRUNC(MOD(($B492*1103515245 +12345)/ 65536, 32768),0)/32768),0))</f>
        <v>Crystalgazer</v>
      </c>
      <c r="E492" s="16" t="str">
        <f t="array" ref="E492">INDEX(NPCClass,TRUNC(1+(COUNTA(NPCClass))*(TRUNC(MOD(($B492*1103515245 +12345)/ 65536, 32768),0)/32768),0))</f>
        <v>Barbarian</v>
      </c>
      <c r="F492" s="76">
        <v>1</v>
      </c>
      <c r="G492" s="153">
        <f ca="1">VLOOKUP($AB$2,'RF Mod'!$A$2:$G$12,2,FALSE)+VLOOKUP($AD$2,'RF Mod'!$I$2:$O$11,2,FALSE)+(TRUNC(6+(24-6)*(TRUNC(MOD(($Z492*1103515245 +12345)/ 65536, 32768),0)/32768),0))</f>
        <v>4</v>
      </c>
      <c r="H492" s="16">
        <f t="shared" ca="1" si="17"/>
        <v>-3</v>
      </c>
      <c r="I492" s="153">
        <f ca="1">VLOOKUP($AB$2,'RF Mod'!$A$2:$G$12,3,FALSE)+VLOOKUP($AD$2,'RF Mod'!$I$2:$O$11,3,FALSE)+(TRUNC(6+(24-6)*(TRUNC(MOD(($Z492*1103515245 +12345)/ 65536, 32768),0)/32768),0))</f>
        <v>8</v>
      </c>
      <c r="J492" s="16">
        <f t="shared" ca="1" si="18"/>
        <v>-1</v>
      </c>
      <c r="K492" s="153">
        <f ca="1">VLOOKUP($AB$2,'RF Mod'!$A$2:$G$12,3,FALSE)+VLOOKUP($AD$2,'RF Mod'!$I$2:$O$11,3,FALSE)+(TRUNC(6+(24-6)*(TRUNC(MOD(($Z492*1103515245 +12345)/ 65536, 32768),0)/32768),0))</f>
        <v>8</v>
      </c>
      <c r="L492" s="16">
        <f t="shared" ca="1" si="19"/>
        <v>-1</v>
      </c>
      <c r="M492" s="153">
        <f ca="1">VLOOKUP($AB$2,'RF Mod'!$A$2:$G$12,4,FALSE)+VLOOKUP($AD$2,'RF Mod'!$I$2:$O$11,4,FALSE)+(TRUNC(6+(24-6)*(TRUNC(MOD(($Z492*1103515245 +12345)/ 65536, 32768),0)/32768),0))</f>
        <v>7</v>
      </c>
      <c r="N492" s="16">
        <f t="shared" ca="1" si="20"/>
        <v>-2</v>
      </c>
      <c r="O492" s="153">
        <f ca="1">VLOOKUP($AB$2,'RF Mod'!$A$2:$G$12,5,FALSE)+VLOOKUP($AD$2,'RF Mod'!$I$2:$O$11,5,FALSE)+(TRUNC(6+(24-6)*(TRUNC(MOD(($Z492*1103515245 +12345)/ 65536, 32768),0)/32768),0))</f>
        <v>10</v>
      </c>
      <c r="P492" s="16" t="e">
        <f t="shared" ca="1" si="21"/>
        <v>#NAME?</v>
      </c>
      <c r="Q492" s="153">
        <f ca="1">VLOOKUP($AB$2,'RF Mod'!$A$2:$G$12,6,FALSE)+VLOOKUP($AD$2,'RF Mod'!$I$2:$O$11,6,FALSE)+(TRUNC(6+(24-6)*(TRUNC(MOD(($Z492*1103515245 +12345)/ 65536, 32768),0)/32768),0))</f>
        <v>8</v>
      </c>
      <c r="R492" s="16">
        <f t="shared" ca="1" si="22"/>
        <v>-1</v>
      </c>
      <c r="S492" s="154">
        <f t="shared" ca="1" si="28"/>
        <v>10</v>
      </c>
      <c r="T492" s="154">
        <f t="shared" ca="1" si="23"/>
        <v>6</v>
      </c>
      <c r="U492" s="16" t="str">
        <f t="shared" ca="1" si="24"/>
        <v>Bloody</v>
      </c>
      <c r="V492" s="155">
        <f ca="1">IFERROR(__xludf.DUMMYFUNCTION("if(W492=""Middle Age"",QUERY(NPCVar!$K$2:$N1000, ""Select L where K = '""&amp;AB492&amp;""'""),if(W492=""Old"",QUERY(NPCVar!$K$2:$N1000, ""Select M where K = '""&amp;AB492&amp;""'""),if(W492=""Venerable"",QUERY(NPCVar!$K$2:$N1000, ""Select N where K = '""&amp;AB492&amp;""'""),fa"&amp;"lse)))*X492"),4)</f>
        <v>4</v>
      </c>
      <c r="W492" s="156" t="str">
        <f t="array" ref="W492">INDEX(NPCAgeType,TRUNC(1+(4-1)*(TRUNC(MOD((X492*1103515245 +12345)/ 65536, 32768),0)/32768),0))</f>
        <v>Middle Age</v>
      </c>
      <c r="X492" s="117">
        <f t="shared" si="29"/>
        <v>0.2</v>
      </c>
      <c r="Y492" s="157" t="e">
        <f t="array" aca="1" ref="Y492" ca="1">LOOKUP(ABS(MAX(Z492 + MIN(ABS(INDIRECT("Class Jobs!B"&amp;MATCH(E492,'Class Jobs'!$A$1:$A1000,0)&amp;":"&amp;"AF"&amp;MATCH(E492,'Class Jobs'!$A$1:$A1000,0)&amp;"")-$Z492)) * SUM(IF(MIN(ABS(INDIRECT("Class Jobs!B"&amp;MATCH(E492,'Class Jobs'!$A$1:$A1000,0)&amp;":"&amp;"AF"&amp;MATCH(E492,'Class Jobs'!$A$1:$A1000,0)&amp;"")-$Z492))=ABS(INDIRECT("Class Jobs!B"&amp;MATCH(E492,'Class Jobs'!$A$1:$A1000,0)&amp;":"&amp;"AF"&amp;MATCH(E492,'Class Jobs'!$A$1:$A1000,0)&amp;"")-$Z492),SIGN(INDIRECT("Class Jobs!B"&amp;MATCH(E492,'Class Jobs'!$A$1:A1000,0)&amp;":"&amp;"AF"&amp;MATCH(E492,'Class Jobs'!$A$1:$A1000,0)&amp;"")-$Z492),0)),0)),INDIRECT("Class Jobs!B"&amp;MATCH(E492,'Class Jobs'!$A$1:$A1000,0)&amp;":"&amp;"AF"&amp;MATCH(E492,'Class Jobs'!$A$1:$A1000,1)&amp;""),'Class Jobs'!$B$1:$AF$1)</f>
        <v>#REF!</v>
      </c>
      <c r="Z492" s="158">
        <f t="shared" si="25"/>
        <v>0.06</v>
      </c>
      <c r="AA492" s="16" t="str">
        <f t="array" ref="AA492">INDEX(NPCGender,TRUNC(1+(COUNTA(NPCGender))*(TRUNC(MOD(($B492*1103515245 +12345)/ 65536, 32768),0)/32768),0))</f>
        <v>Male</v>
      </c>
      <c r="AB492" s="16" t="str">
        <f t="array" ref="AB492">INDEX(NPCRace,TRUNC(1+(COUNTA(NPCRace))*(TRUNC(MOD(($B492*1103515245 +12345)/ 65536, 32768),0)/32768),0))</f>
        <v>Dragonborn</v>
      </c>
      <c r="AC492" s="16" t="str">
        <f t="array" ref="AC492">INDEX(NPCAL,TRUNC(1+(COUNTA(NPCAL))*(TRUNC(MOD(($B492*1103515245 +12345)/ 65536, 32768),0)/32768),0))</f>
        <v>CN</v>
      </c>
      <c r="AD492" s="72" t="str">
        <f ca="1">IFERROR(__xludf.DUMMYFUNCTION("if(V492&lt;15,QUERY(NPCVar!C:D,""Select D WHERE C = '""&amp;D492&amp;""'""),if((TRUNC(1+10)*(TRUNC(MOD((ROW(H492)*1103515245 +12345)/ 65536, 32768),0)/32768)/10) &gt; 0.85,INDEX(NPCFaction,TRUNC(1+(counta(NPCFaction)-1)*(TRUNC(MOD(($B492*1103515245 +12345)/ 65536, 3276"&amp;"8),0)/32768),0)),QUERY(NPCVar!C:D,""Select D WHERE C = '""&amp;D492&amp;""'"")))"),"Death Guild")</f>
        <v>Death Guild</v>
      </c>
      <c r="AE492" s="108" t="e">
        <f t="shared" ca="1" si="26"/>
        <v>#NAME?</v>
      </c>
      <c r="AF492" s="159">
        <f ca="1">IFERROR(__xludf.DUMMYFUNCTION("AE492*(V492 / QUERY(NPCVar!$K$2:$N$12, ""Select N WHERE K='""&amp;AB492&amp;""'""))*TRUNC(1+10)*(TRUNC(MOD(($B492*1103515245 +12345)/ 65536, 32768),0)/32768)"),0)</f>
        <v>0</v>
      </c>
      <c r="AG492" s="16"/>
      <c r="AH492" s="77"/>
      <c r="AI492" s="114"/>
    </row>
    <row r="493" spans="1:35" ht="16.2">
      <c r="A493" s="53">
        <v>492</v>
      </c>
      <c r="B493" s="118">
        <f t="shared" si="32"/>
        <v>1.60683</v>
      </c>
      <c r="C493" s="72" t="str">
        <f t="array" ref="C493">INDEX(NPCFName,TRUNC(1+(COUNTA(NPCFName))*(TRUNC(MOD(($B493*1103515245 +12345)/ 65536, 32768),0)/32768),0))</f>
        <v>Kesmon</v>
      </c>
      <c r="D493" s="16" t="str">
        <f t="array" ref="D493">INDEX(NPCLName,TRUNC(1+(COUNTA(NPCLName))*(TRUNC(MOD(($B493*1103515245 +12345)/ 65536, 32768),0)/32768),0))</f>
        <v>Deepcrest</v>
      </c>
      <c r="E493" s="16" t="str">
        <f t="array" ref="E493">INDEX(NPCClass,TRUNC(1+(COUNTA(NPCClass))*(TRUNC(MOD(($B493*1103515245 +12345)/ 65536, 32768),0)/32768),0))</f>
        <v>Cleric</v>
      </c>
      <c r="F493" s="76">
        <v>8</v>
      </c>
      <c r="G493" s="153">
        <f ca="1">VLOOKUP($AB$2,'RF Mod'!$A$2:$G$12,2,FALSE)+VLOOKUP($AD$2,'RF Mod'!$I$2:$O$11,2,FALSE)+(TRUNC(6+(24-6)*(TRUNC(MOD(($Z493*1103515245 +12345)/ 65536, 32768),0)/32768),0))</f>
        <v>11</v>
      </c>
      <c r="H493" s="16" t="e">
        <f t="shared" ca="1" si="17"/>
        <v>#NAME?</v>
      </c>
      <c r="I493" s="153">
        <f ca="1">VLOOKUP($AB$2,'RF Mod'!$A$2:$G$12,3,FALSE)+VLOOKUP($AD$2,'RF Mod'!$I$2:$O$11,3,FALSE)+(TRUNC(6+(24-6)*(TRUNC(MOD(($Z493*1103515245 +12345)/ 65536, 32768),0)/32768),0))</f>
        <v>15</v>
      </c>
      <c r="J493" s="16" t="e">
        <f t="shared" ca="1" si="18"/>
        <v>#NAME?</v>
      </c>
      <c r="K493" s="153">
        <f ca="1">VLOOKUP($AB$2,'RF Mod'!$A$2:$G$12,3,FALSE)+VLOOKUP($AD$2,'RF Mod'!$I$2:$O$11,3,FALSE)+(TRUNC(6+(24-6)*(TRUNC(MOD(($Z493*1103515245 +12345)/ 65536, 32768),0)/32768),0))</f>
        <v>15</v>
      </c>
      <c r="L493" s="16" t="e">
        <f t="shared" ca="1" si="19"/>
        <v>#NAME?</v>
      </c>
      <c r="M493" s="153">
        <f ca="1">VLOOKUP($AB$2,'RF Mod'!$A$2:$G$12,4,FALSE)+VLOOKUP($AD$2,'RF Mod'!$I$2:$O$11,4,FALSE)+(TRUNC(6+(24-6)*(TRUNC(MOD(($Z493*1103515245 +12345)/ 65536, 32768),0)/32768),0))</f>
        <v>14</v>
      </c>
      <c r="N493" s="16" t="e">
        <f t="shared" ca="1" si="20"/>
        <v>#NAME?</v>
      </c>
      <c r="O493" s="153">
        <f ca="1">VLOOKUP($AB$2,'RF Mod'!$A$2:$G$12,5,FALSE)+VLOOKUP($AD$2,'RF Mod'!$I$2:$O$11,5,FALSE)+(TRUNC(6+(24-6)*(TRUNC(MOD(($Z493*1103515245 +12345)/ 65536, 32768),0)/32768),0))</f>
        <v>17</v>
      </c>
      <c r="P493" s="16" t="e">
        <f t="shared" ca="1" si="21"/>
        <v>#NAME?</v>
      </c>
      <c r="Q493" s="153">
        <f ca="1">VLOOKUP($AB$2,'RF Mod'!$A$2:$G$12,6,FALSE)+VLOOKUP($AD$2,'RF Mod'!$I$2:$O$11,6,FALSE)+(TRUNC(6+(24-6)*(TRUNC(MOD(($Z493*1103515245 +12345)/ 65536, 32768),0)/32768),0))</f>
        <v>15</v>
      </c>
      <c r="R493" s="16" t="e">
        <f t="shared" ca="1" si="22"/>
        <v>#NAME?</v>
      </c>
      <c r="S493" s="154">
        <f t="shared" ca="1" si="28"/>
        <v>136</v>
      </c>
      <c r="T493" s="154">
        <f t="shared" ca="1" si="23"/>
        <v>129</v>
      </c>
      <c r="U493" s="16" t="str">
        <f t="shared" ca="1" si="24"/>
        <v>Bloody</v>
      </c>
      <c r="V493" s="155">
        <f ca="1">IFERROR(__xludf.DUMMYFUNCTION("if(W493=""Middle Age"",QUERY(NPCVar!$K$2:$N1000, ""Select L where K = '""&amp;AB493&amp;""'""),if(W493=""Old"",QUERY(NPCVar!$K$2:$N1000, ""Select M where K = '""&amp;AB493&amp;""'""),if(W493=""Venerable"",QUERY(NPCVar!$K$2:$N1000, ""Select N where K = '""&amp;AB493&amp;""'""),fa"&amp;"lse)))*X493"),55)</f>
        <v>55</v>
      </c>
      <c r="W493" s="156" t="str">
        <f t="array" ref="W493">INDEX(NPCAgeType,TRUNC(1+(4-1)*(TRUNC(MOD((X493*1103515245 +12345)/ 65536, 32768),0)/32768),0))</f>
        <v>Middle Age</v>
      </c>
      <c r="X493" s="117">
        <f t="shared" si="29"/>
        <v>2</v>
      </c>
      <c r="Y493" s="157" t="e">
        <f t="array" aca="1" ref="Y493" ca="1">LOOKUP(ABS(MAX(Z493 + MIN(ABS(INDIRECT("Class Jobs!B"&amp;MATCH(E493,'Class Jobs'!$A$1:$A1000,0)&amp;":"&amp;"AF"&amp;MATCH(E493,'Class Jobs'!$A$1:$A1000,0)&amp;"")-$Z493)) * SUM(IF(MIN(ABS(INDIRECT("Class Jobs!B"&amp;MATCH(E493,'Class Jobs'!$A$1:$A1000,0)&amp;":"&amp;"AF"&amp;MATCH(E493,'Class Jobs'!$A$1:$A1000,0)&amp;"")-$Z493))=ABS(INDIRECT("Class Jobs!B"&amp;MATCH(E493,'Class Jobs'!$A$1:$A1000,0)&amp;":"&amp;"AF"&amp;MATCH(E493,'Class Jobs'!$A$1:$A1000,0)&amp;"")-$Z493),SIGN(INDIRECT("Class Jobs!B"&amp;MATCH(E493,'Class Jobs'!$A$1:A1000,0)&amp;":"&amp;"AF"&amp;MATCH(E493,'Class Jobs'!$A$1:$A1000,0)&amp;"")-$Z493),0)),0)),INDIRECT("Class Jobs!B"&amp;MATCH(E493,'Class Jobs'!$A$1:$A1000,0)&amp;":"&amp;"AF"&amp;MATCH(E493,'Class Jobs'!$A$1:$A1000,1)&amp;""),'Class Jobs'!$B$1:$AF$1)</f>
        <v>#REF!</v>
      </c>
      <c r="Z493" s="158">
        <f t="shared" si="25"/>
        <v>0.82</v>
      </c>
      <c r="AA493" s="16" t="str">
        <f t="array" ref="AA493">INDEX(NPCGender,TRUNC(1+(COUNTA(NPCGender))*(TRUNC(MOD(($B493*1103515245 +12345)/ 65536, 32768),0)/32768),0))</f>
        <v>Neutral</v>
      </c>
      <c r="AB493" s="16" t="str">
        <f t="array" ref="AB493">INDEX(NPCRace,TRUNC(1+(COUNTA(NPCRace))*(TRUNC(MOD(($B493*1103515245 +12345)/ 65536, 32768),0)/32768),0))</f>
        <v>Genasi</v>
      </c>
      <c r="AC493" s="16" t="str">
        <f t="array" ref="AC493">INDEX(NPCAL,TRUNC(1+(COUNTA(NPCAL))*(TRUNC(MOD(($B493*1103515245 +12345)/ 65536, 32768),0)/32768),0))</f>
        <v>LN</v>
      </c>
      <c r="AD493" s="72" t="str">
        <f ca="1">IFERROR(__xludf.DUMMYFUNCTION("if(V493&lt;15,QUERY(NPCVar!C:D,""Select D WHERE C = '""&amp;D493&amp;""'""),if((TRUNC(1+10)*(TRUNC(MOD((ROW(H493)*1103515245 +12345)/ 65536, 32768),0)/32768)/10) &gt; 0.85,INDEX(NPCFaction,TRUNC(1+(counta(NPCFaction)-1)*(TRUNC(MOD(($B493*1103515245 +12345)/ 65536, 3276"&amp;"8),0)/32768),0)),QUERY(NPCVar!C:D,""Select D WHERE C = '""&amp;D493&amp;""'"")))"),"Adventures Guild")</f>
        <v>Adventures Guild</v>
      </c>
      <c r="AE493" s="108" t="e">
        <f t="shared" ca="1" si="26"/>
        <v>#NAME?</v>
      </c>
      <c r="AF493" s="159">
        <f ca="1">IFERROR(__xludf.DUMMYFUNCTION("AE493*(V493 / QUERY(NPCVar!$K$2:$N$12, ""Select N WHERE K='""&amp;AB493&amp;""'""))*TRUNC(1+10)*(TRUNC(MOD(($B493*1103515245 +12345)/ 65536, 32768),0)/32768)"),4.0871337890625)</f>
        <v>4.0871337890625004</v>
      </c>
      <c r="AG493" s="16"/>
      <c r="AH493" s="77"/>
      <c r="AI493" s="114"/>
    </row>
    <row r="494" spans="1:35" ht="16.2">
      <c r="A494" s="53">
        <v>493</v>
      </c>
      <c r="B494" s="118">
        <f t="shared" si="32"/>
        <v>0.60097</v>
      </c>
      <c r="C494" s="72" t="str">
        <f t="array" ref="C494">INDEX(NPCFName,TRUNC(1+(COUNTA(NPCFName))*(TRUNC(MOD(($B494*1103515245 +12345)/ 65536, 32768),0)/32768),0))</f>
        <v>Wak’dern</v>
      </c>
      <c r="D494" s="16" t="str">
        <f t="array" ref="D494">INDEX(NPCLName,TRUNC(1+(COUNTA(NPCLName))*(TRUNC(MOD(($B494*1103515245 +12345)/ 65536, 32768),0)/32768),0))</f>
        <v>Stormdew</v>
      </c>
      <c r="E494" s="16" t="str">
        <f t="array" ref="E494">INDEX(NPCClass,TRUNC(1+(COUNTA(NPCClass))*(TRUNC(MOD(($B494*1103515245 +12345)/ 65536, 32768),0)/32768),0))</f>
        <v>Monk</v>
      </c>
      <c r="F494" s="76">
        <v>2</v>
      </c>
      <c r="G494" s="153">
        <f ca="1">VLOOKUP($AB$2,'RF Mod'!$A$2:$G$12,2,FALSE)+VLOOKUP($AD$2,'RF Mod'!$I$2:$O$11,2,FALSE)+(TRUNC(6+(24-6)*(TRUNC(MOD(($Z494*1103515245 +12345)/ 65536, 32768),0)/32768),0))</f>
        <v>6</v>
      </c>
      <c r="H494" s="16">
        <f t="shared" ca="1" si="17"/>
        <v>-2</v>
      </c>
      <c r="I494" s="153">
        <f ca="1">VLOOKUP($AB$2,'RF Mod'!$A$2:$G$12,3,FALSE)+VLOOKUP($AD$2,'RF Mod'!$I$2:$O$11,3,FALSE)+(TRUNC(6+(24-6)*(TRUNC(MOD(($Z494*1103515245 +12345)/ 65536, 32768),0)/32768),0))</f>
        <v>10</v>
      </c>
      <c r="J494" s="16" t="e">
        <f t="shared" ca="1" si="18"/>
        <v>#NAME?</v>
      </c>
      <c r="K494" s="153">
        <f ca="1">VLOOKUP($AB$2,'RF Mod'!$A$2:$G$12,3,FALSE)+VLOOKUP($AD$2,'RF Mod'!$I$2:$O$11,3,FALSE)+(TRUNC(6+(24-6)*(TRUNC(MOD(($Z494*1103515245 +12345)/ 65536, 32768),0)/32768),0))</f>
        <v>10</v>
      </c>
      <c r="L494" s="16" t="e">
        <f t="shared" ca="1" si="19"/>
        <v>#NAME?</v>
      </c>
      <c r="M494" s="153">
        <f ca="1">VLOOKUP($AB$2,'RF Mod'!$A$2:$G$12,4,FALSE)+VLOOKUP($AD$2,'RF Mod'!$I$2:$O$11,4,FALSE)+(TRUNC(6+(24-6)*(TRUNC(MOD(($Z494*1103515245 +12345)/ 65536, 32768),0)/32768),0))</f>
        <v>9</v>
      </c>
      <c r="N494" s="16">
        <f t="shared" ca="1" si="20"/>
        <v>-1</v>
      </c>
      <c r="O494" s="153">
        <f ca="1">VLOOKUP($AB$2,'RF Mod'!$A$2:$G$12,5,FALSE)+VLOOKUP($AD$2,'RF Mod'!$I$2:$O$11,5,FALSE)+(TRUNC(6+(24-6)*(TRUNC(MOD(($Z494*1103515245 +12345)/ 65536, 32768),0)/32768),0))</f>
        <v>12</v>
      </c>
      <c r="P494" s="16" t="e">
        <f t="shared" ca="1" si="21"/>
        <v>#NAME?</v>
      </c>
      <c r="Q494" s="153">
        <f ca="1">VLOOKUP($AB$2,'RF Mod'!$A$2:$G$12,6,FALSE)+VLOOKUP($AD$2,'RF Mod'!$I$2:$O$11,6,FALSE)+(TRUNC(6+(24-6)*(TRUNC(MOD(($Z494*1103515245 +12345)/ 65536, 32768),0)/32768),0))</f>
        <v>10</v>
      </c>
      <c r="R494" s="16" t="e">
        <f t="shared" ca="1" si="22"/>
        <v>#NAME?</v>
      </c>
      <c r="S494" s="154">
        <f t="shared" ca="1" si="28"/>
        <v>24</v>
      </c>
      <c r="T494" s="154">
        <f t="shared" ca="1" si="23"/>
        <v>2</v>
      </c>
      <c r="U494" s="16" t="str">
        <f t="shared" ca="1" si="24"/>
        <v>Fine</v>
      </c>
      <c r="V494" s="155">
        <f ca="1">IFERROR(__xludf.DUMMYFUNCTION("if(W494=""Middle Age"",QUERY(NPCVar!$K$2:$N1000, ""Select L where K = '""&amp;AB494&amp;""'""),if(W494=""Old"",QUERY(NPCVar!$K$2:$N1000, ""Select M where K = '""&amp;AB494&amp;""'""),if(W494=""Venerable"",QUERY(NPCVar!$K$2:$N1000, ""Select N where K = '""&amp;AB494&amp;""'""),fa"&amp;"lse)))*X494"),135)</f>
        <v>135</v>
      </c>
      <c r="W494" s="156" t="str">
        <f t="array" ref="W494">INDEX(NPCAgeType,TRUNC(1+(4-1)*(TRUNC(MOD((X494*1103515245 +12345)/ 65536, 32768),0)/32768),0))</f>
        <v>Old</v>
      </c>
      <c r="X494" s="117">
        <f t="shared" si="29"/>
        <v>0.8</v>
      </c>
      <c r="Y494" s="157" t="e">
        <f t="array" aca="1" ref="Y494" ca="1">LOOKUP(ABS(MAX(Z494 + MIN(ABS(INDIRECT("Class Jobs!B"&amp;MATCH(E494,'Class Jobs'!$A$1:$A1000,0)&amp;":"&amp;"AF"&amp;MATCH(E494,'Class Jobs'!$A$1:$A1000,0)&amp;"")-$Z494)) * SUM(IF(MIN(ABS(INDIRECT("Class Jobs!B"&amp;MATCH(E494,'Class Jobs'!$A$1:$A1000,0)&amp;":"&amp;"AF"&amp;MATCH(E494,'Class Jobs'!$A$1:$A1000,0)&amp;"")-$Z494))=ABS(INDIRECT("Class Jobs!B"&amp;MATCH(E494,'Class Jobs'!$A$1:$A1000,0)&amp;":"&amp;"AF"&amp;MATCH(E494,'Class Jobs'!$A$1:$A1000,0)&amp;"")-$Z494),SIGN(INDIRECT("Class Jobs!B"&amp;MATCH(E494,'Class Jobs'!$A$1:A1000,0)&amp;":"&amp;"AF"&amp;MATCH(E494,'Class Jobs'!$A$1:$A1000,0)&amp;"")-$Z494),0)),0)),INDIRECT("Class Jobs!B"&amp;MATCH(E494,'Class Jobs'!$A$1:$A1000,0)&amp;":"&amp;"AF"&amp;MATCH(E494,'Class Jobs'!$A$1:$A1000,1)&amp;""),'Class Jobs'!$B$1:$AF$1)</f>
        <v>#REF!</v>
      </c>
      <c r="Z494" s="158">
        <f t="shared" si="25"/>
        <v>0.31</v>
      </c>
      <c r="AA494" s="16" t="str">
        <f t="array" ref="AA494">INDEX(NPCGender,TRUNC(1+(COUNTA(NPCGender))*(TRUNC(MOD(($B494*1103515245 +12345)/ 65536, 32768),0)/32768),0))</f>
        <v>Male</v>
      </c>
      <c r="AB494" s="16" t="str">
        <f t="array" ref="AB494">INDEX(NPCRace,TRUNC(1+(COUNTA(NPCRace))*(TRUNC(MOD(($B494*1103515245 +12345)/ 65536, 32768),0)/32768),0))</f>
        <v>Gnome</v>
      </c>
      <c r="AC494" s="16" t="str">
        <f t="array" ref="AC494">INDEX(NPCAL,TRUNC(1+(COUNTA(NPCAL))*(TRUNC(MOD(($B494*1103515245 +12345)/ 65536, 32768),0)/32768),0))</f>
        <v>CG</v>
      </c>
      <c r="AD494" s="72" t="str">
        <f ca="1">IFERROR(__xludf.DUMMYFUNCTION("if(V494&lt;15,QUERY(NPCVar!C:D,""Select D WHERE C = '""&amp;D494&amp;""'""),if((TRUNC(1+10)*(TRUNC(MOD((ROW(H494)*1103515245 +12345)/ 65536, 32768),0)/32768)/10) &gt; 0.85,INDEX(NPCFaction,TRUNC(1+(counta(NPCFaction)-1)*(TRUNC(MOD(($B494*1103515245 +12345)/ 65536, 3276"&amp;"8),0)/32768),0)),QUERY(NPCVar!C:D,""Select D WHERE C = '""&amp;D494&amp;""'"")))"),"Traders Guild")</f>
        <v>Traders Guild</v>
      </c>
      <c r="AE494" s="108" t="e">
        <f t="shared" ca="1" si="26"/>
        <v>#NAME?</v>
      </c>
      <c r="AF494" s="159">
        <f ca="1">IFERROR(__xludf.DUMMYFUNCTION("AE494*(V494 / QUERY(NPCVar!$K$2:$N$12, ""Select N WHERE K='""&amp;AB494&amp;""'""))*TRUNC(1+10)*(TRUNC(MOD(($B494*1103515245 +12345)/ 65536, 32768),0)/32768)"),0.203812866210937)</f>
        <v>0.203812866210937</v>
      </c>
      <c r="AG494" s="16"/>
      <c r="AH494" s="77"/>
      <c r="AI494" s="114"/>
    </row>
    <row r="495" spans="1:35" ht="16.2">
      <c r="A495" s="53">
        <v>494</v>
      </c>
      <c r="B495" s="118">
        <f t="shared" si="32"/>
        <v>2.0950299999999999</v>
      </c>
      <c r="C495" s="72" t="str">
        <f t="array" ref="C495">INDEX(NPCFName,TRUNC(1+(COUNTA(NPCFName))*(TRUNC(MOD(($B495*1103515245 +12345)/ 65536, 32768),0)/32768),0))</f>
        <v>Doceon</v>
      </c>
      <c r="D495" s="16" t="str">
        <f t="array" ref="D495">INDEX(NPCLName,TRUNC(1+(COUNTA(NPCLName))*(TRUNC(MOD(($B495*1103515245 +12345)/ 65536, 32768),0)/32768),0))</f>
        <v>Autumnorb</v>
      </c>
      <c r="E495" s="16" t="str">
        <f t="array" ref="E495">INDEX(NPCClass,TRUNC(1+(COUNTA(NPCClass))*(TRUNC(MOD(($B495*1103515245 +12345)/ 65536, 32768),0)/32768),0))</f>
        <v>Barbarian</v>
      </c>
      <c r="F495" s="76">
        <v>1</v>
      </c>
      <c r="G495" s="153">
        <f ca="1">VLOOKUP($AB$2,'RF Mod'!$A$2:$G$12,2,FALSE)+VLOOKUP($AD$2,'RF Mod'!$I$2:$O$11,2,FALSE)+(TRUNC(6+(24-6)*(TRUNC(MOD(($Z495*1103515245 +12345)/ 65536, 32768),0)/32768),0))</f>
        <v>4</v>
      </c>
      <c r="H495" s="16">
        <f t="shared" ca="1" si="17"/>
        <v>-3</v>
      </c>
      <c r="I495" s="153">
        <f ca="1">VLOOKUP($AB$2,'RF Mod'!$A$2:$G$12,3,FALSE)+VLOOKUP($AD$2,'RF Mod'!$I$2:$O$11,3,FALSE)+(TRUNC(6+(24-6)*(TRUNC(MOD(($Z495*1103515245 +12345)/ 65536, 32768),0)/32768),0))</f>
        <v>8</v>
      </c>
      <c r="J495" s="16">
        <f t="shared" ca="1" si="18"/>
        <v>-1</v>
      </c>
      <c r="K495" s="153">
        <f ca="1">VLOOKUP($AB$2,'RF Mod'!$A$2:$G$12,3,FALSE)+VLOOKUP($AD$2,'RF Mod'!$I$2:$O$11,3,FALSE)+(TRUNC(6+(24-6)*(TRUNC(MOD(($Z495*1103515245 +12345)/ 65536, 32768),0)/32768),0))</f>
        <v>8</v>
      </c>
      <c r="L495" s="16">
        <f t="shared" ca="1" si="19"/>
        <v>-1</v>
      </c>
      <c r="M495" s="153">
        <f ca="1">VLOOKUP($AB$2,'RF Mod'!$A$2:$G$12,4,FALSE)+VLOOKUP($AD$2,'RF Mod'!$I$2:$O$11,4,FALSE)+(TRUNC(6+(24-6)*(TRUNC(MOD(($Z495*1103515245 +12345)/ 65536, 32768),0)/32768),0))</f>
        <v>7</v>
      </c>
      <c r="N495" s="16">
        <f t="shared" ca="1" si="20"/>
        <v>-2</v>
      </c>
      <c r="O495" s="153">
        <f ca="1">VLOOKUP($AB$2,'RF Mod'!$A$2:$G$12,5,FALSE)+VLOOKUP($AD$2,'RF Mod'!$I$2:$O$11,5,FALSE)+(TRUNC(6+(24-6)*(TRUNC(MOD(($Z495*1103515245 +12345)/ 65536, 32768),0)/32768),0))</f>
        <v>10</v>
      </c>
      <c r="P495" s="16" t="e">
        <f t="shared" ca="1" si="21"/>
        <v>#NAME?</v>
      </c>
      <c r="Q495" s="153">
        <f ca="1">VLOOKUP($AB$2,'RF Mod'!$A$2:$G$12,6,FALSE)+VLOOKUP($AD$2,'RF Mod'!$I$2:$O$11,6,FALSE)+(TRUNC(6+(24-6)*(TRUNC(MOD(($Z495*1103515245 +12345)/ 65536, 32768),0)/32768),0))</f>
        <v>8</v>
      </c>
      <c r="R495" s="16">
        <f t="shared" ca="1" si="22"/>
        <v>-1</v>
      </c>
      <c r="S495" s="154">
        <f t="shared" ca="1" si="28"/>
        <v>10</v>
      </c>
      <c r="T495" s="154">
        <f t="shared" ca="1" si="23"/>
        <v>4</v>
      </c>
      <c r="U495" s="16" t="str">
        <f t="shared" ca="1" si="24"/>
        <v>Fine</v>
      </c>
      <c r="V495" s="155">
        <f ca="1">IFERROR(__xludf.DUMMYFUNCTION("if(W495=""Middle Age"",QUERY(NPCVar!$K$2:$N1000, ""Select L where K = '""&amp;AB495&amp;""'""),if(W495=""Old"",QUERY(NPCVar!$K$2:$N1000, ""Select M where K = '""&amp;AB495&amp;""'""),if(W495=""Venerable"",QUERY(NPCVar!$K$2:$N1000, ""Select N where K = '""&amp;AB495&amp;""'""),fa"&amp;"lse)))*X495"),4)</f>
        <v>4</v>
      </c>
      <c r="W495" s="156" t="str">
        <f t="array" ref="W495">INDEX(NPCAgeType,TRUNC(1+(4-1)*(TRUNC(MOD((X495*1103515245 +12345)/ 65536, 32768),0)/32768),0))</f>
        <v>Middle Age</v>
      </c>
      <c r="X495" s="117">
        <f t="shared" si="29"/>
        <v>0.2</v>
      </c>
      <c r="Y495" s="157" t="e">
        <f t="array" aca="1" ref="Y495" ca="1">LOOKUP(ABS(MAX(Z495 + MIN(ABS(INDIRECT("Class Jobs!B"&amp;MATCH(E495,'Class Jobs'!$A$1:$A1000,0)&amp;":"&amp;"AF"&amp;MATCH(E495,'Class Jobs'!$A$1:$A1000,0)&amp;"")-$Z495)) * SUM(IF(MIN(ABS(INDIRECT("Class Jobs!B"&amp;MATCH(E495,'Class Jobs'!$A$1:$A1000,0)&amp;":"&amp;"AF"&amp;MATCH(E495,'Class Jobs'!$A$1:$A1000,0)&amp;"")-$Z495))=ABS(INDIRECT("Class Jobs!B"&amp;MATCH(E495,'Class Jobs'!$A$1:$A1000,0)&amp;":"&amp;"AF"&amp;MATCH(E495,'Class Jobs'!$A$1:$A1000,0)&amp;"")-$Z495),SIGN(INDIRECT("Class Jobs!B"&amp;MATCH(E495,'Class Jobs'!$A$1:A1000,0)&amp;":"&amp;"AF"&amp;MATCH(E495,'Class Jobs'!$A$1:$A1000,0)&amp;"")-$Z495),0)),0)),INDIRECT("Class Jobs!B"&amp;MATCH(E495,'Class Jobs'!$A$1:$A1000,0)&amp;":"&amp;"AF"&amp;MATCH(E495,'Class Jobs'!$A$1:$A1000,1)&amp;""),'Class Jobs'!$B$1:$AF$1)</f>
        <v>#REF!</v>
      </c>
      <c r="Z495" s="158">
        <f t="shared" si="25"/>
        <v>0.08</v>
      </c>
      <c r="AA495" s="16" t="str">
        <f t="array" ref="AA495">INDEX(NPCGender,TRUNC(1+(COUNTA(NPCGender))*(TRUNC(MOD(($B495*1103515245 +12345)/ 65536, 32768),0)/32768),0))</f>
        <v>Male</v>
      </c>
      <c r="AB495" s="16" t="str">
        <f t="array" ref="AB495">INDEX(NPCRace,TRUNC(1+(COUNTA(NPCRace))*(TRUNC(MOD(($B495*1103515245 +12345)/ 65536, 32768),0)/32768),0))</f>
        <v>Dragonborn</v>
      </c>
      <c r="AC495" s="16" t="str">
        <f t="array" ref="AC495">INDEX(NPCAL,TRUNC(1+(COUNTA(NPCAL))*(TRUNC(MOD(($B495*1103515245 +12345)/ 65536, 32768),0)/32768),0))</f>
        <v>CN</v>
      </c>
      <c r="AD495" s="72" t="str">
        <f ca="1">IFERROR(__xludf.DUMMYFUNCTION("if(V495&lt;15,QUERY(NPCVar!C:D,""Select D WHERE C = '""&amp;D495&amp;""'""),if((TRUNC(1+10)*(TRUNC(MOD((ROW(H495)*1103515245 +12345)/ 65536, 32768),0)/32768)/10) &gt; 0.85,INDEX(NPCFaction,TRUNC(1+(counta(NPCFaction)-1)*(TRUNC(MOD(($B495*1103515245 +12345)/ 65536, 3276"&amp;"8),0)/32768),0)),QUERY(NPCVar!C:D,""Select D WHERE C = '""&amp;D495&amp;""'"")))"),"Royalty")</f>
        <v>Royalty</v>
      </c>
      <c r="AE495" s="108" t="e">
        <f t="shared" ca="1" si="26"/>
        <v>#NAME?</v>
      </c>
      <c r="AF495" s="159">
        <f ca="1">IFERROR(__xludf.DUMMYFUNCTION("AE495*(V495 / QUERY(NPCVar!$K$2:$N$12, ""Select N WHERE K='""&amp;AB495&amp;""'""))*TRUNC(1+10)*(TRUNC(MOD(($B495*1103515245 +12345)/ 65536, 32768),0)/32768)"),0.0210479736328125)</f>
        <v>2.1047973632812501E-2</v>
      </c>
      <c r="AG495" s="16"/>
      <c r="AH495" s="77"/>
      <c r="AI495" s="114"/>
    </row>
    <row r="496" spans="1:35" ht="16.2">
      <c r="A496" s="53">
        <v>495</v>
      </c>
      <c r="B496" s="118">
        <f t="shared" si="32"/>
        <v>1.08917</v>
      </c>
      <c r="C496" s="72" t="str">
        <f t="array" ref="C496">INDEX(NPCFName,TRUNC(1+(COUNTA(NPCFName))*(TRUNC(MOD(($B496*1103515245 +12345)/ 65536, 32768),0)/32768),0))</f>
        <v>Phemedes</v>
      </c>
      <c r="D496" s="16" t="str">
        <f t="array" ref="D496">INDEX(NPCLName,TRUNC(1+(COUNTA(NPCLName))*(TRUNC(MOD(($B496*1103515245 +12345)/ 65536, 32768),0)/32768),0))</f>
        <v>Plainspirit</v>
      </c>
      <c r="E496" s="16" t="str">
        <f t="array" ref="E496">INDEX(NPCClass,TRUNC(1+(COUNTA(NPCClass))*(TRUNC(MOD(($B496*1103515245 +12345)/ 65536, 32768),0)/32768),0))</f>
        <v>Sorcerer</v>
      </c>
      <c r="F496" s="76">
        <v>8</v>
      </c>
      <c r="G496" s="153">
        <f ca="1">VLOOKUP($AB$2,'RF Mod'!$A$2:$G$12,2,FALSE)+VLOOKUP($AD$2,'RF Mod'!$I$2:$O$11,2,FALSE)+(TRUNC(6+(24-6)*(TRUNC(MOD(($Z496*1103515245 +12345)/ 65536, 32768),0)/32768),0))</f>
        <v>9</v>
      </c>
      <c r="H496" s="16">
        <f t="shared" ca="1" si="17"/>
        <v>-1</v>
      </c>
      <c r="I496" s="153">
        <f ca="1">VLOOKUP($AB$2,'RF Mod'!$A$2:$G$12,3,FALSE)+VLOOKUP($AD$2,'RF Mod'!$I$2:$O$11,3,FALSE)+(TRUNC(6+(24-6)*(TRUNC(MOD(($Z496*1103515245 +12345)/ 65536, 32768),0)/32768),0))</f>
        <v>13</v>
      </c>
      <c r="J496" s="16" t="e">
        <f t="shared" ca="1" si="18"/>
        <v>#NAME?</v>
      </c>
      <c r="K496" s="153">
        <f ca="1">VLOOKUP($AB$2,'RF Mod'!$A$2:$G$12,3,FALSE)+VLOOKUP($AD$2,'RF Mod'!$I$2:$O$11,3,FALSE)+(TRUNC(6+(24-6)*(TRUNC(MOD(($Z496*1103515245 +12345)/ 65536, 32768),0)/32768),0))</f>
        <v>13</v>
      </c>
      <c r="L496" s="16" t="e">
        <f t="shared" ca="1" si="19"/>
        <v>#NAME?</v>
      </c>
      <c r="M496" s="153">
        <f ca="1">VLOOKUP($AB$2,'RF Mod'!$A$2:$G$12,4,FALSE)+VLOOKUP($AD$2,'RF Mod'!$I$2:$O$11,4,FALSE)+(TRUNC(6+(24-6)*(TRUNC(MOD(($Z496*1103515245 +12345)/ 65536, 32768),0)/32768),0))</f>
        <v>12</v>
      </c>
      <c r="N496" s="16" t="e">
        <f t="shared" ca="1" si="20"/>
        <v>#NAME?</v>
      </c>
      <c r="O496" s="153">
        <f ca="1">VLOOKUP($AB$2,'RF Mod'!$A$2:$G$12,5,FALSE)+VLOOKUP($AD$2,'RF Mod'!$I$2:$O$11,5,FALSE)+(TRUNC(6+(24-6)*(TRUNC(MOD(($Z496*1103515245 +12345)/ 65536, 32768),0)/32768),0))</f>
        <v>15</v>
      </c>
      <c r="P496" s="16" t="e">
        <f t="shared" ca="1" si="21"/>
        <v>#NAME?</v>
      </c>
      <c r="Q496" s="153">
        <f ca="1">VLOOKUP($AB$2,'RF Mod'!$A$2:$G$12,6,FALSE)+VLOOKUP($AD$2,'RF Mod'!$I$2:$O$11,6,FALSE)+(TRUNC(6+(24-6)*(TRUNC(MOD(($Z496*1103515245 +12345)/ 65536, 32768),0)/32768),0))</f>
        <v>13</v>
      </c>
      <c r="R496" s="16" t="e">
        <f t="shared" ca="1" si="22"/>
        <v>#NAME?</v>
      </c>
      <c r="S496" s="154">
        <f t="shared" ca="1" si="28"/>
        <v>136</v>
      </c>
      <c r="T496" s="154">
        <f t="shared" ca="1" si="23"/>
        <v>88</v>
      </c>
      <c r="U496" s="16" t="str">
        <f t="shared" ca="1" si="24"/>
        <v>Bloody</v>
      </c>
      <c r="V496" s="155">
        <f ca="1">IFERROR(__xludf.DUMMYFUNCTION("if(W496=""Middle Age"",QUERY(NPCVar!$K$2:$N1000, ""Select L where K = '""&amp;AB496&amp;""'""),if(W496=""Old"",QUERY(NPCVar!$K$2:$N1000, ""Select M where K = '""&amp;AB496&amp;""'""),if(W496=""Venerable"",QUERY(NPCVar!$K$2:$N1000, ""Select N where K = '""&amp;AB496&amp;""'""),fa"&amp;"lse)))*X496"),280)</f>
        <v>280</v>
      </c>
      <c r="W496" s="156" t="str">
        <f t="array" ref="W496">INDEX(NPCAgeType,TRUNC(1+(4-1)*(TRUNC(MOD((X496*1103515245 +12345)/ 65536, 32768),0)/32768),0))</f>
        <v>Venerable</v>
      </c>
      <c r="X496" s="117">
        <f t="shared" si="29"/>
        <v>1.4</v>
      </c>
      <c r="Y496" s="157" t="e">
        <f t="array" aca="1" ref="Y496" ca="1">LOOKUP(ABS(MAX(Z496 + MIN(ABS(INDIRECT("Class Jobs!B"&amp;MATCH(E496,'Class Jobs'!$A$1:$A1000,0)&amp;":"&amp;"AF"&amp;MATCH(E496,'Class Jobs'!$A$1:$A1000,0)&amp;"")-$Z496)) * SUM(IF(MIN(ABS(INDIRECT("Class Jobs!B"&amp;MATCH(E496,'Class Jobs'!$A$1:$A1000,0)&amp;":"&amp;"AF"&amp;MATCH(E496,'Class Jobs'!$A$1:$A1000,0)&amp;"")-$Z496))=ABS(INDIRECT("Class Jobs!B"&amp;MATCH(E496,'Class Jobs'!$A$1:$A1000,0)&amp;":"&amp;"AF"&amp;MATCH(E496,'Class Jobs'!$A$1:$A1000,0)&amp;"")-$Z496),SIGN(INDIRECT("Class Jobs!B"&amp;MATCH(E496,'Class Jobs'!$A$1:A1000,0)&amp;":"&amp;"AF"&amp;MATCH(E496,'Class Jobs'!$A$1:$A1000,0)&amp;"")-$Z496),0)),0)),INDIRECT("Class Jobs!B"&amp;MATCH(E496,'Class Jobs'!$A$1:$A1000,0)&amp;":"&amp;"AF"&amp;MATCH(E496,'Class Jobs'!$A$1:$A1000,1)&amp;""),'Class Jobs'!$B$1:$AF$1)</f>
        <v>#REF!</v>
      </c>
      <c r="Z496" s="158">
        <f t="shared" si="25"/>
        <v>0.56000000000000005</v>
      </c>
      <c r="AA496" s="16" t="str">
        <f t="array" ref="AA496">INDEX(NPCGender,TRUNC(1+(COUNTA(NPCGender))*(TRUNC(MOD(($B496*1103515245 +12345)/ 65536, 32768),0)/32768),0))</f>
        <v>Female</v>
      </c>
      <c r="AB496" s="16" t="str">
        <f t="array" ref="AB496">INDEX(NPCRace,TRUNC(1+(COUNTA(NPCRace))*(TRUNC(MOD(($B496*1103515245 +12345)/ 65536, 32768),0)/32768),0))</f>
        <v>Halfling</v>
      </c>
      <c r="AC496" s="16" t="str">
        <f t="array" ref="AC496">INDEX(NPCAL,TRUNC(1+(COUNTA(NPCAL))*(TRUNC(MOD(($B496*1103515245 +12345)/ 65536, 32768),0)/32768),0))</f>
        <v>NE</v>
      </c>
      <c r="AD496" s="72" t="str">
        <f ca="1">IFERROR(__xludf.DUMMYFUNCTION("if(V496&lt;15,QUERY(NPCVar!C:D,""Select D WHERE C = '""&amp;D496&amp;""'""),if((TRUNC(1+10)*(TRUNC(MOD((ROW(H496)*1103515245 +12345)/ 65536, 32768),0)/32768)/10) &gt; 0.85,INDEX(NPCFaction,TRUNC(1+(counta(NPCFaction)-1)*(TRUNC(MOD(($B496*1103515245 +12345)/ 65536, 3276"&amp;"8),0)/32768),0)),QUERY(NPCVar!C:D,""Select D WHERE C = '""&amp;D496&amp;""'"")))"),"Death Guild")</f>
        <v>Death Guild</v>
      </c>
      <c r="AE496" s="108" t="e">
        <f t="shared" ca="1" si="26"/>
        <v>#NAME?</v>
      </c>
      <c r="AF496" s="159">
        <f ca="1">IFERROR(__xludf.DUMMYFUNCTION("AE496*(V496 / QUERY(NPCVar!$K$2:$N$12, ""Select N WHERE K='""&amp;AB496&amp;""'""))*TRUNC(1+10)*(TRUNC(MOD(($B496*1103515245 +12345)/ 65536, 32768),0)/32768)"),4.30939636230468)</f>
        <v>4.30939636230468</v>
      </c>
      <c r="AG496" s="16"/>
      <c r="AH496" s="77"/>
      <c r="AI496" s="114"/>
    </row>
    <row r="497" spans="1:35" ht="16.2">
      <c r="A497" s="53">
        <v>496</v>
      </c>
      <c r="B497" s="118">
        <f t="shared" si="32"/>
        <v>8.3320000000000005E-2</v>
      </c>
      <c r="C497" s="72" t="str">
        <f t="array" ref="C497">INDEX(NPCFName,TRUNC(1+(COUNTA(NPCFName))*(TRUNC(MOD(($B497*1103515245 +12345)/ 65536, 32768),0)/32768),0))</f>
        <v>Caelholdt</v>
      </c>
      <c r="D497" s="16" t="str">
        <f t="array" ref="D497">INDEX(NPCLName,TRUNC(1+(COUNTA(NPCLName))*(TRUNC(MOD(($B497*1103515245 +12345)/ 65536, 32768),0)/32768),0))</f>
        <v>Crystalgazer</v>
      </c>
      <c r="E497" s="16" t="str">
        <f t="array" ref="E497">INDEX(NPCClass,TRUNC(1+(COUNTA(NPCClass))*(TRUNC(MOD(($B497*1103515245 +12345)/ 65536, 32768),0)/32768),0))</f>
        <v>Barbarian</v>
      </c>
      <c r="F497" s="76">
        <v>1</v>
      </c>
      <c r="G497" s="153">
        <f ca="1">VLOOKUP($AB$2,'RF Mod'!$A$2:$G$12,2,FALSE)+VLOOKUP($AD$2,'RF Mod'!$I$2:$O$11,2,FALSE)+(TRUNC(6+(24-6)*(TRUNC(MOD(($Z497*1103515245 +12345)/ 65536, 32768),0)/32768),0))</f>
        <v>4</v>
      </c>
      <c r="H497" s="16">
        <f t="shared" ca="1" si="17"/>
        <v>-3</v>
      </c>
      <c r="I497" s="153">
        <f ca="1">VLOOKUP($AB$2,'RF Mod'!$A$2:$G$12,3,FALSE)+VLOOKUP($AD$2,'RF Mod'!$I$2:$O$11,3,FALSE)+(TRUNC(6+(24-6)*(TRUNC(MOD(($Z497*1103515245 +12345)/ 65536, 32768),0)/32768),0))</f>
        <v>8</v>
      </c>
      <c r="J497" s="16">
        <f t="shared" ca="1" si="18"/>
        <v>-1</v>
      </c>
      <c r="K497" s="153">
        <f ca="1">VLOOKUP($AB$2,'RF Mod'!$A$2:$G$12,3,FALSE)+VLOOKUP($AD$2,'RF Mod'!$I$2:$O$11,3,FALSE)+(TRUNC(6+(24-6)*(TRUNC(MOD(($Z497*1103515245 +12345)/ 65536, 32768),0)/32768),0))</f>
        <v>8</v>
      </c>
      <c r="L497" s="16">
        <f t="shared" ca="1" si="19"/>
        <v>-1</v>
      </c>
      <c r="M497" s="153">
        <f ca="1">VLOOKUP($AB$2,'RF Mod'!$A$2:$G$12,4,FALSE)+VLOOKUP($AD$2,'RF Mod'!$I$2:$O$11,4,FALSE)+(TRUNC(6+(24-6)*(TRUNC(MOD(($Z497*1103515245 +12345)/ 65536, 32768),0)/32768),0))</f>
        <v>7</v>
      </c>
      <c r="N497" s="16">
        <f t="shared" ca="1" si="20"/>
        <v>-2</v>
      </c>
      <c r="O497" s="153">
        <f ca="1">VLOOKUP($AB$2,'RF Mod'!$A$2:$G$12,5,FALSE)+VLOOKUP($AD$2,'RF Mod'!$I$2:$O$11,5,FALSE)+(TRUNC(6+(24-6)*(TRUNC(MOD(($Z497*1103515245 +12345)/ 65536, 32768),0)/32768),0))</f>
        <v>10</v>
      </c>
      <c r="P497" s="16" t="e">
        <f t="shared" ca="1" si="21"/>
        <v>#NAME?</v>
      </c>
      <c r="Q497" s="153">
        <f ca="1">VLOOKUP($AB$2,'RF Mod'!$A$2:$G$12,6,FALSE)+VLOOKUP($AD$2,'RF Mod'!$I$2:$O$11,6,FALSE)+(TRUNC(6+(24-6)*(TRUNC(MOD(($Z497*1103515245 +12345)/ 65536, 32768),0)/32768),0))</f>
        <v>8</v>
      </c>
      <c r="R497" s="16">
        <f t="shared" ca="1" si="22"/>
        <v>-1</v>
      </c>
      <c r="S497" s="154">
        <f t="shared" ca="1" si="28"/>
        <v>10</v>
      </c>
      <c r="T497" s="154">
        <f t="shared" ca="1" si="23"/>
        <v>8</v>
      </c>
      <c r="U497" s="16" t="str">
        <f t="shared" ca="1" si="24"/>
        <v>Bloody</v>
      </c>
      <c r="V497" s="155">
        <f ca="1">IFERROR(__xludf.DUMMYFUNCTION("if(W497=""Middle Age"",QUERY(NPCVar!$K$2:$N1000, ""Select L where K = '""&amp;AB497&amp;""'""),if(W497=""Old"",QUERY(NPCVar!$K$2:$N1000, ""Select M where K = '""&amp;AB497&amp;""'""),if(W497=""Venerable"",QUERY(NPCVar!$K$2:$N1000, ""Select N where K = '""&amp;AB497&amp;""'""),fa"&amp;"lse)))*X497"),4)</f>
        <v>4</v>
      </c>
      <c r="W497" s="156" t="str">
        <f t="array" ref="W497">INDEX(NPCAgeType,TRUNC(1+(4-1)*(TRUNC(MOD((X497*1103515245 +12345)/ 65536, 32768),0)/32768),0))</f>
        <v>Middle Age</v>
      </c>
      <c r="X497" s="117">
        <f t="shared" si="29"/>
        <v>0.2</v>
      </c>
      <c r="Y497" s="157" t="e">
        <f t="array" aca="1" ref="Y497" ca="1">LOOKUP(ABS(MAX(Z497 + MIN(ABS(INDIRECT("Class Jobs!B"&amp;MATCH(E497,'Class Jobs'!$A$1:$A1000,0)&amp;":"&amp;"AF"&amp;MATCH(E497,'Class Jobs'!$A$1:$A1000,0)&amp;"")-$Z497)) * SUM(IF(MIN(ABS(INDIRECT("Class Jobs!B"&amp;MATCH(E497,'Class Jobs'!$A$1:$A1000,0)&amp;":"&amp;"AF"&amp;MATCH(E497,'Class Jobs'!$A$1:$A1000,0)&amp;"")-$Z497))=ABS(INDIRECT("Class Jobs!B"&amp;MATCH(E497,'Class Jobs'!$A$1:$A1000,0)&amp;":"&amp;"AF"&amp;MATCH(E497,'Class Jobs'!$A$1:$A1000,0)&amp;"")-$Z497),SIGN(INDIRECT("Class Jobs!B"&amp;MATCH(E497,'Class Jobs'!$A$1:A1000,0)&amp;":"&amp;"AF"&amp;MATCH(E497,'Class Jobs'!$A$1:$A1000,0)&amp;"")-$Z497),0)),0)),INDIRECT("Class Jobs!B"&amp;MATCH(E497,'Class Jobs'!$A$1:$A1000,0)&amp;":"&amp;"AF"&amp;MATCH(E497,'Class Jobs'!$A$1:$A1000,1)&amp;""),'Class Jobs'!$B$1:$AF$1)</f>
        <v>#REF!</v>
      </c>
      <c r="Z497" s="158">
        <f t="shared" si="25"/>
        <v>0.05</v>
      </c>
      <c r="AA497" s="16" t="str">
        <f t="array" ref="AA497">INDEX(NPCGender,TRUNC(1+(COUNTA(NPCGender))*(TRUNC(MOD(($B497*1103515245 +12345)/ 65536, 32768),0)/32768),0))</f>
        <v>Male</v>
      </c>
      <c r="AB497" s="16" t="str">
        <f t="array" ref="AB497">INDEX(NPCRace,TRUNC(1+(COUNTA(NPCRace))*(TRUNC(MOD(($B497*1103515245 +12345)/ 65536, 32768),0)/32768),0))</f>
        <v>Dragonborn</v>
      </c>
      <c r="AC497" s="16" t="str">
        <f t="array" ref="AC497">INDEX(NPCAL,TRUNC(1+(COUNTA(NPCAL))*(TRUNC(MOD(($B497*1103515245 +12345)/ 65536, 32768),0)/32768),0))</f>
        <v>CN</v>
      </c>
      <c r="AD497" s="72" t="str">
        <f ca="1">IFERROR(__xludf.DUMMYFUNCTION("if(V497&lt;15,QUERY(NPCVar!C:D,""Select D WHERE C = '""&amp;D497&amp;""'""),if((TRUNC(1+10)*(TRUNC(MOD((ROW(H497)*1103515245 +12345)/ 65536, 32768),0)/32768)/10) &gt; 0.85,INDEX(NPCFaction,TRUNC(1+(counta(NPCFaction)-1)*(TRUNC(MOD(($B497*1103515245 +12345)/ 65536, 3276"&amp;"8),0)/32768),0)),QUERY(NPCVar!C:D,""Select D WHERE C = '""&amp;D497&amp;""'"")))"),"Death Guild")</f>
        <v>Death Guild</v>
      </c>
      <c r="AE497" s="108" t="e">
        <f t="shared" ca="1" si="26"/>
        <v>#NAME?</v>
      </c>
      <c r="AF497" s="159">
        <f ca="1">IFERROR(__xludf.DUMMYFUNCTION("AE497*(V497 / QUERY(NPCVar!$K$2:$N$12, ""Select N WHERE K='""&amp;AB497&amp;""'""))*TRUNC(1+10)*(TRUNC(MOD(($B497*1103515245 +12345)/ 65536, 32768),0)/32768)"),0.0117744445800781)</f>
        <v>1.17744445800781E-2</v>
      </c>
      <c r="AG497" s="16"/>
      <c r="AH497" s="77"/>
      <c r="AI497" s="114"/>
    </row>
    <row r="498" spans="1:35" ht="16.2">
      <c r="A498" s="53">
        <v>497</v>
      </c>
      <c r="B498" s="118">
        <f t="shared" si="32"/>
        <v>1.57745</v>
      </c>
      <c r="C498" s="72" t="str">
        <f t="array" ref="C498">INDEX(NPCFName,TRUNC(1+(COUNTA(NPCFName))*(TRUNC(MOD(($B498*1103515245 +12345)/ 65536, 32768),0)/32768),0))</f>
        <v>Ironmark</v>
      </c>
      <c r="D498" s="16" t="str">
        <f t="array" ref="D498">INDEX(NPCLName,TRUNC(1+(COUNTA(NPCLName))*(TRUNC(MOD(($B498*1103515245 +12345)/ 65536, 32768),0)/32768),0))</f>
        <v>Deepcrest</v>
      </c>
      <c r="E498" s="16" t="str">
        <f t="array" ref="E498">INDEX(NPCClass,TRUNC(1+(COUNTA(NPCClass))*(TRUNC(MOD(($B498*1103515245 +12345)/ 65536, 32768),0)/32768),0))</f>
        <v>Cleric</v>
      </c>
      <c r="F498" s="76">
        <v>8</v>
      </c>
      <c r="G498" s="153">
        <f ca="1">VLOOKUP($AB$2,'RF Mod'!$A$2:$G$12,2,FALSE)+VLOOKUP($AD$2,'RF Mod'!$I$2:$O$11,2,FALSE)+(TRUNC(6+(24-6)*(TRUNC(MOD(($Z498*1103515245 +12345)/ 65536, 32768),0)/32768),0))</f>
        <v>11</v>
      </c>
      <c r="H498" s="16" t="e">
        <f t="shared" ca="1" si="17"/>
        <v>#NAME?</v>
      </c>
      <c r="I498" s="153">
        <f ca="1">VLOOKUP($AB$2,'RF Mod'!$A$2:$G$12,3,FALSE)+VLOOKUP($AD$2,'RF Mod'!$I$2:$O$11,3,FALSE)+(TRUNC(6+(24-6)*(TRUNC(MOD(($Z498*1103515245 +12345)/ 65536, 32768),0)/32768),0))</f>
        <v>15</v>
      </c>
      <c r="J498" s="16" t="e">
        <f t="shared" ca="1" si="18"/>
        <v>#NAME?</v>
      </c>
      <c r="K498" s="153">
        <f ca="1">VLOOKUP($AB$2,'RF Mod'!$A$2:$G$12,3,FALSE)+VLOOKUP($AD$2,'RF Mod'!$I$2:$O$11,3,FALSE)+(TRUNC(6+(24-6)*(TRUNC(MOD(($Z498*1103515245 +12345)/ 65536, 32768),0)/32768),0))</f>
        <v>15</v>
      </c>
      <c r="L498" s="16" t="e">
        <f t="shared" ca="1" si="19"/>
        <v>#NAME?</v>
      </c>
      <c r="M498" s="153">
        <f ca="1">VLOOKUP($AB$2,'RF Mod'!$A$2:$G$12,4,FALSE)+VLOOKUP($AD$2,'RF Mod'!$I$2:$O$11,4,FALSE)+(TRUNC(6+(24-6)*(TRUNC(MOD(($Z498*1103515245 +12345)/ 65536, 32768),0)/32768),0))</f>
        <v>14</v>
      </c>
      <c r="N498" s="16" t="e">
        <f t="shared" ca="1" si="20"/>
        <v>#NAME?</v>
      </c>
      <c r="O498" s="153">
        <f ca="1">VLOOKUP($AB$2,'RF Mod'!$A$2:$G$12,5,FALSE)+VLOOKUP($AD$2,'RF Mod'!$I$2:$O$11,5,FALSE)+(TRUNC(6+(24-6)*(TRUNC(MOD(($Z498*1103515245 +12345)/ 65536, 32768),0)/32768),0))</f>
        <v>17</v>
      </c>
      <c r="P498" s="16" t="e">
        <f t="shared" ca="1" si="21"/>
        <v>#NAME?</v>
      </c>
      <c r="Q498" s="153">
        <f ca="1">VLOOKUP($AB$2,'RF Mod'!$A$2:$G$12,6,FALSE)+VLOOKUP($AD$2,'RF Mod'!$I$2:$O$11,6,FALSE)+(TRUNC(6+(24-6)*(TRUNC(MOD(($Z498*1103515245 +12345)/ 65536, 32768),0)/32768),0))</f>
        <v>15</v>
      </c>
      <c r="R498" s="16" t="e">
        <f t="shared" ca="1" si="22"/>
        <v>#NAME?</v>
      </c>
      <c r="S498" s="154">
        <f t="shared" ca="1" si="28"/>
        <v>152</v>
      </c>
      <c r="T498" s="154">
        <f t="shared" ca="1" si="23"/>
        <v>8</v>
      </c>
      <c r="U498" s="16" t="str">
        <f t="shared" ca="1" si="24"/>
        <v>Fine</v>
      </c>
      <c r="V498" s="155">
        <f ca="1">IFERROR(__xludf.DUMMYFUNCTION("if(W498=""Middle Age"",QUERY(NPCVar!$K$2:$N1000, ""Select L where K = '""&amp;AB498&amp;""'""),if(W498=""Old"",QUERY(NPCVar!$K$2:$N1000, ""Select M where K = '""&amp;AB498&amp;""'""),if(W498=""Venerable"",QUERY(NPCVar!$K$2:$N1000, ""Select N where K = '""&amp;AB498&amp;""'""),fa"&amp;"lse)))*X498"),50)</f>
        <v>50</v>
      </c>
      <c r="W498" s="156" t="str">
        <f t="array" ref="W498">INDEX(NPCAgeType,TRUNC(1+(4-1)*(TRUNC(MOD((X498*1103515245 +12345)/ 65536, 32768),0)/32768),0))</f>
        <v>Middle Age</v>
      </c>
      <c r="X498" s="117">
        <f t="shared" si="29"/>
        <v>2</v>
      </c>
      <c r="Y498" s="157" t="e">
        <f t="array" aca="1" ref="Y498" ca="1">LOOKUP(ABS(MAX(Z498 + MIN(ABS(INDIRECT("Class Jobs!B"&amp;MATCH(E498,'Class Jobs'!$A$1:$A1000,0)&amp;":"&amp;"AF"&amp;MATCH(E498,'Class Jobs'!$A$1:$A1000,0)&amp;"")-$Z498)) * SUM(IF(MIN(ABS(INDIRECT("Class Jobs!B"&amp;MATCH(E498,'Class Jobs'!$A$1:$A1000,0)&amp;":"&amp;"AF"&amp;MATCH(E498,'Class Jobs'!$A$1:$A1000,0)&amp;"")-$Z498))=ABS(INDIRECT("Class Jobs!B"&amp;MATCH(E498,'Class Jobs'!$A$1:$A1000,0)&amp;":"&amp;"AF"&amp;MATCH(E498,'Class Jobs'!$A$1:$A1000,0)&amp;"")-$Z498),SIGN(INDIRECT("Class Jobs!B"&amp;MATCH(E498,'Class Jobs'!$A$1:A1000,0)&amp;":"&amp;"AF"&amp;MATCH(E498,'Class Jobs'!$A$1:$A1000,0)&amp;"")-$Z498),0)),0)),INDIRECT("Class Jobs!B"&amp;MATCH(E498,'Class Jobs'!$A$1:$A1000,0)&amp;":"&amp;"AF"&amp;MATCH(E498,'Class Jobs'!$A$1:$A1000,1)&amp;""),'Class Jobs'!$B$1:$AF$1)</f>
        <v>#REF!</v>
      </c>
      <c r="Z498" s="158">
        <f t="shared" si="25"/>
        <v>0.81</v>
      </c>
      <c r="AA498" s="16" t="str">
        <f t="array" ref="AA498">INDEX(NPCGender,TRUNC(1+(COUNTA(NPCGender))*(TRUNC(MOD(($B498*1103515245 +12345)/ 65536, 32768),0)/32768),0))</f>
        <v>Neutral</v>
      </c>
      <c r="AB498" s="16" t="str">
        <f t="array" ref="AB498">INDEX(NPCRace,TRUNC(1+(COUNTA(NPCRace))*(TRUNC(MOD(($B498*1103515245 +12345)/ 65536, 32768),0)/32768),0))</f>
        <v>Tiefling</v>
      </c>
      <c r="AC498" s="16" t="str">
        <f t="array" ref="AC498">INDEX(NPCAL,TRUNC(1+(COUNTA(NPCAL))*(TRUNC(MOD(($B498*1103515245 +12345)/ 65536, 32768),0)/32768),0))</f>
        <v>LN</v>
      </c>
      <c r="AD498" s="72" t="str">
        <f ca="1">IFERROR(__xludf.DUMMYFUNCTION("if(V498&lt;15,QUERY(NPCVar!C:D,""Select D WHERE C = '""&amp;D498&amp;""'""),if((TRUNC(1+10)*(TRUNC(MOD((ROW(H498)*1103515245 +12345)/ 65536, 32768),0)/32768)/10) &gt; 0.85,INDEX(NPCFaction,TRUNC(1+(counta(NPCFaction)-1)*(TRUNC(MOD(($B498*1103515245 +12345)/ 65536, 3276"&amp;"8),0)/32768),0)),QUERY(NPCVar!C:D,""Select D WHERE C = '""&amp;D498&amp;""'"")))"),"Farmers Guild")</f>
        <v>Farmers Guild</v>
      </c>
      <c r="AE498" s="108" t="e">
        <f t="shared" ca="1" si="26"/>
        <v>#NAME?</v>
      </c>
      <c r="AF498" s="159">
        <f ca="1">IFERROR(__xludf.DUMMYFUNCTION("AE498*(V498 / QUERY(NPCVar!$K$2:$N$12, ""Select N WHERE K='""&amp;AB498&amp;""'""))*TRUNC(1+10)*(TRUNC(MOD(($B498*1103515245 +12345)/ 65536, 32768),0)/32768)"),2.22908782958984)</f>
        <v>2.2290878295898402</v>
      </c>
      <c r="AG498" s="16"/>
      <c r="AH498" s="77"/>
      <c r="AI498" s="114"/>
    </row>
    <row r="499" spans="1:35" ht="16.2">
      <c r="A499" s="53">
        <v>498</v>
      </c>
      <c r="B499" s="118">
        <f t="shared" si="32"/>
        <v>0.5716</v>
      </c>
      <c r="C499" s="72" t="str">
        <f t="array" ref="C499">INDEX(NPCFName,TRUNC(1+(COUNTA(NPCFName))*(TRUNC(MOD(($B499*1103515245 +12345)/ 65536, 32768),0)/32768),0))</f>
        <v>Tyden</v>
      </c>
      <c r="D499" s="16" t="str">
        <f t="array" ref="D499">INDEX(NPCLName,TRUNC(1+(COUNTA(NPCLName))*(TRUNC(MOD(($B499*1103515245 +12345)/ 65536, 32768),0)/32768),0))</f>
        <v>Commonscream</v>
      </c>
      <c r="E499" s="16" t="str">
        <f t="array" ref="E499">INDEX(NPCClass,TRUNC(1+(COUNTA(NPCClass))*(TRUNC(MOD(($B499*1103515245 +12345)/ 65536, 32768),0)/32768),0))</f>
        <v>Monk</v>
      </c>
      <c r="F499" s="76">
        <v>5</v>
      </c>
      <c r="G499" s="153">
        <f ca="1">VLOOKUP($AB$2,'RF Mod'!$A$2:$G$12,2,FALSE)+VLOOKUP($AD$2,'RF Mod'!$I$2:$O$11,2,FALSE)+(TRUNC(6+(24-6)*(TRUNC(MOD(($Z499*1103515245 +12345)/ 65536, 32768),0)/32768),0))</f>
        <v>6</v>
      </c>
      <c r="H499" s="16">
        <f t="shared" ca="1" si="17"/>
        <v>-2</v>
      </c>
      <c r="I499" s="153">
        <f ca="1">VLOOKUP($AB$2,'RF Mod'!$A$2:$G$12,3,FALSE)+VLOOKUP($AD$2,'RF Mod'!$I$2:$O$11,3,FALSE)+(TRUNC(6+(24-6)*(TRUNC(MOD(($Z499*1103515245 +12345)/ 65536, 32768),0)/32768),0))</f>
        <v>10</v>
      </c>
      <c r="J499" s="16" t="e">
        <f t="shared" ca="1" si="18"/>
        <v>#NAME?</v>
      </c>
      <c r="K499" s="153">
        <f ca="1">VLOOKUP($AB$2,'RF Mod'!$A$2:$G$12,3,FALSE)+VLOOKUP($AD$2,'RF Mod'!$I$2:$O$11,3,FALSE)+(TRUNC(6+(24-6)*(TRUNC(MOD(($Z499*1103515245 +12345)/ 65536, 32768),0)/32768),0))</f>
        <v>10</v>
      </c>
      <c r="L499" s="16" t="e">
        <f t="shared" ca="1" si="19"/>
        <v>#NAME?</v>
      </c>
      <c r="M499" s="153">
        <f ca="1">VLOOKUP($AB$2,'RF Mod'!$A$2:$G$12,4,FALSE)+VLOOKUP($AD$2,'RF Mod'!$I$2:$O$11,4,FALSE)+(TRUNC(6+(24-6)*(TRUNC(MOD(($Z499*1103515245 +12345)/ 65536, 32768),0)/32768),0))</f>
        <v>9</v>
      </c>
      <c r="N499" s="16">
        <f t="shared" ca="1" si="20"/>
        <v>-1</v>
      </c>
      <c r="O499" s="153">
        <f ca="1">VLOOKUP($AB$2,'RF Mod'!$A$2:$G$12,5,FALSE)+VLOOKUP($AD$2,'RF Mod'!$I$2:$O$11,5,FALSE)+(TRUNC(6+(24-6)*(TRUNC(MOD(($Z499*1103515245 +12345)/ 65536, 32768),0)/32768),0))</f>
        <v>12</v>
      </c>
      <c r="P499" s="16" t="e">
        <f t="shared" ca="1" si="21"/>
        <v>#NAME?</v>
      </c>
      <c r="Q499" s="153">
        <f ca="1">VLOOKUP($AB$2,'RF Mod'!$A$2:$G$12,6,FALSE)+VLOOKUP($AD$2,'RF Mod'!$I$2:$O$11,6,FALSE)+(TRUNC(6+(24-6)*(TRUNC(MOD(($Z499*1103515245 +12345)/ 65536, 32768),0)/32768),0))</f>
        <v>10</v>
      </c>
      <c r="R499" s="16" t="e">
        <f t="shared" ca="1" si="22"/>
        <v>#NAME?</v>
      </c>
      <c r="S499" s="154">
        <f t="shared" ca="1" si="28"/>
        <v>90</v>
      </c>
      <c r="T499" s="154">
        <f t="shared" ca="1" si="23"/>
        <v>69</v>
      </c>
      <c r="U499" s="16" t="str">
        <f t="shared" ca="1" si="24"/>
        <v>Bloody</v>
      </c>
      <c r="V499" s="155">
        <f ca="1">IFERROR(__xludf.DUMMYFUNCTION("if(W499=""Middle Age"",QUERY(NPCVar!$K$2:$N1000, ""Select L where K = '""&amp;AB499&amp;""'""),if(W499=""Old"",QUERY(NPCVar!$K$2:$N1000, ""Select M where K = '""&amp;AB499&amp;""'""),if(W499=""Venerable"",QUERY(NPCVar!$K$2:$N1000, ""Select N where K = '""&amp;AB499&amp;""'""),fa"&amp;"lse)))*X499"),135)</f>
        <v>135</v>
      </c>
      <c r="W499" s="156" t="str">
        <f t="array" ref="W499">INDEX(NPCAgeType,TRUNC(1+(4-1)*(TRUNC(MOD((X499*1103515245 +12345)/ 65536, 32768),0)/32768),0))</f>
        <v>Old</v>
      </c>
      <c r="X499" s="117">
        <f t="shared" si="29"/>
        <v>0.8</v>
      </c>
      <c r="Y499" s="157" t="e">
        <f t="array" aca="1" ref="Y499" ca="1">LOOKUP(ABS(MAX(Z499 + MIN(ABS(INDIRECT("Class Jobs!B"&amp;MATCH(E499,'Class Jobs'!$A$1:$A1000,0)&amp;":"&amp;"AF"&amp;MATCH(E499,'Class Jobs'!$A$1:$A1000,0)&amp;"")-$Z499)) * SUM(IF(MIN(ABS(INDIRECT("Class Jobs!B"&amp;MATCH(E499,'Class Jobs'!$A$1:$A1000,0)&amp;":"&amp;"AF"&amp;MATCH(E499,'Class Jobs'!$A$1:$A1000,0)&amp;"")-$Z499))=ABS(INDIRECT("Class Jobs!B"&amp;MATCH(E499,'Class Jobs'!$A$1:$A1000,0)&amp;":"&amp;"AF"&amp;MATCH(E499,'Class Jobs'!$A$1:$A1000,0)&amp;"")-$Z499),SIGN(INDIRECT("Class Jobs!B"&amp;MATCH(E499,'Class Jobs'!$A$1:A1000,0)&amp;":"&amp;"AF"&amp;MATCH(E499,'Class Jobs'!$A$1:$A1000,0)&amp;"")-$Z499),0)),0)),INDIRECT("Class Jobs!B"&amp;MATCH(E499,'Class Jobs'!$A$1:$A1000,0)&amp;":"&amp;"AF"&amp;MATCH(E499,'Class Jobs'!$A$1:$A1000,1)&amp;""),'Class Jobs'!$B$1:$AF$1)</f>
        <v>#REF!</v>
      </c>
      <c r="Z499" s="158">
        <f t="shared" si="25"/>
        <v>0.3</v>
      </c>
      <c r="AA499" s="16" t="str">
        <f t="array" ref="AA499">INDEX(NPCGender,TRUNC(1+(COUNTA(NPCGender))*(TRUNC(MOD(($B499*1103515245 +12345)/ 65536, 32768),0)/32768),0))</f>
        <v>Male</v>
      </c>
      <c r="AB499" s="16" t="str">
        <f t="array" ref="AB499">INDEX(NPCRace,TRUNC(1+(COUNTA(NPCRace))*(TRUNC(MOD(($B499*1103515245 +12345)/ 65536, 32768),0)/32768),0))</f>
        <v>Gnome</v>
      </c>
      <c r="AC499" s="16" t="str">
        <f t="array" ref="AC499">INDEX(NPCAL,TRUNC(1+(COUNTA(NPCAL))*(TRUNC(MOD(($B499*1103515245 +12345)/ 65536, 32768),0)/32768),0))</f>
        <v>CG</v>
      </c>
      <c r="AD499" s="72" t="str">
        <f ca="1">IFERROR(__xludf.DUMMYFUNCTION("if(V499&lt;15,QUERY(NPCVar!C:D,""Select D WHERE C = '""&amp;D499&amp;""'""),if((TRUNC(1+10)*(TRUNC(MOD((ROW(H499)*1103515245 +12345)/ 65536, 32768),0)/32768)/10) &gt; 0.85,INDEX(NPCFaction,TRUNC(1+(counta(NPCFaction)-1)*(TRUNC(MOD(($B499*1103515245 +12345)/ 65536, 3276"&amp;"8),0)/32768),0)),QUERY(NPCVar!C:D,""Select D WHERE C = '""&amp;D499&amp;""'"")))"),"Necromancer")</f>
        <v>Necromancer</v>
      </c>
      <c r="AE499" s="108" t="e">
        <f t="shared" ca="1" si="26"/>
        <v>#NAME?</v>
      </c>
      <c r="AF499" s="159">
        <f ca="1">IFERROR(__xludf.DUMMYFUNCTION("AE499*(V499 / QUERY(NPCVar!$K$2:$N$12, ""Select N WHERE K='""&amp;AB499&amp;""'""))*TRUNC(1+10)*(TRUNC(MOD(($B499*1103515245 +12345)/ 65536, 32768),0)/32768)"),0.67844970703125)</f>
        <v>0.67844970703124996</v>
      </c>
      <c r="AG499" s="16"/>
      <c r="AH499" s="77"/>
      <c r="AI499" s="114"/>
    </row>
    <row r="500" spans="1:35" ht="16.2">
      <c r="A500" s="53">
        <v>499</v>
      </c>
      <c r="B500" s="118">
        <f t="shared" si="32"/>
        <v>2.0657299999999998</v>
      </c>
      <c r="C500" s="72" t="str">
        <f t="array" ref="C500">INDEX(NPCFName,TRUNC(1+(COUNTA(NPCFName))*(TRUNC(MOD(($B500*1103515245 +12345)/ 65536, 32768),0)/32768),0))</f>
        <v>Cyton</v>
      </c>
      <c r="D500" s="16" t="str">
        <f t="array" ref="D500">INDEX(NPCLName,TRUNC(1+(COUNTA(NPCLName))*(TRUNC(MOD(($B500*1103515245 +12345)/ 65536, 32768),0)/32768),0))</f>
        <v>Crystalgazer</v>
      </c>
      <c r="E500" s="16" t="str">
        <f t="array" ref="E500">INDEX(NPCClass,TRUNC(1+(COUNTA(NPCClass))*(TRUNC(MOD(($B500*1103515245 +12345)/ 65536, 32768),0)/32768),0))</f>
        <v>Barbarian</v>
      </c>
      <c r="F500" s="76">
        <v>1</v>
      </c>
      <c r="G500" s="153">
        <f ca="1">VLOOKUP($AB$2,'RF Mod'!$A$2:$G$12,2,FALSE)+VLOOKUP($AD$2,'RF Mod'!$I$2:$O$11,2,FALSE)+(TRUNC(6+(24-6)*(TRUNC(MOD(($Z500*1103515245 +12345)/ 65536, 32768),0)/32768),0))</f>
        <v>4</v>
      </c>
      <c r="H500" s="16">
        <f t="shared" ca="1" si="17"/>
        <v>-3</v>
      </c>
      <c r="I500" s="153">
        <f ca="1">VLOOKUP($AB$2,'RF Mod'!$A$2:$G$12,3,FALSE)+VLOOKUP($AD$2,'RF Mod'!$I$2:$O$11,3,FALSE)+(TRUNC(6+(24-6)*(TRUNC(MOD(($Z500*1103515245 +12345)/ 65536, 32768),0)/32768),0))</f>
        <v>8</v>
      </c>
      <c r="J500" s="16">
        <f t="shared" ca="1" si="18"/>
        <v>-1</v>
      </c>
      <c r="K500" s="153">
        <f ca="1">VLOOKUP($AB$2,'RF Mod'!$A$2:$G$12,3,FALSE)+VLOOKUP($AD$2,'RF Mod'!$I$2:$O$11,3,FALSE)+(TRUNC(6+(24-6)*(TRUNC(MOD(($Z500*1103515245 +12345)/ 65536, 32768),0)/32768),0))</f>
        <v>8</v>
      </c>
      <c r="L500" s="16">
        <f t="shared" ca="1" si="19"/>
        <v>-1</v>
      </c>
      <c r="M500" s="153">
        <f ca="1">VLOOKUP($AB$2,'RF Mod'!$A$2:$G$12,4,FALSE)+VLOOKUP($AD$2,'RF Mod'!$I$2:$O$11,4,FALSE)+(TRUNC(6+(24-6)*(TRUNC(MOD(($Z500*1103515245 +12345)/ 65536, 32768),0)/32768),0))</f>
        <v>7</v>
      </c>
      <c r="N500" s="16">
        <f t="shared" ca="1" si="20"/>
        <v>-2</v>
      </c>
      <c r="O500" s="153">
        <f ca="1">VLOOKUP($AB$2,'RF Mod'!$A$2:$G$12,5,FALSE)+VLOOKUP($AD$2,'RF Mod'!$I$2:$O$11,5,FALSE)+(TRUNC(6+(24-6)*(TRUNC(MOD(($Z500*1103515245 +12345)/ 65536, 32768),0)/32768),0))</f>
        <v>10</v>
      </c>
      <c r="P500" s="16" t="e">
        <f t="shared" ca="1" si="21"/>
        <v>#NAME?</v>
      </c>
      <c r="Q500" s="153">
        <f ca="1">VLOOKUP($AB$2,'RF Mod'!$A$2:$G$12,6,FALSE)+VLOOKUP($AD$2,'RF Mod'!$I$2:$O$11,6,FALSE)+(TRUNC(6+(24-6)*(TRUNC(MOD(($Z500*1103515245 +12345)/ 65536, 32768),0)/32768),0))</f>
        <v>8</v>
      </c>
      <c r="R500" s="16">
        <f t="shared" ca="1" si="22"/>
        <v>-1</v>
      </c>
      <c r="S500" s="154">
        <f t="shared" ca="1" si="28"/>
        <v>10</v>
      </c>
      <c r="T500" s="154">
        <f t="shared" ca="1" si="23"/>
        <v>10</v>
      </c>
      <c r="U500" s="16" t="str">
        <f t="shared" ca="1" si="24"/>
        <v>Unconscious</v>
      </c>
      <c r="V500" s="155">
        <f ca="1">IFERROR(__xludf.DUMMYFUNCTION("if(W500=""Middle Age"",QUERY(NPCVar!$K$2:$N1000, ""Select L where K = '""&amp;AB500&amp;""'""),if(W500=""Old"",QUERY(NPCVar!$K$2:$N1000, ""Select M where K = '""&amp;AB500&amp;""'""),if(W500=""Venerable"",QUERY(NPCVar!$K$2:$N1000, ""Select N where K = '""&amp;AB500&amp;""'""),fa"&amp;"lse)))*X500"),4)</f>
        <v>4</v>
      </c>
      <c r="W500" s="156" t="str">
        <f t="array" ref="W500">INDEX(NPCAgeType,TRUNC(1+(4-1)*(TRUNC(MOD((X500*1103515245 +12345)/ 65536, 32768),0)/32768),0))</f>
        <v>Middle Age</v>
      </c>
      <c r="X500" s="117">
        <f t="shared" si="29"/>
        <v>0.2</v>
      </c>
      <c r="Y500" s="157" t="e">
        <f t="array" aca="1" ref="Y500" ca="1">LOOKUP(ABS(MAX(Z500 + MIN(ABS(INDIRECT("Class Jobs!B"&amp;MATCH(E500,'Class Jobs'!$A$1:$A1000,0)&amp;":"&amp;"AF"&amp;MATCH(E500,'Class Jobs'!$A$1:$A1000,0)&amp;"")-$Z500)) * SUM(IF(MIN(ABS(INDIRECT("Class Jobs!B"&amp;MATCH(E500,'Class Jobs'!$A$1:$A1000,0)&amp;":"&amp;"AF"&amp;MATCH(E500,'Class Jobs'!$A$1:$A1000,0)&amp;"")-$Z500))=ABS(INDIRECT("Class Jobs!B"&amp;MATCH(E500,'Class Jobs'!$A$1:$A1000,0)&amp;":"&amp;"AF"&amp;MATCH(E500,'Class Jobs'!$A$1:$A1000,0)&amp;"")-$Z500),SIGN(INDIRECT("Class Jobs!B"&amp;MATCH(E500,'Class Jobs'!$A$1:A1000,0)&amp;":"&amp;"AF"&amp;MATCH(E500,'Class Jobs'!$A$1:$A1000,0)&amp;"")-$Z500),0)),0)),INDIRECT("Class Jobs!B"&amp;MATCH(E500,'Class Jobs'!$A$1:$A1000,0)&amp;":"&amp;"AF"&amp;MATCH(E500,'Class Jobs'!$A$1:$A1000,1)&amp;""),'Class Jobs'!$B$1:$AF$1)</f>
        <v>#REF!</v>
      </c>
      <c r="Z500" s="158">
        <f t="shared" si="25"/>
        <v>7.0000000000000007E-2</v>
      </c>
      <c r="AA500" s="16" t="str">
        <f t="array" ref="AA500">INDEX(NPCGender,TRUNC(1+(COUNTA(NPCGender))*(TRUNC(MOD(($B500*1103515245 +12345)/ 65536, 32768),0)/32768),0))</f>
        <v>Male</v>
      </c>
      <c r="AB500" s="16" t="str">
        <f t="array" ref="AB500">INDEX(NPCRace,TRUNC(1+(COUNTA(NPCRace))*(TRUNC(MOD(($B500*1103515245 +12345)/ 65536, 32768),0)/32768),0))</f>
        <v>Dragonborn</v>
      </c>
      <c r="AC500" s="16" t="str">
        <f t="array" ref="AC500">INDEX(NPCAL,TRUNC(1+(COUNTA(NPCAL))*(TRUNC(MOD(($B500*1103515245 +12345)/ 65536, 32768),0)/32768),0))</f>
        <v>CN</v>
      </c>
      <c r="AD500" s="72" t="str">
        <f ca="1">IFERROR(__xludf.DUMMYFUNCTION("if(V500&lt;15,QUERY(NPCVar!C:D,""Select D WHERE C = '""&amp;D500&amp;""'""),if((TRUNC(1+10)*(TRUNC(MOD((ROW(H500)*1103515245 +12345)/ 65536, 32768),0)/32768)/10) &gt; 0.85,INDEX(NPCFaction,TRUNC(1+(counta(NPCFaction)-1)*(TRUNC(MOD(($B500*1103515245 +12345)/ 65536, 3276"&amp;"8),0)/32768),0)),QUERY(NPCVar!C:D,""Select D WHERE C = '""&amp;D500&amp;""'"")))"),"Death Guild")</f>
        <v>Death Guild</v>
      </c>
      <c r="AE500" s="108" t="e">
        <f t="shared" ca="1" si="26"/>
        <v>#NAME?</v>
      </c>
      <c r="AF500" s="159">
        <f ca="1">IFERROR(__xludf.DUMMYFUNCTION("AE500*(V500 / QUERY(NPCVar!$K$2:$N$12, ""Select N WHERE K='""&amp;AB500&amp;""'""))*TRUNC(1+10)*(TRUNC(MOD(($B500*1103515245 +12345)/ 65536, 32768),0)/32768)"),0.00338211059570312)</f>
        <v>3.3821105957031199E-3</v>
      </c>
      <c r="AG500" s="16"/>
      <c r="AH500" s="77"/>
      <c r="AI500" s="114"/>
    </row>
    <row r="501" spans="1:35" ht="16.2">
      <c r="A501" s="53">
        <v>500</v>
      </c>
      <c r="B501" s="118">
        <f t="shared" si="32"/>
        <v>1.0598799999999999</v>
      </c>
      <c r="C501" s="72" t="str">
        <f t="array" ref="C501">INDEX(NPCFName,TRUNC(1+(COUNTA(NPCFName))*(TRUNC(MOD(($B501*1103515245 +12345)/ 65536, 32768),0)/32768),0))</f>
        <v>Nythil</v>
      </c>
      <c r="D501" s="16" t="str">
        <f t="array" ref="D501">INDEX(NPCLName,TRUNC(1+(COUNTA(NPCLName))*(TRUNC(MOD(($B501*1103515245 +12345)/ 65536, 32768),0)/32768),0))</f>
        <v>Plainspirit</v>
      </c>
      <c r="E501" s="16" t="str">
        <f t="array" ref="E501">INDEX(NPCClass,TRUNC(1+(COUNTA(NPCClass))*(TRUNC(MOD(($B501*1103515245 +12345)/ 65536, 32768),0)/32768),0))</f>
        <v>Sorcerer</v>
      </c>
      <c r="F501" s="76">
        <v>8</v>
      </c>
      <c r="G501" s="153">
        <f ca="1">VLOOKUP($AB$2,'RF Mod'!$A$2:$G$12,2,FALSE)+VLOOKUP($AD$2,'RF Mod'!$I$2:$O$11,2,FALSE)+(TRUNC(6+(24-6)*(TRUNC(MOD(($Z501*1103515245 +12345)/ 65536, 32768),0)/32768),0))</f>
        <v>8</v>
      </c>
      <c r="H501" s="16">
        <f t="shared" ca="1" si="17"/>
        <v>-1</v>
      </c>
      <c r="I501" s="153">
        <f ca="1">VLOOKUP($AB$2,'RF Mod'!$A$2:$G$12,3,FALSE)+VLOOKUP($AD$2,'RF Mod'!$I$2:$O$11,3,FALSE)+(TRUNC(6+(24-6)*(TRUNC(MOD(($Z501*1103515245 +12345)/ 65536, 32768),0)/32768),0))</f>
        <v>12</v>
      </c>
      <c r="J501" s="16" t="e">
        <f t="shared" ca="1" si="18"/>
        <v>#NAME?</v>
      </c>
      <c r="K501" s="153">
        <f ca="1">VLOOKUP($AB$2,'RF Mod'!$A$2:$G$12,3,FALSE)+VLOOKUP($AD$2,'RF Mod'!$I$2:$O$11,3,FALSE)+(TRUNC(6+(24-6)*(TRUNC(MOD(($Z501*1103515245 +12345)/ 65536, 32768),0)/32768),0))</f>
        <v>12</v>
      </c>
      <c r="L501" s="16" t="e">
        <f t="shared" ca="1" si="19"/>
        <v>#NAME?</v>
      </c>
      <c r="M501" s="153">
        <f ca="1">VLOOKUP($AB$2,'RF Mod'!$A$2:$G$12,4,FALSE)+VLOOKUP($AD$2,'RF Mod'!$I$2:$O$11,4,FALSE)+(TRUNC(6+(24-6)*(TRUNC(MOD(($Z501*1103515245 +12345)/ 65536, 32768),0)/32768),0))</f>
        <v>11</v>
      </c>
      <c r="N501" s="16" t="e">
        <f t="shared" ca="1" si="20"/>
        <v>#NAME?</v>
      </c>
      <c r="O501" s="153">
        <f ca="1">VLOOKUP($AB$2,'RF Mod'!$A$2:$G$12,5,FALSE)+VLOOKUP($AD$2,'RF Mod'!$I$2:$O$11,5,FALSE)+(TRUNC(6+(24-6)*(TRUNC(MOD(($Z501*1103515245 +12345)/ 65536, 32768),0)/32768),0))</f>
        <v>14</v>
      </c>
      <c r="P501" s="16" t="e">
        <f t="shared" ca="1" si="21"/>
        <v>#NAME?</v>
      </c>
      <c r="Q501" s="153">
        <f ca="1">VLOOKUP($AB$2,'RF Mod'!$A$2:$G$12,6,FALSE)+VLOOKUP($AD$2,'RF Mod'!$I$2:$O$11,6,FALSE)+(TRUNC(6+(24-6)*(TRUNC(MOD(($Z501*1103515245 +12345)/ 65536, 32768),0)/32768),0))</f>
        <v>12</v>
      </c>
      <c r="R501" s="16" t="e">
        <f t="shared" ca="1" si="22"/>
        <v>#NAME?</v>
      </c>
      <c r="S501" s="154">
        <f t="shared" ca="1" si="28"/>
        <v>144</v>
      </c>
      <c r="T501" s="154">
        <f t="shared" ca="1" si="23"/>
        <v>15</v>
      </c>
      <c r="U501" s="16" t="str">
        <f t="shared" ca="1" si="24"/>
        <v>Fine</v>
      </c>
      <c r="V501" s="155">
        <f ca="1">IFERROR(__xludf.DUMMYFUNCTION("if(W501=""Middle Age"",QUERY(NPCVar!$K$2:$N1000, ""Select L where K = '""&amp;AB501&amp;""'""),if(W501=""Old"",QUERY(NPCVar!$K$2:$N1000, ""Select M where K = '""&amp;AB501&amp;""'""),if(W501=""Venerable"",QUERY(NPCVar!$K$2:$N1000, ""Select N where K = '""&amp;AB501&amp;""'""),fa"&amp;"lse)))*X501"),98)</f>
        <v>98</v>
      </c>
      <c r="W501" s="156" t="str">
        <f t="array" ref="W501">INDEX(NPCAgeType,TRUNC(1+(4-1)*(TRUNC(MOD((X501*1103515245 +12345)/ 65536, 32768),0)/32768),0))</f>
        <v>Venerable</v>
      </c>
      <c r="X501" s="117">
        <f t="shared" si="29"/>
        <v>1.4</v>
      </c>
      <c r="Y501" s="157" t="e">
        <f t="array" aca="1" ref="Y501" ca="1">LOOKUP(ABS(MAX(Z501 + MIN(ABS(INDIRECT("Class Jobs!B"&amp;MATCH(E501,'Class Jobs'!$A$1:$A1000,0)&amp;":"&amp;"AF"&amp;MATCH(E501,'Class Jobs'!$A$1:$A1000,0)&amp;"")-$Z501)) * SUM(IF(MIN(ABS(INDIRECT("Class Jobs!B"&amp;MATCH(E501,'Class Jobs'!$A$1:$A1000,0)&amp;":"&amp;"AF"&amp;MATCH(E501,'Class Jobs'!$A$1:$A1000,0)&amp;"")-$Z501))=ABS(INDIRECT("Class Jobs!B"&amp;MATCH(E501,'Class Jobs'!$A$1:$A1000,0)&amp;":"&amp;"AF"&amp;MATCH(E501,'Class Jobs'!$A$1:$A1000,0)&amp;"")-$Z501),SIGN(INDIRECT("Class Jobs!B"&amp;MATCH(E501,'Class Jobs'!$A$1:A1000,0)&amp;":"&amp;"AF"&amp;MATCH(E501,'Class Jobs'!$A$1:$A1000,0)&amp;"")-$Z501),0)),0)),INDIRECT("Class Jobs!B"&amp;MATCH(E501,'Class Jobs'!$A$1:$A1000,0)&amp;":"&amp;"AF"&amp;MATCH(E501,'Class Jobs'!$A$1:$A1000,1)&amp;""),'Class Jobs'!$B$1:$AF$1)</f>
        <v>#REF!</v>
      </c>
      <c r="Z501" s="158">
        <f t="shared" si="25"/>
        <v>0.54</v>
      </c>
      <c r="AA501" s="16" t="str">
        <f t="array" ref="AA501">INDEX(NPCGender,TRUNC(1+(COUNTA(NPCGender))*(TRUNC(MOD(($B501*1103515245 +12345)/ 65536, 32768),0)/32768),0))</f>
        <v>Female</v>
      </c>
      <c r="AB501" s="16" t="str">
        <f t="array" ref="AB501">INDEX(NPCRace,TRUNC(1+(COUNTA(NPCRace))*(TRUNC(MOD(($B501*1103515245 +12345)/ 65536, 32768),0)/32768),0))</f>
        <v>Half-Orc</v>
      </c>
      <c r="AC501" s="16" t="str">
        <f t="array" ref="AC501">INDEX(NPCAL,TRUNC(1+(COUNTA(NPCAL))*(TRUNC(MOD(($B501*1103515245 +12345)/ 65536, 32768),0)/32768),0))</f>
        <v>NN</v>
      </c>
      <c r="AD501" s="72" t="str">
        <f ca="1">IFERROR(__xludf.DUMMYFUNCTION("if(V501&lt;15,QUERY(NPCVar!C:D,""Select D WHERE C = '""&amp;D501&amp;""'""),if((TRUNC(1+10)*(TRUNC(MOD((ROW(H501)*1103515245 +12345)/ 65536, 32768),0)/32768)/10) &gt; 0.85,INDEX(NPCFaction,TRUNC(1+(counta(NPCFaction)-1)*(TRUNC(MOD(($B501*1103515245 +12345)/ 65536, 3276"&amp;"8),0)/32768),0)),QUERY(NPCVar!C:D,""Select D WHERE C = '""&amp;D501&amp;""'"")))"),"Traders Guild")</f>
        <v>Traders Guild</v>
      </c>
      <c r="AE501" s="108" t="e">
        <f t="shared" ca="1" si="26"/>
        <v>#NAME?</v>
      </c>
      <c r="AF501" s="159">
        <f ca="1">IFERROR(__xludf.DUMMYFUNCTION("AE501*(V501 / QUERY(NPCVar!$K$2:$N$12, ""Select N WHERE K='""&amp;AB501&amp;""'""))*TRUNC(1+10)*(TRUNC(MOD(($B501*1103515245 +12345)/ 65536, 32768),0)/32768)"),8.38709716796874)</f>
        <v>8.3870971679687401</v>
      </c>
      <c r="AG501" s="16"/>
      <c r="AH501" s="77"/>
      <c r="AI501" s="114"/>
    </row>
    <row r="502" spans="1:35" ht="16.2">
      <c r="A502" s="53">
        <v>501</v>
      </c>
      <c r="B502" s="118">
        <f t="shared" si="32"/>
        <v>5.4019999999999999E-2</v>
      </c>
      <c r="C502" s="72" t="str">
        <f t="array" ref="C502">INDEX(NPCFName,TRUNC(1+(COUNTA(NPCFName))*(TRUNC(MOD(($B502*1103515245 +12345)/ 65536, 32768),0)/32768),0))</f>
        <v>Basden</v>
      </c>
      <c r="D502" s="16" t="str">
        <f t="array" ref="D502">INDEX(NPCLName,TRUNC(1+(COUNTA(NPCLName))*(TRUNC(MOD(($B502*1103515245 +12345)/ 65536, 32768),0)/32768),0))</f>
        <v>Stagfang</v>
      </c>
      <c r="E502" s="16" t="str">
        <f t="array" ref="E502">INDEX(NPCClass,TRUNC(1+(COUNTA(NPCClass))*(TRUNC(MOD(($B502*1103515245 +12345)/ 65536, 32768),0)/32768),0))</f>
        <v>Barbarian</v>
      </c>
      <c r="F502" s="76">
        <v>1</v>
      </c>
      <c r="G502" s="153">
        <f ca="1">VLOOKUP($AB$2,'RF Mod'!$A$2:$G$12,2,FALSE)+VLOOKUP($AD$2,'RF Mod'!$I$2:$O$11,2,FALSE)+(TRUNC(6+(24-6)*(TRUNC(MOD(($Z502*1103515245 +12345)/ 65536, 32768),0)/32768),0))</f>
        <v>4</v>
      </c>
      <c r="H502" s="16">
        <f t="shared" ca="1" si="17"/>
        <v>-3</v>
      </c>
      <c r="I502" s="153">
        <f ca="1">VLOOKUP($AB$2,'RF Mod'!$A$2:$G$12,3,FALSE)+VLOOKUP($AD$2,'RF Mod'!$I$2:$O$11,3,FALSE)+(TRUNC(6+(24-6)*(TRUNC(MOD(($Z502*1103515245 +12345)/ 65536, 32768),0)/32768),0))</f>
        <v>8</v>
      </c>
      <c r="J502" s="16">
        <f t="shared" ca="1" si="18"/>
        <v>-1</v>
      </c>
      <c r="K502" s="153">
        <f ca="1">VLOOKUP($AB$2,'RF Mod'!$A$2:$G$12,3,FALSE)+VLOOKUP($AD$2,'RF Mod'!$I$2:$O$11,3,FALSE)+(TRUNC(6+(24-6)*(TRUNC(MOD(($Z502*1103515245 +12345)/ 65536, 32768),0)/32768),0))</f>
        <v>8</v>
      </c>
      <c r="L502" s="16">
        <f t="shared" ca="1" si="19"/>
        <v>-1</v>
      </c>
      <c r="M502" s="153">
        <f ca="1">VLOOKUP($AB$2,'RF Mod'!$A$2:$G$12,4,FALSE)+VLOOKUP($AD$2,'RF Mod'!$I$2:$O$11,4,FALSE)+(TRUNC(6+(24-6)*(TRUNC(MOD(($Z502*1103515245 +12345)/ 65536, 32768),0)/32768),0))</f>
        <v>7</v>
      </c>
      <c r="N502" s="16">
        <f t="shared" ca="1" si="20"/>
        <v>-2</v>
      </c>
      <c r="O502" s="153">
        <f ca="1">VLOOKUP($AB$2,'RF Mod'!$A$2:$G$12,5,FALSE)+VLOOKUP($AD$2,'RF Mod'!$I$2:$O$11,5,FALSE)+(TRUNC(6+(24-6)*(TRUNC(MOD(($Z502*1103515245 +12345)/ 65536, 32768),0)/32768),0))</f>
        <v>10</v>
      </c>
      <c r="P502" s="16" t="e">
        <f t="shared" ca="1" si="21"/>
        <v>#NAME?</v>
      </c>
      <c r="Q502" s="153">
        <f ca="1">VLOOKUP($AB$2,'RF Mod'!$A$2:$G$12,6,FALSE)+VLOOKUP($AD$2,'RF Mod'!$I$2:$O$11,6,FALSE)+(TRUNC(6+(24-6)*(TRUNC(MOD(($Z502*1103515245 +12345)/ 65536, 32768),0)/32768),0))</f>
        <v>8</v>
      </c>
      <c r="R502" s="16">
        <f t="shared" ca="1" si="22"/>
        <v>-1</v>
      </c>
      <c r="S502" s="154">
        <f t="shared" ca="1" si="28"/>
        <v>10</v>
      </c>
      <c r="T502" s="154">
        <f t="shared" ca="1" si="23"/>
        <v>1</v>
      </c>
      <c r="U502" s="16" t="str">
        <f t="shared" ca="1" si="24"/>
        <v>Fine</v>
      </c>
      <c r="V502" s="155">
        <f ca="1">IFERROR(__xludf.DUMMYFUNCTION("if(W502=""Middle Age"",QUERY(NPCVar!$K$2:$N1000, ""Select L where K = '""&amp;AB502&amp;""'""),if(W502=""Old"",QUERY(NPCVar!$K$2:$N1000, ""Select M where K = '""&amp;AB502&amp;""'""),if(W502=""Venerable"",QUERY(NPCVar!$K$2:$N1000, ""Select N where K = '""&amp;AB502&amp;""'""),fa"&amp;"lse)))*X502"),2)</f>
        <v>2</v>
      </c>
      <c r="W502" s="156" t="str">
        <f t="array" ref="W502">INDEX(NPCAgeType,TRUNC(1+(4-1)*(TRUNC(MOD((X502*1103515245 +12345)/ 65536, 32768),0)/32768),0))</f>
        <v>Middle Age</v>
      </c>
      <c r="X502" s="117">
        <f t="shared" si="29"/>
        <v>0.1</v>
      </c>
      <c r="Y502" s="157" t="e">
        <f t="array" aca="1" ref="Y502" ca="1">LOOKUP(ABS(MAX(Z502 + MIN(ABS(INDIRECT("Class Jobs!B"&amp;MATCH(E502,'Class Jobs'!$A$1:$A1000,0)&amp;":"&amp;"AF"&amp;MATCH(E502,'Class Jobs'!$A$1:$A1000,0)&amp;"")-$Z502)) * SUM(IF(MIN(ABS(INDIRECT("Class Jobs!B"&amp;MATCH(E502,'Class Jobs'!$A$1:$A1000,0)&amp;":"&amp;"AF"&amp;MATCH(E502,'Class Jobs'!$A$1:$A1000,0)&amp;"")-$Z502))=ABS(INDIRECT("Class Jobs!B"&amp;MATCH(E502,'Class Jobs'!$A$1:$A1000,0)&amp;":"&amp;"AF"&amp;MATCH(E502,'Class Jobs'!$A$1:$A1000,0)&amp;"")-$Z502),SIGN(INDIRECT("Class Jobs!B"&amp;MATCH(E502,'Class Jobs'!$A$1:A1000,0)&amp;":"&amp;"AF"&amp;MATCH(E502,'Class Jobs'!$A$1:$A1000,0)&amp;"")-$Z502),0)),0)),INDIRECT("Class Jobs!B"&amp;MATCH(E502,'Class Jobs'!$A$1:$A1000,0)&amp;":"&amp;"AF"&amp;MATCH(E502,'Class Jobs'!$A$1:$A1000,1)&amp;""),'Class Jobs'!$B$1:$AF$1)</f>
        <v>#REF!</v>
      </c>
      <c r="Z502" s="158">
        <f t="shared" si="25"/>
        <v>0.03</v>
      </c>
      <c r="AA502" s="16" t="str">
        <f t="array" ref="AA502">INDEX(NPCGender,TRUNC(1+(COUNTA(NPCGender))*(TRUNC(MOD(($B502*1103515245 +12345)/ 65536, 32768),0)/32768),0))</f>
        <v>Male</v>
      </c>
      <c r="AB502" s="16" t="str">
        <f t="array" ref="AB502">INDEX(NPCRace,TRUNC(1+(COUNTA(NPCRace))*(TRUNC(MOD(($B502*1103515245 +12345)/ 65536, 32768),0)/32768),0))</f>
        <v>Dragonborn</v>
      </c>
      <c r="AC502" s="16" t="str">
        <f t="array" ref="AC502">INDEX(NPCAL,TRUNC(1+(COUNTA(NPCAL))*(TRUNC(MOD(($B502*1103515245 +12345)/ 65536, 32768),0)/32768),0))</f>
        <v>CN</v>
      </c>
      <c r="AD502" s="72" t="str">
        <f ca="1">IFERROR(__xludf.DUMMYFUNCTION("if(V502&lt;15,QUERY(NPCVar!C:D,""Select D WHERE C = '""&amp;D502&amp;""'""),if((TRUNC(1+10)*(TRUNC(MOD((ROW(H502)*1103515245 +12345)/ 65536, 32768),0)/32768)/10) &gt; 0.85,INDEX(NPCFaction,TRUNC(1+(counta(NPCFaction)-1)*(TRUNC(MOD(($B502*1103515245 +12345)/ 65536, 3276"&amp;"8),0)/32768),0)),QUERY(NPCVar!C:D,""Select D WHERE C = '""&amp;D502&amp;""'"")))"),"Royalty")</f>
        <v>Royalty</v>
      </c>
      <c r="AE502" s="108" t="e">
        <f t="shared" ca="1" si="26"/>
        <v>#NAME?</v>
      </c>
      <c r="AF502" s="159">
        <f ca="1">IFERROR(__xludf.DUMMYFUNCTION("AE502*(V502 / QUERY(NPCVar!$K$2:$N$12, ""Select N WHERE K='""&amp;AB502&amp;""'""))*TRUNC(1+10)*(TRUNC(MOD(($B502*1103515245 +12345)/ 65536, 32768),0)/32768)"),0.00152572631835937)</f>
        <v>1.5257263183593699E-3</v>
      </c>
      <c r="AG502" s="16"/>
      <c r="AH502" s="77"/>
      <c r="AI502" s="114"/>
    </row>
    <row r="503" spans="1:35" ht="16.2">
      <c r="A503" s="53">
        <v>502</v>
      </c>
      <c r="B503" s="118">
        <f t="shared" si="32"/>
        <v>1.5480799999999999</v>
      </c>
      <c r="C503" s="72" t="str">
        <f t="array" ref="C503">INDEX(NPCFName,TRUNC(1+(COUNTA(NPCFName))*(TRUNC(MOD(($B503*1103515245 +12345)/ 65536, 32768),0)/32768),0))</f>
        <v>Gyin</v>
      </c>
      <c r="D503" s="16" t="str">
        <f t="array" ref="D503">INDEX(NPCLName,TRUNC(1+(COUNTA(NPCLName))*(TRUNC(MOD(($B503*1103515245 +12345)/ 65536, 32768),0)/32768),0))</f>
        <v>Truthdoom</v>
      </c>
      <c r="E503" s="16" t="str">
        <f t="array" ref="E503">INDEX(NPCClass,TRUNC(1+(COUNTA(NPCClass))*(TRUNC(MOD(($B503*1103515245 +12345)/ 65536, 32768),0)/32768),0))</f>
        <v>Cleric</v>
      </c>
      <c r="F503" s="76">
        <v>8</v>
      </c>
      <c r="G503" s="153">
        <f ca="1">VLOOKUP($AB$2,'RF Mod'!$A$2:$G$12,2,FALSE)+VLOOKUP($AD$2,'RF Mod'!$I$2:$O$11,2,FALSE)+(TRUNC(6+(24-6)*(TRUNC(MOD(($Z503*1103515245 +12345)/ 65536, 32768),0)/32768),0))</f>
        <v>11</v>
      </c>
      <c r="H503" s="16" t="e">
        <f t="shared" ca="1" si="17"/>
        <v>#NAME?</v>
      </c>
      <c r="I503" s="153">
        <f ca="1">VLOOKUP($AB$2,'RF Mod'!$A$2:$G$12,3,FALSE)+VLOOKUP($AD$2,'RF Mod'!$I$2:$O$11,3,FALSE)+(TRUNC(6+(24-6)*(TRUNC(MOD(($Z503*1103515245 +12345)/ 65536, 32768),0)/32768),0))</f>
        <v>15</v>
      </c>
      <c r="J503" s="16" t="e">
        <f t="shared" ca="1" si="18"/>
        <v>#NAME?</v>
      </c>
      <c r="K503" s="153">
        <f ca="1">VLOOKUP($AB$2,'RF Mod'!$A$2:$G$12,3,FALSE)+VLOOKUP($AD$2,'RF Mod'!$I$2:$O$11,3,FALSE)+(TRUNC(6+(24-6)*(TRUNC(MOD(($Z503*1103515245 +12345)/ 65536, 32768),0)/32768),0))</f>
        <v>15</v>
      </c>
      <c r="L503" s="16" t="e">
        <f t="shared" ca="1" si="19"/>
        <v>#NAME?</v>
      </c>
      <c r="M503" s="153">
        <f ca="1">VLOOKUP($AB$2,'RF Mod'!$A$2:$G$12,4,FALSE)+VLOOKUP($AD$2,'RF Mod'!$I$2:$O$11,4,FALSE)+(TRUNC(6+(24-6)*(TRUNC(MOD(($Z503*1103515245 +12345)/ 65536, 32768),0)/32768),0))</f>
        <v>14</v>
      </c>
      <c r="N503" s="16" t="e">
        <f t="shared" ca="1" si="20"/>
        <v>#NAME?</v>
      </c>
      <c r="O503" s="153">
        <f ca="1">VLOOKUP($AB$2,'RF Mod'!$A$2:$G$12,5,FALSE)+VLOOKUP($AD$2,'RF Mod'!$I$2:$O$11,5,FALSE)+(TRUNC(6+(24-6)*(TRUNC(MOD(($Z503*1103515245 +12345)/ 65536, 32768),0)/32768),0))</f>
        <v>17</v>
      </c>
      <c r="P503" s="16" t="e">
        <f t="shared" ca="1" si="21"/>
        <v>#NAME?</v>
      </c>
      <c r="Q503" s="153">
        <f ca="1">VLOOKUP($AB$2,'RF Mod'!$A$2:$G$12,6,FALSE)+VLOOKUP($AD$2,'RF Mod'!$I$2:$O$11,6,FALSE)+(TRUNC(6+(24-6)*(TRUNC(MOD(($Z503*1103515245 +12345)/ 65536, 32768),0)/32768),0))</f>
        <v>15</v>
      </c>
      <c r="R503" s="16" t="e">
        <f t="shared" ca="1" si="22"/>
        <v>#NAME?</v>
      </c>
      <c r="S503" s="154">
        <f t="shared" ca="1" si="28"/>
        <v>168</v>
      </c>
      <c r="T503" s="154">
        <f t="shared" ca="1" si="23"/>
        <v>14</v>
      </c>
      <c r="U503" s="16" t="str">
        <f t="shared" ca="1" si="24"/>
        <v>Fine</v>
      </c>
      <c r="V503" s="155">
        <f ca="1">IFERROR(__xludf.DUMMYFUNCTION("if(W503=""Middle Age"",QUERY(NPCVar!$K$2:$N1000, ""Select L where K = '""&amp;AB503&amp;""'""),if(W503=""Old"",QUERY(NPCVar!$K$2:$N1000, ""Select M where K = '""&amp;AB503&amp;""'""),if(W503=""Venerable"",QUERY(NPCVar!$K$2:$N1000, ""Select N where K = '""&amp;AB503&amp;""'""),fa"&amp;"lse)))*X503"),50)</f>
        <v>50</v>
      </c>
      <c r="W503" s="156" t="str">
        <f t="array" ref="W503">INDEX(NPCAgeType,TRUNC(1+(4-1)*(TRUNC(MOD((X503*1103515245 +12345)/ 65536, 32768),0)/32768),0))</f>
        <v>Middle Age</v>
      </c>
      <c r="X503" s="117">
        <f t="shared" si="29"/>
        <v>2</v>
      </c>
      <c r="Y503" s="157" t="e">
        <f t="array" aca="1" ref="Y503" ca="1">LOOKUP(ABS(MAX(Z503 + MIN(ABS(INDIRECT("Class Jobs!B"&amp;MATCH(E503,'Class Jobs'!$A$1:$A1000,0)&amp;":"&amp;"AF"&amp;MATCH(E503,'Class Jobs'!$A$1:$A1000,0)&amp;"")-$Z503)) * SUM(IF(MIN(ABS(INDIRECT("Class Jobs!B"&amp;MATCH(E503,'Class Jobs'!$A$1:$A1000,0)&amp;":"&amp;"AF"&amp;MATCH(E503,'Class Jobs'!$A$1:$A1000,0)&amp;"")-$Z503))=ABS(INDIRECT("Class Jobs!B"&amp;MATCH(E503,'Class Jobs'!$A$1:$A1000,0)&amp;":"&amp;"AF"&amp;MATCH(E503,'Class Jobs'!$A$1:$A1000,0)&amp;"")-$Z503),SIGN(INDIRECT("Class Jobs!B"&amp;MATCH(E503,'Class Jobs'!$A$1:A1000,0)&amp;":"&amp;"AF"&amp;MATCH(E503,'Class Jobs'!$A$1:$A1000,0)&amp;"")-$Z503),0)),0)),INDIRECT("Class Jobs!B"&amp;MATCH(E503,'Class Jobs'!$A$1:$A1000,0)&amp;":"&amp;"AF"&amp;MATCH(E503,'Class Jobs'!$A$1:$A1000,1)&amp;""),'Class Jobs'!$B$1:$AF$1)</f>
        <v>#REF!</v>
      </c>
      <c r="Z503" s="158">
        <f t="shared" si="25"/>
        <v>0.79</v>
      </c>
      <c r="AA503" s="16" t="str">
        <f t="array" ref="AA503">INDEX(NPCGender,TRUNC(1+(COUNTA(NPCGender))*(TRUNC(MOD(($B503*1103515245 +12345)/ 65536, 32768),0)/32768),0))</f>
        <v>Neutral</v>
      </c>
      <c r="AB503" s="16" t="str">
        <f t="array" ref="AB503">INDEX(NPCRace,TRUNC(1+(COUNTA(NPCRace))*(TRUNC(MOD(($B503*1103515245 +12345)/ 65536, 32768),0)/32768),0))</f>
        <v>Tiefling</v>
      </c>
      <c r="AC503" s="16" t="str">
        <f t="array" ref="AC503">INDEX(NPCAL,TRUNC(1+(COUNTA(NPCAL))*(TRUNC(MOD(($B503*1103515245 +12345)/ 65536, 32768),0)/32768),0))</f>
        <v>LN</v>
      </c>
      <c r="AD503" s="72" t="str">
        <f ca="1">IFERROR(__xludf.DUMMYFUNCTION("if(V503&lt;15,QUERY(NPCVar!C:D,""Select D WHERE C = '""&amp;D503&amp;""'""),if((TRUNC(1+10)*(TRUNC(MOD((ROW(H503)*1103515245 +12345)/ 65536, 32768),0)/32768)/10) &gt; 0.85,INDEX(NPCFaction,TRUNC(1+(counta(NPCFaction)-1)*(TRUNC(MOD(($B503*1103515245 +12345)/ 65536, 3276"&amp;"8),0)/32768),0)),QUERY(NPCVar!C:D,""Select D WHERE C = '""&amp;D503&amp;""'"")))"),"Traverlers Guild")</f>
        <v>Traverlers Guild</v>
      </c>
      <c r="AE503" s="108" t="e">
        <f t="shared" ca="1" si="26"/>
        <v>#NAME?</v>
      </c>
      <c r="AF503" s="159">
        <f ca="1">IFERROR(__xludf.DUMMYFUNCTION("AE503*(V503 / QUERY(NPCVar!$K$2:$N$12, ""Select N WHERE K='""&amp;AB503&amp;""'""))*TRUNC(1+10)*(TRUNC(MOD(($B503*1103515245 +12345)/ 65536, 32768),0)/32768)"),4.37525939941406)</f>
        <v>4.3752593994140598</v>
      </c>
      <c r="AG503" s="16"/>
      <c r="AH503" s="77"/>
      <c r="AI503" s="114"/>
    </row>
    <row r="504" spans="1:35" ht="16.2">
      <c r="A504" s="53">
        <v>503</v>
      </c>
      <c r="B504" s="118">
        <f t="shared" si="32"/>
        <v>0.54222000000000004</v>
      </c>
      <c r="C504" s="72" t="str">
        <f t="array" ref="C504">INDEX(NPCFName,TRUNC(1+(COUNTA(NPCFName))*(TRUNC(MOD(($B504*1103515245 +12345)/ 65536, 32768),0)/32768),0))</f>
        <v>Talberon</v>
      </c>
      <c r="D504" s="16" t="str">
        <f t="array" ref="D504">INDEX(NPCLName,TRUNC(1+(COUNTA(NPCLName))*(TRUNC(MOD(($B504*1103515245 +12345)/ 65536, 32768),0)/32768),0))</f>
        <v>Commonscream</v>
      </c>
      <c r="E504" s="16" t="str">
        <f t="array" ref="E504">INDEX(NPCClass,TRUNC(1+(COUNTA(NPCClass))*(TRUNC(MOD(($B504*1103515245 +12345)/ 65536, 32768),0)/32768),0))</f>
        <v>Monk</v>
      </c>
      <c r="F504" s="76">
        <v>1</v>
      </c>
      <c r="G504" s="153">
        <f ca="1">VLOOKUP($AB$2,'RF Mod'!$A$2:$G$12,2,FALSE)+VLOOKUP($AD$2,'RF Mod'!$I$2:$O$11,2,FALSE)+(TRUNC(6+(24-6)*(TRUNC(MOD(($Z504*1103515245 +12345)/ 65536, 32768),0)/32768),0))</f>
        <v>6</v>
      </c>
      <c r="H504" s="16">
        <f t="shared" ca="1" si="17"/>
        <v>-2</v>
      </c>
      <c r="I504" s="153">
        <f ca="1">VLOOKUP($AB$2,'RF Mod'!$A$2:$G$12,3,FALSE)+VLOOKUP($AD$2,'RF Mod'!$I$2:$O$11,3,FALSE)+(TRUNC(6+(24-6)*(TRUNC(MOD(($Z504*1103515245 +12345)/ 65536, 32768),0)/32768),0))</f>
        <v>10</v>
      </c>
      <c r="J504" s="16" t="e">
        <f t="shared" ca="1" si="18"/>
        <v>#NAME?</v>
      </c>
      <c r="K504" s="153">
        <f ca="1">VLOOKUP($AB$2,'RF Mod'!$A$2:$G$12,3,FALSE)+VLOOKUP($AD$2,'RF Mod'!$I$2:$O$11,3,FALSE)+(TRUNC(6+(24-6)*(TRUNC(MOD(($Z504*1103515245 +12345)/ 65536, 32768),0)/32768),0))</f>
        <v>10</v>
      </c>
      <c r="L504" s="16" t="e">
        <f t="shared" ca="1" si="19"/>
        <v>#NAME?</v>
      </c>
      <c r="M504" s="153">
        <f ca="1">VLOOKUP($AB$2,'RF Mod'!$A$2:$G$12,4,FALSE)+VLOOKUP($AD$2,'RF Mod'!$I$2:$O$11,4,FALSE)+(TRUNC(6+(24-6)*(TRUNC(MOD(($Z504*1103515245 +12345)/ 65536, 32768),0)/32768),0))</f>
        <v>9</v>
      </c>
      <c r="N504" s="16">
        <f t="shared" ca="1" si="20"/>
        <v>-1</v>
      </c>
      <c r="O504" s="153">
        <f ca="1">VLOOKUP($AB$2,'RF Mod'!$A$2:$G$12,5,FALSE)+VLOOKUP($AD$2,'RF Mod'!$I$2:$O$11,5,FALSE)+(TRUNC(6+(24-6)*(TRUNC(MOD(($Z504*1103515245 +12345)/ 65536, 32768),0)/32768),0))</f>
        <v>12</v>
      </c>
      <c r="P504" s="16" t="e">
        <f t="shared" ca="1" si="21"/>
        <v>#NAME?</v>
      </c>
      <c r="Q504" s="153">
        <f ca="1">VLOOKUP($AB$2,'RF Mod'!$A$2:$G$12,6,FALSE)+VLOOKUP($AD$2,'RF Mod'!$I$2:$O$11,6,FALSE)+(TRUNC(6+(24-6)*(TRUNC(MOD(($Z504*1103515245 +12345)/ 65536, 32768),0)/32768),0))</f>
        <v>10</v>
      </c>
      <c r="R504" s="16" t="e">
        <f t="shared" ca="1" si="22"/>
        <v>#NAME?</v>
      </c>
      <c r="S504" s="154">
        <f t="shared" ca="1" si="28"/>
        <v>14</v>
      </c>
      <c r="T504" s="154">
        <f t="shared" ca="1" si="23"/>
        <v>2</v>
      </c>
      <c r="U504" s="16" t="str">
        <f t="shared" ca="1" si="24"/>
        <v>Fine</v>
      </c>
      <c r="V504" s="155">
        <f ca="1">IFERROR(__xludf.DUMMYFUNCTION("if(W504=""Middle Age"",QUERY(NPCVar!$K$2:$N1000, ""Select L where K = '""&amp;AB504&amp;""'""),if(W504=""Old"",QUERY(NPCVar!$K$2:$N1000, ""Select M where K = '""&amp;AB504&amp;""'""),if(W504=""Venerable"",QUERY(NPCVar!$K$2:$N1000, ""Select N where K = '""&amp;AB504&amp;""'""),fa"&amp;"lse)))*X504"),118.124999999999)</f>
        <v>118.12499999999901</v>
      </c>
      <c r="W504" s="156" t="str">
        <f t="array" ref="W504">INDEX(NPCAgeType,TRUNC(1+(4-1)*(TRUNC(MOD((X504*1103515245 +12345)/ 65536, 32768),0)/32768),0))</f>
        <v>Old</v>
      </c>
      <c r="X504" s="117">
        <f t="shared" si="29"/>
        <v>0.7</v>
      </c>
      <c r="Y504" s="157" t="e">
        <f t="array" aca="1" ref="Y504" ca="1">LOOKUP(ABS(MAX(Z504 + MIN(ABS(INDIRECT("Class Jobs!B"&amp;MATCH(E504,'Class Jobs'!$A$1:$A1000,0)&amp;":"&amp;"AF"&amp;MATCH(E504,'Class Jobs'!$A$1:$A1000,0)&amp;"")-$Z504)) * SUM(IF(MIN(ABS(INDIRECT("Class Jobs!B"&amp;MATCH(E504,'Class Jobs'!$A$1:$A1000,0)&amp;":"&amp;"AF"&amp;MATCH(E504,'Class Jobs'!$A$1:$A1000,0)&amp;"")-$Z504))=ABS(INDIRECT("Class Jobs!B"&amp;MATCH(E504,'Class Jobs'!$A$1:$A1000,0)&amp;":"&amp;"AF"&amp;MATCH(E504,'Class Jobs'!$A$1:$A1000,0)&amp;"")-$Z504),SIGN(INDIRECT("Class Jobs!B"&amp;MATCH(E504,'Class Jobs'!$A$1:A1000,0)&amp;":"&amp;"AF"&amp;MATCH(E504,'Class Jobs'!$A$1:$A1000,0)&amp;"")-$Z504),0)),0)),INDIRECT("Class Jobs!B"&amp;MATCH(E504,'Class Jobs'!$A$1:$A1000,0)&amp;":"&amp;"AF"&amp;MATCH(E504,'Class Jobs'!$A$1:$A1000,1)&amp;""),'Class Jobs'!$B$1:$AF$1)</f>
        <v>#REF!</v>
      </c>
      <c r="Z504" s="158">
        <f t="shared" si="25"/>
        <v>0.28000000000000003</v>
      </c>
      <c r="AA504" s="16" t="str">
        <f t="array" ref="AA504">INDEX(NPCGender,TRUNC(1+(COUNTA(NPCGender))*(TRUNC(MOD(($B504*1103515245 +12345)/ 65536, 32768),0)/32768),0))</f>
        <v>Male</v>
      </c>
      <c r="AB504" s="16" t="str">
        <f t="array" ref="AB504">INDEX(NPCRace,TRUNC(1+(COUNTA(NPCRace))*(TRUNC(MOD(($B504*1103515245 +12345)/ 65536, 32768),0)/32768),0))</f>
        <v>Gnome</v>
      </c>
      <c r="AC504" s="16" t="str">
        <f t="array" ref="AC504">INDEX(NPCAL,TRUNC(1+(COUNTA(NPCAL))*(TRUNC(MOD(($B504*1103515245 +12345)/ 65536, 32768),0)/32768),0))</f>
        <v>CG</v>
      </c>
      <c r="AD504" s="72" t="str">
        <f ca="1">IFERROR(__xludf.DUMMYFUNCTION("if(V504&lt;15,QUERY(NPCVar!C:D,""Select D WHERE C = '""&amp;D504&amp;""'""),if((TRUNC(1+10)*(TRUNC(MOD((ROW(H504)*1103515245 +12345)/ 65536, 32768),0)/32768)/10) &gt; 0.85,INDEX(NPCFaction,TRUNC(1+(counta(NPCFaction)-1)*(TRUNC(MOD(($B504*1103515245 +12345)/ 65536, 3276"&amp;"8),0)/32768),0)),QUERY(NPCVar!C:D,""Select D WHERE C = '""&amp;D504&amp;""'"")))"),"Traders Guild")</f>
        <v>Traders Guild</v>
      </c>
      <c r="AE504" s="108" t="e">
        <f t="shared" ca="1" si="26"/>
        <v>#NAME?</v>
      </c>
      <c r="AF504" s="159">
        <f ca="1">IFERROR(__xludf.DUMMYFUNCTION("AE504*(V504 / QUERY(NPCVar!$K$2:$N$12, ""Select N WHERE K='""&amp;AB504&amp;""'""))*TRUNC(1+10)*(TRUNC(MOD(($B504*1103515245 +12345)/ 65536, 32768),0)/32768)"),0.241359329223632)</f>
        <v>0.24135932922363201</v>
      </c>
      <c r="AG504" s="16"/>
      <c r="AH504" s="77"/>
      <c r="AI504" s="114"/>
    </row>
    <row r="505" spans="1:35" ht="16.2">
      <c r="A505" s="53">
        <v>504</v>
      </c>
      <c r="B505" s="118">
        <f t="shared" si="32"/>
        <v>2.0363600000000002</v>
      </c>
      <c r="C505" s="72" t="str">
        <f t="array" ref="C505">INDEX(NPCFName,TRUNC(1+(COUNTA(NPCFName))*(TRUNC(MOD(($B505*1103515245 +12345)/ 65536, 32768),0)/32768),0))</f>
        <v>Casden</v>
      </c>
      <c r="D505" s="16" t="str">
        <f t="array" ref="D505">INDEX(NPCLName,TRUNC(1+(COUNTA(NPCLName))*(TRUNC(MOD(($B505*1103515245 +12345)/ 65536, 32768),0)/32768),0))</f>
        <v>Crystalgazer</v>
      </c>
      <c r="E505" s="16" t="str">
        <f t="array" ref="E505">INDEX(NPCClass,TRUNC(1+(COUNTA(NPCClass))*(TRUNC(MOD(($B505*1103515245 +12345)/ 65536, 32768),0)/32768),0))</f>
        <v>Barbarian</v>
      </c>
      <c r="F505" s="76">
        <v>1</v>
      </c>
      <c r="G505" s="153">
        <f ca="1">VLOOKUP($AB$2,'RF Mod'!$A$2:$G$12,2,FALSE)+VLOOKUP($AD$2,'RF Mod'!$I$2:$O$11,2,FALSE)+(TRUNC(6+(24-6)*(TRUNC(MOD(($Z505*1103515245 +12345)/ 65536, 32768),0)/32768),0))</f>
        <v>4</v>
      </c>
      <c r="H505" s="16">
        <f t="shared" ca="1" si="17"/>
        <v>-3</v>
      </c>
      <c r="I505" s="153">
        <f ca="1">VLOOKUP($AB$2,'RF Mod'!$A$2:$G$12,3,FALSE)+VLOOKUP($AD$2,'RF Mod'!$I$2:$O$11,3,FALSE)+(TRUNC(6+(24-6)*(TRUNC(MOD(($Z505*1103515245 +12345)/ 65536, 32768),0)/32768),0))</f>
        <v>8</v>
      </c>
      <c r="J505" s="16">
        <f t="shared" ca="1" si="18"/>
        <v>-1</v>
      </c>
      <c r="K505" s="153">
        <f ca="1">VLOOKUP($AB$2,'RF Mod'!$A$2:$G$12,3,FALSE)+VLOOKUP($AD$2,'RF Mod'!$I$2:$O$11,3,FALSE)+(TRUNC(6+(24-6)*(TRUNC(MOD(($Z505*1103515245 +12345)/ 65536, 32768),0)/32768),0))</f>
        <v>8</v>
      </c>
      <c r="L505" s="16">
        <f t="shared" ca="1" si="19"/>
        <v>-1</v>
      </c>
      <c r="M505" s="153">
        <f ca="1">VLOOKUP($AB$2,'RF Mod'!$A$2:$G$12,4,FALSE)+VLOOKUP($AD$2,'RF Mod'!$I$2:$O$11,4,FALSE)+(TRUNC(6+(24-6)*(TRUNC(MOD(($Z505*1103515245 +12345)/ 65536, 32768),0)/32768),0))</f>
        <v>7</v>
      </c>
      <c r="N505" s="16">
        <f t="shared" ca="1" si="20"/>
        <v>-2</v>
      </c>
      <c r="O505" s="153">
        <f ca="1">VLOOKUP($AB$2,'RF Mod'!$A$2:$G$12,5,FALSE)+VLOOKUP($AD$2,'RF Mod'!$I$2:$O$11,5,FALSE)+(TRUNC(6+(24-6)*(TRUNC(MOD(($Z505*1103515245 +12345)/ 65536, 32768),0)/32768),0))</f>
        <v>10</v>
      </c>
      <c r="P505" s="16" t="e">
        <f t="shared" ca="1" si="21"/>
        <v>#NAME?</v>
      </c>
      <c r="Q505" s="153">
        <f ca="1">VLOOKUP($AB$2,'RF Mod'!$A$2:$G$12,6,FALSE)+VLOOKUP($AD$2,'RF Mod'!$I$2:$O$11,6,FALSE)+(TRUNC(6+(24-6)*(TRUNC(MOD(($Z505*1103515245 +12345)/ 65536, 32768),0)/32768),0))</f>
        <v>8</v>
      </c>
      <c r="R505" s="16">
        <f t="shared" ca="1" si="22"/>
        <v>-1</v>
      </c>
      <c r="S505" s="154">
        <f t="shared" ca="1" si="28"/>
        <v>10</v>
      </c>
      <c r="T505" s="154">
        <f t="shared" ca="1" si="23"/>
        <v>10</v>
      </c>
      <c r="U505" s="16" t="str">
        <f t="shared" ca="1" si="24"/>
        <v>Unconscious</v>
      </c>
      <c r="V505" s="155">
        <f ca="1">IFERROR(__xludf.DUMMYFUNCTION("if(W505=""Middle Age"",QUERY(NPCVar!$K$2:$N1000, ""Select L where K = '""&amp;AB505&amp;""'""),if(W505=""Old"",QUERY(NPCVar!$K$2:$N1000, ""Select M where K = '""&amp;AB505&amp;""'""),if(W505=""Venerable"",QUERY(NPCVar!$K$2:$N1000, ""Select N where K = '""&amp;AB505&amp;""'""),fa"&amp;"lse)))*X505"),4)</f>
        <v>4</v>
      </c>
      <c r="W505" s="156" t="str">
        <f t="array" ref="W505">INDEX(NPCAgeType,TRUNC(1+(4-1)*(TRUNC(MOD((X505*1103515245 +12345)/ 65536, 32768),0)/32768),0))</f>
        <v>Middle Age</v>
      </c>
      <c r="X505" s="117">
        <f t="shared" si="29"/>
        <v>0.2</v>
      </c>
      <c r="Y505" s="157" t="e">
        <f t="array" aca="1" ref="Y505" ca="1">LOOKUP(ABS(MAX(Z505 + MIN(ABS(INDIRECT("Class Jobs!B"&amp;MATCH(E505,'Class Jobs'!$A$1:$A1000,0)&amp;":"&amp;"AF"&amp;MATCH(E505,'Class Jobs'!$A$1:$A1000,0)&amp;"")-$Z505)) * SUM(IF(MIN(ABS(INDIRECT("Class Jobs!B"&amp;MATCH(E505,'Class Jobs'!$A$1:$A1000,0)&amp;":"&amp;"AF"&amp;MATCH(E505,'Class Jobs'!$A$1:$A1000,0)&amp;"")-$Z505))=ABS(INDIRECT("Class Jobs!B"&amp;MATCH(E505,'Class Jobs'!$A$1:$A1000,0)&amp;":"&amp;"AF"&amp;MATCH(E505,'Class Jobs'!$A$1:$A1000,0)&amp;"")-$Z505),SIGN(INDIRECT("Class Jobs!B"&amp;MATCH(E505,'Class Jobs'!$A$1:A1000,0)&amp;":"&amp;"AF"&amp;MATCH(E505,'Class Jobs'!$A$1:$A1000,0)&amp;"")-$Z505),0)),0)),INDIRECT("Class Jobs!B"&amp;MATCH(E505,'Class Jobs'!$A$1:$A1000,0)&amp;":"&amp;"AF"&amp;MATCH(E505,'Class Jobs'!$A$1:$A1000,1)&amp;""),'Class Jobs'!$B$1:$AF$1)</f>
        <v>#REF!</v>
      </c>
      <c r="Z505" s="158">
        <f t="shared" si="25"/>
        <v>0.05</v>
      </c>
      <c r="AA505" s="16" t="str">
        <f t="array" ref="AA505">INDEX(NPCGender,TRUNC(1+(COUNTA(NPCGender))*(TRUNC(MOD(($B505*1103515245 +12345)/ 65536, 32768),0)/32768),0))</f>
        <v>Male</v>
      </c>
      <c r="AB505" s="16" t="str">
        <f t="array" ref="AB505">INDEX(NPCRace,TRUNC(1+(COUNTA(NPCRace))*(TRUNC(MOD(($B505*1103515245 +12345)/ 65536, 32768),0)/32768),0))</f>
        <v>Dragonborn</v>
      </c>
      <c r="AC505" s="16" t="str">
        <f t="array" ref="AC505">INDEX(NPCAL,TRUNC(1+(COUNTA(NPCAL))*(TRUNC(MOD(($B505*1103515245 +12345)/ 65536, 32768),0)/32768),0))</f>
        <v>CN</v>
      </c>
      <c r="AD505" s="72" t="str">
        <f ca="1">IFERROR(__xludf.DUMMYFUNCTION("if(V505&lt;15,QUERY(NPCVar!C:D,""Select D WHERE C = '""&amp;D505&amp;""'""),if((TRUNC(1+10)*(TRUNC(MOD((ROW(H505)*1103515245 +12345)/ 65536, 32768),0)/32768)/10) &gt; 0.85,INDEX(NPCFaction,TRUNC(1+(counta(NPCFaction)-1)*(TRUNC(MOD(($B505*1103515245 +12345)/ 65536, 3276"&amp;"8),0)/32768),0)),QUERY(NPCVar!C:D,""Select D WHERE C = '""&amp;D505&amp;""'"")))"),"Death Guild")</f>
        <v>Death Guild</v>
      </c>
      <c r="AE505" s="108" t="e">
        <f t="shared" ca="1" si="26"/>
        <v>#NAME?</v>
      </c>
      <c r="AF505" s="159">
        <f ca="1">IFERROR(__xludf.DUMMYFUNCTION("AE505*(V505 / QUERY(NPCVar!$K$2:$N$12, ""Select N WHERE K='""&amp;AB505&amp;""'""))*TRUNC(1+10)*(TRUNC(MOD(($B505*1103515245 +12345)/ 65536, 32768),0)/32768)"),0.0153176879882812)</f>
        <v>1.53176879882812E-2</v>
      </c>
      <c r="AG505" s="16"/>
      <c r="AH505" s="77"/>
      <c r="AI505" s="114"/>
    </row>
    <row r="506" spans="1:35" ht="16.2">
      <c r="A506" s="53">
        <v>505</v>
      </c>
      <c r="B506" s="118">
        <f t="shared" si="32"/>
        <v>1.0305</v>
      </c>
      <c r="C506" s="72" t="str">
        <f t="array" ref="C506">INDEX(NPCFName,TRUNC(1+(COUNTA(NPCFName))*(TRUNC(MOD(($B506*1103515245 +12345)/ 65536, 32768),0)/32768),0))</f>
        <v>Mi'talrythin</v>
      </c>
      <c r="D506" s="16" t="str">
        <f t="array" ref="D506">INDEX(NPCLName,TRUNC(1+(COUNTA(NPCLName))*(TRUNC(MOD(($B506*1103515245 +12345)/ 65536, 32768),0)/32768),0))</f>
        <v>Staghammer</v>
      </c>
      <c r="E506" s="16" t="str">
        <f t="array" ref="E506">INDEX(NPCClass,TRUNC(1+(COUNTA(NPCClass))*(TRUNC(MOD(($B506*1103515245 +12345)/ 65536, 32768),0)/32768),0))</f>
        <v>Sorcerer</v>
      </c>
      <c r="F506" s="76">
        <v>8</v>
      </c>
      <c r="G506" s="153">
        <f ca="1">VLOOKUP($AB$2,'RF Mod'!$A$2:$G$12,2,FALSE)+VLOOKUP($AD$2,'RF Mod'!$I$2:$O$11,2,FALSE)+(TRUNC(6+(24-6)*(TRUNC(MOD(($Z506*1103515245 +12345)/ 65536, 32768),0)/32768),0))</f>
        <v>8</v>
      </c>
      <c r="H506" s="16">
        <f t="shared" ca="1" si="17"/>
        <v>-1</v>
      </c>
      <c r="I506" s="153">
        <f ca="1">VLOOKUP($AB$2,'RF Mod'!$A$2:$G$12,3,FALSE)+VLOOKUP($AD$2,'RF Mod'!$I$2:$O$11,3,FALSE)+(TRUNC(6+(24-6)*(TRUNC(MOD(($Z506*1103515245 +12345)/ 65536, 32768),0)/32768),0))</f>
        <v>12</v>
      </c>
      <c r="J506" s="16" t="e">
        <f t="shared" ca="1" si="18"/>
        <v>#NAME?</v>
      </c>
      <c r="K506" s="153">
        <f ca="1">VLOOKUP($AB$2,'RF Mod'!$A$2:$G$12,3,FALSE)+VLOOKUP($AD$2,'RF Mod'!$I$2:$O$11,3,FALSE)+(TRUNC(6+(24-6)*(TRUNC(MOD(($Z506*1103515245 +12345)/ 65536, 32768),0)/32768),0))</f>
        <v>12</v>
      </c>
      <c r="L506" s="16" t="e">
        <f t="shared" ca="1" si="19"/>
        <v>#NAME?</v>
      </c>
      <c r="M506" s="153">
        <f ca="1">VLOOKUP($AB$2,'RF Mod'!$A$2:$G$12,4,FALSE)+VLOOKUP($AD$2,'RF Mod'!$I$2:$O$11,4,FALSE)+(TRUNC(6+(24-6)*(TRUNC(MOD(($Z506*1103515245 +12345)/ 65536, 32768),0)/32768),0))</f>
        <v>11</v>
      </c>
      <c r="N506" s="16" t="e">
        <f t="shared" ca="1" si="20"/>
        <v>#NAME?</v>
      </c>
      <c r="O506" s="153">
        <f ca="1">VLOOKUP($AB$2,'RF Mod'!$A$2:$G$12,5,FALSE)+VLOOKUP($AD$2,'RF Mod'!$I$2:$O$11,5,FALSE)+(TRUNC(6+(24-6)*(TRUNC(MOD(($Z506*1103515245 +12345)/ 65536, 32768),0)/32768),0))</f>
        <v>14</v>
      </c>
      <c r="P506" s="16" t="e">
        <f t="shared" ca="1" si="21"/>
        <v>#NAME?</v>
      </c>
      <c r="Q506" s="153">
        <f ca="1">VLOOKUP($AB$2,'RF Mod'!$A$2:$G$12,6,FALSE)+VLOOKUP($AD$2,'RF Mod'!$I$2:$O$11,6,FALSE)+(TRUNC(6+(24-6)*(TRUNC(MOD(($Z506*1103515245 +12345)/ 65536, 32768),0)/32768),0))</f>
        <v>12</v>
      </c>
      <c r="R506" s="16" t="e">
        <f t="shared" ca="1" si="22"/>
        <v>#NAME?</v>
      </c>
      <c r="S506" s="154">
        <f t="shared" ca="1" si="28"/>
        <v>160</v>
      </c>
      <c r="T506" s="154">
        <f t="shared" ca="1" si="23"/>
        <v>153</v>
      </c>
      <c r="U506" s="16" t="str">
        <f t="shared" ca="1" si="24"/>
        <v>Bloody</v>
      </c>
      <c r="V506" s="155">
        <f ca="1">IFERROR(__xludf.DUMMYFUNCTION("if(W506=""Middle Age"",QUERY(NPCVar!$K$2:$N1000, ""Select L where K = '""&amp;AB506&amp;""'""),if(W506=""Old"",QUERY(NPCVar!$K$2:$N1000, ""Select M where K = '""&amp;AB506&amp;""'""),if(W506=""Venerable"",QUERY(NPCVar!$K$2:$N1000, ""Select N where K = '""&amp;AB506&amp;""'""),fa"&amp;"lse)))*X506"),91)</f>
        <v>91</v>
      </c>
      <c r="W506" s="156" t="str">
        <f t="array" ref="W506">INDEX(NPCAgeType,TRUNC(1+(4-1)*(TRUNC(MOD((X506*1103515245 +12345)/ 65536, 32768),0)/32768),0))</f>
        <v>Venerable</v>
      </c>
      <c r="X506" s="117">
        <f t="shared" si="29"/>
        <v>1.3</v>
      </c>
      <c r="Y506" s="157" t="e">
        <f t="array" aca="1" ref="Y506" ca="1">LOOKUP(ABS(MAX(Z506 + MIN(ABS(INDIRECT("Class Jobs!B"&amp;MATCH(E506,'Class Jobs'!$A$1:$A1000,0)&amp;":"&amp;"AF"&amp;MATCH(E506,'Class Jobs'!$A$1:$A1000,0)&amp;"")-$Z506)) * SUM(IF(MIN(ABS(INDIRECT("Class Jobs!B"&amp;MATCH(E506,'Class Jobs'!$A$1:$A1000,0)&amp;":"&amp;"AF"&amp;MATCH(E506,'Class Jobs'!$A$1:$A1000,0)&amp;"")-$Z506))=ABS(INDIRECT("Class Jobs!B"&amp;MATCH(E506,'Class Jobs'!$A$1:$A1000,0)&amp;":"&amp;"AF"&amp;MATCH(E506,'Class Jobs'!$A$1:$A1000,0)&amp;"")-$Z506),SIGN(INDIRECT("Class Jobs!B"&amp;MATCH(E506,'Class Jobs'!$A$1:A1000,0)&amp;":"&amp;"AF"&amp;MATCH(E506,'Class Jobs'!$A$1:$A1000,0)&amp;"")-$Z506),0)),0)),INDIRECT("Class Jobs!B"&amp;MATCH(E506,'Class Jobs'!$A$1:$A1000,0)&amp;":"&amp;"AF"&amp;MATCH(E506,'Class Jobs'!$A$1:$A1000,1)&amp;""),'Class Jobs'!$B$1:$AF$1)</f>
        <v>#REF!</v>
      </c>
      <c r="Z506" s="158">
        <f t="shared" si="25"/>
        <v>0.53</v>
      </c>
      <c r="AA506" s="16" t="str">
        <f t="array" ref="AA506">INDEX(NPCGender,TRUNC(1+(COUNTA(NPCGender))*(TRUNC(MOD(($B506*1103515245 +12345)/ 65536, 32768),0)/32768),0))</f>
        <v>Female</v>
      </c>
      <c r="AB506" s="16" t="str">
        <f t="array" ref="AB506">INDEX(NPCRace,TRUNC(1+(COUNTA(NPCRace))*(TRUNC(MOD(($B506*1103515245 +12345)/ 65536, 32768),0)/32768),0))</f>
        <v>Half-Orc</v>
      </c>
      <c r="AC506" s="16" t="str">
        <f t="array" ref="AC506">INDEX(NPCAL,TRUNC(1+(COUNTA(NPCAL))*(TRUNC(MOD(($B506*1103515245 +12345)/ 65536, 32768),0)/32768),0))</f>
        <v>NN</v>
      </c>
      <c r="AD506" s="72" t="str">
        <f ca="1">IFERROR(__xludf.DUMMYFUNCTION("if(V506&lt;15,QUERY(NPCVar!C:D,""Select D WHERE C = '""&amp;D506&amp;""'""),if((TRUNC(1+10)*(TRUNC(MOD((ROW(H506)*1103515245 +12345)/ 65536, 32768),0)/32768)/10) &gt; 0.85,INDEX(NPCFaction,TRUNC(1+(counta(NPCFaction)-1)*(TRUNC(MOD(($B506*1103515245 +12345)/ 65536, 3276"&amp;"8),0)/32768),0)),QUERY(NPCVar!C:D,""Select D WHERE C = '""&amp;D506&amp;""'"")))"),"Farmers Guild")</f>
        <v>Farmers Guild</v>
      </c>
      <c r="AE506" s="108" t="e">
        <f t="shared" ca="1" si="26"/>
        <v>#NAME?</v>
      </c>
      <c r="AF506" s="159">
        <f ca="1">IFERROR(__xludf.DUMMYFUNCTION("AE506*(V506 / QUERY(NPCVar!$K$2:$N$12, ""Select N WHERE K='""&amp;AB506&amp;""'""))*TRUNC(1+10)*(TRUNC(MOD(($B506*1103515245 +12345)/ 65536, 32768),0)/32768)"),4.5434619140625)</f>
        <v>4.5434619140625001</v>
      </c>
      <c r="AG506" s="16"/>
      <c r="AH506" s="77"/>
      <c r="AI506" s="114"/>
    </row>
    <row r="507" spans="1:35" ht="16.2">
      <c r="A507" s="53">
        <v>506</v>
      </c>
      <c r="B507" s="118">
        <f t="shared" si="32"/>
        <v>2.4649999999999998E-2</v>
      </c>
      <c r="C507" s="72" t="str">
        <f t="array" ref="C507">INDEX(NPCFName,TRUNC(1+(COUNTA(NPCFName))*(TRUNC(MOD(($B507*1103515245 +12345)/ 65536, 32768),0)/32768),0))</f>
        <v>Alkirk</v>
      </c>
      <c r="D507" s="16" t="str">
        <f t="array" ref="D507">INDEX(NPCLName,TRUNC(1+(COUNTA(NPCLName))*(TRUNC(MOD(($B507*1103515245 +12345)/ 65536, 32768),0)/32768),0))</f>
        <v>Stagfang</v>
      </c>
      <c r="E507" s="16" t="str">
        <f t="array" ref="E507">INDEX(NPCClass,TRUNC(1+(COUNTA(NPCClass))*(TRUNC(MOD(($B507*1103515245 +12345)/ 65536, 32768),0)/32768),0))</f>
        <v>Barbarian</v>
      </c>
      <c r="F507" s="76">
        <v>1</v>
      </c>
      <c r="G507" s="153">
        <f ca="1">VLOOKUP($AB$2,'RF Mod'!$A$2:$G$12,2,FALSE)+VLOOKUP($AD$2,'RF Mod'!$I$2:$O$11,2,FALSE)+(TRUNC(6+(24-6)*(TRUNC(MOD(($Z507*1103515245 +12345)/ 65536, 32768),0)/32768),0))</f>
        <v>4</v>
      </c>
      <c r="H507" s="16">
        <f t="shared" ca="1" si="17"/>
        <v>-3</v>
      </c>
      <c r="I507" s="153">
        <f ca="1">VLOOKUP($AB$2,'RF Mod'!$A$2:$G$12,3,FALSE)+VLOOKUP($AD$2,'RF Mod'!$I$2:$O$11,3,FALSE)+(TRUNC(6+(24-6)*(TRUNC(MOD(($Z507*1103515245 +12345)/ 65536, 32768),0)/32768),0))</f>
        <v>8</v>
      </c>
      <c r="J507" s="16">
        <f t="shared" ca="1" si="18"/>
        <v>-1</v>
      </c>
      <c r="K507" s="153">
        <f ca="1">VLOOKUP($AB$2,'RF Mod'!$A$2:$G$12,3,FALSE)+VLOOKUP($AD$2,'RF Mod'!$I$2:$O$11,3,FALSE)+(TRUNC(6+(24-6)*(TRUNC(MOD(($Z507*1103515245 +12345)/ 65536, 32768),0)/32768),0))</f>
        <v>8</v>
      </c>
      <c r="L507" s="16">
        <f t="shared" ca="1" si="19"/>
        <v>-1</v>
      </c>
      <c r="M507" s="153">
        <f ca="1">VLOOKUP($AB$2,'RF Mod'!$A$2:$G$12,4,FALSE)+VLOOKUP($AD$2,'RF Mod'!$I$2:$O$11,4,FALSE)+(TRUNC(6+(24-6)*(TRUNC(MOD(($Z507*1103515245 +12345)/ 65536, 32768),0)/32768),0))</f>
        <v>7</v>
      </c>
      <c r="N507" s="16">
        <f t="shared" ca="1" si="20"/>
        <v>-2</v>
      </c>
      <c r="O507" s="153">
        <f ca="1">VLOOKUP($AB$2,'RF Mod'!$A$2:$G$12,5,FALSE)+VLOOKUP($AD$2,'RF Mod'!$I$2:$O$11,5,FALSE)+(TRUNC(6+(24-6)*(TRUNC(MOD(($Z507*1103515245 +12345)/ 65536, 32768),0)/32768),0))</f>
        <v>10</v>
      </c>
      <c r="P507" s="16" t="e">
        <f t="shared" ca="1" si="21"/>
        <v>#NAME?</v>
      </c>
      <c r="Q507" s="153">
        <f ca="1">VLOOKUP($AB$2,'RF Mod'!$A$2:$G$12,6,FALSE)+VLOOKUP($AD$2,'RF Mod'!$I$2:$O$11,6,FALSE)+(TRUNC(6+(24-6)*(TRUNC(MOD(($Z507*1103515245 +12345)/ 65536, 32768),0)/32768),0))</f>
        <v>8</v>
      </c>
      <c r="R507" s="16">
        <f t="shared" ca="1" si="22"/>
        <v>-1</v>
      </c>
      <c r="S507" s="154">
        <f t="shared" ca="1" si="28"/>
        <v>26</v>
      </c>
      <c r="T507" s="154">
        <f t="shared" ca="1" si="23"/>
        <v>3</v>
      </c>
      <c r="U507" s="16" t="str">
        <f t="shared" ca="1" si="24"/>
        <v>Fine</v>
      </c>
      <c r="V507" s="155">
        <f ca="1">IFERROR(__xludf.DUMMYFUNCTION("if(W507=""Middle Age"",QUERY(NPCVar!$K$2:$N1000, ""Select L where K = '""&amp;AB507&amp;""'""),if(W507=""Old"",QUERY(NPCVar!$K$2:$N1000, ""Select M where K = '""&amp;AB507&amp;""'""),if(W507=""Venerable"",QUERY(NPCVar!$K$2:$N1000, ""Select N where K = '""&amp;AB507&amp;""'""),fa"&amp;"lse)))*X507"),2)</f>
        <v>2</v>
      </c>
      <c r="W507" s="156" t="str">
        <f t="array" ref="W507">INDEX(NPCAgeType,TRUNC(1+(4-1)*(TRUNC(MOD((X507*1103515245 +12345)/ 65536, 32768),0)/32768),0))</f>
        <v>Middle Age</v>
      </c>
      <c r="X507" s="117">
        <f t="shared" si="29"/>
        <v>0.1</v>
      </c>
      <c r="Y507" s="157" t="e">
        <f t="array" aca="1" ref="Y507" ca="1">LOOKUP(ABS(MAX(Z507 + MIN(ABS(INDIRECT("Class Jobs!B"&amp;MATCH(E507,'Class Jobs'!$A$1:$A1000,0)&amp;":"&amp;"AF"&amp;MATCH(E507,'Class Jobs'!$A$1:$A1000,0)&amp;"")-$Z507)) * SUM(IF(MIN(ABS(INDIRECT("Class Jobs!B"&amp;MATCH(E507,'Class Jobs'!$A$1:$A1000,0)&amp;":"&amp;"AF"&amp;MATCH(E507,'Class Jobs'!$A$1:$A1000,0)&amp;"")-$Z507))=ABS(INDIRECT("Class Jobs!B"&amp;MATCH(E507,'Class Jobs'!$A$1:$A1000,0)&amp;":"&amp;"AF"&amp;MATCH(E507,'Class Jobs'!$A$1:$A1000,0)&amp;"")-$Z507),SIGN(INDIRECT("Class Jobs!B"&amp;MATCH(E507,'Class Jobs'!$A$1:A1000,0)&amp;":"&amp;"AF"&amp;MATCH(E507,'Class Jobs'!$A$1:$A1000,0)&amp;"")-$Z507),0)),0)),INDIRECT("Class Jobs!B"&amp;MATCH(E507,'Class Jobs'!$A$1:$A1000,0)&amp;":"&amp;"AF"&amp;MATCH(E507,'Class Jobs'!$A$1:$A1000,1)&amp;""),'Class Jobs'!$B$1:$AF$1)</f>
        <v>#REF!</v>
      </c>
      <c r="Z507" s="158">
        <f t="shared" si="25"/>
        <v>0.02</v>
      </c>
      <c r="AA507" s="16" t="str">
        <f t="array" ref="AA507">INDEX(NPCGender,TRUNC(1+(COUNTA(NPCGender))*(TRUNC(MOD(($B507*1103515245 +12345)/ 65536, 32768),0)/32768),0))</f>
        <v>Male</v>
      </c>
      <c r="AB507" s="16" t="str">
        <f t="array" ref="AB507">INDEX(NPCRace,TRUNC(1+(COUNTA(NPCRace))*(TRUNC(MOD(($B507*1103515245 +12345)/ 65536, 32768),0)/32768),0))</f>
        <v>Dragonborn</v>
      </c>
      <c r="AC507" s="16" t="str">
        <f t="array" ref="AC507">INDEX(NPCAL,TRUNC(1+(COUNTA(NPCAL))*(TRUNC(MOD(($B507*1103515245 +12345)/ 65536, 32768),0)/32768),0))</f>
        <v>CN</v>
      </c>
      <c r="AD507" s="72" t="str">
        <f ca="1">IFERROR(__xludf.DUMMYFUNCTION("if(V507&lt;15,QUERY(NPCVar!C:D,""Select D WHERE C = '""&amp;D507&amp;""'""),if((TRUNC(1+10)*(TRUNC(MOD((ROW(H507)*1103515245 +12345)/ 65536, 32768),0)/32768)/10) &gt; 0.85,INDEX(NPCFaction,TRUNC(1+(counta(NPCFaction)-1)*(TRUNC(MOD(($B507*1103515245 +12345)/ 65536, 3276"&amp;"8),0)/32768),0)),QUERY(NPCVar!C:D,""Select D WHERE C = '""&amp;D507&amp;""'"")))"),"Royalty")</f>
        <v>Royalty</v>
      </c>
      <c r="AE507" s="108" t="e">
        <f t="shared" ca="1" si="26"/>
        <v>#NAME?</v>
      </c>
      <c r="AF507" s="159">
        <f ca="1">IFERROR(__xludf.DUMMYFUNCTION("AE507*(V507 / QUERY(NPCVar!$K$2:$N$12, ""Select N WHERE K='""&amp;AB507&amp;""'""))*TRUNC(1+10)*(TRUNC(MOD(($B507*1103515245 +12345)/ 65536, 32768),0)/32768)"),-0.000696563720703125)</f>
        <v>-6.9656372070312498E-4</v>
      </c>
      <c r="AG507" s="16"/>
      <c r="AH507" s="77"/>
      <c r="AI507" s="114"/>
    </row>
    <row r="508" spans="1:35" ht="16.2">
      <c r="A508" s="53">
        <v>507</v>
      </c>
      <c r="B508" s="118">
        <f t="shared" si="32"/>
        <v>1.51878</v>
      </c>
      <c r="C508" s="72" t="str">
        <f t="array" ref="C508">INDEX(NPCFName,TRUNC(1+(COUNTA(NPCFName))*(TRUNC(MOD(($B508*1103515245 +12345)/ 65536, 32768),0)/32768),0))</f>
        <v>Galain</v>
      </c>
      <c r="D508" s="16" t="str">
        <f t="array" ref="D508">INDEX(NPCLName,TRUNC(1+(COUNTA(NPCLName))*(TRUNC(MOD(($B508*1103515245 +12345)/ 65536, 32768),0)/32768),0))</f>
        <v>Truthdoom</v>
      </c>
      <c r="E508" s="16" t="str">
        <f t="array" ref="E508">INDEX(NPCClass,TRUNC(1+(COUNTA(NPCClass))*(TRUNC(MOD(($B508*1103515245 +12345)/ 65536, 32768),0)/32768),0))</f>
        <v>Cleric</v>
      </c>
      <c r="F508" s="76">
        <v>8</v>
      </c>
      <c r="G508" s="153">
        <f ca="1">VLOOKUP($AB$2,'RF Mod'!$A$2:$G$12,2,FALSE)+VLOOKUP($AD$2,'RF Mod'!$I$2:$O$11,2,FALSE)+(TRUNC(6+(24-6)*(TRUNC(MOD(($Z508*1103515245 +12345)/ 65536, 32768),0)/32768),0))</f>
        <v>11</v>
      </c>
      <c r="H508" s="16" t="e">
        <f t="shared" ca="1" si="17"/>
        <v>#NAME?</v>
      </c>
      <c r="I508" s="153">
        <f ca="1">VLOOKUP($AB$2,'RF Mod'!$A$2:$G$12,3,FALSE)+VLOOKUP($AD$2,'RF Mod'!$I$2:$O$11,3,FALSE)+(TRUNC(6+(24-6)*(TRUNC(MOD(($Z508*1103515245 +12345)/ 65536, 32768),0)/32768),0))</f>
        <v>15</v>
      </c>
      <c r="J508" s="16" t="e">
        <f t="shared" ca="1" si="18"/>
        <v>#NAME?</v>
      </c>
      <c r="K508" s="153">
        <f ca="1">VLOOKUP($AB$2,'RF Mod'!$A$2:$G$12,3,FALSE)+VLOOKUP($AD$2,'RF Mod'!$I$2:$O$11,3,FALSE)+(TRUNC(6+(24-6)*(TRUNC(MOD(($Z508*1103515245 +12345)/ 65536, 32768),0)/32768),0))</f>
        <v>15</v>
      </c>
      <c r="L508" s="16" t="e">
        <f t="shared" ca="1" si="19"/>
        <v>#NAME?</v>
      </c>
      <c r="M508" s="153">
        <f ca="1">VLOOKUP($AB$2,'RF Mod'!$A$2:$G$12,4,FALSE)+VLOOKUP($AD$2,'RF Mod'!$I$2:$O$11,4,FALSE)+(TRUNC(6+(24-6)*(TRUNC(MOD(($Z508*1103515245 +12345)/ 65536, 32768),0)/32768),0))</f>
        <v>14</v>
      </c>
      <c r="N508" s="16" t="e">
        <f t="shared" ca="1" si="20"/>
        <v>#NAME?</v>
      </c>
      <c r="O508" s="153">
        <f ca="1">VLOOKUP($AB$2,'RF Mod'!$A$2:$G$12,5,FALSE)+VLOOKUP($AD$2,'RF Mod'!$I$2:$O$11,5,FALSE)+(TRUNC(6+(24-6)*(TRUNC(MOD(($Z508*1103515245 +12345)/ 65536, 32768),0)/32768),0))</f>
        <v>17</v>
      </c>
      <c r="P508" s="16" t="e">
        <f t="shared" ca="1" si="21"/>
        <v>#NAME?</v>
      </c>
      <c r="Q508" s="153">
        <f ca="1">VLOOKUP($AB$2,'RF Mod'!$A$2:$G$12,6,FALSE)+VLOOKUP($AD$2,'RF Mod'!$I$2:$O$11,6,FALSE)+(TRUNC(6+(24-6)*(TRUNC(MOD(($Z508*1103515245 +12345)/ 65536, 32768),0)/32768),0))</f>
        <v>15</v>
      </c>
      <c r="R508" s="16" t="e">
        <f t="shared" ca="1" si="22"/>
        <v>#NAME?</v>
      </c>
      <c r="S508" s="154">
        <f t="shared" ca="1" si="28"/>
        <v>136</v>
      </c>
      <c r="T508" s="154">
        <f t="shared" ca="1" si="23"/>
        <v>136</v>
      </c>
      <c r="U508" s="16" t="str">
        <f t="shared" ca="1" si="24"/>
        <v>Unconscious</v>
      </c>
      <c r="V508" s="155">
        <f ca="1">IFERROR(__xludf.DUMMYFUNCTION("if(W508=""Middle Age"",QUERY(NPCVar!$K$2:$N1000, ""Select L where K = '""&amp;AB508&amp;""'""),if(W508=""Old"",QUERY(NPCVar!$K$2:$N1000, ""Select M where K = '""&amp;AB508&amp;""'""),if(W508=""Venerable"",QUERY(NPCVar!$K$2:$N1000, ""Select N where K = '""&amp;AB508&amp;""'""),fa"&amp;"lse)))*X508"),190)</f>
        <v>190</v>
      </c>
      <c r="W508" s="156" t="str">
        <f t="array" ref="W508">INDEX(NPCAgeType,TRUNC(1+(4-1)*(TRUNC(MOD((X508*1103515245 +12345)/ 65536, 32768),0)/32768),0))</f>
        <v>Venerable</v>
      </c>
      <c r="X508" s="117">
        <f t="shared" si="29"/>
        <v>1.9</v>
      </c>
      <c r="Y508" s="157" t="e">
        <f t="array" aca="1" ref="Y508" ca="1">LOOKUP(ABS(MAX(Z508 + MIN(ABS(INDIRECT("Class Jobs!B"&amp;MATCH(E508,'Class Jobs'!$A$1:$A1000,0)&amp;":"&amp;"AF"&amp;MATCH(E508,'Class Jobs'!$A$1:$A1000,0)&amp;"")-$Z508)) * SUM(IF(MIN(ABS(INDIRECT("Class Jobs!B"&amp;MATCH(E508,'Class Jobs'!$A$1:$A1000,0)&amp;":"&amp;"AF"&amp;MATCH(E508,'Class Jobs'!$A$1:$A1000,0)&amp;"")-$Z508))=ABS(INDIRECT("Class Jobs!B"&amp;MATCH(E508,'Class Jobs'!$A$1:$A1000,0)&amp;":"&amp;"AF"&amp;MATCH(E508,'Class Jobs'!$A$1:$A1000,0)&amp;"")-$Z508),SIGN(INDIRECT("Class Jobs!B"&amp;MATCH(E508,'Class Jobs'!$A$1:A1000,0)&amp;":"&amp;"AF"&amp;MATCH(E508,'Class Jobs'!$A$1:$A1000,0)&amp;"")-$Z508),0)),0)),INDIRECT("Class Jobs!B"&amp;MATCH(E508,'Class Jobs'!$A$1:$A1000,0)&amp;":"&amp;"AF"&amp;MATCH(E508,'Class Jobs'!$A$1:$A1000,1)&amp;""),'Class Jobs'!$B$1:$AF$1)</f>
        <v>#REF!</v>
      </c>
      <c r="Z508" s="158">
        <f t="shared" si="25"/>
        <v>0.78</v>
      </c>
      <c r="AA508" s="16" t="str">
        <f t="array" ref="AA508">INDEX(NPCGender,TRUNC(1+(COUNTA(NPCGender))*(TRUNC(MOD(($B508*1103515245 +12345)/ 65536, 32768),0)/32768),0))</f>
        <v>Neutral</v>
      </c>
      <c r="AB508" s="16" t="str">
        <f t="array" ref="AB508">INDEX(NPCRace,TRUNC(1+(COUNTA(NPCRace))*(TRUNC(MOD(($B508*1103515245 +12345)/ 65536, 32768),0)/32768),0))</f>
        <v>Tiefling</v>
      </c>
      <c r="AC508" s="16" t="str">
        <f t="array" ref="AC508">INDEX(NPCAL,TRUNC(1+(COUNTA(NPCAL))*(TRUNC(MOD(($B508*1103515245 +12345)/ 65536, 32768),0)/32768),0))</f>
        <v>LN</v>
      </c>
      <c r="AD508" s="72" t="str">
        <f ca="1">IFERROR(__xludf.DUMMYFUNCTION("if(V508&lt;15,QUERY(NPCVar!C:D,""Select D WHERE C = '""&amp;D508&amp;""'""),if((TRUNC(1+10)*(TRUNC(MOD((ROW(H508)*1103515245 +12345)/ 65536, 32768),0)/32768)/10) &gt; 0.85,INDEX(NPCFaction,TRUNC(1+(counta(NPCFaction)-1)*(TRUNC(MOD(($B508*1103515245 +12345)/ 65536, 3276"&amp;"8),0)/32768),0)),QUERY(NPCVar!C:D,""Select D WHERE C = '""&amp;D508&amp;""'"")))"),"Traverlers Guild")</f>
        <v>Traverlers Guild</v>
      </c>
      <c r="AE508" s="108" t="e">
        <f t="shared" ca="1" si="26"/>
        <v>#NAME?</v>
      </c>
      <c r="AF508" s="159">
        <f ca="1">IFERROR(__xludf.DUMMYFUNCTION("AE508*(V508 / QUERY(NPCVar!$K$2:$N$12, ""Select N WHERE K='""&amp;AB508&amp;""'""))*TRUNC(1+10)*(TRUNC(MOD(($B508*1103515245 +12345)/ 65536, 32768),0)/32768)"),9.78654235839843)</f>
        <v>9.7865423583984299</v>
      </c>
      <c r="AG508" s="16"/>
      <c r="AH508" s="77"/>
      <c r="AI508" s="114"/>
    </row>
    <row r="509" spans="1:35" ht="16.2">
      <c r="A509" s="53">
        <v>508</v>
      </c>
      <c r="B509" s="118">
        <f t="shared" si="32"/>
        <v>0.51293</v>
      </c>
      <c r="C509" s="72" t="str">
        <f t="array" ref="C509">INDEX(NPCFName,TRUNC(1+(COUNTA(NPCFName))*(TRUNC(MOD(($B509*1103515245 +12345)/ 65536, 32768),0)/32768),0))</f>
        <v>Seryth</v>
      </c>
      <c r="D509" s="16" t="str">
        <f t="array" ref="D509">INDEX(NPCLName,TRUNC(1+(COUNTA(NPCLName))*(TRUNC(MOD(($B509*1103515245 +12345)/ 65536, 32768),0)/32768),0))</f>
        <v>Tuskleaf</v>
      </c>
      <c r="E509" s="16" t="str">
        <f t="array" ref="E509">INDEX(NPCClass,TRUNC(1+(COUNTA(NPCClass))*(TRUNC(MOD(($B509*1103515245 +12345)/ 65536, 32768),0)/32768),0))</f>
        <v>Monk</v>
      </c>
      <c r="F509" s="76">
        <v>4</v>
      </c>
      <c r="G509" s="153">
        <f ca="1">VLOOKUP($AB$2,'RF Mod'!$A$2:$G$12,2,FALSE)+VLOOKUP($AD$2,'RF Mod'!$I$2:$O$11,2,FALSE)+(TRUNC(6+(24-6)*(TRUNC(MOD(($Z509*1103515245 +12345)/ 65536, 32768),0)/32768),0))</f>
        <v>6</v>
      </c>
      <c r="H509" s="16">
        <f t="shared" ca="1" si="17"/>
        <v>-2</v>
      </c>
      <c r="I509" s="153">
        <f ca="1">VLOOKUP($AB$2,'RF Mod'!$A$2:$G$12,3,FALSE)+VLOOKUP($AD$2,'RF Mod'!$I$2:$O$11,3,FALSE)+(TRUNC(6+(24-6)*(TRUNC(MOD(($Z509*1103515245 +12345)/ 65536, 32768),0)/32768),0))</f>
        <v>10</v>
      </c>
      <c r="J509" s="16" t="e">
        <f t="shared" ca="1" si="18"/>
        <v>#NAME?</v>
      </c>
      <c r="K509" s="153">
        <f ca="1">VLOOKUP($AB$2,'RF Mod'!$A$2:$G$12,3,FALSE)+VLOOKUP($AD$2,'RF Mod'!$I$2:$O$11,3,FALSE)+(TRUNC(6+(24-6)*(TRUNC(MOD(($Z509*1103515245 +12345)/ 65536, 32768),0)/32768),0))</f>
        <v>10</v>
      </c>
      <c r="L509" s="16" t="e">
        <f t="shared" ca="1" si="19"/>
        <v>#NAME?</v>
      </c>
      <c r="M509" s="153">
        <f ca="1">VLOOKUP($AB$2,'RF Mod'!$A$2:$G$12,4,FALSE)+VLOOKUP($AD$2,'RF Mod'!$I$2:$O$11,4,FALSE)+(TRUNC(6+(24-6)*(TRUNC(MOD(($Z509*1103515245 +12345)/ 65536, 32768),0)/32768),0))</f>
        <v>9</v>
      </c>
      <c r="N509" s="16">
        <f t="shared" ca="1" si="20"/>
        <v>-1</v>
      </c>
      <c r="O509" s="153">
        <f ca="1">VLOOKUP($AB$2,'RF Mod'!$A$2:$G$12,5,FALSE)+VLOOKUP($AD$2,'RF Mod'!$I$2:$O$11,5,FALSE)+(TRUNC(6+(24-6)*(TRUNC(MOD(($Z509*1103515245 +12345)/ 65536, 32768),0)/32768),0))</f>
        <v>12</v>
      </c>
      <c r="P509" s="16" t="e">
        <f t="shared" ca="1" si="21"/>
        <v>#NAME?</v>
      </c>
      <c r="Q509" s="153">
        <f ca="1">VLOOKUP($AB$2,'RF Mod'!$A$2:$G$12,6,FALSE)+VLOOKUP($AD$2,'RF Mod'!$I$2:$O$11,6,FALSE)+(TRUNC(6+(24-6)*(TRUNC(MOD(($Z509*1103515245 +12345)/ 65536, 32768),0)/32768),0))</f>
        <v>10</v>
      </c>
      <c r="R509" s="16" t="e">
        <f t="shared" ca="1" si="22"/>
        <v>#NAME?</v>
      </c>
      <c r="S509" s="154">
        <f t="shared" ca="1" si="28"/>
        <v>112</v>
      </c>
      <c r="T509" s="154">
        <f t="shared" ca="1" si="23"/>
        <v>93</v>
      </c>
      <c r="U509" s="16" t="str">
        <f t="shared" ca="1" si="24"/>
        <v>Bloody</v>
      </c>
      <c r="V509" s="155">
        <f ca="1">IFERROR(__xludf.DUMMYFUNCTION("if(W509=""Middle Age"",QUERY(NPCVar!$K$2:$N1000, ""Select L where K = '""&amp;AB509&amp;""'""),if(W509=""Old"",QUERY(NPCVar!$K$2:$N1000, ""Select M where K = '""&amp;AB509&amp;""'""),if(W509=""Venerable"",QUERY(NPCVar!$K$2:$N1000, ""Select N where K = '""&amp;AB509&amp;""'""),fa"&amp;"lse)))*X509"),196.875)</f>
        <v>196.875</v>
      </c>
      <c r="W509" s="156" t="str">
        <f t="array" ref="W509">INDEX(NPCAgeType,TRUNC(1+(4-1)*(TRUNC(MOD((X509*1103515245 +12345)/ 65536, 32768),0)/32768),0))</f>
        <v>Old</v>
      </c>
      <c r="X509" s="117">
        <f t="shared" si="29"/>
        <v>0.7</v>
      </c>
      <c r="Y509" s="157" t="e">
        <f t="array" aca="1" ref="Y509" ca="1">LOOKUP(ABS(MAX(Z509 + MIN(ABS(INDIRECT("Class Jobs!B"&amp;MATCH(E509,'Class Jobs'!$A$1:$A1000,0)&amp;":"&amp;"AF"&amp;MATCH(E509,'Class Jobs'!$A$1:$A1000,0)&amp;"")-$Z509)) * SUM(IF(MIN(ABS(INDIRECT("Class Jobs!B"&amp;MATCH(E509,'Class Jobs'!$A$1:$A1000,0)&amp;":"&amp;"AF"&amp;MATCH(E509,'Class Jobs'!$A$1:$A1000,0)&amp;"")-$Z509))=ABS(INDIRECT("Class Jobs!B"&amp;MATCH(E509,'Class Jobs'!$A$1:$A1000,0)&amp;":"&amp;"AF"&amp;MATCH(E509,'Class Jobs'!$A$1:$A1000,0)&amp;"")-$Z509),SIGN(INDIRECT("Class Jobs!B"&amp;MATCH(E509,'Class Jobs'!$A$1:A1000,0)&amp;":"&amp;"AF"&amp;MATCH(E509,'Class Jobs'!$A$1:$A1000,0)&amp;"")-$Z509),0)),0)),INDIRECT("Class Jobs!B"&amp;MATCH(E509,'Class Jobs'!$A$1:$A1000,0)&amp;":"&amp;"AF"&amp;MATCH(E509,'Class Jobs'!$A$1:$A1000,1)&amp;""),'Class Jobs'!$B$1:$AF$1)</f>
        <v>#REF!</v>
      </c>
      <c r="Z509" s="158">
        <f t="shared" si="25"/>
        <v>0.27</v>
      </c>
      <c r="AA509" s="16" t="str">
        <f t="array" ref="AA509">INDEX(NPCGender,TRUNC(1+(COUNTA(NPCGender))*(TRUNC(MOD(($B509*1103515245 +12345)/ 65536, 32768),0)/32768),0))</f>
        <v>Male</v>
      </c>
      <c r="AB509" s="16" t="str">
        <f t="array" ref="AB509">INDEX(NPCRace,TRUNC(1+(COUNTA(NPCRace))*(TRUNC(MOD(($B509*1103515245 +12345)/ 65536, 32768),0)/32768),0))</f>
        <v>Elf</v>
      </c>
      <c r="AC509" s="16" t="str">
        <f t="array" ref="AC509">INDEX(NPCAL,TRUNC(1+(COUNTA(NPCAL))*(TRUNC(MOD(($B509*1103515245 +12345)/ 65536, 32768),0)/32768),0))</f>
        <v>CG</v>
      </c>
      <c r="AD509" s="72" t="str">
        <f ca="1">IFERROR(__xludf.DUMMYFUNCTION("if(V509&lt;15,QUERY(NPCVar!C:D,""Select D WHERE C = '""&amp;D509&amp;""'""),if((TRUNC(1+10)*(TRUNC(MOD((ROW(H509)*1103515245 +12345)/ 65536, 32768),0)/32768)/10) &gt; 0.85,INDEX(NPCFaction,TRUNC(1+(counta(NPCFaction)-1)*(TRUNC(MOD(($B509*1103515245 +12345)/ 65536, 3276"&amp;"8),0)/32768),0)),QUERY(NPCVar!C:D,""Select D WHERE C = '""&amp;D509&amp;""'"")))"),"Magic Guild")</f>
        <v>Magic Guild</v>
      </c>
      <c r="AE509" s="108" t="e">
        <f t="shared" ca="1" si="26"/>
        <v>#NAME?</v>
      </c>
      <c r="AF509" s="159">
        <f ca="1">IFERROR(__xludf.DUMMYFUNCTION("AE509*(V509 / QUERY(NPCVar!$K$2:$N$12, ""Select N WHERE K='""&amp;AB509&amp;""'""))*TRUNC(1+10)*(TRUNC(MOD(($B509*1103515245 +12345)/ 65536, 32768),0)/32768)"),-0.0761088180541992)</f>
        <v>-7.6108818054199195E-2</v>
      </c>
      <c r="AG509" s="16"/>
      <c r="AH509" s="77"/>
      <c r="AI509" s="114"/>
    </row>
    <row r="510" spans="1:35" ht="16.2">
      <c r="A510" s="53">
        <v>509</v>
      </c>
      <c r="B510" s="118">
        <f t="shared" si="32"/>
        <v>2.0070600000000001</v>
      </c>
      <c r="C510" s="72" t="str">
        <f t="array" ref="C510">INDEX(NPCFName,TRUNC(1+(COUNTA(NPCFName))*(TRUNC(MOD(($B510*1103515245 +12345)/ 65536, 32768),0)/32768),0))</f>
        <v>Bewul</v>
      </c>
      <c r="D510" s="16" t="str">
        <f t="array" ref="D510">INDEX(NPCLName,TRUNC(1+(COUNTA(NPCLName))*(TRUNC(MOD(($B510*1103515245 +12345)/ 65536, 32768),0)/32768),0))</f>
        <v>Stagfang</v>
      </c>
      <c r="E510" s="16" t="str">
        <f t="array" ref="E510">INDEX(NPCClass,TRUNC(1+(COUNTA(NPCClass))*(TRUNC(MOD(($B510*1103515245 +12345)/ 65536, 32768),0)/32768),0))</f>
        <v>Barbarian</v>
      </c>
      <c r="F510" s="76">
        <v>1</v>
      </c>
      <c r="G510" s="153">
        <f ca="1">VLOOKUP($AB$2,'RF Mod'!$A$2:$G$12,2,FALSE)+VLOOKUP($AD$2,'RF Mod'!$I$2:$O$11,2,FALSE)+(TRUNC(6+(24-6)*(TRUNC(MOD(($Z510*1103515245 +12345)/ 65536, 32768),0)/32768),0))</f>
        <v>4</v>
      </c>
      <c r="H510" s="16">
        <f t="shared" ca="1" si="17"/>
        <v>-3</v>
      </c>
      <c r="I510" s="153">
        <f ca="1">VLOOKUP($AB$2,'RF Mod'!$A$2:$G$12,3,FALSE)+VLOOKUP($AD$2,'RF Mod'!$I$2:$O$11,3,FALSE)+(TRUNC(6+(24-6)*(TRUNC(MOD(($Z510*1103515245 +12345)/ 65536, 32768),0)/32768),0))</f>
        <v>8</v>
      </c>
      <c r="J510" s="16">
        <f t="shared" ca="1" si="18"/>
        <v>-1</v>
      </c>
      <c r="K510" s="153">
        <f ca="1">VLOOKUP($AB$2,'RF Mod'!$A$2:$G$12,3,FALSE)+VLOOKUP($AD$2,'RF Mod'!$I$2:$O$11,3,FALSE)+(TRUNC(6+(24-6)*(TRUNC(MOD(($Z510*1103515245 +12345)/ 65536, 32768),0)/32768),0))</f>
        <v>8</v>
      </c>
      <c r="L510" s="16">
        <f t="shared" ca="1" si="19"/>
        <v>-1</v>
      </c>
      <c r="M510" s="153">
        <f ca="1">VLOOKUP($AB$2,'RF Mod'!$A$2:$G$12,4,FALSE)+VLOOKUP($AD$2,'RF Mod'!$I$2:$O$11,4,FALSE)+(TRUNC(6+(24-6)*(TRUNC(MOD(($Z510*1103515245 +12345)/ 65536, 32768),0)/32768),0))</f>
        <v>7</v>
      </c>
      <c r="N510" s="16">
        <f t="shared" ca="1" si="20"/>
        <v>-2</v>
      </c>
      <c r="O510" s="153">
        <f ca="1">VLOOKUP($AB$2,'RF Mod'!$A$2:$G$12,5,FALSE)+VLOOKUP($AD$2,'RF Mod'!$I$2:$O$11,5,FALSE)+(TRUNC(6+(24-6)*(TRUNC(MOD(($Z510*1103515245 +12345)/ 65536, 32768),0)/32768),0))</f>
        <v>10</v>
      </c>
      <c r="P510" s="16" t="e">
        <f t="shared" ca="1" si="21"/>
        <v>#NAME?</v>
      </c>
      <c r="Q510" s="153">
        <f ca="1">VLOOKUP($AB$2,'RF Mod'!$A$2:$G$12,6,FALSE)+VLOOKUP($AD$2,'RF Mod'!$I$2:$O$11,6,FALSE)+(TRUNC(6+(24-6)*(TRUNC(MOD(($Z510*1103515245 +12345)/ 65536, 32768),0)/32768),0))</f>
        <v>8</v>
      </c>
      <c r="R510" s="16">
        <f t="shared" ca="1" si="22"/>
        <v>-1</v>
      </c>
      <c r="S510" s="154">
        <f t="shared" ca="1" si="28"/>
        <v>10</v>
      </c>
      <c r="T510" s="154">
        <f t="shared" ca="1" si="23"/>
        <v>7</v>
      </c>
      <c r="U510" s="16" t="str">
        <f t="shared" ca="1" si="24"/>
        <v>Bloody</v>
      </c>
      <c r="V510" s="155">
        <f ca="1">IFERROR(__xludf.DUMMYFUNCTION("if(W510=""Middle Age"",QUERY(NPCVar!$K$2:$N1000, ""Select L where K = '""&amp;AB510&amp;""'""),if(W510=""Old"",QUERY(NPCVar!$K$2:$N1000, ""Select M where K = '""&amp;AB510&amp;""'""),if(W510=""Venerable"",QUERY(NPCVar!$K$2:$N1000, ""Select N where K = '""&amp;AB510&amp;""'""),fa"&amp;"lse)))*X510"),2)</f>
        <v>2</v>
      </c>
      <c r="W510" s="156" t="str">
        <f t="array" ref="W510">INDEX(NPCAgeType,TRUNC(1+(4-1)*(TRUNC(MOD((X510*1103515245 +12345)/ 65536, 32768),0)/32768),0))</f>
        <v>Middle Age</v>
      </c>
      <c r="X510" s="117">
        <f t="shared" si="29"/>
        <v>0.1</v>
      </c>
      <c r="Y510" s="157" t="e">
        <f t="array" aca="1" ref="Y510" ca="1">LOOKUP(ABS(MAX(Z510 + MIN(ABS(INDIRECT("Class Jobs!B"&amp;MATCH(E510,'Class Jobs'!$A$1:$A1000,0)&amp;":"&amp;"AF"&amp;MATCH(E510,'Class Jobs'!$A$1:$A1000,0)&amp;"")-$Z510)) * SUM(IF(MIN(ABS(INDIRECT("Class Jobs!B"&amp;MATCH(E510,'Class Jobs'!$A$1:$A1000,0)&amp;":"&amp;"AF"&amp;MATCH(E510,'Class Jobs'!$A$1:$A1000,0)&amp;"")-$Z510))=ABS(INDIRECT("Class Jobs!B"&amp;MATCH(E510,'Class Jobs'!$A$1:$A1000,0)&amp;":"&amp;"AF"&amp;MATCH(E510,'Class Jobs'!$A$1:$A1000,0)&amp;"")-$Z510),SIGN(INDIRECT("Class Jobs!B"&amp;MATCH(E510,'Class Jobs'!$A$1:A1000,0)&amp;":"&amp;"AF"&amp;MATCH(E510,'Class Jobs'!$A$1:$A1000,0)&amp;"")-$Z510),0)),0)),INDIRECT("Class Jobs!B"&amp;MATCH(E510,'Class Jobs'!$A$1:$A1000,0)&amp;":"&amp;"AF"&amp;MATCH(E510,'Class Jobs'!$A$1:$A1000,1)&amp;""),'Class Jobs'!$B$1:$AF$1)</f>
        <v>#REF!</v>
      </c>
      <c r="Z510" s="158">
        <f t="shared" si="25"/>
        <v>0.04</v>
      </c>
      <c r="AA510" s="16" t="str">
        <f t="array" ref="AA510">INDEX(NPCGender,TRUNC(1+(COUNTA(NPCGender))*(TRUNC(MOD(($B510*1103515245 +12345)/ 65536, 32768),0)/32768),0))</f>
        <v>Male</v>
      </c>
      <c r="AB510" s="16" t="str">
        <f t="array" ref="AB510">INDEX(NPCRace,TRUNC(1+(COUNTA(NPCRace))*(TRUNC(MOD(($B510*1103515245 +12345)/ 65536, 32768),0)/32768),0))</f>
        <v>Dragonborn</v>
      </c>
      <c r="AC510" s="16" t="str">
        <f t="array" ref="AC510">INDEX(NPCAL,TRUNC(1+(COUNTA(NPCAL))*(TRUNC(MOD(($B510*1103515245 +12345)/ 65536, 32768),0)/32768),0))</f>
        <v>CN</v>
      </c>
      <c r="AD510" s="72" t="str">
        <f ca="1">IFERROR(__xludf.DUMMYFUNCTION("if(V510&lt;15,QUERY(NPCVar!C:D,""Select D WHERE C = '""&amp;D510&amp;""'""),if((TRUNC(1+10)*(TRUNC(MOD((ROW(H510)*1103515245 +12345)/ 65536, 32768),0)/32768)/10) &gt; 0.85,INDEX(NPCFaction,TRUNC(1+(counta(NPCFaction)-1)*(TRUNC(MOD(($B510*1103515245 +12345)/ 65536, 3276"&amp;"8),0)/32768),0)),QUERY(NPCVar!C:D,""Select D WHERE C = '""&amp;D510&amp;""'"")))"),"Royalty")</f>
        <v>Royalty</v>
      </c>
      <c r="AE510" s="108" t="e">
        <f t="shared" ca="1" si="26"/>
        <v>#NAME?</v>
      </c>
      <c r="AF510" s="159">
        <f ca="1">IFERROR(__xludf.DUMMYFUNCTION("AE510*(V510 / QUERY(NPCVar!$K$2:$N$12, ""Select N WHERE K='""&amp;AB510&amp;""'""))*TRUNC(1+10)*(TRUNC(MOD(($B510*1103515245 +12345)/ 65536, 32768),0)/32768)"),0.00258567810058593)</f>
        <v>2.5856781005859299E-3</v>
      </c>
      <c r="AG510" s="16"/>
      <c r="AH510" s="77"/>
      <c r="AI510" s="114"/>
    </row>
    <row r="511" spans="1:35" ht="16.2">
      <c r="A511" s="53">
        <v>510</v>
      </c>
      <c r="B511" s="118">
        <f t="shared" si="32"/>
        <v>1.0011300000000001</v>
      </c>
      <c r="C511" s="72" t="str">
        <f t="array" ref="C511">INDEX(NPCFName,TRUNC(1+(COUNTA(NPCFName))*(TRUNC(MOD(($B511*1103515245 +12345)/ 65536, 32768),0)/32768),0))</f>
        <v>Madarlon</v>
      </c>
      <c r="D511" s="16" t="str">
        <f t="array" ref="D511">INDEX(NPCLName,TRUNC(1+(COUNTA(NPCLName))*(TRUNC(MOD(($B511*1103515245 +12345)/ 65536, 32768),0)/32768),0))</f>
        <v>Staghammer</v>
      </c>
      <c r="E511" s="16" t="str">
        <f t="array" ref="E511">INDEX(NPCClass,TRUNC(1+(COUNTA(NPCClass))*(TRUNC(MOD(($B511*1103515245 +12345)/ 65536, 32768),0)/32768),0))</f>
        <v>Sorcerer</v>
      </c>
      <c r="F511" s="76">
        <v>8</v>
      </c>
      <c r="G511" s="153">
        <f ca="1">VLOOKUP($AB$2,'RF Mod'!$A$2:$G$12,2,FALSE)+VLOOKUP($AD$2,'RF Mod'!$I$2:$O$11,2,FALSE)+(TRUNC(6+(24-6)*(TRUNC(MOD(($Z511*1103515245 +12345)/ 65536, 32768),0)/32768),0))</f>
        <v>8</v>
      </c>
      <c r="H511" s="16">
        <f t="shared" ca="1" si="17"/>
        <v>-1</v>
      </c>
      <c r="I511" s="153">
        <f ca="1">VLOOKUP($AB$2,'RF Mod'!$A$2:$G$12,3,FALSE)+VLOOKUP($AD$2,'RF Mod'!$I$2:$O$11,3,FALSE)+(TRUNC(6+(24-6)*(TRUNC(MOD(($Z511*1103515245 +12345)/ 65536, 32768),0)/32768),0))</f>
        <v>12</v>
      </c>
      <c r="J511" s="16" t="e">
        <f t="shared" ca="1" si="18"/>
        <v>#NAME?</v>
      </c>
      <c r="K511" s="153">
        <f ca="1">VLOOKUP($AB$2,'RF Mod'!$A$2:$G$12,3,FALSE)+VLOOKUP($AD$2,'RF Mod'!$I$2:$O$11,3,FALSE)+(TRUNC(6+(24-6)*(TRUNC(MOD(($Z511*1103515245 +12345)/ 65536, 32768),0)/32768),0))</f>
        <v>12</v>
      </c>
      <c r="L511" s="16" t="e">
        <f t="shared" ca="1" si="19"/>
        <v>#NAME?</v>
      </c>
      <c r="M511" s="153">
        <f ca="1">VLOOKUP($AB$2,'RF Mod'!$A$2:$G$12,4,FALSE)+VLOOKUP($AD$2,'RF Mod'!$I$2:$O$11,4,FALSE)+(TRUNC(6+(24-6)*(TRUNC(MOD(($Z511*1103515245 +12345)/ 65536, 32768),0)/32768),0))</f>
        <v>11</v>
      </c>
      <c r="N511" s="16" t="e">
        <f t="shared" ca="1" si="20"/>
        <v>#NAME?</v>
      </c>
      <c r="O511" s="153">
        <f ca="1">VLOOKUP($AB$2,'RF Mod'!$A$2:$G$12,5,FALSE)+VLOOKUP($AD$2,'RF Mod'!$I$2:$O$11,5,FALSE)+(TRUNC(6+(24-6)*(TRUNC(MOD(($Z511*1103515245 +12345)/ 65536, 32768),0)/32768),0))</f>
        <v>14</v>
      </c>
      <c r="P511" s="16" t="e">
        <f t="shared" ca="1" si="21"/>
        <v>#NAME?</v>
      </c>
      <c r="Q511" s="153">
        <f ca="1">VLOOKUP($AB$2,'RF Mod'!$A$2:$G$12,6,FALSE)+VLOOKUP($AD$2,'RF Mod'!$I$2:$O$11,6,FALSE)+(TRUNC(6+(24-6)*(TRUNC(MOD(($Z511*1103515245 +12345)/ 65536, 32768),0)/32768),0))</f>
        <v>12</v>
      </c>
      <c r="R511" s="16" t="e">
        <f t="shared" ca="1" si="22"/>
        <v>#NAME?</v>
      </c>
      <c r="S511" s="154">
        <f t="shared" ca="1" si="28"/>
        <v>208</v>
      </c>
      <c r="T511" s="154">
        <f t="shared" ca="1" si="23"/>
        <v>62</v>
      </c>
      <c r="U511" s="16" t="str">
        <f t="shared" ca="1" si="24"/>
        <v>Fine</v>
      </c>
      <c r="V511" s="155">
        <f ca="1">IFERROR(__xludf.DUMMYFUNCTION("if(W511=""Middle Age"",QUERY(NPCVar!$K$2:$N1000, ""Select L where K = '""&amp;AB511&amp;""'""),if(W511=""Old"",QUERY(NPCVar!$K$2:$N1000, ""Select M where K = '""&amp;AB511&amp;""'""),if(W511=""Venerable"",QUERY(NPCVar!$K$2:$N1000, ""Select N where K = '""&amp;AB511&amp;""'""),fa"&amp;"lse)))*X511"),91)</f>
        <v>91</v>
      </c>
      <c r="W511" s="156" t="str">
        <f t="array" ref="W511">INDEX(NPCAgeType,TRUNC(1+(4-1)*(TRUNC(MOD((X511*1103515245 +12345)/ 65536, 32768),0)/32768),0))</f>
        <v>Venerable</v>
      </c>
      <c r="X511" s="117">
        <f t="shared" si="29"/>
        <v>1.3</v>
      </c>
      <c r="Y511" s="157" t="e">
        <f t="array" aca="1" ref="Y511" ca="1">LOOKUP(ABS(MAX(Z511 + MIN(ABS(INDIRECT("Class Jobs!B"&amp;MATCH(E511,'Class Jobs'!$A$1:$A1000,0)&amp;":"&amp;"AF"&amp;MATCH(E511,'Class Jobs'!$A$1:$A1000,0)&amp;"")-$Z511)) * SUM(IF(MIN(ABS(INDIRECT("Class Jobs!B"&amp;MATCH(E511,'Class Jobs'!$A$1:$A1000,0)&amp;":"&amp;"AF"&amp;MATCH(E511,'Class Jobs'!$A$1:$A1000,0)&amp;"")-$Z511))=ABS(INDIRECT("Class Jobs!B"&amp;MATCH(E511,'Class Jobs'!$A$1:$A1000,0)&amp;":"&amp;"AF"&amp;MATCH(E511,'Class Jobs'!$A$1:$A1000,0)&amp;"")-$Z511),SIGN(INDIRECT("Class Jobs!B"&amp;MATCH(E511,'Class Jobs'!$A$1:A1000,0)&amp;":"&amp;"AF"&amp;MATCH(E511,'Class Jobs'!$A$1:$A1000,0)&amp;"")-$Z511),0)),0)),INDIRECT("Class Jobs!B"&amp;MATCH(E511,'Class Jobs'!$A$1:$A1000,0)&amp;":"&amp;"AF"&amp;MATCH(E511,'Class Jobs'!$A$1:$A1000,1)&amp;""),'Class Jobs'!$B$1:$AF$1)</f>
        <v>#REF!</v>
      </c>
      <c r="Z511" s="158">
        <f t="shared" si="25"/>
        <v>0.51</v>
      </c>
      <c r="AA511" s="16" t="str">
        <f t="array" ref="AA511">INDEX(NPCGender,TRUNC(1+(COUNTA(NPCGender))*(TRUNC(MOD(($B511*1103515245 +12345)/ 65536, 32768),0)/32768),0))</f>
        <v>Female</v>
      </c>
      <c r="AB511" s="16" t="str">
        <f t="array" ref="AB511">INDEX(NPCRace,TRUNC(1+(COUNTA(NPCRace))*(TRUNC(MOD(($B511*1103515245 +12345)/ 65536, 32768),0)/32768),0))</f>
        <v>Half-Orc</v>
      </c>
      <c r="AC511" s="16" t="str">
        <f t="array" ref="AC511">INDEX(NPCAL,TRUNC(1+(COUNTA(NPCAL))*(TRUNC(MOD(($B511*1103515245 +12345)/ 65536, 32768),0)/32768),0))</f>
        <v>NN</v>
      </c>
      <c r="AD511" s="72" t="str">
        <f ca="1">IFERROR(__xludf.DUMMYFUNCTION("if(V511&lt;15,QUERY(NPCVar!C:D,""Select D WHERE C = '""&amp;D511&amp;""'""),if((TRUNC(1+10)*(TRUNC(MOD((ROW(H511)*1103515245 +12345)/ 65536, 32768),0)/32768)/10) &gt; 0.85,INDEX(NPCFaction,TRUNC(1+(counta(NPCFaction)-1)*(TRUNC(MOD(($B511*1103515245 +12345)/ 65536, 3276"&amp;"8),0)/32768),0)),QUERY(NPCVar!C:D,""Select D WHERE C = '""&amp;D511&amp;""'"")))"),"Farmers Guild")</f>
        <v>Farmers Guild</v>
      </c>
      <c r="AE511" s="108" t="e">
        <f t="shared" ca="1" si="26"/>
        <v>#NAME?</v>
      </c>
      <c r="AF511" s="159">
        <f ca="1">IFERROR(__xludf.DUMMYFUNCTION("AE511*(V511 / QUERY(NPCVar!$K$2:$N$12, ""Select N WHERE K='""&amp;AB511&amp;""'""))*TRUNC(1+10)*(TRUNC(MOD(($B511*1103515245 +12345)/ 65536, 32768),0)/32768)"),1.47128356933593)</f>
        <v>1.4712835693359301</v>
      </c>
      <c r="AG511" s="16"/>
      <c r="AH511" s="77"/>
      <c r="AI511" s="114"/>
    </row>
    <row r="512" spans="1:35" ht="16.2">
      <c r="A512" s="53">
        <v>511</v>
      </c>
      <c r="B512" s="118">
        <f t="shared" si="32"/>
        <v>2.49526</v>
      </c>
      <c r="C512" s="72" t="str">
        <f t="array" ref="C512">INDEX(NPCFName,TRUNC(1+(COUNTA(NPCFName))*(TRUNC(MOD(($B512*1103515245 +12345)/ 65536, 32768),0)/32768),0))</f>
        <v>Tespar</v>
      </c>
      <c r="D512" s="16" t="str">
        <f t="array" ref="D512">INDEX(NPCLName,TRUNC(1+(COUNTA(NPCLName))*(TRUNC(MOD(($B512*1103515245 +12345)/ 65536, 32768),0)/32768),0))</f>
        <v>Commonscream</v>
      </c>
      <c r="E512" s="16" t="str">
        <f t="array" ref="E512">INDEX(NPCClass,TRUNC(1+(COUNTA(NPCClass))*(TRUNC(MOD(($B512*1103515245 +12345)/ 65536, 32768),0)/32768),0))</f>
        <v>Monk</v>
      </c>
      <c r="F512" s="76">
        <v>1</v>
      </c>
      <c r="G512" s="153">
        <f ca="1">VLOOKUP($AB$2,'RF Mod'!$A$2:$G$12,2,FALSE)+VLOOKUP($AD$2,'RF Mod'!$I$2:$O$11,2,FALSE)+(TRUNC(6+(24-6)*(TRUNC(MOD(($Z512*1103515245 +12345)/ 65536, 32768),0)/32768),0))</f>
        <v>6</v>
      </c>
      <c r="H512" s="16">
        <f t="shared" ref="H512:H766" ca="1" si="33">IF(G512&lt;10, FLOOR(G512/2,1) - 5, _xludf.concat("+", FLOOR(G512/2,1) - 5))</f>
        <v>-2</v>
      </c>
      <c r="I512" s="153">
        <f ca="1">VLOOKUP($AB$2,'RF Mod'!$A$2:$G$12,3,FALSE)+VLOOKUP($AD$2,'RF Mod'!$I$2:$O$11,3,FALSE)+(TRUNC(6+(24-6)*(TRUNC(MOD(($Z512*1103515245 +12345)/ 65536, 32768),0)/32768),0))</f>
        <v>10</v>
      </c>
      <c r="J512" s="16" t="e">
        <f t="shared" ref="J512:J766" ca="1" si="34">IF(I512&lt;10, FLOOR(I512/2,1) - 5, _xludf.concat("+", FLOOR(I512/2,1) - 5))</f>
        <v>#NAME?</v>
      </c>
      <c r="K512" s="153">
        <f ca="1">VLOOKUP($AB$2,'RF Mod'!$A$2:$G$12,3,FALSE)+VLOOKUP($AD$2,'RF Mod'!$I$2:$O$11,3,FALSE)+(TRUNC(6+(24-6)*(TRUNC(MOD(($Z512*1103515245 +12345)/ 65536, 32768),0)/32768),0))</f>
        <v>10</v>
      </c>
      <c r="L512" s="16" t="e">
        <f t="shared" ref="L512:L766" ca="1" si="35">IF(K512&lt;10, FLOOR(K512/2,1) - 5, _xludf.concat("+", FLOOR(K512/2,1) - 5))</f>
        <v>#NAME?</v>
      </c>
      <c r="M512" s="153">
        <f ca="1">VLOOKUP($AB$2,'RF Mod'!$A$2:$G$12,4,FALSE)+VLOOKUP($AD$2,'RF Mod'!$I$2:$O$11,4,FALSE)+(TRUNC(6+(24-6)*(TRUNC(MOD(($Z512*1103515245 +12345)/ 65536, 32768),0)/32768),0))</f>
        <v>9</v>
      </c>
      <c r="N512" s="16">
        <f t="shared" ref="N512:N766" ca="1" si="36">IF(M512&lt;10, FLOOR(M512/2,1) - 5, _xludf.concat("+", FLOOR(M512/2,1) - 5))</f>
        <v>-1</v>
      </c>
      <c r="O512" s="153">
        <f ca="1">VLOOKUP($AB$2,'RF Mod'!$A$2:$G$12,5,FALSE)+VLOOKUP($AD$2,'RF Mod'!$I$2:$O$11,5,FALSE)+(TRUNC(6+(24-6)*(TRUNC(MOD(($Z512*1103515245 +12345)/ 65536, 32768),0)/32768),0))</f>
        <v>12</v>
      </c>
      <c r="P512" s="16" t="e">
        <f t="shared" ref="P512:P766" ca="1" si="37">IF(O512&lt;10, FLOOR(O512/2,1) - 5, _xludf.concat("+", FLOOR(O512/2,1) - 5))</f>
        <v>#NAME?</v>
      </c>
      <c r="Q512" s="153">
        <f ca="1">VLOOKUP($AB$2,'RF Mod'!$A$2:$G$12,6,FALSE)+VLOOKUP($AD$2,'RF Mod'!$I$2:$O$11,6,FALSE)+(TRUNC(6+(24-6)*(TRUNC(MOD(($Z512*1103515245 +12345)/ 65536, 32768),0)/32768),0))</f>
        <v>10</v>
      </c>
      <c r="R512" s="16" t="e">
        <f t="shared" ref="R512:R766" ca="1" si="38">IF(Q512&lt;10, FLOOR(Q512/2,1) - 5, _xludf.concat("+", FLOOR(Q512/2,1) - 5))</f>
        <v>#NAME?</v>
      </c>
      <c r="S512" s="154">
        <f t="shared" ca="1" si="28"/>
        <v>14</v>
      </c>
      <c r="T512" s="154">
        <f t="shared" ref="T512:T766" ca="1" si="39">RANDBETWEEN(1,(S512*1.2))</f>
        <v>9</v>
      </c>
      <c r="U512" s="16" t="str">
        <f t="shared" ref="U512:U766" ca="1" si="40">IF(T512=S512,"Unconscious",IF(T512&gt;S512,"Dead",IF(T512&gt;(S512/2),"Bloody","Fine")))</f>
        <v>Bloody</v>
      </c>
      <c r="V512" s="155">
        <f ca="1">IFERROR(__xludf.DUMMYFUNCTION("if(W512=""Middle Age"",QUERY(NPCVar!$K$2:$N1000, ""Select L where K = '""&amp;AB512&amp;""'""),if(W512=""Old"",QUERY(NPCVar!$K$2:$N1000, ""Select M where K = '""&amp;AB512&amp;""'""),if(W512=""Venerable"",QUERY(NPCVar!$K$2:$N1000, ""Select N where K = '""&amp;AB512&amp;""'""),fa"&amp;"lse)))*X512"),118.124999999999)</f>
        <v>118.12499999999901</v>
      </c>
      <c r="W512" s="156" t="str">
        <f t="array" ref="W512">INDEX(NPCAgeType,TRUNC(1+(4-1)*(TRUNC(MOD((X512*1103515245 +12345)/ 65536, 32768),0)/32768),0))</f>
        <v>Old</v>
      </c>
      <c r="X512" s="117">
        <f t="shared" si="29"/>
        <v>0.7</v>
      </c>
      <c r="Y512" s="157" t="e">
        <f t="array" aca="1" ref="Y512" ca="1">LOOKUP(ABS(MAX(Z512 + MIN(ABS(INDIRECT("Class Jobs!B"&amp;MATCH(E512,'Class Jobs'!$A$1:$A1000,0)&amp;":"&amp;"AF"&amp;MATCH(E512,'Class Jobs'!$A$1:$A1000,0)&amp;"")-$Z512)) * SUM(IF(MIN(ABS(INDIRECT("Class Jobs!B"&amp;MATCH(E512,'Class Jobs'!$A$1:$A1000,0)&amp;":"&amp;"AF"&amp;MATCH(E512,'Class Jobs'!$A$1:$A1000,0)&amp;"")-$Z512))=ABS(INDIRECT("Class Jobs!B"&amp;MATCH(E512,'Class Jobs'!$A$1:$A1000,0)&amp;":"&amp;"AF"&amp;MATCH(E512,'Class Jobs'!$A$1:$A1000,0)&amp;"")-$Z512),SIGN(INDIRECT("Class Jobs!B"&amp;MATCH(E512,'Class Jobs'!$A$1:A1000,0)&amp;":"&amp;"AF"&amp;MATCH(E512,'Class Jobs'!$A$1:$A1000,0)&amp;"")-$Z512),0)),0)),INDIRECT("Class Jobs!B"&amp;MATCH(E512,'Class Jobs'!$A$1:$A1000,0)&amp;":"&amp;"AF"&amp;MATCH(E512,'Class Jobs'!$A$1:$A1000,1)&amp;""),'Class Jobs'!$B$1:$AF$1)</f>
        <v>#REF!</v>
      </c>
      <c r="Z512" s="158">
        <f t="shared" ref="Z512:Z766" si="41">(TRUNC(1+(100-1)*(TRUNC(MOD(($B512*1103515245 +12345)/ 65536, 32768),0)/32768),0))/100</f>
        <v>0.28000000000000003</v>
      </c>
      <c r="AA512" s="16" t="str">
        <f t="array" ref="AA512">INDEX(NPCGender,TRUNC(1+(COUNTA(NPCGender))*(TRUNC(MOD(($B512*1103515245 +12345)/ 65536, 32768),0)/32768),0))</f>
        <v>Male</v>
      </c>
      <c r="AB512" s="16" t="str">
        <f t="array" ref="AB512">INDEX(NPCRace,TRUNC(1+(COUNTA(NPCRace))*(TRUNC(MOD(($B512*1103515245 +12345)/ 65536, 32768),0)/32768),0))</f>
        <v>Gnome</v>
      </c>
      <c r="AC512" s="16" t="str">
        <f t="array" ref="AC512">INDEX(NPCAL,TRUNC(1+(COUNTA(NPCAL))*(TRUNC(MOD(($B512*1103515245 +12345)/ 65536, 32768),0)/32768),0))</f>
        <v>CG</v>
      </c>
      <c r="AD512" s="72" t="str">
        <f ca="1">IFERROR(__xludf.DUMMYFUNCTION("if(V512&lt;15,QUERY(NPCVar!C:D,""Select D WHERE C = '""&amp;D512&amp;""'""),if((TRUNC(1+10)*(TRUNC(MOD((ROW(H512)*1103515245 +12345)/ 65536, 32768),0)/32768)/10) &gt; 0.85,INDEX(NPCFaction,TRUNC(1+(counta(NPCFaction)-1)*(TRUNC(MOD(($B512*1103515245 +12345)/ 65536, 3276"&amp;"8),0)/32768),0)),QUERY(NPCVar!C:D,""Select D WHERE C = '""&amp;D512&amp;""'"")))"),"Necromancer")</f>
        <v>Necromancer</v>
      </c>
      <c r="AE512" s="108" t="e">
        <f t="shared" ref="AE512:AE766" ca="1" si="42">(TRUNC(1+(10-1)*(TRUNC(MOD((ROW(B511)*1103515245 +12345)/ 65536, 32768),0)/32768),0)/10)+(MAX(MIN((H512+J512+L512+N512+P512+R512),1),-3)/10)</f>
        <v>#NAME?</v>
      </c>
      <c r="AF512" s="159">
        <f ca="1">IFERROR(__xludf.DUMMYFUNCTION("AE512*(V512 / QUERY(NPCVar!$K$2:$N$12, ""Select N WHERE K='""&amp;AB512&amp;""'""))*TRUNC(1+10)*(TRUNC(MOD(($B512*1103515245 +12345)/ 65536, 32768),0)/32768)"),0.325971679687499)</f>
        <v>0.32597167968749902</v>
      </c>
      <c r="AG512" s="16"/>
      <c r="AH512" s="77"/>
      <c r="AI512" s="114"/>
    </row>
    <row r="513" spans="1:35" ht="16.2">
      <c r="A513" s="53">
        <v>512</v>
      </c>
      <c r="B513" s="118">
        <f t="shared" si="32"/>
        <v>1.4894099999999999</v>
      </c>
      <c r="C513" s="72" t="str">
        <f t="array" ref="C513">INDEX(NPCFName,TRUNC(1+(COUNTA(NPCFName))*(TRUNC(MOD(($B513*1103515245 +12345)/ 65536, 32768),0)/32768),0))</f>
        <v>Etdar</v>
      </c>
      <c r="D513" s="16" t="str">
        <f t="array" ref="D513">INDEX(NPCLName,TRUNC(1+(COUNTA(NPCLName))*(TRUNC(MOD(($B513*1103515245 +12345)/ 65536, 32768),0)/32768),0))</f>
        <v>Sacredgloom</v>
      </c>
      <c r="E513" s="16" t="str">
        <f t="array" ref="E513">INDEX(NPCClass,TRUNC(1+(COUNTA(NPCClass))*(TRUNC(MOD(($B513*1103515245 +12345)/ 65536, 32768),0)/32768),0))</f>
        <v>Cleric</v>
      </c>
      <c r="F513" s="76">
        <v>8</v>
      </c>
      <c r="G513" s="153">
        <f ca="1">VLOOKUP($AB$2,'RF Mod'!$A$2:$G$12,2,FALSE)+VLOOKUP($AD$2,'RF Mod'!$I$2:$O$11,2,FALSE)+(TRUNC(6+(24-6)*(TRUNC(MOD(($Z513*1103515245 +12345)/ 65536, 32768),0)/32768),0))</f>
        <v>11</v>
      </c>
      <c r="H513" s="16" t="e">
        <f t="shared" ca="1" si="33"/>
        <v>#NAME?</v>
      </c>
      <c r="I513" s="153">
        <f ca="1">VLOOKUP($AB$2,'RF Mod'!$A$2:$G$12,3,FALSE)+VLOOKUP($AD$2,'RF Mod'!$I$2:$O$11,3,FALSE)+(TRUNC(6+(24-6)*(TRUNC(MOD(($Z513*1103515245 +12345)/ 65536, 32768),0)/32768),0))</f>
        <v>15</v>
      </c>
      <c r="J513" s="16" t="e">
        <f t="shared" ca="1" si="34"/>
        <v>#NAME?</v>
      </c>
      <c r="K513" s="153">
        <f ca="1">VLOOKUP($AB$2,'RF Mod'!$A$2:$G$12,3,FALSE)+VLOOKUP($AD$2,'RF Mod'!$I$2:$O$11,3,FALSE)+(TRUNC(6+(24-6)*(TRUNC(MOD(($Z513*1103515245 +12345)/ 65536, 32768),0)/32768),0))</f>
        <v>15</v>
      </c>
      <c r="L513" s="16" t="e">
        <f t="shared" ca="1" si="35"/>
        <v>#NAME?</v>
      </c>
      <c r="M513" s="153">
        <f ca="1">VLOOKUP($AB$2,'RF Mod'!$A$2:$G$12,4,FALSE)+VLOOKUP($AD$2,'RF Mod'!$I$2:$O$11,4,FALSE)+(TRUNC(6+(24-6)*(TRUNC(MOD(($Z513*1103515245 +12345)/ 65536, 32768),0)/32768),0))</f>
        <v>14</v>
      </c>
      <c r="N513" s="16" t="e">
        <f t="shared" ca="1" si="36"/>
        <v>#NAME?</v>
      </c>
      <c r="O513" s="153">
        <f ca="1">VLOOKUP($AB$2,'RF Mod'!$A$2:$G$12,5,FALSE)+VLOOKUP($AD$2,'RF Mod'!$I$2:$O$11,5,FALSE)+(TRUNC(6+(24-6)*(TRUNC(MOD(($Z513*1103515245 +12345)/ 65536, 32768),0)/32768),0))</f>
        <v>17</v>
      </c>
      <c r="P513" s="16" t="e">
        <f t="shared" ca="1" si="37"/>
        <v>#NAME?</v>
      </c>
      <c r="Q513" s="153">
        <f ca="1">VLOOKUP($AB$2,'RF Mod'!$A$2:$G$12,6,FALSE)+VLOOKUP($AD$2,'RF Mod'!$I$2:$O$11,6,FALSE)+(TRUNC(6+(24-6)*(TRUNC(MOD(($Z513*1103515245 +12345)/ 65536, 32768),0)/32768),0))</f>
        <v>15</v>
      </c>
      <c r="R513" s="16" t="e">
        <f t="shared" ca="1" si="38"/>
        <v>#NAME?</v>
      </c>
      <c r="S513" s="154">
        <f t="shared" ref="S513:S767" ca="1" si="43">(CEILING(20*(TRUNC(1+(10-1)*(TRUNC(MOD((AF513*1103515245 +12345)/ 65536, 32768),0)/32768),0)/10),1)+(K513))*F513</f>
        <v>216</v>
      </c>
      <c r="T513" s="154">
        <f t="shared" ca="1" si="39"/>
        <v>182</v>
      </c>
      <c r="U513" s="16" t="str">
        <f t="shared" ca="1" si="40"/>
        <v>Bloody</v>
      </c>
      <c r="V513" s="155">
        <f ca="1">IFERROR(__xludf.DUMMYFUNCTION("if(W513=""Middle Age"",QUERY(NPCVar!$K$2:$N1000, ""Select L where K = '""&amp;AB513&amp;""'""),if(W513=""Old"",QUERY(NPCVar!$K$2:$N1000, ""Select M where K = '""&amp;AB513&amp;""'""),if(W513=""Venerable"",QUERY(NPCVar!$K$2:$N1000, ""Select N where K = '""&amp;AB513&amp;""'""),fa"&amp;"lse)))*X513"),190)</f>
        <v>190</v>
      </c>
      <c r="W513" s="156" t="str">
        <f t="array" ref="W513">INDEX(NPCAgeType,TRUNC(1+(4-1)*(TRUNC(MOD((X513*1103515245 +12345)/ 65536, 32768),0)/32768),0))</f>
        <v>Venerable</v>
      </c>
      <c r="X513" s="117">
        <f t="shared" si="29"/>
        <v>1.9</v>
      </c>
      <c r="Y513" s="157" t="e">
        <f t="array" aca="1" ref="Y513" ca="1">LOOKUP(ABS(MAX(Z513 + MIN(ABS(INDIRECT("Class Jobs!B"&amp;MATCH(E513,'Class Jobs'!$A$1:$A1000,0)&amp;":"&amp;"AF"&amp;MATCH(E513,'Class Jobs'!$A$1:$A1000,0)&amp;"")-$Z513)) * SUM(IF(MIN(ABS(INDIRECT("Class Jobs!B"&amp;MATCH(E513,'Class Jobs'!$A$1:$A1000,0)&amp;":"&amp;"AF"&amp;MATCH(E513,'Class Jobs'!$A$1:$A1000,0)&amp;"")-$Z513))=ABS(INDIRECT("Class Jobs!B"&amp;MATCH(E513,'Class Jobs'!$A$1:$A1000,0)&amp;":"&amp;"AF"&amp;MATCH(E513,'Class Jobs'!$A$1:$A1000,0)&amp;"")-$Z513),SIGN(INDIRECT("Class Jobs!B"&amp;MATCH(E513,'Class Jobs'!$A$1:A1000,0)&amp;":"&amp;"AF"&amp;MATCH(E513,'Class Jobs'!$A$1:$A1000,0)&amp;"")-$Z513),0)),0)),INDIRECT("Class Jobs!B"&amp;MATCH(E513,'Class Jobs'!$A$1:$A1000,0)&amp;":"&amp;"AF"&amp;MATCH(E513,'Class Jobs'!$A$1:$A1000,1)&amp;""),'Class Jobs'!$B$1:$AF$1)</f>
        <v>#REF!</v>
      </c>
      <c r="Z513" s="158">
        <f t="shared" si="41"/>
        <v>0.76</v>
      </c>
      <c r="AA513" s="16" t="str">
        <f t="array" ref="AA513">INDEX(NPCGender,TRUNC(1+(COUNTA(NPCGender))*(TRUNC(MOD(($B513*1103515245 +12345)/ 65536, 32768),0)/32768),0))</f>
        <v>Neutral</v>
      </c>
      <c r="AB513" s="16" t="str">
        <f t="array" ref="AB513">INDEX(NPCRace,TRUNC(1+(COUNTA(NPCRace))*(TRUNC(MOD(($B513*1103515245 +12345)/ 65536, 32768),0)/32768),0))</f>
        <v>Tiefling</v>
      </c>
      <c r="AC513" s="16" t="str">
        <f t="array" ref="AC513">INDEX(NPCAL,TRUNC(1+(COUNTA(NPCAL))*(TRUNC(MOD(($B513*1103515245 +12345)/ 65536, 32768),0)/32768),0))</f>
        <v>LG</v>
      </c>
      <c r="AD513" s="72" t="str">
        <f ca="1">IFERROR(__xludf.DUMMYFUNCTION("if(V513&lt;15,QUERY(NPCVar!C:D,""Select D WHERE C = '""&amp;D513&amp;""'""),if((TRUNC(1+10)*(TRUNC(MOD((ROW(H513)*1103515245 +12345)/ 65536, 32768),0)/32768)/10) &gt; 0.85,INDEX(NPCFaction,TRUNC(1+(counta(NPCFaction)-1)*(TRUNC(MOD(($B513*1103515245 +12345)/ 65536, 3276"&amp;"8),0)/32768),0)),QUERY(NPCVar!C:D,""Select D WHERE C = '""&amp;D513&amp;""'"")))"),"Adventures Guild")</f>
        <v>Adventures Guild</v>
      </c>
      <c r="AE513" s="108" t="e">
        <f t="shared" ca="1" si="42"/>
        <v>#NAME?</v>
      </c>
      <c r="AF513" s="159">
        <f ca="1">IFERROR(__xludf.DUMMYFUNCTION("AE513*(V513 / QUERY(NPCVar!$K$2:$N$12, ""Select N WHERE K='""&amp;AB513&amp;""'""))*TRUNC(1+10)*(TRUNC(MOD(($B513*1103515245 +12345)/ 65536, 32768),0)/32768)"),3.19916442871093)</f>
        <v>3.19916442871093</v>
      </c>
      <c r="AG513" s="16"/>
      <c r="AH513" s="77"/>
      <c r="AI513" s="114"/>
    </row>
    <row r="514" spans="1:35" ht="16.2">
      <c r="A514" s="53">
        <v>513</v>
      </c>
      <c r="B514" s="118">
        <f t="shared" ref="B514:B577" si="44">(TRUNC(1+(250000-1)*(TRUNC(MOD(((Seed*ROW())*1103515245 +12345)/ 65536, 32768),0)/32768),0))/100000</f>
        <v>0.48354999999999998</v>
      </c>
      <c r="C514" s="72" t="str">
        <f t="array" ref="C514">INDEX(NPCFName,TRUNC(1+(COUNTA(NPCFName))*(TRUNC(MOD(($B514*1103515245 +12345)/ 65536, 32768),0)/32768),0))</f>
        <v>Rogoth</v>
      </c>
      <c r="D514" s="16" t="str">
        <f t="array" ref="D514">INDEX(NPCLName,TRUNC(1+(COUNTA(NPCLName))*(TRUNC(MOD(($B514*1103515245 +12345)/ 65536, 32768),0)/32768),0))</f>
        <v>Tuskleaf</v>
      </c>
      <c r="E514" s="16" t="str">
        <f t="array" ref="E514">INDEX(NPCClass,TRUNC(1+(COUNTA(NPCClass))*(TRUNC(MOD(($B514*1103515245 +12345)/ 65536, 32768),0)/32768),0))</f>
        <v>Druid</v>
      </c>
      <c r="F514" s="76">
        <v>1</v>
      </c>
      <c r="G514" s="153">
        <f ca="1">VLOOKUP($AB$2,'RF Mod'!$A$2:$G$12,2,FALSE)+VLOOKUP($AD$2,'RF Mod'!$I$2:$O$11,2,FALSE)+(TRUNC(6+(24-6)*(TRUNC(MOD(($Z514*1103515245 +12345)/ 65536, 32768),0)/32768),0))</f>
        <v>6</v>
      </c>
      <c r="H514" s="16">
        <f t="shared" ca="1" si="33"/>
        <v>-2</v>
      </c>
      <c r="I514" s="153">
        <f ca="1">VLOOKUP($AB$2,'RF Mod'!$A$2:$G$12,3,FALSE)+VLOOKUP($AD$2,'RF Mod'!$I$2:$O$11,3,FALSE)+(TRUNC(6+(24-6)*(TRUNC(MOD(($Z514*1103515245 +12345)/ 65536, 32768),0)/32768),0))</f>
        <v>10</v>
      </c>
      <c r="J514" s="16" t="e">
        <f t="shared" ca="1" si="34"/>
        <v>#NAME?</v>
      </c>
      <c r="K514" s="153">
        <f ca="1">VLOOKUP($AB$2,'RF Mod'!$A$2:$G$12,3,FALSE)+VLOOKUP($AD$2,'RF Mod'!$I$2:$O$11,3,FALSE)+(TRUNC(6+(24-6)*(TRUNC(MOD(($Z514*1103515245 +12345)/ 65536, 32768),0)/32768),0))</f>
        <v>10</v>
      </c>
      <c r="L514" s="16" t="e">
        <f t="shared" ca="1" si="35"/>
        <v>#NAME?</v>
      </c>
      <c r="M514" s="153">
        <f ca="1">VLOOKUP($AB$2,'RF Mod'!$A$2:$G$12,4,FALSE)+VLOOKUP($AD$2,'RF Mod'!$I$2:$O$11,4,FALSE)+(TRUNC(6+(24-6)*(TRUNC(MOD(($Z514*1103515245 +12345)/ 65536, 32768),0)/32768),0))</f>
        <v>9</v>
      </c>
      <c r="N514" s="16">
        <f t="shared" ca="1" si="36"/>
        <v>-1</v>
      </c>
      <c r="O514" s="153">
        <f ca="1">VLOOKUP($AB$2,'RF Mod'!$A$2:$G$12,5,FALSE)+VLOOKUP($AD$2,'RF Mod'!$I$2:$O$11,5,FALSE)+(TRUNC(6+(24-6)*(TRUNC(MOD(($Z514*1103515245 +12345)/ 65536, 32768),0)/32768),0))</f>
        <v>12</v>
      </c>
      <c r="P514" s="16" t="e">
        <f t="shared" ca="1" si="37"/>
        <v>#NAME?</v>
      </c>
      <c r="Q514" s="153">
        <f ca="1">VLOOKUP($AB$2,'RF Mod'!$A$2:$G$12,6,FALSE)+VLOOKUP($AD$2,'RF Mod'!$I$2:$O$11,6,FALSE)+(TRUNC(6+(24-6)*(TRUNC(MOD(($Z514*1103515245 +12345)/ 65536, 32768),0)/32768),0))</f>
        <v>10</v>
      </c>
      <c r="R514" s="16" t="e">
        <f t="shared" ca="1" si="38"/>
        <v>#NAME?</v>
      </c>
      <c r="S514" s="154">
        <f t="shared" ca="1" si="43"/>
        <v>12</v>
      </c>
      <c r="T514" s="154">
        <f t="shared" ca="1" si="39"/>
        <v>8</v>
      </c>
      <c r="U514" s="16" t="str">
        <f t="shared" ca="1" si="40"/>
        <v>Bloody</v>
      </c>
      <c r="V514" s="155">
        <f ca="1">IFERROR(__xludf.DUMMYFUNCTION("if(W514=""Middle Age"",QUERY(NPCVar!$K$2:$N1000, ""Select L where K = '""&amp;AB514&amp;""'""),if(W514=""Old"",QUERY(NPCVar!$K$2:$N1000, ""Select M where K = '""&amp;AB514&amp;""'""),if(W514=""Venerable"",QUERY(NPCVar!$K$2:$N1000, ""Select N where K = '""&amp;AB514&amp;""'""),fa"&amp;"lse)))*X514"),112.5)</f>
        <v>112.5</v>
      </c>
      <c r="W514" s="156" t="str">
        <f t="array" ref="W514">INDEX(NPCAgeType,TRUNC(1+(4-1)*(TRUNC(MOD((X514*1103515245 +12345)/ 65536, 32768),0)/32768),0))</f>
        <v>Middle Age</v>
      </c>
      <c r="X514" s="117">
        <f t="shared" si="29"/>
        <v>0.6</v>
      </c>
      <c r="Y514" s="157" t="e">
        <f t="array" aca="1" ref="Y514" ca="1">LOOKUP(ABS(MAX(Z514 + MIN(ABS(INDIRECT("Class Jobs!B"&amp;MATCH(E514,'Class Jobs'!$A$1:$A1000,0)&amp;":"&amp;"AF"&amp;MATCH(E514,'Class Jobs'!$A$1:$A1000,0)&amp;"")-$Z514)) * SUM(IF(MIN(ABS(INDIRECT("Class Jobs!B"&amp;MATCH(E514,'Class Jobs'!$A$1:$A1000,0)&amp;":"&amp;"AF"&amp;MATCH(E514,'Class Jobs'!$A$1:$A1000,0)&amp;"")-$Z514))=ABS(INDIRECT("Class Jobs!B"&amp;MATCH(E514,'Class Jobs'!$A$1:$A1000,0)&amp;":"&amp;"AF"&amp;MATCH(E514,'Class Jobs'!$A$1:$A1000,0)&amp;"")-$Z514),SIGN(INDIRECT("Class Jobs!B"&amp;MATCH(E514,'Class Jobs'!$A$1:A1000,0)&amp;":"&amp;"AF"&amp;MATCH(E514,'Class Jobs'!$A$1:$A1000,0)&amp;"")-$Z514),0)),0)),INDIRECT("Class Jobs!B"&amp;MATCH(E514,'Class Jobs'!$A$1:$A1000,0)&amp;":"&amp;"AF"&amp;MATCH(E514,'Class Jobs'!$A$1:$A1000,1)&amp;""),'Class Jobs'!$B$1:$AF$1)</f>
        <v>#REF!</v>
      </c>
      <c r="Z514" s="158">
        <f t="shared" si="41"/>
        <v>0.25</v>
      </c>
      <c r="AA514" s="16" t="str">
        <f t="array" ref="AA514">INDEX(NPCGender,TRUNC(1+(COUNTA(NPCGender))*(TRUNC(MOD(($B514*1103515245 +12345)/ 65536, 32768),0)/32768),0))</f>
        <v>Male</v>
      </c>
      <c r="AB514" s="16" t="str">
        <f t="array" ref="AB514">INDEX(NPCRace,TRUNC(1+(COUNTA(NPCRace))*(TRUNC(MOD(($B514*1103515245 +12345)/ 65536, 32768),0)/32768),0))</f>
        <v>Elf</v>
      </c>
      <c r="AC514" s="16" t="str">
        <f t="array" ref="AC514">INDEX(NPCAL,TRUNC(1+(COUNTA(NPCAL))*(TRUNC(MOD(($B514*1103515245 +12345)/ 65536, 32768),0)/32768),0))</f>
        <v>CG</v>
      </c>
      <c r="AD514" s="72" t="str">
        <f ca="1">IFERROR(__xludf.DUMMYFUNCTION("if(V514&lt;15,QUERY(NPCVar!C:D,""Select D WHERE C = '""&amp;D514&amp;""'""),if((TRUNC(1+10)*(TRUNC(MOD((ROW(H514)*1103515245 +12345)/ 65536, 32768),0)/32768)/10) &gt; 0.85,INDEX(NPCFaction,TRUNC(1+(counta(NPCFaction)-1)*(TRUNC(MOD(($B514*1103515245 +12345)/ 65536, 3276"&amp;"8),0)/32768),0)),QUERY(NPCVar!C:D,""Select D WHERE C = '""&amp;D514&amp;""'"")))"),"Magic Guild")</f>
        <v>Magic Guild</v>
      </c>
      <c r="AE514" s="108" t="e">
        <f t="shared" ca="1" si="42"/>
        <v>#NAME?</v>
      </c>
      <c r="AF514" s="159">
        <f ca="1">IFERROR(__xludf.DUMMYFUNCTION("AE514*(V514 / QUERY(NPCVar!$K$2:$N$12, ""Select N WHERE K='""&amp;AB514&amp;""'""))*TRUNC(1+10)*(TRUNC(MOD(($B514*1103515245 +12345)/ 65536, 32768),0)/32768)"),0.163992919921874)</f>
        <v>0.16399291992187401</v>
      </c>
      <c r="AG514" s="16"/>
      <c r="AH514" s="77"/>
      <c r="AI514" s="114"/>
    </row>
    <row r="515" spans="1:35" ht="16.2">
      <c r="A515" s="53">
        <v>514</v>
      </c>
      <c r="B515" s="118">
        <f t="shared" si="44"/>
        <v>1.9776899999999999</v>
      </c>
      <c r="C515" s="72" t="str">
        <f t="array" ref="C515">INDEX(NPCFName,TRUNC(1+(COUNTA(NPCFName))*(TRUNC(MOD(($B515*1103515245 +12345)/ 65536, 32768),0)/32768),0))</f>
        <v>Anumil</v>
      </c>
      <c r="D515" s="16" t="str">
        <f t="array" ref="D515">INDEX(NPCLName,TRUNC(1+(COUNTA(NPCLName))*(TRUNC(MOD(($B515*1103515245 +12345)/ 65536, 32768),0)/32768),0))</f>
        <v>Stagfang</v>
      </c>
      <c r="E515" s="16" t="str">
        <f t="array" ref="E515">INDEX(NPCClass,TRUNC(1+(COUNTA(NPCClass))*(TRUNC(MOD(($B515*1103515245 +12345)/ 65536, 32768),0)/32768),0))</f>
        <v>Barbarian</v>
      </c>
      <c r="F515" s="76">
        <v>1</v>
      </c>
      <c r="G515" s="153">
        <f ca="1">VLOOKUP($AB$2,'RF Mod'!$A$2:$G$12,2,FALSE)+VLOOKUP($AD$2,'RF Mod'!$I$2:$O$11,2,FALSE)+(TRUNC(6+(24-6)*(TRUNC(MOD(($Z515*1103515245 +12345)/ 65536, 32768),0)/32768),0))</f>
        <v>4</v>
      </c>
      <c r="H515" s="16">
        <f t="shared" ca="1" si="33"/>
        <v>-3</v>
      </c>
      <c r="I515" s="153">
        <f ca="1">VLOOKUP($AB$2,'RF Mod'!$A$2:$G$12,3,FALSE)+VLOOKUP($AD$2,'RF Mod'!$I$2:$O$11,3,FALSE)+(TRUNC(6+(24-6)*(TRUNC(MOD(($Z515*1103515245 +12345)/ 65536, 32768),0)/32768),0))</f>
        <v>8</v>
      </c>
      <c r="J515" s="16">
        <f t="shared" ca="1" si="34"/>
        <v>-1</v>
      </c>
      <c r="K515" s="153">
        <f ca="1">VLOOKUP($AB$2,'RF Mod'!$A$2:$G$12,3,FALSE)+VLOOKUP($AD$2,'RF Mod'!$I$2:$O$11,3,FALSE)+(TRUNC(6+(24-6)*(TRUNC(MOD(($Z515*1103515245 +12345)/ 65536, 32768),0)/32768),0))</f>
        <v>8</v>
      </c>
      <c r="L515" s="16">
        <f t="shared" ca="1" si="35"/>
        <v>-1</v>
      </c>
      <c r="M515" s="153">
        <f ca="1">VLOOKUP($AB$2,'RF Mod'!$A$2:$G$12,4,FALSE)+VLOOKUP($AD$2,'RF Mod'!$I$2:$O$11,4,FALSE)+(TRUNC(6+(24-6)*(TRUNC(MOD(($Z515*1103515245 +12345)/ 65536, 32768),0)/32768),0))</f>
        <v>7</v>
      </c>
      <c r="N515" s="16">
        <f t="shared" ca="1" si="36"/>
        <v>-2</v>
      </c>
      <c r="O515" s="153">
        <f ca="1">VLOOKUP($AB$2,'RF Mod'!$A$2:$G$12,5,FALSE)+VLOOKUP($AD$2,'RF Mod'!$I$2:$O$11,5,FALSE)+(TRUNC(6+(24-6)*(TRUNC(MOD(($Z515*1103515245 +12345)/ 65536, 32768),0)/32768),0))</f>
        <v>10</v>
      </c>
      <c r="P515" s="16" t="e">
        <f t="shared" ca="1" si="37"/>
        <v>#NAME?</v>
      </c>
      <c r="Q515" s="153">
        <f ca="1">VLOOKUP($AB$2,'RF Mod'!$A$2:$G$12,6,FALSE)+VLOOKUP($AD$2,'RF Mod'!$I$2:$O$11,6,FALSE)+(TRUNC(6+(24-6)*(TRUNC(MOD(($Z515*1103515245 +12345)/ 65536, 32768),0)/32768),0))</f>
        <v>8</v>
      </c>
      <c r="R515" s="16">
        <f t="shared" ca="1" si="38"/>
        <v>-1</v>
      </c>
      <c r="S515" s="154">
        <f t="shared" ca="1" si="43"/>
        <v>26</v>
      </c>
      <c r="T515" s="154">
        <f t="shared" ca="1" si="39"/>
        <v>4</v>
      </c>
      <c r="U515" s="16" t="str">
        <f t="shared" ca="1" si="40"/>
        <v>Fine</v>
      </c>
      <c r="V515" s="155">
        <f ca="1">IFERROR(__xludf.DUMMYFUNCTION("if(W515=""Middle Age"",QUERY(NPCVar!$K$2:$N1000, ""Select L where K = '""&amp;AB515&amp;""'""),if(W515=""Old"",QUERY(NPCVar!$K$2:$N1000, ""Select M where K = '""&amp;AB515&amp;""'""),if(W515=""Venerable"",QUERY(NPCVar!$K$2:$N1000, ""Select N where K = '""&amp;AB515&amp;""'""),fa"&amp;"lse)))*X515"),2)</f>
        <v>2</v>
      </c>
      <c r="W515" s="156" t="str">
        <f t="array" ref="W515">INDEX(NPCAgeType,TRUNC(1+(4-1)*(TRUNC(MOD((X515*1103515245 +12345)/ 65536, 32768),0)/32768),0))</f>
        <v>Middle Age</v>
      </c>
      <c r="X515" s="117">
        <f t="shared" ref="X515:X769" si="45">(TRUNC(1+(25-1)*(TRUNC(MOD(($B515*1103515245 +12345)/ 65536, 32768),0)/32768),0))/10</f>
        <v>0.1</v>
      </c>
      <c r="Y515" s="157" t="e">
        <f t="array" aca="1" ref="Y515" ca="1">LOOKUP(ABS(MAX(Z515 + MIN(ABS(INDIRECT("Class Jobs!B"&amp;MATCH(E515,'Class Jobs'!$A$1:$A1000,0)&amp;":"&amp;"AF"&amp;MATCH(E515,'Class Jobs'!$A$1:$A1000,0)&amp;"")-$Z515)) * SUM(IF(MIN(ABS(INDIRECT("Class Jobs!B"&amp;MATCH(E515,'Class Jobs'!$A$1:$A1000,0)&amp;":"&amp;"AF"&amp;MATCH(E515,'Class Jobs'!$A$1:$A1000,0)&amp;"")-$Z515))=ABS(INDIRECT("Class Jobs!B"&amp;MATCH(E515,'Class Jobs'!$A$1:$A1000,0)&amp;":"&amp;"AF"&amp;MATCH(E515,'Class Jobs'!$A$1:$A1000,0)&amp;"")-$Z515),SIGN(INDIRECT("Class Jobs!B"&amp;MATCH(E515,'Class Jobs'!$A$1:A1000,0)&amp;":"&amp;"AF"&amp;MATCH(E515,'Class Jobs'!$A$1:$A1000,0)&amp;"")-$Z515),0)),0)),INDIRECT("Class Jobs!B"&amp;MATCH(E515,'Class Jobs'!$A$1:$A1000,0)&amp;":"&amp;"AF"&amp;MATCH(E515,'Class Jobs'!$A$1:$A1000,1)&amp;""),'Class Jobs'!$B$1:$AF$1)</f>
        <v>#REF!</v>
      </c>
      <c r="Z515" s="158">
        <f t="shared" si="41"/>
        <v>0.02</v>
      </c>
      <c r="AA515" s="16" t="str">
        <f t="array" ref="AA515">INDEX(NPCGender,TRUNC(1+(COUNTA(NPCGender))*(TRUNC(MOD(($B515*1103515245 +12345)/ 65536, 32768),0)/32768),0))</f>
        <v>Male</v>
      </c>
      <c r="AB515" s="16" t="str">
        <f t="array" ref="AB515">INDEX(NPCRace,TRUNC(1+(COUNTA(NPCRace))*(TRUNC(MOD(($B515*1103515245 +12345)/ 65536, 32768),0)/32768),0))</f>
        <v>Dragonborn</v>
      </c>
      <c r="AC515" s="16" t="str">
        <f t="array" ref="AC515">INDEX(NPCAL,TRUNC(1+(COUNTA(NPCAL))*(TRUNC(MOD(($B515*1103515245 +12345)/ 65536, 32768),0)/32768),0))</f>
        <v>CN</v>
      </c>
      <c r="AD515" s="72" t="str">
        <f ca="1">IFERROR(__xludf.DUMMYFUNCTION("if(V515&lt;15,QUERY(NPCVar!C:D,""Select D WHERE C = '""&amp;D515&amp;""'""),if((TRUNC(1+10)*(TRUNC(MOD((ROW(H515)*1103515245 +12345)/ 65536, 32768),0)/32768)/10) &gt; 0.85,INDEX(NPCFaction,TRUNC(1+(counta(NPCFaction)-1)*(TRUNC(MOD(($B515*1103515245 +12345)/ 65536, 3276"&amp;"8),0)/32768),0)),QUERY(NPCVar!C:D,""Select D WHERE C = '""&amp;D515&amp;""'"")))"),"Royalty")</f>
        <v>Royalty</v>
      </c>
      <c r="AE515" s="108" t="e">
        <f t="shared" ca="1" si="42"/>
        <v>#NAME?</v>
      </c>
      <c r="AF515" s="159">
        <f ca="1">IFERROR(__xludf.DUMMYFUNCTION("AE515*(V515 / QUERY(NPCVar!$K$2:$N$12, ""Select N WHERE K='""&amp;AB515&amp;""'""))*TRUNC(1+10)*(TRUNC(MOD(($B515*1103515245 +12345)/ 65536, 32768),0)/32768)"),-0.000447311401367187)</f>
        <v>-4.4731140136718698E-4</v>
      </c>
      <c r="AG515" s="16"/>
      <c r="AH515" s="77"/>
      <c r="AI515" s="114"/>
    </row>
    <row r="516" spans="1:35" ht="16.2">
      <c r="A516" s="53">
        <v>515</v>
      </c>
      <c r="B516" s="118">
        <f t="shared" si="44"/>
        <v>0.97182999999999997</v>
      </c>
      <c r="C516" s="72" t="str">
        <f t="array" ref="C516">INDEX(NPCFName,TRUNC(1+(COUNTA(NPCFName))*(TRUNC(MOD(($B516*1103515245 +12345)/ 65536, 32768),0)/32768),0))</f>
        <v>Kyrad</v>
      </c>
      <c r="D516" s="16" t="str">
        <f t="array" ref="D516">INDEX(NPCLName,TRUNC(1+(COUNTA(NPCLName))*(TRUNC(MOD(($B516*1103515245 +12345)/ 65536, 32768),0)/32768),0))</f>
        <v>Autumnglow</v>
      </c>
      <c r="E516" s="16" t="str">
        <f t="array" ref="E516">INDEX(NPCClass,TRUNC(1+(COUNTA(NPCClass))*(TRUNC(MOD(($B516*1103515245 +12345)/ 65536, 32768),0)/32768),0))</f>
        <v>Ranger</v>
      </c>
      <c r="F516" s="76">
        <v>6</v>
      </c>
      <c r="G516" s="153">
        <f ca="1">VLOOKUP($AB$2,'RF Mod'!$A$2:$G$12,2,FALSE)+VLOOKUP($AD$2,'RF Mod'!$I$2:$O$11,2,FALSE)+(TRUNC(6+(24-6)*(TRUNC(MOD(($Z516*1103515245 +12345)/ 65536, 32768),0)/32768),0))</f>
        <v>8</v>
      </c>
      <c r="H516" s="16">
        <f t="shared" ca="1" si="33"/>
        <v>-1</v>
      </c>
      <c r="I516" s="153">
        <f ca="1">VLOOKUP($AB$2,'RF Mod'!$A$2:$G$12,3,FALSE)+VLOOKUP($AD$2,'RF Mod'!$I$2:$O$11,3,FALSE)+(TRUNC(6+(24-6)*(TRUNC(MOD(($Z516*1103515245 +12345)/ 65536, 32768),0)/32768),0))</f>
        <v>12</v>
      </c>
      <c r="J516" s="16" t="e">
        <f t="shared" ca="1" si="34"/>
        <v>#NAME?</v>
      </c>
      <c r="K516" s="153">
        <f ca="1">VLOOKUP($AB$2,'RF Mod'!$A$2:$G$12,3,FALSE)+VLOOKUP($AD$2,'RF Mod'!$I$2:$O$11,3,FALSE)+(TRUNC(6+(24-6)*(TRUNC(MOD(($Z516*1103515245 +12345)/ 65536, 32768),0)/32768),0))</f>
        <v>12</v>
      </c>
      <c r="L516" s="16" t="e">
        <f t="shared" ca="1" si="35"/>
        <v>#NAME?</v>
      </c>
      <c r="M516" s="153">
        <f ca="1">VLOOKUP($AB$2,'RF Mod'!$A$2:$G$12,4,FALSE)+VLOOKUP($AD$2,'RF Mod'!$I$2:$O$11,4,FALSE)+(TRUNC(6+(24-6)*(TRUNC(MOD(($Z516*1103515245 +12345)/ 65536, 32768),0)/32768),0))</f>
        <v>11</v>
      </c>
      <c r="N516" s="16" t="e">
        <f t="shared" ca="1" si="36"/>
        <v>#NAME?</v>
      </c>
      <c r="O516" s="153">
        <f ca="1">VLOOKUP($AB$2,'RF Mod'!$A$2:$G$12,5,FALSE)+VLOOKUP($AD$2,'RF Mod'!$I$2:$O$11,5,FALSE)+(TRUNC(6+(24-6)*(TRUNC(MOD(($Z516*1103515245 +12345)/ 65536, 32768),0)/32768),0))</f>
        <v>14</v>
      </c>
      <c r="P516" s="16" t="e">
        <f t="shared" ca="1" si="37"/>
        <v>#NAME?</v>
      </c>
      <c r="Q516" s="153">
        <f ca="1">VLOOKUP($AB$2,'RF Mod'!$A$2:$G$12,6,FALSE)+VLOOKUP($AD$2,'RF Mod'!$I$2:$O$11,6,FALSE)+(TRUNC(6+(24-6)*(TRUNC(MOD(($Z516*1103515245 +12345)/ 65536, 32768),0)/32768),0))</f>
        <v>12</v>
      </c>
      <c r="R516" s="16" t="e">
        <f t="shared" ca="1" si="38"/>
        <v>#NAME?</v>
      </c>
      <c r="S516" s="154">
        <f t="shared" ca="1" si="43"/>
        <v>180</v>
      </c>
      <c r="T516" s="154">
        <f t="shared" ca="1" si="39"/>
        <v>210</v>
      </c>
      <c r="U516" s="16" t="str">
        <f t="shared" ca="1" si="40"/>
        <v>Dead</v>
      </c>
      <c r="V516" s="155">
        <f ca="1">IFERROR(__xludf.DUMMYFUNCTION("if(W516=""Middle Age"",QUERY(NPCVar!$K$2:$N1000, ""Select L where K = '""&amp;AB516&amp;""'""),if(W516=""Old"",QUERY(NPCVar!$K$2:$N1000, ""Select M where K = '""&amp;AB516&amp;""'""),if(W516=""Venerable"",QUERY(NPCVar!$K$2:$N1000, ""Select N where K = '""&amp;AB516&amp;""'""),fa"&amp;"lse)))*X516"),31.5)</f>
        <v>31.5</v>
      </c>
      <c r="W516" s="156" t="str">
        <f t="array" ref="W516">INDEX(NPCAgeType,TRUNC(1+(4-1)*(TRUNC(MOD((X516*1103515245 +12345)/ 65536, 32768),0)/32768),0))</f>
        <v>Old</v>
      </c>
      <c r="X516" s="117">
        <f t="shared" si="45"/>
        <v>1.2</v>
      </c>
      <c r="Y516" s="157" t="e">
        <f t="array" aca="1" ref="Y516" ca="1">LOOKUP(ABS(MAX(Z516 + MIN(ABS(INDIRECT("Class Jobs!B"&amp;MATCH(E516,'Class Jobs'!$A$1:$A1000,0)&amp;":"&amp;"AF"&amp;MATCH(E516,'Class Jobs'!$A$1:$A1000,0)&amp;"")-$Z516)) * SUM(IF(MIN(ABS(INDIRECT("Class Jobs!B"&amp;MATCH(E516,'Class Jobs'!$A$1:$A1000,0)&amp;":"&amp;"AF"&amp;MATCH(E516,'Class Jobs'!$A$1:$A1000,0)&amp;"")-$Z516))=ABS(INDIRECT("Class Jobs!B"&amp;MATCH(E516,'Class Jobs'!$A$1:$A1000,0)&amp;":"&amp;"AF"&amp;MATCH(E516,'Class Jobs'!$A$1:$A1000,0)&amp;"")-$Z516),SIGN(INDIRECT("Class Jobs!B"&amp;MATCH(E516,'Class Jobs'!$A$1:A1000,0)&amp;":"&amp;"AF"&amp;MATCH(E516,'Class Jobs'!$A$1:$A1000,0)&amp;"")-$Z516),0)),0)),INDIRECT("Class Jobs!B"&amp;MATCH(E516,'Class Jobs'!$A$1:$A1000,0)&amp;":"&amp;"AF"&amp;MATCH(E516,'Class Jobs'!$A$1:$A1000,1)&amp;""),'Class Jobs'!$B$1:$AF$1)</f>
        <v>#REF!</v>
      </c>
      <c r="Z516" s="158">
        <f t="shared" si="41"/>
        <v>0.5</v>
      </c>
      <c r="AA516" s="16" t="str">
        <f t="array" ref="AA516">INDEX(NPCGender,TRUNC(1+(COUNTA(NPCGender))*(TRUNC(MOD(($B516*1103515245 +12345)/ 65536, 32768),0)/32768),0))</f>
        <v>Female</v>
      </c>
      <c r="AB516" s="16" t="str">
        <f t="array" ref="AB516">INDEX(NPCRace,TRUNC(1+(COUNTA(NPCRace))*(TRUNC(MOD(($B516*1103515245 +12345)/ 65536, 32768),0)/32768),0))</f>
        <v>Half-Orc</v>
      </c>
      <c r="AC516" s="16" t="str">
        <f t="array" ref="AC516">INDEX(NPCAL,TRUNC(1+(COUNTA(NPCAL))*(TRUNC(MOD(($B516*1103515245 +12345)/ 65536, 32768),0)/32768),0))</f>
        <v>NN</v>
      </c>
      <c r="AD516" s="72" t="str">
        <f ca="1">IFERROR(__xludf.DUMMYFUNCTION("if(V516&lt;15,QUERY(NPCVar!C:D,""Select D WHERE C = '""&amp;D516&amp;""'""),if((TRUNC(1+10)*(TRUNC(MOD((ROW(H516)*1103515245 +12345)/ 65536, 32768),0)/32768)/10) &gt; 0.85,INDEX(NPCFaction,TRUNC(1+(counta(NPCFaction)-1)*(TRUNC(MOD(($B516*1103515245 +12345)/ 65536, 3276"&amp;"8),0)/32768),0)),QUERY(NPCVar!C:D,""Select D WHERE C = '""&amp;D516&amp;""'"")))"),"Traders Guild")</f>
        <v>Traders Guild</v>
      </c>
      <c r="AE516" s="108" t="e">
        <f t="shared" ca="1" si="42"/>
        <v>#NAME?</v>
      </c>
      <c r="AF516" s="159">
        <f ca="1">IFERROR(__xludf.DUMMYFUNCTION("AE516*(V516 / QUERY(NPCVar!$K$2:$N$12, ""Select N WHERE K='""&amp;AB516&amp;""'""))*TRUNC(1+10)*(TRUNC(MOD(($B516*1103515245 +12345)/ 65536, 32768),0)/32768)"),1.73038513183593)</f>
        <v>1.73038513183593</v>
      </c>
      <c r="AG516" s="16"/>
      <c r="AH516" s="77"/>
      <c r="AI516" s="114"/>
    </row>
    <row r="517" spans="1:35" ht="16.2">
      <c r="A517" s="53">
        <v>516</v>
      </c>
      <c r="B517" s="118">
        <f t="shared" si="44"/>
        <v>2.46597</v>
      </c>
      <c r="C517" s="72" t="str">
        <f t="array" ref="C517">INDEX(NPCFName,TRUNC(1+(COUNTA(NPCFName))*(TRUNC(MOD(($B517*1103515245 +12345)/ 65536, 32768),0)/32768),0))</f>
        <v>Shane</v>
      </c>
      <c r="D517" s="16" t="str">
        <f t="array" ref="D517">INDEX(NPCLName,TRUNC(1+(COUNTA(NPCLName))*(TRUNC(MOD(($B517*1103515245 +12345)/ 65536, 32768),0)/32768),0))</f>
        <v>Commonscream</v>
      </c>
      <c r="E517" s="16" t="str">
        <f t="array" ref="E517">INDEX(NPCClass,TRUNC(1+(COUNTA(NPCClass))*(TRUNC(MOD(($B517*1103515245 +12345)/ 65536, 32768),0)/32768),0))</f>
        <v>Monk</v>
      </c>
      <c r="F517" s="76">
        <v>3</v>
      </c>
      <c r="G517" s="153">
        <f ca="1">VLOOKUP($AB$2,'RF Mod'!$A$2:$G$12,2,FALSE)+VLOOKUP($AD$2,'RF Mod'!$I$2:$O$11,2,FALSE)+(TRUNC(6+(24-6)*(TRUNC(MOD(($Z517*1103515245 +12345)/ 65536, 32768),0)/32768),0))</f>
        <v>6</v>
      </c>
      <c r="H517" s="16">
        <f t="shared" ca="1" si="33"/>
        <v>-2</v>
      </c>
      <c r="I517" s="153">
        <f ca="1">VLOOKUP($AB$2,'RF Mod'!$A$2:$G$12,3,FALSE)+VLOOKUP($AD$2,'RF Mod'!$I$2:$O$11,3,FALSE)+(TRUNC(6+(24-6)*(TRUNC(MOD(($Z517*1103515245 +12345)/ 65536, 32768),0)/32768),0))</f>
        <v>10</v>
      </c>
      <c r="J517" s="16" t="e">
        <f t="shared" ca="1" si="34"/>
        <v>#NAME?</v>
      </c>
      <c r="K517" s="153">
        <f ca="1">VLOOKUP($AB$2,'RF Mod'!$A$2:$G$12,3,FALSE)+VLOOKUP($AD$2,'RF Mod'!$I$2:$O$11,3,FALSE)+(TRUNC(6+(24-6)*(TRUNC(MOD(($Z517*1103515245 +12345)/ 65536, 32768),0)/32768),0))</f>
        <v>10</v>
      </c>
      <c r="L517" s="16" t="e">
        <f t="shared" ca="1" si="35"/>
        <v>#NAME?</v>
      </c>
      <c r="M517" s="153">
        <f ca="1">VLOOKUP($AB$2,'RF Mod'!$A$2:$G$12,4,FALSE)+VLOOKUP($AD$2,'RF Mod'!$I$2:$O$11,4,FALSE)+(TRUNC(6+(24-6)*(TRUNC(MOD(($Z517*1103515245 +12345)/ 65536, 32768),0)/32768),0))</f>
        <v>9</v>
      </c>
      <c r="N517" s="16">
        <f t="shared" ca="1" si="36"/>
        <v>-1</v>
      </c>
      <c r="O517" s="153">
        <f ca="1">VLOOKUP($AB$2,'RF Mod'!$A$2:$G$12,5,FALSE)+VLOOKUP($AD$2,'RF Mod'!$I$2:$O$11,5,FALSE)+(TRUNC(6+(24-6)*(TRUNC(MOD(($Z517*1103515245 +12345)/ 65536, 32768),0)/32768),0))</f>
        <v>12</v>
      </c>
      <c r="P517" s="16" t="e">
        <f t="shared" ca="1" si="37"/>
        <v>#NAME?</v>
      </c>
      <c r="Q517" s="153">
        <f ca="1">VLOOKUP($AB$2,'RF Mod'!$A$2:$G$12,6,FALSE)+VLOOKUP($AD$2,'RF Mod'!$I$2:$O$11,6,FALSE)+(TRUNC(6+(24-6)*(TRUNC(MOD(($Z517*1103515245 +12345)/ 65536, 32768),0)/32768),0))</f>
        <v>10</v>
      </c>
      <c r="R517" s="16" t="e">
        <f t="shared" ca="1" si="38"/>
        <v>#NAME?</v>
      </c>
      <c r="S517" s="154">
        <f t="shared" ca="1" si="43"/>
        <v>36</v>
      </c>
      <c r="T517" s="154">
        <f t="shared" ca="1" si="39"/>
        <v>26</v>
      </c>
      <c r="U517" s="16" t="str">
        <f t="shared" ca="1" si="40"/>
        <v>Bloody</v>
      </c>
      <c r="V517" s="155">
        <f ca="1">IFERROR(__xludf.DUMMYFUNCTION("if(W517=""Middle Age"",QUERY(NPCVar!$K$2:$N1000, ""Select L where K = '""&amp;AB517&amp;""'""),if(W517=""Old"",QUERY(NPCVar!$K$2:$N1000, ""Select M where K = '""&amp;AB517&amp;""'""),if(W517=""Venerable"",QUERY(NPCVar!$K$2:$N1000, ""Select N where K = '""&amp;AB517&amp;""'""),fa"&amp;"lse)))*X517"),196.875)</f>
        <v>196.875</v>
      </c>
      <c r="W517" s="156" t="str">
        <f t="array" ref="W517">INDEX(NPCAgeType,TRUNC(1+(4-1)*(TRUNC(MOD((X517*1103515245 +12345)/ 65536, 32768),0)/32768),0))</f>
        <v>Old</v>
      </c>
      <c r="X517" s="117">
        <f t="shared" si="45"/>
        <v>0.7</v>
      </c>
      <c r="Y517" s="157" t="e">
        <f t="array" aca="1" ref="Y517" ca="1">LOOKUP(ABS(MAX(Z517 + MIN(ABS(INDIRECT("Class Jobs!B"&amp;MATCH(E517,'Class Jobs'!$A$1:$A1000,0)&amp;":"&amp;"AF"&amp;MATCH(E517,'Class Jobs'!$A$1:$A1000,0)&amp;"")-$Z517)) * SUM(IF(MIN(ABS(INDIRECT("Class Jobs!B"&amp;MATCH(E517,'Class Jobs'!$A$1:$A1000,0)&amp;":"&amp;"AF"&amp;MATCH(E517,'Class Jobs'!$A$1:$A1000,0)&amp;"")-$Z517))=ABS(INDIRECT("Class Jobs!B"&amp;MATCH(E517,'Class Jobs'!$A$1:$A1000,0)&amp;":"&amp;"AF"&amp;MATCH(E517,'Class Jobs'!$A$1:$A1000,0)&amp;"")-$Z517),SIGN(INDIRECT("Class Jobs!B"&amp;MATCH(E517,'Class Jobs'!$A$1:A1000,0)&amp;":"&amp;"AF"&amp;MATCH(E517,'Class Jobs'!$A$1:$A1000,0)&amp;"")-$Z517),0)),0)),INDIRECT("Class Jobs!B"&amp;MATCH(E517,'Class Jobs'!$A$1:$A1000,0)&amp;":"&amp;"AF"&amp;MATCH(E517,'Class Jobs'!$A$1:$A1000,1)&amp;""),'Class Jobs'!$B$1:$AF$1)</f>
        <v>#REF!</v>
      </c>
      <c r="Z517" s="158">
        <f t="shared" si="41"/>
        <v>0.27</v>
      </c>
      <c r="AA517" s="16" t="str">
        <f t="array" ref="AA517">INDEX(NPCGender,TRUNC(1+(COUNTA(NPCGender))*(TRUNC(MOD(($B517*1103515245 +12345)/ 65536, 32768),0)/32768),0))</f>
        <v>Male</v>
      </c>
      <c r="AB517" s="16" t="str">
        <f t="array" ref="AB517">INDEX(NPCRace,TRUNC(1+(COUNTA(NPCRace))*(TRUNC(MOD(($B517*1103515245 +12345)/ 65536, 32768),0)/32768),0))</f>
        <v>Elf</v>
      </c>
      <c r="AC517" s="16" t="str">
        <f t="array" ref="AC517">INDEX(NPCAL,TRUNC(1+(COUNTA(NPCAL))*(TRUNC(MOD(($B517*1103515245 +12345)/ 65536, 32768),0)/32768),0))</f>
        <v>CG</v>
      </c>
      <c r="AD517" s="72" t="str">
        <f ca="1">IFERROR(__xludf.DUMMYFUNCTION("if(V517&lt;15,QUERY(NPCVar!C:D,""Select D WHERE C = '""&amp;D517&amp;""'""),if((TRUNC(1+10)*(TRUNC(MOD((ROW(H517)*1103515245 +12345)/ 65536, 32768),0)/32768)/10) &gt; 0.85,INDEX(NPCFaction,TRUNC(1+(counta(NPCFaction)-1)*(TRUNC(MOD(($B517*1103515245 +12345)/ 65536, 3276"&amp;"8),0)/32768),0)),QUERY(NPCVar!C:D,""Select D WHERE C = '""&amp;D517&amp;""'"")))"),"Necromancer")</f>
        <v>Necromancer</v>
      </c>
      <c r="AE517" s="108" t="e">
        <f t="shared" ca="1" si="42"/>
        <v>#NAME?</v>
      </c>
      <c r="AF517" s="159">
        <f ca="1">IFERROR(__xludf.DUMMYFUNCTION("AE517*(V517 / QUERY(NPCVar!$K$2:$N$12, ""Select N WHERE K='""&amp;AB517&amp;""'""))*TRUNC(1+10)*(TRUNC(MOD(($B517*1103515245 +12345)/ 65536, 32768),0)/32768)"),0)</f>
        <v>0</v>
      </c>
      <c r="AG517" s="16"/>
      <c r="AH517" s="77"/>
      <c r="AI517" s="114"/>
    </row>
    <row r="518" spans="1:35" ht="16.2">
      <c r="A518" s="53">
        <v>517</v>
      </c>
      <c r="B518" s="118">
        <f t="shared" si="44"/>
        <v>1.46011</v>
      </c>
      <c r="C518" s="72" t="str">
        <f t="array" ref="C518">INDEX(NPCFName,TRUNC(1+(COUNTA(NPCFName))*(TRUNC(MOD(($B518*1103515245 +12345)/ 65536, 32768),0)/32768),0))</f>
        <v>Dukran</v>
      </c>
      <c r="D518" s="16" t="str">
        <f t="array" ref="D518">INDEX(NPCLName,TRUNC(1+(COUNTA(NPCLName))*(TRUNC(MOD(($B518*1103515245 +12345)/ 65536, 32768),0)/32768),0))</f>
        <v>Sacredgloom</v>
      </c>
      <c r="E518" s="16" t="str">
        <f t="array" ref="E518">INDEX(NPCClass,TRUNC(1+(COUNTA(NPCClass))*(TRUNC(MOD(($B518*1103515245 +12345)/ 65536, 32768),0)/32768),0))</f>
        <v>Cleric</v>
      </c>
      <c r="F518" s="76">
        <v>8</v>
      </c>
      <c r="G518" s="153">
        <f ca="1">VLOOKUP($AB$2,'RF Mod'!$A$2:$G$12,2,FALSE)+VLOOKUP($AD$2,'RF Mod'!$I$2:$O$11,2,FALSE)+(TRUNC(6+(24-6)*(TRUNC(MOD(($Z518*1103515245 +12345)/ 65536, 32768),0)/32768),0))</f>
        <v>10</v>
      </c>
      <c r="H518" s="16" t="e">
        <f t="shared" ca="1" si="33"/>
        <v>#NAME?</v>
      </c>
      <c r="I518" s="153">
        <f ca="1">VLOOKUP($AB$2,'RF Mod'!$A$2:$G$12,3,FALSE)+VLOOKUP($AD$2,'RF Mod'!$I$2:$O$11,3,FALSE)+(TRUNC(6+(24-6)*(TRUNC(MOD(($Z518*1103515245 +12345)/ 65536, 32768),0)/32768),0))</f>
        <v>14</v>
      </c>
      <c r="J518" s="16" t="e">
        <f t="shared" ca="1" si="34"/>
        <v>#NAME?</v>
      </c>
      <c r="K518" s="153">
        <f ca="1">VLOOKUP($AB$2,'RF Mod'!$A$2:$G$12,3,FALSE)+VLOOKUP($AD$2,'RF Mod'!$I$2:$O$11,3,FALSE)+(TRUNC(6+(24-6)*(TRUNC(MOD(($Z518*1103515245 +12345)/ 65536, 32768),0)/32768),0))</f>
        <v>14</v>
      </c>
      <c r="L518" s="16" t="e">
        <f t="shared" ca="1" si="35"/>
        <v>#NAME?</v>
      </c>
      <c r="M518" s="153">
        <f ca="1">VLOOKUP($AB$2,'RF Mod'!$A$2:$G$12,4,FALSE)+VLOOKUP($AD$2,'RF Mod'!$I$2:$O$11,4,FALSE)+(TRUNC(6+(24-6)*(TRUNC(MOD(($Z518*1103515245 +12345)/ 65536, 32768),0)/32768),0))</f>
        <v>13</v>
      </c>
      <c r="N518" s="16" t="e">
        <f t="shared" ca="1" si="36"/>
        <v>#NAME?</v>
      </c>
      <c r="O518" s="153">
        <f ca="1">VLOOKUP($AB$2,'RF Mod'!$A$2:$G$12,5,FALSE)+VLOOKUP($AD$2,'RF Mod'!$I$2:$O$11,5,FALSE)+(TRUNC(6+(24-6)*(TRUNC(MOD(($Z518*1103515245 +12345)/ 65536, 32768),0)/32768),0))</f>
        <v>16</v>
      </c>
      <c r="P518" s="16" t="e">
        <f t="shared" ca="1" si="37"/>
        <v>#NAME?</v>
      </c>
      <c r="Q518" s="153">
        <f ca="1">VLOOKUP($AB$2,'RF Mod'!$A$2:$G$12,6,FALSE)+VLOOKUP($AD$2,'RF Mod'!$I$2:$O$11,6,FALSE)+(TRUNC(6+(24-6)*(TRUNC(MOD(($Z518*1103515245 +12345)/ 65536, 32768),0)/32768),0))</f>
        <v>14</v>
      </c>
      <c r="R518" s="16" t="e">
        <f t="shared" ca="1" si="38"/>
        <v>#NAME?</v>
      </c>
      <c r="S518" s="154">
        <f t="shared" ca="1" si="43"/>
        <v>192</v>
      </c>
      <c r="T518" s="154">
        <f t="shared" ca="1" si="39"/>
        <v>192</v>
      </c>
      <c r="U518" s="16" t="str">
        <f t="shared" ca="1" si="40"/>
        <v>Unconscious</v>
      </c>
      <c r="V518" s="155">
        <f ca="1">IFERROR(__xludf.DUMMYFUNCTION("if(W518=""Middle Age"",QUERY(NPCVar!$K$2:$N1000, ""Select L where K = '""&amp;AB518&amp;""'""),if(W518=""Old"",QUERY(NPCVar!$K$2:$N1000, ""Select M where K = '""&amp;AB518&amp;""'""),if(W518=""Venerable"",QUERY(NPCVar!$K$2:$N1000, ""Select N where K = '""&amp;AB518&amp;""'""),fa"&amp;"lse)))*X518"),190)</f>
        <v>190</v>
      </c>
      <c r="W518" s="156" t="str">
        <f t="array" ref="W518">INDEX(NPCAgeType,TRUNC(1+(4-1)*(TRUNC(MOD((X518*1103515245 +12345)/ 65536, 32768),0)/32768),0))</f>
        <v>Venerable</v>
      </c>
      <c r="X518" s="117">
        <f t="shared" si="45"/>
        <v>1.9</v>
      </c>
      <c r="Y518" s="157" t="e">
        <f t="array" aca="1" ref="Y518" ca="1">LOOKUP(ABS(MAX(Z518 + MIN(ABS(INDIRECT("Class Jobs!B"&amp;MATCH(E518,'Class Jobs'!$A$1:$A1000,0)&amp;":"&amp;"AF"&amp;MATCH(E518,'Class Jobs'!$A$1:$A1000,0)&amp;"")-$Z518)) * SUM(IF(MIN(ABS(INDIRECT("Class Jobs!B"&amp;MATCH(E518,'Class Jobs'!$A$1:$A1000,0)&amp;":"&amp;"AF"&amp;MATCH(E518,'Class Jobs'!$A$1:$A1000,0)&amp;"")-$Z518))=ABS(INDIRECT("Class Jobs!B"&amp;MATCH(E518,'Class Jobs'!$A$1:$A1000,0)&amp;":"&amp;"AF"&amp;MATCH(E518,'Class Jobs'!$A$1:$A1000,0)&amp;"")-$Z518),SIGN(INDIRECT("Class Jobs!B"&amp;MATCH(E518,'Class Jobs'!$A$1:A1000,0)&amp;":"&amp;"AF"&amp;MATCH(E518,'Class Jobs'!$A$1:$A1000,0)&amp;"")-$Z518),0)),0)),INDIRECT("Class Jobs!B"&amp;MATCH(E518,'Class Jobs'!$A$1:$A1000,0)&amp;":"&amp;"AF"&amp;MATCH(E518,'Class Jobs'!$A$1:$A1000,1)&amp;""),'Class Jobs'!$B$1:$AF$1)</f>
        <v>#REF!</v>
      </c>
      <c r="Z518" s="158">
        <f t="shared" si="41"/>
        <v>0.75</v>
      </c>
      <c r="AA518" s="16" t="str">
        <f t="array" ref="AA518">INDEX(NPCGender,TRUNC(1+(COUNTA(NPCGender))*(TRUNC(MOD(($B518*1103515245 +12345)/ 65536, 32768),0)/32768),0))</f>
        <v>Neutral</v>
      </c>
      <c r="AB518" s="16" t="str">
        <f t="array" ref="AB518">INDEX(NPCRace,TRUNC(1+(COUNTA(NPCRace))*(TRUNC(MOD(($B518*1103515245 +12345)/ 65536, 32768),0)/32768),0))</f>
        <v>Tiefling</v>
      </c>
      <c r="AC518" s="16" t="str">
        <f t="array" ref="AC518">INDEX(NPCAL,TRUNC(1+(COUNTA(NPCAL))*(TRUNC(MOD(($B518*1103515245 +12345)/ 65536, 32768),0)/32768),0))</f>
        <v>LG</v>
      </c>
      <c r="AD518" s="72" t="str">
        <f ca="1">IFERROR(__xludf.DUMMYFUNCTION("if(V518&lt;15,QUERY(NPCVar!C:D,""Select D WHERE C = '""&amp;D518&amp;""'""),if((TRUNC(1+10)*(TRUNC(MOD((ROW(H518)*1103515245 +12345)/ 65536, 32768),0)/32768)/10) &gt; 0.85,INDEX(NPCFaction,TRUNC(1+(counta(NPCFaction)-1)*(TRUNC(MOD(($B518*1103515245 +12345)/ 65536, 3276"&amp;"8),0)/32768),0)),QUERY(NPCVar!C:D,""Select D WHERE C = '""&amp;D518&amp;""'"")))"),"Adventures Guild")</f>
        <v>Adventures Guild</v>
      </c>
      <c r="AE518" s="108" t="e">
        <f t="shared" ca="1" si="42"/>
        <v>#NAME?</v>
      </c>
      <c r="AF518" s="159">
        <f ca="1">IFERROR(__xludf.DUMMYFUNCTION("AE518*(V518 / QUERY(NPCVar!$K$2:$N$12, ""Select N WHERE K='""&amp;AB518&amp;""'""))*TRUNC(1+10)*(TRUNC(MOD(($B518*1103515245 +12345)/ 65536, 32768),0)/32768)"),12.5445922851562)</f>
        <v>12.544592285156201</v>
      </c>
      <c r="AG518" s="16"/>
      <c r="AH518" s="77"/>
      <c r="AI518" s="114"/>
    </row>
    <row r="519" spans="1:35" ht="16.2">
      <c r="A519" s="53">
        <v>518</v>
      </c>
      <c r="B519" s="118">
        <f t="shared" si="44"/>
        <v>0.45426</v>
      </c>
      <c r="C519" s="72" t="str">
        <f t="array" ref="C519">INDEX(NPCFName,TRUNC(1+(COUNTA(NPCFName))*(TRUNC(MOD(($B519*1103515245 +12345)/ 65536, 32768),0)/32768),0))</f>
        <v>Qeisan</v>
      </c>
      <c r="D519" s="16" t="str">
        <f t="array" ref="D519">INDEX(NPCLName,TRUNC(1+(COUNTA(NPCLName))*(TRUNC(MOD(($B519*1103515245 +12345)/ 65536, 32768),0)/32768),0))</f>
        <v>Tuskleaf</v>
      </c>
      <c r="E519" s="16" t="str">
        <f t="array" ref="E519">INDEX(NPCClass,TRUNC(1+(COUNTA(NPCClass))*(TRUNC(MOD(($B519*1103515245 +12345)/ 65536, 32768),0)/32768),0))</f>
        <v>Druid</v>
      </c>
      <c r="F519" s="76">
        <v>1</v>
      </c>
      <c r="G519" s="153">
        <f ca="1">VLOOKUP($AB$2,'RF Mod'!$A$2:$G$12,2,FALSE)+VLOOKUP($AD$2,'RF Mod'!$I$2:$O$11,2,FALSE)+(TRUNC(6+(24-6)*(TRUNC(MOD(($Z519*1103515245 +12345)/ 65536, 32768),0)/32768),0))</f>
        <v>6</v>
      </c>
      <c r="H519" s="16">
        <f t="shared" ca="1" si="33"/>
        <v>-2</v>
      </c>
      <c r="I519" s="153">
        <f ca="1">VLOOKUP($AB$2,'RF Mod'!$A$2:$G$12,3,FALSE)+VLOOKUP($AD$2,'RF Mod'!$I$2:$O$11,3,FALSE)+(TRUNC(6+(24-6)*(TRUNC(MOD(($Z519*1103515245 +12345)/ 65536, 32768),0)/32768),0))</f>
        <v>10</v>
      </c>
      <c r="J519" s="16" t="e">
        <f t="shared" ca="1" si="34"/>
        <v>#NAME?</v>
      </c>
      <c r="K519" s="153">
        <f ca="1">VLOOKUP($AB$2,'RF Mod'!$A$2:$G$12,3,FALSE)+VLOOKUP($AD$2,'RF Mod'!$I$2:$O$11,3,FALSE)+(TRUNC(6+(24-6)*(TRUNC(MOD(($Z519*1103515245 +12345)/ 65536, 32768),0)/32768),0))</f>
        <v>10</v>
      </c>
      <c r="L519" s="16" t="e">
        <f t="shared" ca="1" si="35"/>
        <v>#NAME?</v>
      </c>
      <c r="M519" s="153">
        <f ca="1">VLOOKUP($AB$2,'RF Mod'!$A$2:$G$12,4,FALSE)+VLOOKUP($AD$2,'RF Mod'!$I$2:$O$11,4,FALSE)+(TRUNC(6+(24-6)*(TRUNC(MOD(($Z519*1103515245 +12345)/ 65536, 32768),0)/32768),0))</f>
        <v>9</v>
      </c>
      <c r="N519" s="16">
        <f t="shared" ca="1" si="36"/>
        <v>-1</v>
      </c>
      <c r="O519" s="153">
        <f ca="1">VLOOKUP($AB$2,'RF Mod'!$A$2:$G$12,5,FALSE)+VLOOKUP($AD$2,'RF Mod'!$I$2:$O$11,5,FALSE)+(TRUNC(6+(24-6)*(TRUNC(MOD(($Z519*1103515245 +12345)/ 65536, 32768),0)/32768),0))</f>
        <v>12</v>
      </c>
      <c r="P519" s="16" t="e">
        <f t="shared" ca="1" si="37"/>
        <v>#NAME?</v>
      </c>
      <c r="Q519" s="153">
        <f ca="1">VLOOKUP($AB$2,'RF Mod'!$A$2:$G$12,6,FALSE)+VLOOKUP($AD$2,'RF Mod'!$I$2:$O$11,6,FALSE)+(TRUNC(6+(24-6)*(TRUNC(MOD(($Z519*1103515245 +12345)/ 65536, 32768),0)/32768),0))</f>
        <v>10</v>
      </c>
      <c r="R519" s="16" t="e">
        <f t="shared" ca="1" si="38"/>
        <v>#NAME?</v>
      </c>
      <c r="S519" s="154">
        <f t="shared" ca="1" si="43"/>
        <v>12</v>
      </c>
      <c r="T519" s="154">
        <f t="shared" ca="1" si="39"/>
        <v>3</v>
      </c>
      <c r="U519" s="16" t="str">
        <f t="shared" ca="1" si="40"/>
        <v>Fine</v>
      </c>
      <c r="V519" s="155">
        <f ca="1">IFERROR(__xludf.DUMMYFUNCTION("if(W519=""Middle Age"",QUERY(NPCVar!$K$2:$N1000, ""Select L where K = '""&amp;AB519&amp;""'""),if(W519=""Old"",QUERY(NPCVar!$K$2:$N1000, ""Select M where K = '""&amp;AB519&amp;""'""),if(W519=""Venerable"",QUERY(NPCVar!$K$2:$N1000, ""Select N where K = '""&amp;AB519&amp;""'""),fa"&amp;"lse)))*X519"),112.5)</f>
        <v>112.5</v>
      </c>
      <c r="W519" s="156" t="str">
        <f t="array" ref="W519">INDEX(NPCAgeType,TRUNC(1+(4-1)*(TRUNC(MOD((X519*1103515245 +12345)/ 65536, 32768),0)/32768),0))</f>
        <v>Middle Age</v>
      </c>
      <c r="X519" s="117">
        <f t="shared" si="45"/>
        <v>0.6</v>
      </c>
      <c r="Y519" s="157" t="e">
        <f t="array" aca="1" ref="Y519" ca="1">LOOKUP(ABS(MAX(Z519 + MIN(ABS(INDIRECT("Class Jobs!B"&amp;MATCH(E519,'Class Jobs'!$A$1:$A1000,0)&amp;":"&amp;"AF"&amp;MATCH(E519,'Class Jobs'!$A$1:$A1000,0)&amp;"")-$Z519)) * SUM(IF(MIN(ABS(INDIRECT("Class Jobs!B"&amp;MATCH(E519,'Class Jobs'!$A$1:$A1000,0)&amp;":"&amp;"AF"&amp;MATCH(E519,'Class Jobs'!$A$1:$A1000,0)&amp;"")-$Z519))=ABS(INDIRECT("Class Jobs!B"&amp;MATCH(E519,'Class Jobs'!$A$1:$A1000,0)&amp;":"&amp;"AF"&amp;MATCH(E519,'Class Jobs'!$A$1:$A1000,0)&amp;"")-$Z519),SIGN(INDIRECT("Class Jobs!B"&amp;MATCH(E519,'Class Jobs'!$A$1:A1000,0)&amp;":"&amp;"AF"&amp;MATCH(E519,'Class Jobs'!$A$1:$A1000,0)&amp;"")-$Z519),0)),0)),INDIRECT("Class Jobs!B"&amp;MATCH(E519,'Class Jobs'!$A$1:$A1000,0)&amp;":"&amp;"AF"&amp;MATCH(E519,'Class Jobs'!$A$1:$A1000,1)&amp;""),'Class Jobs'!$B$1:$AF$1)</f>
        <v>#REF!</v>
      </c>
      <c r="Z519" s="158">
        <f t="shared" si="41"/>
        <v>0.24</v>
      </c>
      <c r="AA519" s="16" t="str">
        <f t="array" ref="AA519">INDEX(NPCGender,TRUNC(1+(COUNTA(NPCGender))*(TRUNC(MOD(($B519*1103515245 +12345)/ 65536, 32768),0)/32768),0))</f>
        <v>Male</v>
      </c>
      <c r="AB519" s="16" t="str">
        <f t="array" ref="AB519">INDEX(NPCRace,TRUNC(1+(COUNTA(NPCRace))*(TRUNC(MOD(($B519*1103515245 +12345)/ 65536, 32768),0)/32768),0))</f>
        <v>Elf</v>
      </c>
      <c r="AC519" s="16" t="str">
        <f t="array" ref="AC519">INDEX(NPCAL,TRUNC(1+(COUNTA(NPCAL))*(TRUNC(MOD(($B519*1103515245 +12345)/ 65536, 32768),0)/32768),0))</f>
        <v>CG</v>
      </c>
      <c r="AD519" s="72" t="str">
        <f ca="1">IFERROR(__xludf.DUMMYFUNCTION("if(V519&lt;15,QUERY(NPCVar!C:D,""Select D WHERE C = '""&amp;D519&amp;""'""),if((TRUNC(1+10)*(TRUNC(MOD((ROW(H519)*1103515245 +12345)/ 65536, 32768),0)/32768)/10) &gt; 0.85,INDEX(NPCFaction,TRUNC(1+(counta(NPCFaction)-1)*(TRUNC(MOD(($B519*1103515245 +12345)/ 65536, 3276"&amp;"8),0)/32768),0)),QUERY(NPCVar!C:D,""Select D WHERE C = '""&amp;D519&amp;""'"")))"),"Magic Guild")</f>
        <v>Magic Guild</v>
      </c>
      <c r="AE519" s="108" t="e">
        <f t="shared" ca="1" si="42"/>
        <v>#NAME?</v>
      </c>
      <c r="AF519" s="159">
        <f ca="1">IFERROR(__xludf.DUMMYFUNCTION("AE519*(V519 / QUERY(NPCVar!$K$2:$N$12, ""Select N WHERE K='""&amp;AB519&amp;""'""))*TRUNC(1+10)*(TRUNC(MOD(($B519*1103515245 +12345)/ 65536, 32768),0)/32768)"),0)</f>
        <v>0</v>
      </c>
      <c r="AG519" s="16"/>
      <c r="AH519" s="77"/>
      <c r="AI519" s="114"/>
    </row>
    <row r="520" spans="1:35" ht="16.2">
      <c r="A520" s="53">
        <v>519</v>
      </c>
      <c r="B520" s="118">
        <f t="shared" si="44"/>
        <v>1.9483200000000001</v>
      </c>
      <c r="C520" s="72" t="str">
        <f t="array" ref="C520">INDEX(NPCFName,TRUNC(1+(COUNTA(NPCFName))*(TRUNC(MOD(($B520*1103515245 +12345)/ 65536, 32768),0)/32768),0))</f>
        <v>Abaet</v>
      </c>
      <c r="D520" s="16" t="str">
        <f t="array" ref="D520">INDEX(NPCLName,TRUNC(1+(COUNTA(NPCLName))*(TRUNC(MOD(($B520*1103515245 +12345)/ 65536, 32768),0)/32768),0))</f>
        <v>Stagfang</v>
      </c>
      <c r="E520" s="16" t="str">
        <f t="array" ref="E520">INDEX(NPCClass,TRUNC(1+(COUNTA(NPCClass))*(TRUNC(MOD(($B520*1103515245 +12345)/ 65536, 32768),0)/32768),0))</f>
        <v>Barbarian</v>
      </c>
      <c r="F520" s="76">
        <v>1</v>
      </c>
      <c r="G520" s="153">
        <f ca="1">VLOOKUP($AB$2,'RF Mod'!$A$2:$G$12,2,FALSE)+VLOOKUP($AD$2,'RF Mod'!$I$2:$O$11,2,FALSE)+(TRUNC(6+(24-6)*(TRUNC(MOD(($Z520*1103515245 +12345)/ 65536, 32768),0)/32768),0))</f>
        <v>4</v>
      </c>
      <c r="H520" s="16">
        <f t="shared" ca="1" si="33"/>
        <v>-3</v>
      </c>
      <c r="I520" s="153">
        <f ca="1">VLOOKUP($AB$2,'RF Mod'!$A$2:$G$12,3,FALSE)+VLOOKUP($AD$2,'RF Mod'!$I$2:$O$11,3,FALSE)+(TRUNC(6+(24-6)*(TRUNC(MOD(($Z520*1103515245 +12345)/ 65536, 32768),0)/32768),0))</f>
        <v>8</v>
      </c>
      <c r="J520" s="16">
        <f t="shared" ca="1" si="34"/>
        <v>-1</v>
      </c>
      <c r="K520" s="153">
        <f ca="1">VLOOKUP($AB$2,'RF Mod'!$A$2:$G$12,3,FALSE)+VLOOKUP($AD$2,'RF Mod'!$I$2:$O$11,3,FALSE)+(TRUNC(6+(24-6)*(TRUNC(MOD(($Z520*1103515245 +12345)/ 65536, 32768),0)/32768),0))</f>
        <v>8</v>
      </c>
      <c r="L520" s="16">
        <f t="shared" ca="1" si="35"/>
        <v>-1</v>
      </c>
      <c r="M520" s="153">
        <f ca="1">VLOOKUP($AB$2,'RF Mod'!$A$2:$G$12,4,FALSE)+VLOOKUP($AD$2,'RF Mod'!$I$2:$O$11,4,FALSE)+(TRUNC(6+(24-6)*(TRUNC(MOD(($Z520*1103515245 +12345)/ 65536, 32768),0)/32768),0))</f>
        <v>7</v>
      </c>
      <c r="N520" s="16">
        <f t="shared" ca="1" si="36"/>
        <v>-2</v>
      </c>
      <c r="O520" s="153">
        <f ca="1">VLOOKUP($AB$2,'RF Mod'!$A$2:$G$12,5,FALSE)+VLOOKUP($AD$2,'RF Mod'!$I$2:$O$11,5,FALSE)+(TRUNC(6+(24-6)*(TRUNC(MOD(($Z520*1103515245 +12345)/ 65536, 32768),0)/32768),0))</f>
        <v>10</v>
      </c>
      <c r="P520" s="16" t="e">
        <f t="shared" ca="1" si="37"/>
        <v>#NAME?</v>
      </c>
      <c r="Q520" s="153">
        <f ca="1">VLOOKUP($AB$2,'RF Mod'!$A$2:$G$12,6,FALSE)+VLOOKUP($AD$2,'RF Mod'!$I$2:$O$11,6,FALSE)+(TRUNC(6+(24-6)*(TRUNC(MOD(($Z520*1103515245 +12345)/ 65536, 32768),0)/32768),0))</f>
        <v>8</v>
      </c>
      <c r="R520" s="16">
        <f t="shared" ca="1" si="38"/>
        <v>-1</v>
      </c>
      <c r="S520" s="154">
        <f t="shared" ca="1" si="43"/>
        <v>10</v>
      </c>
      <c r="T520" s="154">
        <f t="shared" ca="1" si="39"/>
        <v>5</v>
      </c>
      <c r="U520" s="16" t="str">
        <f t="shared" ca="1" si="40"/>
        <v>Fine</v>
      </c>
      <c r="V520" s="155">
        <f ca="1">IFERROR(__xludf.DUMMYFUNCTION("if(W520=""Middle Age"",QUERY(NPCVar!$K$2:$N1000, ""Select L where K = '""&amp;AB520&amp;""'""),if(W520=""Old"",QUERY(NPCVar!$K$2:$N1000, ""Select M where K = '""&amp;AB520&amp;""'""),if(W520=""Venerable"",QUERY(NPCVar!$K$2:$N1000, ""Select N where K = '""&amp;AB520&amp;""'""),fa"&amp;"lse)))*X520"),2)</f>
        <v>2</v>
      </c>
      <c r="W520" s="156" t="str">
        <f t="array" ref="W520">INDEX(NPCAgeType,TRUNC(1+(4-1)*(TRUNC(MOD((X520*1103515245 +12345)/ 65536, 32768),0)/32768),0))</f>
        <v>Middle Age</v>
      </c>
      <c r="X520" s="117">
        <f t="shared" si="45"/>
        <v>0.1</v>
      </c>
      <c r="Y520" s="157" t="e">
        <f t="array" aca="1" ref="Y520" ca="1">LOOKUP(ABS(MAX(Z520 + MIN(ABS(INDIRECT("Class Jobs!B"&amp;MATCH(E520,'Class Jobs'!$A$1:$A1000,0)&amp;":"&amp;"AF"&amp;MATCH(E520,'Class Jobs'!$A$1:$A1000,0)&amp;"")-$Z520)) * SUM(IF(MIN(ABS(INDIRECT("Class Jobs!B"&amp;MATCH(E520,'Class Jobs'!$A$1:$A1000,0)&amp;":"&amp;"AF"&amp;MATCH(E520,'Class Jobs'!$A$1:$A1000,0)&amp;"")-$Z520))=ABS(INDIRECT("Class Jobs!B"&amp;MATCH(E520,'Class Jobs'!$A$1:$A1000,0)&amp;":"&amp;"AF"&amp;MATCH(E520,'Class Jobs'!$A$1:$A1000,0)&amp;"")-$Z520),SIGN(INDIRECT("Class Jobs!B"&amp;MATCH(E520,'Class Jobs'!$A$1:A1000,0)&amp;":"&amp;"AF"&amp;MATCH(E520,'Class Jobs'!$A$1:$A1000,0)&amp;"")-$Z520),0)),0)),INDIRECT("Class Jobs!B"&amp;MATCH(E520,'Class Jobs'!$A$1:$A1000,0)&amp;":"&amp;"AF"&amp;MATCH(E520,'Class Jobs'!$A$1:$A1000,1)&amp;""),'Class Jobs'!$B$1:$AF$1)</f>
        <v>#REF!</v>
      </c>
      <c r="Z520" s="158">
        <f t="shared" si="41"/>
        <v>0.01</v>
      </c>
      <c r="AA520" s="16" t="str">
        <f t="array" ref="AA520">INDEX(NPCGender,TRUNC(1+(COUNTA(NPCGender))*(TRUNC(MOD(($B520*1103515245 +12345)/ 65536, 32768),0)/32768),0))</f>
        <v>Male</v>
      </c>
      <c r="AB520" s="16" t="str">
        <f t="array" ref="AB520">INDEX(NPCRace,TRUNC(1+(COUNTA(NPCRace))*(TRUNC(MOD(($B520*1103515245 +12345)/ 65536, 32768),0)/32768),0))</f>
        <v>Dragonborn</v>
      </c>
      <c r="AC520" s="16" t="str">
        <f t="array" ref="AC520">INDEX(NPCAL,TRUNC(1+(COUNTA(NPCAL))*(TRUNC(MOD(($B520*1103515245 +12345)/ 65536, 32768),0)/32768),0))</f>
        <v>CN</v>
      </c>
      <c r="AD520" s="72" t="str">
        <f ca="1">IFERROR(__xludf.DUMMYFUNCTION("if(V520&lt;15,QUERY(NPCVar!C:D,""Select D WHERE C = '""&amp;D520&amp;""'""),if((TRUNC(1+10)*(TRUNC(MOD((ROW(H520)*1103515245 +12345)/ 65536, 32768),0)/32768)/10) &gt; 0.85,INDEX(NPCFaction,TRUNC(1+(counta(NPCFaction)-1)*(TRUNC(MOD(($B520*1103515245 +12345)/ 65536, 3276"&amp;"8),0)/32768),0)),QUERY(NPCVar!C:D,""Select D WHERE C = '""&amp;D520&amp;""'"")))"),"Royalty")</f>
        <v>Royalty</v>
      </c>
      <c r="AE520" s="108" t="e">
        <f t="shared" ca="1" si="42"/>
        <v>#NAME?</v>
      </c>
      <c r="AF520" s="159">
        <f ca="1">IFERROR(__xludf.DUMMYFUNCTION("AE520*(V520 / QUERY(NPCVar!$K$2:$N$12, ""Select N WHERE K='""&amp;AB520&amp;""'""))*TRUNC(1+10)*(TRUNC(MOD(($B520*1103515245 +12345)/ 65536, 32768),0)/32768)"),0.0001275634765625)</f>
        <v>1.2756347656249999E-4</v>
      </c>
      <c r="AG520" s="16"/>
      <c r="AH520" s="77"/>
      <c r="AI520" s="114"/>
    </row>
    <row r="521" spans="1:35" ht="16.2">
      <c r="A521" s="53">
        <v>520</v>
      </c>
      <c r="B521" s="118">
        <f t="shared" si="44"/>
        <v>0.94245999999999996</v>
      </c>
      <c r="C521" s="72" t="str">
        <f t="array" ref="C521">INDEX(NPCFName,TRUNC(1+(COUNTA(NPCFName))*(TRUNC(MOD(($B521*1103515245 +12345)/ 65536, 32768),0)/32768),0))</f>
        <v>Jespar</v>
      </c>
      <c r="D521" s="16" t="str">
        <f t="array" ref="D521">INDEX(NPCLName,TRUNC(1+(COUNTA(NPCLName))*(TRUNC(MOD(($B521*1103515245 +12345)/ 65536, 32768),0)/32768),0))</f>
        <v>Autumnglow</v>
      </c>
      <c r="E521" s="16" t="str">
        <f t="array" ref="E521">INDEX(NPCClass,TRUNC(1+(COUNTA(NPCClass))*(TRUNC(MOD(($B521*1103515245 +12345)/ 65536, 32768),0)/32768),0))</f>
        <v>Ranger</v>
      </c>
      <c r="F521" s="76">
        <v>8</v>
      </c>
      <c r="G521" s="153">
        <f ca="1">VLOOKUP($AB$2,'RF Mod'!$A$2:$G$12,2,FALSE)+VLOOKUP($AD$2,'RF Mod'!$I$2:$O$11,2,FALSE)+(TRUNC(6+(24-6)*(TRUNC(MOD(($Z521*1103515245 +12345)/ 65536, 32768),0)/32768),0))</f>
        <v>8</v>
      </c>
      <c r="H521" s="16">
        <f t="shared" ca="1" si="33"/>
        <v>-1</v>
      </c>
      <c r="I521" s="153">
        <f ca="1">VLOOKUP($AB$2,'RF Mod'!$A$2:$G$12,3,FALSE)+VLOOKUP($AD$2,'RF Mod'!$I$2:$O$11,3,FALSE)+(TRUNC(6+(24-6)*(TRUNC(MOD(($Z521*1103515245 +12345)/ 65536, 32768),0)/32768),0))</f>
        <v>12</v>
      </c>
      <c r="J521" s="16" t="e">
        <f t="shared" ca="1" si="34"/>
        <v>#NAME?</v>
      </c>
      <c r="K521" s="153">
        <f ca="1">VLOOKUP($AB$2,'RF Mod'!$A$2:$G$12,3,FALSE)+VLOOKUP($AD$2,'RF Mod'!$I$2:$O$11,3,FALSE)+(TRUNC(6+(24-6)*(TRUNC(MOD(($Z521*1103515245 +12345)/ 65536, 32768),0)/32768),0))</f>
        <v>12</v>
      </c>
      <c r="L521" s="16" t="e">
        <f t="shared" ca="1" si="35"/>
        <v>#NAME?</v>
      </c>
      <c r="M521" s="153">
        <f ca="1">VLOOKUP($AB$2,'RF Mod'!$A$2:$G$12,4,FALSE)+VLOOKUP($AD$2,'RF Mod'!$I$2:$O$11,4,FALSE)+(TRUNC(6+(24-6)*(TRUNC(MOD(($Z521*1103515245 +12345)/ 65536, 32768),0)/32768),0))</f>
        <v>11</v>
      </c>
      <c r="N521" s="16" t="e">
        <f t="shared" ca="1" si="36"/>
        <v>#NAME?</v>
      </c>
      <c r="O521" s="153">
        <f ca="1">VLOOKUP($AB$2,'RF Mod'!$A$2:$G$12,5,FALSE)+VLOOKUP($AD$2,'RF Mod'!$I$2:$O$11,5,FALSE)+(TRUNC(6+(24-6)*(TRUNC(MOD(($Z521*1103515245 +12345)/ 65536, 32768),0)/32768),0))</f>
        <v>14</v>
      </c>
      <c r="P521" s="16" t="e">
        <f t="shared" ca="1" si="37"/>
        <v>#NAME?</v>
      </c>
      <c r="Q521" s="153">
        <f ca="1">VLOOKUP($AB$2,'RF Mod'!$A$2:$G$12,6,FALSE)+VLOOKUP($AD$2,'RF Mod'!$I$2:$O$11,6,FALSE)+(TRUNC(6+(24-6)*(TRUNC(MOD(($Z521*1103515245 +12345)/ 65536, 32768),0)/32768),0))</f>
        <v>12</v>
      </c>
      <c r="R521" s="16" t="e">
        <f t="shared" ca="1" si="38"/>
        <v>#NAME?</v>
      </c>
      <c r="S521" s="154">
        <f t="shared" ca="1" si="43"/>
        <v>160</v>
      </c>
      <c r="T521" s="154">
        <f t="shared" ca="1" si="39"/>
        <v>95</v>
      </c>
      <c r="U521" s="16" t="str">
        <f t="shared" ca="1" si="40"/>
        <v>Bloody</v>
      </c>
      <c r="V521" s="155">
        <f ca="1">IFERROR(__xludf.DUMMYFUNCTION("if(W521=""Middle Age"",QUERY(NPCVar!$K$2:$N1000, ""Select L where K = '""&amp;AB521&amp;""'""),if(W521=""Old"",QUERY(NPCVar!$K$2:$N1000, ""Select M where K = '""&amp;AB521&amp;""'""),if(W521=""Venerable"",QUERY(NPCVar!$K$2:$N1000, ""Select N where K = '""&amp;AB521&amp;""'""),fa"&amp;"lse)))*X521"),31.5)</f>
        <v>31.5</v>
      </c>
      <c r="W521" s="156" t="str">
        <f t="array" ref="W521">INDEX(NPCAgeType,TRUNC(1+(4-1)*(TRUNC(MOD((X521*1103515245 +12345)/ 65536, 32768),0)/32768),0))</f>
        <v>Old</v>
      </c>
      <c r="X521" s="117">
        <f t="shared" si="45"/>
        <v>1.2</v>
      </c>
      <c r="Y521" s="157" t="e">
        <f t="array" aca="1" ref="Y521" ca="1">LOOKUP(ABS(MAX(Z521 + MIN(ABS(INDIRECT("Class Jobs!B"&amp;MATCH(E521,'Class Jobs'!$A$1:$A1000,0)&amp;":"&amp;"AF"&amp;MATCH(E521,'Class Jobs'!$A$1:$A1000,0)&amp;"")-$Z521)) * SUM(IF(MIN(ABS(INDIRECT("Class Jobs!B"&amp;MATCH(E521,'Class Jobs'!$A$1:$A1000,0)&amp;":"&amp;"AF"&amp;MATCH(E521,'Class Jobs'!$A$1:$A1000,0)&amp;"")-$Z521))=ABS(INDIRECT("Class Jobs!B"&amp;MATCH(E521,'Class Jobs'!$A$1:$A1000,0)&amp;":"&amp;"AF"&amp;MATCH(E521,'Class Jobs'!$A$1:$A1000,0)&amp;"")-$Z521),SIGN(INDIRECT("Class Jobs!B"&amp;MATCH(E521,'Class Jobs'!$A$1:A1000,0)&amp;":"&amp;"AF"&amp;MATCH(E521,'Class Jobs'!$A$1:$A1000,0)&amp;"")-$Z521),0)),0)),INDIRECT("Class Jobs!B"&amp;MATCH(E521,'Class Jobs'!$A$1:$A1000,0)&amp;":"&amp;"AF"&amp;MATCH(E521,'Class Jobs'!$A$1:$A1000,1)&amp;""),'Class Jobs'!$B$1:$AF$1)</f>
        <v>#REF!</v>
      </c>
      <c r="Z521" s="158">
        <f t="shared" si="41"/>
        <v>0.48</v>
      </c>
      <c r="AA521" s="16" t="str">
        <f t="array" ref="AA521">INDEX(NPCGender,TRUNC(1+(COUNTA(NPCGender))*(TRUNC(MOD(($B521*1103515245 +12345)/ 65536, 32768),0)/32768),0))</f>
        <v>Female</v>
      </c>
      <c r="AB521" s="16" t="str">
        <f t="array" ref="AB521">INDEX(NPCRace,TRUNC(1+(COUNTA(NPCRace))*(TRUNC(MOD(($B521*1103515245 +12345)/ 65536, 32768),0)/32768),0))</f>
        <v>Half-Orc</v>
      </c>
      <c r="AC521" s="16" t="str">
        <f t="array" ref="AC521">INDEX(NPCAL,TRUNC(1+(COUNTA(NPCAL))*(TRUNC(MOD(($B521*1103515245 +12345)/ 65536, 32768),0)/32768),0))</f>
        <v>NN</v>
      </c>
      <c r="AD521" s="72" t="str">
        <f ca="1">IFERROR(__xludf.DUMMYFUNCTION("if(V521&lt;15,QUERY(NPCVar!C:D,""Select D WHERE C = '""&amp;D521&amp;""'""),if((TRUNC(1+10)*(TRUNC(MOD((ROW(H521)*1103515245 +12345)/ 65536, 32768),0)/32768)/10) &gt; 0.85,INDEX(NPCFaction,TRUNC(1+(counta(NPCFaction)-1)*(TRUNC(MOD(($B521*1103515245 +12345)/ 65536, 3276"&amp;"8),0)/32768),0)),QUERY(NPCVar!C:D,""Select D WHERE C = '""&amp;D521&amp;""'"")))"),"Traders Guild")</f>
        <v>Traders Guild</v>
      </c>
      <c r="AE521" s="108" t="e">
        <f t="shared" ca="1" si="42"/>
        <v>#NAME?</v>
      </c>
      <c r="AF521" s="159">
        <f ca="1">IFERROR(__xludf.DUMMYFUNCTION("AE521*(V521 / QUERY(NPCVar!$K$2:$N$12, ""Select N WHERE K='""&amp;AB521&amp;""'""))*TRUNC(1+10)*(TRUNC(MOD(($B521*1103515245 +12345)/ 65536, 32768),0)/32768)"),0.719160919189453)</f>
        <v>0.71916091918945302</v>
      </c>
      <c r="AG521" s="16"/>
      <c r="AH521" s="77"/>
      <c r="AI521" s="114"/>
    </row>
    <row r="522" spans="1:35" ht="16.2">
      <c r="A522" s="53">
        <v>521</v>
      </c>
      <c r="B522" s="118">
        <f t="shared" si="44"/>
        <v>2.4365899999999998</v>
      </c>
      <c r="C522" s="72" t="str">
        <f t="array" ref="C522">INDEX(NPCFName,TRUNC(1+(COUNTA(NPCFName))*(TRUNC(MOD(($B522*1103515245 +12345)/ 65536, 32768),0)/32768),0))</f>
        <v>Ryodan</v>
      </c>
      <c r="D522" s="16" t="str">
        <f t="array" ref="D522">INDEX(NPCLName,TRUNC(1+(COUNTA(NPCLName))*(TRUNC(MOD(($B522*1103515245 +12345)/ 65536, 32768),0)/32768),0))</f>
        <v>Tuskleaf</v>
      </c>
      <c r="E522" s="16" t="str">
        <f t="array" ref="E522">INDEX(NPCClass,TRUNC(1+(COUNTA(NPCClass))*(TRUNC(MOD(($B522*1103515245 +12345)/ 65536, 32768),0)/32768),0))</f>
        <v>Monk</v>
      </c>
      <c r="F522" s="76">
        <v>1</v>
      </c>
      <c r="G522" s="153">
        <f ca="1">VLOOKUP($AB$2,'RF Mod'!$A$2:$G$12,2,FALSE)+VLOOKUP($AD$2,'RF Mod'!$I$2:$O$11,2,FALSE)+(TRUNC(6+(24-6)*(TRUNC(MOD(($Z522*1103515245 +12345)/ 65536, 32768),0)/32768),0))</f>
        <v>6</v>
      </c>
      <c r="H522" s="16">
        <f t="shared" ca="1" si="33"/>
        <v>-2</v>
      </c>
      <c r="I522" s="153">
        <f ca="1">VLOOKUP($AB$2,'RF Mod'!$A$2:$G$12,3,FALSE)+VLOOKUP($AD$2,'RF Mod'!$I$2:$O$11,3,FALSE)+(TRUNC(6+(24-6)*(TRUNC(MOD(($Z522*1103515245 +12345)/ 65536, 32768),0)/32768),0))</f>
        <v>10</v>
      </c>
      <c r="J522" s="16" t="e">
        <f t="shared" ca="1" si="34"/>
        <v>#NAME?</v>
      </c>
      <c r="K522" s="153">
        <f ca="1">VLOOKUP($AB$2,'RF Mod'!$A$2:$G$12,3,FALSE)+VLOOKUP($AD$2,'RF Mod'!$I$2:$O$11,3,FALSE)+(TRUNC(6+(24-6)*(TRUNC(MOD(($Z522*1103515245 +12345)/ 65536, 32768),0)/32768),0))</f>
        <v>10</v>
      </c>
      <c r="L522" s="16" t="e">
        <f t="shared" ca="1" si="35"/>
        <v>#NAME?</v>
      </c>
      <c r="M522" s="153">
        <f ca="1">VLOOKUP($AB$2,'RF Mod'!$A$2:$G$12,4,FALSE)+VLOOKUP($AD$2,'RF Mod'!$I$2:$O$11,4,FALSE)+(TRUNC(6+(24-6)*(TRUNC(MOD(($Z522*1103515245 +12345)/ 65536, 32768),0)/32768),0))</f>
        <v>9</v>
      </c>
      <c r="N522" s="16">
        <f t="shared" ca="1" si="36"/>
        <v>-1</v>
      </c>
      <c r="O522" s="153">
        <f ca="1">VLOOKUP($AB$2,'RF Mod'!$A$2:$G$12,5,FALSE)+VLOOKUP($AD$2,'RF Mod'!$I$2:$O$11,5,FALSE)+(TRUNC(6+(24-6)*(TRUNC(MOD(($Z522*1103515245 +12345)/ 65536, 32768),0)/32768),0))</f>
        <v>12</v>
      </c>
      <c r="P522" s="16" t="e">
        <f t="shared" ca="1" si="37"/>
        <v>#NAME?</v>
      </c>
      <c r="Q522" s="153">
        <f ca="1">VLOOKUP($AB$2,'RF Mod'!$A$2:$G$12,6,FALSE)+VLOOKUP($AD$2,'RF Mod'!$I$2:$O$11,6,FALSE)+(TRUNC(6+(24-6)*(TRUNC(MOD(($Z522*1103515245 +12345)/ 65536, 32768),0)/32768),0))</f>
        <v>10</v>
      </c>
      <c r="R522" s="16" t="e">
        <f t="shared" ca="1" si="38"/>
        <v>#NAME?</v>
      </c>
      <c r="S522" s="154">
        <f t="shared" ca="1" si="43"/>
        <v>14</v>
      </c>
      <c r="T522" s="154">
        <f t="shared" ca="1" si="39"/>
        <v>3</v>
      </c>
      <c r="U522" s="16" t="str">
        <f t="shared" ca="1" si="40"/>
        <v>Fine</v>
      </c>
      <c r="V522" s="155">
        <f ca="1">IFERROR(__xludf.DUMMYFUNCTION("if(W522=""Middle Age"",QUERY(NPCVar!$K$2:$N1000, ""Select L where K = '""&amp;AB522&amp;""'""),if(W522=""Old"",QUERY(NPCVar!$K$2:$N1000, ""Select M where K = '""&amp;AB522&amp;""'""),if(W522=""Venerable"",QUERY(NPCVar!$K$2:$N1000, ""Select N where K = '""&amp;AB522&amp;""'""),fa"&amp;"lse)))*X522"),196.875)</f>
        <v>196.875</v>
      </c>
      <c r="W522" s="156" t="str">
        <f t="array" ref="W522">INDEX(NPCAgeType,TRUNC(1+(4-1)*(TRUNC(MOD((X522*1103515245 +12345)/ 65536, 32768),0)/32768),0))</f>
        <v>Old</v>
      </c>
      <c r="X522" s="117">
        <f t="shared" si="45"/>
        <v>0.7</v>
      </c>
      <c r="Y522" s="157" t="e">
        <f t="array" aca="1" ref="Y522" ca="1">LOOKUP(ABS(MAX(Z522 + MIN(ABS(INDIRECT("Class Jobs!B"&amp;MATCH(E522,'Class Jobs'!$A$1:$A1000,0)&amp;":"&amp;"AF"&amp;MATCH(E522,'Class Jobs'!$A$1:$A1000,0)&amp;"")-$Z522)) * SUM(IF(MIN(ABS(INDIRECT("Class Jobs!B"&amp;MATCH(E522,'Class Jobs'!$A$1:$A1000,0)&amp;":"&amp;"AF"&amp;MATCH(E522,'Class Jobs'!$A$1:$A1000,0)&amp;"")-$Z522))=ABS(INDIRECT("Class Jobs!B"&amp;MATCH(E522,'Class Jobs'!$A$1:$A1000,0)&amp;":"&amp;"AF"&amp;MATCH(E522,'Class Jobs'!$A$1:$A1000,0)&amp;"")-$Z522),SIGN(INDIRECT("Class Jobs!B"&amp;MATCH(E522,'Class Jobs'!$A$1:A1000,0)&amp;":"&amp;"AF"&amp;MATCH(E522,'Class Jobs'!$A$1:$A1000,0)&amp;"")-$Z522),0)),0)),INDIRECT("Class Jobs!B"&amp;MATCH(E522,'Class Jobs'!$A$1:$A1000,0)&amp;":"&amp;"AF"&amp;MATCH(E522,'Class Jobs'!$A$1:$A1000,1)&amp;""),'Class Jobs'!$B$1:$AF$1)</f>
        <v>#REF!</v>
      </c>
      <c r="Z522" s="158">
        <f t="shared" si="41"/>
        <v>0.25</v>
      </c>
      <c r="AA522" s="16" t="str">
        <f t="array" ref="AA522">INDEX(NPCGender,TRUNC(1+(COUNTA(NPCGender))*(TRUNC(MOD(($B522*1103515245 +12345)/ 65536, 32768),0)/32768),0))</f>
        <v>Male</v>
      </c>
      <c r="AB522" s="16" t="str">
        <f t="array" ref="AB522">INDEX(NPCRace,TRUNC(1+(COUNTA(NPCRace))*(TRUNC(MOD(($B522*1103515245 +12345)/ 65536, 32768),0)/32768),0))</f>
        <v>Elf</v>
      </c>
      <c r="AC522" s="16" t="str">
        <f t="array" ref="AC522">INDEX(NPCAL,TRUNC(1+(COUNTA(NPCAL))*(TRUNC(MOD(($B522*1103515245 +12345)/ 65536, 32768),0)/32768),0))</f>
        <v>CG</v>
      </c>
      <c r="AD522" s="72" t="str">
        <f ca="1">IFERROR(__xludf.DUMMYFUNCTION("if(V522&lt;15,QUERY(NPCVar!C:D,""Select D WHERE C = '""&amp;D522&amp;""'""),if((TRUNC(1+10)*(TRUNC(MOD((ROW(H522)*1103515245 +12345)/ 65536, 32768),0)/32768)/10) &gt; 0.85,INDEX(NPCFaction,TRUNC(1+(counta(NPCFaction)-1)*(TRUNC(MOD(($B522*1103515245 +12345)/ 65536, 3276"&amp;"8),0)/32768),0)),QUERY(NPCVar!C:D,""Select D WHERE C = '""&amp;D522&amp;""'"")))"),"Magic Guild")</f>
        <v>Magic Guild</v>
      </c>
      <c r="AE522" s="108" t="e">
        <f t="shared" ca="1" si="42"/>
        <v>#NAME?</v>
      </c>
      <c r="AF522" s="159">
        <f ca="1">IFERROR(__xludf.DUMMYFUNCTION("AE522*(V522 / QUERY(NPCVar!$K$2:$N$12, ""Select N WHERE K='""&amp;AB522&amp;""'""))*TRUNC(1+10)*(TRUNC(MOD(($B522*1103515245 +12345)/ 65536, 32768),0)/32768)"),0.363933563232421)</f>
        <v>0.36393356323242099</v>
      </c>
      <c r="AG522" s="16"/>
      <c r="AH522" s="77"/>
      <c r="AI522" s="114"/>
    </row>
    <row r="523" spans="1:35" ht="16.2">
      <c r="A523" s="53">
        <v>522</v>
      </c>
      <c r="B523" s="118">
        <f t="shared" si="44"/>
        <v>1.4307399999999999</v>
      </c>
      <c r="C523" s="72" t="str">
        <f t="array" ref="C523">INDEX(NPCFName,TRUNC(1+(COUNTA(NPCFName))*(TRUNC(MOD(($B523*1103515245 +12345)/ 65536, 32768),0)/32768),0))</f>
        <v>Darkspur</v>
      </c>
      <c r="D523" s="16" t="str">
        <f t="array" ref="D523">INDEX(NPCLName,TRUNC(1+(COUNTA(NPCLName))*(TRUNC(MOD(($B523*1103515245 +12345)/ 65536, 32768),0)/32768),0))</f>
        <v>Sacredgloom</v>
      </c>
      <c r="E523" s="16" t="str">
        <f t="array" ref="E523">INDEX(NPCClass,TRUNC(1+(COUNTA(NPCClass))*(TRUNC(MOD(($B523*1103515245 +12345)/ 65536, 32768),0)/32768),0))</f>
        <v>None</v>
      </c>
      <c r="F523" s="76">
        <v>8</v>
      </c>
      <c r="G523" s="153">
        <f ca="1">VLOOKUP($AB$2,'RF Mod'!$A$2:$G$12,2,FALSE)+VLOOKUP($AD$2,'RF Mod'!$I$2:$O$11,2,FALSE)+(TRUNC(6+(24-6)*(TRUNC(MOD(($Z523*1103515245 +12345)/ 65536, 32768),0)/32768),0))</f>
        <v>10</v>
      </c>
      <c r="H523" s="16" t="e">
        <f t="shared" ca="1" si="33"/>
        <v>#NAME?</v>
      </c>
      <c r="I523" s="153">
        <f ca="1">VLOOKUP($AB$2,'RF Mod'!$A$2:$G$12,3,FALSE)+VLOOKUP($AD$2,'RF Mod'!$I$2:$O$11,3,FALSE)+(TRUNC(6+(24-6)*(TRUNC(MOD(($Z523*1103515245 +12345)/ 65536, 32768),0)/32768),0))</f>
        <v>14</v>
      </c>
      <c r="J523" s="16" t="e">
        <f t="shared" ca="1" si="34"/>
        <v>#NAME?</v>
      </c>
      <c r="K523" s="153">
        <f ca="1">VLOOKUP($AB$2,'RF Mod'!$A$2:$G$12,3,FALSE)+VLOOKUP($AD$2,'RF Mod'!$I$2:$O$11,3,FALSE)+(TRUNC(6+(24-6)*(TRUNC(MOD(($Z523*1103515245 +12345)/ 65536, 32768),0)/32768),0))</f>
        <v>14</v>
      </c>
      <c r="L523" s="16" t="e">
        <f t="shared" ca="1" si="35"/>
        <v>#NAME?</v>
      </c>
      <c r="M523" s="153">
        <f ca="1">VLOOKUP($AB$2,'RF Mod'!$A$2:$G$12,4,FALSE)+VLOOKUP($AD$2,'RF Mod'!$I$2:$O$11,4,FALSE)+(TRUNC(6+(24-6)*(TRUNC(MOD(($Z523*1103515245 +12345)/ 65536, 32768),0)/32768),0))</f>
        <v>13</v>
      </c>
      <c r="N523" s="16" t="e">
        <f t="shared" ca="1" si="36"/>
        <v>#NAME?</v>
      </c>
      <c r="O523" s="153">
        <f ca="1">VLOOKUP($AB$2,'RF Mod'!$A$2:$G$12,5,FALSE)+VLOOKUP($AD$2,'RF Mod'!$I$2:$O$11,5,FALSE)+(TRUNC(6+(24-6)*(TRUNC(MOD(($Z523*1103515245 +12345)/ 65536, 32768),0)/32768),0))</f>
        <v>16</v>
      </c>
      <c r="P523" s="16" t="e">
        <f t="shared" ca="1" si="37"/>
        <v>#NAME?</v>
      </c>
      <c r="Q523" s="153">
        <f ca="1">VLOOKUP($AB$2,'RF Mod'!$A$2:$G$12,6,FALSE)+VLOOKUP($AD$2,'RF Mod'!$I$2:$O$11,6,FALSE)+(TRUNC(6+(24-6)*(TRUNC(MOD(($Z523*1103515245 +12345)/ 65536, 32768),0)/32768),0))</f>
        <v>14</v>
      </c>
      <c r="R523" s="16" t="e">
        <f t="shared" ca="1" si="38"/>
        <v>#NAME?</v>
      </c>
      <c r="S523" s="154">
        <f t="shared" ca="1" si="43"/>
        <v>256</v>
      </c>
      <c r="T523" s="154">
        <f t="shared" ca="1" si="39"/>
        <v>18</v>
      </c>
      <c r="U523" s="16" t="str">
        <f t="shared" ca="1" si="40"/>
        <v>Fine</v>
      </c>
      <c r="V523" s="155">
        <f ca="1">IFERROR(__xludf.DUMMYFUNCTION("if(W523=""Middle Age"",QUERY(NPCVar!$K$2:$N1000, ""Select L where K = '""&amp;AB523&amp;""'""),if(W523=""Old"",QUERY(NPCVar!$K$2:$N1000, ""Select M where K = '""&amp;AB523&amp;""'""),if(W523=""Venerable"",QUERY(NPCVar!$K$2:$N1000, ""Select N where K = '""&amp;AB523&amp;""'""),fa"&amp;"lse)))*X523"),180)</f>
        <v>180</v>
      </c>
      <c r="W523" s="156" t="str">
        <f t="array" ref="W523">INDEX(NPCAgeType,TRUNC(1+(4-1)*(TRUNC(MOD((X523*1103515245 +12345)/ 65536, 32768),0)/32768),0))</f>
        <v>Venerable</v>
      </c>
      <c r="X523" s="117">
        <f t="shared" si="45"/>
        <v>1.8</v>
      </c>
      <c r="Y523" s="157" t="e">
        <f t="array" aca="1" ref="Y523" ca="1">LOOKUP(ABS(MAX(Z523 + MIN(ABS(INDIRECT("Class Jobs!B"&amp;MATCH(E523,'Class Jobs'!$A$1:$A1000,0)&amp;":"&amp;"AF"&amp;MATCH(E523,'Class Jobs'!$A$1:$A1000,0)&amp;"")-$Z523)) * SUM(IF(MIN(ABS(INDIRECT("Class Jobs!B"&amp;MATCH(E523,'Class Jobs'!$A$1:$A1000,0)&amp;":"&amp;"AF"&amp;MATCH(E523,'Class Jobs'!$A$1:$A1000,0)&amp;"")-$Z523))=ABS(INDIRECT("Class Jobs!B"&amp;MATCH(E523,'Class Jobs'!$A$1:$A1000,0)&amp;":"&amp;"AF"&amp;MATCH(E523,'Class Jobs'!$A$1:$A1000,0)&amp;"")-$Z523),SIGN(INDIRECT("Class Jobs!B"&amp;MATCH(E523,'Class Jobs'!$A$1:A1000,0)&amp;":"&amp;"AF"&amp;MATCH(E523,'Class Jobs'!$A$1:$A1000,0)&amp;"")-$Z523),0)),0)),INDIRECT("Class Jobs!B"&amp;MATCH(E523,'Class Jobs'!$A$1:$A1000,0)&amp;":"&amp;"AF"&amp;MATCH(E523,'Class Jobs'!$A$1:$A1000,1)&amp;""),'Class Jobs'!$B$1:$AF$1)</f>
        <v>#REF!</v>
      </c>
      <c r="Z523" s="158">
        <f t="shared" si="41"/>
        <v>0.73</v>
      </c>
      <c r="AA523" s="16" t="str">
        <f t="array" ref="AA523">INDEX(NPCGender,TRUNC(1+(COUNTA(NPCGender))*(TRUNC(MOD(($B523*1103515245 +12345)/ 65536, 32768),0)/32768),0))</f>
        <v>Neutral</v>
      </c>
      <c r="AB523" s="16" t="str">
        <f t="array" ref="AB523">INDEX(NPCRace,TRUNC(1+(COUNTA(NPCRace))*(TRUNC(MOD(($B523*1103515245 +12345)/ 65536, 32768),0)/32768),0))</f>
        <v>Tiefling</v>
      </c>
      <c r="AC523" s="16" t="str">
        <f t="array" ref="AC523">INDEX(NPCAL,TRUNC(1+(COUNTA(NPCAL))*(TRUNC(MOD(($B523*1103515245 +12345)/ 65536, 32768),0)/32768),0))</f>
        <v>LG</v>
      </c>
      <c r="AD523" s="72" t="str">
        <f ca="1">IFERROR(__xludf.DUMMYFUNCTION("if(V523&lt;15,QUERY(NPCVar!C:D,""Select D WHERE C = '""&amp;D523&amp;""'""),if((TRUNC(1+10)*(TRUNC(MOD((ROW(H523)*1103515245 +12345)/ 65536, 32768),0)/32768)/10) &gt; 0.85,INDEX(NPCFaction,TRUNC(1+(counta(NPCFaction)-1)*(TRUNC(MOD(($B523*1103515245 +12345)/ 65536, 3276"&amp;"8),0)/32768),0)),QUERY(NPCVar!C:D,""Select D WHERE C = '""&amp;D523&amp;""'"")))"),"Adventures Guild")</f>
        <v>Adventures Guild</v>
      </c>
      <c r="AE523" s="108" t="e">
        <f t="shared" ca="1" si="42"/>
        <v>#NAME?</v>
      </c>
      <c r="AF523" s="159">
        <f ca="1">IFERROR(__xludf.DUMMYFUNCTION("AE523*(V523 / QUERY(NPCVar!$K$2:$N$12, ""Select N WHERE K='""&amp;AB523&amp;""'""))*TRUNC(1+10)*(TRUNC(MOD(($B523*1103515245 +12345)/ 65536, 32768),0)/32768)"),5.82277587890625)</f>
        <v>5.82277587890625</v>
      </c>
      <c r="AG523" s="16"/>
      <c r="AH523" s="77"/>
      <c r="AI523" s="114"/>
    </row>
    <row r="524" spans="1:35" ht="16.2">
      <c r="A524" s="53">
        <v>523</v>
      </c>
      <c r="B524" s="118">
        <f t="shared" si="44"/>
        <v>0.42487999999999998</v>
      </c>
      <c r="C524" s="72" t="str">
        <f t="array" ref="C524">INDEX(NPCFName,TRUNC(1+(COUNTA(NPCFName))*(TRUNC(MOD(($B524*1103515245 +12345)/ 65536, 32768),0)/32768),0))</f>
        <v>Omarn</v>
      </c>
      <c r="D524" s="16" t="str">
        <f t="array" ref="D524">INDEX(NPCLName,TRUNC(1+(COUNTA(NPCLName))*(TRUNC(MOD(($B524*1103515245 +12345)/ 65536, 32768),0)/32768),0))</f>
        <v>Stillsun</v>
      </c>
      <c r="E524" s="16" t="str">
        <f t="array" ref="E524">INDEX(NPCClass,TRUNC(1+(COUNTA(NPCClass))*(TRUNC(MOD(($B524*1103515245 +12345)/ 65536, 32768),0)/32768),0))</f>
        <v>Druid</v>
      </c>
      <c r="F524" s="76">
        <v>1</v>
      </c>
      <c r="G524" s="153">
        <f ca="1">VLOOKUP($AB$2,'RF Mod'!$A$2:$G$12,2,FALSE)+VLOOKUP($AD$2,'RF Mod'!$I$2:$O$11,2,FALSE)+(TRUNC(6+(24-6)*(TRUNC(MOD(($Z524*1103515245 +12345)/ 65536, 32768),0)/32768),0))</f>
        <v>6</v>
      </c>
      <c r="H524" s="16">
        <f t="shared" ca="1" si="33"/>
        <v>-2</v>
      </c>
      <c r="I524" s="153">
        <f ca="1">VLOOKUP($AB$2,'RF Mod'!$A$2:$G$12,3,FALSE)+VLOOKUP($AD$2,'RF Mod'!$I$2:$O$11,3,FALSE)+(TRUNC(6+(24-6)*(TRUNC(MOD(($Z524*1103515245 +12345)/ 65536, 32768),0)/32768),0))</f>
        <v>10</v>
      </c>
      <c r="J524" s="16" t="e">
        <f t="shared" ca="1" si="34"/>
        <v>#NAME?</v>
      </c>
      <c r="K524" s="153">
        <f ca="1">VLOOKUP($AB$2,'RF Mod'!$A$2:$G$12,3,FALSE)+VLOOKUP($AD$2,'RF Mod'!$I$2:$O$11,3,FALSE)+(TRUNC(6+(24-6)*(TRUNC(MOD(($Z524*1103515245 +12345)/ 65536, 32768),0)/32768),0))</f>
        <v>10</v>
      </c>
      <c r="L524" s="16" t="e">
        <f t="shared" ca="1" si="35"/>
        <v>#NAME?</v>
      </c>
      <c r="M524" s="153">
        <f ca="1">VLOOKUP($AB$2,'RF Mod'!$A$2:$G$12,4,FALSE)+VLOOKUP($AD$2,'RF Mod'!$I$2:$O$11,4,FALSE)+(TRUNC(6+(24-6)*(TRUNC(MOD(($Z524*1103515245 +12345)/ 65536, 32768),0)/32768),0))</f>
        <v>9</v>
      </c>
      <c r="N524" s="16">
        <f t="shared" ca="1" si="36"/>
        <v>-1</v>
      </c>
      <c r="O524" s="153">
        <f ca="1">VLOOKUP($AB$2,'RF Mod'!$A$2:$G$12,5,FALSE)+VLOOKUP($AD$2,'RF Mod'!$I$2:$O$11,5,FALSE)+(TRUNC(6+(24-6)*(TRUNC(MOD(($Z524*1103515245 +12345)/ 65536, 32768),0)/32768),0))</f>
        <v>12</v>
      </c>
      <c r="P524" s="16" t="e">
        <f t="shared" ca="1" si="37"/>
        <v>#NAME?</v>
      </c>
      <c r="Q524" s="153">
        <f ca="1">VLOOKUP($AB$2,'RF Mod'!$A$2:$G$12,6,FALSE)+VLOOKUP($AD$2,'RF Mod'!$I$2:$O$11,6,FALSE)+(TRUNC(6+(24-6)*(TRUNC(MOD(($Z524*1103515245 +12345)/ 65536, 32768),0)/32768),0))</f>
        <v>10</v>
      </c>
      <c r="R524" s="16" t="e">
        <f t="shared" ca="1" si="38"/>
        <v>#NAME?</v>
      </c>
      <c r="S524" s="154">
        <f t="shared" ca="1" si="43"/>
        <v>12</v>
      </c>
      <c r="T524" s="154">
        <f t="shared" ca="1" si="39"/>
        <v>4</v>
      </c>
      <c r="U524" s="16" t="str">
        <f t="shared" ca="1" si="40"/>
        <v>Fine</v>
      </c>
      <c r="V524" s="155">
        <f ca="1">IFERROR(__xludf.DUMMYFUNCTION("if(W524=""Middle Age"",QUERY(NPCVar!$K$2:$N1000, ""Select L where K = '""&amp;AB524&amp;""'""),if(W524=""Old"",QUERY(NPCVar!$K$2:$N1000, ""Select M where K = '""&amp;AB524&amp;""'""),if(W524=""Venerable"",QUERY(NPCVar!$K$2:$N1000, ""Select N where K = '""&amp;AB524&amp;""'""),fa"&amp;"lse)))*X524"),112.5)</f>
        <v>112.5</v>
      </c>
      <c r="W524" s="156" t="str">
        <f t="array" ref="W524">INDEX(NPCAgeType,TRUNC(1+(4-1)*(TRUNC(MOD((X524*1103515245 +12345)/ 65536, 32768),0)/32768),0))</f>
        <v>Middle Age</v>
      </c>
      <c r="X524" s="117">
        <f t="shared" si="45"/>
        <v>0.6</v>
      </c>
      <c r="Y524" s="157" t="e">
        <f t="array" aca="1" ref="Y524" ca="1">LOOKUP(ABS(MAX(Z524 + MIN(ABS(INDIRECT("Class Jobs!B"&amp;MATCH(E524,'Class Jobs'!$A$1:$A1000,0)&amp;":"&amp;"AF"&amp;MATCH(E524,'Class Jobs'!$A$1:$A1000,0)&amp;"")-$Z524)) * SUM(IF(MIN(ABS(INDIRECT("Class Jobs!B"&amp;MATCH(E524,'Class Jobs'!$A$1:$A1000,0)&amp;":"&amp;"AF"&amp;MATCH(E524,'Class Jobs'!$A$1:$A1000,0)&amp;"")-$Z524))=ABS(INDIRECT("Class Jobs!B"&amp;MATCH(E524,'Class Jobs'!$A$1:$A1000,0)&amp;":"&amp;"AF"&amp;MATCH(E524,'Class Jobs'!$A$1:$A1000,0)&amp;"")-$Z524),SIGN(INDIRECT("Class Jobs!B"&amp;MATCH(E524,'Class Jobs'!$A$1:A1000,0)&amp;":"&amp;"AF"&amp;MATCH(E524,'Class Jobs'!$A$1:$A1000,0)&amp;"")-$Z524),0)),0)),INDIRECT("Class Jobs!B"&amp;MATCH(E524,'Class Jobs'!$A$1:$A1000,0)&amp;":"&amp;"AF"&amp;MATCH(E524,'Class Jobs'!$A$1:$A1000,1)&amp;""),'Class Jobs'!$B$1:$AF$1)</f>
        <v>#REF!</v>
      </c>
      <c r="Z524" s="158">
        <f t="shared" si="41"/>
        <v>0.22</v>
      </c>
      <c r="AA524" s="16" t="str">
        <f t="array" ref="AA524">INDEX(NPCGender,TRUNC(1+(COUNTA(NPCGender))*(TRUNC(MOD(($B524*1103515245 +12345)/ 65536, 32768),0)/32768),0))</f>
        <v>Male</v>
      </c>
      <c r="AB524" s="16" t="str">
        <f t="array" ref="AB524">INDEX(NPCRace,TRUNC(1+(COUNTA(NPCRace))*(TRUNC(MOD(($B524*1103515245 +12345)/ 65536, 32768),0)/32768),0))</f>
        <v>Elf</v>
      </c>
      <c r="AC524" s="16" t="str">
        <f t="array" ref="AC524">INDEX(NPCAL,TRUNC(1+(COUNTA(NPCAL))*(TRUNC(MOD(($B524*1103515245 +12345)/ 65536, 32768),0)/32768),0))</f>
        <v>CE</v>
      </c>
      <c r="AD524" s="72" t="str">
        <f ca="1">IFERROR(__xludf.DUMMYFUNCTION("if(V524&lt;15,QUERY(NPCVar!C:D,""Select D WHERE C = '""&amp;D524&amp;""'""),if((TRUNC(1+10)*(TRUNC(MOD((ROW(H524)*1103515245 +12345)/ 65536, 32768),0)/32768)/10) &gt; 0.85,INDEX(NPCFaction,TRUNC(1+(counta(NPCFaction)-1)*(TRUNC(MOD(($B524*1103515245 +12345)/ 65536, 3276"&amp;"8),0)/32768),0)),QUERY(NPCVar!C:D,""Select D WHERE C = '""&amp;D524&amp;""'"")))"),"Necromancer")</f>
        <v>Necromancer</v>
      </c>
      <c r="AE524" s="108" t="e">
        <f t="shared" ca="1" si="42"/>
        <v>#NAME?</v>
      </c>
      <c r="AF524" s="159">
        <f ca="1">IFERROR(__xludf.DUMMYFUNCTION("AE524*(V524 / QUERY(NPCVar!$K$2:$N$12, ""Select N WHERE K='""&amp;AB524&amp;""'""))*TRUNC(1+10)*(TRUNC(MOD(($B524*1103515245 +12345)/ 65536, 32768),0)/32768)"),0.180116271972656)</f>
        <v>0.18011627197265601</v>
      </c>
      <c r="AG524" s="16"/>
      <c r="AH524" s="77"/>
      <c r="AI524" s="114"/>
    </row>
    <row r="525" spans="1:35" ht="16.2">
      <c r="A525" s="53">
        <v>524</v>
      </c>
      <c r="B525" s="118">
        <f t="shared" si="44"/>
        <v>1.9190199999999999</v>
      </c>
      <c r="C525" s="72" t="str">
        <f t="array" ref="C525">INDEX(NPCFName,TRUNC(1+(COUNTA(NPCFName))*(TRUNC(MOD(($B525*1103515245 +12345)/ 65536, 32768),0)/32768),0))</f>
        <v>Xenil</v>
      </c>
      <c r="D525" s="16" t="str">
        <f t="array" ref="D525">INDEX(NPCLName,TRUNC(1+(COUNTA(NPCLName))*(TRUNC(MOD(($B525*1103515245 +12345)/ 65536, 32768),0)/32768),0))</f>
        <v>Stillspell</v>
      </c>
      <c r="E525" s="16" t="str">
        <f t="array" ref="E525">INDEX(NPCClass,TRUNC(1+(COUNTA(NPCClass))*(TRUNC(MOD(($B525*1103515245 +12345)/ 65536, 32768),0)/32768),0))</f>
        <v>Wizard</v>
      </c>
      <c r="F525" s="76">
        <v>8</v>
      </c>
      <c r="G525" s="153">
        <f ca="1">VLOOKUP($AB$2,'RF Mod'!$A$2:$G$12,2,FALSE)+VLOOKUP($AD$2,'RF Mod'!$I$2:$O$11,2,FALSE)+(TRUNC(6+(24-6)*(TRUNC(MOD(($Z525*1103515245 +12345)/ 65536, 32768),0)/32768),0))</f>
        <v>13</v>
      </c>
      <c r="H525" s="16" t="e">
        <f t="shared" ca="1" si="33"/>
        <v>#NAME?</v>
      </c>
      <c r="I525" s="153">
        <f ca="1">VLOOKUP($AB$2,'RF Mod'!$A$2:$G$12,3,FALSE)+VLOOKUP($AD$2,'RF Mod'!$I$2:$O$11,3,FALSE)+(TRUNC(6+(24-6)*(TRUNC(MOD(($Z525*1103515245 +12345)/ 65536, 32768),0)/32768),0))</f>
        <v>17</v>
      </c>
      <c r="J525" s="16" t="e">
        <f t="shared" ca="1" si="34"/>
        <v>#NAME?</v>
      </c>
      <c r="K525" s="153">
        <f ca="1">VLOOKUP($AB$2,'RF Mod'!$A$2:$G$12,3,FALSE)+VLOOKUP($AD$2,'RF Mod'!$I$2:$O$11,3,FALSE)+(TRUNC(6+(24-6)*(TRUNC(MOD(($Z525*1103515245 +12345)/ 65536, 32768),0)/32768),0))</f>
        <v>17</v>
      </c>
      <c r="L525" s="16" t="e">
        <f t="shared" ca="1" si="35"/>
        <v>#NAME?</v>
      </c>
      <c r="M525" s="153">
        <f ca="1">VLOOKUP($AB$2,'RF Mod'!$A$2:$G$12,4,FALSE)+VLOOKUP($AD$2,'RF Mod'!$I$2:$O$11,4,FALSE)+(TRUNC(6+(24-6)*(TRUNC(MOD(($Z525*1103515245 +12345)/ 65536, 32768),0)/32768),0))</f>
        <v>16</v>
      </c>
      <c r="N525" s="16" t="e">
        <f t="shared" ca="1" si="36"/>
        <v>#NAME?</v>
      </c>
      <c r="O525" s="153">
        <f ca="1">VLOOKUP($AB$2,'RF Mod'!$A$2:$G$12,5,FALSE)+VLOOKUP($AD$2,'RF Mod'!$I$2:$O$11,5,FALSE)+(TRUNC(6+(24-6)*(TRUNC(MOD(($Z525*1103515245 +12345)/ 65536, 32768),0)/32768),0))</f>
        <v>19</v>
      </c>
      <c r="P525" s="16" t="e">
        <f t="shared" ca="1" si="37"/>
        <v>#NAME?</v>
      </c>
      <c r="Q525" s="153">
        <f ca="1">VLOOKUP($AB$2,'RF Mod'!$A$2:$G$12,6,FALSE)+VLOOKUP($AD$2,'RF Mod'!$I$2:$O$11,6,FALSE)+(TRUNC(6+(24-6)*(TRUNC(MOD(($Z525*1103515245 +12345)/ 65536, 32768),0)/32768),0))</f>
        <v>17</v>
      </c>
      <c r="R525" s="16" t="e">
        <f t="shared" ca="1" si="38"/>
        <v>#NAME?</v>
      </c>
      <c r="S525" s="154">
        <f t="shared" ca="1" si="43"/>
        <v>200</v>
      </c>
      <c r="T525" s="154">
        <f t="shared" ca="1" si="39"/>
        <v>6</v>
      </c>
      <c r="U525" s="16" t="str">
        <f t="shared" ca="1" si="40"/>
        <v>Fine</v>
      </c>
      <c r="V525" s="155">
        <f ca="1">IFERROR(__xludf.DUMMYFUNCTION("if(W525=""Middle Age"",QUERY(NPCVar!$K$2:$N1000, ""Select L where K = '""&amp;AB525&amp;""'""),if(W525=""Old"",QUERY(NPCVar!$K$2:$N1000, ""Select M where K = '""&amp;AB525&amp;""'""),if(W525=""Venerable"",QUERY(NPCVar!$K$2:$N1000, ""Select N where K = '""&amp;AB525&amp;""'""),fa"&amp;"lse)))*X525"),72)</f>
        <v>72</v>
      </c>
      <c r="W525" s="156" t="str">
        <f t="array" ref="W525">INDEX(NPCAgeType,TRUNC(1+(4-1)*(TRUNC(MOD((X525*1103515245 +12345)/ 65536, 32768),0)/32768),0))</f>
        <v>Middle Age</v>
      </c>
      <c r="X525" s="117">
        <f t="shared" si="45"/>
        <v>2.4</v>
      </c>
      <c r="Y525" s="157" t="e">
        <f t="array" aca="1" ref="Y525" ca="1">LOOKUP(ABS(MAX(Z525 + MIN(ABS(INDIRECT("Class Jobs!B"&amp;MATCH(E525,'Class Jobs'!$A$1:$A1000,0)&amp;":"&amp;"AF"&amp;MATCH(E525,'Class Jobs'!$A$1:$A1000,0)&amp;"")-$Z525)) * SUM(IF(MIN(ABS(INDIRECT("Class Jobs!B"&amp;MATCH(E525,'Class Jobs'!$A$1:$A1000,0)&amp;":"&amp;"AF"&amp;MATCH(E525,'Class Jobs'!$A$1:$A1000,0)&amp;"")-$Z525))=ABS(INDIRECT("Class Jobs!B"&amp;MATCH(E525,'Class Jobs'!$A$1:$A1000,0)&amp;":"&amp;"AF"&amp;MATCH(E525,'Class Jobs'!$A$1:$A1000,0)&amp;"")-$Z525),SIGN(INDIRECT("Class Jobs!B"&amp;MATCH(E525,'Class Jobs'!$A$1:A1000,0)&amp;":"&amp;"AF"&amp;MATCH(E525,'Class Jobs'!$A$1:$A1000,0)&amp;"")-$Z525),0)),0)),INDIRECT("Class Jobs!B"&amp;MATCH(E525,'Class Jobs'!$A$1:$A1000,0)&amp;":"&amp;"AF"&amp;MATCH(E525,'Class Jobs'!$A$1:$A1000,1)&amp;""),'Class Jobs'!$B$1:$AF$1)</f>
        <v>#REF!</v>
      </c>
      <c r="Z525" s="158">
        <f t="shared" si="41"/>
        <v>0.98</v>
      </c>
      <c r="AA525" s="16" t="str">
        <f t="array" ref="AA525">INDEX(NPCGender,TRUNC(1+(COUNTA(NPCGender))*(TRUNC(MOD(($B525*1103515245 +12345)/ 65536, 32768),0)/32768),0))</f>
        <v>Neutral</v>
      </c>
      <c r="AB525" s="16" t="str">
        <f t="array" ref="AB525">INDEX(NPCRace,TRUNC(1+(COUNTA(NPCRace))*(TRUNC(MOD(($B525*1103515245 +12345)/ 65536, 32768),0)/32768),0))</f>
        <v>Goliath</v>
      </c>
      <c r="AC525" s="16" t="str">
        <f t="array" ref="AC525">INDEX(NPCAL,TRUNC(1+(COUNTA(NPCAL))*(TRUNC(MOD(($B525*1103515245 +12345)/ 65536, 32768),0)/32768),0))</f>
        <v>LE</v>
      </c>
      <c r="AD525" s="72" t="str">
        <f ca="1">IFERROR(__xludf.DUMMYFUNCTION("if(V525&lt;15,QUERY(NPCVar!C:D,""Select D WHERE C = '""&amp;D525&amp;""'""),if((TRUNC(1+10)*(TRUNC(MOD((ROW(H525)*1103515245 +12345)/ 65536, 32768),0)/32768)/10) &gt; 0.85,INDEX(NPCFaction,TRUNC(1+(counta(NPCFaction)-1)*(TRUNC(MOD(($B525*1103515245 +12345)/ 65536, 3276"&amp;"8),0)/32768),0)),QUERY(NPCVar!C:D,""Select D WHERE C = '""&amp;D525&amp;""'"")))"),"Traverlers Guild")</f>
        <v>Traverlers Guild</v>
      </c>
      <c r="AE525" s="108" t="e">
        <f t="shared" ca="1" si="42"/>
        <v>#NAME?</v>
      </c>
      <c r="AF525" s="159">
        <f ca="1">IFERROR(__xludf.DUMMYFUNCTION("AE525*(V525 / QUERY(NPCVar!$K$2:$N$12, ""Select N WHERE K='""&amp;AB525&amp;""'""))*TRUNC(1+10)*(TRUNC(MOD(($B525*1103515245 +12345)/ 65536, 32768),0)/32768)"),2.60334228515624)</f>
        <v>2.60334228515624</v>
      </c>
      <c r="AG525" s="16"/>
      <c r="AH525" s="77"/>
      <c r="AI525" s="114"/>
    </row>
    <row r="526" spans="1:35" ht="16.2">
      <c r="A526" s="53">
        <v>525</v>
      </c>
      <c r="B526" s="118">
        <f t="shared" si="44"/>
        <v>0.91315999999999997</v>
      </c>
      <c r="C526" s="72" t="str">
        <f t="array" ref="C526">INDEX(NPCFName,TRUNC(1+(COUNTA(NPCFName))*(TRUNC(MOD(($B526*1103515245 +12345)/ 65536, 32768),0)/32768),0))</f>
        <v>Hildar</v>
      </c>
      <c r="D526" s="16" t="str">
        <f t="array" ref="D526">INDEX(NPCLName,TRUNC(1+(COUNTA(NPCLName))*(TRUNC(MOD(($B526*1103515245 +12345)/ 65536, 32768),0)/32768),0))</f>
        <v>Autumnglow</v>
      </c>
      <c r="E526" s="16" t="str">
        <f t="array" ref="E526">INDEX(NPCClass,TRUNC(1+(COUNTA(NPCClass))*(TRUNC(MOD(($B526*1103515245 +12345)/ 65536, 32768),0)/32768),0))</f>
        <v>Ranger</v>
      </c>
      <c r="F526" s="76">
        <v>4</v>
      </c>
      <c r="G526" s="153">
        <f ca="1">VLOOKUP($AB$2,'RF Mod'!$A$2:$G$12,2,FALSE)+VLOOKUP($AD$2,'RF Mod'!$I$2:$O$11,2,FALSE)+(TRUNC(6+(24-6)*(TRUNC(MOD(($Z526*1103515245 +12345)/ 65536, 32768),0)/32768),0))</f>
        <v>8</v>
      </c>
      <c r="H526" s="16">
        <f t="shared" ca="1" si="33"/>
        <v>-1</v>
      </c>
      <c r="I526" s="153">
        <f ca="1">VLOOKUP($AB$2,'RF Mod'!$A$2:$G$12,3,FALSE)+VLOOKUP($AD$2,'RF Mod'!$I$2:$O$11,3,FALSE)+(TRUNC(6+(24-6)*(TRUNC(MOD(($Z526*1103515245 +12345)/ 65536, 32768),0)/32768),0))</f>
        <v>12</v>
      </c>
      <c r="J526" s="16" t="e">
        <f t="shared" ca="1" si="34"/>
        <v>#NAME?</v>
      </c>
      <c r="K526" s="153">
        <f ca="1">VLOOKUP($AB$2,'RF Mod'!$A$2:$G$12,3,FALSE)+VLOOKUP($AD$2,'RF Mod'!$I$2:$O$11,3,FALSE)+(TRUNC(6+(24-6)*(TRUNC(MOD(($Z526*1103515245 +12345)/ 65536, 32768),0)/32768),0))</f>
        <v>12</v>
      </c>
      <c r="L526" s="16" t="e">
        <f t="shared" ca="1" si="35"/>
        <v>#NAME?</v>
      </c>
      <c r="M526" s="153">
        <f ca="1">VLOOKUP($AB$2,'RF Mod'!$A$2:$G$12,4,FALSE)+VLOOKUP($AD$2,'RF Mod'!$I$2:$O$11,4,FALSE)+(TRUNC(6+(24-6)*(TRUNC(MOD(($Z526*1103515245 +12345)/ 65536, 32768),0)/32768),0))</f>
        <v>11</v>
      </c>
      <c r="N526" s="16" t="e">
        <f t="shared" ca="1" si="36"/>
        <v>#NAME?</v>
      </c>
      <c r="O526" s="153">
        <f ca="1">VLOOKUP($AB$2,'RF Mod'!$A$2:$G$12,5,FALSE)+VLOOKUP($AD$2,'RF Mod'!$I$2:$O$11,5,FALSE)+(TRUNC(6+(24-6)*(TRUNC(MOD(($Z526*1103515245 +12345)/ 65536, 32768),0)/32768),0))</f>
        <v>14</v>
      </c>
      <c r="P526" s="16" t="e">
        <f t="shared" ca="1" si="37"/>
        <v>#NAME?</v>
      </c>
      <c r="Q526" s="153">
        <f ca="1">VLOOKUP($AB$2,'RF Mod'!$A$2:$G$12,6,FALSE)+VLOOKUP($AD$2,'RF Mod'!$I$2:$O$11,6,FALSE)+(TRUNC(6+(24-6)*(TRUNC(MOD(($Z526*1103515245 +12345)/ 65536, 32768),0)/32768),0))</f>
        <v>12</v>
      </c>
      <c r="R526" s="16" t="e">
        <f t="shared" ca="1" si="38"/>
        <v>#NAME?</v>
      </c>
      <c r="S526" s="154">
        <f t="shared" ca="1" si="43"/>
        <v>56</v>
      </c>
      <c r="T526" s="154">
        <f t="shared" ca="1" si="39"/>
        <v>23</v>
      </c>
      <c r="U526" s="16" t="str">
        <f t="shared" ca="1" si="40"/>
        <v>Fine</v>
      </c>
      <c r="V526" s="155">
        <f ca="1">IFERROR(__xludf.DUMMYFUNCTION("if(W526=""Middle Age"",QUERY(NPCVar!$K$2:$N1000, ""Select L where K = '""&amp;AB526&amp;""'""),if(W526=""Old"",QUERY(NPCVar!$K$2:$N1000, ""Select M where K = '""&amp;AB526&amp;""'""),if(W526=""Venerable"",QUERY(NPCVar!$K$2:$N1000, ""Select N where K = '""&amp;AB526&amp;""'""),fa"&amp;"lse)))*X526"),31.5)</f>
        <v>31.5</v>
      </c>
      <c r="W526" s="156" t="str">
        <f t="array" ref="W526">INDEX(NPCAgeType,TRUNC(1+(4-1)*(TRUNC(MOD((X526*1103515245 +12345)/ 65536, 32768),0)/32768),0))</f>
        <v>Old</v>
      </c>
      <c r="X526" s="117">
        <f t="shared" si="45"/>
        <v>1.2</v>
      </c>
      <c r="Y526" s="157" t="e">
        <f t="array" aca="1" ref="Y526" ca="1">LOOKUP(ABS(MAX(Z526 + MIN(ABS(INDIRECT("Class Jobs!B"&amp;MATCH(E526,'Class Jobs'!$A$1:$A1000,0)&amp;":"&amp;"AF"&amp;MATCH(E526,'Class Jobs'!$A$1:$A1000,0)&amp;"")-$Z526)) * SUM(IF(MIN(ABS(INDIRECT("Class Jobs!B"&amp;MATCH(E526,'Class Jobs'!$A$1:$A1000,0)&amp;":"&amp;"AF"&amp;MATCH(E526,'Class Jobs'!$A$1:$A1000,0)&amp;"")-$Z526))=ABS(INDIRECT("Class Jobs!B"&amp;MATCH(E526,'Class Jobs'!$A$1:$A1000,0)&amp;":"&amp;"AF"&amp;MATCH(E526,'Class Jobs'!$A$1:$A1000,0)&amp;"")-$Z526),SIGN(INDIRECT("Class Jobs!B"&amp;MATCH(E526,'Class Jobs'!$A$1:A1000,0)&amp;":"&amp;"AF"&amp;MATCH(E526,'Class Jobs'!$A$1:$A1000,0)&amp;"")-$Z526),0)),0)),INDIRECT("Class Jobs!B"&amp;MATCH(E526,'Class Jobs'!$A$1:$A1000,0)&amp;":"&amp;"AF"&amp;MATCH(E526,'Class Jobs'!$A$1:$A1000,1)&amp;""),'Class Jobs'!$B$1:$AF$1)</f>
        <v>#REF!</v>
      </c>
      <c r="Z526" s="158">
        <f t="shared" si="41"/>
        <v>0.47</v>
      </c>
      <c r="AA526" s="16" t="str">
        <f t="array" ref="AA526">INDEX(NPCGender,TRUNC(1+(COUNTA(NPCGender))*(TRUNC(MOD(($B526*1103515245 +12345)/ 65536, 32768),0)/32768),0))</f>
        <v>Female</v>
      </c>
      <c r="AB526" s="16" t="str">
        <f t="array" ref="AB526">INDEX(NPCRace,TRUNC(1+(COUNTA(NPCRace))*(TRUNC(MOD(($B526*1103515245 +12345)/ 65536, 32768),0)/32768),0))</f>
        <v>Half-Orc</v>
      </c>
      <c r="AC526" s="16" t="str">
        <f t="array" ref="AC526">INDEX(NPCAL,TRUNC(1+(COUNTA(NPCAL))*(TRUNC(MOD(($B526*1103515245 +12345)/ 65536, 32768),0)/32768),0))</f>
        <v>NN</v>
      </c>
      <c r="AD526" s="72" t="str">
        <f ca="1">IFERROR(__xludf.DUMMYFUNCTION("if(V526&lt;15,QUERY(NPCVar!C:D,""Select D WHERE C = '""&amp;D526&amp;""'""),if((TRUNC(1+10)*(TRUNC(MOD((ROW(H526)*1103515245 +12345)/ 65536, 32768),0)/32768)/10) &gt; 0.85,INDEX(NPCFaction,TRUNC(1+(counta(NPCFaction)-1)*(TRUNC(MOD(($B526*1103515245 +12345)/ 65536, 3276"&amp;"8),0)/32768),0)),QUERY(NPCVar!C:D,""Select D WHERE C = '""&amp;D526&amp;""'"")))"),"Traders Guild")</f>
        <v>Traders Guild</v>
      </c>
      <c r="AE526" s="108" t="e">
        <f t="shared" ca="1" si="42"/>
        <v>#NAME?</v>
      </c>
      <c r="AF526" s="159">
        <f ca="1">IFERROR(__xludf.DUMMYFUNCTION("AE526*(V526 / QUERY(NPCVar!$K$2:$N$12, ""Select N WHERE K='""&amp;AB526&amp;""'""))*TRUNC(1+10)*(TRUNC(MOD(($B526*1103515245 +12345)/ 65536, 32768),0)/32768)"),2.09045654296875)</f>
        <v>2.0904565429687501</v>
      </c>
      <c r="AG526" s="16"/>
      <c r="AH526" s="77"/>
      <c r="AI526" s="114"/>
    </row>
    <row r="527" spans="1:35" ht="16.2">
      <c r="A527" s="53">
        <v>526</v>
      </c>
      <c r="B527" s="118">
        <f t="shared" si="44"/>
        <v>2.4073000000000002</v>
      </c>
      <c r="C527" s="72" t="str">
        <f t="array" ref="C527">INDEX(NPCFName,TRUNC(1+(COUNTA(NPCFName))*(TRUNC(MOD(($B527*1103515245 +12345)/ 65536, 32768),0)/32768),0))</f>
        <v>Qysan</v>
      </c>
      <c r="D527" s="16" t="str">
        <f t="array" ref="D527">INDEX(NPCLName,TRUNC(1+(COUNTA(NPCLName))*(TRUNC(MOD(($B527*1103515245 +12345)/ 65536, 32768),0)/32768),0))</f>
        <v>Tuskleaf</v>
      </c>
      <c r="E527" s="16" t="str">
        <f t="array" ref="E527">INDEX(NPCClass,TRUNC(1+(COUNTA(NPCClass))*(TRUNC(MOD(($B527*1103515245 +12345)/ 65536, 32768),0)/32768),0))</f>
        <v>Druid</v>
      </c>
      <c r="F527" s="76">
        <v>1</v>
      </c>
      <c r="G527" s="153">
        <f ca="1">VLOOKUP($AB$2,'RF Mod'!$A$2:$G$12,2,FALSE)+VLOOKUP($AD$2,'RF Mod'!$I$2:$O$11,2,FALSE)+(TRUNC(6+(24-6)*(TRUNC(MOD(($Z527*1103515245 +12345)/ 65536, 32768),0)/32768),0))</f>
        <v>6</v>
      </c>
      <c r="H527" s="16">
        <f t="shared" ca="1" si="33"/>
        <v>-2</v>
      </c>
      <c r="I527" s="153">
        <f ca="1">VLOOKUP($AB$2,'RF Mod'!$A$2:$G$12,3,FALSE)+VLOOKUP($AD$2,'RF Mod'!$I$2:$O$11,3,FALSE)+(TRUNC(6+(24-6)*(TRUNC(MOD(($Z527*1103515245 +12345)/ 65536, 32768),0)/32768),0))</f>
        <v>10</v>
      </c>
      <c r="J527" s="16" t="e">
        <f t="shared" ca="1" si="34"/>
        <v>#NAME?</v>
      </c>
      <c r="K527" s="153">
        <f ca="1">VLOOKUP($AB$2,'RF Mod'!$A$2:$G$12,3,FALSE)+VLOOKUP($AD$2,'RF Mod'!$I$2:$O$11,3,FALSE)+(TRUNC(6+(24-6)*(TRUNC(MOD(($Z527*1103515245 +12345)/ 65536, 32768),0)/32768),0))</f>
        <v>10</v>
      </c>
      <c r="L527" s="16" t="e">
        <f t="shared" ca="1" si="35"/>
        <v>#NAME?</v>
      </c>
      <c r="M527" s="153">
        <f ca="1">VLOOKUP($AB$2,'RF Mod'!$A$2:$G$12,4,FALSE)+VLOOKUP($AD$2,'RF Mod'!$I$2:$O$11,4,FALSE)+(TRUNC(6+(24-6)*(TRUNC(MOD(($Z527*1103515245 +12345)/ 65536, 32768),0)/32768),0))</f>
        <v>9</v>
      </c>
      <c r="N527" s="16">
        <f t="shared" ca="1" si="36"/>
        <v>-1</v>
      </c>
      <c r="O527" s="153">
        <f ca="1">VLOOKUP($AB$2,'RF Mod'!$A$2:$G$12,5,FALSE)+VLOOKUP($AD$2,'RF Mod'!$I$2:$O$11,5,FALSE)+(TRUNC(6+(24-6)*(TRUNC(MOD(($Z527*1103515245 +12345)/ 65536, 32768),0)/32768),0))</f>
        <v>12</v>
      </c>
      <c r="P527" s="16" t="e">
        <f t="shared" ca="1" si="37"/>
        <v>#NAME?</v>
      </c>
      <c r="Q527" s="153">
        <f ca="1">VLOOKUP($AB$2,'RF Mod'!$A$2:$G$12,6,FALSE)+VLOOKUP($AD$2,'RF Mod'!$I$2:$O$11,6,FALSE)+(TRUNC(6+(24-6)*(TRUNC(MOD(($Z527*1103515245 +12345)/ 65536, 32768),0)/32768),0))</f>
        <v>10</v>
      </c>
      <c r="R527" s="16" t="e">
        <f t="shared" ca="1" si="38"/>
        <v>#NAME?</v>
      </c>
      <c r="S527" s="154">
        <f t="shared" ca="1" si="43"/>
        <v>12</v>
      </c>
      <c r="T527" s="154">
        <f t="shared" ca="1" si="39"/>
        <v>11</v>
      </c>
      <c r="U527" s="16" t="str">
        <f t="shared" ca="1" si="40"/>
        <v>Bloody</v>
      </c>
      <c r="V527" s="155">
        <f ca="1">IFERROR(__xludf.DUMMYFUNCTION("if(W527=""Middle Age"",QUERY(NPCVar!$K$2:$N1000, ""Select L where K = '""&amp;AB527&amp;""'""),if(W527=""Old"",QUERY(NPCVar!$K$2:$N1000, ""Select M where K = '""&amp;AB527&amp;""'""),if(W527=""Venerable"",QUERY(NPCVar!$K$2:$N1000, ""Select N where K = '""&amp;AB527&amp;""'""),fa"&amp;"lse)))*X527"),112.5)</f>
        <v>112.5</v>
      </c>
      <c r="W527" s="156" t="str">
        <f t="array" ref="W527">INDEX(NPCAgeType,TRUNC(1+(4-1)*(TRUNC(MOD((X527*1103515245 +12345)/ 65536, 32768),0)/32768),0))</f>
        <v>Middle Age</v>
      </c>
      <c r="X527" s="117">
        <f t="shared" si="45"/>
        <v>0.6</v>
      </c>
      <c r="Y527" s="157" t="e">
        <f t="array" aca="1" ref="Y527" ca="1">LOOKUP(ABS(MAX(Z527 + MIN(ABS(INDIRECT("Class Jobs!B"&amp;MATCH(E527,'Class Jobs'!$A$1:$A1000,0)&amp;":"&amp;"AF"&amp;MATCH(E527,'Class Jobs'!$A$1:$A1000,0)&amp;"")-$Z527)) * SUM(IF(MIN(ABS(INDIRECT("Class Jobs!B"&amp;MATCH(E527,'Class Jobs'!$A$1:$A1000,0)&amp;":"&amp;"AF"&amp;MATCH(E527,'Class Jobs'!$A$1:$A1000,0)&amp;"")-$Z527))=ABS(INDIRECT("Class Jobs!B"&amp;MATCH(E527,'Class Jobs'!$A$1:$A1000,0)&amp;":"&amp;"AF"&amp;MATCH(E527,'Class Jobs'!$A$1:$A1000,0)&amp;"")-$Z527),SIGN(INDIRECT("Class Jobs!B"&amp;MATCH(E527,'Class Jobs'!$A$1:A1000,0)&amp;":"&amp;"AF"&amp;MATCH(E527,'Class Jobs'!$A$1:$A1000,0)&amp;"")-$Z527),0)),0)),INDIRECT("Class Jobs!B"&amp;MATCH(E527,'Class Jobs'!$A$1:$A1000,0)&amp;":"&amp;"AF"&amp;MATCH(E527,'Class Jobs'!$A$1:$A1000,1)&amp;""),'Class Jobs'!$B$1:$AF$1)</f>
        <v>#REF!</v>
      </c>
      <c r="Z527" s="158">
        <f t="shared" si="41"/>
        <v>0.24</v>
      </c>
      <c r="AA527" s="16" t="str">
        <f t="array" ref="AA527">INDEX(NPCGender,TRUNC(1+(COUNTA(NPCGender))*(TRUNC(MOD(($B527*1103515245 +12345)/ 65536, 32768),0)/32768),0))</f>
        <v>Male</v>
      </c>
      <c r="AB527" s="16" t="str">
        <f t="array" ref="AB527">INDEX(NPCRace,TRUNC(1+(COUNTA(NPCRace))*(TRUNC(MOD(($B527*1103515245 +12345)/ 65536, 32768),0)/32768),0))</f>
        <v>Elf</v>
      </c>
      <c r="AC527" s="16" t="str">
        <f t="array" ref="AC527">INDEX(NPCAL,TRUNC(1+(COUNTA(NPCAL))*(TRUNC(MOD(($B527*1103515245 +12345)/ 65536, 32768),0)/32768),0))</f>
        <v>CG</v>
      </c>
      <c r="AD527" s="72" t="str">
        <f ca="1">IFERROR(__xludf.DUMMYFUNCTION("if(V527&lt;15,QUERY(NPCVar!C:D,""Select D WHERE C = '""&amp;D527&amp;""'""),if((TRUNC(1+10)*(TRUNC(MOD((ROW(H527)*1103515245 +12345)/ 65536, 32768),0)/32768)/10) &gt; 0.85,INDEX(NPCFaction,TRUNC(1+(counta(NPCFaction)-1)*(TRUNC(MOD(($B527*1103515245 +12345)/ 65536, 3276"&amp;"8),0)/32768),0)),QUERY(NPCVar!C:D,""Select D WHERE C = '""&amp;D527&amp;""'"")))"),"Traders Guild")</f>
        <v>Traders Guild</v>
      </c>
      <c r="AE527" s="108" t="e">
        <f t="shared" ca="1" si="42"/>
        <v>#NAME?</v>
      </c>
      <c r="AF527" s="159">
        <f ca="1">IFERROR(__xludf.DUMMYFUNCTION("AE527*(V527 / QUERY(NPCVar!$K$2:$N$12, ""Select N WHERE K='""&amp;AB527&amp;""'""))*TRUNC(1+10)*(TRUNC(MOD(($B527*1103515245 +12345)/ 65536, 32768),0)/32768)"),0.0391099548339843)</f>
        <v>3.9109954833984301E-2</v>
      </c>
      <c r="AG527" s="16"/>
      <c r="AH527" s="77"/>
      <c r="AI527" s="114"/>
    </row>
    <row r="528" spans="1:35" ht="16.2">
      <c r="A528" s="53">
        <v>527</v>
      </c>
      <c r="B528" s="118">
        <f t="shared" si="44"/>
        <v>1.40137</v>
      </c>
      <c r="C528" s="72" t="str">
        <f t="array" ref="C528">INDEX(NPCFName,TRUNC(1+(COUNTA(NPCFName))*(TRUNC(MOD(($B528*1103515245 +12345)/ 65536, 32768),0)/32768),0))</f>
        <v>Cipyar</v>
      </c>
      <c r="D528" s="16" t="str">
        <f t="array" ref="D528">INDEX(NPCLName,TRUNC(1+(COUNTA(NPCLName))*(TRUNC(MOD(($B528*1103515245 +12345)/ 65536, 32768),0)/32768),0))</f>
        <v>Rockspell</v>
      </c>
      <c r="E528" s="16" t="str">
        <f t="array" ref="E528">INDEX(NPCClass,TRUNC(1+(COUNTA(NPCClass))*(TRUNC(MOD(($B528*1103515245 +12345)/ 65536, 32768),0)/32768),0))</f>
        <v>None</v>
      </c>
      <c r="F528" s="76">
        <v>8</v>
      </c>
      <c r="G528" s="153">
        <f ca="1">VLOOKUP($AB$2,'RF Mod'!$A$2:$G$12,2,FALSE)+VLOOKUP($AD$2,'RF Mod'!$I$2:$O$11,2,FALSE)+(TRUNC(6+(24-6)*(TRUNC(MOD(($Z528*1103515245 +12345)/ 65536, 32768),0)/32768),0))</f>
        <v>10</v>
      </c>
      <c r="H528" s="16" t="e">
        <f t="shared" ca="1" si="33"/>
        <v>#NAME?</v>
      </c>
      <c r="I528" s="153">
        <f ca="1">VLOOKUP($AB$2,'RF Mod'!$A$2:$G$12,3,FALSE)+VLOOKUP($AD$2,'RF Mod'!$I$2:$O$11,3,FALSE)+(TRUNC(6+(24-6)*(TRUNC(MOD(($Z528*1103515245 +12345)/ 65536, 32768),0)/32768),0))</f>
        <v>14</v>
      </c>
      <c r="J528" s="16" t="e">
        <f t="shared" ca="1" si="34"/>
        <v>#NAME?</v>
      </c>
      <c r="K528" s="153">
        <f ca="1">VLOOKUP($AB$2,'RF Mod'!$A$2:$G$12,3,FALSE)+VLOOKUP($AD$2,'RF Mod'!$I$2:$O$11,3,FALSE)+(TRUNC(6+(24-6)*(TRUNC(MOD(($Z528*1103515245 +12345)/ 65536, 32768),0)/32768),0))</f>
        <v>14</v>
      </c>
      <c r="L528" s="16" t="e">
        <f t="shared" ca="1" si="35"/>
        <v>#NAME?</v>
      </c>
      <c r="M528" s="153">
        <f ca="1">VLOOKUP($AB$2,'RF Mod'!$A$2:$G$12,4,FALSE)+VLOOKUP($AD$2,'RF Mod'!$I$2:$O$11,4,FALSE)+(TRUNC(6+(24-6)*(TRUNC(MOD(($Z528*1103515245 +12345)/ 65536, 32768),0)/32768),0))</f>
        <v>13</v>
      </c>
      <c r="N528" s="16" t="e">
        <f t="shared" ca="1" si="36"/>
        <v>#NAME?</v>
      </c>
      <c r="O528" s="153">
        <f ca="1">VLOOKUP($AB$2,'RF Mod'!$A$2:$G$12,5,FALSE)+VLOOKUP($AD$2,'RF Mod'!$I$2:$O$11,5,FALSE)+(TRUNC(6+(24-6)*(TRUNC(MOD(($Z528*1103515245 +12345)/ 65536, 32768),0)/32768),0))</f>
        <v>16</v>
      </c>
      <c r="P528" s="16" t="e">
        <f t="shared" ca="1" si="37"/>
        <v>#NAME?</v>
      </c>
      <c r="Q528" s="153">
        <f ca="1">VLOOKUP($AB$2,'RF Mod'!$A$2:$G$12,6,FALSE)+VLOOKUP($AD$2,'RF Mod'!$I$2:$O$11,6,FALSE)+(TRUNC(6+(24-6)*(TRUNC(MOD(($Z528*1103515245 +12345)/ 65536, 32768),0)/32768),0))</f>
        <v>14</v>
      </c>
      <c r="R528" s="16" t="e">
        <f t="shared" ca="1" si="38"/>
        <v>#NAME?</v>
      </c>
      <c r="S528" s="154">
        <f t="shared" ca="1" si="43"/>
        <v>208</v>
      </c>
      <c r="T528" s="154">
        <f t="shared" ca="1" si="39"/>
        <v>8</v>
      </c>
      <c r="U528" s="16" t="str">
        <f t="shared" ca="1" si="40"/>
        <v>Fine</v>
      </c>
      <c r="V528" s="155">
        <f ca="1">IFERROR(__xludf.DUMMYFUNCTION("if(W528=""Middle Age"",QUERY(NPCVar!$K$2:$N1000, ""Select L where K = '""&amp;AB528&amp;""'""),if(W528=""Old"",QUERY(NPCVar!$K$2:$N1000, ""Select M where K = '""&amp;AB528&amp;""'""),if(W528=""Venerable"",QUERY(NPCVar!$K$2:$N1000, ""Select N where K = '""&amp;AB528&amp;""'""),fa"&amp;"lse)))*X528"),162)</f>
        <v>162</v>
      </c>
      <c r="W528" s="156" t="str">
        <f t="array" ref="W528">INDEX(NPCAgeType,TRUNC(1+(4-1)*(TRUNC(MOD((X528*1103515245 +12345)/ 65536, 32768),0)/32768),0))</f>
        <v>Venerable</v>
      </c>
      <c r="X528" s="117">
        <f t="shared" si="45"/>
        <v>1.8</v>
      </c>
      <c r="Y528" s="157" t="e">
        <f t="array" aca="1" ref="Y528" ca="1">LOOKUP(ABS(MAX(Z528 + MIN(ABS(INDIRECT("Class Jobs!B"&amp;MATCH(E528,'Class Jobs'!$A$1:$A1000,0)&amp;":"&amp;"AF"&amp;MATCH(E528,'Class Jobs'!$A$1:$A1000,0)&amp;"")-$Z528)) * SUM(IF(MIN(ABS(INDIRECT("Class Jobs!B"&amp;MATCH(E528,'Class Jobs'!$A$1:$A1000,0)&amp;":"&amp;"AF"&amp;MATCH(E528,'Class Jobs'!$A$1:$A1000,0)&amp;"")-$Z528))=ABS(INDIRECT("Class Jobs!B"&amp;MATCH(E528,'Class Jobs'!$A$1:$A1000,0)&amp;":"&amp;"AF"&amp;MATCH(E528,'Class Jobs'!$A$1:$A1000,0)&amp;"")-$Z528),SIGN(INDIRECT("Class Jobs!B"&amp;MATCH(E528,'Class Jobs'!$A$1:A1000,0)&amp;":"&amp;"AF"&amp;MATCH(E528,'Class Jobs'!$A$1:$A1000,0)&amp;"")-$Z528),0)),0)),INDIRECT("Class Jobs!B"&amp;MATCH(E528,'Class Jobs'!$A$1:$A1000,0)&amp;":"&amp;"AF"&amp;MATCH(E528,'Class Jobs'!$A$1:$A1000,1)&amp;""),'Class Jobs'!$B$1:$AF$1)</f>
        <v>#REF!</v>
      </c>
      <c r="Z528" s="158">
        <f t="shared" si="41"/>
        <v>0.72</v>
      </c>
      <c r="AA528" s="16" t="str">
        <f t="array" ref="AA528">INDEX(NPCGender,TRUNC(1+(COUNTA(NPCGender))*(TRUNC(MOD(($B528*1103515245 +12345)/ 65536, 32768),0)/32768),0))</f>
        <v>Neutral</v>
      </c>
      <c r="AB528" s="16" t="str">
        <f t="array" ref="AB528">INDEX(NPCRace,TRUNC(1+(COUNTA(NPCRace))*(TRUNC(MOD(($B528*1103515245 +12345)/ 65536, 32768),0)/32768),0))</f>
        <v>Human</v>
      </c>
      <c r="AC528" s="16" t="str">
        <f t="array" ref="AC528">INDEX(NPCAL,TRUNC(1+(COUNTA(NPCAL))*(TRUNC(MOD(($B528*1103515245 +12345)/ 65536, 32768),0)/32768),0))</f>
        <v>LG</v>
      </c>
      <c r="AD528" s="72" t="str">
        <f ca="1">IFERROR(__xludf.DUMMYFUNCTION("if(V528&lt;15,QUERY(NPCVar!C:D,""Select D WHERE C = '""&amp;D528&amp;""'""),if((TRUNC(1+10)*(TRUNC(MOD((ROW(H528)*1103515245 +12345)/ 65536, 32768),0)/32768)/10) &gt; 0.85,INDEX(NPCFaction,TRUNC(1+(counta(NPCFaction)-1)*(TRUNC(MOD(($B528*1103515245 +12345)/ 65536, 3276"&amp;"8),0)/32768),0)),QUERY(NPCVar!C:D,""Select D WHERE C = '""&amp;D528&amp;""'"")))"),"Traverlers Guild")</f>
        <v>Traverlers Guild</v>
      </c>
      <c r="AE528" s="108" t="e">
        <f t="shared" ca="1" si="42"/>
        <v>#NAME?</v>
      </c>
      <c r="AF528" s="159">
        <f ca="1">IFERROR(__xludf.DUMMYFUNCTION("AE528*(V528 / QUERY(NPCVar!$K$2:$N$12, ""Select N WHERE K='""&amp;AB528&amp;""'""))*TRUNC(1+10)*(TRUNC(MOD(($B528*1103515245 +12345)/ 65536, 32768),0)/32768)"),12.8320532226562)</f>
        <v>12.832053222656199</v>
      </c>
      <c r="AG528" s="16"/>
      <c r="AH528" s="77"/>
      <c r="AI528" s="114"/>
    </row>
    <row r="529" spans="1:35" ht="16.2">
      <c r="A529" s="53">
        <v>528</v>
      </c>
      <c r="B529" s="118">
        <f t="shared" si="44"/>
        <v>0.39550999999999997</v>
      </c>
      <c r="C529" s="72" t="str">
        <f t="array" ref="C529">INDEX(NPCFName,TRUNC(1+(COUNTA(NPCFName))*(TRUNC(MOD(($B529*1103515245 +12345)/ 65536, 32768),0)/32768),0))</f>
        <v>Nadeer</v>
      </c>
      <c r="D529" s="16" t="str">
        <f t="array" ref="D529">INDEX(NPCLName,TRUNC(1+(COUNTA(NPCLName))*(TRUNC(MOD(($B529*1103515245 +12345)/ 65536, 32768),0)/32768),0))</f>
        <v>Stillsun</v>
      </c>
      <c r="E529" s="16" t="str">
        <f t="array" ref="E529">INDEX(NPCClass,TRUNC(1+(COUNTA(NPCClass))*(TRUNC(MOD(($B529*1103515245 +12345)/ 65536, 32768),0)/32768),0))</f>
        <v>Druid</v>
      </c>
      <c r="F529" s="76">
        <v>1</v>
      </c>
      <c r="G529" s="153">
        <f ca="1">VLOOKUP($AB$2,'RF Mod'!$A$2:$G$12,2,FALSE)+VLOOKUP($AD$2,'RF Mod'!$I$2:$O$11,2,FALSE)+(TRUNC(6+(24-6)*(TRUNC(MOD(($Z529*1103515245 +12345)/ 65536, 32768),0)/32768),0))</f>
        <v>5</v>
      </c>
      <c r="H529" s="16">
        <f t="shared" ca="1" si="33"/>
        <v>-3</v>
      </c>
      <c r="I529" s="153">
        <f ca="1">VLOOKUP($AB$2,'RF Mod'!$A$2:$G$12,3,FALSE)+VLOOKUP($AD$2,'RF Mod'!$I$2:$O$11,3,FALSE)+(TRUNC(6+(24-6)*(TRUNC(MOD(($Z529*1103515245 +12345)/ 65536, 32768),0)/32768),0))</f>
        <v>9</v>
      </c>
      <c r="J529" s="16">
        <f t="shared" ca="1" si="34"/>
        <v>-1</v>
      </c>
      <c r="K529" s="153">
        <f ca="1">VLOOKUP($AB$2,'RF Mod'!$A$2:$G$12,3,FALSE)+VLOOKUP($AD$2,'RF Mod'!$I$2:$O$11,3,FALSE)+(TRUNC(6+(24-6)*(TRUNC(MOD(($Z529*1103515245 +12345)/ 65536, 32768),0)/32768),0))</f>
        <v>9</v>
      </c>
      <c r="L529" s="16">
        <f t="shared" ca="1" si="35"/>
        <v>-1</v>
      </c>
      <c r="M529" s="153">
        <f ca="1">VLOOKUP($AB$2,'RF Mod'!$A$2:$G$12,4,FALSE)+VLOOKUP($AD$2,'RF Mod'!$I$2:$O$11,4,FALSE)+(TRUNC(6+(24-6)*(TRUNC(MOD(($Z529*1103515245 +12345)/ 65536, 32768),0)/32768),0))</f>
        <v>8</v>
      </c>
      <c r="N529" s="16">
        <f t="shared" ca="1" si="36"/>
        <v>-1</v>
      </c>
      <c r="O529" s="153">
        <f ca="1">VLOOKUP($AB$2,'RF Mod'!$A$2:$G$12,5,FALSE)+VLOOKUP($AD$2,'RF Mod'!$I$2:$O$11,5,FALSE)+(TRUNC(6+(24-6)*(TRUNC(MOD(($Z529*1103515245 +12345)/ 65536, 32768),0)/32768),0))</f>
        <v>11</v>
      </c>
      <c r="P529" s="16" t="e">
        <f t="shared" ca="1" si="37"/>
        <v>#NAME?</v>
      </c>
      <c r="Q529" s="153">
        <f ca="1">VLOOKUP($AB$2,'RF Mod'!$A$2:$G$12,6,FALSE)+VLOOKUP($AD$2,'RF Mod'!$I$2:$O$11,6,FALSE)+(TRUNC(6+(24-6)*(TRUNC(MOD(($Z529*1103515245 +12345)/ 65536, 32768),0)/32768),0))</f>
        <v>9</v>
      </c>
      <c r="R529" s="16">
        <f t="shared" ca="1" si="38"/>
        <v>-1</v>
      </c>
      <c r="S529" s="154">
        <f t="shared" ca="1" si="43"/>
        <v>11</v>
      </c>
      <c r="T529" s="154">
        <f t="shared" ca="1" si="39"/>
        <v>10</v>
      </c>
      <c r="U529" s="16" t="str">
        <f t="shared" ca="1" si="40"/>
        <v>Bloody</v>
      </c>
      <c r="V529" s="155">
        <f ca="1">IFERROR(__xludf.DUMMYFUNCTION("if(W529=""Middle Age"",QUERY(NPCVar!$K$2:$N1000, ""Select L where K = '""&amp;AB529&amp;""'""),if(W529=""Old"",QUERY(NPCVar!$K$2:$N1000, ""Select M where K = '""&amp;AB529&amp;""'""),if(W529=""Venerable"",QUERY(NPCVar!$K$2:$N1000, ""Select N where K = '""&amp;AB529&amp;""'""),fa"&amp;"lse)))*X529"),93.75)</f>
        <v>93.75</v>
      </c>
      <c r="W529" s="156" t="str">
        <f t="array" ref="W529">INDEX(NPCAgeType,TRUNC(1+(4-1)*(TRUNC(MOD((X529*1103515245 +12345)/ 65536, 32768),0)/32768),0))</f>
        <v>Middle Age</v>
      </c>
      <c r="X529" s="117">
        <f t="shared" si="45"/>
        <v>0.5</v>
      </c>
      <c r="Y529" s="157" t="e">
        <f t="array" aca="1" ref="Y529" ca="1">LOOKUP(ABS(MAX(Z529 + MIN(ABS(INDIRECT("Class Jobs!B"&amp;MATCH(E529,'Class Jobs'!$A$1:$A1000,0)&amp;":"&amp;"AF"&amp;MATCH(E529,'Class Jobs'!$A$1:$A1000,0)&amp;"")-$Z529)) * SUM(IF(MIN(ABS(INDIRECT("Class Jobs!B"&amp;MATCH(E529,'Class Jobs'!$A$1:$A1000,0)&amp;":"&amp;"AF"&amp;MATCH(E529,'Class Jobs'!$A$1:$A1000,0)&amp;"")-$Z529))=ABS(INDIRECT("Class Jobs!B"&amp;MATCH(E529,'Class Jobs'!$A$1:$A1000,0)&amp;":"&amp;"AF"&amp;MATCH(E529,'Class Jobs'!$A$1:$A1000,0)&amp;"")-$Z529),SIGN(INDIRECT("Class Jobs!B"&amp;MATCH(E529,'Class Jobs'!$A$1:A1000,0)&amp;":"&amp;"AF"&amp;MATCH(E529,'Class Jobs'!$A$1:$A1000,0)&amp;"")-$Z529),0)),0)),INDIRECT("Class Jobs!B"&amp;MATCH(E529,'Class Jobs'!$A$1:$A1000,0)&amp;":"&amp;"AF"&amp;MATCH(E529,'Class Jobs'!$A$1:$A1000,1)&amp;""),'Class Jobs'!$B$1:$AF$1)</f>
        <v>#REF!</v>
      </c>
      <c r="Z529" s="158">
        <f t="shared" si="41"/>
        <v>0.21</v>
      </c>
      <c r="AA529" s="16" t="str">
        <f t="array" ref="AA529">INDEX(NPCGender,TRUNC(1+(COUNTA(NPCGender))*(TRUNC(MOD(($B529*1103515245 +12345)/ 65536, 32768),0)/32768),0))</f>
        <v>Male</v>
      </c>
      <c r="AB529" s="16" t="str">
        <f t="array" ref="AB529">INDEX(NPCRace,TRUNC(1+(COUNTA(NPCRace))*(TRUNC(MOD(($B529*1103515245 +12345)/ 65536, 32768),0)/32768),0))</f>
        <v>Elf</v>
      </c>
      <c r="AC529" s="16" t="str">
        <f t="array" ref="AC529">INDEX(NPCAL,TRUNC(1+(COUNTA(NPCAL))*(TRUNC(MOD(($B529*1103515245 +12345)/ 65536, 32768),0)/32768),0))</f>
        <v>CE</v>
      </c>
      <c r="AD529" s="72" t="str">
        <f ca="1">IFERROR(__xludf.DUMMYFUNCTION("if(V529&lt;15,QUERY(NPCVar!C:D,""Select D WHERE C = '""&amp;D529&amp;""'""),if((TRUNC(1+10)*(TRUNC(MOD((ROW(H529)*1103515245 +12345)/ 65536, 32768),0)/32768)/10) &gt; 0.85,INDEX(NPCFaction,TRUNC(1+(counta(NPCFaction)-1)*(TRUNC(MOD(($B529*1103515245 +12345)/ 65536, 3276"&amp;"8),0)/32768),0)),QUERY(NPCVar!C:D,""Select D WHERE C = '""&amp;D529&amp;""'"")))"),"Necromancer")</f>
        <v>Necromancer</v>
      </c>
      <c r="AE529" s="108" t="e">
        <f t="shared" ca="1" si="42"/>
        <v>#NAME?</v>
      </c>
      <c r="AF529" s="159">
        <f ca="1">IFERROR(__xludf.DUMMYFUNCTION("AE529*(V529 / QUERY(NPCVar!$K$2:$N$12, ""Select N WHERE K='""&amp;AB529&amp;""'""))*TRUNC(1+10)*(TRUNC(MOD(($B529*1103515245 +12345)/ 65536, 32768),0)/32768)"),0)</f>
        <v>0</v>
      </c>
      <c r="AG529" s="16"/>
      <c r="AH529" s="77"/>
      <c r="AI529" s="114"/>
    </row>
    <row r="530" spans="1:35" ht="16.2">
      <c r="A530" s="53">
        <v>529</v>
      </c>
      <c r="B530" s="118">
        <f t="shared" si="44"/>
        <v>1.8896500000000001</v>
      </c>
      <c r="C530" s="72" t="str">
        <f t="array" ref="C530">INDEX(NPCFName,TRUNC(1+(COUNTA(NPCFName))*(TRUNC(MOD(($B530*1103515245 +12345)/ 65536, 32768),0)/32768),0))</f>
        <v>Vinkolt</v>
      </c>
      <c r="D530" s="16" t="str">
        <f t="array" ref="D530">INDEX(NPCLName,TRUNC(1+(COUNTA(NPCLName))*(TRUNC(MOD(($B530*1103515245 +12345)/ 65536, 32768),0)/32768),0))</f>
        <v>Stillspell</v>
      </c>
      <c r="E530" s="16" t="str">
        <f t="array" ref="E530">INDEX(NPCClass,TRUNC(1+(COUNTA(NPCClass))*(TRUNC(MOD(($B530*1103515245 +12345)/ 65536, 32768),0)/32768),0))</f>
        <v>Wizard</v>
      </c>
      <c r="F530" s="76">
        <v>8</v>
      </c>
      <c r="G530" s="153">
        <f ca="1">VLOOKUP($AB$2,'RF Mod'!$A$2:$G$12,2,FALSE)+VLOOKUP($AD$2,'RF Mod'!$I$2:$O$11,2,FALSE)+(TRUNC(6+(24-6)*(TRUNC(MOD(($Z530*1103515245 +12345)/ 65536, 32768),0)/32768),0))</f>
        <v>12</v>
      </c>
      <c r="H530" s="16" t="e">
        <f t="shared" ca="1" si="33"/>
        <v>#NAME?</v>
      </c>
      <c r="I530" s="153">
        <f ca="1">VLOOKUP($AB$2,'RF Mod'!$A$2:$G$12,3,FALSE)+VLOOKUP($AD$2,'RF Mod'!$I$2:$O$11,3,FALSE)+(TRUNC(6+(24-6)*(TRUNC(MOD(($Z530*1103515245 +12345)/ 65536, 32768),0)/32768),0))</f>
        <v>16</v>
      </c>
      <c r="J530" s="16" t="e">
        <f t="shared" ca="1" si="34"/>
        <v>#NAME?</v>
      </c>
      <c r="K530" s="153">
        <f ca="1">VLOOKUP($AB$2,'RF Mod'!$A$2:$G$12,3,FALSE)+VLOOKUP($AD$2,'RF Mod'!$I$2:$O$11,3,FALSE)+(TRUNC(6+(24-6)*(TRUNC(MOD(($Z530*1103515245 +12345)/ 65536, 32768),0)/32768),0))</f>
        <v>16</v>
      </c>
      <c r="L530" s="16" t="e">
        <f t="shared" ca="1" si="35"/>
        <v>#NAME?</v>
      </c>
      <c r="M530" s="153">
        <f ca="1">VLOOKUP($AB$2,'RF Mod'!$A$2:$G$12,4,FALSE)+VLOOKUP($AD$2,'RF Mod'!$I$2:$O$11,4,FALSE)+(TRUNC(6+(24-6)*(TRUNC(MOD(($Z530*1103515245 +12345)/ 65536, 32768),0)/32768),0))</f>
        <v>15</v>
      </c>
      <c r="N530" s="16" t="e">
        <f t="shared" ca="1" si="36"/>
        <v>#NAME?</v>
      </c>
      <c r="O530" s="153">
        <f ca="1">VLOOKUP($AB$2,'RF Mod'!$A$2:$G$12,5,FALSE)+VLOOKUP($AD$2,'RF Mod'!$I$2:$O$11,5,FALSE)+(TRUNC(6+(24-6)*(TRUNC(MOD(($Z530*1103515245 +12345)/ 65536, 32768),0)/32768),0))</f>
        <v>18</v>
      </c>
      <c r="P530" s="16" t="e">
        <f t="shared" ca="1" si="37"/>
        <v>#NAME?</v>
      </c>
      <c r="Q530" s="153">
        <f ca="1">VLOOKUP($AB$2,'RF Mod'!$A$2:$G$12,6,FALSE)+VLOOKUP($AD$2,'RF Mod'!$I$2:$O$11,6,FALSE)+(TRUNC(6+(24-6)*(TRUNC(MOD(($Z530*1103515245 +12345)/ 65536, 32768),0)/32768),0))</f>
        <v>16</v>
      </c>
      <c r="R530" s="16" t="e">
        <f t="shared" ca="1" si="38"/>
        <v>#NAME?</v>
      </c>
      <c r="S530" s="154">
        <f t="shared" ca="1" si="43"/>
        <v>272</v>
      </c>
      <c r="T530" s="154">
        <f t="shared" ca="1" si="39"/>
        <v>64</v>
      </c>
      <c r="U530" s="16" t="str">
        <f t="shared" ca="1" si="40"/>
        <v>Fine</v>
      </c>
      <c r="V530" s="155">
        <f ca="1">IFERROR(__xludf.DUMMYFUNCTION("if(W530=""Middle Age"",QUERY(NPCVar!$K$2:$N1000, ""Select L where K = '""&amp;AB530&amp;""'""),if(W530=""Old"",QUERY(NPCVar!$K$2:$N1000, ""Select M where K = '""&amp;AB530&amp;""'""),if(W530=""Venerable"",QUERY(NPCVar!$K$2:$N1000, ""Select N where K = '""&amp;AB530&amp;""'""),fa"&amp;"lse)))*X530"),72)</f>
        <v>72</v>
      </c>
      <c r="W530" s="156" t="str">
        <f t="array" ref="W530">INDEX(NPCAgeType,TRUNC(1+(4-1)*(TRUNC(MOD((X530*1103515245 +12345)/ 65536, 32768),0)/32768),0))</f>
        <v>Middle Age</v>
      </c>
      <c r="X530" s="117">
        <f t="shared" si="45"/>
        <v>2.4</v>
      </c>
      <c r="Y530" s="157" t="e">
        <f t="array" aca="1" ref="Y530" ca="1">LOOKUP(ABS(MAX(Z530 + MIN(ABS(INDIRECT("Class Jobs!B"&amp;MATCH(E530,'Class Jobs'!$A$1:$A1000,0)&amp;":"&amp;"AF"&amp;MATCH(E530,'Class Jobs'!$A$1:$A1000,0)&amp;"")-$Z530)) * SUM(IF(MIN(ABS(INDIRECT("Class Jobs!B"&amp;MATCH(E530,'Class Jobs'!$A$1:$A1000,0)&amp;":"&amp;"AF"&amp;MATCH(E530,'Class Jobs'!$A$1:$A1000,0)&amp;"")-$Z530))=ABS(INDIRECT("Class Jobs!B"&amp;MATCH(E530,'Class Jobs'!$A$1:$A1000,0)&amp;":"&amp;"AF"&amp;MATCH(E530,'Class Jobs'!$A$1:$A1000,0)&amp;"")-$Z530),SIGN(INDIRECT("Class Jobs!B"&amp;MATCH(E530,'Class Jobs'!$A$1:A1000,0)&amp;":"&amp;"AF"&amp;MATCH(E530,'Class Jobs'!$A$1:$A1000,0)&amp;"")-$Z530),0)),0)),INDIRECT("Class Jobs!B"&amp;MATCH(E530,'Class Jobs'!$A$1:$A1000,0)&amp;":"&amp;"AF"&amp;MATCH(E530,'Class Jobs'!$A$1:$A1000,1)&amp;""),'Class Jobs'!$B$1:$AF$1)</f>
        <v>#REF!</v>
      </c>
      <c r="Z530" s="158">
        <f t="shared" si="41"/>
        <v>0.97</v>
      </c>
      <c r="AA530" s="16" t="str">
        <f t="array" ref="AA530">INDEX(NPCGender,TRUNC(1+(COUNTA(NPCGender))*(TRUNC(MOD(($B530*1103515245 +12345)/ 65536, 32768),0)/32768),0))</f>
        <v>Neutral</v>
      </c>
      <c r="AB530" s="16" t="str">
        <f t="array" ref="AB530">INDEX(NPCRace,TRUNC(1+(COUNTA(NPCRace))*(TRUNC(MOD(($B530*1103515245 +12345)/ 65536, 32768),0)/32768),0))</f>
        <v>Goliath</v>
      </c>
      <c r="AC530" s="16" t="str">
        <f t="array" ref="AC530">INDEX(NPCAL,TRUNC(1+(COUNTA(NPCAL))*(TRUNC(MOD(($B530*1103515245 +12345)/ 65536, 32768),0)/32768),0))</f>
        <v>LE</v>
      </c>
      <c r="AD530" s="72" t="str">
        <f ca="1">IFERROR(__xludf.DUMMYFUNCTION("if(V530&lt;15,QUERY(NPCVar!C:D,""Select D WHERE C = '""&amp;D530&amp;""'""),if((TRUNC(1+10)*(TRUNC(MOD((ROW(H530)*1103515245 +12345)/ 65536, 32768),0)/32768)/10) &gt; 0.85,INDEX(NPCFaction,TRUNC(1+(counta(NPCFaction)-1)*(TRUNC(MOD(($B530*1103515245 +12345)/ 65536, 3276"&amp;"8),0)/32768),0)),QUERY(NPCVar!C:D,""Select D WHERE C = '""&amp;D530&amp;""'"")))"),"Followers of Isis")</f>
        <v>Followers of Isis</v>
      </c>
      <c r="AE530" s="108" t="e">
        <f t="shared" ca="1" si="42"/>
        <v>#NAME?</v>
      </c>
      <c r="AF530" s="159">
        <f ca="1">IFERROR(__xludf.DUMMYFUNCTION("AE530*(V530 / QUERY(NPCVar!$K$2:$N$12, ""Select N WHERE K='""&amp;AB530&amp;""'""))*TRUNC(1+10)*(TRUNC(MOD(($B530*1103515245 +12345)/ 65536, 32768),0)/32768)"),5.76778930664062)</f>
        <v>5.7677893066406201</v>
      </c>
      <c r="AG530" s="16"/>
      <c r="AH530" s="77"/>
      <c r="AI530" s="114"/>
    </row>
    <row r="531" spans="1:35" ht="16.2">
      <c r="A531" s="53">
        <v>530</v>
      </c>
      <c r="B531" s="118">
        <f t="shared" si="44"/>
        <v>0.88378999999999996</v>
      </c>
      <c r="C531" s="72" t="str">
        <f t="array" ref="C531">INDEX(NPCFName,TRUNC(1+(COUNTA(NPCFName))*(TRUNC(MOD(($B531*1103515245 +12345)/ 65536, 32768),0)/32768),0))</f>
        <v>Gibolt</v>
      </c>
      <c r="D531" s="16" t="str">
        <f t="array" ref="D531">INDEX(NPCLName,TRUNC(1+(COUNTA(NPCLName))*(TRUNC(MOD(($B531*1103515245 +12345)/ 65536, 32768),0)/32768),0))</f>
        <v>Saurflame</v>
      </c>
      <c r="E531" s="16" t="str">
        <f t="array" ref="E531">INDEX(NPCClass,TRUNC(1+(COUNTA(NPCClass))*(TRUNC(MOD(($B531*1103515245 +12345)/ 65536, 32768),0)/32768),0))</f>
        <v>Ranger</v>
      </c>
      <c r="F531" s="76">
        <v>8</v>
      </c>
      <c r="G531" s="153">
        <f ca="1">VLOOKUP($AB$2,'RF Mod'!$A$2:$G$12,2,FALSE)+VLOOKUP($AD$2,'RF Mod'!$I$2:$O$11,2,FALSE)+(TRUNC(6+(24-6)*(TRUNC(MOD(($Z531*1103515245 +12345)/ 65536, 32768),0)/32768),0))</f>
        <v>8</v>
      </c>
      <c r="H531" s="16">
        <f t="shared" ca="1" si="33"/>
        <v>-1</v>
      </c>
      <c r="I531" s="153">
        <f ca="1">VLOOKUP($AB$2,'RF Mod'!$A$2:$G$12,3,FALSE)+VLOOKUP($AD$2,'RF Mod'!$I$2:$O$11,3,FALSE)+(TRUNC(6+(24-6)*(TRUNC(MOD(($Z531*1103515245 +12345)/ 65536, 32768),0)/32768),0))</f>
        <v>12</v>
      </c>
      <c r="J531" s="16" t="e">
        <f t="shared" ca="1" si="34"/>
        <v>#NAME?</v>
      </c>
      <c r="K531" s="153">
        <f ca="1">VLOOKUP($AB$2,'RF Mod'!$A$2:$G$12,3,FALSE)+VLOOKUP($AD$2,'RF Mod'!$I$2:$O$11,3,FALSE)+(TRUNC(6+(24-6)*(TRUNC(MOD(($Z531*1103515245 +12345)/ 65536, 32768),0)/32768),0))</f>
        <v>12</v>
      </c>
      <c r="L531" s="16" t="e">
        <f t="shared" ca="1" si="35"/>
        <v>#NAME?</v>
      </c>
      <c r="M531" s="153">
        <f ca="1">VLOOKUP($AB$2,'RF Mod'!$A$2:$G$12,4,FALSE)+VLOOKUP($AD$2,'RF Mod'!$I$2:$O$11,4,FALSE)+(TRUNC(6+(24-6)*(TRUNC(MOD(($Z531*1103515245 +12345)/ 65536, 32768),0)/32768),0))</f>
        <v>11</v>
      </c>
      <c r="N531" s="16" t="e">
        <f t="shared" ca="1" si="36"/>
        <v>#NAME?</v>
      </c>
      <c r="O531" s="153">
        <f ca="1">VLOOKUP($AB$2,'RF Mod'!$A$2:$G$12,5,FALSE)+VLOOKUP($AD$2,'RF Mod'!$I$2:$O$11,5,FALSE)+(TRUNC(6+(24-6)*(TRUNC(MOD(($Z531*1103515245 +12345)/ 65536, 32768),0)/32768),0))</f>
        <v>14</v>
      </c>
      <c r="P531" s="16" t="e">
        <f t="shared" ca="1" si="37"/>
        <v>#NAME?</v>
      </c>
      <c r="Q531" s="153">
        <f ca="1">VLOOKUP($AB$2,'RF Mod'!$A$2:$G$12,6,FALSE)+VLOOKUP($AD$2,'RF Mod'!$I$2:$O$11,6,FALSE)+(TRUNC(6+(24-6)*(TRUNC(MOD(($Z531*1103515245 +12345)/ 65536, 32768),0)/32768),0))</f>
        <v>12</v>
      </c>
      <c r="R531" s="16" t="e">
        <f t="shared" ca="1" si="38"/>
        <v>#NAME?</v>
      </c>
      <c r="S531" s="154">
        <f t="shared" ca="1" si="43"/>
        <v>176</v>
      </c>
      <c r="T531" s="154">
        <f t="shared" ca="1" si="39"/>
        <v>82</v>
      </c>
      <c r="U531" s="16" t="str">
        <f t="shared" ca="1" si="40"/>
        <v>Fine</v>
      </c>
      <c r="V531" s="155">
        <f ca="1">IFERROR(__xludf.DUMMYFUNCTION("if(W531=""Middle Age"",QUERY(NPCVar!$K$2:$N1000, ""Select L where K = '""&amp;AB531&amp;""'""),if(W531=""Old"",QUERY(NPCVar!$K$2:$N1000, ""Select M where K = '""&amp;AB531&amp;""'""),if(W531=""Venerable"",QUERY(NPCVar!$K$2:$N1000, ""Select N where K = '""&amp;AB531&amp;""'""),fa"&amp;"lse)))*X531"),74.25)</f>
        <v>74.25</v>
      </c>
      <c r="W531" s="156" t="str">
        <f t="array" ref="W531">INDEX(NPCAgeType,TRUNC(1+(4-1)*(TRUNC(MOD((X531*1103515245 +12345)/ 65536, 32768),0)/32768),0))</f>
        <v>Old</v>
      </c>
      <c r="X531" s="117">
        <f t="shared" si="45"/>
        <v>1.1000000000000001</v>
      </c>
      <c r="Y531" s="157" t="e">
        <f t="array" aca="1" ref="Y531" ca="1">LOOKUP(ABS(MAX(Z531 + MIN(ABS(INDIRECT("Class Jobs!B"&amp;MATCH(E531,'Class Jobs'!$A$1:$A1000,0)&amp;":"&amp;"AF"&amp;MATCH(E531,'Class Jobs'!$A$1:$A1000,0)&amp;"")-$Z531)) * SUM(IF(MIN(ABS(INDIRECT("Class Jobs!B"&amp;MATCH(E531,'Class Jobs'!$A$1:$A1000,0)&amp;":"&amp;"AF"&amp;MATCH(E531,'Class Jobs'!$A$1:$A1000,0)&amp;"")-$Z531))=ABS(INDIRECT("Class Jobs!B"&amp;MATCH(E531,'Class Jobs'!$A$1:$A1000,0)&amp;":"&amp;"AF"&amp;MATCH(E531,'Class Jobs'!$A$1:$A1000,0)&amp;"")-$Z531),SIGN(INDIRECT("Class Jobs!B"&amp;MATCH(E531,'Class Jobs'!$A$1:A1000,0)&amp;":"&amp;"AF"&amp;MATCH(E531,'Class Jobs'!$A$1:$A1000,0)&amp;"")-$Z531),0)),0)),INDIRECT("Class Jobs!B"&amp;MATCH(E531,'Class Jobs'!$A$1:$A1000,0)&amp;":"&amp;"AF"&amp;MATCH(E531,'Class Jobs'!$A$1:$A1000,1)&amp;""),'Class Jobs'!$B$1:$AF$1)</f>
        <v>#REF!</v>
      </c>
      <c r="Z531" s="158">
        <f t="shared" si="41"/>
        <v>0.45</v>
      </c>
      <c r="AA531" s="16" t="str">
        <f t="array" ref="AA531">INDEX(NPCGender,TRUNC(1+(COUNTA(NPCGender))*(TRUNC(MOD(($B531*1103515245 +12345)/ 65536, 32768),0)/32768),0))</f>
        <v>Female</v>
      </c>
      <c r="AB531" s="16" t="str">
        <f t="array" ref="AB531">INDEX(NPCRace,TRUNC(1+(COUNTA(NPCRace))*(TRUNC(MOD(($B531*1103515245 +12345)/ 65536, 32768),0)/32768),0))</f>
        <v>Half-Elf</v>
      </c>
      <c r="AC531" s="16" t="str">
        <f t="array" ref="AC531">INDEX(NPCAL,TRUNC(1+(COUNTA(NPCAL))*(TRUNC(MOD(($B531*1103515245 +12345)/ 65536, 32768),0)/32768),0))</f>
        <v>NN</v>
      </c>
      <c r="AD531" s="72" t="str">
        <f ca="1">IFERROR(__xludf.DUMMYFUNCTION("if(V531&lt;15,QUERY(NPCVar!C:D,""Select D WHERE C = '""&amp;D531&amp;""'""),if((TRUNC(1+10)*(TRUNC(MOD((ROW(H531)*1103515245 +12345)/ 65536, 32768),0)/32768)/10) &gt; 0.85,INDEX(NPCFaction,TRUNC(1+(counta(NPCFaction)-1)*(TRUNC(MOD(($B531*1103515245 +12345)/ 65536, 3276"&amp;"8),0)/32768),0)),QUERY(NPCVar!C:D,""Select D WHERE C = '""&amp;D531&amp;""'"")))"),"Thieves Guild")</f>
        <v>Thieves Guild</v>
      </c>
      <c r="AE531" s="108" t="e">
        <f t="shared" ca="1" si="42"/>
        <v>#NAME?</v>
      </c>
      <c r="AF531" s="159">
        <f ca="1">IFERROR(__xludf.DUMMYFUNCTION("AE531*(V531 / QUERY(NPCVar!$K$2:$N$12, ""Select N WHERE K='""&amp;AB531&amp;""'""))*TRUNC(1+10)*(TRUNC(MOD(($B531*1103515245 +12345)/ 65536, 32768),0)/32768)"),1.03031215667724)</f>
        <v>1.03031215667724</v>
      </c>
      <c r="AG531" s="16"/>
      <c r="AH531" s="77"/>
      <c r="AI531" s="114"/>
    </row>
    <row r="532" spans="1:35" ht="16.2">
      <c r="A532" s="53">
        <v>531</v>
      </c>
      <c r="B532" s="118">
        <f t="shared" si="44"/>
        <v>2.3779300000000001</v>
      </c>
      <c r="C532" s="72" t="str">
        <f t="array" ref="C532">INDEX(NPCFName,TRUNC(1+(COUNTA(NPCFName))*(TRUNC(MOD(($B532*1103515245 +12345)/ 65536, 32768),0)/32768),0))</f>
        <v>Peitar</v>
      </c>
      <c r="D532" s="16" t="str">
        <f t="array" ref="D532">INDEX(NPCLName,TRUNC(1+(COUNTA(NPCLName))*(TRUNC(MOD(($B532*1103515245 +12345)/ 65536, 32768),0)/32768),0))</f>
        <v>Stillsun</v>
      </c>
      <c r="E532" s="16" t="str">
        <f t="array" ref="E532">INDEX(NPCClass,TRUNC(1+(COUNTA(NPCClass))*(TRUNC(MOD(($B532*1103515245 +12345)/ 65536, 32768),0)/32768),0))</f>
        <v>Druid</v>
      </c>
      <c r="F532" s="76">
        <v>4</v>
      </c>
      <c r="G532" s="153">
        <f ca="1">VLOOKUP($AB$2,'RF Mod'!$A$2:$G$12,2,FALSE)+VLOOKUP($AD$2,'RF Mod'!$I$2:$O$11,2,FALSE)+(TRUNC(6+(24-6)*(TRUNC(MOD(($Z532*1103515245 +12345)/ 65536, 32768),0)/32768),0))</f>
        <v>6</v>
      </c>
      <c r="H532" s="16">
        <f t="shared" ca="1" si="33"/>
        <v>-2</v>
      </c>
      <c r="I532" s="153">
        <f ca="1">VLOOKUP($AB$2,'RF Mod'!$A$2:$G$12,3,FALSE)+VLOOKUP($AD$2,'RF Mod'!$I$2:$O$11,3,FALSE)+(TRUNC(6+(24-6)*(TRUNC(MOD(($Z532*1103515245 +12345)/ 65536, 32768),0)/32768),0))</f>
        <v>10</v>
      </c>
      <c r="J532" s="16" t="e">
        <f t="shared" ca="1" si="34"/>
        <v>#NAME?</v>
      </c>
      <c r="K532" s="153">
        <f ca="1">VLOOKUP($AB$2,'RF Mod'!$A$2:$G$12,3,FALSE)+VLOOKUP($AD$2,'RF Mod'!$I$2:$O$11,3,FALSE)+(TRUNC(6+(24-6)*(TRUNC(MOD(($Z532*1103515245 +12345)/ 65536, 32768),0)/32768),0))</f>
        <v>10</v>
      </c>
      <c r="L532" s="16" t="e">
        <f t="shared" ca="1" si="35"/>
        <v>#NAME?</v>
      </c>
      <c r="M532" s="153">
        <f ca="1">VLOOKUP($AB$2,'RF Mod'!$A$2:$G$12,4,FALSE)+VLOOKUP($AD$2,'RF Mod'!$I$2:$O$11,4,FALSE)+(TRUNC(6+(24-6)*(TRUNC(MOD(($Z532*1103515245 +12345)/ 65536, 32768),0)/32768),0))</f>
        <v>9</v>
      </c>
      <c r="N532" s="16">
        <f t="shared" ca="1" si="36"/>
        <v>-1</v>
      </c>
      <c r="O532" s="153">
        <f ca="1">VLOOKUP($AB$2,'RF Mod'!$A$2:$G$12,5,FALSE)+VLOOKUP($AD$2,'RF Mod'!$I$2:$O$11,5,FALSE)+(TRUNC(6+(24-6)*(TRUNC(MOD(($Z532*1103515245 +12345)/ 65536, 32768),0)/32768),0))</f>
        <v>12</v>
      </c>
      <c r="P532" s="16" t="e">
        <f t="shared" ca="1" si="37"/>
        <v>#NAME?</v>
      </c>
      <c r="Q532" s="153">
        <f ca="1">VLOOKUP($AB$2,'RF Mod'!$A$2:$G$12,6,FALSE)+VLOOKUP($AD$2,'RF Mod'!$I$2:$O$11,6,FALSE)+(TRUNC(6+(24-6)*(TRUNC(MOD(($Z532*1103515245 +12345)/ 65536, 32768),0)/32768),0))</f>
        <v>10</v>
      </c>
      <c r="R532" s="16" t="e">
        <f t="shared" ca="1" si="38"/>
        <v>#NAME?</v>
      </c>
      <c r="S532" s="154">
        <f t="shared" ca="1" si="43"/>
        <v>56</v>
      </c>
      <c r="T532" s="154">
        <f t="shared" ca="1" si="39"/>
        <v>27</v>
      </c>
      <c r="U532" s="16" t="str">
        <f t="shared" ca="1" si="40"/>
        <v>Fine</v>
      </c>
      <c r="V532" s="155">
        <f ca="1">IFERROR(__xludf.DUMMYFUNCTION("if(W532=""Middle Age"",QUERY(NPCVar!$K$2:$N1000, ""Select L where K = '""&amp;AB532&amp;""'""),if(W532=""Old"",QUERY(NPCVar!$K$2:$N1000, ""Select M where K = '""&amp;AB532&amp;""'""),if(W532=""Venerable"",QUERY(NPCVar!$K$2:$N1000, ""Select N where K = '""&amp;AB532&amp;""'""),fa"&amp;"lse)))*X532"),112.5)</f>
        <v>112.5</v>
      </c>
      <c r="W532" s="156" t="str">
        <f t="array" ref="W532">INDEX(NPCAgeType,TRUNC(1+(4-1)*(TRUNC(MOD((X532*1103515245 +12345)/ 65536, 32768),0)/32768),0))</f>
        <v>Middle Age</v>
      </c>
      <c r="X532" s="117">
        <f t="shared" si="45"/>
        <v>0.6</v>
      </c>
      <c r="Y532" s="157" t="e">
        <f t="array" aca="1" ref="Y532" ca="1">LOOKUP(ABS(MAX(Z532 + MIN(ABS(INDIRECT("Class Jobs!B"&amp;MATCH(E532,'Class Jobs'!$A$1:$A1000,0)&amp;":"&amp;"AF"&amp;MATCH(E532,'Class Jobs'!$A$1:$A1000,0)&amp;"")-$Z532)) * SUM(IF(MIN(ABS(INDIRECT("Class Jobs!B"&amp;MATCH(E532,'Class Jobs'!$A$1:$A1000,0)&amp;":"&amp;"AF"&amp;MATCH(E532,'Class Jobs'!$A$1:$A1000,0)&amp;"")-$Z532))=ABS(INDIRECT("Class Jobs!B"&amp;MATCH(E532,'Class Jobs'!$A$1:$A1000,0)&amp;":"&amp;"AF"&amp;MATCH(E532,'Class Jobs'!$A$1:$A1000,0)&amp;"")-$Z532),SIGN(INDIRECT("Class Jobs!B"&amp;MATCH(E532,'Class Jobs'!$A$1:A1000,0)&amp;":"&amp;"AF"&amp;MATCH(E532,'Class Jobs'!$A$1:$A1000,0)&amp;"")-$Z532),0)),0)),INDIRECT("Class Jobs!B"&amp;MATCH(E532,'Class Jobs'!$A$1:$A1000,0)&amp;":"&amp;"AF"&amp;MATCH(E532,'Class Jobs'!$A$1:$A1000,1)&amp;""),'Class Jobs'!$B$1:$AF$1)</f>
        <v>#REF!</v>
      </c>
      <c r="Z532" s="158">
        <f t="shared" si="41"/>
        <v>0.22</v>
      </c>
      <c r="AA532" s="16" t="str">
        <f t="array" ref="AA532">INDEX(NPCGender,TRUNC(1+(COUNTA(NPCGender))*(TRUNC(MOD(($B532*1103515245 +12345)/ 65536, 32768),0)/32768),0))</f>
        <v>Male</v>
      </c>
      <c r="AB532" s="16" t="str">
        <f t="array" ref="AB532">INDEX(NPCRace,TRUNC(1+(COUNTA(NPCRace))*(TRUNC(MOD(($B532*1103515245 +12345)/ 65536, 32768),0)/32768),0))</f>
        <v>Elf</v>
      </c>
      <c r="AC532" s="16" t="str">
        <f t="array" ref="AC532">INDEX(NPCAL,TRUNC(1+(COUNTA(NPCAL))*(TRUNC(MOD(($B532*1103515245 +12345)/ 65536, 32768),0)/32768),0))</f>
        <v>CE</v>
      </c>
      <c r="AD532" s="72" t="str">
        <f ca="1">IFERROR(__xludf.DUMMYFUNCTION("if(V532&lt;15,QUERY(NPCVar!C:D,""Select D WHERE C = '""&amp;D532&amp;""'""),if((TRUNC(1+10)*(TRUNC(MOD((ROW(H532)*1103515245 +12345)/ 65536, 32768),0)/32768)/10) &gt; 0.85,INDEX(NPCFaction,TRUNC(1+(counta(NPCFaction)-1)*(TRUNC(MOD(($B532*1103515245 +12345)/ 65536, 3276"&amp;"8),0)/32768),0)),QUERY(NPCVar!C:D,""Select D WHERE C = '""&amp;D532&amp;""'"")))"),"Necromancer")</f>
        <v>Necromancer</v>
      </c>
      <c r="AE532" s="108" t="e">
        <f t="shared" ca="1" si="42"/>
        <v>#NAME?</v>
      </c>
      <c r="AF532" s="159">
        <f ca="1">IFERROR(__xludf.DUMMYFUNCTION("AE532*(V532 / QUERY(NPCVar!$K$2:$N$12, ""Select N WHERE K='""&amp;AB532&amp;""'""))*TRUNC(1+10)*(TRUNC(MOD(($B532*1103515245 +12345)/ 65536, 32768),0)/32768)"),0.21970458984375)</f>
        <v>0.21970458984374999</v>
      </c>
      <c r="AG532" s="16"/>
      <c r="AH532" s="77"/>
      <c r="AI532" s="114"/>
    </row>
    <row r="533" spans="1:35" ht="16.2">
      <c r="A533" s="53">
        <v>532</v>
      </c>
      <c r="B533" s="118">
        <f t="shared" si="44"/>
        <v>1.3720699999999999</v>
      </c>
      <c r="C533" s="72" t="str">
        <f t="array" ref="C533">INDEX(NPCFName,TRUNC(1+(COUNTA(NPCFName))*(TRUNC(MOD(($B533*1103515245 +12345)/ 65536, 32768),0)/32768),0))</f>
        <v>Brighton</v>
      </c>
      <c r="D533" s="16" t="str">
        <f t="array" ref="D533">INDEX(NPCLName,TRUNC(1+(COUNTA(NPCLName))*(TRUNC(MOD(($B533*1103515245 +12345)/ 65536, 32768),0)/32768),0))</f>
        <v>Rockspell</v>
      </c>
      <c r="E533" s="16" t="str">
        <f t="array" ref="E533">INDEX(NPCClass,TRUNC(1+(COUNTA(NPCClass))*(TRUNC(MOD(($B533*1103515245 +12345)/ 65536, 32768),0)/32768),0))</f>
        <v>None</v>
      </c>
      <c r="F533" s="76">
        <v>8</v>
      </c>
      <c r="G533" s="153">
        <f ca="1">VLOOKUP($AB$2,'RF Mod'!$A$2:$G$12,2,FALSE)+VLOOKUP($AD$2,'RF Mod'!$I$2:$O$11,2,FALSE)+(TRUNC(6+(24-6)*(TRUNC(MOD(($Z533*1103515245 +12345)/ 65536, 32768),0)/32768),0))</f>
        <v>10</v>
      </c>
      <c r="H533" s="16" t="e">
        <f t="shared" ca="1" si="33"/>
        <v>#NAME?</v>
      </c>
      <c r="I533" s="153">
        <f ca="1">VLOOKUP($AB$2,'RF Mod'!$A$2:$G$12,3,FALSE)+VLOOKUP($AD$2,'RF Mod'!$I$2:$O$11,3,FALSE)+(TRUNC(6+(24-6)*(TRUNC(MOD(($Z533*1103515245 +12345)/ 65536, 32768),0)/32768),0))</f>
        <v>14</v>
      </c>
      <c r="J533" s="16" t="e">
        <f t="shared" ca="1" si="34"/>
        <v>#NAME?</v>
      </c>
      <c r="K533" s="153">
        <f ca="1">VLOOKUP($AB$2,'RF Mod'!$A$2:$G$12,3,FALSE)+VLOOKUP($AD$2,'RF Mod'!$I$2:$O$11,3,FALSE)+(TRUNC(6+(24-6)*(TRUNC(MOD(($Z533*1103515245 +12345)/ 65536, 32768),0)/32768),0))</f>
        <v>14</v>
      </c>
      <c r="L533" s="16" t="e">
        <f t="shared" ca="1" si="35"/>
        <v>#NAME?</v>
      </c>
      <c r="M533" s="153">
        <f ca="1">VLOOKUP($AB$2,'RF Mod'!$A$2:$G$12,4,FALSE)+VLOOKUP($AD$2,'RF Mod'!$I$2:$O$11,4,FALSE)+(TRUNC(6+(24-6)*(TRUNC(MOD(($Z533*1103515245 +12345)/ 65536, 32768),0)/32768),0))</f>
        <v>13</v>
      </c>
      <c r="N533" s="16" t="e">
        <f t="shared" ca="1" si="36"/>
        <v>#NAME?</v>
      </c>
      <c r="O533" s="153">
        <f ca="1">VLOOKUP($AB$2,'RF Mod'!$A$2:$G$12,5,FALSE)+VLOOKUP($AD$2,'RF Mod'!$I$2:$O$11,5,FALSE)+(TRUNC(6+(24-6)*(TRUNC(MOD(($Z533*1103515245 +12345)/ 65536, 32768),0)/32768),0))</f>
        <v>16</v>
      </c>
      <c r="P533" s="16" t="e">
        <f t="shared" ca="1" si="37"/>
        <v>#NAME?</v>
      </c>
      <c r="Q533" s="153">
        <f ca="1">VLOOKUP($AB$2,'RF Mod'!$A$2:$G$12,6,FALSE)+VLOOKUP($AD$2,'RF Mod'!$I$2:$O$11,6,FALSE)+(TRUNC(6+(24-6)*(TRUNC(MOD(($Z533*1103515245 +12345)/ 65536, 32768),0)/32768),0))</f>
        <v>14</v>
      </c>
      <c r="R533" s="16" t="e">
        <f t="shared" ca="1" si="38"/>
        <v>#NAME?</v>
      </c>
      <c r="S533" s="154">
        <f t="shared" ca="1" si="43"/>
        <v>176</v>
      </c>
      <c r="T533" s="154">
        <f t="shared" ca="1" si="39"/>
        <v>126</v>
      </c>
      <c r="U533" s="16" t="str">
        <f t="shared" ca="1" si="40"/>
        <v>Bloody</v>
      </c>
      <c r="V533" s="155">
        <f ca="1">IFERROR(__xludf.DUMMYFUNCTION("if(W533=""Middle Age"",QUERY(NPCVar!$K$2:$N1000, ""Select L where K = '""&amp;AB533&amp;""'""),if(W533=""Old"",QUERY(NPCVar!$K$2:$N1000, ""Select M where K = '""&amp;AB533&amp;""'""),if(W533=""Venerable"",QUERY(NPCVar!$K$2:$N1000, ""Select N where K = '""&amp;AB533&amp;""'""),fa"&amp;"lse)))*X533"),153)</f>
        <v>153</v>
      </c>
      <c r="W533" s="156" t="str">
        <f t="array" ref="W533">INDEX(NPCAgeType,TRUNC(1+(4-1)*(TRUNC(MOD((X533*1103515245 +12345)/ 65536, 32768),0)/32768),0))</f>
        <v>Venerable</v>
      </c>
      <c r="X533" s="117">
        <f t="shared" si="45"/>
        <v>1.7</v>
      </c>
      <c r="Y533" s="157" t="e">
        <f t="array" aca="1" ref="Y533" ca="1">LOOKUP(ABS(MAX(Z533 + MIN(ABS(INDIRECT("Class Jobs!B"&amp;MATCH(E533,'Class Jobs'!$A$1:$A1000,0)&amp;":"&amp;"AF"&amp;MATCH(E533,'Class Jobs'!$A$1:$A1000,0)&amp;"")-$Z533)) * SUM(IF(MIN(ABS(INDIRECT("Class Jobs!B"&amp;MATCH(E533,'Class Jobs'!$A$1:$A1000,0)&amp;":"&amp;"AF"&amp;MATCH(E533,'Class Jobs'!$A$1:$A1000,0)&amp;"")-$Z533))=ABS(INDIRECT("Class Jobs!B"&amp;MATCH(E533,'Class Jobs'!$A$1:$A1000,0)&amp;":"&amp;"AF"&amp;MATCH(E533,'Class Jobs'!$A$1:$A1000,0)&amp;"")-$Z533),SIGN(INDIRECT("Class Jobs!B"&amp;MATCH(E533,'Class Jobs'!$A$1:A1000,0)&amp;":"&amp;"AF"&amp;MATCH(E533,'Class Jobs'!$A$1:$A1000,0)&amp;"")-$Z533),0)),0)),INDIRECT("Class Jobs!B"&amp;MATCH(E533,'Class Jobs'!$A$1:$A1000,0)&amp;":"&amp;"AF"&amp;MATCH(E533,'Class Jobs'!$A$1:$A1000,1)&amp;""),'Class Jobs'!$B$1:$AF$1)</f>
        <v>#REF!</v>
      </c>
      <c r="Z533" s="158">
        <f t="shared" si="41"/>
        <v>0.7</v>
      </c>
      <c r="AA533" s="16" t="str">
        <f t="array" ref="AA533">INDEX(NPCGender,TRUNC(1+(COUNTA(NPCGender))*(TRUNC(MOD(($B533*1103515245 +12345)/ 65536, 32768),0)/32768),0))</f>
        <v>Neutral</v>
      </c>
      <c r="AB533" s="16" t="str">
        <f t="array" ref="AB533">INDEX(NPCRace,TRUNC(1+(COUNTA(NPCRace))*(TRUNC(MOD(($B533*1103515245 +12345)/ 65536, 32768),0)/32768),0))</f>
        <v>Human</v>
      </c>
      <c r="AC533" s="16" t="str">
        <f t="array" ref="AC533">INDEX(NPCAL,TRUNC(1+(COUNTA(NPCAL))*(TRUNC(MOD(($B533*1103515245 +12345)/ 65536, 32768),0)/32768),0))</f>
        <v>LG</v>
      </c>
      <c r="AD533" s="72" t="str">
        <f ca="1">IFERROR(__xludf.DUMMYFUNCTION("if(V533&lt;15,QUERY(NPCVar!C:D,""Select D WHERE C = '""&amp;D533&amp;""'""),if((TRUNC(1+10)*(TRUNC(MOD((ROW(H533)*1103515245 +12345)/ 65536, 32768),0)/32768)/10) &gt; 0.85,INDEX(NPCFaction,TRUNC(1+(counta(NPCFaction)-1)*(TRUNC(MOD(($B533*1103515245 +12345)/ 65536, 3276"&amp;"8),0)/32768),0)),QUERY(NPCVar!C:D,""Select D WHERE C = '""&amp;D533&amp;""'"")))"),"Magic Guild")</f>
        <v>Magic Guild</v>
      </c>
      <c r="AE533" s="108" t="e">
        <f t="shared" ca="1" si="42"/>
        <v>#NAME?</v>
      </c>
      <c r="AF533" s="159">
        <f ca="1">IFERROR(__xludf.DUMMYFUNCTION("AE533*(V533 / QUERY(NPCVar!$K$2:$N$12, ""Select N WHERE K='""&amp;AB533&amp;""'""))*TRUNC(1+10)*(TRUNC(MOD(($B533*1103515245 +12345)/ 65536, 32768),0)/32768)"),6.59219512939453)</f>
        <v>6.59219512939453</v>
      </c>
      <c r="AG533" s="16"/>
      <c r="AH533" s="77"/>
      <c r="AI533" s="114"/>
    </row>
    <row r="534" spans="1:35" ht="16.2">
      <c r="A534" s="53">
        <v>533</v>
      </c>
      <c r="B534" s="118">
        <f t="shared" si="44"/>
        <v>0.36620999999999998</v>
      </c>
      <c r="C534" s="72" t="str">
        <f t="array" ref="C534">INDEX(NPCFName,TRUNC(1+(COUNTA(NPCFName))*(TRUNC(MOD(($B534*1103515245 +12345)/ 65536, 32768),0)/32768),0))</f>
        <v>Mellamo</v>
      </c>
      <c r="D534" s="16" t="str">
        <f t="array" ref="D534">INDEX(NPCLName,TRUNC(1+(COUNTA(NPCLName))*(TRUNC(MOD(($B534*1103515245 +12345)/ 65536, 32768),0)/32768),0))</f>
        <v>Ashcloud</v>
      </c>
      <c r="E534" s="16" t="str">
        <f t="array" ref="E534">INDEX(NPCClass,TRUNC(1+(COUNTA(NPCClass))*(TRUNC(MOD(($B534*1103515245 +12345)/ 65536, 32768),0)/32768),0))</f>
        <v>Druid</v>
      </c>
      <c r="F534" s="76">
        <v>2</v>
      </c>
      <c r="G534" s="153">
        <f ca="1">VLOOKUP($AB$2,'RF Mod'!$A$2:$G$12,2,FALSE)+VLOOKUP($AD$2,'RF Mod'!$I$2:$O$11,2,FALSE)+(TRUNC(6+(24-6)*(TRUNC(MOD(($Z534*1103515245 +12345)/ 65536, 32768),0)/32768),0))</f>
        <v>5</v>
      </c>
      <c r="H534" s="16">
        <f t="shared" ca="1" si="33"/>
        <v>-3</v>
      </c>
      <c r="I534" s="153">
        <f ca="1">VLOOKUP($AB$2,'RF Mod'!$A$2:$G$12,3,FALSE)+VLOOKUP($AD$2,'RF Mod'!$I$2:$O$11,3,FALSE)+(TRUNC(6+(24-6)*(TRUNC(MOD(($Z534*1103515245 +12345)/ 65536, 32768),0)/32768),0))</f>
        <v>9</v>
      </c>
      <c r="J534" s="16">
        <f t="shared" ca="1" si="34"/>
        <v>-1</v>
      </c>
      <c r="K534" s="153">
        <f ca="1">VLOOKUP($AB$2,'RF Mod'!$A$2:$G$12,3,FALSE)+VLOOKUP($AD$2,'RF Mod'!$I$2:$O$11,3,FALSE)+(TRUNC(6+(24-6)*(TRUNC(MOD(($Z534*1103515245 +12345)/ 65536, 32768),0)/32768),0))</f>
        <v>9</v>
      </c>
      <c r="L534" s="16">
        <f t="shared" ca="1" si="35"/>
        <v>-1</v>
      </c>
      <c r="M534" s="153">
        <f ca="1">VLOOKUP($AB$2,'RF Mod'!$A$2:$G$12,4,FALSE)+VLOOKUP($AD$2,'RF Mod'!$I$2:$O$11,4,FALSE)+(TRUNC(6+(24-6)*(TRUNC(MOD(($Z534*1103515245 +12345)/ 65536, 32768),0)/32768),0))</f>
        <v>8</v>
      </c>
      <c r="N534" s="16">
        <f t="shared" ca="1" si="36"/>
        <v>-1</v>
      </c>
      <c r="O534" s="153">
        <f ca="1">VLOOKUP($AB$2,'RF Mod'!$A$2:$G$12,5,FALSE)+VLOOKUP($AD$2,'RF Mod'!$I$2:$O$11,5,FALSE)+(TRUNC(6+(24-6)*(TRUNC(MOD(($Z534*1103515245 +12345)/ 65536, 32768),0)/32768),0))</f>
        <v>11</v>
      </c>
      <c r="P534" s="16" t="e">
        <f t="shared" ca="1" si="37"/>
        <v>#NAME?</v>
      </c>
      <c r="Q534" s="153">
        <f ca="1">VLOOKUP($AB$2,'RF Mod'!$A$2:$G$12,6,FALSE)+VLOOKUP($AD$2,'RF Mod'!$I$2:$O$11,6,FALSE)+(TRUNC(6+(24-6)*(TRUNC(MOD(($Z534*1103515245 +12345)/ 65536, 32768),0)/32768),0))</f>
        <v>9</v>
      </c>
      <c r="R534" s="16">
        <f t="shared" ca="1" si="38"/>
        <v>-1</v>
      </c>
      <c r="S534" s="154">
        <f t="shared" ca="1" si="43"/>
        <v>22</v>
      </c>
      <c r="T534" s="154">
        <f t="shared" ca="1" si="39"/>
        <v>26</v>
      </c>
      <c r="U534" s="16" t="str">
        <f t="shared" ca="1" si="40"/>
        <v>Dead</v>
      </c>
      <c r="V534" s="155">
        <f ca="1">IFERROR(__xludf.DUMMYFUNCTION("if(W534=""Middle Age"",QUERY(NPCVar!$K$2:$N1000, ""Select L where K = '""&amp;AB534&amp;""'""),if(W534=""Old"",QUERY(NPCVar!$K$2:$N1000, ""Select M where K = '""&amp;AB534&amp;""'""),if(W534=""Venerable"",QUERY(NPCVar!$K$2:$N1000, ""Select N where K = '""&amp;AB534&amp;""'""),fa"&amp;"lse)))*X534"),93.75)</f>
        <v>93.75</v>
      </c>
      <c r="W534" s="156" t="str">
        <f t="array" ref="W534">INDEX(NPCAgeType,TRUNC(1+(4-1)*(TRUNC(MOD((X534*1103515245 +12345)/ 65536, 32768),0)/32768),0))</f>
        <v>Middle Age</v>
      </c>
      <c r="X534" s="117">
        <f t="shared" si="45"/>
        <v>0.5</v>
      </c>
      <c r="Y534" s="157" t="e">
        <f t="array" aca="1" ref="Y534" ca="1">LOOKUP(ABS(MAX(Z534 + MIN(ABS(INDIRECT("Class Jobs!B"&amp;MATCH(E534,'Class Jobs'!$A$1:$A1000,0)&amp;":"&amp;"AF"&amp;MATCH(E534,'Class Jobs'!$A$1:$A1000,0)&amp;"")-$Z534)) * SUM(IF(MIN(ABS(INDIRECT("Class Jobs!B"&amp;MATCH(E534,'Class Jobs'!$A$1:$A1000,0)&amp;":"&amp;"AF"&amp;MATCH(E534,'Class Jobs'!$A$1:$A1000,0)&amp;"")-$Z534))=ABS(INDIRECT("Class Jobs!B"&amp;MATCH(E534,'Class Jobs'!$A$1:$A1000,0)&amp;":"&amp;"AF"&amp;MATCH(E534,'Class Jobs'!$A$1:$A1000,0)&amp;"")-$Z534),SIGN(INDIRECT("Class Jobs!B"&amp;MATCH(E534,'Class Jobs'!$A$1:A1000,0)&amp;":"&amp;"AF"&amp;MATCH(E534,'Class Jobs'!$A$1:$A1000,0)&amp;"")-$Z534),0)),0)),INDIRECT("Class Jobs!B"&amp;MATCH(E534,'Class Jobs'!$A$1:$A1000,0)&amp;":"&amp;"AF"&amp;MATCH(E534,'Class Jobs'!$A$1:$A1000,1)&amp;""),'Class Jobs'!$B$1:$AF$1)</f>
        <v>#REF!</v>
      </c>
      <c r="Z534" s="158">
        <f t="shared" si="41"/>
        <v>0.19</v>
      </c>
      <c r="AA534" s="16" t="str">
        <f t="array" ref="AA534">INDEX(NPCGender,TRUNC(1+(COUNTA(NPCGender))*(TRUNC(MOD(($B534*1103515245 +12345)/ 65536, 32768),0)/32768),0))</f>
        <v>Male</v>
      </c>
      <c r="AB534" s="16" t="str">
        <f t="array" ref="AB534">INDEX(NPCRace,TRUNC(1+(COUNTA(NPCRace))*(TRUNC(MOD(($B534*1103515245 +12345)/ 65536, 32768),0)/32768),0))</f>
        <v>Elf</v>
      </c>
      <c r="AC534" s="16" t="str">
        <f t="array" ref="AC534">INDEX(NPCAL,TRUNC(1+(COUNTA(NPCAL))*(TRUNC(MOD(($B534*1103515245 +12345)/ 65536, 32768),0)/32768),0))</f>
        <v>CE</v>
      </c>
      <c r="AD534" s="72" t="str">
        <f ca="1">IFERROR(__xludf.DUMMYFUNCTION("if(V534&lt;15,QUERY(NPCVar!C:D,""Select D WHERE C = '""&amp;D534&amp;""'""),if((TRUNC(1+10)*(TRUNC(MOD((ROW(H534)*1103515245 +12345)/ 65536, 32768),0)/32768)/10) &gt; 0.85,INDEX(NPCFaction,TRUNC(1+(counta(NPCFaction)-1)*(TRUNC(MOD(($B534*1103515245 +12345)/ 65536, 3276"&amp;"8),0)/32768),0)),QUERY(NPCVar!C:D,""Select D WHERE C = '""&amp;D534&amp;""'"")))"),"Magic Guild")</f>
        <v>Magic Guild</v>
      </c>
      <c r="AE534" s="108" t="e">
        <f t="shared" ca="1" si="42"/>
        <v>#NAME?</v>
      </c>
      <c r="AF534" s="159">
        <f ca="1">IFERROR(__xludf.DUMMYFUNCTION("AE534*(V534 / QUERY(NPCVar!$K$2:$N$12, ""Select N WHERE K='""&amp;AB534&amp;""'""))*TRUNC(1+10)*(TRUNC(MOD(($B534*1103515245 +12345)/ 65536, 32768),0)/32768)"),0.155241394042968)</f>
        <v>0.155241394042968</v>
      </c>
      <c r="AG534" s="16"/>
      <c r="AH534" s="77"/>
      <c r="AI534" s="114"/>
    </row>
    <row r="535" spans="1:35" ht="16.2">
      <c r="A535" s="53">
        <v>534</v>
      </c>
      <c r="B535" s="118">
        <f t="shared" si="44"/>
        <v>1.8603499999999999</v>
      </c>
      <c r="C535" s="72" t="str">
        <f t="array" ref="C535">INDEX(NPCFName,TRUNC(1+(COUNTA(NPCFName))*(TRUNC(MOD(($B535*1103515245 +12345)/ 65536, 32768),0)/32768),0))</f>
        <v>Towerlock</v>
      </c>
      <c r="D535" s="16" t="str">
        <f t="array" ref="D535">INDEX(NPCLName,TRUNC(1+(COUNTA(NPCLName))*(TRUNC(MOD(($B535*1103515245 +12345)/ 65536, 32768),0)/32768),0))</f>
        <v>Marblearm</v>
      </c>
      <c r="E535" s="16" t="str">
        <f t="array" ref="E535">INDEX(NPCClass,TRUNC(1+(COUNTA(NPCClass))*(TRUNC(MOD(($B535*1103515245 +12345)/ 65536, 32768),0)/32768),0))</f>
        <v>Wizard</v>
      </c>
      <c r="F535" s="76">
        <v>8</v>
      </c>
      <c r="G535" s="153">
        <f ca="1">VLOOKUP($AB$2,'RF Mod'!$A$2:$G$12,2,FALSE)+VLOOKUP($AD$2,'RF Mod'!$I$2:$O$11,2,FALSE)+(TRUNC(6+(24-6)*(TRUNC(MOD(($Z535*1103515245 +12345)/ 65536, 32768),0)/32768),0))</f>
        <v>12</v>
      </c>
      <c r="H535" s="16" t="e">
        <f t="shared" ca="1" si="33"/>
        <v>#NAME?</v>
      </c>
      <c r="I535" s="153">
        <f ca="1">VLOOKUP($AB$2,'RF Mod'!$A$2:$G$12,3,FALSE)+VLOOKUP($AD$2,'RF Mod'!$I$2:$O$11,3,FALSE)+(TRUNC(6+(24-6)*(TRUNC(MOD(($Z535*1103515245 +12345)/ 65536, 32768),0)/32768),0))</f>
        <v>16</v>
      </c>
      <c r="J535" s="16" t="e">
        <f t="shared" ca="1" si="34"/>
        <v>#NAME?</v>
      </c>
      <c r="K535" s="153">
        <f ca="1">VLOOKUP($AB$2,'RF Mod'!$A$2:$G$12,3,FALSE)+VLOOKUP($AD$2,'RF Mod'!$I$2:$O$11,3,FALSE)+(TRUNC(6+(24-6)*(TRUNC(MOD(($Z535*1103515245 +12345)/ 65536, 32768),0)/32768),0))</f>
        <v>16</v>
      </c>
      <c r="L535" s="16" t="e">
        <f t="shared" ca="1" si="35"/>
        <v>#NAME?</v>
      </c>
      <c r="M535" s="153">
        <f ca="1">VLOOKUP($AB$2,'RF Mod'!$A$2:$G$12,4,FALSE)+VLOOKUP($AD$2,'RF Mod'!$I$2:$O$11,4,FALSE)+(TRUNC(6+(24-6)*(TRUNC(MOD(($Z535*1103515245 +12345)/ 65536, 32768),0)/32768),0))</f>
        <v>15</v>
      </c>
      <c r="N535" s="16" t="e">
        <f t="shared" ca="1" si="36"/>
        <v>#NAME?</v>
      </c>
      <c r="O535" s="153">
        <f ca="1">VLOOKUP($AB$2,'RF Mod'!$A$2:$G$12,5,FALSE)+VLOOKUP($AD$2,'RF Mod'!$I$2:$O$11,5,FALSE)+(TRUNC(6+(24-6)*(TRUNC(MOD(($Z535*1103515245 +12345)/ 65536, 32768),0)/32768),0))</f>
        <v>18</v>
      </c>
      <c r="P535" s="16" t="e">
        <f t="shared" ca="1" si="37"/>
        <v>#NAME?</v>
      </c>
      <c r="Q535" s="153">
        <f ca="1">VLOOKUP($AB$2,'RF Mod'!$A$2:$G$12,6,FALSE)+VLOOKUP($AD$2,'RF Mod'!$I$2:$O$11,6,FALSE)+(TRUNC(6+(24-6)*(TRUNC(MOD(($Z535*1103515245 +12345)/ 65536, 32768),0)/32768),0))</f>
        <v>16</v>
      </c>
      <c r="R535" s="16" t="e">
        <f t="shared" ca="1" si="38"/>
        <v>#NAME?</v>
      </c>
      <c r="S535" s="154">
        <f t="shared" ca="1" si="43"/>
        <v>208</v>
      </c>
      <c r="T535" s="154">
        <f t="shared" ca="1" si="39"/>
        <v>60</v>
      </c>
      <c r="U535" s="16" t="str">
        <f t="shared" ca="1" si="40"/>
        <v>Fine</v>
      </c>
      <c r="V535" s="155">
        <f ca="1">IFERROR(__xludf.DUMMYFUNCTION("if(W535=""Middle Age"",QUERY(NPCVar!$K$2:$N1000, ""Select L where K = '""&amp;AB535&amp;""'""),if(W535=""Old"",QUERY(NPCVar!$K$2:$N1000, ""Select M where K = '""&amp;AB535&amp;""'""),if(W535=""Venerable"",QUERY(NPCVar!$K$2:$N1000, ""Select N where K = '""&amp;AB535&amp;""'""),fa"&amp;"lse)))*X535"),69)</f>
        <v>69</v>
      </c>
      <c r="W535" s="156" t="str">
        <f t="array" ref="W535">INDEX(NPCAgeType,TRUNC(1+(4-1)*(TRUNC(MOD((X535*1103515245 +12345)/ 65536, 32768),0)/32768),0))</f>
        <v>Middle Age</v>
      </c>
      <c r="X535" s="117">
        <f t="shared" si="45"/>
        <v>2.2999999999999998</v>
      </c>
      <c r="Y535" s="157" t="e">
        <f t="array" aca="1" ref="Y535" ca="1">LOOKUP(ABS(MAX(Z535 + MIN(ABS(INDIRECT("Class Jobs!B"&amp;MATCH(E535,'Class Jobs'!$A$1:$A1000,0)&amp;":"&amp;"AF"&amp;MATCH(E535,'Class Jobs'!$A$1:$A1000,0)&amp;"")-$Z535)) * SUM(IF(MIN(ABS(INDIRECT("Class Jobs!B"&amp;MATCH(E535,'Class Jobs'!$A$1:$A1000,0)&amp;":"&amp;"AF"&amp;MATCH(E535,'Class Jobs'!$A$1:$A1000,0)&amp;"")-$Z535))=ABS(INDIRECT("Class Jobs!B"&amp;MATCH(E535,'Class Jobs'!$A$1:$A1000,0)&amp;":"&amp;"AF"&amp;MATCH(E535,'Class Jobs'!$A$1:$A1000,0)&amp;"")-$Z535),SIGN(INDIRECT("Class Jobs!B"&amp;MATCH(E535,'Class Jobs'!$A$1:A1000,0)&amp;":"&amp;"AF"&amp;MATCH(E535,'Class Jobs'!$A$1:$A1000,0)&amp;"")-$Z535),0)),0)),INDIRECT("Class Jobs!B"&amp;MATCH(E535,'Class Jobs'!$A$1:$A1000,0)&amp;":"&amp;"AF"&amp;MATCH(E535,'Class Jobs'!$A$1:$A1000,1)&amp;""),'Class Jobs'!$B$1:$AF$1)</f>
        <v>#REF!</v>
      </c>
      <c r="Z535" s="158">
        <f t="shared" si="41"/>
        <v>0.95</v>
      </c>
      <c r="AA535" s="16" t="str">
        <f t="array" ref="AA535">INDEX(NPCGender,TRUNC(1+(COUNTA(NPCGender))*(TRUNC(MOD(($B535*1103515245 +12345)/ 65536, 32768),0)/32768),0))</f>
        <v>Neutral</v>
      </c>
      <c r="AB535" s="16" t="str">
        <f t="array" ref="AB535">INDEX(NPCRace,TRUNC(1+(COUNTA(NPCRace))*(TRUNC(MOD(($B535*1103515245 +12345)/ 65536, 32768),0)/32768),0))</f>
        <v>Goliath</v>
      </c>
      <c r="AC535" s="16" t="str">
        <f t="array" ref="AC535">INDEX(NPCAL,TRUNC(1+(COUNTA(NPCAL))*(TRUNC(MOD(($B535*1103515245 +12345)/ 65536, 32768),0)/32768),0))</f>
        <v>LE</v>
      </c>
      <c r="AD535" s="72" t="str">
        <f ca="1">IFERROR(__xludf.DUMMYFUNCTION("if(V535&lt;15,QUERY(NPCVar!C:D,""Select D WHERE C = '""&amp;D535&amp;""'""),if((TRUNC(1+10)*(TRUNC(MOD((ROW(H535)*1103515245 +12345)/ 65536, 32768),0)/32768)/10) &gt; 0.85,INDEX(NPCFaction,TRUNC(1+(counta(NPCFaction)-1)*(TRUNC(MOD(($B535*1103515245 +12345)/ 65536, 3276"&amp;"8),0)/32768),0)),QUERY(NPCVar!C:D,""Select D WHERE C = '""&amp;D535&amp;""'"")))"),"Traverlers Guild")</f>
        <v>Traverlers Guild</v>
      </c>
      <c r="AE535" s="108" t="e">
        <f t="shared" ca="1" si="42"/>
        <v>#NAME?</v>
      </c>
      <c r="AF535" s="159">
        <f ca="1">IFERROR(__xludf.DUMMYFUNCTION("AE535*(V535 / QUERY(NPCVar!$K$2:$N$12, ""Select N WHERE K='""&amp;AB535&amp;""'""))*TRUNC(1+10)*(TRUNC(MOD(($B535*1103515245 +12345)/ 65536, 32768),0)/32768)"),3.02323341369628)</f>
        <v>3.0232334136962802</v>
      </c>
      <c r="AG535" s="16"/>
      <c r="AH535" s="77"/>
      <c r="AI535" s="114"/>
    </row>
    <row r="536" spans="1:35" ht="16.2">
      <c r="A536" s="53">
        <v>535</v>
      </c>
      <c r="B536" s="118">
        <f t="shared" si="44"/>
        <v>0.85441999999999996</v>
      </c>
      <c r="C536" s="72" t="str">
        <f t="array" ref="C536">INDEX(NPCFName,TRUNC(1+(COUNTA(NPCFName))*(TRUNC(MOD(($B536*1103515245 +12345)/ 65536, 32768),0)/32768),0))</f>
        <v>Fetmar</v>
      </c>
      <c r="D536" s="16" t="str">
        <f t="array" ref="D536">INDEX(NPCLName,TRUNC(1+(COUNTA(NPCLName))*(TRUNC(MOD(($B536*1103515245 +12345)/ 65536, 32768),0)/32768),0))</f>
        <v>Saurflame</v>
      </c>
      <c r="E536" s="16" t="str">
        <f t="array" ref="E536">INDEX(NPCClass,TRUNC(1+(COUNTA(NPCClass))*(TRUNC(MOD(($B536*1103515245 +12345)/ 65536, 32768),0)/32768),0))</f>
        <v>Ranger</v>
      </c>
      <c r="F536" s="76">
        <v>8</v>
      </c>
      <c r="G536" s="153">
        <f ca="1">VLOOKUP($AB$2,'RF Mod'!$A$2:$G$12,2,FALSE)+VLOOKUP($AD$2,'RF Mod'!$I$2:$O$11,2,FALSE)+(TRUNC(6+(24-6)*(TRUNC(MOD(($Z536*1103515245 +12345)/ 65536, 32768),0)/32768),0))</f>
        <v>8</v>
      </c>
      <c r="H536" s="16">
        <f t="shared" ca="1" si="33"/>
        <v>-1</v>
      </c>
      <c r="I536" s="153">
        <f ca="1">VLOOKUP($AB$2,'RF Mod'!$A$2:$G$12,3,FALSE)+VLOOKUP($AD$2,'RF Mod'!$I$2:$O$11,3,FALSE)+(TRUNC(6+(24-6)*(TRUNC(MOD(($Z536*1103515245 +12345)/ 65536, 32768),0)/32768),0))</f>
        <v>12</v>
      </c>
      <c r="J536" s="16" t="e">
        <f t="shared" ca="1" si="34"/>
        <v>#NAME?</v>
      </c>
      <c r="K536" s="153">
        <f ca="1">VLOOKUP($AB$2,'RF Mod'!$A$2:$G$12,3,FALSE)+VLOOKUP($AD$2,'RF Mod'!$I$2:$O$11,3,FALSE)+(TRUNC(6+(24-6)*(TRUNC(MOD(($Z536*1103515245 +12345)/ 65536, 32768),0)/32768),0))</f>
        <v>12</v>
      </c>
      <c r="L536" s="16" t="e">
        <f t="shared" ca="1" si="35"/>
        <v>#NAME?</v>
      </c>
      <c r="M536" s="153">
        <f ca="1">VLOOKUP($AB$2,'RF Mod'!$A$2:$G$12,4,FALSE)+VLOOKUP($AD$2,'RF Mod'!$I$2:$O$11,4,FALSE)+(TRUNC(6+(24-6)*(TRUNC(MOD(($Z536*1103515245 +12345)/ 65536, 32768),0)/32768),0))</f>
        <v>11</v>
      </c>
      <c r="N536" s="16" t="e">
        <f t="shared" ca="1" si="36"/>
        <v>#NAME?</v>
      </c>
      <c r="O536" s="153">
        <f ca="1">VLOOKUP($AB$2,'RF Mod'!$A$2:$G$12,5,FALSE)+VLOOKUP($AD$2,'RF Mod'!$I$2:$O$11,5,FALSE)+(TRUNC(6+(24-6)*(TRUNC(MOD(($Z536*1103515245 +12345)/ 65536, 32768),0)/32768),0))</f>
        <v>14</v>
      </c>
      <c r="P536" s="16" t="e">
        <f t="shared" ca="1" si="37"/>
        <v>#NAME?</v>
      </c>
      <c r="Q536" s="153">
        <f ca="1">VLOOKUP($AB$2,'RF Mod'!$A$2:$G$12,6,FALSE)+VLOOKUP($AD$2,'RF Mod'!$I$2:$O$11,6,FALSE)+(TRUNC(6+(24-6)*(TRUNC(MOD(($Z536*1103515245 +12345)/ 65536, 32768),0)/32768),0))</f>
        <v>12</v>
      </c>
      <c r="R536" s="16" t="e">
        <f t="shared" ca="1" si="38"/>
        <v>#NAME?</v>
      </c>
      <c r="S536" s="154">
        <f t="shared" ca="1" si="43"/>
        <v>112</v>
      </c>
      <c r="T536" s="154">
        <f t="shared" ca="1" si="39"/>
        <v>65</v>
      </c>
      <c r="U536" s="16" t="str">
        <f t="shared" ca="1" si="40"/>
        <v>Bloody</v>
      </c>
      <c r="V536" s="155">
        <f ca="1">IFERROR(__xludf.DUMMYFUNCTION("if(W536=""Middle Age"",QUERY(NPCVar!$K$2:$N1000, ""Select L where K = '""&amp;AB536&amp;""'""),if(W536=""Old"",QUERY(NPCVar!$K$2:$N1000, ""Select M where K = '""&amp;AB536&amp;""'""),if(W536=""Venerable"",QUERY(NPCVar!$K$2:$N1000, ""Select N where K = '""&amp;AB536&amp;""'""),fa"&amp;"lse)))*X536"),74.25)</f>
        <v>74.25</v>
      </c>
      <c r="W536" s="156" t="str">
        <f t="array" ref="W536">INDEX(NPCAgeType,TRUNC(1+(4-1)*(TRUNC(MOD((X536*1103515245 +12345)/ 65536, 32768),0)/32768),0))</f>
        <v>Old</v>
      </c>
      <c r="X536" s="117">
        <f t="shared" si="45"/>
        <v>1.1000000000000001</v>
      </c>
      <c r="Y536" s="157" t="e">
        <f t="array" aca="1" ref="Y536" ca="1">LOOKUP(ABS(MAX(Z536 + MIN(ABS(INDIRECT("Class Jobs!B"&amp;MATCH(E536,'Class Jobs'!$A$1:$A1000,0)&amp;":"&amp;"AF"&amp;MATCH(E536,'Class Jobs'!$A$1:$A1000,0)&amp;"")-$Z536)) * SUM(IF(MIN(ABS(INDIRECT("Class Jobs!B"&amp;MATCH(E536,'Class Jobs'!$A$1:$A1000,0)&amp;":"&amp;"AF"&amp;MATCH(E536,'Class Jobs'!$A$1:$A1000,0)&amp;"")-$Z536))=ABS(INDIRECT("Class Jobs!B"&amp;MATCH(E536,'Class Jobs'!$A$1:$A1000,0)&amp;":"&amp;"AF"&amp;MATCH(E536,'Class Jobs'!$A$1:$A1000,0)&amp;"")-$Z536),SIGN(INDIRECT("Class Jobs!B"&amp;MATCH(E536,'Class Jobs'!$A$1:A1000,0)&amp;":"&amp;"AF"&amp;MATCH(E536,'Class Jobs'!$A$1:$A1000,0)&amp;"")-$Z536),0)),0)),INDIRECT("Class Jobs!B"&amp;MATCH(E536,'Class Jobs'!$A$1:$A1000,0)&amp;":"&amp;"AF"&amp;MATCH(E536,'Class Jobs'!$A$1:$A1000,1)&amp;""),'Class Jobs'!$B$1:$AF$1)</f>
        <v>#REF!</v>
      </c>
      <c r="Z536" s="158">
        <f t="shared" si="41"/>
        <v>0.44</v>
      </c>
      <c r="AA536" s="16" t="str">
        <f t="array" ref="AA536">INDEX(NPCGender,TRUNC(1+(COUNTA(NPCGender))*(TRUNC(MOD(($B536*1103515245 +12345)/ 65536, 32768),0)/32768),0))</f>
        <v>Female</v>
      </c>
      <c r="AB536" s="16" t="str">
        <f t="array" ref="AB536">INDEX(NPCRace,TRUNC(1+(COUNTA(NPCRace))*(TRUNC(MOD(($B536*1103515245 +12345)/ 65536, 32768),0)/32768),0))</f>
        <v>Half-Elf</v>
      </c>
      <c r="AC536" s="16" t="str">
        <f t="array" ref="AC536">INDEX(NPCAL,TRUNC(1+(COUNTA(NPCAL))*(TRUNC(MOD(($B536*1103515245 +12345)/ 65536, 32768),0)/32768),0))</f>
        <v>NG</v>
      </c>
      <c r="AD536" s="72" t="str">
        <f ca="1">IFERROR(__xludf.DUMMYFUNCTION("if(V536&lt;15,QUERY(NPCVar!C:D,""Select D WHERE C = '""&amp;D536&amp;""'""),if((TRUNC(1+10)*(TRUNC(MOD((ROW(H536)*1103515245 +12345)/ 65536, 32768),0)/32768)/10) &gt; 0.85,INDEX(NPCFaction,TRUNC(1+(counta(NPCFaction)-1)*(TRUNC(MOD(($B536*1103515245 +12345)/ 65536, 3276"&amp;"8),0)/32768),0)),QUERY(NPCVar!C:D,""Select D WHERE C = '""&amp;D536&amp;""'"")))"),"Farmers Guild")</f>
        <v>Farmers Guild</v>
      </c>
      <c r="AE536" s="108" t="e">
        <f t="shared" ca="1" si="42"/>
        <v>#NAME?</v>
      </c>
      <c r="AF536" s="159">
        <f ca="1">IFERROR(__xludf.DUMMYFUNCTION("AE536*(V536 / QUERY(NPCVar!$K$2:$N$12, ""Select N WHERE K='""&amp;AB536&amp;""'""))*TRUNC(1+10)*(TRUNC(MOD(($B536*1103515245 +12345)/ 65536, 32768),0)/32768)"),1.99221839904785)</f>
        <v>1.9922183990478499</v>
      </c>
      <c r="AG536" s="16"/>
      <c r="AH536" s="77"/>
      <c r="AI536" s="114"/>
    </row>
    <row r="537" spans="1:35" ht="16.2">
      <c r="A537" s="53">
        <v>536</v>
      </c>
      <c r="B537" s="118">
        <f t="shared" si="44"/>
        <v>2.3485499999999999</v>
      </c>
      <c r="C537" s="72" t="str">
        <f t="array" ref="C537">INDEX(NPCFName,TRUNC(1+(COUNTA(NPCFName))*(TRUNC(MOD(($B537*1103515245 +12345)/ 65536, 32768),0)/32768),0))</f>
        <v>Nikpal</v>
      </c>
      <c r="D537" s="16" t="str">
        <f t="array" ref="D537">INDEX(NPCLName,TRUNC(1+(COUNTA(NPCLName))*(TRUNC(MOD(($B537*1103515245 +12345)/ 65536, 32768),0)/32768),0))</f>
        <v>Stillsun</v>
      </c>
      <c r="E537" s="16" t="str">
        <f t="array" ref="E537">INDEX(NPCClass,TRUNC(1+(COUNTA(NPCClass))*(TRUNC(MOD(($B537*1103515245 +12345)/ 65536, 32768),0)/32768),0))</f>
        <v>Druid</v>
      </c>
      <c r="F537" s="76">
        <v>1</v>
      </c>
      <c r="G537" s="153">
        <f ca="1">VLOOKUP($AB$2,'RF Mod'!$A$2:$G$12,2,FALSE)+VLOOKUP($AD$2,'RF Mod'!$I$2:$O$11,2,FALSE)+(TRUNC(6+(24-6)*(TRUNC(MOD(($Z537*1103515245 +12345)/ 65536, 32768),0)/32768),0))</f>
        <v>5</v>
      </c>
      <c r="H537" s="16">
        <f t="shared" ca="1" si="33"/>
        <v>-3</v>
      </c>
      <c r="I537" s="153">
        <f ca="1">VLOOKUP($AB$2,'RF Mod'!$A$2:$G$12,3,FALSE)+VLOOKUP($AD$2,'RF Mod'!$I$2:$O$11,3,FALSE)+(TRUNC(6+(24-6)*(TRUNC(MOD(($Z537*1103515245 +12345)/ 65536, 32768),0)/32768),0))</f>
        <v>9</v>
      </c>
      <c r="J537" s="16">
        <f t="shared" ca="1" si="34"/>
        <v>-1</v>
      </c>
      <c r="K537" s="153">
        <f ca="1">VLOOKUP($AB$2,'RF Mod'!$A$2:$G$12,3,FALSE)+VLOOKUP($AD$2,'RF Mod'!$I$2:$O$11,3,FALSE)+(TRUNC(6+(24-6)*(TRUNC(MOD(($Z537*1103515245 +12345)/ 65536, 32768),0)/32768),0))</f>
        <v>9</v>
      </c>
      <c r="L537" s="16">
        <f t="shared" ca="1" si="35"/>
        <v>-1</v>
      </c>
      <c r="M537" s="153">
        <f ca="1">VLOOKUP($AB$2,'RF Mod'!$A$2:$G$12,4,FALSE)+VLOOKUP($AD$2,'RF Mod'!$I$2:$O$11,4,FALSE)+(TRUNC(6+(24-6)*(TRUNC(MOD(($Z537*1103515245 +12345)/ 65536, 32768),0)/32768),0))</f>
        <v>8</v>
      </c>
      <c r="N537" s="16">
        <f t="shared" ca="1" si="36"/>
        <v>-1</v>
      </c>
      <c r="O537" s="153">
        <f ca="1">VLOOKUP($AB$2,'RF Mod'!$A$2:$G$12,5,FALSE)+VLOOKUP($AD$2,'RF Mod'!$I$2:$O$11,5,FALSE)+(TRUNC(6+(24-6)*(TRUNC(MOD(($Z537*1103515245 +12345)/ 65536, 32768),0)/32768),0))</f>
        <v>11</v>
      </c>
      <c r="P537" s="16" t="e">
        <f t="shared" ca="1" si="37"/>
        <v>#NAME?</v>
      </c>
      <c r="Q537" s="153">
        <f ca="1">VLOOKUP($AB$2,'RF Mod'!$A$2:$G$12,6,FALSE)+VLOOKUP($AD$2,'RF Mod'!$I$2:$O$11,6,FALSE)+(TRUNC(6+(24-6)*(TRUNC(MOD(($Z537*1103515245 +12345)/ 65536, 32768),0)/32768),0))</f>
        <v>9</v>
      </c>
      <c r="R537" s="16">
        <f t="shared" ca="1" si="38"/>
        <v>-1</v>
      </c>
      <c r="S537" s="154">
        <f t="shared" ca="1" si="43"/>
        <v>11</v>
      </c>
      <c r="T537" s="154">
        <f t="shared" ca="1" si="39"/>
        <v>3</v>
      </c>
      <c r="U537" s="16" t="str">
        <f t="shared" ca="1" si="40"/>
        <v>Fine</v>
      </c>
      <c r="V537" s="155">
        <f ca="1">IFERROR(__xludf.DUMMYFUNCTION("if(W537=""Middle Age"",QUERY(NPCVar!$K$2:$N1000, ""Select L where K = '""&amp;AB537&amp;""'""),if(W537=""Old"",QUERY(NPCVar!$K$2:$N1000, ""Select M where K = '""&amp;AB537&amp;""'""),if(W537=""Venerable"",QUERY(NPCVar!$K$2:$N1000, ""Select N where K = '""&amp;AB537&amp;""'""),fa"&amp;"lse)))*X537"),93.75)</f>
        <v>93.75</v>
      </c>
      <c r="W537" s="156" t="str">
        <f t="array" ref="W537">INDEX(NPCAgeType,TRUNC(1+(4-1)*(TRUNC(MOD((X537*1103515245 +12345)/ 65536, 32768),0)/32768),0))</f>
        <v>Middle Age</v>
      </c>
      <c r="X537" s="117">
        <f t="shared" si="45"/>
        <v>0.5</v>
      </c>
      <c r="Y537" s="157" t="e">
        <f t="array" aca="1" ref="Y537" ca="1">LOOKUP(ABS(MAX(Z537 + MIN(ABS(INDIRECT("Class Jobs!B"&amp;MATCH(E537,'Class Jobs'!$A$1:$A1000,0)&amp;":"&amp;"AF"&amp;MATCH(E537,'Class Jobs'!$A$1:$A1000,0)&amp;"")-$Z537)) * SUM(IF(MIN(ABS(INDIRECT("Class Jobs!B"&amp;MATCH(E537,'Class Jobs'!$A$1:$A1000,0)&amp;":"&amp;"AF"&amp;MATCH(E537,'Class Jobs'!$A$1:$A1000,0)&amp;"")-$Z537))=ABS(INDIRECT("Class Jobs!B"&amp;MATCH(E537,'Class Jobs'!$A$1:$A1000,0)&amp;":"&amp;"AF"&amp;MATCH(E537,'Class Jobs'!$A$1:$A1000,0)&amp;"")-$Z537),SIGN(INDIRECT("Class Jobs!B"&amp;MATCH(E537,'Class Jobs'!$A$1:A1000,0)&amp;":"&amp;"AF"&amp;MATCH(E537,'Class Jobs'!$A$1:$A1000,0)&amp;"")-$Z537),0)),0)),INDIRECT("Class Jobs!B"&amp;MATCH(E537,'Class Jobs'!$A$1:$A1000,0)&amp;":"&amp;"AF"&amp;MATCH(E537,'Class Jobs'!$A$1:$A1000,1)&amp;""),'Class Jobs'!$B$1:$AF$1)</f>
        <v>#REF!</v>
      </c>
      <c r="Z537" s="158">
        <f t="shared" si="41"/>
        <v>0.21</v>
      </c>
      <c r="AA537" s="16" t="str">
        <f t="array" ref="AA537">INDEX(NPCGender,TRUNC(1+(COUNTA(NPCGender))*(TRUNC(MOD(($B537*1103515245 +12345)/ 65536, 32768),0)/32768),0))</f>
        <v>Male</v>
      </c>
      <c r="AB537" s="16" t="str">
        <f t="array" ref="AB537">INDEX(NPCRace,TRUNC(1+(COUNTA(NPCRace))*(TRUNC(MOD(($B537*1103515245 +12345)/ 65536, 32768),0)/32768),0))</f>
        <v>Elf</v>
      </c>
      <c r="AC537" s="16" t="str">
        <f t="array" ref="AC537">INDEX(NPCAL,TRUNC(1+(COUNTA(NPCAL))*(TRUNC(MOD(($B537*1103515245 +12345)/ 65536, 32768),0)/32768),0))</f>
        <v>CE</v>
      </c>
      <c r="AD537" s="72" t="str">
        <f ca="1">IFERROR(__xludf.DUMMYFUNCTION("if(V537&lt;15,QUERY(NPCVar!C:D,""Select D WHERE C = '""&amp;D537&amp;""'""),if((TRUNC(1+10)*(TRUNC(MOD((ROW(H537)*1103515245 +12345)/ 65536, 32768),0)/32768)/10) &gt; 0.85,INDEX(NPCFaction,TRUNC(1+(counta(NPCFaction)-1)*(TRUNC(MOD(($B537*1103515245 +12345)/ 65536, 3276"&amp;"8),0)/32768),0)),QUERY(NPCVar!C:D,""Select D WHERE C = '""&amp;D537&amp;""'"")))"),"Necromancer")</f>
        <v>Necromancer</v>
      </c>
      <c r="AE537" s="108" t="e">
        <f t="shared" ca="1" si="42"/>
        <v>#NAME?</v>
      </c>
      <c r="AF537" s="159">
        <f ca="1">IFERROR(__xludf.DUMMYFUNCTION("AE537*(V537 / QUERY(NPCVar!$K$2:$N$12, ""Select N WHERE K='""&amp;AB537&amp;""'""))*TRUNC(1+10)*(TRUNC(MOD(($B537*1103515245 +12345)/ 65536, 32768),0)/32768)"),0.0284374237060546)</f>
        <v>2.84374237060546E-2</v>
      </c>
      <c r="AG537" s="16"/>
      <c r="AH537" s="77"/>
      <c r="AI537" s="114"/>
    </row>
    <row r="538" spans="1:35" ht="16.2">
      <c r="A538" s="53">
        <v>537</v>
      </c>
      <c r="B538" s="118">
        <f t="shared" si="44"/>
        <v>1.3427</v>
      </c>
      <c r="C538" s="72" t="str">
        <f t="array" ref="C538">INDEX(NPCFName,TRUNC(1+(COUNTA(NPCFName))*(TRUNC(MOD(($B538*1103515245 +12345)/ 65536, 32768),0)/32768),0))</f>
        <v>Baduk</v>
      </c>
      <c r="D538" s="16" t="str">
        <f t="array" ref="D538">INDEX(NPCLName,TRUNC(1+(COUNTA(NPCLName))*(TRUNC(MOD(($B538*1103515245 +12345)/ 65536, 32768),0)/32768),0))</f>
        <v>Emberhell</v>
      </c>
      <c r="E538" s="16" t="str">
        <f t="array" ref="E538">INDEX(NPCClass,TRUNC(1+(COUNTA(NPCClass))*(TRUNC(MOD(($B538*1103515245 +12345)/ 65536, 32768),0)/32768),0))</f>
        <v>None</v>
      </c>
      <c r="F538" s="76">
        <v>8</v>
      </c>
      <c r="G538" s="153">
        <f ca="1">VLOOKUP($AB$2,'RF Mod'!$A$2:$G$12,2,FALSE)+VLOOKUP($AD$2,'RF Mod'!$I$2:$O$11,2,FALSE)+(TRUNC(6+(24-6)*(TRUNC(MOD(($Z538*1103515245 +12345)/ 65536, 32768),0)/32768),0))</f>
        <v>10</v>
      </c>
      <c r="H538" s="16" t="e">
        <f t="shared" ca="1" si="33"/>
        <v>#NAME?</v>
      </c>
      <c r="I538" s="153">
        <f ca="1">VLOOKUP($AB$2,'RF Mod'!$A$2:$G$12,3,FALSE)+VLOOKUP($AD$2,'RF Mod'!$I$2:$O$11,3,FALSE)+(TRUNC(6+(24-6)*(TRUNC(MOD(($Z538*1103515245 +12345)/ 65536, 32768),0)/32768),0))</f>
        <v>14</v>
      </c>
      <c r="J538" s="16" t="e">
        <f t="shared" ca="1" si="34"/>
        <v>#NAME?</v>
      </c>
      <c r="K538" s="153">
        <f ca="1">VLOOKUP($AB$2,'RF Mod'!$A$2:$G$12,3,FALSE)+VLOOKUP($AD$2,'RF Mod'!$I$2:$O$11,3,FALSE)+(TRUNC(6+(24-6)*(TRUNC(MOD(($Z538*1103515245 +12345)/ 65536, 32768),0)/32768),0))</f>
        <v>14</v>
      </c>
      <c r="L538" s="16" t="e">
        <f t="shared" ca="1" si="35"/>
        <v>#NAME?</v>
      </c>
      <c r="M538" s="153">
        <f ca="1">VLOOKUP($AB$2,'RF Mod'!$A$2:$G$12,4,FALSE)+VLOOKUP($AD$2,'RF Mod'!$I$2:$O$11,4,FALSE)+(TRUNC(6+(24-6)*(TRUNC(MOD(($Z538*1103515245 +12345)/ 65536, 32768),0)/32768),0))</f>
        <v>13</v>
      </c>
      <c r="N538" s="16" t="e">
        <f t="shared" ca="1" si="36"/>
        <v>#NAME?</v>
      </c>
      <c r="O538" s="153">
        <f ca="1">VLOOKUP($AB$2,'RF Mod'!$A$2:$G$12,5,FALSE)+VLOOKUP($AD$2,'RF Mod'!$I$2:$O$11,5,FALSE)+(TRUNC(6+(24-6)*(TRUNC(MOD(($Z538*1103515245 +12345)/ 65536, 32768),0)/32768),0))</f>
        <v>16</v>
      </c>
      <c r="P538" s="16" t="e">
        <f t="shared" ca="1" si="37"/>
        <v>#NAME?</v>
      </c>
      <c r="Q538" s="153">
        <f ca="1">VLOOKUP($AB$2,'RF Mod'!$A$2:$G$12,6,FALSE)+VLOOKUP($AD$2,'RF Mod'!$I$2:$O$11,6,FALSE)+(TRUNC(6+(24-6)*(TRUNC(MOD(($Z538*1103515245 +12345)/ 65536, 32768),0)/32768),0))</f>
        <v>14</v>
      </c>
      <c r="R538" s="16" t="e">
        <f t="shared" ca="1" si="38"/>
        <v>#NAME?</v>
      </c>
      <c r="S538" s="154">
        <f t="shared" ca="1" si="43"/>
        <v>208</v>
      </c>
      <c r="T538" s="154">
        <f t="shared" ca="1" si="39"/>
        <v>244</v>
      </c>
      <c r="U538" s="16" t="str">
        <f t="shared" ca="1" si="40"/>
        <v>Dead</v>
      </c>
      <c r="V538" s="155">
        <f ca="1">IFERROR(__xludf.DUMMYFUNCTION("if(W538=""Middle Age"",QUERY(NPCVar!$K$2:$N1000, ""Select L where K = '""&amp;AB538&amp;""'""),if(W538=""Old"",QUERY(NPCVar!$K$2:$N1000, ""Select M where K = '""&amp;AB538&amp;""'""),if(W538=""Venerable"",QUERY(NPCVar!$K$2:$N1000, ""Select N where K = '""&amp;AB538&amp;""'""),fa"&amp;"lse)))*X538"),153)</f>
        <v>153</v>
      </c>
      <c r="W538" s="156" t="str">
        <f t="array" ref="W538">INDEX(NPCAgeType,TRUNC(1+(4-1)*(TRUNC(MOD((X538*1103515245 +12345)/ 65536, 32768),0)/32768),0))</f>
        <v>Venerable</v>
      </c>
      <c r="X538" s="117">
        <f t="shared" si="45"/>
        <v>1.7</v>
      </c>
      <c r="Y538" s="157" t="e">
        <f t="array" aca="1" ref="Y538" ca="1">LOOKUP(ABS(MAX(Z538 + MIN(ABS(INDIRECT("Class Jobs!B"&amp;MATCH(E538,'Class Jobs'!$A$1:$A1000,0)&amp;":"&amp;"AF"&amp;MATCH(E538,'Class Jobs'!$A$1:$A1000,0)&amp;"")-$Z538)) * SUM(IF(MIN(ABS(INDIRECT("Class Jobs!B"&amp;MATCH(E538,'Class Jobs'!$A$1:$A1000,0)&amp;":"&amp;"AF"&amp;MATCH(E538,'Class Jobs'!$A$1:$A1000,0)&amp;"")-$Z538))=ABS(INDIRECT("Class Jobs!B"&amp;MATCH(E538,'Class Jobs'!$A$1:$A1000,0)&amp;":"&amp;"AF"&amp;MATCH(E538,'Class Jobs'!$A$1:$A1000,0)&amp;"")-$Z538),SIGN(INDIRECT("Class Jobs!B"&amp;MATCH(E538,'Class Jobs'!$A$1:A1000,0)&amp;":"&amp;"AF"&amp;MATCH(E538,'Class Jobs'!$A$1:$A1000,0)&amp;"")-$Z538),0)),0)),INDIRECT("Class Jobs!B"&amp;MATCH(E538,'Class Jobs'!$A$1:$A1000,0)&amp;":"&amp;"AF"&amp;MATCH(E538,'Class Jobs'!$A$1:$A1000,1)&amp;""),'Class Jobs'!$B$1:$AF$1)</f>
        <v>#REF!</v>
      </c>
      <c r="Z538" s="158">
        <f t="shared" si="41"/>
        <v>0.69</v>
      </c>
      <c r="AA538" s="16" t="str">
        <f t="array" ref="AA538">INDEX(NPCGender,TRUNC(1+(COUNTA(NPCGender))*(TRUNC(MOD(($B538*1103515245 +12345)/ 65536, 32768),0)/32768),0))</f>
        <v>Neutral</v>
      </c>
      <c r="AB538" s="16" t="str">
        <f t="array" ref="AB538">INDEX(NPCRace,TRUNC(1+(COUNTA(NPCRace))*(TRUNC(MOD(($B538*1103515245 +12345)/ 65536, 32768),0)/32768),0))</f>
        <v>Human</v>
      </c>
      <c r="AC538" s="16" t="str">
        <f t="array" ref="AC538">INDEX(NPCAL,TRUNC(1+(COUNTA(NPCAL))*(TRUNC(MOD(($B538*1103515245 +12345)/ 65536, 32768),0)/32768),0))</f>
        <v>LG</v>
      </c>
      <c r="AD538" s="72" t="str">
        <f ca="1">IFERROR(__xludf.DUMMYFUNCTION("if(V538&lt;15,QUERY(NPCVar!C:D,""Select D WHERE C = '""&amp;D538&amp;""'""),if((TRUNC(1+10)*(TRUNC(MOD((ROW(H538)*1103515245 +12345)/ 65536, 32768),0)/32768)/10) &gt; 0.85,INDEX(NPCFaction,TRUNC(1+(counta(NPCFaction)-1)*(TRUNC(MOD(($B538*1103515245 +12345)/ 65536, 3276"&amp;"8),0)/32768),0)),QUERY(NPCVar!C:D,""Select D WHERE C = '""&amp;D538&amp;""'"")))"),"Adventures Guild")</f>
        <v>Adventures Guild</v>
      </c>
      <c r="AE538" s="108" t="e">
        <f t="shared" ca="1" si="42"/>
        <v>#NAME?</v>
      </c>
      <c r="AF538" s="159">
        <f ca="1">IFERROR(__xludf.DUMMYFUNCTION("AE538*(V538 / QUERY(NPCVar!$K$2:$N$12, ""Select N WHERE K='""&amp;AB538&amp;""'""))*TRUNC(1+10)*(TRUNC(MOD(($B538*1103515245 +12345)/ 65536, 32768),0)/32768)"),12.901904296875)</f>
        <v>12.901904296874999</v>
      </c>
      <c r="AG538" s="16"/>
      <c r="AH538" s="77"/>
      <c r="AI538" s="114"/>
    </row>
    <row r="539" spans="1:35" ht="16.2">
      <c r="A539" s="53">
        <v>538</v>
      </c>
      <c r="B539" s="118">
        <f t="shared" si="44"/>
        <v>0.33683999999999997</v>
      </c>
      <c r="C539" s="72" t="str">
        <f t="array" ref="C539">INDEX(NPCFName,TRUNC(1+(COUNTA(NPCFName))*(TRUNC(MOD(($B539*1103515245 +12345)/ 65536, 32768),0)/32768),0))</f>
        <v>Lephidiles</v>
      </c>
      <c r="D539" s="16" t="str">
        <f t="array" ref="D539">INDEX(NPCLName,TRUNC(1+(COUNTA(NPCLName))*(TRUNC(MOD(($B539*1103515245 +12345)/ 65536, 32768),0)/32768),0))</f>
        <v>Ashcloud</v>
      </c>
      <c r="E539" s="16" t="str">
        <f t="array" ref="E539">INDEX(NPCClass,TRUNC(1+(COUNTA(NPCClass))*(TRUNC(MOD(($B539*1103515245 +12345)/ 65536, 32768),0)/32768),0))</f>
        <v>Druid</v>
      </c>
      <c r="F539" s="76">
        <v>1</v>
      </c>
      <c r="G539" s="153">
        <f ca="1">VLOOKUP($AB$2,'RF Mod'!$A$2:$G$12,2,FALSE)+VLOOKUP($AD$2,'RF Mod'!$I$2:$O$11,2,FALSE)+(TRUNC(6+(24-6)*(TRUNC(MOD(($Z539*1103515245 +12345)/ 65536, 32768),0)/32768),0))</f>
        <v>5</v>
      </c>
      <c r="H539" s="16">
        <f t="shared" ca="1" si="33"/>
        <v>-3</v>
      </c>
      <c r="I539" s="153">
        <f ca="1">VLOOKUP($AB$2,'RF Mod'!$A$2:$G$12,3,FALSE)+VLOOKUP($AD$2,'RF Mod'!$I$2:$O$11,3,FALSE)+(TRUNC(6+(24-6)*(TRUNC(MOD(($Z539*1103515245 +12345)/ 65536, 32768),0)/32768),0))</f>
        <v>9</v>
      </c>
      <c r="J539" s="16">
        <f t="shared" ca="1" si="34"/>
        <v>-1</v>
      </c>
      <c r="K539" s="153">
        <f ca="1">VLOOKUP($AB$2,'RF Mod'!$A$2:$G$12,3,FALSE)+VLOOKUP($AD$2,'RF Mod'!$I$2:$O$11,3,FALSE)+(TRUNC(6+(24-6)*(TRUNC(MOD(($Z539*1103515245 +12345)/ 65536, 32768),0)/32768),0))</f>
        <v>9</v>
      </c>
      <c r="L539" s="16">
        <f t="shared" ca="1" si="35"/>
        <v>-1</v>
      </c>
      <c r="M539" s="153">
        <f ca="1">VLOOKUP($AB$2,'RF Mod'!$A$2:$G$12,4,FALSE)+VLOOKUP($AD$2,'RF Mod'!$I$2:$O$11,4,FALSE)+(TRUNC(6+(24-6)*(TRUNC(MOD(($Z539*1103515245 +12345)/ 65536, 32768),0)/32768),0))</f>
        <v>8</v>
      </c>
      <c r="N539" s="16">
        <f t="shared" ca="1" si="36"/>
        <v>-1</v>
      </c>
      <c r="O539" s="153">
        <f ca="1">VLOOKUP($AB$2,'RF Mod'!$A$2:$G$12,5,FALSE)+VLOOKUP($AD$2,'RF Mod'!$I$2:$O$11,5,FALSE)+(TRUNC(6+(24-6)*(TRUNC(MOD(($Z539*1103515245 +12345)/ 65536, 32768),0)/32768),0))</f>
        <v>11</v>
      </c>
      <c r="P539" s="16" t="e">
        <f t="shared" ca="1" si="37"/>
        <v>#NAME?</v>
      </c>
      <c r="Q539" s="153">
        <f ca="1">VLOOKUP($AB$2,'RF Mod'!$A$2:$G$12,6,FALSE)+VLOOKUP($AD$2,'RF Mod'!$I$2:$O$11,6,FALSE)+(TRUNC(6+(24-6)*(TRUNC(MOD(($Z539*1103515245 +12345)/ 65536, 32768),0)/32768),0))</f>
        <v>9</v>
      </c>
      <c r="R539" s="16">
        <f t="shared" ca="1" si="38"/>
        <v>-1</v>
      </c>
      <c r="S539" s="154">
        <f t="shared" ca="1" si="43"/>
        <v>11</v>
      </c>
      <c r="T539" s="154">
        <f t="shared" ca="1" si="39"/>
        <v>7</v>
      </c>
      <c r="U539" s="16" t="str">
        <f t="shared" ca="1" si="40"/>
        <v>Bloody</v>
      </c>
      <c r="V539" s="155">
        <f ca="1">IFERROR(__xludf.DUMMYFUNCTION("if(W539=""Middle Age"",QUERY(NPCVar!$K$2:$N1000, ""Select L where K = '""&amp;AB539&amp;""'""),if(W539=""Old"",QUERY(NPCVar!$K$2:$N1000, ""Select M where K = '""&amp;AB539&amp;""'""),if(W539=""Venerable"",QUERY(NPCVar!$K$2:$N1000, ""Select N where K = '""&amp;AB539&amp;""'""),fa"&amp;"lse)))*X539"),40)</f>
        <v>40</v>
      </c>
      <c r="W539" s="156" t="str">
        <f t="array" ref="W539">INDEX(NPCAgeType,TRUNC(1+(4-1)*(TRUNC(MOD((X539*1103515245 +12345)/ 65536, 32768),0)/32768),0))</f>
        <v>Middle Age</v>
      </c>
      <c r="X539" s="117">
        <f t="shared" si="45"/>
        <v>0.5</v>
      </c>
      <c r="Y539" s="157" t="e">
        <f t="array" aca="1" ref="Y539" ca="1">LOOKUP(ABS(MAX(Z539 + MIN(ABS(INDIRECT("Class Jobs!B"&amp;MATCH(E539,'Class Jobs'!$A$1:$A1000,0)&amp;":"&amp;"AF"&amp;MATCH(E539,'Class Jobs'!$A$1:$A1000,0)&amp;"")-$Z539)) * SUM(IF(MIN(ABS(INDIRECT("Class Jobs!B"&amp;MATCH(E539,'Class Jobs'!$A$1:$A1000,0)&amp;":"&amp;"AF"&amp;MATCH(E539,'Class Jobs'!$A$1:$A1000,0)&amp;"")-$Z539))=ABS(INDIRECT("Class Jobs!B"&amp;MATCH(E539,'Class Jobs'!$A$1:$A1000,0)&amp;":"&amp;"AF"&amp;MATCH(E539,'Class Jobs'!$A$1:$A1000,0)&amp;"")-$Z539),SIGN(INDIRECT("Class Jobs!B"&amp;MATCH(E539,'Class Jobs'!$A$1:A1000,0)&amp;":"&amp;"AF"&amp;MATCH(E539,'Class Jobs'!$A$1:$A1000,0)&amp;"")-$Z539),0)),0)),INDIRECT("Class Jobs!B"&amp;MATCH(E539,'Class Jobs'!$A$1:$A1000,0)&amp;":"&amp;"AF"&amp;MATCH(E539,'Class Jobs'!$A$1:$A1000,1)&amp;""),'Class Jobs'!$B$1:$AF$1)</f>
        <v>#REF!</v>
      </c>
      <c r="Z539" s="158">
        <f t="shared" si="41"/>
        <v>0.18</v>
      </c>
      <c r="AA539" s="16" t="str">
        <f t="array" ref="AA539">INDEX(NPCGender,TRUNC(1+(COUNTA(NPCGender))*(TRUNC(MOD(($B539*1103515245 +12345)/ 65536, 32768),0)/32768),0))</f>
        <v>Male</v>
      </c>
      <c r="AB539" s="16" t="str">
        <f t="array" ref="AB539">INDEX(NPCRace,TRUNC(1+(COUNTA(NPCRace))*(TRUNC(MOD(($B539*1103515245 +12345)/ 65536, 32768),0)/32768),0))</f>
        <v>Dwarf</v>
      </c>
      <c r="AC539" s="16" t="str">
        <f t="array" ref="AC539">INDEX(NPCAL,TRUNC(1+(COUNTA(NPCAL))*(TRUNC(MOD(($B539*1103515245 +12345)/ 65536, 32768),0)/32768),0))</f>
        <v>CE</v>
      </c>
      <c r="AD539" s="72" t="str">
        <f ca="1">IFERROR(__xludf.DUMMYFUNCTION("if(V539&lt;15,QUERY(NPCVar!C:D,""Select D WHERE C = '""&amp;D539&amp;""'""),if((TRUNC(1+10)*(TRUNC(MOD((ROW(H539)*1103515245 +12345)/ 65536, 32768),0)/32768)/10) &gt; 0.85,INDEX(NPCFaction,TRUNC(1+(counta(NPCFaction)-1)*(TRUNC(MOD(($B539*1103515245 +12345)/ 65536, 3276"&amp;"8),0)/32768),0)),QUERY(NPCVar!C:D,""Select D WHERE C = '""&amp;D539&amp;""'"")))"),"Necromancer")</f>
        <v>Necromancer</v>
      </c>
      <c r="AE539" s="108" t="e">
        <f t="shared" ca="1" si="42"/>
        <v>#NAME?</v>
      </c>
      <c r="AF539" s="159">
        <f ca="1">IFERROR(__xludf.DUMMYFUNCTION("AE539*(V539 / QUERY(NPCVar!$K$2:$N$12, ""Select N WHERE K='""&amp;AB539&amp;""'""))*TRUNC(1+10)*(TRUNC(MOD(($B539*1103515245 +12345)/ 65536, 32768),0)/32768)"),0.047601318359375)</f>
        <v>4.7601318359374999E-2</v>
      </c>
      <c r="AG539" s="16"/>
      <c r="AH539" s="77"/>
      <c r="AI539" s="114"/>
    </row>
    <row r="540" spans="1:35" ht="16.2">
      <c r="A540" s="53">
        <v>539</v>
      </c>
      <c r="B540" s="118">
        <f t="shared" si="44"/>
        <v>1.8309800000000001</v>
      </c>
      <c r="C540" s="72" t="str">
        <f t="array" ref="C540">INDEX(NPCFName,TRUNC(1+(COUNTA(NPCFName))*(TRUNC(MOD(($B540*1103515245 +12345)/ 65536, 32768),0)/32768),0))</f>
        <v>Suktor</v>
      </c>
      <c r="D540" s="16" t="str">
        <f t="array" ref="D540">INDEX(NPCLName,TRUNC(1+(COUNTA(NPCLName))*(TRUNC(MOD(($B540*1103515245 +12345)/ 65536, 32768),0)/32768),0))</f>
        <v>Marblearm</v>
      </c>
      <c r="E540" s="16" t="str">
        <f t="array" ref="E540">INDEX(NPCClass,TRUNC(1+(COUNTA(NPCClass))*(TRUNC(MOD(($B540*1103515245 +12345)/ 65536, 32768),0)/32768),0))</f>
        <v>Wizard</v>
      </c>
      <c r="F540" s="76">
        <v>8</v>
      </c>
      <c r="G540" s="153">
        <f ca="1">VLOOKUP($AB$2,'RF Mod'!$A$2:$G$12,2,FALSE)+VLOOKUP($AD$2,'RF Mod'!$I$2:$O$11,2,FALSE)+(TRUNC(6+(24-6)*(TRUNC(MOD(($Z540*1103515245 +12345)/ 65536, 32768),0)/32768),0))</f>
        <v>12</v>
      </c>
      <c r="H540" s="16" t="e">
        <f t="shared" ca="1" si="33"/>
        <v>#NAME?</v>
      </c>
      <c r="I540" s="153">
        <f ca="1">VLOOKUP($AB$2,'RF Mod'!$A$2:$G$12,3,FALSE)+VLOOKUP($AD$2,'RF Mod'!$I$2:$O$11,3,FALSE)+(TRUNC(6+(24-6)*(TRUNC(MOD(($Z540*1103515245 +12345)/ 65536, 32768),0)/32768),0))</f>
        <v>16</v>
      </c>
      <c r="J540" s="16" t="e">
        <f t="shared" ca="1" si="34"/>
        <v>#NAME?</v>
      </c>
      <c r="K540" s="153">
        <f ca="1">VLOOKUP($AB$2,'RF Mod'!$A$2:$G$12,3,FALSE)+VLOOKUP($AD$2,'RF Mod'!$I$2:$O$11,3,FALSE)+(TRUNC(6+(24-6)*(TRUNC(MOD(($Z540*1103515245 +12345)/ 65536, 32768),0)/32768),0))</f>
        <v>16</v>
      </c>
      <c r="L540" s="16" t="e">
        <f t="shared" ca="1" si="35"/>
        <v>#NAME?</v>
      </c>
      <c r="M540" s="153">
        <f ca="1">VLOOKUP($AB$2,'RF Mod'!$A$2:$G$12,4,FALSE)+VLOOKUP($AD$2,'RF Mod'!$I$2:$O$11,4,FALSE)+(TRUNC(6+(24-6)*(TRUNC(MOD(($Z540*1103515245 +12345)/ 65536, 32768),0)/32768),0))</f>
        <v>15</v>
      </c>
      <c r="N540" s="16" t="e">
        <f t="shared" ca="1" si="36"/>
        <v>#NAME?</v>
      </c>
      <c r="O540" s="153">
        <f ca="1">VLOOKUP($AB$2,'RF Mod'!$A$2:$G$12,5,FALSE)+VLOOKUP($AD$2,'RF Mod'!$I$2:$O$11,5,FALSE)+(TRUNC(6+(24-6)*(TRUNC(MOD(($Z540*1103515245 +12345)/ 65536, 32768),0)/32768),0))</f>
        <v>18</v>
      </c>
      <c r="P540" s="16" t="e">
        <f t="shared" ca="1" si="37"/>
        <v>#NAME?</v>
      </c>
      <c r="Q540" s="153">
        <f ca="1">VLOOKUP($AB$2,'RF Mod'!$A$2:$G$12,6,FALSE)+VLOOKUP($AD$2,'RF Mod'!$I$2:$O$11,6,FALSE)+(TRUNC(6+(24-6)*(TRUNC(MOD(($Z540*1103515245 +12345)/ 65536, 32768),0)/32768),0))</f>
        <v>16</v>
      </c>
      <c r="R540" s="16" t="e">
        <f t="shared" ca="1" si="38"/>
        <v>#NAME?</v>
      </c>
      <c r="S540" s="154">
        <f t="shared" ca="1" si="43"/>
        <v>144</v>
      </c>
      <c r="T540" s="154">
        <f t="shared" ca="1" si="39"/>
        <v>38</v>
      </c>
      <c r="U540" s="16" t="str">
        <f t="shared" ca="1" si="40"/>
        <v>Fine</v>
      </c>
      <c r="V540" s="155">
        <f ca="1">IFERROR(__xludf.DUMMYFUNCTION("if(W540=""Middle Age"",QUERY(NPCVar!$K$2:$N1000, ""Select L where K = '""&amp;AB540&amp;""'""),if(W540=""Old"",QUERY(NPCVar!$K$2:$N1000, ""Select M where K = '""&amp;AB540&amp;""'""),if(W540=""Venerable"",QUERY(NPCVar!$K$2:$N1000, ""Select N where K = '""&amp;AB540&amp;""'""),fa"&amp;"lse)))*X540"),69)</f>
        <v>69</v>
      </c>
      <c r="W540" s="156" t="str">
        <f t="array" ref="W540">INDEX(NPCAgeType,TRUNC(1+(4-1)*(TRUNC(MOD((X540*1103515245 +12345)/ 65536, 32768),0)/32768),0))</f>
        <v>Middle Age</v>
      </c>
      <c r="X540" s="117">
        <f t="shared" si="45"/>
        <v>2.2999999999999998</v>
      </c>
      <c r="Y540" s="157" t="e">
        <f t="array" aca="1" ref="Y540" ca="1">LOOKUP(ABS(MAX(Z540 + MIN(ABS(INDIRECT("Class Jobs!B"&amp;MATCH(E540,'Class Jobs'!$A$1:$A1000,0)&amp;":"&amp;"AF"&amp;MATCH(E540,'Class Jobs'!$A$1:$A1000,0)&amp;"")-$Z540)) * SUM(IF(MIN(ABS(INDIRECT("Class Jobs!B"&amp;MATCH(E540,'Class Jobs'!$A$1:$A1000,0)&amp;":"&amp;"AF"&amp;MATCH(E540,'Class Jobs'!$A$1:$A1000,0)&amp;"")-$Z540))=ABS(INDIRECT("Class Jobs!B"&amp;MATCH(E540,'Class Jobs'!$A$1:$A1000,0)&amp;":"&amp;"AF"&amp;MATCH(E540,'Class Jobs'!$A$1:$A1000,0)&amp;"")-$Z540),SIGN(INDIRECT("Class Jobs!B"&amp;MATCH(E540,'Class Jobs'!$A$1:A1000,0)&amp;":"&amp;"AF"&amp;MATCH(E540,'Class Jobs'!$A$1:$A1000,0)&amp;"")-$Z540),0)),0)),INDIRECT("Class Jobs!B"&amp;MATCH(E540,'Class Jobs'!$A$1:$A1000,0)&amp;":"&amp;"AF"&amp;MATCH(E540,'Class Jobs'!$A$1:$A1000,1)&amp;""),'Class Jobs'!$B$1:$AF$1)</f>
        <v>#REF!</v>
      </c>
      <c r="Z540" s="158">
        <f t="shared" si="41"/>
        <v>0.94</v>
      </c>
      <c r="AA540" s="16" t="str">
        <f t="array" ref="AA540">INDEX(NPCGender,TRUNC(1+(COUNTA(NPCGender))*(TRUNC(MOD(($B540*1103515245 +12345)/ 65536, 32768),0)/32768),0))</f>
        <v>Neutral</v>
      </c>
      <c r="AB540" s="16" t="str">
        <f t="array" ref="AB540">INDEX(NPCRace,TRUNC(1+(COUNTA(NPCRace))*(TRUNC(MOD(($B540*1103515245 +12345)/ 65536, 32768),0)/32768),0))</f>
        <v>Goliath</v>
      </c>
      <c r="AC540" s="16" t="str">
        <f t="array" ref="AC540">INDEX(NPCAL,TRUNC(1+(COUNTA(NPCAL))*(TRUNC(MOD(($B540*1103515245 +12345)/ 65536, 32768),0)/32768),0))</f>
        <v>LE</v>
      </c>
      <c r="AD540" s="72" t="str">
        <f ca="1">IFERROR(__xludf.DUMMYFUNCTION("if(V540&lt;15,QUERY(NPCVar!C:D,""Select D WHERE C = '""&amp;D540&amp;""'""),if((TRUNC(1+10)*(TRUNC(MOD((ROW(H540)*1103515245 +12345)/ 65536, 32768),0)/32768)/10) &gt; 0.85,INDEX(NPCFaction,TRUNC(1+(counta(NPCFaction)-1)*(TRUNC(MOD(($B540*1103515245 +12345)/ 65536, 3276"&amp;"8),0)/32768),0)),QUERY(NPCVar!C:D,""Select D WHERE C = '""&amp;D540&amp;""'"")))"),"Thieves Guild")</f>
        <v>Thieves Guild</v>
      </c>
      <c r="AE540" s="108" t="e">
        <f t="shared" ca="1" si="42"/>
        <v>#NAME?</v>
      </c>
      <c r="AF540" s="159">
        <f ca="1">IFERROR(__xludf.DUMMYFUNCTION("AE540*(V540 / QUERY(NPCVar!$K$2:$N$12, ""Select N WHERE K='""&amp;AB540&amp;""'""))*TRUNC(1+10)*(TRUNC(MOD(($B540*1103515245 +12345)/ 65536, 32768),0)/32768)"),5.95092010498046)</f>
        <v>5.9509201049804599</v>
      </c>
      <c r="AG540" s="16"/>
      <c r="AH540" s="77"/>
      <c r="AI540" s="114"/>
    </row>
    <row r="541" spans="1:35" ht="16.2">
      <c r="A541" s="53">
        <v>540</v>
      </c>
      <c r="B541" s="118">
        <f t="shared" si="44"/>
        <v>0.82511999999999996</v>
      </c>
      <c r="C541" s="72" t="str">
        <f t="array" ref="C541">INDEX(NPCFName,TRUNC(1+(COUNTA(NPCFName))*(TRUNC(MOD(($B541*1103515245 +12345)/ 65536, 32768),0)/32768),0))</f>
        <v>Eli</v>
      </c>
      <c r="D541" s="16" t="str">
        <f t="array" ref="D541">INDEX(NPCLName,TRUNC(1+(COUNTA(NPCLName))*(TRUNC(MOD(($B541*1103515245 +12345)/ 65536, 32768),0)/32768),0))</f>
        <v>Windshade</v>
      </c>
      <c r="E541" s="16" t="str">
        <f t="array" ref="E541">INDEX(NPCClass,TRUNC(1+(COUNTA(NPCClass))*(TRUNC(MOD(($B541*1103515245 +12345)/ 65536, 32768),0)/32768),0))</f>
        <v>Ranger</v>
      </c>
      <c r="F541" s="76">
        <v>4</v>
      </c>
      <c r="G541" s="153">
        <f ca="1">VLOOKUP($AB$2,'RF Mod'!$A$2:$G$12,2,FALSE)+VLOOKUP($AD$2,'RF Mod'!$I$2:$O$11,2,FALSE)+(TRUNC(6+(24-6)*(TRUNC(MOD(($Z541*1103515245 +12345)/ 65536, 32768),0)/32768),0))</f>
        <v>7</v>
      </c>
      <c r="H541" s="16">
        <f t="shared" ca="1" si="33"/>
        <v>-2</v>
      </c>
      <c r="I541" s="153">
        <f ca="1">VLOOKUP($AB$2,'RF Mod'!$A$2:$G$12,3,FALSE)+VLOOKUP($AD$2,'RF Mod'!$I$2:$O$11,3,FALSE)+(TRUNC(6+(24-6)*(TRUNC(MOD(($Z541*1103515245 +12345)/ 65536, 32768),0)/32768),0))</f>
        <v>11</v>
      </c>
      <c r="J541" s="16" t="e">
        <f t="shared" ca="1" si="34"/>
        <v>#NAME?</v>
      </c>
      <c r="K541" s="153">
        <f ca="1">VLOOKUP($AB$2,'RF Mod'!$A$2:$G$12,3,FALSE)+VLOOKUP($AD$2,'RF Mod'!$I$2:$O$11,3,FALSE)+(TRUNC(6+(24-6)*(TRUNC(MOD(($Z541*1103515245 +12345)/ 65536, 32768),0)/32768),0))</f>
        <v>11</v>
      </c>
      <c r="L541" s="16" t="e">
        <f t="shared" ca="1" si="35"/>
        <v>#NAME?</v>
      </c>
      <c r="M541" s="153">
        <f ca="1">VLOOKUP($AB$2,'RF Mod'!$A$2:$G$12,4,FALSE)+VLOOKUP($AD$2,'RF Mod'!$I$2:$O$11,4,FALSE)+(TRUNC(6+(24-6)*(TRUNC(MOD(($Z541*1103515245 +12345)/ 65536, 32768),0)/32768),0))</f>
        <v>10</v>
      </c>
      <c r="N541" s="16" t="e">
        <f t="shared" ca="1" si="36"/>
        <v>#NAME?</v>
      </c>
      <c r="O541" s="153">
        <f ca="1">VLOOKUP($AB$2,'RF Mod'!$A$2:$G$12,5,FALSE)+VLOOKUP($AD$2,'RF Mod'!$I$2:$O$11,5,FALSE)+(TRUNC(6+(24-6)*(TRUNC(MOD(($Z541*1103515245 +12345)/ 65536, 32768),0)/32768),0))</f>
        <v>13</v>
      </c>
      <c r="P541" s="16" t="e">
        <f t="shared" ca="1" si="37"/>
        <v>#NAME?</v>
      </c>
      <c r="Q541" s="153">
        <f ca="1">VLOOKUP($AB$2,'RF Mod'!$A$2:$G$12,6,FALSE)+VLOOKUP($AD$2,'RF Mod'!$I$2:$O$11,6,FALSE)+(TRUNC(6+(24-6)*(TRUNC(MOD(($Z541*1103515245 +12345)/ 65536, 32768),0)/32768),0))</f>
        <v>11</v>
      </c>
      <c r="R541" s="16" t="e">
        <f t="shared" ca="1" si="38"/>
        <v>#NAME?</v>
      </c>
      <c r="S541" s="154">
        <f t="shared" ca="1" si="43"/>
        <v>76</v>
      </c>
      <c r="T541" s="154">
        <f t="shared" ca="1" si="39"/>
        <v>59</v>
      </c>
      <c r="U541" s="16" t="str">
        <f t="shared" ca="1" si="40"/>
        <v>Bloody</v>
      </c>
      <c r="V541" s="155">
        <f ca="1">IFERROR(__xludf.DUMMYFUNCTION("if(W541=""Middle Age"",QUERY(NPCVar!$K$2:$N1000, ""Select L where K = '""&amp;AB541&amp;""'""),if(W541=""Old"",QUERY(NPCVar!$K$2:$N1000, ""Select M where K = '""&amp;AB541&amp;""'""),if(W541=""Venerable"",QUERY(NPCVar!$K$2:$N1000, ""Select N where K = '""&amp;AB541&amp;""'""),fa"&amp;"lse)))*X541"),74.25)</f>
        <v>74.25</v>
      </c>
      <c r="W541" s="156" t="str">
        <f t="array" ref="W541">INDEX(NPCAgeType,TRUNC(1+(4-1)*(TRUNC(MOD((X541*1103515245 +12345)/ 65536, 32768),0)/32768),0))</f>
        <v>Old</v>
      </c>
      <c r="X541" s="117">
        <f t="shared" si="45"/>
        <v>1.1000000000000001</v>
      </c>
      <c r="Y541" s="157" t="e">
        <f t="array" aca="1" ref="Y541" ca="1">LOOKUP(ABS(MAX(Z541 + MIN(ABS(INDIRECT("Class Jobs!B"&amp;MATCH(E541,'Class Jobs'!$A$1:$A1000,0)&amp;":"&amp;"AF"&amp;MATCH(E541,'Class Jobs'!$A$1:$A1000,0)&amp;"")-$Z541)) * SUM(IF(MIN(ABS(INDIRECT("Class Jobs!B"&amp;MATCH(E541,'Class Jobs'!$A$1:$A1000,0)&amp;":"&amp;"AF"&amp;MATCH(E541,'Class Jobs'!$A$1:$A1000,0)&amp;"")-$Z541))=ABS(INDIRECT("Class Jobs!B"&amp;MATCH(E541,'Class Jobs'!$A$1:$A1000,0)&amp;":"&amp;"AF"&amp;MATCH(E541,'Class Jobs'!$A$1:$A1000,0)&amp;"")-$Z541),SIGN(INDIRECT("Class Jobs!B"&amp;MATCH(E541,'Class Jobs'!$A$1:A1000,0)&amp;":"&amp;"AF"&amp;MATCH(E541,'Class Jobs'!$A$1:$A1000,0)&amp;"")-$Z541),0)),0)),INDIRECT("Class Jobs!B"&amp;MATCH(E541,'Class Jobs'!$A$1:$A1000,0)&amp;":"&amp;"AF"&amp;MATCH(E541,'Class Jobs'!$A$1:$A1000,1)&amp;""),'Class Jobs'!$B$1:$AF$1)</f>
        <v>#REF!</v>
      </c>
      <c r="Z541" s="158">
        <f t="shared" si="41"/>
        <v>0.42</v>
      </c>
      <c r="AA541" s="16" t="str">
        <f t="array" ref="AA541">INDEX(NPCGender,TRUNC(1+(COUNTA(NPCGender))*(TRUNC(MOD(($B541*1103515245 +12345)/ 65536, 32768),0)/32768),0))</f>
        <v>Female</v>
      </c>
      <c r="AB541" s="16" t="str">
        <f t="array" ref="AB541">INDEX(NPCRace,TRUNC(1+(COUNTA(NPCRace))*(TRUNC(MOD(($B541*1103515245 +12345)/ 65536, 32768),0)/32768),0))</f>
        <v>Half-Elf</v>
      </c>
      <c r="AC541" s="16" t="str">
        <f t="array" ref="AC541">INDEX(NPCAL,TRUNC(1+(COUNTA(NPCAL))*(TRUNC(MOD(($B541*1103515245 +12345)/ 65536, 32768),0)/32768),0))</f>
        <v>NG</v>
      </c>
      <c r="AD541" s="72" t="str">
        <f ca="1">IFERROR(__xludf.DUMMYFUNCTION("if(V541&lt;15,QUERY(NPCVar!C:D,""Select D WHERE C = '""&amp;D541&amp;""'""),if((TRUNC(1+10)*(TRUNC(MOD((ROW(H541)*1103515245 +12345)/ 65536, 32768),0)/32768)/10) &gt; 0.85,INDEX(NPCFaction,TRUNC(1+(counta(NPCFaction)-1)*(TRUNC(MOD(($B541*1103515245 +12345)/ 65536, 3276"&amp;"8),0)/32768),0)),QUERY(NPCVar!C:D,""Select D WHERE C = '""&amp;D541&amp;""'"")))"),"Traders Guild")</f>
        <v>Traders Guild</v>
      </c>
      <c r="AE541" s="108" t="e">
        <f t="shared" ca="1" si="42"/>
        <v>#NAME?</v>
      </c>
      <c r="AF541" s="159">
        <f ca="1">IFERROR(__xludf.DUMMYFUNCTION("AE541*(V541 / QUERY(NPCVar!$K$2:$N$12, ""Select N WHERE K='""&amp;AB541&amp;""'""))*TRUNC(1+10)*(TRUNC(MOD(($B541*1103515245 +12345)/ 65536, 32768),0)/32768)"),0.769524993896484)</f>
        <v>0.76952499389648399</v>
      </c>
      <c r="AG541" s="16"/>
      <c r="AH541" s="77"/>
      <c r="AI541" s="114"/>
    </row>
    <row r="542" spans="1:35" ht="16.2">
      <c r="A542" s="53">
        <v>541</v>
      </c>
      <c r="B542" s="118">
        <f t="shared" si="44"/>
        <v>2.3192599999999999</v>
      </c>
      <c r="C542" s="72" t="str">
        <f t="array" ref="C542">INDEX(NPCFName,TRUNC(1+(COUNTA(NPCFName))*(TRUNC(MOD(($B542*1103515245 +12345)/ 65536, 32768),0)/32768),0))</f>
        <v>Mes'ard</v>
      </c>
      <c r="D542" s="16" t="str">
        <f t="array" ref="D542">INDEX(NPCLName,TRUNC(1+(COUNTA(NPCLName))*(TRUNC(MOD(($B542*1103515245 +12345)/ 65536, 32768),0)/32768),0))</f>
        <v>Ashcloud</v>
      </c>
      <c r="E542" s="16" t="str">
        <f t="array" ref="E542">INDEX(NPCClass,TRUNC(1+(COUNTA(NPCClass))*(TRUNC(MOD(($B542*1103515245 +12345)/ 65536, 32768),0)/32768),0))</f>
        <v>Druid</v>
      </c>
      <c r="F542" s="76">
        <v>1</v>
      </c>
      <c r="G542" s="153">
        <f ca="1">VLOOKUP($AB$2,'RF Mod'!$A$2:$G$12,2,FALSE)+VLOOKUP($AD$2,'RF Mod'!$I$2:$O$11,2,FALSE)+(TRUNC(6+(24-6)*(TRUNC(MOD(($Z542*1103515245 +12345)/ 65536, 32768),0)/32768),0))</f>
        <v>5</v>
      </c>
      <c r="H542" s="16">
        <f t="shared" ca="1" si="33"/>
        <v>-3</v>
      </c>
      <c r="I542" s="153">
        <f ca="1">VLOOKUP($AB$2,'RF Mod'!$A$2:$G$12,3,FALSE)+VLOOKUP($AD$2,'RF Mod'!$I$2:$O$11,3,FALSE)+(TRUNC(6+(24-6)*(TRUNC(MOD(($Z542*1103515245 +12345)/ 65536, 32768),0)/32768),0))</f>
        <v>9</v>
      </c>
      <c r="J542" s="16">
        <f t="shared" ca="1" si="34"/>
        <v>-1</v>
      </c>
      <c r="K542" s="153">
        <f ca="1">VLOOKUP($AB$2,'RF Mod'!$A$2:$G$12,3,FALSE)+VLOOKUP($AD$2,'RF Mod'!$I$2:$O$11,3,FALSE)+(TRUNC(6+(24-6)*(TRUNC(MOD(($Z542*1103515245 +12345)/ 65536, 32768),0)/32768),0))</f>
        <v>9</v>
      </c>
      <c r="L542" s="16">
        <f t="shared" ca="1" si="35"/>
        <v>-1</v>
      </c>
      <c r="M542" s="153">
        <f ca="1">VLOOKUP($AB$2,'RF Mod'!$A$2:$G$12,4,FALSE)+VLOOKUP($AD$2,'RF Mod'!$I$2:$O$11,4,FALSE)+(TRUNC(6+(24-6)*(TRUNC(MOD(($Z542*1103515245 +12345)/ 65536, 32768),0)/32768),0))</f>
        <v>8</v>
      </c>
      <c r="N542" s="16">
        <f t="shared" ca="1" si="36"/>
        <v>-1</v>
      </c>
      <c r="O542" s="153">
        <f ca="1">VLOOKUP($AB$2,'RF Mod'!$A$2:$G$12,5,FALSE)+VLOOKUP($AD$2,'RF Mod'!$I$2:$O$11,5,FALSE)+(TRUNC(6+(24-6)*(TRUNC(MOD(($Z542*1103515245 +12345)/ 65536, 32768),0)/32768),0))</f>
        <v>11</v>
      </c>
      <c r="P542" s="16" t="e">
        <f t="shared" ca="1" si="37"/>
        <v>#NAME?</v>
      </c>
      <c r="Q542" s="153">
        <f ca="1">VLOOKUP($AB$2,'RF Mod'!$A$2:$G$12,6,FALSE)+VLOOKUP($AD$2,'RF Mod'!$I$2:$O$11,6,FALSE)+(TRUNC(6+(24-6)*(TRUNC(MOD(($Z542*1103515245 +12345)/ 65536, 32768),0)/32768),0))</f>
        <v>9</v>
      </c>
      <c r="R542" s="16">
        <f t="shared" ca="1" si="38"/>
        <v>-1</v>
      </c>
      <c r="S542" s="154">
        <f t="shared" ca="1" si="43"/>
        <v>27</v>
      </c>
      <c r="T542" s="154">
        <f t="shared" ca="1" si="39"/>
        <v>5</v>
      </c>
      <c r="U542" s="16" t="str">
        <f t="shared" ca="1" si="40"/>
        <v>Fine</v>
      </c>
      <c r="V542" s="155">
        <f ca="1">IFERROR(__xludf.DUMMYFUNCTION("if(W542=""Middle Age"",QUERY(NPCVar!$K$2:$N1000, ""Select L where K = '""&amp;AB542&amp;""'""),if(W542=""Old"",QUERY(NPCVar!$K$2:$N1000, ""Select M where K = '""&amp;AB542&amp;""'""),if(W542=""Venerable"",QUERY(NPCVar!$K$2:$N1000, ""Select N where K = '""&amp;AB542&amp;""'""),fa"&amp;"lse)))*X542"),93.75)</f>
        <v>93.75</v>
      </c>
      <c r="W542" s="156" t="str">
        <f t="array" ref="W542">INDEX(NPCAgeType,TRUNC(1+(4-1)*(TRUNC(MOD((X542*1103515245 +12345)/ 65536, 32768),0)/32768),0))</f>
        <v>Middle Age</v>
      </c>
      <c r="X542" s="117">
        <f t="shared" si="45"/>
        <v>0.5</v>
      </c>
      <c r="Y542" s="157" t="e">
        <f t="array" aca="1" ref="Y542" ca="1">LOOKUP(ABS(MAX(Z542 + MIN(ABS(INDIRECT("Class Jobs!B"&amp;MATCH(E542,'Class Jobs'!$A$1:$A1000,0)&amp;":"&amp;"AF"&amp;MATCH(E542,'Class Jobs'!$A$1:$A1000,0)&amp;"")-$Z542)) * SUM(IF(MIN(ABS(INDIRECT("Class Jobs!B"&amp;MATCH(E542,'Class Jobs'!$A$1:$A1000,0)&amp;":"&amp;"AF"&amp;MATCH(E542,'Class Jobs'!$A$1:$A1000,0)&amp;"")-$Z542))=ABS(INDIRECT("Class Jobs!B"&amp;MATCH(E542,'Class Jobs'!$A$1:$A1000,0)&amp;":"&amp;"AF"&amp;MATCH(E542,'Class Jobs'!$A$1:$A1000,0)&amp;"")-$Z542),SIGN(INDIRECT("Class Jobs!B"&amp;MATCH(E542,'Class Jobs'!$A$1:A1000,0)&amp;":"&amp;"AF"&amp;MATCH(E542,'Class Jobs'!$A$1:$A1000,0)&amp;"")-$Z542),0)),0)),INDIRECT("Class Jobs!B"&amp;MATCH(E542,'Class Jobs'!$A$1:$A1000,0)&amp;":"&amp;"AF"&amp;MATCH(E542,'Class Jobs'!$A$1:$A1000,1)&amp;""),'Class Jobs'!$B$1:$AF$1)</f>
        <v>#REF!</v>
      </c>
      <c r="Z542" s="158">
        <f t="shared" si="41"/>
        <v>0.19</v>
      </c>
      <c r="AA542" s="16" t="str">
        <f t="array" ref="AA542">INDEX(NPCGender,TRUNC(1+(COUNTA(NPCGender))*(TRUNC(MOD(($B542*1103515245 +12345)/ 65536, 32768),0)/32768),0))</f>
        <v>Male</v>
      </c>
      <c r="AB542" s="16" t="str">
        <f t="array" ref="AB542">INDEX(NPCRace,TRUNC(1+(COUNTA(NPCRace))*(TRUNC(MOD(($B542*1103515245 +12345)/ 65536, 32768),0)/32768),0))</f>
        <v>Elf</v>
      </c>
      <c r="AC542" s="16" t="str">
        <f t="array" ref="AC542">INDEX(NPCAL,TRUNC(1+(COUNTA(NPCAL))*(TRUNC(MOD(($B542*1103515245 +12345)/ 65536, 32768),0)/32768),0))</f>
        <v>CE</v>
      </c>
      <c r="AD542" s="72" t="str">
        <f ca="1">IFERROR(__xludf.DUMMYFUNCTION("if(V542&lt;15,QUERY(NPCVar!C:D,""Select D WHERE C = '""&amp;D542&amp;""'""),if((TRUNC(1+10)*(TRUNC(MOD((ROW(H542)*1103515245 +12345)/ 65536, 32768),0)/32768)/10) &gt; 0.85,INDEX(NPCFaction,TRUNC(1+(counta(NPCFaction)-1)*(TRUNC(MOD(($B542*1103515245 +12345)/ 65536, 3276"&amp;"8),0)/32768),0)),QUERY(NPCVar!C:D,""Select D WHERE C = '""&amp;D542&amp;""'"")))"),"Magic Guild")</f>
        <v>Magic Guild</v>
      </c>
      <c r="AE542" s="108" t="e">
        <f t="shared" ca="1" si="42"/>
        <v>#NAME?</v>
      </c>
      <c r="AF542" s="159">
        <f ca="1">IFERROR(__xludf.DUMMYFUNCTION("AE542*(V542 / QUERY(NPCVar!$K$2:$N$12, ""Select N WHERE K='""&amp;AB542&amp;""'""))*TRUNC(1+10)*(TRUNC(MOD(($B542*1103515245 +12345)/ 65536, 32768),0)/32768)"),-0.0527374267578124)</f>
        <v>-5.27374267578124E-2</v>
      </c>
      <c r="AG542" s="16"/>
      <c r="AH542" s="77"/>
      <c r="AI542" s="114"/>
    </row>
    <row r="543" spans="1:35" ht="16.2">
      <c r="A543" s="53">
        <v>542</v>
      </c>
      <c r="B543" s="118">
        <f t="shared" si="44"/>
        <v>1.3133999999999999</v>
      </c>
      <c r="C543" s="72" t="str">
        <f t="array" ref="C543">INDEX(NPCFName,TRUNC(1+(COUNTA(NPCFName))*(TRUNC(MOD(($B543*1103515245 +12345)/ 65536, 32768),0)/32768),0))</f>
        <v>Albright</v>
      </c>
      <c r="D543" s="16" t="str">
        <f t="array" ref="D543">INDEX(NPCLName,TRUNC(1+(COUNTA(NPCLName))*(TRUNC(MOD(($B543*1103515245 +12345)/ 65536, 32768),0)/32768),0))</f>
        <v>Emberhell</v>
      </c>
      <c r="E543" s="16" t="str">
        <f t="array" ref="E543">INDEX(NPCClass,TRUNC(1+(COUNTA(NPCClass))*(TRUNC(MOD(($B543*1103515245 +12345)/ 65536, 32768),0)/32768),0))</f>
        <v>None</v>
      </c>
      <c r="F543" s="76">
        <v>8</v>
      </c>
      <c r="G543" s="153">
        <f ca="1">VLOOKUP($AB$2,'RF Mod'!$A$2:$G$12,2,FALSE)+VLOOKUP($AD$2,'RF Mod'!$I$2:$O$11,2,FALSE)+(TRUNC(6+(24-6)*(TRUNC(MOD(($Z543*1103515245 +12345)/ 65536, 32768),0)/32768),0))</f>
        <v>10</v>
      </c>
      <c r="H543" s="16" t="e">
        <f t="shared" ca="1" si="33"/>
        <v>#NAME?</v>
      </c>
      <c r="I543" s="153">
        <f ca="1">VLOOKUP($AB$2,'RF Mod'!$A$2:$G$12,3,FALSE)+VLOOKUP($AD$2,'RF Mod'!$I$2:$O$11,3,FALSE)+(TRUNC(6+(24-6)*(TRUNC(MOD(($Z543*1103515245 +12345)/ 65536, 32768),0)/32768),0))</f>
        <v>14</v>
      </c>
      <c r="J543" s="16" t="e">
        <f t="shared" ca="1" si="34"/>
        <v>#NAME?</v>
      </c>
      <c r="K543" s="153">
        <f ca="1">VLOOKUP($AB$2,'RF Mod'!$A$2:$G$12,3,FALSE)+VLOOKUP($AD$2,'RF Mod'!$I$2:$O$11,3,FALSE)+(TRUNC(6+(24-6)*(TRUNC(MOD(($Z543*1103515245 +12345)/ 65536, 32768),0)/32768),0))</f>
        <v>14</v>
      </c>
      <c r="L543" s="16" t="e">
        <f t="shared" ca="1" si="35"/>
        <v>#NAME?</v>
      </c>
      <c r="M543" s="153">
        <f ca="1">VLOOKUP($AB$2,'RF Mod'!$A$2:$G$12,4,FALSE)+VLOOKUP($AD$2,'RF Mod'!$I$2:$O$11,4,FALSE)+(TRUNC(6+(24-6)*(TRUNC(MOD(($Z543*1103515245 +12345)/ 65536, 32768),0)/32768),0))</f>
        <v>13</v>
      </c>
      <c r="N543" s="16" t="e">
        <f t="shared" ca="1" si="36"/>
        <v>#NAME?</v>
      </c>
      <c r="O543" s="153">
        <f ca="1">VLOOKUP($AB$2,'RF Mod'!$A$2:$G$12,5,FALSE)+VLOOKUP($AD$2,'RF Mod'!$I$2:$O$11,5,FALSE)+(TRUNC(6+(24-6)*(TRUNC(MOD(($Z543*1103515245 +12345)/ 65536, 32768),0)/32768),0))</f>
        <v>16</v>
      </c>
      <c r="P543" s="16" t="e">
        <f t="shared" ca="1" si="37"/>
        <v>#NAME?</v>
      </c>
      <c r="Q543" s="153">
        <f ca="1">VLOOKUP($AB$2,'RF Mod'!$A$2:$G$12,6,FALSE)+VLOOKUP($AD$2,'RF Mod'!$I$2:$O$11,6,FALSE)+(TRUNC(6+(24-6)*(TRUNC(MOD(($Z543*1103515245 +12345)/ 65536, 32768),0)/32768),0))</f>
        <v>14</v>
      </c>
      <c r="R543" s="16" t="e">
        <f t="shared" ca="1" si="38"/>
        <v>#NAME?</v>
      </c>
      <c r="S543" s="154">
        <f t="shared" ca="1" si="43"/>
        <v>256</v>
      </c>
      <c r="T543" s="154">
        <f t="shared" ca="1" si="39"/>
        <v>219</v>
      </c>
      <c r="U543" s="16" t="str">
        <f t="shared" ca="1" si="40"/>
        <v>Bloody</v>
      </c>
      <c r="V543" s="155">
        <f ca="1">IFERROR(__xludf.DUMMYFUNCTION("if(W543=""Middle Age"",QUERY(NPCVar!$K$2:$N1000, ""Select L where K = '""&amp;AB543&amp;""'""),if(W543=""Old"",QUERY(NPCVar!$K$2:$N1000, ""Select M where K = '""&amp;AB543&amp;""'""),if(W543=""Venerable"",QUERY(NPCVar!$K$2:$N1000, ""Select N where K = '""&amp;AB543&amp;""'""),fa"&amp;"lse)))*X543"),153)</f>
        <v>153</v>
      </c>
      <c r="W543" s="156" t="str">
        <f t="array" ref="W543">INDEX(NPCAgeType,TRUNC(1+(4-1)*(TRUNC(MOD((X543*1103515245 +12345)/ 65536, 32768),0)/32768),0))</f>
        <v>Venerable</v>
      </c>
      <c r="X543" s="117">
        <f t="shared" si="45"/>
        <v>1.7</v>
      </c>
      <c r="Y543" s="157" t="e">
        <f t="array" aca="1" ref="Y543" ca="1">LOOKUP(ABS(MAX(Z543 + MIN(ABS(INDIRECT("Class Jobs!B"&amp;MATCH(E543,'Class Jobs'!$A$1:$A1000,0)&amp;":"&amp;"AF"&amp;MATCH(E543,'Class Jobs'!$A$1:$A1000,0)&amp;"")-$Z543)) * SUM(IF(MIN(ABS(INDIRECT("Class Jobs!B"&amp;MATCH(E543,'Class Jobs'!$A$1:$A1000,0)&amp;":"&amp;"AF"&amp;MATCH(E543,'Class Jobs'!$A$1:$A1000,0)&amp;"")-$Z543))=ABS(INDIRECT("Class Jobs!B"&amp;MATCH(E543,'Class Jobs'!$A$1:$A1000,0)&amp;":"&amp;"AF"&amp;MATCH(E543,'Class Jobs'!$A$1:$A1000,0)&amp;"")-$Z543),SIGN(INDIRECT("Class Jobs!B"&amp;MATCH(E543,'Class Jobs'!$A$1:A1000,0)&amp;":"&amp;"AF"&amp;MATCH(E543,'Class Jobs'!$A$1:$A1000,0)&amp;"")-$Z543),0)),0)),INDIRECT("Class Jobs!B"&amp;MATCH(E543,'Class Jobs'!$A$1:$A1000,0)&amp;":"&amp;"AF"&amp;MATCH(E543,'Class Jobs'!$A$1:$A1000,1)&amp;""),'Class Jobs'!$B$1:$AF$1)</f>
        <v>#REF!</v>
      </c>
      <c r="Z543" s="158">
        <f t="shared" si="41"/>
        <v>0.67</v>
      </c>
      <c r="AA543" s="16" t="str">
        <f t="array" ref="AA543">INDEX(NPCGender,TRUNC(1+(COUNTA(NPCGender))*(TRUNC(MOD(($B543*1103515245 +12345)/ 65536, 32768),0)/32768),0))</f>
        <v>Neutral</v>
      </c>
      <c r="AB543" s="16" t="str">
        <f t="array" ref="AB543">INDEX(NPCRace,TRUNC(1+(COUNTA(NPCRace))*(TRUNC(MOD(($B543*1103515245 +12345)/ 65536, 32768),0)/32768),0))</f>
        <v>Human</v>
      </c>
      <c r="AC543" s="16" t="str">
        <f t="array" ref="AC543">INDEX(NPCAL,TRUNC(1+(COUNTA(NPCAL))*(TRUNC(MOD(($B543*1103515245 +12345)/ 65536, 32768),0)/32768),0))</f>
        <v>LG</v>
      </c>
      <c r="AD543" s="72" t="str">
        <f ca="1">IFERROR(__xludf.DUMMYFUNCTION("if(V543&lt;15,QUERY(NPCVar!C:D,""Select D WHERE C = '""&amp;D543&amp;""'""),if((TRUNC(1+10)*(TRUNC(MOD((ROW(H543)*1103515245 +12345)/ 65536, 32768),0)/32768)/10) &gt; 0.85,INDEX(NPCFaction,TRUNC(1+(counta(NPCFaction)-1)*(TRUNC(MOD(($B543*1103515245 +12345)/ 65536, 3276"&amp;"8),0)/32768),0)),QUERY(NPCVar!C:D,""Select D WHERE C = '""&amp;D543&amp;""'"")))"),"Adventures Guild")</f>
        <v>Adventures Guild</v>
      </c>
      <c r="AE543" s="108" t="e">
        <f t="shared" ca="1" si="42"/>
        <v>#NAME?</v>
      </c>
      <c r="AF543" s="159">
        <f ca="1">IFERROR(__xludf.DUMMYFUNCTION("AE543*(V543 / QUERY(NPCVar!$K$2:$N$12, ""Select N WHERE K='""&amp;AB543&amp;""'""))*TRUNC(1+10)*(TRUNC(MOD(($B543*1103515245 +12345)/ 65536, 32768),0)/32768)"),7.57233581542968)</f>
        <v>7.57233581542968</v>
      </c>
      <c r="AG543" s="16"/>
      <c r="AH543" s="77"/>
      <c r="AI543" s="114"/>
    </row>
    <row r="544" spans="1:35" ht="16.2">
      <c r="A544" s="53">
        <v>543</v>
      </c>
      <c r="B544" s="118">
        <f t="shared" si="44"/>
        <v>0.30753999999999998</v>
      </c>
      <c r="C544" s="72" t="str">
        <f t="array" ref="C544">INDEX(NPCFName,TRUNC(1+(COUNTA(NPCFName))*(TRUNC(MOD(($B544*1103515245 +12345)/ 65536, 32768),0)/32768),0))</f>
        <v>Keran</v>
      </c>
      <c r="D544" s="16" t="str">
        <f t="array" ref="D544">INDEX(NPCLName,TRUNC(1+(COUNTA(NPCLName))*(TRUNC(MOD(($B544*1103515245 +12345)/ 65536, 32768),0)/32768),0))</f>
        <v>Fistwing</v>
      </c>
      <c r="E544" s="16" t="str">
        <f t="array" ref="E544">INDEX(NPCClass,TRUNC(1+(COUNTA(NPCClass))*(TRUNC(MOD(($B544*1103515245 +12345)/ 65536, 32768),0)/32768),0))</f>
        <v>Bard</v>
      </c>
      <c r="F544" s="76">
        <v>1</v>
      </c>
      <c r="G544" s="153">
        <f ca="1">VLOOKUP($AB$2,'RF Mod'!$A$2:$G$12,2,FALSE)+VLOOKUP($AD$2,'RF Mod'!$I$2:$O$11,2,FALSE)+(TRUNC(6+(24-6)*(TRUNC(MOD(($Z544*1103515245 +12345)/ 65536, 32768),0)/32768),0))</f>
        <v>5</v>
      </c>
      <c r="H544" s="16">
        <f t="shared" ca="1" si="33"/>
        <v>-3</v>
      </c>
      <c r="I544" s="153">
        <f ca="1">VLOOKUP($AB$2,'RF Mod'!$A$2:$G$12,3,FALSE)+VLOOKUP($AD$2,'RF Mod'!$I$2:$O$11,3,FALSE)+(TRUNC(6+(24-6)*(TRUNC(MOD(($Z544*1103515245 +12345)/ 65536, 32768),0)/32768),0))</f>
        <v>9</v>
      </c>
      <c r="J544" s="16">
        <f t="shared" ca="1" si="34"/>
        <v>-1</v>
      </c>
      <c r="K544" s="153">
        <f ca="1">VLOOKUP($AB$2,'RF Mod'!$A$2:$G$12,3,FALSE)+VLOOKUP($AD$2,'RF Mod'!$I$2:$O$11,3,FALSE)+(TRUNC(6+(24-6)*(TRUNC(MOD(($Z544*1103515245 +12345)/ 65536, 32768),0)/32768),0))</f>
        <v>9</v>
      </c>
      <c r="L544" s="16">
        <f t="shared" ca="1" si="35"/>
        <v>-1</v>
      </c>
      <c r="M544" s="153">
        <f ca="1">VLOOKUP($AB$2,'RF Mod'!$A$2:$G$12,4,FALSE)+VLOOKUP($AD$2,'RF Mod'!$I$2:$O$11,4,FALSE)+(TRUNC(6+(24-6)*(TRUNC(MOD(($Z544*1103515245 +12345)/ 65536, 32768),0)/32768),0))</f>
        <v>8</v>
      </c>
      <c r="N544" s="16">
        <f t="shared" ca="1" si="36"/>
        <v>-1</v>
      </c>
      <c r="O544" s="153">
        <f ca="1">VLOOKUP($AB$2,'RF Mod'!$A$2:$G$12,5,FALSE)+VLOOKUP($AD$2,'RF Mod'!$I$2:$O$11,5,FALSE)+(TRUNC(6+(24-6)*(TRUNC(MOD(($Z544*1103515245 +12345)/ 65536, 32768),0)/32768),0))</f>
        <v>11</v>
      </c>
      <c r="P544" s="16" t="e">
        <f t="shared" ca="1" si="37"/>
        <v>#NAME?</v>
      </c>
      <c r="Q544" s="153">
        <f ca="1">VLOOKUP($AB$2,'RF Mod'!$A$2:$G$12,6,FALSE)+VLOOKUP($AD$2,'RF Mod'!$I$2:$O$11,6,FALSE)+(TRUNC(6+(24-6)*(TRUNC(MOD(($Z544*1103515245 +12345)/ 65536, 32768),0)/32768),0))</f>
        <v>9</v>
      </c>
      <c r="R544" s="16">
        <f t="shared" ca="1" si="38"/>
        <v>-1</v>
      </c>
      <c r="S544" s="154">
        <f t="shared" ca="1" si="43"/>
        <v>27</v>
      </c>
      <c r="T544" s="154">
        <f t="shared" ca="1" si="39"/>
        <v>18</v>
      </c>
      <c r="U544" s="16" t="str">
        <f t="shared" ca="1" si="40"/>
        <v>Bloody</v>
      </c>
      <c r="V544" s="155">
        <f ca="1">IFERROR(__xludf.DUMMYFUNCTION("if(W544=""Middle Age"",QUERY(NPCVar!$K$2:$N1000, ""Select L where K = '""&amp;AB544&amp;""'""),if(W544=""Old"",QUERY(NPCVar!$K$2:$N1000, ""Select M where K = '""&amp;AB544&amp;""'""),if(W544=""Venerable"",QUERY(NPCVar!$K$2:$N1000, ""Select N where K = '""&amp;AB544&amp;""'""),fa"&amp;"lse)))*X544"),32)</f>
        <v>32</v>
      </c>
      <c r="W544" s="156" t="str">
        <f t="array" ref="W544">INDEX(NPCAgeType,TRUNC(1+(4-1)*(TRUNC(MOD((X544*1103515245 +12345)/ 65536, 32768),0)/32768),0))</f>
        <v>Middle Age</v>
      </c>
      <c r="X544" s="117">
        <f t="shared" si="45"/>
        <v>0.4</v>
      </c>
      <c r="Y544" s="157" t="e">
        <f t="array" aca="1" ref="Y544" ca="1">LOOKUP(ABS(MAX(Z544 + MIN(ABS(INDIRECT("Class Jobs!B"&amp;MATCH(E544,'Class Jobs'!$A$1:$A1000,0)&amp;":"&amp;"AF"&amp;MATCH(E544,'Class Jobs'!$A$1:$A1000,0)&amp;"")-$Z544)) * SUM(IF(MIN(ABS(INDIRECT("Class Jobs!B"&amp;MATCH(E544,'Class Jobs'!$A$1:$A1000,0)&amp;":"&amp;"AF"&amp;MATCH(E544,'Class Jobs'!$A$1:$A1000,0)&amp;"")-$Z544))=ABS(INDIRECT("Class Jobs!B"&amp;MATCH(E544,'Class Jobs'!$A$1:$A1000,0)&amp;":"&amp;"AF"&amp;MATCH(E544,'Class Jobs'!$A$1:$A1000,0)&amp;"")-$Z544),SIGN(INDIRECT("Class Jobs!B"&amp;MATCH(E544,'Class Jobs'!$A$1:A1000,0)&amp;":"&amp;"AF"&amp;MATCH(E544,'Class Jobs'!$A$1:$A1000,0)&amp;"")-$Z544),0)),0)),INDIRECT("Class Jobs!B"&amp;MATCH(E544,'Class Jobs'!$A$1:$A1000,0)&amp;":"&amp;"AF"&amp;MATCH(E544,'Class Jobs'!$A$1:$A1000,1)&amp;""),'Class Jobs'!$B$1:$AF$1)</f>
        <v>#REF!</v>
      </c>
      <c r="Z544" s="158">
        <f t="shared" si="41"/>
        <v>0.16</v>
      </c>
      <c r="AA544" s="16" t="str">
        <f t="array" ref="AA544">INDEX(NPCGender,TRUNC(1+(COUNTA(NPCGender))*(TRUNC(MOD(($B544*1103515245 +12345)/ 65536, 32768),0)/32768),0))</f>
        <v>Male</v>
      </c>
      <c r="AB544" s="16" t="str">
        <f t="array" ref="AB544">INDEX(NPCRace,TRUNC(1+(COUNTA(NPCRace))*(TRUNC(MOD(($B544*1103515245 +12345)/ 65536, 32768),0)/32768),0))</f>
        <v>Dwarf</v>
      </c>
      <c r="AC544" s="16" t="str">
        <f t="array" ref="AC544">INDEX(NPCAL,TRUNC(1+(COUNTA(NPCAL))*(TRUNC(MOD(($B544*1103515245 +12345)/ 65536, 32768),0)/32768),0))</f>
        <v>CE</v>
      </c>
      <c r="AD544" s="72" t="str">
        <f ca="1">IFERROR(__xludf.DUMMYFUNCTION("if(V544&lt;15,QUERY(NPCVar!C:D,""Select D WHERE C = '""&amp;D544&amp;""'""),if((TRUNC(1+10)*(TRUNC(MOD((ROW(H544)*1103515245 +12345)/ 65536, 32768),0)/32768)/10) &gt; 0.85,INDEX(NPCFaction,TRUNC(1+(counta(NPCFaction)-1)*(TRUNC(MOD(($B544*1103515245 +12345)/ 65536, 3276"&amp;"8),0)/32768),0)),QUERY(NPCVar!C:D,""Select D WHERE C = '""&amp;D544&amp;""'"")))"),"Royalty")</f>
        <v>Royalty</v>
      </c>
      <c r="AE544" s="108" t="e">
        <f t="shared" ca="1" si="42"/>
        <v>#NAME?</v>
      </c>
      <c r="AF544" s="159">
        <f ca="1">IFERROR(__xludf.DUMMYFUNCTION("AE544*(V544 / QUERY(NPCVar!$K$2:$N$12, ""Select N WHERE K='""&amp;AB544&amp;""'""))*TRUNC(1+10)*(TRUNC(MOD(($B544*1103515245 +12345)/ 65536, 32768),0)/32768)"),-0.034764404296875)</f>
        <v>-3.4764404296875002E-2</v>
      </c>
      <c r="AG544" s="16"/>
      <c r="AH544" s="77"/>
      <c r="AI544" s="114"/>
    </row>
    <row r="545" spans="1:35" ht="16.2">
      <c r="A545" s="53">
        <v>544</v>
      </c>
      <c r="B545" s="118">
        <f t="shared" si="44"/>
        <v>1.8016000000000001</v>
      </c>
      <c r="C545" s="72" t="str">
        <f t="array" ref="C545">INDEX(NPCFName,TRUNC(1+(COUNTA(NPCFName))*(TRUNC(MOD(($B545*1103515245 +12345)/ 65536, 32768),0)/32768),0))</f>
        <v>Secor</v>
      </c>
      <c r="D545" s="16" t="str">
        <f t="array" ref="D545">INDEX(NPCLName,TRUNC(1+(COUNTA(NPCLName))*(TRUNC(MOD(($B545*1103515245 +12345)/ 65536, 32768),0)/32768),0))</f>
        <v>Stormwolf</v>
      </c>
      <c r="E545" s="16" t="str">
        <f t="array" ref="E545">INDEX(NPCClass,TRUNC(1+(COUNTA(NPCClass))*(TRUNC(MOD(($B545*1103515245 +12345)/ 65536, 32768),0)/32768),0))</f>
        <v>Wizard</v>
      </c>
      <c r="F545" s="76">
        <v>8</v>
      </c>
      <c r="G545" s="153">
        <f ca="1">VLOOKUP($AB$2,'RF Mod'!$A$2:$G$12,2,FALSE)+VLOOKUP($AD$2,'RF Mod'!$I$2:$O$11,2,FALSE)+(TRUNC(6+(24-6)*(TRUNC(MOD(($Z545*1103515245 +12345)/ 65536, 32768),0)/32768),0))</f>
        <v>12</v>
      </c>
      <c r="H545" s="16" t="e">
        <f t="shared" ca="1" si="33"/>
        <v>#NAME?</v>
      </c>
      <c r="I545" s="153">
        <f ca="1">VLOOKUP($AB$2,'RF Mod'!$A$2:$G$12,3,FALSE)+VLOOKUP($AD$2,'RF Mod'!$I$2:$O$11,3,FALSE)+(TRUNC(6+(24-6)*(TRUNC(MOD(($Z545*1103515245 +12345)/ 65536, 32768),0)/32768),0))</f>
        <v>16</v>
      </c>
      <c r="J545" s="16" t="e">
        <f t="shared" ca="1" si="34"/>
        <v>#NAME?</v>
      </c>
      <c r="K545" s="153">
        <f ca="1">VLOOKUP($AB$2,'RF Mod'!$A$2:$G$12,3,FALSE)+VLOOKUP($AD$2,'RF Mod'!$I$2:$O$11,3,FALSE)+(TRUNC(6+(24-6)*(TRUNC(MOD(($Z545*1103515245 +12345)/ 65536, 32768),0)/32768),0))</f>
        <v>16</v>
      </c>
      <c r="L545" s="16" t="e">
        <f t="shared" ca="1" si="35"/>
        <v>#NAME?</v>
      </c>
      <c r="M545" s="153">
        <f ca="1">VLOOKUP($AB$2,'RF Mod'!$A$2:$G$12,4,FALSE)+VLOOKUP($AD$2,'RF Mod'!$I$2:$O$11,4,FALSE)+(TRUNC(6+(24-6)*(TRUNC(MOD(($Z545*1103515245 +12345)/ 65536, 32768),0)/32768),0))</f>
        <v>15</v>
      </c>
      <c r="N545" s="16" t="e">
        <f t="shared" ca="1" si="36"/>
        <v>#NAME?</v>
      </c>
      <c r="O545" s="153">
        <f ca="1">VLOOKUP($AB$2,'RF Mod'!$A$2:$G$12,5,FALSE)+VLOOKUP($AD$2,'RF Mod'!$I$2:$O$11,5,FALSE)+(TRUNC(6+(24-6)*(TRUNC(MOD(($Z545*1103515245 +12345)/ 65536, 32768),0)/32768),0))</f>
        <v>18</v>
      </c>
      <c r="P545" s="16" t="e">
        <f t="shared" ca="1" si="37"/>
        <v>#NAME?</v>
      </c>
      <c r="Q545" s="153">
        <f ca="1">VLOOKUP($AB$2,'RF Mod'!$A$2:$G$12,6,FALSE)+VLOOKUP($AD$2,'RF Mod'!$I$2:$O$11,6,FALSE)+(TRUNC(6+(24-6)*(TRUNC(MOD(($Z545*1103515245 +12345)/ 65536, 32768),0)/32768),0))</f>
        <v>16</v>
      </c>
      <c r="R545" s="16" t="e">
        <f t="shared" ca="1" si="38"/>
        <v>#NAME?</v>
      </c>
      <c r="S545" s="154">
        <f t="shared" ca="1" si="43"/>
        <v>256</v>
      </c>
      <c r="T545" s="154">
        <f t="shared" ca="1" si="39"/>
        <v>4</v>
      </c>
      <c r="U545" s="16" t="str">
        <f t="shared" ca="1" si="40"/>
        <v>Fine</v>
      </c>
      <c r="V545" s="155">
        <f ca="1">IFERROR(__xludf.DUMMYFUNCTION("if(W545=""Middle Age"",QUERY(NPCVar!$K$2:$N1000, ""Select L where K = '""&amp;AB545&amp;""'""),if(W545=""Old"",QUERY(NPCVar!$K$2:$N1000, ""Select M where K = '""&amp;AB545&amp;""'""),if(W545=""Venerable"",QUERY(NPCVar!$K$2:$N1000, ""Select N where K = '""&amp;AB545&amp;""'""),fa"&amp;"lse)))*X545"),69)</f>
        <v>69</v>
      </c>
      <c r="W545" s="156" t="str">
        <f t="array" ref="W545">INDEX(NPCAgeType,TRUNC(1+(4-1)*(TRUNC(MOD((X545*1103515245 +12345)/ 65536, 32768),0)/32768),0))</f>
        <v>Middle Age</v>
      </c>
      <c r="X545" s="117">
        <f t="shared" si="45"/>
        <v>2.2999999999999998</v>
      </c>
      <c r="Y545" s="157" t="e">
        <f t="array" aca="1" ref="Y545" ca="1">LOOKUP(ABS(MAX(Z545 + MIN(ABS(INDIRECT("Class Jobs!B"&amp;MATCH(E545,'Class Jobs'!$A$1:$A1000,0)&amp;":"&amp;"AF"&amp;MATCH(E545,'Class Jobs'!$A$1:$A1000,0)&amp;"")-$Z545)) * SUM(IF(MIN(ABS(INDIRECT("Class Jobs!B"&amp;MATCH(E545,'Class Jobs'!$A$1:$A1000,0)&amp;":"&amp;"AF"&amp;MATCH(E545,'Class Jobs'!$A$1:$A1000,0)&amp;"")-$Z545))=ABS(INDIRECT("Class Jobs!B"&amp;MATCH(E545,'Class Jobs'!$A$1:$A1000,0)&amp;":"&amp;"AF"&amp;MATCH(E545,'Class Jobs'!$A$1:$A1000,0)&amp;"")-$Z545),SIGN(INDIRECT("Class Jobs!B"&amp;MATCH(E545,'Class Jobs'!$A$1:A1000,0)&amp;":"&amp;"AF"&amp;MATCH(E545,'Class Jobs'!$A$1:$A1000,0)&amp;"")-$Z545),0)),0)),INDIRECT("Class Jobs!B"&amp;MATCH(E545,'Class Jobs'!$A$1:$A1000,0)&amp;":"&amp;"AF"&amp;MATCH(E545,'Class Jobs'!$A$1:$A1000,1)&amp;""),'Class Jobs'!$B$1:$AF$1)</f>
        <v>#REF!</v>
      </c>
      <c r="Z545" s="158">
        <f t="shared" si="41"/>
        <v>0.92</v>
      </c>
      <c r="AA545" s="16" t="str">
        <f t="array" ref="AA545">INDEX(NPCGender,TRUNC(1+(COUNTA(NPCGender))*(TRUNC(MOD(($B545*1103515245 +12345)/ 65536, 32768),0)/32768),0))</f>
        <v>Neutral</v>
      </c>
      <c r="AB545" s="16" t="str">
        <f t="array" ref="AB545">INDEX(NPCRace,TRUNC(1+(COUNTA(NPCRace))*(TRUNC(MOD(($B545*1103515245 +12345)/ 65536, 32768),0)/32768),0))</f>
        <v>Goliath</v>
      </c>
      <c r="AC545" s="16" t="str">
        <f t="array" ref="AC545">INDEX(NPCAL,TRUNC(1+(COUNTA(NPCAL))*(TRUNC(MOD(($B545*1103515245 +12345)/ 65536, 32768),0)/32768),0))</f>
        <v>LE</v>
      </c>
      <c r="AD545" s="72" t="str">
        <f ca="1">IFERROR(__xludf.DUMMYFUNCTION("if(V545&lt;15,QUERY(NPCVar!C:D,""Select D WHERE C = '""&amp;D545&amp;""'""),if((TRUNC(1+10)*(TRUNC(MOD((ROW(H545)*1103515245 +12345)/ 65536, 32768),0)/32768)/10) &gt; 0.85,INDEX(NPCFaction,TRUNC(1+(counta(NPCFaction)-1)*(TRUNC(MOD(($B545*1103515245 +12345)/ 65536, 3276"&amp;"8),0)/32768),0)),QUERY(NPCVar!C:D,""Select D WHERE C = '""&amp;D545&amp;""'"")))"),"Followers of Isis")</f>
        <v>Followers of Isis</v>
      </c>
      <c r="AE545" s="108" t="e">
        <f t="shared" ca="1" si="42"/>
        <v>#NAME?</v>
      </c>
      <c r="AF545" s="159">
        <f ca="1">IFERROR(__xludf.DUMMYFUNCTION("AE545*(V545 / QUERY(NPCVar!$K$2:$N$12, ""Select N WHERE K='""&amp;AB545&amp;""'""))*TRUNC(1+10)*(TRUNC(MOD(($B545*1103515245 +12345)/ 65536, 32768),0)/32768)"),3.51333984375)</f>
        <v>3.5133398437499999</v>
      </c>
      <c r="AG545" s="16"/>
      <c r="AH545" s="77"/>
      <c r="AI545" s="114"/>
    </row>
    <row r="546" spans="1:35" ht="16.2">
      <c r="A546" s="53">
        <v>545</v>
      </c>
      <c r="B546" s="118">
        <f t="shared" si="44"/>
        <v>0.79574999999999996</v>
      </c>
      <c r="C546" s="72" t="str">
        <f t="array" ref="C546">INDEX(NPCFName,TRUNC(1+(COUNTA(NPCFName))*(TRUNC(MOD(($B546*1103515245 +12345)/ 65536, 32768),0)/32768),0))</f>
        <v>Dochrohan</v>
      </c>
      <c r="D546" s="16" t="str">
        <f t="array" ref="D546">INDEX(NPCLName,TRUNC(1+(COUNTA(NPCLName))*(TRUNC(MOD(($B546*1103515245 +12345)/ 65536, 32768),0)/32768),0))</f>
        <v>Windshade</v>
      </c>
      <c r="E546" s="16" t="str">
        <f t="array" ref="E546">INDEX(NPCClass,TRUNC(1+(COUNTA(NPCClass))*(TRUNC(MOD(($B546*1103515245 +12345)/ 65536, 32768),0)/32768),0))</f>
        <v>Paladin</v>
      </c>
      <c r="F546" s="76">
        <v>6</v>
      </c>
      <c r="G546" s="153">
        <f ca="1">VLOOKUP($AB$2,'RF Mod'!$A$2:$G$12,2,FALSE)+VLOOKUP($AD$2,'RF Mod'!$I$2:$O$11,2,FALSE)+(TRUNC(6+(24-6)*(TRUNC(MOD(($Z546*1103515245 +12345)/ 65536, 32768),0)/32768),0))</f>
        <v>7</v>
      </c>
      <c r="H546" s="16">
        <f t="shared" ca="1" si="33"/>
        <v>-2</v>
      </c>
      <c r="I546" s="153">
        <f ca="1">VLOOKUP($AB$2,'RF Mod'!$A$2:$G$12,3,FALSE)+VLOOKUP($AD$2,'RF Mod'!$I$2:$O$11,3,FALSE)+(TRUNC(6+(24-6)*(TRUNC(MOD(($Z546*1103515245 +12345)/ 65536, 32768),0)/32768),0))</f>
        <v>11</v>
      </c>
      <c r="J546" s="16" t="e">
        <f t="shared" ca="1" si="34"/>
        <v>#NAME?</v>
      </c>
      <c r="K546" s="153">
        <f ca="1">VLOOKUP($AB$2,'RF Mod'!$A$2:$G$12,3,FALSE)+VLOOKUP($AD$2,'RF Mod'!$I$2:$O$11,3,FALSE)+(TRUNC(6+(24-6)*(TRUNC(MOD(($Z546*1103515245 +12345)/ 65536, 32768),0)/32768),0))</f>
        <v>11</v>
      </c>
      <c r="L546" s="16" t="e">
        <f t="shared" ca="1" si="35"/>
        <v>#NAME?</v>
      </c>
      <c r="M546" s="153">
        <f ca="1">VLOOKUP($AB$2,'RF Mod'!$A$2:$G$12,4,FALSE)+VLOOKUP($AD$2,'RF Mod'!$I$2:$O$11,4,FALSE)+(TRUNC(6+(24-6)*(TRUNC(MOD(($Z546*1103515245 +12345)/ 65536, 32768),0)/32768),0))</f>
        <v>10</v>
      </c>
      <c r="N546" s="16" t="e">
        <f t="shared" ca="1" si="36"/>
        <v>#NAME?</v>
      </c>
      <c r="O546" s="153">
        <f ca="1">VLOOKUP($AB$2,'RF Mod'!$A$2:$G$12,5,FALSE)+VLOOKUP($AD$2,'RF Mod'!$I$2:$O$11,5,FALSE)+(TRUNC(6+(24-6)*(TRUNC(MOD(($Z546*1103515245 +12345)/ 65536, 32768),0)/32768),0))</f>
        <v>13</v>
      </c>
      <c r="P546" s="16" t="e">
        <f t="shared" ca="1" si="37"/>
        <v>#NAME?</v>
      </c>
      <c r="Q546" s="153">
        <f ca="1">VLOOKUP($AB$2,'RF Mod'!$A$2:$G$12,6,FALSE)+VLOOKUP($AD$2,'RF Mod'!$I$2:$O$11,6,FALSE)+(TRUNC(6+(24-6)*(TRUNC(MOD(($Z546*1103515245 +12345)/ 65536, 32768),0)/32768),0))</f>
        <v>11</v>
      </c>
      <c r="R546" s="16" t="e">
        <f t="shared" ca="1" si="38"/>
        <v>#NAME?</v>
      </c>
      <c r="S546" s="154">
        <f t="shared" ca="1" si="43"/>
        <v>78</v>
      </c>
      <c r="T546" s="154">
        <f t="shared" ca="1" si="39"/>
        <v>50</v>
      </c>
      <c r="U546" s="16" t="str">
        <f t="shared" ca="1" si="40"/>
        <v>Bloody</v>
      </c>
      <c r="V546" s="155">
        <f ca="1">IFERROR(__xludf.DUMMYFUNCTION("if(W546=""Middle Age"",QUERY(NPCVar!$K$2:$N1000, ""Select L where K = '""&amp;AB546&amp;""'""),if(W546=""Old"",QUERY(NPCVar!$K$2:$N1000, ""Select M where K = '""&amp;AB546&amp;""'""),if(W546=""Venerable"",QUERY(NPCVar!$K$2:$N1000, ""Select N where K = '""&amp;AB546&amp;""'""),fa"&amp;"lse)))*X546"),67.5)</f>
        <v>67.5</v>
      </c>
      <c r="W546" s="156" t="str">
        <f t="array" ref="W546">INDEX(NPCAgeType,TRUNC(1+(4-1)*(TRUNC(MOD((X546*1103515245 +12345)/ 65536, 32768),0)/32768),0))</f>
        <v>Old</v>
      </c>
      <c r="X546" s="117">
        <f t="shared" si="45"/>
        <v>1</v>
      </c>
      <c r="Y546" s="157" t="e">
        <f t="array" aca="1" ref="Y546" ca="1">LOOKUP(ABS(MAX(Z546 + MIN(ABS(INDIRECT("Class Jobs!B"&amp;MATCH(E546,'Class Jobs'!$A$1:$A1000,0)&amp;":"&amp;"AF"&amp;MATCH(E546,'Class Jobs'!$A$1:$A1000,0)&amp;"")-$Z546)) * SUM(IF(MIN(ABS(INDIRECT("Class Jobs!B"&amp;MATCH(E546,'Class Jobs'!$A$1:$A1000,0)&amp;":"&amp;"AF"&amp;MATCH(E546,'Class Jobs'!$A$1:$A1000,0)&amp;"")-$Z546))=ABS(INDIRECT("Class Jobs!B"&amp;MATCH(E546,'Class Jobs'!$A$1:$A1000,0)&amp;":"&amp;"AF"&amp;MATCH(E546,'Class Jobs'!$A$1:$A1000,0)&amp;"")-$Z546),SIGN(INDIRECT("Class Jobs!B"&amp;MATCH(E546,'Class Jobs'!$A$1:A1000,0)&amp;":"&amp;"AF"&amp;MATCH(E546,'Class Jobs'!$A$1:$A1000,0)&amp;"")-$Z546),0)),0)),INDIRECT("Class Jobs!B"&amp;MATCH(E546,'Class Jobs'!$A$1:$A1000,0)&amp;":"&amp;"AF"&amp;MATCH(E546,'Class Jobs'!$A$1:$A1000,1)&amp;""),'Class Jobs'!$B$1:$AF$1)</f>
        <v>#REF!</v>
      </c>
      <c r="Z546" s="158">
        <f t="shared" si="41"/>
        <v>0.41</v>
      </c>
      <c r="AA546" s="16" t="str">
        <f t="array" ref="AA546">INDEX(NPCGender,TRUNC(1+(COUNTA(NPCGender))*(TRUNC(MOD(($B546*1103515245 +12345)/ 65536, 32768),0)/32768),0))</f>
        <v>Female</v>
      </c>
      <c r="AB546" s="16" t="str">
        <f t="array" ref="AB546">INDEX(NPCRace,TRUNC(1+(COUNTA(NPCRace))*(TRUNC(MOD(($B546*1103515245 +12345)/ 65536, 32768),0)/32768),0))</f>
        <v>Half-Elf</v>
      </c>
      <c r="AC546" s="16" t="str">
        <f t="array" ref="AC546">INDEX(NPCAL,TRUNC(1+(COUNTA(NPCAL))*(TRUNC(MOD(($B546*1103515245 +12345)/ 65536, 32768),0)/32768),0))</f>
        <v>NG</v>
      </c>
      <c r="AD546" s="72" t="str">
        <f ca="1">IFERROR(__xludf.DUMMYFUNCTION("if(V546&lt;15,QUERY(NPCVar!C:D,""Select D WHERE C = '""&amp;D546&amp;""'""),if((TRUNC(1+10)*(TRUNC(MOD((ROW(H546)*1103515245 +12345)/ 65536, 32768),0)/32768)/10) &gt; 0.85,INDEX(NPCFaction,TRUNC(1+(counta(NPCFaction)-1)*(TRUNC(MOD(($B546*1103515245 +12345)/ 65536, 3276"&amp;"8),0)/32768),0)),QUERY(NPCVar!C:D,""Select D WHERE C = '""&amp;D546&amp;""'"")))"),"Traders Guild")</f>
        <v>Traders Guild</v>
      </c>
      <c r="AE546" s="108" t="e">
        <f t="shared" ca="1" si="42"/>
        <v>#NAME?</v>
      </c>
      <c r="AF546" s="159">
        <f ca="1">IFERROR(__xludf.DUMMYFUNCTION("AE546*(V546 / QUERY(NPCVar!$K$2:$N$12, ""Select N WHERE K='""&amp;AB546&amp;""'""))*TRUNC(1+10)*(TRUNC(MOD(($B546*1103515245 +12345)/ 65536, 32768),0)/32768)"),0)</f>
        <v>0</v>
      </c>
      <c r="AG546" s="16"/>
      <c r="AH546" s="77"/>
      <c r="AI546" s="114"/>
    </row>
    <row r="547" spans="1:35" ht="16.2">
      <c r="A547" s="53">
        <v>546</v>
      </c>
      <c r="B547" s="118">
        <f t="shared" si="44"/>
        <v>2.2898800000000001</v>
      </c>
      <c r="C547" s="72" t="str">
        <f t="array" ref="C547">INDEX(NPCFName,TRUNC(1+(COUNTA(NPCFName))*(TRUNC(MOD(($B547*1103515245 +12345)/ 65536, 32768),0)/32768),0))</f>
        <v>Liphanes</v>
      </c>
      <c r="D547" s="16" t="str">
        <f t="array" ref="D547">INDEX(NPCLName,TRUNC(1+(COUNTA(NPCLName))*(TRUNC(MOD(($B547*1103515245 +12345)/ 65536, 32768),0)/32768),0))</f>
        <v>Ashcloud</v>
      </c>
      <c r="E547" s="16" t="str">
        <f t="array" ref="E547">INDEX(NPCClass,TRUNC(1+(COUNTA(NPCClass))*(TRUNC(MOD(($B547*1103515245 +12345)/ 65536, 32768),0)/32768),0))</f>
        <v>Druid</v>
      </c>
      <c r="F547" s="76">
        <v>1</v>
      </c>
      <c r="G547" s="153">
        <f ca="1">VLOOKUP($AB$2,'RF Mod'!$A$2:$G$12,2,FALSE)+VLOOKUP($AD$2,'RF Mod'!$I$2:$O$11,2,FALSE)+(TRUNC(6+(24-6)*(TRUNC(MOD(($Z547*1103515245 +12345)/ 65536, 32768),0)/32768),0))</f>
        <v>5</v>
      </c>
      <c r="H547" s="16">
        <f t="shared" ca="1" si="33"/>
        <v>-3</v>
      </c>
      <c r="I547" s="153">
        <f ca="1">VLOOKUP($AB$2,'RF Mod'!$A$2:$G$12,3,FALSE)+VLOOKUP($AD$2,'RF Mod'!$I$2:$O$11,3,FALSE)+(TRUNC(6+(24-6)*(TRUNC(MOD(($Z547*1103515245 +12345)/ 65536, 32768),0)/32768),0))</f>
        <v>9</v>
      </c>
      <c r="J547" s="16">
        <f t="shared" ca="1" si="34"/>
        <v>-1</v>
      </c>
      <c r="K547" s="153">
        <f ca="1">VLOOKUP($AB$2,'RF Mod'!$A$2:$G$12,3,FALSE)+VLOOKUP($AD$2,'RF Mod'!$I$2:$O$11,3,FALSE)+(TRUNC(6+(24-6)*(TRUNC(MOD(($Z547*1103515245 +12345)/ 65536, 32768),0)/32768),0))</f>
        <v>9</v>
      </c>
      <c r="L547" s="16">
        <f t="shared" ca="1" si="35"/>
        <v>-1</v>
      </c>
      <c r="M547" s="153">
        <f ca="1">VLOOKUP($AB$2,'RF Mod'!$A$2:$G$12,4,FALSE)+VLOOKUP($AD$2,'RF Mod'!$I$2:$O$11,4,FALSE)+(TRUNC(6+(24-6)*(TRUNC(MOD(($Z547*1103515245 +12345)/ 65536, 32768),0)/32768),0))</f>
        <v>8</v>
      </c>
      <c r="N547" s="16">
        <f t="shared" ca="1" si="36"/>
        <v>-1</v>
      </c>
      <c r="O547" s="153">
        <f ca="1">VLOOKUP($AB$2,'RF Mod'!$A$2:$G$12,5,FALSE)+VLOOKUP($AD$2,'RF Mod'!$I$2:$O$11,5,FALSE)+(TRUNC(6+(24-6)*(TRUNC(MOD(($Z547*1103515245 +12345)/ 65536, 32768),0)/32768),0))</f>
        <v>11</v>
      </c>
      <c r="P547" s="16" t="e">
        <f t="shared" ca="1" si="37"/>
        <v>#NAME?</v>
      </c>
      <c r="Q547" s="153">
        <f ca="1">VLOOKUP($AB$2,'RF Mod'!$A$2:$G$12,6,FALSE)+VLOOKUP($AD$2,'RF Mod'!$I$2:$O$11,6,FALSE)+(TRUNC(6+(24-6)*(TRUNC(MOD(($Z547*1103515245 +12345)/ 65536, 32768),0)/32768),0))</f>
        <v>9</v>
      </c>
      <c r="R547" s="16">
        <f t="shared" ca="1" si="38"/>
        <v>-1</v>
      </c>
      <c r="S547" s="154">
        <f t="shared" ca="1" si="43"/>
        <v>11</v>
      </c>
      <c r="T547" s="154">
        <f t="shared" ca="1" si="39"/>
        <v>10</v>
      </c>
      <c r="U547" s="16" t="str">
        <f t="shared" ca="1" si="40"/>
        <v>Bloody</v>
      </c>
      <c r="V547" s="155">
        <f ca="1">IFERROR(__xludf.DUMMYFUNCTION("if(W547=""Middle Age"",QUERY(NPCVar!$K$2:$N1000, ""Select L where K = '""&amp;AB547&amp;""'""),if(W547=""Old"",QUERY(NPCVar!$K$2:$N1000, ""Select M where K = '""&amp;AB547&amp;""'""),if(W547=""Venerable"",QUERY(NPCVar!$K$2:$N1000, ""Select N where K = '""&amp;AB547&amp;""'""),fa"&amp;"lse)))*X547"),40)</f>
        <v>40</v>
      </c>
      <c r="W547" s="156" t="str">
        <f t="array" ref="W547">INDEX(NPCAgeType,TRUNC(1+(4-1)*(TRUNC(MOD((X547*1103515245 +12345)/ 65536, 32768),0)/32768),0))</f>
        <v>Middle Age</v>
      </c>
      <c r="X547" s="117">
        <f t="shared" si="45"/>
        <v>0.5</v>
      </c>
      <c r="Y547" s="157" t="e">
        <f t="array" aca="1" ref="Y547" ca="1">LOOKUP(ABS(MAX(Z547 + MIN(ABS(INDIRECT("Class Jobs!B"&amp;MATCH(E547,'Class Jobs'!$A$1:$A1000,0)&amp;":"&amp;"AF"&amp;MATCH(E547,'Class Jobs'!$A$1:$A1000,0)&amp;"")-$Z547)) * SUM(IF(MIN(ABS(INDIRECT("Class Jobs!B"&amp;MATCH(E547,'Class Jobs'!$A$1:$A1000,0)&amp;":"&amp;"AF"&amp;MATCH(E547,'Class Jobs'!$A$1:$A1000,0)&amp;"")-$Z547))=ABS(INDIRECT("Class Jobs!B"&amp;MATCH(E547,'Class Jobs'!$A$1:$A1000,0)&amp;":"&amp;"AF"&amp;MATCH(E547,'Class Jobs'!$A$1:$A1000,0)&amp;"")-$Z547),SIGN(INDIRECT("Class Jobs!B"&amp;MATCH(E547,'Class Jobs'!$A$1:A1000,0)&amp;":"&amp;"AF"&amp;MATCH(E547,'Class Jobs'!$A$1:$A1000,0)&amp;"")-$Z547),0)),0)),INDIRECT("Class Jobs!B"&amp;MATCH(E547,'Class Jobs'!$A$1:$A1000,0)&amp;":"&amp;"AF"&amp;MATCH(E547,'Class Jobs'!$A$1:$A1000,1)&amp;""),'Class Jobs'!$B$1:$AF$1)</f>
        <v>#REF!</v>
      </c>
      <c r="Z547" s="158">
        <f t="shared" si="41"/>
        <v>0.18</v>
      </c>
      <c r="AA547" s="16" t="str">
        <f t="array" ref="AA547">INDEX(NPCGender,TRUNC(1+(COUNTA(NPCGender))*(TRUNC(MOD(($B547*1103515245 +12345)/ 65536, 32768),0)/32768),0))</f>
        <v>Male</v>
      </c>
      <c r="AB547" s="16" t="str">
        <f t="array" ref="AB547">INDEX(NPCRace,TRUNC(1+(COUNTA(NPCRace))*(TRUNC(MOD(($B547*1103515245 +12345)/ 65536, 32768),0)/32768),0))</f>
        <v>Dwarf</v>
      </c>
      <c r="AC547" s="16" t="str">
        <f t="array" ref="AC547">INDEX(NPCAL,TRUNC(1+(COUNTA(NPCAL))*(TRUNC(MOD(($B547*1103515245 +12345)/ 65536, 32768),0)/32768),0))</f>
        <v>CE</v>
      </c>
      <c r="AD547" s="72" t="str">
        <f ca="1">IFERROR(__xludf.DUMMYFUNCTION("if(V547&lt;15,QUERY(NPCVar!C:D,""Select D WHERE C = '""&amp;D547&amp;""'""),if((TRUNC(1+10)*(TRUNC(MOD((ROW(H547)*1103515245 +12345)/ 65536, 32768),0)/32768)/10) &gt; 0.85,INDEX(NPCFaction,TRUNC(1+(counta(NPCFaction)-1)*(TRUNC(MOD(($B547*1103515245 +12345)/ 65536, 3276"&amp;"8),0)/32768),0)),QUERY(NPCVar!C:D,""Select D WHERE C = '""&amp;D547&amp;""'"")))"),"Magic Guild")</f>
        <v>Magic Guild</v>
      </c>
      <c r="AE547" s="108" t="e">
        <f t="shared" ca="1" si="42"/>
        <v>#NAME?</v>
      </c>
      <c r="AF547" s="159">
        <f ca="1">IFERROR(__xludf.DUMMYFUNCTION("AE547*(V547 / QUERY(NPCVar!$K$2:$N$12, ""Select N WHERE K='""&amp;AB547&amp;""'""))*TRUNC(1+10)*(TRUNC(MOD(($B547*1103515245 +12345)/ 65536, 32768),0)/32768)"),0.0728748321533203)</f>
        <v>7.2874832153320301E-2</v>
      </c>
      <c r="AG547" s="16"/>
      <c r="AH547" s="77"/>
      <c r="AI547" s="114"/>
    </row>
    <row r="548" spans="1:35" ht="16.2">
      <c r="A548" s="53">
        <v>547</v>
      </c>
      <c r="B548" s="118">
        <f t="shared" si="44"/>
        <v>1.28403</v>
      </c>
      <c r="C548" s="72" t="str">
        <f t="array" ref="C548">INDEX(NPCFName,TRUNC(1+(COUNTA(NPCFName))*(TRUNC(MOD(($B548*1103515245 +12345)/ 65536, 32768),0)/32768),0))</f>
        <v>Zakarn</v>
      </c>
      <c r="D548" s="16" t="str">
        <f t="array" ref="D548">INDEX(NPCLName,TRUNC(1+(COUNTA(NPCLName))*(TRUNC(MOD(($B548*1103515245 +12345)/ 65536, 32768),0)/32768),0))</f>
        <v>Mourninglash</v>
      </c>
      <c r="E548" s="16" t="str">
        <f t="array" ref="E548">INDEX(NPCClass,TRUNC(1+(COUNTA(NPCClass))*(TRUNC(MOD(($B548*1103515245 +12345)/ 65536, 32768),0)/32768),0))</f>
        <v>Warlock</v>
      </c>
      <c r="F548" s="76">
        <v>8</v>
      </c>
      <c r="G548" s="153">
        <f ca="1">VLOOKUP($AB$2,'RF Mod'!$A$2:$G$12,2,FALSE)+VLOOKUP($AD$2,'RF Mod'!$I$2:$O$11,2,FALSE)+(TRUNC(6+(24-6)*(TRUNC(MOD(($Z548*1103515245 +12345)/ 65536, 32768),0)/32768),0))</f>
        <v>10</v>
      </c>
      <c r="H548" s="16" t="e">
        <f t="shared" ca="1" si="33"/>
        <v>#NAME?</v>
      </c>
      <c r="I548" s="153">
        <f ca="1">VLOOKUP($AB$2,'RF Mod'!$A$2:$G$12,3,FALSE)+VLOOKUP($AD$2,'RF Mod'!$I$2:$O$11,3,FALSE)+(TRUNC(6+(24-6)*(TRUNC(MOD(($Z548*1103515245 +12345)/ 65536, 32768),0)/32768),0))</f>
        <v>14</v>
      </c>
      <c r="J548" s="16" t="e">
        <f t="shared" ca="1" si="34"/>
        <v>#NAME?</v>
      </c>
      <c r="K548" s="153">
        <f ca="1">VLOOKUP($AB$2,'RF Mod'!$A$2:$G$12,3,FALSE)+VLOOKUP($AD$2,'RF Mod'!$I$2:$O$11,3,FALSE)+(TRUNC(6+(24-6)*(TRUNC(MOD(($Z548*1103515245 +12345)/ 65536, 32768),0)/32768),0))</f>
        <v>14</v>
      </c>
      <c r="L548" s="16" t="e">
        <f t="shared" ca="1" si="35"/>
        <v>#NAME?</v>
      </c>
      <c r="M548" s="153">
        <f ca="1">VLOOKUP($AB$2,'RF Mod'!$A$2:$G$12,4,FALSE)+VLOOKUP($AD$2,'RF Mod'!$I$2:$O$11,4,FALSE)+(TRUNC(6+(24-6)*(TRUNC(MOD(($Z548*1103515245 +12345)/ 65536, 32768),0)/32768),0))</f>
        <v>13</v>
      </c>
      <c r="N548" s="16" t="e">
        <f t="shared" ca="1" si="36"/>
        <v>#NAME?</v>
      </c>
      <c r="O548" s="153">
        <f ca="1">VLOOKUP($AB$2,'RF Mod'!$A$2:$G$12,5,FALSE)+VLOOKUP($AD$2,'RF Mod'!$I$2:$O$11,5,FALSE)+(TRUNC(6+(24-6)*(TRUNC(MOD(($Z548*1103515245 +12345)/ 65536, 32768),0)/32768),0))</f>
        <v>16</v>
      </c>
      <c r="P548" s="16" t="e">
        <f t="shared" ca="1" si="37"/>
        <v>#NAME?</v>
      </c>
      <c r="Q548" s="153">
        <f ca="1">VLOOKUP($AB$2,'RF Mod'!$A$2:$G$12,6,FALSE)+VLOOKUP($AD$2,'RF Mod'!$I$2:$O$11,6,FALSE)+(TRUNC(6+(24-6)*(TRUNC(MOD(($Z548*1103515245 +12345)/ 65536, 32768),0)/32768),0))</f>
        <v>14</v>
      </c>
      <c r="R548" s="16" t="e">
        <f t="shared" ca="1" si="38"/>
        <v>#NAME?</v>
      </c>
      <c r="S548" s="154">
        <f t="shared" ca="1" si="43"/>
        <v>144</v>
      </c>
      <c r="T548" s="154">
        <f t="shared" ca="1" si="39"/>
        <v>71</v>
      </c>
      <c r="U548" s="16" t="str">
        <f t="shared" ca="1" si="40"/>
        <v>Fine</v>
      </c>
      <c r="V548" s="155">
        <f ca="1">IFERROR(__xludf.DUMMYFUNCTION("if(W548=""Middle Age"",QUERY(NPCVar!$K$2:$N1000, ""Select L where K = '""&amp;AB548&amp;""'""),if(W548=""Old"",QUERY(NPCVar!$K$2:$N1000, ""Select M where K = '""&amp;AB548&amp;""'""),if(W548=""Venerable"",QUERY(NPCVar!$K$2:$N1000, ""Select N where K = '""&amp;AB548&amp;""'""),fa"&amp;"lse)))*X548"),144)</f>
        <v>144</v>
      </c>
      <c r="W548" s="156" t="str">
        <f t="array" ref="W548">INDEX(NPCAgeType,TRUNC(1+(4-1)*(TRUNC(MOD((X548*1103515245 +12345)/ 65536, 32768),0)/32768),0))</f>
        <v>Venerable</v>
      </c>
      <c r="X548" s="117">
        <f t="shared" si="45"/>
        <v>1.6</v>
      </c>
      <c r="Y548" s="157" t="e">
        <f t="array" aca="1" ref="Y548" ca="1">LOOKUP(ABS(MAX(Z548 + MIN(ABS(INDIRECT("Class Jobs!B"&amp;MATCH(E548,'Class Jobs'!$A$1:$A1000,0)&amp;":"&amp;"AF"&amp;MATCH(E548,'Class Jobs'!$A$1:$A1000,0)&amp;"")-$Z548)) * SUM(IF(MIN(ABS(INDIRECT("Class Jobs!B"&amp;MATCH(E548,'Class Jobs'!$A$1:$A1000,0)&amp;":"&amp;"AF"&amp;MATCH(E548,'Class Jobs'!$A$1:$A1000,0)&amp;"")-$Z548))=ABS(INDIRECT("Class Jobs!B"&amp;MATCH(E548,'Class Jobs'!$A$1:$A1000,0)&amp;":"&amp;"AF"&amp;MATCH(E548,'Class Jobs'!$A$1:$A1000,0)&amp;"")-$Z548),SIGN(INDIRECT("Class Jobs!B"&amp;MATCH(E548,'Class Jobs'!$A$1:A1000,0)&amp;":"&amp;"AF"&amp;MATCH(E548,'Class Jobs'!$A$1:$A1000,0)&amp;"")-$Z548),0)),0)),INDIRECT("Class Jobs!B"&amp;MATCH(E548,'Class Jobs'!$A$1:$A1000,0)&amp;":"&amp;"AF"&amp;MATCH(E548,'Class Jobs'!$A$1:$A1000,1)&amp;""),'Class Jobs'!$B$1:$AF$1)</f>
        <v>#REF!</v>
      </c>
      <c r="Z548" s="158">
        <f t="shared" si="41"/>
        <v>0.66</v>
      </c>
      <c r="AA548" s="16" t="str">
        <f t="array" ref="AA548">INDEX(NPCGender,TRUNC(1+(COUNTA(NPCGender))*(TRUNC(MOD(($B548*1103515245 +12345)/ 65536, 32768),0)/32768),0))</f>
        <v>Female</v>
      </c>
      <c r="AB548" s="16" t="str">
        <f t="array" ref="AB548">INDEX(NPCRace,TRUNC(1+(COUNTA(NPCRace))*(TRUNC(MOD(($B548*1103515245 +12345)/ 65536, 32768),0)/32768),0))</f>
        <v>Human</v>
      </c>
      <c r="AC548" s="16" t="str">
        <f t="array" ref="AC548">INDEX(NPCAL,TRUNC(1+(COUNTA(NPCAL))*(TRUNC(MOD(($B548*1103515245 +12345)/ 65536, 32768),0)/32768),0))</f>
        <v>NE</v>
      </c>
      <c r="AD548" s="72" t="str">
        <f ca="1">IFERROR(__xludf.DUMMYFUNCTION("if(V548&lt;15,QUERY(NPCVar!C:D,""Select D WHERE C = '""&amp;D548&amp;""'""),if((TRUNC(1+10)*(TRUNC(MOD((ROW(H548)*1103515245 +12345)/ 65536, 32768),0)/32768)/10) &gt; 0.85,INDEX(NPCFaction,TRUNC(1+(counta(NPCFaction)-1)*(TRUNC(MOD(($B548*1103515245 +12345)/ 65536, 3276"&amp;"8),0)/32768),0)),QUERY(NPCVar!C:D,""Select D WHERE C = '""&amp;D548&amp;""'"")))"),"Traverlers Guild")</f>
        <v>Traverlers Guild</v>
      </c>
      <c r="AE548" s="108" t="e">
        <f t="shared" ca="1" si="42"/>
        <v>#NAME?</v>
      </c>
      <c r="AF548" s="159">
        <f ca="1">IFERROR(__xludf.DUMMYFUNCTION("AE548*(V548 / QUERY(NPCVar!$K$2:$N$12, ""Select N WHERE K='""&amp;AB548&amp;""'""))*TRUNC(1+10)*(TRUNC(MOD(($B548*1103515245 +12345)/ 65536, 32768),0)/32768)"),2.322568359375)</f>
        <v>2.3225683593749999</v>
      </c>
      <c r="AG548" s="16"/>
      <c r="AH548" s="77"/>
      <c r="AI548" s="114"/>
    </row>
    <row r="549" spans="1:35" ht="16.2">
      <c r="A549" s="53">
        <v>548</v>
      </c>
      <c r="B549" s="118">
        <f t="shared" si="44"/>
        <v>0.27816999999999997</v>
      </c>
      <c r="C549" s="72" t="str">
        <f t="array" ref="C549">INDEX(NPCFName,TRUNC(1+(COUNTA(NPCFName))*(TRUNC(MOD(($B549*1103515245 +12345)/ 65536, 32768),0)/32768),0))</f>
        <v>Ipedorn</v>
      </c>
      <c r="D549" s="16" t="str">
        <f t="array" ref="D549">INDEX(NPCLName,TRUNC(1+(COUNTA(NPCLName))*(TRUNC(MOD(($B549*1103515245 +12345)/ 65536, 32768),0)/32768),0))</f>
        <v>Fistwing</v>
      </c>
      <c r="E549" s="16" t="str">
        <f t="array" ref="E549">INDEX(NPCClass,TRUNC(1+(COUNTA(NPCClass))*(TRUNC(MOD(($B549*1103515245 +12345)/ 65536, 32768),0)/32768),0))</f>
        <v>Bard</v>
      </c>
      <c r="F549" s="76">
        <v>1</v>
      </c>
      <c r="G549" s="153">
        <f ca="1">VLOOKUP($AB$2,'RF Mod'!$A$2:$G$12,2,FALSE)+VLOOKUP($AD$2,'RF Mod'!$I$2:$O$11,2,FALSE)+(TRUNC(6+(24-6)*(TRUNC(MOD(($Z549*1103515245 +12345)/ 65536, 32768),0)/32768),0))</f>
        <v>5</v>
      </c>
      <c r="H549" s="16">
        <f t="shared" ca="1" si="33"/>
        <v>-3</v>
      </c>
      <c r="I549" s="153">
        <f ca="1">VLOOKUP($AB$2,'RF Mod'!$A$2:$G$12,3,FALSE)+VLOOKUP($AD$2,'RF Mod'!$I$2:$O$11,3,FALSE)+(TRUNC(6+(24-6)*(TRUNC(MOD(($Z549*1103515245 +12345)/ 65536, 32768),0)/32768),0))</f>
        <v>9</v>
      </c>
      <c r="J549" s="16">
        <f t="shared" ca="1" si="34"/>
        <v>-1</v>
      </c>
      <c r="K549" s="153">
        <f ca="1">VLOOKUP($AB$2,'RF Mod'!$A$2:$G$12,3,FALSE)+VLOOKUP($AD$2,'RF Mod'!$I$2:$O$11,3,FALSE)+(TRUNC(6+(24-6)*(TRUNC(MOD(($Z549*1103515245 +12345)/ 65536, 32768),0)/32768),0))</f>
        <v>9</v>
      </c>
      <c r="L549" s="16">
        <f t="shared" ca="1" si="35"/>
        <v>-1</v>
      </c>
      <c r="M549" s="153">
        <f ca="1">VLOOKUP($AB$2,'RF Mod'!$A$2:$G$12,4,FALSE)+VLOOKUP($AD$2,'RF Mod'!$I$2:$O$11,4,FALSE)+(TRUNC(6+(24-6)*(TRUNC(MOD(($Z549*1103515245 +12345)/ 65536, 32768),0)/32768),0))</f>
        <v>8</v>
      </c>
      <c r="N549" s="16">
        <f t="shared" ca="1" si="36"/>
        <v>-1</v>
      </c>
      <c r="O549" s="153">
        <f ca="1">VLOOKUP($AB$2,'RF Mod'!$A$2:$G$12,5,FALSE)+VLOOKUP($AD$2,'RF Mod'!$I$2:$O$11,5,FALSE)+(TRUNC(6+(24-6)*(TRUNC(MOD(($Z549*1103515245 +12345)/ 65536, 32768),0)/32768),0))</f>
        <v>11</v>
      </c>
      <c r="P549" s="16" t="e">
        <f t="shared" ca="1" si="37"/>
        <v>#NAME?</v>
      </c>
      <c r="Q549" s="153">
        <f ca="1">VLOOKUP($AB$2,'RF Mod'!$A$2:$G$12,6,FALSE)+VLOOKUP($AD$2,'RF Mod'!$I$2:$O$11,6,FALSE)+(TRUNC(6+(24-6)*(TRUNC(MOD(($Z549*1103515245 +12345)/ 65536, 32768),0)/32768),0))</f>
        <v>9</v>
      </c>
      <c r="R549" s="16">
        <f t="shared" ca="1" si="38"/>
        <v>-1</v>
      </c>
      <c r="S549" s="154">
        <f t="shared" ca="1" si="43"/>
        <v>11</v>
      </c>
      <c r="T549" s="154">
        <f t="shared" ca="1" si="39"/>
        <v>4</v>
      </c>
      <c r="U549" s="16" t="str">
        <f t="shared" ca="1" si="40"/>
        <v>Fine</v>
      </c>
      <c r="V549" s="155">
        <f ca="1">IFERROR(__xludf.DUMMYFUNCTION("if(W549=""Middle Age"",QUERY(NPCVar!$K$2:$N1000, ""Select L where K = '""&amp;AB549&amp;""'""),if(W549=""Old"",QUERY(NPCVar!$K$2:$N1000, ""Select M where K = '""&amp;AB549&amp;""'""),if(W549=""Venerable"",QUERY(NPCVar!$K$2:$N1000, ""Select N where K = '""&amp;AB549&amp;""'""),fa"&amp;"lse)))*X549"),32)</f>
        <v>32</v>
      </c>
      <c r="W549" s="156" t="str">
        <f t="array" ref="W549">INDEX(NPCAgeType,TRUNC(1+(4-1)*(TRUNC(MOD((X549*1103515245 +12345)/ 65536, 32768),0)/32768),0))</f>
        <v>Middle Age</v>
      </c>
      <c r="X549" s="117">
        <f t="shared" si="45"/>
        <v>0.4</v>
      </c>
      <c r="Y549" s="157" t="e">
        <f t="array" aca="1" ref="Y549" ca="1">LOOKUP(ABS(MAX(Z549 + MIN(ABS(INDIRECT("Class Jobs!B"&amp;MATCH(E549,'Class Jobs'!$A$1:$A1000,0)&amp;":"&amp;"AF"&amp;MATCH(E549,'Class Jobs'!$A$1:$A1000,0)&amp;"")-$Z549)) * SUM(IF(MIN(ABS(INDIRECT("Class Jobs!B"&amp;MATCH(E549,'Class Jobs'!$A$1:$A1000,0)&amp;":"&amp;"AF"&amp;MATCH(E549,'Class Jobs'!$A$1:$A1000,0)&amp;"")-$Z549))=ABS(INDIRECT("Class Jobs!B"&amp;MATCH(E549,'Class Jobs'!$A$1:$A1000,0)&amp;":"&amp;"AF"&amp;MATCH(E549,'Class Jobs'!$A$1:$A1000,0)&amp;"")-$Z549),SIGN(INDIRECT("Class Jobs!B"&amp;MATCH(E549,'Class Jobs'!$A$1:A1000,0)&amp;":"&amp;"AF"&amp;MATCH(E549,'Class Jobs'!$A$1:$A1000,0)&amp;"")-$Z549),0)),0)),INDIRECT("Class Jobs!B"&amp;MATCH(E549,'Class Jobs'!$A$1:$A1000,0)&amp;":"&amp;"AF"&amp;MATCH(E549,'Class Jobs'!$A$1:$A1000,1)&amp;""),'Class Jobs'!$B$1:$AF$1)</f>
        <v>#REF!</v>
      </c>
      <c r="Z549" s="158">
        <f t="shared" si="41"/>
        <v>0.15</v>
      </c>
      <c r="AA549" s="16" t="str">
        <f t="array" ref="AA549">INDEX(NPCGender,TRUNC(1+(COUNTA(NPCGender))*(TRUNC(MOD(($B549*1103515245 +12345)/ 65536, 32768),0)/32768),0))</f>
        <v>Male</v>
      </c>
      <c r="AB549" s="16" t="str">
        <f t="array" ref="AB549">INDEX(NPCRace,TRUNC(1+(COUNTA(NPCRace))*(TRUNC(MOD(($B549*1103515245 +12345)/ 65536, 32768),0)/32768),0))</f>
        <v>Dwarf</v>
      </c>
      <c r="AC549" s="16" t="str">
        <f t="array" ref="AC549">INDEX(NPCAL,TRUNC(1+(COUNTA(NPCAL))*(TRUNC(MOD(($B549*1103515245 +12345)/ 65536, 32768),0)/32768),0))</f>
        <v>CE</v>
      </c>
      <c r="AD549" s="72" t="str">
        <f ca="1">IFERROR(__xludf.DUMMYFUNCTION("if(V549&lt;15,QUERY(NPCVar!C:D,""Select D WHERE C = '""&amp;D549&amp;""'""),if((TRUNC(1+10)*(TRUNC(MOD((ROW(H549)*1103515245 +12345)/ 65536, 32768),0)/32768)/10) &gt; 0.85,INDEX(NPCFaction,TRUNC(1+(counta(NPCFaction)-1)*(TRUNC(MOD(($B549*1103515245 +12345)/ 65536, 3276"&amp;"8),0)/32768),0)),QUERY(NPCVar!C:D,""Select D WHERE C = '""&amp;D549&amp;""'"")))"),"Royalty")</f>
        <v>Royalty</v>
      </c>
      <c r="AE549" s="108" t="e">
        <f t="shared" ca="1" si="42"/>
        <v>#NAME?</v>
      </c>
      <c r="AF549" s="159">
        <f ca="1">IFERROR(__xludf.DUMMYFUNCTION("AE549*(V549 / QUERY(NPCVar!$K$2:$N$12, ""Select N WHERE K='""&amp;AB549&amp;""'""))*TRUNC(1+10)*(TRUNC(MOD(($B549*1103515245 +12345)/ 65536, 32768),0)/32768)"),0.0471716308593749)</f>
        <v>4.7171630859374897E-2</v>
      </c>
      <c r="AG549" s="16"/>
      <c r="AH549" s="77"/>
      <c r="AI549" s="114"/>
    </row>
    <row r="550" spans="1:35" ht="16.2">
      <c r="A550" s="53">
        <v>549</v>
      </c>
      <c r="B550" s="118">
        <f t="shared" si="44"/>
        <v>1.7723100000000001</v>
      </c>
      <c r="C550" s="72" t="str">
        <f t="array" ref="C550">INDEX(NPCFName,TRUNC(1+(COUNTA(NPCFName))*(TRUNC(MOD(($B550*1103515245 +12345)/ 65536, 32768),0)/32768),0))</f>
        <v>Riandur</v>
      </c>
      <c r="D550" s="16" t="str">
        <f t="array" ref="D550">INDEX(NPCLName,TRUNC(1+(COUNTA(NPCLName))*(TRUNC(MOD(($B550*1103515245 +12345)/ 65536, 32768),0)/32768),0))</f>
        <v>Stormwolf</v>
      </c>
      <c r="E550" s="16" t="str">
        <f t="array" ref="E550">INDEX(NPCClass,TRUNC(1+(COUNTA(NPCClass))*(TRUNC(MOD(($B550*1103515245 +12345)/ 65536, 32768),0)/32768),0))</f>
        <v>Fighter</v>
      </c>
      <c r="F550" s="76">
        <v>8</v>
      </c>
      <c r="G550" s="153">
        <f ca="1">VLOOKUP($AB$2,'RF Mod'!$A$2:$G$12,2,FALSE)+VLOOKUP($AD$2,'RF Mod'!$I$2:$O$11,2,FALSE)+(TRUNC(6+(24-6)*(TRUNC(MOD(($Z550*1103515245 +12345)/ 65536, 32768),0)/32768),0))</f>
        <v>12</v>
      </c>
      <c r="H550" s="16" t="e">
        <f t="shared" ca="1" si="33"/>
        <v>#NAME?</v>
      </c>
      <c r="I550" s="153">
        <f ca="1">VLOOKUP($AB$2,'RF Mod'!$A$2:$G$12,3,FALSE)+VLOOKUP($AD$2,'RF Mod'!$I$2:$O$11,3,FALSE)+(TRUNC(6+(24-6)*(TRUNC(MOD(($Z550*1103515245 +12345)/ 65536, 32768),0)/32768),0))</f>
        <v>16</v>
      </c>
      <c r="J550" s="16" t="e">
        <f t="shared" ca="1" si="34"/>
        <v>#NAME?</v>
      </c>
      <c r="K550" s="153">
        <f ca="1">VLOOKUP($AB$2,'RF Mod'!$A$2:$G$12,3,FALSE)+VLOOKUP($AD$2,'RF Mod'!$I$2:$O$11,3,FALSE)+(TRUNC(6+(24-6)*(TRUNC(MOD(($Z550*1103515245 +12345)/ 65536, 32768),0)/32768),0))</f>
        <v>16</v>
      </c>
      <c r="L550" s="16" t="e">
        <f t="shared" ca="1" si="35"/>
        <v>#NAME?</v>
      </c>
      <c r="M550" s="153">
        <f ca="1">VLOOKUP($AB$2,'RF Mod'!$A$2:$G$12,4,FALSE)+VLOOKUP($AD$2,'RF Mod'!$I$2:$O$11,4,FALSE)+(TRUNC(6+(24-6)*(TRUNC(MOD(($Z550*1103515245 +12345)/ 65536, 32768),0)/32768),0))</f>
        <v>15</v>
      </c>
      <c r="N550" s="16" t="e">
        <f t="shared" ca="1" si="36"/>
        <v>#NAME?</v>
      </c>
      <c r="O550" s="153">
        <f ca="1">VLOOKUP($AB$2,'RF Mod'!$A$2:$G$12,5,FALSE)+VLOOKUP($AD$2,'RF Mod'!$I$2:$O$11,5,FALSE)+(TRUNC(6+(24-6)*(TRUNC(MOD(($Z550*1103515245 +12345)/ 65536, 32768),0)/32768),0))</f>
        <v>18</v>
      </c>
      <c r="P550" s="16" t="e">
        <f t="shared" ca="1" si="37"/>
        <v>#NAME?</v>
      </c>
      <c r="Q550" s="153">
        <f ca="1">VLOOKUP($AB$2,'RF Mod'!$A$2:$G$12,6,FALSE)+VLOOKUP($AD$2,'RF Mod'!$I$2:$O$11,6,FALSE)+(TRUNC(6+(24-6)*(TRUNC(MOD(($Z550*1103515245 +12345)/ 65536, 32768),0)/32768),0))</f>
        <v>16</v>
      </c>
      <c r="R550" s="16" t="e">
        <f t="shared" ca="1" si="38"/>
        <v>#NAME?</v>
      </c>
      <c r="S550" s="154">
        <f t="shared" ca="1" si="43"/>
        <v>256</v>
      </c>
      <c r="T550" s="154">
        <f t="shared" ca="1" si="39"/>
        <v>84</v>
      </c>
      <c r="U550" s="16" t="str">
        <f t="shared" ca="1" si="40"/>
        <v>Fine</v>
      </c>
      <c r="V550" s="155">
        <f ca="1">IFERROR(__xludf.DUMMYFUNCTION("if(W550=""Middle Age"",QUERY(NPCVar!$K$2:$N1000, ""Select L where K = '""&amp;AB550&amp;""'""),if(W550=""Old"",QUERY(NPCVar!$K$2:$N1000, ""Select M where K = '""&amp;AB550&amp;""'""),if(W550=""Venerable"",QUERY(NPCVar!$K$2:$N1000, ""Select N where K = '""&amp;AB550&amp;""'""),fa"&amp;"lse)))*X550"),66)</f>
        <v>66</v>
      </c>
      <c r="W550" s="156" t="str">
        <f t="array" ref="W550">INDEX(NPCAgeType,TRUNC(1+(4-1)*(TRUNC(MOD((X550*1103515245 +12345)/ 65536, 32768),0)/32768),0))</f>
        <v>Middle Age</v>
      </c>
      <c r="X550" s="117">
        <f t="shared" si="45"/>
        <v>2.2000000000000002</v>
      </c>
      <c r="Y550" s="157" t="e">
        <f t="array" aca="1" ref="Y550" ca="1">LOOKUP(ABS(MAX(Z550 + MIN(ABS(INDIRECT("Class Jobs!B"&amp;MATCH(E550,'Class Jobs'!$A$1:$A1000,0)&amp;":"&amp;"AF"&amp;MATCH(E550,'Class Jobs'!$A$1:$A1000,0)&amp;"")-$Z550)) * SUM(IF(MIN(ABS(INDIRECT("Class Jobs!B"&amp;MATCH(E550,'Class Jobs'!$A$1:$A1000,0)&amp;":"&amp;"AF"&amp;MATCH(E550,'Class Jobs'!$A$1:$A1000,0)&amp;"")-$Z550))=ABS(INDIRECT("Class Jobs!B"&amp;MATCH(E550,'Class Jobs'!$A$1:$A1000,0)&amp;":"&amp;"AF"&amp;MATCH(E550,'Class Jobs'!$A$1:$A1000,0)&amp;"")-$Z550),SIGN(INDIRECT("Class Jobs!B"&amp;MATCH(E550,'Class Jobs'!$A$1:A1000,0)&amp;":"&amp;"AF"&amp;MATCH(E550,'Class Jobs'!$A$1:$A1000,0)&amp;"")-$Z550),0)),0)),INDIRECT("Class Jobs!B"&amp;MATCH(E550,'Class Jobs'!$A$1:$A1000,0)&amp;":"&amp;"AF"&amp;MATCH(E550,'Class Jobs'!$A$1:$A1000,1)&amp;""),'Class Jobs'!$B$1:$AF$1)</f>
        <v>#REF!</v>
      </c>
      <c r="Z550" s="158">
        <f t="shared" si="41"/>
        <v>0.91</v>
      </c>
      <c r="AA550" s="16" t="str">
        <f t="array" ref="AA550">INDEX(NPCGender,TRUNC(1+(COUNTA(NPCGender))*(TRUNC(MOD(($B550*1103515245 +12345)/ 65536, 32768),0)/32768),0))</f>
        <v>Neutral</v>
      </c>
      <c r="AB550" s="16" t="str">
        <f t="array" ref="AB550">INDEX(NPCRace,TRUNC(1+(COUNTA(NPCRace))*(TRUNC(MOD(($B550*1103515245 +12345)/ 65536, 32768),0)/32768),0))</f>
        <v>Goliath</v>
      </c>
      <c r="AC550" s="16" t="str">
        <f t="array" ref="AC550">INDEX(NPCAL,TRUNC(1+(COUNTA(NPCAL))*(TRUNC(MOD(($B550*1103515245 +12345)/ 65536, 32768),0)/32768),0))</f>
        <v>LE</v>
      </c>
      <c r="AD550" s="72" t="str">
        <f ca="1">IFERROR(__xludf.DUMMYFUNCTION("if(V550&lt;15,QUERY(NPCVar!C:D,""Select D WHERE C = '""&amp;D550&amp;""'""),if((TRUNC(1+10)*(TRUNC(MOD((ROW(H550)*1103515245 +12345)/ 65536, 32768),0)/32768)/10) &gt; 0.85,INDEX(NPCFaction,TRUNC(1+(counta(NPCFaction)-1)*(TRUNC(MOD(($B550*1103515245 +12345)/ 65536, 3276"&amp;"8),0)/32768),0)),QUERY(NPCVar!C:D,""Select D WHERE C = '""&amp;D550&amp;""'"")))"),"Followers of Isis")</f>
        <v>Followers of Isis</v>
      </c>
      <c r="AE550" s="108" t="e">
        <f t="shared" ca="1" si="42"/>
        <v>#NAME?</v>
      </c>
      <c r="AF550" s="159">
        <f ca="1">IFERROR(__xludf.DUMMYFUNCTION("AE550*(V550 / QUERY(NPCVar!$K$2:$N$12, ""Select N WHERE K='""&amp;AB550&amp;""'""))*TRUNC(1+10)*(TRUNC(MOD(($B550*1103515245 +12345)/ 65536, 32768),0)/32768)"),1.65293060302734)</f>
        <v>1.6529306030273401</v>
      </c>
      <c r="AG550" s="16"/>
      <c r="AH550" s="77"/>
      <c r="AI550" s="114"/>
    </row>
    <row r="551" spans="1:35" ht="16.2">
      <c r="A551" s="53">
        <v>550</v>
      </c>
      <c r="B551" s="118">
        <f t="shared" si="44"/>
        <v>0.76644999999999996</v>
      </c>
      <c r="C551" s="72" t="str">
        <f t="array" ref="C551">INDEX(NPCFName,TRUNC(1+(COUNTA(NPCFName))*(TRUNC(MOD(($B551*1103515245 +12345)/ 65536, 32768),0)/32768),0))</f>
        <v>Cylmar</v>
      </c>
      <c r="D551" s="16" t="str">
        <f t="array" ref="D551">INDEX(NPCLName,TRUNC(1+(COUNTA(NPCLName))*(TRUNC(MOD(($B551*1103515245 +12345)/ 65536, 32768),0)/32768),0))</f>
        <v>Fistroot</v>
      </c>
      <c r="E551" s="16" t="str">
        <f t="array" ref="E551">INDEX(NPCClass,TRUNC(1+(COUNTA(NPCClass))*(TRUNC(MOD(($B551*1103515245 +12345)/ 65536, 32768),0)/32768),0))</f>
        <v>Paladin</v>
      </c>
      <c r="F551" s="76">
        <v>2</v>
      </c>
      <c r="G551" s="153">
        <f ca="1">VLOOKUP($AB$2,'RF Mod'!$A$2:$G$12,2,FALSE)+VLOOKUP($AD$2,'RF Mod'!$I$2:$O$11,2,FALSE)+(TRUNC(6+(24-6)*(TRUNC(MOD(($Z551*1103515245 +12345)/ 65536, 32768),0)/32768),0))</f>
        <v>7</v>
      </c>
      <c r="H551" s="16">
        <f t="shared" ca="1" si="33"/>
        <v>-2</v>
      </c>
      <c r="I551" s="153">
        <f ca="1">VLOOKUP($AB$2,'RF Mod'!$A$2:$G$12,3,FALSE)+VLOOKUP($AD$2,'RF Mod'!$I$2:$O$11,3,FALSE)+(TRUNC(6+(24-6)*(TRUNC(MOD(($Z551*1103515245 +12345)/ 65536, 32768),0)/32768),0))</f>
        <v>11</v>
      </c>
      <c r="J551" s="16" t="e">
        <f t="shared" ca="1" si="34"/>
        <v>#NAME?</v>
      </c>
      <c r="K551" s="153">
        <f ca="1">VLOOKUP($AB$2,'RF Mod'!$A$2:$G$12,3,FALSE)+VLOOKUP($AD$2,'RF Mod'!$I$2:$O$11,3,FALSE)+(TRUNC(6+(24-6)*(TRUNC(MOD(($Z551*1103515245 +12345)/ 65536, 32768),0)/32768),0))</f>
        <v>11</v>
      </c>
      <c r="L551" s="16" t="e">
        <f t="shared" ca="1" si="35"/>
        <v>#NAME?</v>
      </c>
      <c r="M551" s="153">
        <f ca="1">VLOOKUP($AB$2,'RF Mod'!$A$2:$G$12,4,FALSE)+VLOOKUP($AD$2,'RF Mod'!$I$2:$O$11,4,FALSE)+(TRUNC(6+(24-6)*(TRUNC(MOD(($Z551*1103515245 +12345)/ 65536, 32768),0)/32768),0))</f>
        <v>10</v>
      </c>
      <c r="N551" s="16" t="e">
        <f t="shared" ca="1" si="36"/>
        <v>#NAME?</v>
      </c>
      <c r="O551" s="153">
        <f ca="1">VLOOKUP($AB$2,'RF Mod'!$A$2:$G$12,5,FALSE)+VLOOKUP($AD$2,'RF Mod'!$I$2:$O$11,5,FALSE)+(TRUNC(6+(24-6)*(TRUNC(MOD(($Z551*1103515245 +12345)/ 65536, 32768),0)/32768),0))</f>
        <v>13</v>
      </c>
      <c r="P551" s="16" t="e">
        <f t="shared" ca="1" si="37"/>
        <v>#NAME?</v>
      </c>
      <c r="Q551" s="153">
        <f ca="1">VLOOKUP($AB$2,'RF Mod'!$A$2:$G$12,6,FALSE)+VLOOKUP($AD$2,'RF Mod'!$I$2:$O$11,6,FALSE)+(TRUNC(6+(24-6)*(TRUNC(MOD(($Z551*1103515245 +12345)/ 65536, 32768),0)/32768),0))</f>
        <v>11</v>
      </c>
      <c r="R551" s="16" t="e">
        <f t="shared" ca="1" si="38"/>
        <v>#NAME?</v>
      </c>
      <c r="S551" s="154">
        <f t="shared" ca="1" si="43"/>
        <v>38</v>
      </c>
      <c r="T551" s="154">
        <f t="shared" ca="1" si="39"/>
        <v>38</v>
      </c>
      <c r="U551" s="16" t="str">
        <f t="shared" ca="1" si="40"/>
        <v>Unconscious</v>
      </c>
      <c r="V551" s="155">
        <f ca="1">IFERROR(__xludf.DUMMYFUNCTION("if(W551=""Middle Age"",QUERY(NPCVar!$K$2:$N1000, ""Select L where K = '""&amp;AB551&amp;""'""),if(W551=""Old"",QUERY(NPCVar!$K$2:$N1000, ""Select M where K = '""&amp;AB551&amp;""'""),if(W551=""Venerable"",QUERY(NPCVar!$K$2:$N1000, ""Select N where K = '""&amp;AB551&amp;""'""),fa"&amp;"lse)))*X551"),67.5)</f>
        <v>67.5</v>
      </c>
      <c r="W551" s="156" t="str">
        <f t="array" ref="W551">INDEX(NPCAgeType,TRUNC(1+(4-1)*(TRUNC(MOD((X551*1103515245 +12345)/ 65536, 32768),0)/32768),0))</f>
        <v>Old</v>
      </c>
      <c r="X551" s="117">
        <f t="shared" si="45"/>
        <v>1</v>
      </c>
      <c r="Y551" s="157" t="e">
        <f t="array" aca="1" ref="Y551" ca="1">LOOKUP(ABS(MAX(Z551 + MIN(ABS(INDIRECT("Class Jobs!B"&amp;MATCH(E551,'Class Jobs'!$A$1:$A1000,0)&amp;":"&amp;"AF"&amp;MATCH(E551,'Class Jobs'!$A$1:$A1000,0)&amp;"")-$Z551)) * SUM(IF(MIN(ABS(INDIRECT("Class Jobs!B"&amp;MATCH(E551,'Class Jobs'!$A$1:$A1000,0)&amp;":"&amp;"AF"&amp;MATCH(E551,'Class Jobs'!$A$1:$A1000,0)&amp;"")-$Z551))=ABS(INDIRECT("Class Jobs!B"&amp;MATCH(E551,'Class Jobs'!$A$1:$A1000,0)&amp;":"&amp;"AF"&amp;MATCH(E551,'Class Jobs'!$A$1:$A1000,0)&amp;"")-$Z551),SIGN(INDIRECT("Class Jobs!B"&amp;MATCH(E551,'Class Jobs'!$A$1:A1000,0)&amp;":"&amp;"AF"&amp;MATCH(E551,'Class Jobs'!$A$1:$A1000,0)&amp;"")-$Z551),0)),0)),INDIRECT("Class Jobs!B"&amp;MATCH(E551,'Class Jobs'!$A$1:$A1000,0)&amp;":"&amp;"AF"&amp;MATCH(E551,'Class Jobs'!$A$1:$A1000,1)&amp;""),'Class Jobs'!$B$1:$AF$1)</f>
        <v>#REF!</v>
      </c>
      <c r="Z551" s="158">
        <f t="shared" si="41"/>
        <v>0.39</v>
      </c>
      <c r="AA551" s="16" t="str">
        <f t="array" ref="AA551">INDEX(NPCGender,TRUNC(1+(COUNTA(NPCGender))*(TRUNC(MOD(($B551*1103515245 +12345)/ 65536, 32768),0)/32768),0))</f>
        <v>Female</v>
      </c>
      <c r="AB551" s="16" t="str">
        <f t="array" ref="AB551">INDEX(NPCRace,TRUNC(1+(COUNTA(NPCRace))*(TRUNC(MOD(($B551*1103515245 +12345)/ 65536, 32768),0)/32768),0))</f>
        <v>Half-Elf</v>
      </c>
      <c r="AC551" s="16" t="str">
        <f t="array" ref="AC551">INDEX(NPCAL,TRUNC(1+(COUNTA(NPCAL))*(TRUNC(MOD(($B551*1103515245 +12345)/ 65536, 32768),0)/32768),0))</f>
        <v>NG</v>
      </c>
      <c r="AD551" s="72" t="str">
        <f ca="1">IFERROR(__xludf.DUMMYFUNCTION("if(V551&lt;15,QUERY(NPCVar!C:D,""Select D WHERE C = '""&amp;D551&amp;""'""),if((TRUNC(1+10)*(TRUNC(MOD((ROW(H551)*1103515245 +12345)/ 65536, 32768),0)/32768)/10) &gt; 0.85,INDEX(NPCFaction,TRUNC(1+(counta(NPCFaction)-1)*(TRUNC(MOD(($B551*1103515245 +12345)/ 65536, 3276"&amp;"8),0)/32768),0)),QUERY(NPCVar!C:D,""Select D WHERE C = '""&amp;D551&amp;""'"")))"),"Magic Guild")</f>
        <v>Magic Guild</v>
      </c>
      <c r="AE551" s="108" t="e">
        <f t="shared" ca="1" si="42"/>
        <v>#NAME?</v>
      </c>
      <c r="AF551" s="159">
        <f ca="1">IFERROR(__xludf.DUMMYFUNCTION("AE551*(V551 / QUERY(NPCVar!$K$2:$N$12, ""Select N WHERE K='""&amp;AB551&amp;""'""))*TRUNC(1+10)*(TRUNC(MOD(($B551*1103515245 +12345)/ 65536, 32768),0)/32768)"),0.812273025512695)</f>
        <v>0.81227302551269498</v>
      </c>
      <c r="AG551" s="16"/>
      <c r="AH551" s="77"/>
      <c r="AI551" s="114"/>
    </row>
    <row r="552" spans="1:35" ht="16.2">
      <c r="A552" s="53">
        <v>551</v>
      </c>
      <c r="B552" s="118">
        <f t="shared" si="44"/>
        <v>2.2605900000000001</v>
      </c>
      <c r="C552" s="72" t="str">
        <f t="array" ref="C552">INDEX(NPCFName,TRUNC(1+(COUNTA(NPCFName))*(TRUNC(MOD(($B552*1103515245 +12345)/ 65536, 32768),0)/32768),0))</f>
        <v>Kiden</v>
      </c>
      <c r="D552" s="16" t="str">
        <f t="array" ref="D552">INDEX(NPCLName,TRUNC(1+(COUNTA(NPCLName))*(TRUNC(MOD(($B552*1103515245 +12345)/ 65536, 32768),0)/32768),0))</f>
        <v>Fistwing</v>
      </c>
      <c r="E552" s="16" t="str">
        <f t="array" ref="E552">INDEX(NPCClass,TRUNC(1+(COUNTA(NPCClass))*(TRUNC(MOD(($B552*1103515245 +12345)/ 65536, 32768),0)/32768),0))</f>
        <v>Bard</v>
      </c>
      <c r="F552" s="76">
        <v>1</v>
      </c>
      <c r="G552" s="153">
        <f ca="1">VLOOKUP($AB$2,'RF Mod'!$A$2:$G$12,2,FALSE)+VLOOKUP($AD$2,'RF Mod'!$I$2:$O$11,2,FALSE)+(TRUNC(6+(24-6)*(TRUNC(MOD(($Z552*1103515245 +12345)/ 65536, 32768),0)/32768),0))</f>
        <v>5</v>
      </c>
      <c r="H552" s="16">
        <f t="shared" ca="1" si="33"/>
        <v>-3</v>
      </c>
      <c r="I552" s="153">
        <f ca="1">VLOOKUP($AB$2,'RF Mod'!$A$2:$G$12,3,FALSE)+VLOOKUP($AD$2,'RF Mod'!$I$2:$O$11,3,FALSE)+(TRUNC(6+(24-6)*(TRUNC(MOD(($Z552*1103515245 +12345)/ 65536, 32768),0)/32768),0))</f>
        <v>9</v>
      </c>
      <c r="J552" s="16">
        <f t="shared" ca="1" si="34"/>
        <v>-1</v>
      </c>
      <c r="K552" s="153">
        <f ca="1">VLOOKUP($AB$2,'RF Mod'!$A$2:$G$12,3,FALSE)+VLOOKUP($AD$2,'RF Mod'!$I$2:$O$11,3,FALSE)+(TRUNC(6+(24-6)*(TRUNC(MOD(($Z552*1103515245 +12345)/ 65536, 32768),0)/32768),0))</f>
        <v>9</v>
      </c>
      <c r="L552" s="16">
        <f t="shared" ca="1" si="35"/>
        <v>-1</v>
      </c>
      <c r="M552" s="153">
        <f ca="1">VLOOKUP($AB$2,'RF Mod'!$A$2:$G$12,4,FALSE)+VLOOKUP($AD$2,'RF Mod'!$I$2:$O$11,4,FALSE)+(TRUNC(6+(24-6)*(TRUNC(MOD(($Z552*1103515245 +12345)/ 65536, 32768),0)/32768),0))</f>
        <v>8</v>
      </c>
      <c r="N552" s="16">
        <f t="shared" ca="1" si="36"/>
        <v>-1</v>
      </c>
      <c r="O552" s="153">
        <f ca="1">VLOOKUP($AB$2,'RF Mod'!$A$2:$G$12,5,FALSE)+VLOOKUP($AD$2,'RF Mod'!$I$2:$O$11,5,FALSE)+(TRUNC(6+(24-6)*(TRUNC(MOD(($Z552*1103515245 +12345)/ 65536, 32768),0)/32768),0))</f>
        <v>11</v>
      </c>
      <c r="P552" s="16" t="e">
        <f t="shared" ca="1" si="37"/>
        <v>#NAME?</v>
      </c>
      <c r="Q552" s="153">
        <f ca="1">VLOOKUP($AB$2,'RF Mod'!$A$2:$G$12,6,FALSE)+VLOOKUP($AD$2,'RF Mod'!$I$2:$O$11,6,FALSE)+(TRUNC(6+(24-6)*(TRUNC(MOD(($Z552*1103515245 +12345)/ 65536, 32768),0)/32768),0))</f>
        <v>9</v>
      </c>
      <c r="R552" s="16">
        <f t="shared" ca="1" si="38"/>
        <v>-1</v>
      </c>
      <c r="S552" s="154">
        <f t="shared" ca="1" si="43"/>
        <v>27</v>
      </c>
      <c r="T552" s="154">
        <f t="shared" ca="1" si="39"/>
        <v>2</v>
      </c>
      <c r="U552" s="16" t="str">
        <f t="shared" ca="1" si="40"/>
        <v>Fine</v>
      </c>
      <c r="V552" s="155">
        <f ca="1">IFERROR(__xludf.DUMMYFUNCTION("if(W552=""Middle Age"",QUERY(NPCVar!$K$2:$N1000, ""Select L where K = '""&amp;AB552&amp;""'""),if(W552=""Old"",QUERY(NPCVar!$K$2:$N1000, ""Select M where K = '""&amp;AB552&amp;""'""),if(W552=""Venerable"",QUERY(NPCVar!$K$2:$N1000, ""Select N where K = '""&amp;AB552&amp;""'""),fa"&amp;"lse)))*X552"),32)</f>
        <v>32</v>
      </c>
      <c r="W552" s="156" t="str">
        <f t="array" ref="W552">INDEX(NPCAgeType,TRUNC(1+(4-1)*(TRUNC(MOD((X552*1103515245 +12345)/ 65536, 32768),0)/32768),0))</f>
        <v>Middle Age</v>
      </c>
      <c r="X552" s="117">
        <f t="shared" si="45"/>
        <v>0.4</v>
      </c>
      <c r="Y552" s="157" t="e">
        <f t="array" aca="1" ref="Y552" ca="1">LOOKUP(ABS(MAX(Z552 + MIN(ABS(INDIRECT("Class Jobs!B"&amp;MATCH(E552,'Class Jobs'!$A$1:$A1000,0)&amp;":"&amp;"AF"&amp;MATCH(E552,'Class Jobs'!$A$1:$A1000,0)&amp;"")-$Z552)) * SUM(IF(MIN(ABS(INDIRECT("Class Jobs!B"&amp;MATCH(E552,'Class Jobs'!$A$1:$A1000,0)&amp;":"&amp;"AF"&amp;MATCH(E552,'Class Jobs'!$A$1:$A1000,0)&amp;"")-$Z552))=ABS(INDIRECT("Class Jobs!B"&amp;MATCH(E552,'Class Jobs'!$A$1:$A1000,0)&amp;":"&amp;"AF"&amp;MATCH(E552,'Class Jobs'!$A$1:$A1000,0)&amp;"")-$Z552),SIGN(INDIRECT("Class Jobs!B"&amp;MATCH(E552,'Class Jobs'!$A$1:A1000,0)&amp;":"&amp;"AF"&amp;MATCH(E552,'Class Jobs'!$A$1:$A1000,0)&amp;"")-$Z552),0)),0)),INDIRECT("Class Jobs!B"&amp;MATCH(E552,'Class Jobs'!$A$1:$A1000,0)&amp;":"&amp;"AF"&amp;MATCH(E552,'Class Jobs'!$A$1:$A1000,1)&amp;""),'Class Jobs'!$B$1:$AF$1)</f>
        <v>#REF!</v>
      </c>
      <c r="Z552" s="158">
        <f t="shared" si="41"/>
        <v>0.17</v>
      </c>
      <c r="AA552" s="16" t="str">
        <f t="array" ref="AA552">INDEX(NPCGender,TRUNC(1+(COUNTA(NPCGender))*(TRUNC(MOD(($B552*1103515245 +12345)/ 65536, 32768),0)/32768),0))</f>
        <v>Male</v>
      </c>
      <c r="AB552" s="16" t="str">
        <f t="array" ref="AB552">INDEX(NPCRace,TRUNC(1+(COUNTA(NPCRace))*(TRUNC(MOD(($B552*1103515245 +12345)/ 65536, 32768),0)/32768),0))</f>
        <v>Dwarf</v>
      </c>
      <c r="AC552" s="16" t="str">
        <f t="array" ref="AC552">INDEX(NPCAL,TRUNC(1+(COUNTA(NPCAL))*(TRUNC(MOD(($B552*1103515245 +12345)/ 65536, 32768),0)/32768),0))</f>
        <v>CE</v>
      </c>
      <c r="AD552" s="72" t="str">
        <f ca="1">IFERROR(__xludf.DUMMYFUNCTION("if(V552&lt;15,QUERY(NPCVar!C:D,""Select D WHERE C = '""&amp;D552&amp;""'""),if((TRUNC(1+10)*(TRUNC(MOD((ROW(H552)*1103515245 +12345)/ 65536, 32768),0)/32768)/10) &gt; 0.85,INDEX(NPCFaction,TRUNC(1+(counta(NPCFaction)-1)*(TRUNC(MOD(($B552*1103515245 +12345)/ 65536, 3276"&amp;"8),0)/32768),0)),QUERY(NPCVar!C:D,""Select D WHERE C = '""&amp;D552&amp;""'"")))"),"Royalty")</f>
        <v>Royalty</v>
      </c>
      <c r="AE552" s="108" t="e">
        <f t="shared" ca="1" si="42"/>
        <v>#NAME?</v>
      </c>
      <c r="AF552" s="159">
        <f ca="1">IFERROR(__xludf.DUMMYFUNCTION("AE552*(V552 / QUERY(NPCVar!$K$2:$N$12, ""Select N WHERE K='""&amp;AB552&amp;""'""))*TRUNC(1+10)*(TRUNC(MOD(($B552*1103515245 +12345)/ 65536, 32768),0)/32768)"),-0.0177783203125)</f>
        <v>-1.7778320312499998E-2</v>
      </c>
      <c r="AG552" s="16"/>
      <c r="AH552" s="77"/>
      <c r="AI552" s="114"/>
    </row>
    <row r="553" spans="1:35" ht="16.2">
      <c r="A553" s="53">
        <v>552</v>
      </c>
      <c r="B553" s="118">
        <f t="shared" si="44"/>
        <v>1.25465</v>
      </c>
      <c r="C553" s="72" t="str">
        <f t="array" ref="C553">INDEX(NPCFName,TRUNC(1+(COUNTA(NPCFName))*(TRUNC(MOD(($B553*1103515245 +12345)/ 65536, 32768),0)/32768),0))</f>
        <v>Werymn</v>
      </c>
      <c r="D553" s="16" t="str">
        <f t="array" ref="D553">INDEX(NPCLName,TRUNC(1+(COUNTA(NPCLName))*(TRUNC(MOD(($B553*1103515245 +12345)/ 65536, 32768),0)/32768),0))</f>
        <v>Mourninglash</v>
      </c>
      <c r="E553" s="16" t="str">
        <f t="array" ref="E553">INDEX(NPCClass,TRUNC(1+(COUNTA(NPCClass))*(TRUNC(MOD(($B553*1103515245 +12345)/ 65536, 32768),0)/32768),0))</f>
        <v>Warlock</v>
      </c>
      <c r="F553" s="76">
        <v>8</v>
      </c>
      <c r="G553" s="153">
        <f ca="1">VLOOKUP($AB$2,'RF Mod'!$A$2:$G$12,2,FALSE)+VLOOKUP($AD$2,'RF Mod'!$I$2:$O$11,2,FALSE)+(TRUNC(6+(24-6)*(TRUNC(MOD(($Z553*1103515245 +12345)/ 65536, 32768),0)/32768),0))</f>
        <v>9</v>
      </c>
      <c r="H553" s="16">
        <f t="shared" ca="1" si="33"/>
        <v>-1</v>
      </c>
      <c r="I553" s="153">
        <f ca="1">VLOOKUP($AB$2,'RF Mod'!$A$2:$G$12,3,FALSE)+VLOOKUP($AD$2,'RF Mod'!$I$2:$O$11,3,FALSE)+(TRUNC(6+(24-6)*(TRUNC(MOD(($Z553*1103515245 +12345)/ 65536, 32768),0)/32768),0))</f>
        <v>13</v>
      </c>
      <c r="J553" s="16" t="e">
        <f t="shared" ca="1" si="34"/>
        <v>#NAME?</v>
      </c>
      <c r="K553" s="153">
        <f ca="1">VLOOKUP($AB$2,'RF Mod'!$A$2:$G$12,3,FALSE)+VLOOKUP($AD$2,'RF Mod'!$I$2:$O$11,3,FALSE)+(TRUNC(6+(24-6)*(TRUNC(MOD(($Z553*1103515245 +12345)/ 65536, 32768),0)/32768),0))</f>
        <v>13</v>
      </c>
      <c r="L553" s="16" t="e">
        <f t="shared" ca="1" si="35"/>
        <v>#NAME?</v>
      </c>
      <c r="M553" s="153">
        <f ca="1">VLOOKUP($AB$2,'RF Mod'!$A$2:$G$12,4,FALSE)+VLOOKUP($AD$2,'RF Mod'!$I$2:$O$11,4,FALSE)+(TRUNC(6+(24-6)*(TRUNC(MOD(($Z553*1103515245 +12345)/ 65536, 32768),0)/32768),0))</f>
        <v>12</v>
      </c>
      <c r="N553" s="16" t="e">
        <f t="shared" ca="1" si="36"/>
        <v>#NAME?</v>
      </c>
      <c r="O553" s="153">
        <f ca="1">VLOOKUP($AB$2,'RF Mod'!$A$2:$G$12,5,FALSE)+VLOOKUP($AD$2,'RF Mod'!$I$2:$O$11,5,FALSE)+(TRUNC(6+(24-6)*(TRUNC(MOD(($Z553*1103515245 +12345)/ 65536, 32768),0)/32768),0))</f>
        <v>15</v>
      </c>
      <c r="P553" s="16" t="e">
        <f t="shared" ca="1" si="37"/>
        <v>#NAME?</v>
      </c>
      <c r="Q553" s="153">
        <f ca="1">VLOOKUP($AB$2,'RF Mod'!$A$2:$G$12,6,FALSE)+VLOOKUP($AD$2,'RF Mod'!$I$2:$O$11,6,FALSE)+(TRUNC(6+(24-6)*(TRUNC(MOD(($Z553*1103515245 +12345)/ 65536, 32768),0)/32768),0))</f>
        <v>13</v>
      </c>
      <c r="R553" s="16" t="e">
        <f t="shared" ca="1" si="38"/>
        <v>#NAME?</v>
      </c>
      <c r="S553" s="154">
        <f t="shared" ca="1" si="43"/>
        <v>120</v>
      </c>
      <c r="T553" s="154">
        <f t="shared" ca="1" si="39"/>
        <v>120</v>
      </c>
      <c r="U553" s="16" t="str">
        <f t="shared" ca="1" si="40"/>
        <v>Unconscious</v>
      </c>
      <c r="V553" s="155">
        <f ca="1">IFERROR(__xludf.DUMMYFUNCTION("if(W553=""Middle Age"",QUERY(NPCVar!$K$2:$N1000, ""Select L where K = '""&amp;AB553&amp;""'""),if(W553=""Old"",QUERY(NPCVar!$K$2:$N1000, ""Select M where K = '""&amp;AB553&amp;""'""),if(W553=""Venerable"",QUERY(NPCVar!$K$2:$N1000, ""Select N where K = '""&amp;AB553&amp;""'""),fa"&amp;"lse)))*X553"),144)</f>
        <v>144</v>
      </c>
      <c r="W553" s="156" t="str">
        <f t="array" ref="W553">INDEX(NPCAgeType,TRUNC(1+(4-1)*(TRUNC(MOD((X553*1103515245 +12345)/ 65536, 32768),0)/32768),0))</f>
        <v>Venerable</v>
      </c>
      <c r="X553" s="117">
        <f t="shared" si="45"/>
        <v>1.6</v>
      </c>
      <c r="Y553" s="157" t="e">
        <f t="array" aca="1" ref="Y553" ca="1">LOOKUP(ABS(MAX(Z553 + MIN(ABS(INDIRECT("Class Jobs!B"&amp;MATCH(E553,'Class Jobs'!$A$1:$A1000,0)&amp;":"&amp;"AF"&amp;MATCH(E553,'Class Jobs'!$A$1:$A1000,0)&amp;"")-$Z553)) * SUM(IF(MIN(ABS(INDIRECT("Class Jobs!B"&amp;MATCH(E553,'Class Jobs'!$A$1:$A1000,0)&amp;":"&amp;"AF"&amp;MATCH(E553,'Class Jobs'!$A$1:$A1000,0)&amp;"")-$Z553))=ABS(INDIRECT("Class Jobs!B"&amp;MATCH(E553,'Class Jobs'!$A$1:$A1000,0)&amp;":"&amp;"AF"&amp;MATCH(E553,'Class Jobs'!$A$1:$A1000,0)&amp;"")-$Z553),SIGN(INDIRECT("Class Jobs!B"&amp;MATCH(E553,'Class Jobs'!$A$1:A1000,0)&amp;":"&amp;"AF"&amp;MATCH(E553,'Class Jobs'!$A$1:$A1000,0)&amp;"")-$Z553),0)),0)),INDIRECT("Class Jobs!B"&amp;MATCH(E553,'Class Jobs'!$A$1:$A1000,0)&amp;":"&amp;"AF"&amp;MATCH(E553,'Class Jobs'!$A$1:$A1000,1)&amp;""),'Class Jobs'!$B$1:$AF$1)</f>
        <v>#REF!</v>
      </c>
      <c r="Z553" s="158">
        <f t="shared" si="41"/>
        <v>0.64</v>
      </c>
      <c r="AA553" s="16" t="str">
        <f t="array" ref="AA553">INDEX(NPCGender,TRUNC(1+(COUNTA(NPCGender))*(TRUNC(MOD(($B553*1103515245 +12345)/ 65536, 32768),0)/32768),0))</f>
        <v>Female</v>
      </c>
      <c r="AB553" s="16" t="str">
        <f t="array" ref="AB553">INDEX(NPCRace,TRUNC(1+(COUNTA(NPCRace))*(TRUNC(MOD(($B553*1103515245 +12345)/ 65536, 32768),0)/32768),0))</f>
        <v>Human</v>
      </c>
      <c r="AC553" s="16" t="str">
        <f t="array" ref="AC553">INDEX(NPCAL,TRUNC(1+(COUNTA(NPCAL))*(TRUNC(MOD(($B553*1103515245 +12345)/ 65536, 32768),0)/32768),0))</f>
        <v>NE</v>
      </c>
      <c r="AD553" s="72" t="str">
        <f ca="1">IFERROR(__xludf.DUMMYFUNCTION("if(V553&lt;15,QUERY(NPCVar!C:D,""Select D WHERE C = '""&amp;D553&amp;""'""),if((TRUNC(1+10)*(TRUNC(MOD((ROW(H553)*1103515245 +12345)/ 65536, 32768),0)/32768)/10) &gt; 0.85,INDEX(NPCFaction,TRUNC(1+(counta(NPCFaction)-1)*(TRUNC(MOD(($B553*1103515245 +12345)/ 65536, 3276"&amp;"8),0)/32768),0)),QUERY(NPCVar!C:D,""Select D WHERE C = '""&amp;D553&amp;""'"")))"),"Traverlers Guild")</f>
        <v>Traverlers Guild</v>
      </c>
      <c r="AE553" s="108" t="e">
        <f t="shared" ca="1" si="42"/>
        <v>#NAME?</v>
      </c>
      <c r="AF553" s="159">
        <f ca="1">IFERROR(__xludf.DUMMYFUNCTION("AE553*(V553 / QUERY(NPCVar!$K$2:$N$12, ""Select N WHERE K='""&amp;AB553&amp;""'""))*TRUNC(1+10)*(TRUNC(MOD(($B553*1103515245 +12345)/ 65536, 32768),0)/32768)"),7.94288085937499)</f>
        <v>7.9428808593749904</v>
      </c>
      <c r="AG553" s="16"/>
      <c r="AH553" s="77"/>
      <c r="AI553" s="114"/>
    </row>
    <row r="554" spans="1:35" ht="16.2">
      <c r="A554" s="53">
        <v>553</v>
      </c>
      <c r="B554" s="118">
        <f t="shared" si="44"/>
        <v>0.24879999999999999</v>
      </c>
      <c r="C554" s="72" t="str">
        <f t="array" ref="C554">INDEX(NPCFName,TRUNC(1+(COUNTA(NPCFName))*(TRUNC(MOD(($B554*1103515245 +12345)/ 65536, 32768),0)/32768),0))</f>
        <v>Guthale</v>
      </c>
      <c r="D554" s="16" t="str">
        <f t="array" ref="D554">INDEX(NPCLName,TRUNC(1+(COUNTA(NPCLName))*(TRUNC(MOD(($B554*1103515245 +12345)/ 65536, 32768),0)/32768),0))</f>
        <v>Distantlash</v>
      </c>
      <c r="E554" s="16" t="str">
        <f t="array" ref="E554">INDEX(NPCClass,TRUNC(1+(COUNTA(NPCClass))*(TRUNC(MOD(($B554*1103515245 +12345)/ 65536, 32768),0)/32768),0))</f>
        <v>Bard</v>
      </c>
      <c r="F554" s="76">
        <v>1</v>
      </c>
      <c r="G554" s="153">
        <f ca="1">VLOOKUP($AB$2,'RF Mod'!$A$2:$G$12,2,FALSE)+VLOOKUP($AD$2,'RF Mod'!$I$2:$O$11,2,FALSE)+(TRUNC(6+(24-6)*(TRUNC(MOD(($Z554*1103515245 +12345)/ 65536, 32768),0)/32768),0))</f>
        <v>5</v>
      </c>
      <c r="H554" s="16">
        <f t="shared" ca="1" si="33"/>
        <v>-3</v>
      </c>
      <c r="I554" s="153">
        <f ca="1">VLOOKUP($AB$2,'RF Mod'!$A$2:$G$12,3,FALSE)+VLOOKUP($AD$2,'RF Mod'!$I$2:$O$11,3,FALSE)+(TRUNC(6+(24-6)*(TRUNC(MOD(($Z554*1103515245 +12345)/ 65536, 32768),0)/32768),0))</f>
        <v>9</v>
      </c>
      <c r="J554" s="16">
        <f t="shared" ca="1" si="34"/>
        <v>-1</v>
      </c>
      <c r="K554" s="153">
        <f ca="1">VLOOKUP($AB$2,'RF Mod'!$A$2:$G$12,3,FALSE)+VLOOKUP($AD$2,'RF Mod'!$I$2:$O$11,3,FALSE)+(TRUNC(6+(24-6)*(TRUNC(MOD(($Z554*1103515245 +12345)/ 65536, 32768),0)/32768),0))</f>
        <v>9</v>
      </c>
      <c r="L554" s="16">
        <f t="shared" ca="1" si="35"/>
        <v>-1</v>
      </c>
      <c r="M554" s="153">
        <f ca="1">VLOOKUP($AB$2,'RF Mod'!$A$2:$G$12,4,FALSE)+VLOOKUP($AD$2,'RF Mod'!$I$2:$O$11,4,FALSE)+(TRUNC(6+(24-6)*(TRUNC(MOD(($Z554*1103515245 +12345)/ 65536, 32768),0)/32768),0))</f>
        <v>8</v>
      </c>
      <c r="N554" s="16">
        <f t="shared" ca="1" si="36"/>
        <v>-1</v>
      </c>
      <c r="O554" s="153">
        <f ca="1">VLOOKUP($AB$2,'RF Mod'!$A$2:$G$12,5,FALSE)+VLOOKUP($AD$2,'RF Mod'!$I$2:$O$11,5,FALSE)+(TRUNC(6+(24-6)*(TRUNC(MOD(($Z554*1103515245 +12345)/ 65536, 32768),0)/32768),0))</f>
        <v>11</v>
      </c>
      <c r="P554" s="16" t="e">
        <f t="shared" ca="1" si="37"/>
        <v>#NAME?</v>
      </c>
      <c r="Q554" s="153">
        <f ca="1">VLOOKUP($AB$2,'RF Mod'!$A$2:$G$12,6,FALSE)+VLOOKUP($AD$2,'RF Mod'!$I$2:$O$11,6,FALSE)+(TRUNC(6+(24-6)*(TRUNC(MOD(($Z554*1103515245 +12345)/ 65536, 32768),0)/32768),0))</f>
        <v>9</v>
      </c>
      <c r="R554" s="16">
        <f t="shared" ca="1" si="38"/>
        <v>-1</v>
      </c>
      <c r="S554" s="154">
        <f t="shared" ca="1" si="43"/>
        <v>27</v>
      </c>
      <c r="T554" s="154">
        <f t="shared" ca="1" si="39"/>
        <v>27</v>
      </c>
      <c r="U554" s="16" t="str">
        <f t="shared" ca="1" si="40"/>
        <v>Unconscious</v>
      </c>
      <c r="V554" s="155">
        <f ca="1">IFERROR(__xludf.DUMMYFUNCTION("if(W554=""Middle Age"",QUERY(NPCVar!$K$2:$N1000, ""Select L where K = '""&amp;AB554&amp;""'""),if(W554=""Old"",QUERY(NPCVar!$K$2:$N1000, ""Select M where K = '""&amp;AB554&amp;""'""),if(W554=""Venerable"",QUERY(NPCVar!$K$2:$N1000, ""Select N where K = '""&amp;AB554&amp;""'""),fa"&amp;"lse)))*X554"),32)</f>
        <v>32</v>
      </c>
      <c r="W554" s="156" t="str">
        <f t="array" ref="W554">INDEX(NPCAgeType,TRUNC(1+(4-1)*(TRUNC(MOD((X554*1103515245 +12345)/ 65536, 32768),0)/32768),0))</f>
        <v>Middle Age</v>
      </c>
      <c r="X554" s="117">
        <f t="shared" si="45"/>
        <v>0.4</v>
      </c>
      <c r="Y554" s="157" t="e">
        <f t="array" aca="1" ref="Y554" ca="1">LOOKUP(ABS(MAX(Z554 + MIN(ABS(INDIRECT("Class Jobs!B"&amp;MATCH(E554,'Class Jobs'!$A$1:$A1000,0)&amp;":"&amp;"AF"&amp;MATCH(E554,'Class Jobs'!$A$1:$A1000,0)&amp;"")-$Z554)) * SUM(IF(MIN(ABS(INDIRECT("Class Jobs!B"&amp;MATCH(E554,'Class Jobs'!$A$1:$A1000,0)&amp;":"&amp;"AF"&amp;MATCH(E554,'Class Jobs'!$A$1:$A1000,0)&amp;"")-$Z554))=ABS(INDIRECT("Class Jobs!B"&amp;MATCH(E554,'Class Jobs'!$A$1:$A1000,0)&amp;":"&amp;"AF"&amp;MATCH(E554,'Class Jobs'!$A$1:$A1000,0)&amp;"")-$Z554),SIGN(INDIRECT("Class Jobs!B"&amp;MATCH(E554,'Class Jobs'!$A$1:A1000,0)&amp;":"&amp;"AF"&amp;MATCH(E554,'Class Jobs'!$A$1:$A1000,0)&amp;"")-$Z554),0)),0)),INDIRECT("Class Jobs!B"&amp;MATCH(E554,'Class Jobs'!$A$1:$A1000,0)&amp;":"&amp;"AF"&amp;MATCH(E554,'Class Jobs'!$A$1:$A1000,1)&amp;""),'Class Jobs'!$B$1:$AF$1)</f>
        <v>#REF!</v>
      </c>
      <c r="Z554" s="158">
        <f t="shared" si="41"/>
        <v>0.13</v>
      </c>
      <c r="AA554" s="16" t="str">
        <f t="array" ref="AA554">INDEX(NPCGender,TRUNC(1+(COUNTA(NPCGender))*(TRUNC(MOD(($B554*1103515245 +12345)/ 65536, 32768),0)/32768),0))</f>
        <v>Male</v>
      </c>
      <c r="AB554" s="16" t="str">
        <f t="array" ref="AB554">INDEX(NPCRace,TRUNC(1+(COUNTA(NPCRace))*(TRUNC(MOD(($B554*1103515245 +12345)/ 65536, 32768),0)/32768),0))</f>
        <v>Dwarf</v>
      </c>
      <c r="AC554" s="16" t="str">
        <f t="array" ref="AC554">INDEX(NPCAL,TRUNC(1+(COUNTA(NPCAL))*(TRUNC(MOD(($B554*1103515245 +12345)/ 65536, 32768),0)/32768),0))</f>
        <v>CE</v>
      </c>
      <c r="AD554" s="72" t="str">
        <f ca="1">IFERROR(__xludf.DUMMYFUNCTION("if(V554&lt;15,QUERY(NPCVar!C:D,""Select D WHERE C = '""&amp;D554&amp;""'""),if((TRUNC(1+10)*(TRUNC(MOD((ROW(H554)*1103515245 +12345)/ 65536, 32768),0)/32768)/10) &gt; 0.85,INDEX(NPCFaction,TRUNC(1+(counta(NPCFaction)-1)*(TRUNC(MOD(($B554*1103515245 +12345)/ 65536, 3276"&amp;"8),0)/32768),0)),QUERY(NPCVar!C:D,""Select D WHERE C = '""&amp;D554&amp;""'"")))"),"Death Guild")</f>
        <v>Death Guild</v>
      </c>
      <c r="AE554" s="108" t="e">
        <f t="shared" ca="1" si="42"/>
        <v>#NAME?</v>
      </c>
      <c r="AF554" s="159">
        <f ca="1">IFERROR(__xludf.DUMMYFUNCTION("AE554*(V554 / QUERY(NPCVar!$K$2:$N$12, ""Select N WHERE K='""&amp;AB554&amp;""'""))*TRUNC(1+10)*(TRUNC(MOD(($B554*1103515245 +12345)/ 65536, 32768),0)/32768)"),-0.0140621948242187)</f>
        <v>-1.40621948242187E-2</v>
      </c>
      <c r="AG554" s="16"/>
      <c r="AH554" s="77"/>
      <c r="AI554" s="114"/>
    </row>
    <row r="555" spans="1:35" ht="16.2">
      <c r="A555" s="53">
        <v>554</v>
      </c>
      <c r="B555" s="118">
        <f t="shared" si="44"/>
        <v>1.7429300000000001</v>
      </c>
      <c r="C555" s="72" t="str">
        <f t="array" ref="C555">INDEX(NPCFName,TRUNC(1+(COUNTA(NPCFName))*(TRUNC(MOD(($B555*1103515245 +12345)/ 65536, 32768),0)/32768),0))</f>
        <v>Pixdale</v>
      </c>
      <c r="D555" s="16" t="str">
        <f t="array" ref="D555">INDEX(NPCLName,TRUNC(1+(COUNTA(NPCLName))*(TRUNC(MOD(($B555*1103515245 +12345)/ 65536, 32768),0)/32768),0))</f>
        <v>Forestbluff</v>
      </c>
      <c r="E555" s="16" t="str">
        <f t="array" ref="E555">INDEX(NPCClass,TRUNC(1+(COUNTA(NPCClass))*(TRUNC(MOD(($B555*1103515245 +12345)/ 65536, 32768),0)/32768),0))</f>
        <v>Fighter</v>
      </c>
      <c r="F555" s="76">
        <v>8</v>
      </c>
      <c r="G555" s="153">
        <f ca="1">VLOOKUP($AB$2,'RF Mod'!$A$2:$G$12,2,FALSE)+VLOOKUP($AD$2,'RF Mod'!$I$2:$O$11,2,FALSE)+(TRUNC(6+(24-6)*(TRUNC(MOD(($Z555*1103515245 +12345)/ 65536, 32768),0)/32768),0))</f>
        <v>12</v>
      </c>
      <c r="H555" s="16" t="e">
        <f t="shared" ca="1" si="33"/>
        <v>#NAME?</v>
      </c>
      <c r="I555" s="153">
        <f ca="1">VLOOKUP($AB$2,'RF Mod'!$A$2:$G$12,3,FALSE)+VLOOKUP($AD$2,'RF Mod'!$I$2:$O$11,3,FALSE)+(TRUNC(6+(24-6)*(TRUNC(MOD(($Z555*1103515245 +12345)/ 65536, 32768),0)/32768),0))</f>
        <v>16</v>
      </c>
      <c r="J555" s="16" t="e">
        <f t="shared" ca="1" si="34"/>
        <v>#NAME?</v>
      </c>
      <c r="K555" s="153">
        <f ca="1">VLOOKUP($AB$2,'RF Mod'!$A$2:$G$12,3,FALSE)+VLOOKUP($AD$2,'RF Mod'!$I$2:$O$11,3,FALSE)+(TRUNC(6+(24-6)*(TRUNC(MOD(($Z555*1103515245 +12345)/ 65536, 32768),0)/32768),0))</f>
        <v>16</v>
      </c>
      <c r="L555" s="16" t="e">
        <f t="shared" ca="1" si="35"/>
        <v>#NAME?</v>
      </c>
      <c r="M555" s="153">
        <f ca="1">VLOOKUP($AB$2,'RF Mod'!$A$2:$G$12,4,FALSE)+VLOOKUP($AD$2,'RF Mod'!$I$2:$O$11,4,FALSE)+(TRUNC(6+(24-6)*(TRUNC(MOD(($Z555*1103515245 +12345)/ 65536, 32768),0)/32768),0))</f>
        <v>15</v>
      </c>
      <c r="N555" s="16" t="e">
        <f t="shared" ca="1" si="36"/>
        <v>#NAME?</v>
      </c>
      <c r="O555" s="153">
        <f ca="1">VLOOKUP($AB$2,'RF Mod'!$A$2:$G$12,5,FALSE)+VLOOKUP($AD$2,'RF Mod'!$I$2:$O$11,5,FALSE)+(TRUNC(6+(24-6)*(TRUNC(MOD(($Z555*1103515245 +12345)/ 65536, 32768),0)/32768),0))</f>
        <v>18</v>
      </c>
      <c r="P555" s="16" t="e">
        <f t="shared" ca="1" si="37"/>
        <v>#NAME?</v>
      </c>
      <c r="Q555" s="153">
        <f ca="1">VLOOKUP($AB$2,'RF Mod'!$A$2:$G$12,6,FALSE)+VLOOKUP($AD$2,'RF Mod'!$I$2:$O$11,6,FALSE)+(TRUNC(6+(24-6)*(TRUNC(MOD(($Z555*1103515245 +12345)/ 65536, 32768),0)/32768),0))</f>
        <v>16</v>
      </c>
      <c r="R555" s="16" t="e">
        <f t="shared" ca="1" si="38"/>
        <v>#NAME?</v>
      </c>
      <c r="S555" s="154">
        <f t="shared" ca="1" si="43"/>
        <v>176</v>
      </c>
      <c r="T555" s="154">
        <f t="shared" ca="1" si="39"/>
        <v>137</v>
      </c>
      <c r="U555" s="16" t="str">
        <f t="shared" ca="1" si="40"/>
        <v>Bloody</v>
      </c>
      <c r="V555" s="155">
        <f ca="1">IFERROR(__xludf.DUMMYFUNCTION("if(W555=""Middle Age"",QUERY(NPCVar!$K$2:$N1000, ""Select L where K = '""&amp;AB555&amp;""'""),if(W555=""Old"",QUERY(NPCVar!$K$2:$N1000, ""Select M where K = '""&amp;AB555&amp;""'""),if(W555=""Venerable"",QUERY(NPCVar!$K$2:$N1000, ""Select N where K = '""&amp;AB555&amp;""'""),fa"&amp;"lse)))*X555"),60.5)</f>
        <v>60.5</v>
      </c>
      <c r="W555" s="156" t="str">
        <f t="array" ref="W555">INDEX(NPCAgeType,TRUNC(1+(4-1)*(TRUNC(MOD((X555*1103515245 +12345)/ 65536, 32768),0)/32768),0))</f>
        <v>Middle Age</v>
      </c>
      <c r="X555" s="117">
        <f t="shared" si="45"/>
        <v>2.2000000000000002</v>
      </c>
      <c r="Y555" s="157" t="e">
        <f t="array" aca="1" ref="Y555" ca="1">LOOKUP(ABS(MAX(Z555 + MIN(ABS(INDIRECT("Class Jobs!B"&amp;MATCH(E555,'Class Jobs'!$A$1:$A1000,0)&amp;":"&amp;"AF"&amp;MATCH(E555,'Class Jobs'!$A$1:$A1000,0)&amp;"")-$Z555)) * SUM(IF(MIN(ABS(INDIRECT("Class Jobs!B"&amp;MATCH(E555,'Class Jobs'!$A$1:$A1000,0)&amp;":"&amp;"AF"&amp;MATCH(E555,'Class Jobs'!$A$1:$A1000,0)&amp;"")-$Z555))=ABS(INDIRECT("Class Jobs!B"&amp;MATCH(E555,'Class Jobs'!$A$1:$A1000,0)&amp;":"&amp;"AF"&amp;MATCH(E555,'Class Jobs'!$A$1:$A1000,0)&amp;"")-$Z555),SIGN(INDIRECT("Class Jobs!B"&amp;MATCH(E555,'Class Jobs'!$A$1:A1000,0)&amp;":"&amp;"AF"&amp;MATCH(E555,'Class Jobs'!$A$1:$A1000,0)&amp;"")-$Z555),0)),0)),INDIRECT("Class Jobs!B"&amp;MATCH(E555,'Class Jobs'!$A$1:$A1000,0)&amp;":"&amp;"AF"&amp;MATCH(E555,'Class Jobs'!$A$1:$A1000,1)&amp;""),'Class Jobs'!$B$1:$AF$1)</f>
        <v>#REF!</v>
      </c>
      <c r="Z555" s="158">
        <f t="shared" si="41"/>
        <v>0.89</v>
      </c>
      <c r="AA555" s="16" t="str">
        <f t="array" ref="AA555">INDEX(NPCGender,TRUNC(1+(COUNTA(NPCGender))*(TRUNC(MOD(($B555*1103515245 +12345)/ 65536, 32768),0)/32768),0))</f>
        <v>Neutral</v>
      </c>
      <c r="AB555" s="16" t="str">
        <f t="array" ref="AB555">INDEX(NPCRace,TRUNC(1+(COUNTA(NPCRace))*(TRUNC(MOD(($B555*1103515245 +12345)/ 65536, 32768),0)/32768),0))</f>
        <v>Genasi</v>
      </c>
      <c r="AC555" s="16" t="str">
        <f t="array" ref="AC555">INDEX(NPCAL,TRUNC(1+(COUNTA(NPCAL))*(TRUNC(MOD(($B555*1103515245 +12345)/ 65536, 32768),0)/32768),0))</f>
        <v>LE</v>
      </c>
      <c r="AD555" s="72" t="str">
        <f ca="1">IFERROR(__xludf.DUMMYFUNCTION("if(V555&lt;15,QUERY(NPCVar!C:D,""Select D WHERE C = '""&amp;D555&amp;""'""),if((TRUNC(1+10)*(TRUNC(MOD((ROW(H555)*1103515245 +12345)/ 65536, 32768),0)/32768)/10) &gt; 0.85,INDEX(NPCFaction,TRUNC(1+(counta(NPCFaction)-1)*(TRUNC(MOD(($B555*1103515245 +12345)/ 65536, 3276"&amp;"8),0)/32768),0)),QUERY(NPCVar!C:D,""Select D WHERE C = '""&amp;D555&amp;""'"")))"),"Thieves Guild")</f>
        <v>Thieves Guild</v>
      </c>
      <c r="AE555" s="108" t="e">
        <f t="shared" ca="1" si="42"/>
        <v>#NAME?</v>
      </c>
      <c r="AF555" s="159">
        <f ca="1">IFERROR(__xludf.DUMMYFUNCTION("AE555*(V555 / QUERY(NPCVar!$K$2:$N$12, ""Select N WHERE K='""&amp;AB555&amp;""'""))*TRUNC(1+10)*(TRUNC(MOD(($B555*1103515245 +12345)/ 65536, 32768),0)/32768)"),4.3348486328125)</f>
        <v>4.3348486328125002</v>
      </c>
      <c r="AG555" s="16"/>
      <c r="AH555" s="77"/>
      <c r="AI555" s="114"/>
    </row>
    <row r="556" spans="1:35" ht="16.2">
      <c r="A556" s="53">
        <v>555</v>
      </c>
      <c r="B556" s="118">
        <f t="shared" si="44"/>
        <v>0.73707999999999996</v>
      </c>
      <c r="C556" s="72" t="str">
        <f t="array" ref="C556">INDEX(NPCFName,TRUNC(1+(COUNTA(NPCFName))*(TRUNC(MOD(($B556*1103515245 +12345)/ 65536, 32768),0)/32768),0))</f>
        <v>Camilde</v>
      </c>
      <c r="D556" s="16" t="str">
        <f t="array" ref="D556">INDEX(NPCLName,TRUNC(1+(COUNTA(NPCLName))*(TRUNC(MOD(($B556*1103515245 +12345)/ 65536, 32768),0)/32768),0))</f>
        <v>Fistroot</v>
      </c>
      <c r="E556" s="16" t="str">
        <f t="array" ref="E556">INDEX(NPCClass,TRUNC(1+(COUNTA(NPCClass))*(TRUNC(MOD(($B556*1103515245 +12345)/ 65536, 32768),0)/32768),0))</f>
        <v>Paladin</v>
      </c>
      <c r="F556" s="76">
        <v>6</v>
      </c>
      <c r="G556" s="153">
        <f ca="1">VLOOKUP($AB$2,'RF Mod'!$A$2:$G$12,2,FALSE)+VLOOKUP($AD$2,'RF Mod'!$I$2:$O$11,2,FALSE)+(TRUNC(6+(24-6)*(TRUNC(MOD(($Z556*1103515245 +12345)/ 65536, 32768),0)/32768),0))</f>
        <v>7</v>
      </c>
      <c r="H556" s="16">
        <f t="shared" ca="1" si="33"/>
        <v>-2</v>
      </c>
      <c r="I556" s="153">
        <f ca="1">VLOOKUP($AB$2,'RF Mod'!$A$2:$G$12,3,FALSE)+VLOOKUP($AD$2,'RF Mod'!$I$2:$O$11,3,FALSE)+(TRUNC(6+(24-6)*(TRUNC(MOD(($Z556*1103515245 +12345)/ 65536, 32768),0)/32768),0))</f>
        <v>11</v>
      </c>
      <c r="J556" s="16" t="e">
        <f t="shared" ca="1" si="34"/>
        <v>#NAME?</v>
      </c>
      <c r="K556" s="153">
        <f ca="1">VLOOKUP($AB$2,'RF Mod'!$A$2:$G$12,3,FALSE)+VLOOKUP($AD$2,'RF Mod'!$I$2:$O$11,3,FALSE)+(TRUNC(6+(24-6)*(TRUNC(MOD(($Z556*1103515245 +12345)/ 65536, 32768),0)/32768),0))</f>
        <v>11</v>
      </c>
      <c r="L556" s="16" t="e">
        <f t="shared" ca="1" si="35"/>
        <v>#NAME?</v>
      </c>
      <c r="M556" s="153">
        <f ca="1">VLOOKUP($AB$2,'RF Mod'!$A$2:$G$12,4,FALSE)+VLOOKUP($AD$2,'RF Mod'!$I$2:$O$11,4,FALSE)+(TRUNC(6+(24-6)*(TRUNC(MOD(($Z556*1103515245 +12345)/ 65536, 32768),0)/32768),0))</f>
        <v>10</v>
      </c>
      <c r="N556" s="16" t="e">
        <f t="shared" ca="1" si="36"/>
        <v>#NAME?</v>
      </c>
      <c r="O556" s="153">
        <f ca="1">VLOOKUP($AB$2,'RF Mod'!$A$2:$G$12,5,FALSE)+VLOOKUP($AD$2,'RF Mod'!$I$2:$O$11,5,FALSE)+(TRUNC(6+(24-6)*(TRUNC(MOD(($Z556*1103515245 +12345)/ 65536, 32768),0)/32768),0))</f>
        <v>13</v>
      </c>
      <c r="P556" s="16" t="e">
        <f t="shared" ca="1" si="37"/>
        <v>#NAME?</v>
      </c>
      <c r="Q556" s="153">
        <f ca="1">VLOOKUP($AB$2,'RF Mod'!$A$2:$G$12,6,FALSE)+VLOOKUP($AD$2,'RF Mod'!$I$2:$O$11,6,FALSE)+(TRUNC(6+(24-6)*(TRUNC(MOD(($Z556*1103515245 +12345)/ 65536, 32768),0)/32768),0))</f>
        <v>11</v>
      </c>
      <c r="R556" s="16" t="e">
        <f t="shared" ca="1" si="38"/>
        <v>#NAME?</v>
      </c>
      <c r="S556" s="154">
        <f t="shared" ca="1" si="43"/>
        <v>78</v>
      </c>
      <c r="T556" s="154">
        <f t="shared" ca="1" si="39"/>
        <v>40</v>
      </c>
      <c r="U556" s="16" t="str">
        <f t="shared" ca="1" si="40"/>
        <v>Bloody</v>
      </c>
      <c r="V556" s="155">
        <f ca="1">IFERROR(__xludf.DUMMYFUNCTION("if(W556=""Middle Age"",QUERY(NPCVar!$K$2:$N1000, ""Select L where K = '""&amp;AB556&amp;""'""),if(W556=""Old"",QUERY(NPCVar!$K$2:$N1000, ""Select M where K = '""&amp;AB556&amp;""'""),if(W556=""Venerable"",QUERY(NPCVar!$K$2:$N1000, ""Select N where K = '""&amp;AB556&amp;""'""),fa"&amp;"lse)))*X556"),67.5)</f>
        <v>67.5</v>
      </c>
      <c r="W556" s="156" t="str">
        <f t="array" ref="W556">INDEX(NPCAgeType,TRUNC(1+(4-1)*(TRUNC(MOD((X556*1103515245 +12345)/ 65536, 32768),0)/32768),0))</f>
        <v>Old</v>
      </c>
      <c r="X556" s="117">
        <f t="shared" si="45"/>
        <v>1</v>
      </c>
      <c r="Y556" s="157" t="e">
        <f t="array" aca="1" ref="Y556" ca="1">LOOKUP(ABS(MAX(Z556 + MIN(ABS(INDIRECT("Class Jobs!B"&amp;MATCH(E556,'Class Jobs'!$A$1:$A1000,0)&amp;":"&amp;"AF"&amp;MATCH(E556,'Class Jobs'!$A$1:$A1000,0)&amp;"")-$Z556)) * SUM(IF(MIN(ABS(INDIRECT("Class Jobs!B"&amp;MATCH(E556,'Class Jobs'!$A$1:$A1000,0)&amp;":"&amp;"AF"&amp;MATCH(E556,'Class Jobs'!$A$1:$A1000,0)&amp;"")-$Z556))=ABS(INDIRECT("Class Jobs!B"&amp;MATCH(E556,'Class Jobs'!$A$1:$A1000,0)&amp;":"&amp;"AF"&amp;MATCH(E556,'Class Jobs'!$A$1:$A1000,0)&amp;"")-$Z556),SIGN(INDIRECT("Class Jobs!B"&amp;MATCH(E556,'Class Jobs'!$A$1:A1000,0)&amp;":"&amp;"AF"&amp;MATCH(E556,'Class Jobs'!$A$1:$A1000,0)&amp;"")-$Z556),0)),0)),INDIRECT("Class Jobs!B"&amp;MATCH(E556,'Class Jobs'!$A$1:$A1000,0)&amp;":"&amp;"AF"&amp;MATCH(E556,'Class Jobs'!$A$1:$A1000,1)&amp;""),'Class Jobs'!$B$1:$AF$1)</f>
        <v>#REF!</v>
      </c>
      <c r="Z556" s="158">
        <f t="shared" si="41"/>
        <v>0.38</v>
      </c>
      <c r="AA556" s="16" t="str">
        <f t="array" ref="AA556">INDEX(NPCGender,TRUNC(1+(COUNTA(NPCGender))*(TRUNC(MOD(($B556*1103515245 +12345)/ 65536, 32768),0)/32768),0))</f>
        <v>Female</v>
      </c>
      <c r="AB556" s="16" t="str">
        <f t="array" ref="AB556">INDEX(NPCRace,TRUNC(1+(COUNTA(NPCRace))*(TRUNC(MOD(($B556*1103515245 +12345)/ 65536, 32768),0)/32768),0))</f>
        <v>Half-Elf</v>
      </c>
      <c r="AC556" s="16" t="str">
        <f t="array" ref="AC556">INDEX(NPCAL,TRUNC(1+(COUNTA(NPCAL))*(TRUNC(MOD(($B556*1103515245 +12345)/ 65536, 32768),0)/32768),0))</f>
        <v>NG</v>
      </c>
      <c r="AD556" s="72" t="str">
        <f ca="1">IFERROR(__xludf.DUMMYFUNCTION("if(V556&lt;15,QUERY(NPCVar!C:D,""Select D WHERE C = '""&amp;D556&amp;""'""),if((TRUNC(1+10)*(TRUNC(MOD((ROW(H556)*1103515245 +12345)/ 65536, 32768),0)/32768)/10) &gt; 0.85,INDEX(NPCFaction,TRUNC(1+(counta(NPCFaction)-1)*(TRUNC(MOD(($B556*1103515245 +12345)/ 65536, 3276"&amp;"8),0)/32768),0)),QUERY(NPCVar!C:D,""Select D WHERE C = '""&amp;D556&amp;""'"")))"),"Magic Guild")</f>
        <v>Magic Guild</v>
      </c>
      <c r="AE556" s="108" t="e">
        <f t="shared" ca="1" si="42"/>
        <v>#NAME?</v>
      </c>
      <c r="AF556" s="159">
        <f ca="1">IFERROR(__xludf.DUMMYFUNCTION("AE556*(V556 / QUERY(NPCVar!$K$2:$N$12, ""Select N WHERE K='""&amp;AB556&amp;""'""))*TRUNC(1+10)*(TRUNC(MOD(($B556*1103515245 +12345)/ 65536, 32768),0)/32768)"),0.156235885620117)</f>
        <v>0.156235885620117</v>
      </c>
      <c r="AG556" s="16"/>
      <c r="AH556" s="77"/>
      <c r="AI556" s="114"/>
    </row>
    <row r="557" spans="1:35" ht="16.2">
      <c r="A557" s="53">
        <v>556</v>
      </c>
      <c r="B557" s="118">
        <f t="shared" si="44"/>
        <v>2.2312099999999999</v>
      </c>
      <c r="C557" s="72" t="str">
        <f t="array" ref="C557">INDEX(NPCFName,TRUNC(1+(COUNTA(NPCFName))*(TRUNC(MOD(($B557*1103515245 +12345)/ 65536, 32768),0)/32768),0))</f>
        <v>Jackson</v>
      </c>
      <c r="D557" s="16" t="str">
        <f t="array" ref="D557">INDEX(NPCLName,TRUNC(1+(COUNTA(NPCLName))*(TRUNC(MOD(($B557*1103515245 +12345)/ 65536, 32768),0)/32768),0))</f>
        <v>Fistwing</v>
      </c>
      <c r="E557" s="16" t="str">
        <f t="array" ref="E557">INDEX(NPCClass,TRUNC(1+(COUNTA(NPCClass))*(TRUNC(MOD(($B557*1103515245 +12345)/ 65536, 32768),0)/32768),0))</f>
        <v>Bard</v>
      </c>
      <c r="F557" s="76">
        <v>1</v>
      </c>
      <c r="G557" s="153">
        <f ca="1">VLOOKUP($AB$2,'RF Mod'!$A$2:$G$12,2,FALSE)+VLOOKUP($AD$2,'RF Mod'!$I$2:$O$11,2,FALSE)+(TRUNC(6+(24-6)*(TRUNC(MOD(($Z557*1103515245 +12345)/ 65536, 32768),0)/32768),0))</f>
        <v>5</v>
      </c>
      <c r="H557" s="16">
        <f t="shared" ca="1" si="33"/>
        <v>-3</v>
      </c>
      <c r="I557" s="153">
        <f ca="1">VLOOKUP($AB$2,'RF Mod'!$A$2:$G$12,3,FALSE)+VLOOKUP($AD$2,'RF Mod'!$I$2:$O$11,3,FALSE)+(TRUNC(6+(24-6)*(TRUNC(MOD(($Z557*1103515245 +12345)/ 65536, 32768),0)/32768),0))</f>
        <v>9</v>
      </c>
      <c r="J557" s="16">
        <f t="shared" ca="1" si="34"/>
        <v>-1</v>
      </c>
      <c r="K557" s="153">
        <f ca="1">VLOOKUP($AB$2,'RF Mod'!$A$2:$G$12,3,FALSE)+VLOOKUP($AD$2,'RF Mod'!$I$2:$O$11,3,FALSE)+(TRUNC(6+(24-6)*(TRUNC(MOD(($Z557*1103515245 +12345)/ 65536, 32768),0)/32768),0))</f>
        <v>9</v>
      </c>
      <c r="L557" s="16">
        <f t="shared" ca="1" si="35"/>
        <v>-1</v>
      </c>
      <c r="M557" s="153">
        <f ca="1">VLOOKUP($AB$2,'RF Mod'!$A$2:$G$12,4,FALSE)+VLOOKUP($AD$2,'RF Mod'!$I$2:$O$11,4,FALSE)+(TRUNC(6+(24-6)*(TRUNC(MOD(($Z557*1103515245 +12345)/ 65536, 32768),0)/32768),0))</f>
        <v>8</v>
      </c>
      <c r="N557" s="16">
        <f t="shared" ca="1" si="36"/>
        <v>-1</v>
      </c>
      <c r="O557" s="153">
        <f ca="1">VLOOKUP($AB$2,'RF Mod'!$A$2:$G$12,5,FALSE)+VLOOKUP($AD$2,'RF Mod'!$I$2:$O$11,5,FALSE)+(TRUNC(6+(24-6)*(TRUNC(MOD(($Z557*1103515245 +12345)/ 65536, 32768),0)/32768),0))</f>
        <v>11</v>
      </c>
      <c r="P557" s="16" t="e">
        <f t="shared" ca="1" si="37"/>
        <v>#NAME?</v>
      </c>
      <c r="Q557" s="153">
        <f ca="1">VLOOKUP($AB$2,'RF Mod'!$A$2:$G$12,6,FALSE)+VLOOKUP($AD$2,'RF Mod'!$I$2:$O$11,6,FALSE)+(TRUNC(6+(24-6)*(TRUNC(MOD(($Z557*1103515245 +12345)/ 65536, 32768),0)/32768),0))</f>
        <v>9</v>
      </c>
      <c r="R557" s="16">
        <f t="shared" ca="1" si="38"/>
        <v>-1</v>
      </c>
      <c r="S557" s="154">
        <f t="shared" ca="1" si="43"/>
        <v>11</v>
      </c>
      <c r="T557" s="154">
        <f t="shared" ca="1" si="39"/>
        <v>11</v>
      </c>
      <c r="U557" s="16" t="str">
        <f t="shared" ca="1" si="40"/>
        <v>Unconscious</v>
      </c>
      <c r="V557" s="155">
        <f ca="1">IFERROR(__xludf.DUMMYFUNCTION("if(W557=""Middle Age"",QUERY(NPCVar!$K$2:$N1000, ""Select L where K = '""&amp;AB557&amp;""'""),if(W557=""Old"",QUERY(NPCVar!$K$2:$N1000, ""Select M where K = '""&amp;AB557&amp;""'""),if(W557=""Venerable"",QUERY(NPCVar!$K$2:$N1000, ""Select N where K = '""&amp;AB557&amp;""'""),fa"&amp;"lse)))*X557"),32)</f>
        <v>32</v>
      </c>
      <c r="W557" s="156" t="str">
        <f t="array" ref="W557">INDEX(NPCAgeType,TRUNC(1+(4-1)*(TRUNC(MOD((X557*1103515245 +12345)/ 65536, 32768),0)/32768),0))</f>
        <v>Middle Age</v>
      </c>
      <c r="X557" s="117">
        <f t="shared" si="45"/>
        <v>0.4</v>
      </c>
      <c r="Y557" s="157" t="e">
        <f t="array" aca="1" ref="Y557" ca="1">LOOKUP(ABS(MAX(Z557 + MIN(ABS(INDIRECT("Class Jobs!B"&amp;MATCH(E557,'Class Jobs'!$A$1:$A1000,0)&amp;":"&amp;"AF"&amp;MATCH(E557,'Class Jobs'!$A$1:$A1000,0)&amp;"")-$Z557)) * SUM(IF(MIN(ABS(INDIRECT("Class Jobs!B"&amp;MATCH(E557,'Class Jobs'!$A$1:$A1000,0)&amp;":"&amp;"AF"&amp;MATCH(E557,'Class Jobs'!$A$1:$A1000,0)&amp;"")-$Z557))=ABS(INDIRECT("Class Jobs!B"&amp;MATCH(E557,'Class Jobs'!$A$1:$A1000,0)&amp;":"&amp;"AF"&amp;MATCH(E557,'Class Jobs'!$A$1:$A1000,0)&amp;"")-$Z557),SIGN(INDIRECT("Class Jobs!B"&amp;MATCH(E557,'Class Jobs'!$A$1:A1000,0)&amp;":"&amp;"AF"&amp;MATCH(E557,'Class Jobs'!$A$1:$A1000,0)&amp;"")-$Z557),0)),0)),INDIRECT("Class Jobs!B"&amp;MATCH(E557,'Class Jobs'!$A$1:$A1000,0)&amp;":"&amp;"AF"&amp;MATCH(E557,'Class Jobs'!$A$1:$A1000,1)&amp;""),'Class Jobs'!$B$1:$AF$1)</f>
        <v>#REF!</v>
      </c>
      <c r="Z557" s="158">
        <f t="shared" si="41"/>
        <v>0.15</v>
      </c>
      <c r="AA557" s="16" t="str">
        <f t="array" ref="AA557">INDEX(NPCGender,TRUNC(1+(COUNTA(NPCGender))*(TRUNC(MOD(($B557*1103515245 +12345)/ 65536, 32768),0)/32768),0))</f>
        <v>Male</v>
      </c>
      <c r="AB557" s="16" t="str">
        <f t="array" ref="AB557">INDEX(NPCRace,TRUNC(1+(COUNTA(NPCRace))*(TRUNC(MOD(($B557*1103515245 +12345)/ 65536, 32768),0)/32768),0))</f>
        <v>Dwarf</v>
      </c>
      <c r="AC557" s="16" t="str">
        <f t="array" ref="AC557">INDEX(NPCAL,TRUNC(1+(COUNTA(NPCAL))*(TRUNC(MOD(($B557*1103515245 +12345)/ 65536, 32768),0)/32768),0))</f>
        <v>CE</v>
      </c>
      <c r="AD557" s="72" t="str">
        <f ca="1">IFERROR(__xludf.DUMMYFUNCTION("if(V557&lt;15,QUERY(NPCVar!C:D,""Select D WHERE C = '""&amp;D557&amp;""'""),if((TRUNC(1+10)*(TRUNC(MOD((ROW(H557)*1103515245 +12345)/ 65536, 32768),0)/32768)/10) &gt; 0.85,INDEX(NPCFaction,TRUNC(1+(counta(NPCFaction)-1)*(TRUNC(MOD(($B557*1103515245 +12345)/ 65536, 3276"&amp;"8),0)/32768),0)),QUERY(NPCVar!C:D,""Select D WHERE C = '""&amp;D557&amp;""'"")))"),"Royalty")</f>
        <v>Royalty</v>
      </c>
      <c r="AE557" s="108" t="e">
        <f t="shared" ca="1" si="42"/>
        <v>#NAME?</v>
      </c>
      <c r="AF557" s="159">
        <f ca="1">IFERROR(__xludf.DUMMYFUNCTION("AE557*(V557 / QUERY(NPCVar!$K$2:$N$12, ""Select N WHERE K='""&amp;AB557&amp;""'""))*TRUNC(1+10)*(TRUNC(MOD(($B557*1103515245 +12345)/ 65536, 32768),0)/32768)"),0.064466552734375)</f>
        <v>6.4466552734375002E-2</v>
      </c>
      <c r="AG557" s="16"/>
      <c r="AH557" s="77"/>
      <c r="AI557" s="114"/>
    </row>
    <row r="558" spans="1:35" ht="16.2">
      <c r="A558" s="53">
        <v>557</v>
      </c>
      <c r="B558" s="118">
        <f t="shared" si="44"/>
        <v>1.22536</v>
      </c>
      <c r="C558" s="72" t="str">
        <f t="array" ref="C558">INDEX(NPCFName,TRUNC(1+(COUNTA(NPCFName))*(TRUNC(MOD(($B558*1103515245 +12345)/ 65536, 32768),0)/32768),0))</f>
        <v>Updar</v>
      </c>
      <c r="D558" s="16" t="str">
        <f t="array" ref="D558">INDEX(NPCLName,TRUNC(1+(COUNTA(NPCLName))*(TRUNC(MOD(($B558*1103515245 +12345)/ 65536, 32768),0)/32768),0))</f>
        <v>Gloomrage</v>
      </c>
      <c r="E558" s="16" t="str">
        <f t="array" ref="E558">INDEX(NPCClass,TRUNC(1+(COUNTA(NPCClass))*(TRUNC(MOD(($B558*1103515245 +12345)/ 65536, 32768),0)/32768),0))</f>
        <v>Warlock</v>
      </c>
      <c r="F558" s="76">
        <v>8</v>
      </c>
      <c r="G558" s="153">
        <f ca="1">VLOOKUP($AB$2,'RF Mod'!$A$2:$G$12,2,FALSE)+VLOOKUP($AD$2,'RF Mod'!$I$2:$O$11,2,FALSE)+(TRUNC(6+(24-6)*(TRUNC(MOD(($Z558*1103515245 +12345)/ 65536, 32768),0)/32768),0))</f>
        <v>9</v>
      </c>
      <c r="H558" s="16">
        <f t="shared" ca="1" si="33"/>
        <v>-1</v>
      </c>
      <c r="I558" s="153">
        <f ca="1">VLOOKUP($AB$2,'RF Mod'!$A$2:$G$12,3,FALSE)+VLOOKUP($AD$2,'RF Mod'!$I$2:$O$11,3,FALSE)+(TRUNC(6+(24-6)*(TRUNC(MOD(($Z558*1103515245 +12345)/ 65536, 32768),0)/32768),0))</f>
        <v>13</v>
      </c>
      <c r="J558" s="16" t="e">
        <f t="shared" ca="1" si="34"/>
        <v>#NAME?</v>
      </c>
      <c r="K558" s="153">
        <f ca="1">VLOOKUP($AB$2,'RF Mod'!$A$2:$G$12,3,FALSE)+VLOOKUP($AD$2,'RF Mod'!$I$2:$O$11,3,FALSE)+(TRUNC(6+(24-6)*(TRUNC(MOD(($Z558*1103515245 +12345)/ 65536, 32768),0)/32768),0))</f>
        <v>13</v>
      </c>
      <c r="L558" s="16" t="e">
        <f t="shared" ca="1" si="35"/>
        <v>#NAME?</v>
      </c>
      <c r="M558" s="153">
        <f ca="1">VLOOKUP($AB$2,'RF Mod'!$A$2:$G$12,4,FALSE)+VLOOKUP($AD$2,'RF Mod'!$I$2:$O$11,4,FALSE)+(TRUNC(6+(24-6)*(TRUNC(MOD(($Z558*1103515245 +12345)/ 65536, 32768),0)/32768),0))</f>
        <v>12</v>
      </c>
      <c r="N558" s="16" t="e">
        <f t="shared" ca="1" si="36"/>
        <v>#NAME?</v>
      </c>
      <c r="O558" s="153">
        <f ca="1">VLOOKUP($AB$2,'RF Mod'!$A$2:$G$12,5,FALSE)+VLOOKUP($AD$2,'RF Mod'!$I$2:$O$11,5,FALSE)+(TRUNC(6+(24-6)*(TRUNC(MOD(($Z558*1103515245 +12345)/ 65536, 32768),0)/32768),0))</f>
        <v>15</v>
      </c>
      <c r="P558" s="16" t="e">
        <f t="shared" ca="1" si="37"/>
        <v>#NAME?</v>
      </c>
      <c r="Q558" s="153">
        <f ca="1">VLOOKUP($AB$2,'RF Mod'!$A$2:$G$12,6,FALSE)+VLOOKUP($AD$2,'RF Mod'!$I$2:$O$11,6,FALSE)+(TRUNC(6+(24-6)*(TRUNC(MOD(($Z558*1103515245 +12345)/ 65536, 32768),0)/32768),0))</f>
        <v>13</v>
      </c>
      <c r="R558" s="16" t="e">
        <f t="shared" ca="1" si="38"/>
        <v>#NAME?</v>
      </c>
      <c r="S558" s="154">
        <f t="shared" ca="1" si="43"/>
        <v>152</v>
      </c>
      <c r="T558" s="154">
        <f t="shared" ca="1" si="39"/>
        <v>5</v>
      </c>
      <c r="U558" s="16" t="str">
        <f t="shared" ca="1" si="40"/>
        <v>Fine</v>
      </c>
      <c r="V558" s="155">
        <f ca="1">IFERROR(__xludf.DUMMYFUNCTION("if(W558=""Middle Age"",QUERY(NPCVar!$K$2:$N1000, ""Select L where K = '""&amp;AB558&amp;""'""),if(W558=""Old"",QUERY(NPCVar!$K$2:$N1000, ""Select M where K = '""&amp;AB558&amp;""'""),if(W558=""Venerable"",QUERY(NPCVar!$K$2:$N1000, ""Select N where K = '""&amp;AB558&amp;""'""),fa"&amp;"lse)))*X558"),320)</f>
        <v>320</v>
      </c>
      <c r="W558" s="156" t="str">
        <f t="array" ref="W558">INDEX(NPCAgeType,TRUNC(1+(4-1)*(TRUNC(MOD((X558*1103515245 +12345)/ 65536, 32768),0)/32768),0))</f>
        <v>Venerable</v>
      </c>
      <c r="X558" s="117">
        <f t="shared" si="45"/>
        <v>1.6</v>
      </c>
      <c r="Y558" s="157" t="e">
        <f t="array" aca="1" ref="Y558" ca="1">LOOKUP(ABS(MAX(Z558 + MIN(ABS(INDIRECT("Class Jobs!B"&amp;MATCH(E558,'Class Jobs'!$A$1:$A1000,0)&amp;":"&amp;"AF"&amp;MATCH(E558,'Class Jobs'!$A$1:$A1000,0)&amp;"")-$Z558)) * SUM(IF(MIN(ABS(INDIRECT("Class Jobs!B"&amp;MATCH(E558,'Class Jobs'!$A$1:$A1000,0)&amp;":"&amp;"AF"&amp;MATCH(E558,'Class Jobs'!$A$1:$A1000,0)&amp;"")-$Z558))=ABS(INDIRECT("Class Jobs!B"&amp;MATCH(E558,'Class Jobs'!$A$1:$A1000,0)&amp;":"&amp;"AF"&amp;MATCH(E558,'Class Jobs'!$A$1:$A1000,0)&amp;"")-$Z558),SIGN(INDIRECT("Class Jobs!B"&amp;MATCH(E558,'Class Jobs'!$A$1:A1000,0)&amp;":"&amp;"AF"&amp;MATCH(E558,'Class Jobs'!$A$1:$A1000,0)&amp;"")-$Z558),0)),0)),INDIRECT("Class Jobs!B"&amp;MATCH(E558,'Class Jobs'!$A$1:$A1000,0)&amp;":"&amp;"AF"&amp;MATCH(E558,'Class Jobs'!$A$1:$A1000,1)&amp;""),'Class Jobs'!$B$1:$AF$1)</f>
        <v>#REF!</v>
      </c>
      <c r="Z558" s="158">
        <f t="shared" si="41"/>
        <v>0.63</v>
      </c>
      <c r="AA558" s="16" t="str">
        <f t="array" ref="AA558">INDEX(NPCGender,TRUNC(1+(COUNTA(NPCGender))*(TRUNC(MOD(($B558*1103515245 +12345)/ 65536, 32768),0)/32768),0))</f>
        <v>Female</v>
      </c>
      <c r="AB558" s="16" t="str">
        <f t="array" ref="AB558">INDEX(NPCRace,TRUNC(1+(COUNTA(NPCRace))*(TRUNC(MOD(($B558*1103515245 +12345)/ 65536, 32768),0)/32768),0))</f>
        <v>Halfling</v>
      </c>
      <c r="AC558" s="16" t="str">
        <f t="array" ref="AC558">INDEX(NPCAL,TRUNC(1+(COUNTA(NPCAL))*(TRUNC(MOD(($B558*1103515245 +12345)/ 65536, 32768),0)/32768),0))</f>
        <v>NE</v>
      </c>
      <c r="AD558" s="72" t="str">
        <f ca="1">IFERROR(__xludf.DUMMYFUNCTION("if(V558&lt;15,QUERY(NPCVar!C:D,""Select D WHERE C = '""&amp;D558&amp;""'""),if((TRUNC(1+10)*(TRUNC(MOD((ROW(H558)*1103515245 +12345)/ 65536, 32768),0)/32768)/10) &gt; 0.85,INDEX(NPCFaction,TRUNC(1+(counta(NPCFaction)-1)*(TRUNC(MOD(($B558*1103515245 +12345)/ 65536, 3276"&amp;"8),0)/32768),0)),QUERY(NPCVar!C:D,""Select D WHERE C = '""&amp;D558&amp;""'"")))"),"Traders Guild")</f>
        <v>Traders Guild</v>
      </c>
      <c r="AE558" s="108" t="e">
        <f t="shared" ca="1" si="42"/>
        <v>#NAME?</v>
      </c>
      <c r="AF558" s="159">
        <f ca="1">IFERROR(__xludf.DUMMYFUNCTION("AE558*(V558 / QUERY(NPCVar!$K$2:$N$12, ""Select N WHERE K='""&amp;AB558&amp;""'""))*TRUNC(1+10)*(TRUNC(MOD(($B558*1103515245 +12345)/ 65536, 32768),0)/32768)"),4.43287109375)</f>
        <v>4.4328710937500002</v>
      </c>
      <c r="AG558" s="16"/>
      <c r="AH558" s="77"/>
      <c r="AI558" s="114"/>
    </row>
    <row r="559" spans="1:35" ht="16.2">
      <c r="A559" s="53">
        <v>558</v>
      </c>
      <c r="B559" s="118">
        <f t="shared" si="44"/>
        <v>0.2195</v>
      </c>
      <c r="C559" s="72" t="str">
        <f t="array" ref="C559">INDEX(NPCFName,TRUNC(1+(COUNTA(NPCFName))*(TRUNC(MOD(($B559*1103515245 +12345)/ 65536, 32768),0)/32768),0))</f>
        <v>Fydar</v>
      </c>
      <c r="D559" s="16" t="str">
        <f t="array" ref="D559">INDEX(NPCLName,TRUNC(1+(COUNTA(NPCLName))*(TRUNC(MOD(($B559*1103515245 +12345)/ 65536, 32768),0)/32768),0))</f>
        <v>Distantlash</v>
      </c>
      <c r="E559" s="16" t="str">
        <f t="array" ref="E559">INDEX(NPCClass,TRUNC(1+(COUNTA(NPCClass))*(TRUNC(MOD(($B559*1103515245 +12345)/ 65536, 32768),0)/32768),0))</f>
        <v>Bard</v>
      </c>
      <c r="F559" s="76">
        <v>1</v>
      </c>
      <c r="G559" s="153">
        <f ca="1">VLOOKUP($AB$2,'RF Mod'!$A$2:$G$12,2,FALSE)+VLOOKUP($AD$2,'RF Mod'!$I$2:$O$11,2,FALSE)+(TRUNC(6+(24-6)*(TRUNC(MOD(($Z559*1103515245 +12345)/ 65536, 32768),0)/32768),0))</f>
        <v>5</v>
      </c>
      <c r="H559" s="16">
        <f t="shared" ca="1" si="33"/>
        <v>-3</v>
      </c>
      <c r="I559" s="153">
        <f ca="1">VLOOKUP($AB$2,'RF Mod'!$A$2:$G$12,3,FALSE)+VLOOKUP($AD$2,'RF Mod'!$I$2:$O$11,3,FALSE)+(TRUNC(6+(24-6)*(TRUNC(MOD(($Z559*1103515245 +12345)/ 65536, 32768),0)/32768),0))</f>
        <v>9</v>
      </c>
      <c r="J559" s="16">
        <f t="shared" ca="1" si="34"/>
        <v>-1</v>
      </c>
      <c r="K559" s="153">
        <f ca="1">VLOOKUP($AB$2,'RF Mod'!$A$2:$G$12,3,FALSE)+VLOOKUP($AD$2,'RF Mod'!$I$2:$O$11,3,FALSE)+(TRUNC(6+(24-6)*(TRUNC(MOD(($Z559*1103515245 +12345)/ 65536, 32768),0)/32768),0))</f>
        <v>9</v>
      </c>
      <c r="L559" s="16">
        <f t="shared" ca="1" si="35"/>
        <v>-1</v>
      </c>
      <c r="M559" s="153">
        <f ca="1">VLOOKUP($AB$2,'RF Mod'!$A$2:$G$12,4,FALSE)+VLOOKUP($AD$2,'RF Mod'!$I$2:$O$11,4,FALSE)+(TRUNC(6+(24-6)*(TRUNC(MOD(($Z559*1103515245 +12345)/ 65536, 32768),0)/32768),0))</f>
        <v>8</v>
      </c>
      <c r="N559" s="16">
        <f t="shared" ca="1" si="36"/>
        <v>-1</v>
      </c>
      <c r="O559" s="153">
        <f ca="1">VLOOKUP($AB$2,'RF Mod'!$A$2:$G$12,5,FALSE)+VLOOKUP($AD$2,'RF Mod'!$I$2:$O$11,5,FALSE)+(TRUNC(6+(24-6)*(TRUNC(MOD(($Z559*1103515245 +12345)/ 65536, 32768),0)/32768),0))</f>
        <v>11</v>
      </c>
      <c r="P559" s="16" t="e">
        <f t="shared" ca="1" si="37"/>
        <v>#NAME?</v>
      </c>
      <c r="Q559" s="153">
        <f ca="1">VLOOKUP($AB$2,'RF Mod'!$A$2:$G$12,6,FALSE)+VLOOKUP($AD$2,'RF Mod'!$I$2:$O$11,6,FALSE)+(TRUNC(6+(24-6)*(TRUNC(MOD(($Z559*1103515245 +12345)/ 65536, 32768),0)/32768),0))</f>
        <v>9</v>
      </c>
      <c r="R559" s="16">
        <f t="shared" ca="1" si="38"/>
        <v>-1</v>
      </c>
      <c r="S559" s="154">
        <f t="shared" ca="1" si="43"/>
        <v>11</v>
      </c>
      <c r="T559" s="154">
        <f t="shared" ca="1" si="39"/>
        <v>3</v>
      </c>
      <c r="U559" s="16" t="str">
        <f t="shared" ca="1" si="40"/>
        <v>Fine</v>
      </c>
      <c r="V559" s="155">
        <f ca="1">IFERROR(__xludf.DUMMYFUNCTION("if(W559=""Middle Age"",QUERY(NPCVar!$K$2:$N1000, ""Select L where K = '""&amp;AB559&amp;""'""),if(W559=""Old"",QUERY(NPCVar!$K$2:$N1000, ""Select M where K = '""&amp;AB559&amp;""'""),if(W559=""Venerable"",QUERY(NPCVar!$K$2:$N1000, ""Select N where K = '""&amp;AB559&amp;""'""),fa"&amp;"lse)))*X559"),24)</f>
        <v>24</v>
      </c>
      <c r="W559" s="156" t="str">
        <f t="array" ref="W559">INDEX(NPCAgeType,TRUNC(1+(4-1)*(TRUNC(MOD((X559*1103515245 +12345)/ 65536, 32768),0)/32768),0))</f>
        <v>Middle Age</v>
      </c>
      <c r="X559" s="117">
        <f t="shared" si="45"/>
        <v>0.3</v>
      </c>
      <c r="Y559" s="157" t="e">
        <f t="array" aca="1" ref="Y559" ca="1">LOOKUP(ABS(MAX(Z559 + MIN(ABS(INDIRECT("Class Jobs!B"&amp;MATCH(E559,'Class Jobs'!$A$1:$A1000,0)&amp;":"&amp;"AF"&amp;MATCH(E559,'Class Jobs'!$A$1:$A1000,0)&amp;"")-$Z559)) * SUM(IF(MIN(ABS(INDIRECT("Class Jobs!B"&amp;MATCH(E559,'Class Jobs'!$A$1:$A1000,0)&amp;":"&amp;"AF"&amp;MATCH(E559,'Class Jobs'!$A$1:$A1000,0)&amp;"")-$Z559))=ABS(INDIRECT("Class Jobs!B"&amp;MATCH(E559,'Class Jobs'!$A$1:$A1000,0)&amp;":"&amp;"AF"&amp;MATCH(E559,'Class Jobs'!$A$1:$A1000,0)&amp;"")-$Z559),SIGN(INDIRECT("Class Jobs!B"&amp;MATCH(E559,'Class Jobs'!$A$1:A1000,0)&amp;":"&amp;"AF"&amp;MATCH(E559,'Class Jobs'!$A$1:$A1000,0)&amp;"")-$Z559),0)),0)),INDIRECT("Class Jobs!B"&amp;MATCH(E559,'Class Jobs'!$A$1:$A1000,0)&amp;":"&amp;"AF"&amp;MATCH(E559,'Class Jobs'!$A$1:$A1000,1)&amp;""),'Class Jobs'!$B$1:$AF$1)</f>
        <v>#REF!</v>
      </c>
      <c r="Z559" s="158">
        <f t="shared" si="41"/>
        <v>0.12</v>
      </c>
      <c r="AA559" s="16" t="str">
        <f t="array" ref="AA559">INDEX(NPCGender,TRUNC(1+(COUNTA(NPCGender))*(TRUNC(MOD(($B559*1103515245 +12345)/ 65536, 32768),0)/32768),0))</f>
        <v>Male</v>
      </c>
      <c r="AB559" s="16" t="str">
        <f t="array" ref="AB559">INDEX(NPCRace,TRUNC(1+(COUNTA(NPCRace))*(TRUNC(MOD(($B559*1103515245 +12345)/ 65536, 32768),0)/32768),0))</f>
        <v>Dwarf</v>
      </c>
      <c r="AC559" s="16" t="str">
        <f t="array" ref="AC559">INDEX(NPCAL,TRUNC(1+(COUNTA(NPCAL))*(TRUNC(MOD(($B559*1103515245 +12345)/ 65536, 32768),0)/32768),0))</f>
        <v>CE</v>
      </c>
      <c r="AD559" s="72" t="str">
        <f ca="1">IFERROR(__xludf.DUMMYFUNCTION("if(V559&lt;15,QUERY(NPCVar!C:D,""Select D WHERE C = '""&amp;D559&amp;""'""),if((TRUNC(1+10)*(TRUNC(MOD((ROW(H559)*1103515245 +12345)/ 65536, 32768),0)/32768)/10) &gt; 0.85,INDEX(NPCFaction,TRUNC(1+(counta(NPCFaction)-1)*(TRUNC(MOD(($B559*1103515245 +12345)/ 65536, 3276"&amp;"8),0)/32768),0)),QUERY(NPCVar!C:D,""Select D WHERE C = '""&amp;D559&amp;""'"")))"),"Death Guild")</f>
        <v>Death Guild</v>
      </c>
      <c r="AE559" s="108" t="e">
        <f t="shared" ca="1" si="42"/>
        <v>#NAME?</v>
      </c>
      <c r="AF559" s="159">
        <f ca="1">IFERROR(__xludf.DUMMYFUNCTION("AE559*(V559 / QUERY(NPCVar!$K$2:$N$12, ""Select N WHERE K='""&amp;AB559&amp;""'""))*TRUNC(1+10)*(TRUNC(MOD(($B559*1103515245 +12345)/ 65536, 32768),0)/32768)"),0.0372216796874999)</f>
        <v>3.7221679687499898E-2</v>
      </c>
      <c r="AG559" s="16"/>
      <c r="AH559" s="77"/>
      <c r="AI559" s="114"/>
    </row>
    <row r="560" spans="1:35" ht="16.2">
      <c r="A560" s="53">
        <v>559</v>
      </c>
      <c r="B560" s="118">
        <f t="shared" si="44"/>
        <v>1.7136400000000001</v>
      </c>
      <c r="C560" s="72" t="str">
        <f t="array" ref="C560">INDEX(NPCFName,TRUNC(1+(COUNTA(NPCFName))*(TRUNC(MOD(($B560*1103515245 +12345)/ 65536, 32768),0)/32768),0))</f>
        <v>Odeir</v>
      </c>
      <c r="D560" s="16" t="str">
        <f t="array" ref="D560">INDEX(NPCLName,TRUNC(1+(COUNTA(NPCLName))*(TRUNC(MOD(($B560*1103515245 +12345)/ 65536, 32768),0)/32768),0))</f>
        <v>Forestbluff</v>
      </c>
      <c r="E560" s="16" t="str">
        <f t="array" ref="E560">INDEX(NPCClass,TRUNC(1+(COUNTA(NPCClass))*(TRUNC(MOD(($B560*1103515245 +12345)/ 65536, 32768),0)/32768),0))</f>
        <v>Fighter</v>
      </c>
      <c r="F560" s="76">
        <v>8</v>
      </c>
      <c r="G560" s="153">
        <f ca="1">VLOOKUP($AB$2,'RF Mod'!$A$2:$G$12,2,FALSE)+VLOOKUP($AD$2,'RF Mod'!$I$2:$O$11,2,FALSE)+(TRUNC(6+(24-6)*(TRUNC(MOD(($Z560*1103515245 +12345)/ 65536, 32768),0)/32768),0))</f>
        <v>12</v>
      </c>
      <c r="H560" s="16" t="e">
        <f t="shared" ca="1" si="33"/>
        <v>#NAME?</v>
      </c>
      <c r="I560" s="153">
        <f ca="1">VLOOKUP($AB$2,'RF Mod'!$A$2:$G$12,3,FALSE)+VLOOKUP($AD$2,'RF Mod'!$I$2:$O$11,3,FALSE)+(TRUNC(6+(24-6)*(TRUNC(MOD(($Z560*1103515245 +12345)/ 65536, 32768),0)/32768),0))</f>
        <v>16</v>
      </c>
      <c r="J560" s="16" t="e">
        <f t="shared" ca="1" si="34"/>
        <v>#NAME?</v>
      </c>
      <c r="K560" s="153">
        <f ca="1">VLOOKUP($AB$2,'RF Mod'!$A$2:$G$12,3,FALSE)+VLOOKUP($AD$2,'RF Mod'!$I$2:$O$11,3,FALSE)+(TRUNC(6+(24-6)*(TRUNC(MOD(($Z560*1103515245 +12345)/ 65536, 32768),0)/32768),0))</f>
        <v>16</v>
      </c>
      <c r="L560" s="16" t="e">
        <f t="shared" ca="1" si="35"/>
        <v>#NAME?</v>
      </c>
      <c r="M560" s="153">
        <f ca="1">VLOOKUP($AB$2,'RF Mod'!$A$2:$G$12,4,FALSE)+VLOOKUP($AD$2,'RF Mod'!$I$2:$O$11,4,FALSE)+(TRUNC(6+(24-6)*(TRUNC(MOD(($Z560*1103515245 +12345)/ 65536, 32768),0)/32768),0))</f>
        <v>15</v>
      </c>
      <c r="N560" s="16" t="e">
        <f t="shared" ca="1" si="36"/>
        <v>#NAME?</v>
      </c>
      <c r="O560" s="153">
        <f ca="1">VLOOKUP($AB$2,'RF Mod'!$A$2:$G$12,5,FALSE)+VLOOKUP($AD$2,'RF Mod'!$I$2:$O$11,5,FALSE)+(TRUNC(6+(24-6)*(TRUNC(MOD(($Z560*1103515245 +12345)/ 65536, 32768),0)/32768),0))</f>
        <v>18</v>
      </c>
      <c r="P560" s="16" t="e">
        <f t="shared" ca="1" si="37"/>
        <v>#NAME?</v>
      </c>
      <c r="Q560" s="153">
        <f ca="1">VLOOKUP($AB$2,'RF Mod'!$A$2:$G$12,6,FALSE)+VLOOKUP($AD$2,'RF Mod'!$I$2:$O$11,6,FALSE)+(TRUNC(6+(24-6)*(TRUNC(MOD(($Z560*1103515245 +12345)/ 65536, 32768),0)/32768),0))</f>
        <v>16</v>
      </c>
      <c r="R560" s="16" t="e">
        <f t="shared" ca="1" si="38"/>
        <v>#NAME?</v>
      </c>
      <c r="S560" s="154">
        <f t="shared" ca="1" si="43"/>
        <v>144</v>
      </c>
      <c r="T560" s="154">
        <f t="shared" ca="1" si="39"/>
        <v>148</v>
      </c>
      <c r="U560" s="16" t="str">
        <f t="shared" ca="1" si="40"/>
        <v>Dead</v>
      </c>
      <c r="V560" s="155">
        <f ca="1">IFERROR(__xludf.DUMMYFUNCTION("if(W560=""Middle Age"",QUERY(NPCVar!$K$2:$N1000, ""Select L where K = '""&amp;AB560&amp;""'""),if(W560=""Old"",QUERY(NPCVar!$K$2:$N1000, ""Select M where K = '""&amp;AB560&amp;""'""),if(W560=""Venerable"",QUERY(NPCVar!$K$2:$N1000, ""Select N where K = '""&amp;AB560&amp;""'""),fa"&amp;"lse)))*X560"),60.5)</f>
        <v>60.5</v>
      </c>
      <c r="W560" s="156" t="str">
        <f t="array" ref="W560">INDEX(NPCAgeType,TRUNC(1+(4-1)*(TRUNC(MOD((X560*1103515245 +12345)/ 65536, 32768),0)/32768),0))</f>
        <v>Middle Age</v>
      </c>
      <c r="X560" s="117">
        <f t="shared" si="45"/>
        <v>2.2000000000000002</v>
      </c>
      <c r="Y560" s="157" t="e">
        <f t="array" aca="1" ref="Y560" ca="1">LOOKUP(ABS(MAX(Z560 + MIN(ABS(INDIRECT("Class Jobs!B"&amp;MATCH(E560,'Class Jobs'!$A$1:$A1000,0)&amp;":"&amp;"AF"&amp;MATCH(E560,'Class Jobs'!$A$1:$A1000,0)&amp;"")-$Z560)) * SUM(IF(MIN(ABS(INDIRECT("Class Jobs!B"&amp;MATCH(E560,'Class Jobs'!$A$1:$A1000,0)&amp;":"&amp;"AF"&amp;MATCH(E560,'Class Jobs'!$A$1:$A1000,0)&amp;"")-$Z560))=ABS(INDIRECT("Class Jobs!B"&amp;MATCH(E560,'Class Jobs'!$A$1:$A1000,0)&amp;":"&amp;"AF"&amp;MATCH(E560,'Class Jobs'!$A$1:$A1000,0)&amp;"")-$Z560),SIGN(INDIRECT("Class Jobs!B"&amp;MATCH(E560,'Class Jobs'!$A$1:A1000,0)&amp;":"&amp;"AF"&amp;MATCH(E560,'Class Jobs'!$A$1:$A1000,0)&amp;"")-$Z560),0)),0)),INDIRECT("Class Jobs!B"&amp;MATCH(E560,'Class Jobs'!$A$1:$A1000,0)&amp;":"&amp;"AF"&amp;MATCH(E560,'Class Jobs'!$A$1:$A1000,1)&amp;""),'Class Jobs'!$B$1:$AF$1)</f>
        <v>#REF!</v>
      </c>
      <c r="Z560" s="158">
        <f t="shared" si="41"/>
        <v>0.88</v>
      </c>
      <c r="AA560" s="16" t="str">
        <f t="array" ref="AA560">INDEX(NPCGender,TRUNC(1+(COUNTA(NPCGender))*(TRUNC(MOD(($B560*1103515245 +12345)/ 65536, 32768),0)/32768),0))</f>
        <v>Neutral</v>
      </c>
      <c r="AB560" s="16" t="str">
        <f t="array" ref="AB560">INDEX(NPCRace,TRUNC(1+(COUNTA(NPCRace))*(TRUNC(MOD(($B560*1103515245 +12345)/ 65536, 32768),0)/32768),0))</f>
        <v>Genasi</v>
      </c>
      <c r="AC560" s="16" t="str">
        <f t="array" ref="AC560">INDEX(NPCAL,TRUNC(1+(COUNTA(NPCAL))*(TRUNC(MOD(($B560*1103515245 +12345)/ 65536, 32768),0)/32768),0))</f>
        <v>LN</v>
      </c>
      <c r="AD560" s="72" t="str">
        <f ca="1">IFERROR(__xludf.DUMMYFUNCTION("if(V560&lt;15,QUERY(NPCVar!C:D,""Select D WHERE C = '""&amp;D560&amp;""'""),if((TRUNC(1+10)*(TRUNC(MOD((ROW(H560)*1103515245 +12345)/ 65536, 32768),0)/32768)/10) &gt; 0.85,INDEX(NPCFaction,TRUNC(1+(counta(NPCFaction)-1)*(TRUNC(MOD(($B560*1103515245 +12345)/ 65536, 3276"&amp;"8),0)/32768),0)),QUERY(NPCVar!C:D,""Select D WHERE C = '""&amp;D560&amp;""'"")))"),"Thieves Guild")</f>
        <v>Thieves Guild</v>
      </c>
      <c r="AE560" s="108" t="e">
        <f t="shared" ca="1" si="42"/>
        <v>#NAME?</v>
      </c>
      <c r="AF560" s="159">
        <f ca="1">IFERROR(__xludf.DUMMYFUNCTION("AE560*(V560 / QUERY(NPCVar!$K$2:$N$12, ""Select N WHERE K='""&amp;AB560&amp;""'""))*TRUNC(1+10)*(TRUNC(MOD(($B560*1103515245 +12345)/ 65536, 32768),0)/32768)"),2.13094116210937)</f>
        <v>2.1309411621093699</v>
      </c>
      <c r="AG560" s="16"/>
      <c r="AH560" s="77"/>
      <c r="AI560" s="114"/>
    </row>
    <row r="561" spans="1:35" ht="16.2">
      <c r="A561" s="53">
        <v>560</v>
      </c>
      <c r="B561" s="118">
        <f t="shared" si="44"/>
        <v>0.7077</v>
      </c>
      <c r="C561" s="72" t="str">
        <f t="array" ref="C561">INDEX(NPCFName,TRUNC(1+(COUNTA(NPCFName))*(TRUNC(MOD(($B561*1103515245 +12345)/ 65536, 32768),0)/32768),0))</f>
        <v>Besur</v>
      </c>
      <c r="D561" s="16" t="str">
        <f t="array" ref="D561">INDEX(NPCLName,TRUNC(1+(COUNTA(NPCLName))*(TRUNC(MOD(($B561*1103515245 +12345)/ 65536, 32768),0)/32768),0))</f>
        <v>Leafblight</v>
      </c>
      <c r="E561" s="16" t="str">
        <f t="array" ref="E561">INDEX(NPCClass,TRUNC(1+(COUNTA(NPCClass))*(TRUNC(MOD(($B561*1103515245 +12345)/ 65536, 32768),0)/32768),0))</f>
        <v>Paladin</v>
      </c>
      <c r="F561" s="76">
        <v>1</v>
      </c>
      <c r="G561" s="153">
        <f ca="1">VLOOKUP($AB$2,'RF Mod'!$A$2:$G$12,2,FALSE)+VLOOKUP($AD$2,'RF Mod'!$I$2:$O$11,2,FALSE)+(TRUNC(6+(24-6)*(TRUNC(MOD(($Z561*1103515245 +12345)/ 65536, 32768),0)/32768),0))</f>
        <v>7</v>
      </c>
      <c r="H561" s="16">
        <f t="shared" ca="1" si="33"/>
        <v>-2</v>
      </c>
      <c r="I561" s="153">
        <f ca="1">VLOOKUP($AB$2,'RF Mod'!$A$2:$G$12,3,FALSE)+VLOOKUP($AD$2,'RF Mod'!$I$2:$O$11,3,FALSE)+(TRUNC(6+(24-6)*(TRUNC(MOD(($Z561*1103515245 +12345)/ 65536, 32768),0)/32768),0))</f>
        <v>11</v>
      </c>
      <c r="J561" s="16" t="e">
        <f t="shared" ca="1" si="34"/>
        <v>#NAME?</v>
      </c>
      <c r="K561" s="153">
        <f ca="1">VLOOKUP($AB$2,'RF Mod'!$A$2:$G$12,3,FALSE)+VLOOKUP($AD$2,'RF Mod'!$I$2:$O$11,3,FALSE)+(TRUNC(6+(24-6)*(TRUNC(MOD(($Z561*1103515245 +12345)/ 65536, 32768),0)/32768),0))</f>
        <v>11</v>
      </c>
      <c r="L561" s="16" t="e">
        <f t="shared" ca="1" si="35"/>
        <v>#NAME?</v>
      </c>
      <c r="M561" s="153">
        <f ca="1">VLOOKUP($AB$2,'RF Mod'!$A$2:$G$12,4,FALSE)+VLOOKUP($AD$2,'RF Mod'!$I$2:$O$11,4,FALSE)+(TRUNC(6+(24-6)*(TRUNC(MOD(($Z561*1103515245 +12345)/ 65536, 32768),0)/32768),0))</f>
        <v>10</v>
      </c>
      <c r="N561" s="16" t="e">
        <f t="shared" ca="1" si="36"/>
        <v>#NAME?</v>
      </c>
      <c r="O561" s="153">
        <f ca="1">VLOOKUP($AB$2,'RF Mod'!$A$2:$G$12,5,FALSE)+VLOOKUP($AD$2,'RF Mod'!$I$2:$O$11,5,FALSE)+(TRUNC(6+(24-6)*(TRUNC(MOD(($Z561*1103515245 +12345)/ 65536, 32768),0)/32768),0))</f>
        <v>13</v>
      </c>
      <c r="P561" s="16" t="e">
        <f t="shared" ca="1" si="37"/>
        <v>#NAME?</v>
      </c>
      <c r="Q561" s="153">
        <f ca="1">VLOOKUP($AB$2,'RF Mod'!$A$2:$G$12,6,FALSE)+VLOOKUP($AD$2,'RF Mod'!$I$2:$O$11,6,FALSE)+(TRUNC(6+(24-6)*(TRUNC(MOD(($Z561*1103515245 +12345)/ 65536, 32768),0)/32768),0))</f>
        <v>11</v>
      </c>
      <c r="R561" s="16" t="e">
        <f t="shared" ca="1" si="38"/>
        <v>#NAME?</v>
      </c>
      <c r="S561" s="154">
        <f t="shared" ca="1" si="43"/>
        <v>19</v>
      </c>
      <c r="T561" s="154">
        <f t="shared" ca="1" si="39"/>
        <v>15</v>
      </c>
      <c r="U561" s="16" t="str">
        <f t="shared" ca="1" si="40"/>
        <v>Bloody</v>
      </c>
      <c r="V561" s="155">
        <f ca="1">IFERROR(__xludf.DUMMYFUNCTION("if(W561=""Middle Age"",QUERY(NPCVar!$K$2:$N1000, ""Select L where K = '""&amp;AB561&amp;""'""),if(W561=""Old"",QUERY(NPCVar!$K$2:$N1000, ""Select M where K = '""&amp;AB561&amp;""'""),if(W561=""Venerable"",QUERY(NPCVar!$K$2:$N1000, ""Select N where K = '""&amp;AB561&amp;""'""),fa"&amp;"lse)))*X561"),60.75)</f>
        <v>60.75</v>
      </c>
      <c r="W561" s="156" t="str">
        <f t="array" ref="W561">INDEX(NPCAgeType,TRUNC(1+(4-1)*(TRUNC(MOD((X561*1103515245 +12345)/ 65536, 32768),0)/32768),0))</f>
        <v>Old</v>
      </c>
      <c r="X561" s="117">
        <f t="shared" si="45"/>
        <v>0.9</v>
      </c>
      <c r="Y561" s="157" t="e">
        <f t="array" aca="1" ref="Y561" ca="1">LOOKUP(ABS(MAX(Z561 + MIN(ABS(INDIRECT("Class Jobs!B"&amp;MATCH(E561,'Class Jobs'!$A$1:$A1000,0)&amp;":"&amp;"AF"&amp;MATCH(E561,'Class Jobs'!$A$1:$A1000,0)&amp;"")-$Z561)) * SUM(IF(MIN(ABS(INDIRECT("Class Jobs!B"&amp;MATCH(E561,'Class Jobs'!$A$1:$A1000,0)&amp;":"&amp;"AF"&amp;MATCH(E561,'Class Jobs'!$A$1:$A1000,0)&amp;"")-$Z561))=ABS(INDIRECT("Class Jobs!B"&amp;MATCH(E561,'Class Jobs'!$A$1:$A1000,0)&amp;":"&amp;"AF"&amp;MATCH(E561,'Class Jobs'!$A$1:$A1000,0)&amp;"")-$Z561),SIGN(INDIRECT("Class Jobs!B"&amp;MATCH(E561,'Class Jobs'!$A$1:A1000,0)&amp;":"&amp;"AF"&amp;MATCH(E561,'Class Jobs'!$A$1:$A1000,0)&amp;"")-$Z561),0)),0)),INDIRECT("Class Jobs!B"&amp;MATCH(E561,'Class Jobs'!$A$1:$A1000,0)&amp;":"&amp;"AF"&amp;MATCH(E561,'Class Jobs'!$A$1:$A1000,1)&amp;""),'Class Jobs'!$B$1:$AF$1)</f>
        <v>#REF!</v>
      </c>
      <c r="Z561" s="158">
        <f t="shared" si="41"/>
        <v>0.37</v>
      </c>
      <c r="AA561" s="16" t="str">
        <f t="array" ref="AA561">INDEX(NPCGender,TRUNC(1+(COUNTA(NPCGender))*(TRUNC(MOD(($B561*1103515245 +12345)/ 65536, 32768),0)/32768),0))</f>
        <v>Female</v>
      </c>
      <c r="AB561" s="16" t="str">
        <f t="array" ref="AB561">INDEX(NPCRace,TRUNC(1+(COUNTA(NPCRace))*(TRUNC(MOD(($B561*1103515245 +12345)/ 65536, 32768),0)/32768),0))</f>
        <v>Half-Elf</v>
      </c>
      <c r="AC561" s="16" t="str">
        <f t="array" ref="AC561">INDEX(NPCAL,TRUNC(1+(COUNTA(NPCAL))*(TRUNC(MOD(($B561*1103515245 +12345)/ 65536, 32768),0)/32768),0))</f>
        <v>NG</v>
      </c>
      <c r="AD561" s="72" t="str">
        <f ca="1">IFERROR(__xludf.DUMMYFUNCTION("if(V561&lt;15,QUERY(NPCVar!C:D,""Select D WHERE C = '""&amp;D561&amp;""'""),if((TRUNC(1+10)*(TRUNC(MOD((ROW(H561)*1103515245 +12345)/ 65536, 32768),0)/32768)/10) &gt; 0.85,INDEX(NPCFaction,TRUNC(1+(counta(NPCFaction)-1)*(TRUNC(MOD(($B561*1103515245 +12345)/ 65536, 3276"&amp;"8),0)/32768),0)),QUERY(NPCVar!C:D,""Select D WHERE C = '""&amp;D561&amp;""'"")))"),"Necromancer")</f>
        <v>Necromancer</v>
      </c>
      <c r="AE561" s="108" t="e">
        <f t="shared" ca="1" si="42"/>
        <v>#NAME?</v>
      </c>
      <c r="AF561" s="159">
        <f ca="1">IFERROR(__xludf.DUMMYFUNCTION("AE561*(V561 / QUERY(NPCVar!$K$2:$N$12, ""Select N WHERE K='""&amp;AB561&amp;""'""))*TRUNC(1+10)*(TRUNC(MOD(($B561*1103515245 +12345)/ 65536, 32768),0)/32768)"),0.810024719238281)</f>
        <v>0.81002471923828101</v>
      </c>
      <c r="AG561" s="16"/>
      <c r="AH561" s="77"/>
      <c r="AI561" s="114"/>
    </row>
    <row r="562" spans="1:35" ht="16.2">
      <c r="A562" s="53">
        <v>561</v>
      </c>
      <c r="B562" s="118">
        <f t="shared" si="44"/>
        <v>2.2018399999999998</v>
      </c>
      <c r="C562" s="72" t="str">
        <f t="array" ref="C562">INDEX(NPCFName,TRUNC(1+(COUNTA(NPCFName))*(TRUNC(MOD(($B562*1103515245 +12345)/ 65536, 32768),0)/32768),0))</f>
        <v>Hectar</v>
      </c>
      <c r="D562" s="16" t="str">
        <f t="array" ref="D562">INDEX(NPCLName,TRUNC(1+(COUNTA(NPCLName))*(TRUNC(MOD(($B562*1103515245 +12345)/ 65536, 32768),0)/32768),0))</f>
        <v>Distantlash</v>
      </c>
      <c r="E562" s="16" t="str">
        <f t="array" ref="E562">INDEX(NPCClass,TRUNC(1+(COUNTA(NPCClass))*(TRUNC(MOD(($B562*1103515245 +12345)/ 65536, 32768),0)/32768),0))</f>
        <v>Bard</v>
      </c>
      <c r="F562" s="76">
        <v>1</v>
      </c>
      <c r="G562" s="153">
        <f ca="1">VLOOKUP($AB$2,'RF Mod'!$A$2:$G$12,2,FALSE)+VLOOKUP($AD$2,'RF Mod'!$I$2:$O$11,2,FALSE)+(TRUNC(6+(24-6)*(TRUNC(MOD(($Z562*1103515245 +12345)/ 65536, 32768),0)/32768),0))</f>
        <v>5</v>
      </c>
      <c r="H562" s="16">
        <f t="shared" ca="1" si="33"/>
        <v>-3</v>
      </c>
      <c r="I562" s="153">
        <f ca="1">VLOOKUP($AB$2,'RF Mod'!$A$2:$G$12,3,FALSE)+VLOOKUP($AD$2,'RF Mod'!$I$2:$O$11,3,FALSE)+(TRUNC(6+(24-6)*(TRUNC(MOD(($Z562*1103515245 +12345)/ 65536, 32768),0)/32768),0))</f>
        <v>9</v>
      </c>
      <c r="J562" s="16">
        <f t="shared" ca="1" si="34"/>
        <v>-1</v>
      </c>
      <c r="K562" s="153">
        <f ca="1">VLOOKUP($AB$2,'RF Mod'!$A$2:$G$12,3,FALSE)+VLOOKUP($AD$2,'RF Mod'!$I$2:$O$11,3,FALSE)+(TRUNC(6+(24-6)*(TRUNC(MOD(($Z562*1103515245 +12345)/ 65536, 32768),0)/32768),0))</f>
        <v>9</v>
      </c>
      <c r="L562" s="16">
        <f t="shared" ca="1" si="35"/>
        <v>-1</v>
      </c>
      <c r="M562" s="153">
        <f ca="1">VLOOKUP($AB$2,'RF Mod'!$A$2:$G$12,4,FALSE)+VLOOKUP($AD$2,'RF Mod'!$I$2:$O$11,4,FALSE)+(TRUNC(6+(24-6)*(TRUNC(MOD(($Z562*1103515245 +12345)/ 65536, 32768),0)/32768),0))</f>
        <v>8</v>
      </c>
      <c r="N562" s="16">
        <f t="shared" ca="1" si="36"/>
        <v>-1</v>
      </c>
      <c r="O562" s="153">
        <f ca="1">VLOOKUP($AB$2,'RF Mod'!$A$2:$G$12,5,FALSE)+VLOOKUP($AD$2,'RF Mod'!$I$2:$O$11,5,FALSE)+(TRUNC(6+(24-6)*(TRUNC(MOD(($Z562*1103515245 +12345)/ 65536, 32768),0)/32768),0))</f>
        <v>11</v>
      </c>
      <c r="P562" s="16" t="e">
        <f t="shared" ca="1" si="37"/>
        <v>#NAME?</v>
      </c>
      <c r="Q562" s="153">
        <f ca="1">VLOOKUP($AB$2,'RF Mod'!$A$2:$G$12,6,FALSE)+VLOOKUP($AD$2,'RF Mod'!$I$2:$O$11,6,FALSE)+(TRUNC(6+(24-6)*(TRUNC(MOD(($Z562*1103515245 +12345)/ 65536, 32768),0)/32768),0))</f>
        <v>9</v>
      </c>
      <c r="R562" s="16">
        <f t="shared" ca="1" si="38"/>
        <v>-1</v>
      </c>
      <c r="S562" s="154">
        <f t="shared" ca="1" si="43"/>
        <v>11</v>
      </c>
      <c r="T562" s="154">
        <f t="shared" ca="1" si="39"/>
        <v>10</v>
      </c>
      <c r="U562" s="16" t="str">
        <f t="shared" ca="1" si="40"/>
        <v>Bloody</v>
      </c>
      <c r="V562" s="155">
        <f ca="1">IFERROR(__xludf.DUMMYFUNCTION("if(W562=""Middle Age"",QUERY(NPCVar!$K$2:$N1000, ""Select L where K = '""&amp;AB562&amp;""'""),if(W562=""Old"",QUERY(NPCVar!$K$2:$N1000, ""Select M where K = '""&amp;AB562&amp;""'""),if(W562=""Venerable"",QUERY(NPCVar!$K$2:$N1000, ""Select N where K = '""&amp;AB562&amp;""'""),fa"&amp;"lse)))*X562"),32)</f>
        <v>32</v>
      </c>
      <c r="W562" s="156" t="str">
        <f t="array" ref="W562">INDEX(NPCAgeType,TRUNC(1+(4-1)*(TRUNC(MOD((X562*1103515245 +12345)/ 65536, 32768),0)/32768),0))</f>
        <v>Middle Age</v>
      </c>
      <c r="X562" s="117">
        <f t="shared" si="45"/>
        <v>0.4</v>
      </c>
      <c r="Y562" s="157" t="e">
        <f t="array" aca="1" ref="Y562" ca="1">LOOKUP(ABS(MAX(Z562 + MIN(ABS(INDIRECT("Class Jobs!B"&amp;MATCH(E562,'Class Jobs'!$A$1:$A1000,0)&amp;":"&amp;"AF"&amp;MATCH(E562,'Class Jobs'!$A$1:$A1000,0)&amp;"")-$Z562)) * SUM(IF(MIN(ABS(INDIRECT("Class Jobs!B"&amp;MATCH(E562,'Class Jobs'!$A$1:$A1000,0)&amp;":"&amp;"AF"&amp;MATCH(E562,'Class Jobs'!$A$1:$A1000,0)&amp;"")-$Z562))=ABS(INDIRECT("Class Jobs!B"&amp;MATCH(E562,'Class Jobs'!$A$1:$A1000,0)&amp;":"&amp;"AF"&amp;MATCH(E562,'Class Jobs'!$A$1:$A1000,0)&amp;"")-$Z562),SIGN(INDIRECT("Class Jobs!B"&amp;MATCH(E562,'Class Jobs'!$A$1:A1000,0)&amp;":"&amp;"AF"&amp;MATCH(E562,'Class Jobs'!$A$1:$A1000,0)&amp;"")-$Z562),0)),0)),INDIRECT("Class Jobs!B"&amp;MATCH(E562,'Class Jobs'!$A$1:$A1000,0)&amp;":"&amp;"AF"&amp;MATCH(E562,'Class Jobs'!$A$1:$A1000,1)&amp;""),'Class Jobs'!$B$1:$AF$1)</f>
        <v>#REF!</v>
      </c>
      <c r="Z562" s="158">
        <f t="shared" si="41"/>
        <v>0.14000000000000001</v>
      </c>
      <c r="AA562" s="16" t="str">
        <f t="array" ref="AA562">INDEX(NPCGender,TRUNC(1+(COUNTA(NPCGender))*(TRUNC(MOD(($B562*1103515245 +12345)/ 65536, 32768),0)/32768),0))</f>
        <v>Male</v>
      </c>
      <c r="AB562" s="16" t="str">
        <f t="array" ref="AB562">INDEX(NPCRace,TRUNC(1+(COUNTA(NPCRace))*(TRUNC(MOD(($B562*1103515245 +12345)/ 65536, 32768),0)/32768),0))</f>
        <v>Dwarf</v>
      </c>
      <c r="AC562" s="16" t="str">
        <f t="array" ref="AC562">INDEX(NPCAL,TRUNC(1+(COUNTA(NPCAL))*(TRUNC(MOD(($B562*1103515245 +12345)/ 65536, 32768),0)/32768),0))</f>
        <v>CE</v>
      </c>
      <c r="AD562" s="72" t="str">
        <f ca="1">IFERROR(__xludf.DUMMYFUNCTION("if(V562&lt;15,QUERY(NPCVar!C:D,""Select D WHERE C = '""&amp;D562&amp;""'""),if((TRUNC(1+10)*(TRUNC(MOD((ROW(H562)*1103515245 +12345)/ 65536, 32768),0)/32768)/10) &gt; 0.85,INDEX(NPCFaction,TRUNC(1+(counta(NPCFaction)-1)*(TRUNC(MOD(($B562*1103515245 +12345)/ 65536, 3276"&amp;"8),0)/32768),0)),QUERY(NPCVar!C:D,""Select D WHERE C = '""&amp;D562&amp;""'"")))"),"Necromancer")</f>
        <v>Necromancer</v>
      </c>
      <c r="AE562" s="108" t="e">
        <f t="shared" ca="1" si="42"/>
        <v>#NAME?</v>
      </c>
      <c r="AF562" s="159">
        <f ca="1">IFERROR(__xludf.DUMMYFUNCTION("AE562*(V562 / QUERY(NPCVar!$K$2:$N$12, ""Select N WHERE K='""&amp;AB562&amp;""'""))*TRUNC(1+10)*(TRUNC(MOD(($B562*1103515245 +12345)/ 65536, 32768),0)/32768)"),0)</f>
        <v>0</v>
      </c>
      <c r="AG562" s="16"/>
      <c r="AH562" s="77"/>
      <c r="AI562" s="114"/>
    </row>
    <row r="563" spans="1:35" ht="16.2">
      <c r="A563" s="53">
        <v>562</v>
      </c>
      <c r="B563" s="118">
        <f t="shared" si="44"/>
        <v>1.19598</v>
      </c>
      <c r="C563" s="72" t="str">
        <f t="array" ref="C563">INDEX(NPCFName,TRUNC(1+(COUNTA(NPCFName))*(TRUNC(MOD(($B563*1103515245 +12345)/ 65536, 32768),0)/32768),0))</f>
        <v>Tessino</v>
      </c>
      <c r="D563" s="16" t="str">
        <f t="array" ref="D563">INDEX(NPCLName,TRUNC(1+(COUNTA(NPCLName))*(TRUNC(MOD(($B563*1103515245 +12345)/ 65536, 32768),0)/32768),0))</f>
        <v>Gloomrage</v>
      </c>
      <c r="E563" s="16" t="str">
        <f t="array" ref="E563">INDEX(NPCClass,TRUNC(1+(COUNTA(NPCClass))*(TRUNC(MOD(($B563*1103515245 +12345)/ 65536, 32768),0)/32768),0))</f>
        <v>Warlock</v>
      </c>
      <c r="F563" s="76">
        <v>7</v>
      </c>
      <c r="G563" s="153">
        <f ca="1">VLOOKUP($AB$2,'RF Mod'!$A$2:$G$12,2,FALSE)+VLOOKUP($AD$2,'RF Mod'!$I$2:$O$11,2,FALSE)+(TRUNC(6+(24-6)*(TRUNC(MOD(($Z563*1103515245 +12345)/ 65536, 32768),0)/32768),0))</f>
        <v>9</v>
      </c>
      <c r="H563" s="16">
        <f t="shared" ca="1" si="33"/>
        <v>-1</v>
      </c>
      <c r="I563" s="153">
        <f ca="1">VLOOKUP($AB$2,'RF Mod'!$A$2:$G$12,3,FALSE)+VLOOKUP($AD$2,'RF Mod'!$I$2:$O$11,3,FALSE)+(TRUNC(6+(24-6)*(TRUNC(MOD(($Z563*1103515245 +12345)/ 65536, 32768),0)/32768),0))</f>
        <v>13</v>
      </c>
      <c r="J563" s="16" t="e">
        <f t="shared" ca="1" si="34"/>
        <v>#NAME?</v>
      </c>
      <c r="K563" s="153">
        <f ca="1">VLOOKUP($AB$2,'RF Mod'!$A$2:$G$12,3,FALSE)+VLOOKUP($AD$2,'RF Mod'!$I$2:$O$11,3,FALSE)+(TRUNC(6+(24-6)*(TRUNC(MOD(($Z563*1103515245 +12345)/ 65536, 32768),0)/32768),0))</f>
        <v>13</v>
      </c>
      <c r="L563" s="16" t="e">
        <f t="shared" ca="1" si="35"/>
        <v>#NAME?</v>
      </c>
      <c r="M563" s="153">
        <f ca="1">VLOOKUP($AB$2,'RF Mod'!$A$2:$G$12,4,FALSE)+VLOOKUP($AD$2,'RF Mod'!$I$2:$O$11,4,FALSE)+(TRUNC(6+(24-6)*(TRUNC(MOD(($Z563*1103515245 +12345)/ 65536, 32768),0)/32768),0))</f>
        <v>12</v>
      </c>
      <c r="N563" s="16" t="e">
        <f t="shared" ca="1" si="36"/>
        <v>#NAME?</v>
      </c>
      <c r="O563" s="153">
        <f ca="1">VLOOKUP($AB$2,'RF Mod'!$A$2:$G$12,5,FALSE)+VLOOKUP($AD$2,'RF Mod'!$I$2:$O$11,5,FALSE)+(TRUNC(6+(24-6)*(TRUNC(MOD(($Z563*1103515245 +12345)/ 65536, 32768),0)/32768),0))</f>
        <v>15</v>
      </c>
      <c r="P563" s="16" t="e">
        <f t="shared" ca="1" si="37"/>
        <v>#NAME?</v>
      </c>
      <c r="Q563" s="153">
        <f ca="1">VLOOKUP($AB$2,'RF Mod'!$A$2:$G$12,6,FALSE)+VLOOKUP($AD$2,'RF Mod'!$I$2:$O$11,6,FALSE)+(TRUNC(6+(24-6)*(TRUNC(MOD(($Z563*1103515245 +12345)/ 65536, 32768),0)/32768),0))</f>
        <v>13</v>
      </c>
      <c r="R563" s="16" t="e">
        <f t="shared" ca="1" si="38"/>
        <v>#NAME?</v>
      </c>
      <c r="S563" s="154">
        <f t="shared" ca="1" si="43"/>
        <v>189</v>
      </c>
      <c r="T563" s="154">
        <f t="shared" ca="1" si="39"/>
        <v>144</v>
      </c>
      <c r="U563" s="16" t="str">
        <f t="shared" ca="1" si="40"/>
        <v>Bloody</v>
      </c>
      <c r="V563" s="155">
        <f ca="1">IFERROR(__xludf.DUMMYFUNCTION("if(W563=""Middle Age"",QUERY(NPCVar!$K$2:$N1000, ""Select L where K = '""&amp;AB563&amp;""'""),if(W563=""Old"",QUERY(NPCVar!$K$2:$N1000, ""Select M where K = '""&amp;AB563&amp;""'""),if(W563=""Venerable"",QUERY(NPCVar!$K$2:$N1000, ""Select N where K = '""&amp;AB563&amp;""'""),fa"&amp;"lse)))*X563"),300)</f>
        <v>300</v>
      </c>
      <c r="W563" s="156" t="str">
        <f t="array" ref="W563">INDEX(NPCAgeType,TRUNC(1+(4-1)*(TRUNC(MOD((X563*1103515245 +12345)/ 65536, 32768),0)/32768),0))</f>
        <v>Venerable</v>
      </c>
      <c r="X563" s="117">
        <f t="shared" si="45"/>
        <v>1.5</v>
      </c>
      <c r="Y563" s="157" t="e">
        <f t="array" aca="1" ref="Y563" ca="1">LOOKUP(ABS(MAX(Z563 + MIN(ABS(INDIRECT("Class Jobs!B"&amp;MATCH(E563,'Class Jobs'!$A$1:$A1000,0)&amp;":"&amp;"AF"&amp;MATCH(E563,'Class Jobs'!$A$1:$A1000,0)&amp;"")-$Z563)) * SUM(IF(MIN(ABS(INDIRECT("Class Jobs!B"&amp;MATCH(E563,'Class Jobs'!$A$1:$A1000,0)&amp;":"&amp;"AF"&amp;MATCH(E563,'Class Jobs'!$A$1:$A1000,0)&amp;"")-$Z563))=ABS(INDIRECT("Class Jobs!B"&amp;MATCH(E563,'Class Jobs'!$A$1:$A1000,0)&amp;":"&amp;"AF"&amp;MATCH(E563,'Class Jobs'!$A$1:$A1000,0)&amp;"")-$Z563),SIGN(INDIRECT("Class Jobs!B"&amp;MATCH(E563,'Class Jobs'!$A$1:A1000,0)&amp;":"&amp;"AF"&amp;MATCH(E563,'Class Jobs'!$A$1:$A1000,0)&amp;"")-$Z563),0)),0)),INDIRECT("Class Jobs!B"&amp;MATCH(E563,'Class Jobs'!$A$1:$A1000,0)&amp;":"&amp;"AF"&amp;MATCH(E563,'Class Jobs'!$A$1:$A1000,1)&amp;""),'Class Jobs'!$B$1:$AF$1)</f>
        <v>#REF!</v>
      </c>
      <c r="Z563" s="158">
        <f t="shared" si="41"/>
        <v>0.61</v>
      </c>
      <c r="AA563" s="16" t="str">
        <f t="array" ref="AA563">INDEX(NPCGender,TRUNC(1+(COUNTA(NPCGender))*(TRUNC(MOD(($B563*1103515245 +12345)/ 65536, 32768),0)/32768),0))</f>
        <v>Female</v>
      </c>
      <c r="AB563" s="16" t="str">
        <f t="array" ref="AB563">INDEX(NPCRace,TRUNC(1+(COUNTA(NPCRace))*(TRUNC(MOD(($B563*1103515245 +12345)/ 65536, 32768),0)/32768),0))</f>
        <v>Halfling</v>
      </c>
      <c r="AC563" s="16" t="str">
        <f t="array" ref="AC563">INDEX(NPCAL,TRUNC(1+(COUNTA(NPCAL))*(TRUNC(MOD(($B563*1103515245 +12345)/ 65536, 32768),0)/32768),0))</f>
        <v>NE</v>
      </c>
      <c r="AD563" s="72" t="str">
        <f ca="1">IFERROR(__xludf.DUMMYFUNCTION("if(V563&lt;15,QUERY(NPCVar!C:D,""Select D WHERE C = '""&amp;D563&amp;""'""),if((TRUNC(1+10)*(TRUNC(MOD((ROW(H563)*1103515245 +12345)/ 65536, 32768),0)/32768)/10) &gt; 0.85,INDEX(NPCFaction,TRUNC(1+(counta(NPCFaction)-1)*(TRUNC(MOD(($B563*1103515245 +12345)/ 65536, 3276"&amp;"8),0)/32768),0)),QUERY(NPCVar!C:D,""Select D WHERE C = '""&amp;D563&amp;""'"")))"),"Traders Guild")</f>
        <v>Traders Guild</v>
      </c>
      <c r="AE563" s="108" t="e">
        <f t="shared" ca="1" si="42"/>
        <v>#NAME?</v>
      </c>
      <c r="AF563" s="159">
        <f ca="1">IFERROR(__xludf.DUMMYFUNCTION("AE563*(V563 / QUERY(NPCVar!$K$2:$N$12, ""Select N WHERE K='""&amp;AB563&amp;""'""))*TRUNC(1+10)*(TRUNC(MOD(($B563*1103515245 +12345)/ 65536, 32768),0)/32768)"),9.12626037597656)</f>
        <v>9.1262603759765604</v>
      </c>
      <c r="AG563" s="16"/>
      <c r="AH563" s="77"/>
      <c r="AI563" s="114"/>
    </row>
    <row r="564" spans="1:35" ht="16.2">
      <c r="A564" s="53">
        <v>563</v>
      </c>
      <c r="B564" s="118">
        <f t="shared" si="44"/>
        <v>0.19012999999999999</v>
      </c>
      <c r="C564" s="72" t="str">
        <f t="array" ref="C564">INDEX(NPCFName,TRUNC(1+(COUNTA(NPCFName))*(TRUNC(MOD(($B564*1103515245 +12345)/ 65536, 32768),0)/32768),0))</f>
        <v>Eritai</v>
      </c>
      <c r="D564" s="16" t="str">
        <f t="array" ref="D564">INDEX(NPCLName,TRUNC(1+(COUNTA(NPCLName))*(TRUNC(MOD(($B564*1103515245 +12345)/ 65536, 32768),0)/32768),0))</f>
        <v>Autumnorb</v>
      </c>
      <c r="E564" s="16" t="str">
        <f t="array" ref="E564">INDEX(NPCClass,TRUNC(1+(COUNTA(NPCClass))*(TRUNC(MOD(($B564*1103515245 +12345)/ 65536, 32768),0)/32768),0))</f>
        <v>Bard</v>
      </c>
      <c r="F564" s="76">
        <v>1</v>
      </c>
      <c r="G564" s="153">
        <f ca="1">VLOOKUP($AB$2,'RF Mod'!$A$2:$G$12,2,FALSE)+VLOOKUP($AD$2,'RF Mod'!$I$2:$O$11,2,FALSE)+(TRUNC(6+(24-6)*(TRUNC(MOD(($Z564*1103515245 +12345)/ 65536, 32768),0)/32768),0))</f>
        <v>4</v>
      </c>
      <c r="H564" s="16">
        <f t="shared" ca="1" si="33"/>
        <v>-3</v>
      </c>
      <c r="I564" s="153">
        <f ca="1">VLOOKUP($AB$2,'RF Mod'!$A$2:$G$12,3,FALSE)+VLOOKUP($AD$2,'RF Mod'!$I$2:$O$11,3,FALSE)+(TRUNC(6+(24-6)*(TRUNC(MOD(($Z564*1103515245 +12345)/ 65536, 32768),0)/32768),0))</f>
        <v>8</v>
      </c>
      <c r="J564" s="16">
        <f t="shared" ca="1" si="34"/>
        <v>-1</v>
      </c>
      <c r="K564" s="153">
        <f ca="1">VLOOKUP($AB$2,'RF Mod'!$A$2:$G$12,3,FALSE)+VLOOKUP($AD$2,'RF Mod'!$I$2:$O$11,3,FALSE)+(TRUNC(6+(24-6)*(TRUNC(MOD(($Z564*1103515245 +12345)/ 65536, 32768),0)/32768),0))</f>
        <v>8</v>
      </c>
      <c r="L564" s="16">
        <f t="shared" ca="1" si="35"/>
        <v>-1</v>
      </c>
      <c r="M564" s="153">
        <f ca="1">VLOOKUP($AB$2,'RF Mod'!$A$2:$G$12,4,FALSE)+VLOOKUP($AD$2,'RF Mod'!$I$2:$O$11,4,FALSE)+(TRUNC(6+(24-6)*(TRUNC(MOD(($Z564*1103515245 +12345)/ 65536, 32768),0)/32768),0))</f>
        <v>7</v>
      </c>
      <c r="N564" s="16">
        <f t="shared" ca="1" si="36"/>
        <v>-2</v>
      </c>
      <c r="O564" s="153">
        <f ca="1">VLOOKUP($AB$2,'RF Mod'!$A$2:$G$12,5,FALSE)+VLOOKUP($AD$2,'RF Mod'!$I$2:$O$11,5,FALSE)+(TRUNC(6+(24-6)*(TRUNC(MOD(($Z564*1103515245 +12345)/ 65536, 32768),0)/32768),0))</f>
        <v>10</v>
      </c>
      <c r="P564" s="16" t="e">
        <f t="shared" ca="1" si="37"/>
        <v>#NAME?</v>
      </c>
      <c r="Q564" s="153">
        <f ca="1">VLOOKUP($AB$2,'RF Mod'!$A$2:$G$12,6,FALSE)+VLOOKUP($AD$2,'RF Mod'!$I$2:$O$11,6,FALSE)+(TRUNC(6+(24-6)*(TRUNC(MOD(($Z564*1103515245 +12345)/ 65536, 32768),0)/32768),0))</f>
        <v>8</v>
      </c>
      <c r="R564" s="16">
        <f t="shared" ca="1" si="38"/>
        <v>-1</v>
      </c>
      <c r="S564" s="154">
        <f t="shared" ca="1" si="43"/>
        <v>10</v>
      </c>
      <c r="T564" s="154">
        <f t="shared" ca="1" si="39"/>
        <v>4</v>
      </c>
      <c r="U564" s="16" t="str">
        <f t="shared" ca="1" si="40"/>
        <v>Fine</v>
      </c>
      <c r="V564" s="155">
        <f ca="1">IFERROR(__xludf.DUMMYFUNCTION("if(W564=""Middle Age"",QUERY(NPCVar!$K$2:$N1000, ""Select L where K = '""&amp;AB564&amp;""'""),if(W564=""Old"",QUERY(NPCVar!$K$2:$N1000, ""Select M where K = '""&amp;AB564&amp;""'""),if(W564=""Venerable"",QUERY(NPCVar!$K$2:$N1000, ""Select N where K = '""&amp;AB564&amp;""'""),fa"&amp;"lse)))*X564"),24)</f>
        <v>24</v>
      </c>
      <c r="W564" s="156" t="str">
        <f t="array" ref="W564">INDEX(NPCAgeType,TRUNC(1+(4-1)*(TRUNC(MOD((X564*1103515245 +12345)/ 65536, 32768),0)/32768),0))</f>
        <v>Middle Age</v>
      </c>
      <c r="X564" s="117">
        <f t="shared" si="45"/>
        <v>0.3</v>
      </c>
      <c r="Y564" s="157" t="e">
        <f t="array" aca="1" ref="Y564" ca="1">LOOKUP(ABS(MAX(Z564 + MIN(ABS(INDIRECT("Class Jobs!B"&amp;MATCH(E564,'Class Jobs'!$A$1:$A1000,0)&amp;":"&amp;"AF"&amp;MATCH(E564,'Class Jobs'!$A$1:$A1000,0)&amp;"")-$Z564)) * SUM(IF(MIN(ABS(INDIRECT("Class Jobs!B"&amp;MATCH(E564,'Class Jobs'!$A$1:$A1000,0)&amp;":"&amp;"AF"&amp;MATCH(E564,'Class Jobs'!$A$1:$A1000,0)&amp;"")-$Z564))=ABS(INDIRECT("Class Jobs!B"&amp;MATCH(E564,'Class Jobs'!$A$1:$A1000,0)&amp;":"&amp;"AF"&amp;MATCH(E564,'Class Jobs'!$A$1:$A1000,0)&amp;"")-$Z564),SIGN(INDIRECT("Class Jobs!B"&amp;MATCH(E564,'Class Jobs'!$A$1:A1000,0)&amp;":"&amp;"AF"&amp;MATCH(E564,'Class Jobs'!$A$1:$A1000,0)&amp;"")-$Z564),0)),0)),INDIRECT("Class Jobs!B"&amp;MATCH(E564,'Class Jobs'!$A$1:$A1000,0)&amp;":"&amp;"AF"&amp;MATCH(E564,'Class Jobs'!$A$1:$A1000,1)&amp;""),'Class Jobs'!$B$1:$AF$1)</f>
        <v>#REF!</v>
      </c>
      <c r="Z564" s="158">
        <f t="shared" si="41"/>
        <v>0.1</v>
      </c>
      <c r="AA564" s="16" t="str">
        <f t="array" ref="AA564">INDEX(NPCGender,TRUNC(1+(COUNTA(NPCGender))*(TRUNC(MOD(($B564*1103515245 +12345)/ 65536, 32768),0)/32768),0))</f>
        <v>Male</v>
      </c>
      <c r="AB564" s="16" t="str">
        <f t="array" ref="AB564">INDEX(NPCRace,TRUNC(1+(COUNTA(NPCRace))*(TRUNC(MOD(($B564*1103515245 +12345)/ 65536, 32768),0)/32768),0))</f>
        <v>Dwarf</v>
      </c>
      <c r="AC564" s="16" t="str">
        <f t="array" ref="AC564">INDEX(NPCAL,TRUNC(1+(COUNTA(NPCAL))*(TRUNC(MOD(($B564*1103515245 +12345)/ 65536, 32768),0)/32768),0))</f>
        <v>CN</v>
      </c>
      <c r="AD564" s="72" t="str">
        <f ca="1">IFERROR(__xludf.DUMMYFUNCTION("if(V564&lt;15,QUERY(NPCVar!C:D,""Select D WHERE C = '""&amp;D564&amp;""'""),if((TRUNC(1+10)*(TRUNC(MOD((ROW(H564)*1103515245 +12345)/ 65536, 32768),0)/32768)/10) &gt; 0.85,INDEX(NPCFaction,TRUNC(1+(counta(NPCFaction)-1)*(TRUNC(MOD(($B564*1103515245 +12345)/ 65536, 3276"&amp;"8),0)/32768),0)),QUERY(NPCVar!C:D,""Select D WHERE C = '""&amp;D564&amp;""'"")))"),"Royalty")</f>
        <v>Royalty</v>
      </c>
      <c r="AE564" s="108" t="e">
        <f t="shared" ca="1" si="42"/>
        <v>#NAME?</v>
      </c>
      <c r="AF564" s="159">
        <f ca="1">IFERROR(__xludf.DUMMYFUNCTION("AE564*(V564 / QUERY(NPCVar!$K$2:$N$12, ""Select N WHERE K='""&amp;AB564&amp;""'""))*TRUNC(1+10)*(TRUNC(MOD(($B564*1103515245 +12345)/ 65536, 32768),0)/32768)"),0)</f>
        <v>0</v>
      </c>
      <c r="AG564" s="16"/>
      <c r="AH564" s="77"/>
      <c r="AI564" s="114"/>
    </row>
    <row r="565" spans="1:35" ht="16.2">
      <c r="A565" s="53">
        <v>564</v>
      </c>
      <c r="B565" s="118">
        <f t="shared" si="44"/>
        <v>1.6842600000000001</v>
      </c>
      <c r="C565" s="72" t="str">
        <f t="array" ref="C565">INDEX(NPCFName,TRUNC(1+(COUNTA(NPCFName))*(TRUNC(MOD(($B565*1103515245 +12345)/ 65536, 32768),0)/32768),0))</f>
        <v>Mylo</v>
      </c>
      <c r="D565" s="16" t="str">
        <f t="array" ref="D565">INDEX(NPCLName,TRUNC(1+(COUNTA(NPCLName))*(TRUNC(MOD(($B565*1103515245 +12345)/ 65536, 32768),0)/32768),0))</f>
        <v>Springgust</v>
      </c>
      <c r="E565" s="16" t="str">
        <f t="array" ref="E565">INDEX(NPCClass,TRUNC(1+(COUNTA(NPCClass))*(TRUNC(MOD(($B565*1103515245 +12345)/ 65536, 32768),0)/32768),0))</f>
        <v>Fighter</v>
      </c>
      <c r="F565" s="76">
        <v>8</v>
      </c>
      <c r="G565" s="153">
        <f ca="1">VLOOKUP($AB$2,'RF Mod'!$A$2:$G$12,2,FALSE)+VLOOKUP($AD$2,'RF Mod'!$I$2:$O$11,2,FALSE)+(TRUNC(6+(24-6)*(TRUNC(MOD(($Z565*1103515245 +12345)/ 65536, 32768),0)/32768),0))</f>
        <v>11</v>
      </c>
      <c r="H565" s="16" t="e">
        <f t="shared" ca="1" si="33"/>
        <v>#NAME?</v>
      </c>
      <c r="I565" s="153">
        <f ca="1">VLOOKUP($AB$2,'RF Mod'!$A$2:$G$12,3,FALSE)+VLOOKUP($AD$2,'RF Mod'!$I$2:$O$11,3,FALSE)+(TRUNC(6+(24-6)*(TRUNC(MOD(($Z565*1103515245 +12345)/ 65536, 32768),0)/32768),0))</f>
        <v>15</v>
      </c>
      <c r="J565" s="16" t="e">
        <f t="shared" ca="1" si="34"/>
        <v>#NAME?</v>
      </c>
      <c r="K565" s="153">
        <f ca="1">VLOOKUP($AB$2,'RF Mod'!$A$2:$G$12,3,FALSE)+VLOOKUP($AD$2,'RF Mod'!$I$2:$O$11,3,FALSE)+(TRUNC(6+(24-6)*(TRUNC(MOD(($Z565*1103515245 +12345)/ 65536, 32768),0)/32768),0))</f>
        <v>15</v>
      </c>
      <c r="L565" s="16" t="e">
        <f t="shared" ca="1" si="35"/>
        <v>#NAME?</v>
      </c>
      <c r="M565" s="153">
        <f ca="1">VLOOKUP($AB$2,'RF Mod'!$A$2:$G$12,4,FALSE)+VLOOKUP($AD$2,'RF Mod'!$I$2:$O$11,4,FALSE)+(TRUNC(6+(24-6)*(TRUNC(MOD(($Z565*1103515245 +12345)/ 65536, 32768),0)/32768),0))</f>
        <v>14</v>
      </c>
      <c r="N565" s="16" t="e">
        <f t="shared" ca="1" si="36"/>
        <v>#NAME?</v>
      </c>
      <c r="O565" s="153">
        <f ca="1">VLOOKUP($AB$2,'RF Mod'!$A$2:$G$12,5,FALSE)+VLOOKUP($AD$2,'RF Mod'!$I$2:$O$11,5,FALSE)+(TRUNC(6+(24-6)*(TRUNC(MOD(($Z565*1103515245 +12345)/ 65536, 32768),0)/32768),0))</f>
        <v>17</v>
      </c>
      <c r="P565" s="16" t="e">
        <f t="shared" ca="1" si="37"/>
        <v>#NAME?</v>
      </c>
      <c r="Q565" s="153">
        <f ca="1">VLOOKUP($AB$2,'RF Mod'!$A$2:$G$12,6,FALSE)+VLOOKUP($AD$2,'RF Mod'!$I$2:$O$11,6,FALSE)+(TRUNC(6+(24-6)*(TRUNC(MOD(($Z565*1103515245 +12345)/ 65536, 32768),0)/32768),0))</f>
        <v>15</v>
      </c>
      <c r="R565" s="16" t="e">
        <f t="shared" ca="1" si="38"/>
        <v>#NAME?</v>
      </c>
      <c r="S565" s="154">
        <f t="shared" ca="1" si="43"/>
        <v>168</v>
      </c>
      <c r="T565" s="154">
        <f t="shared" ca="1" si="39"/>
        <v>2</v>
      </c>
      <c r="U565" s="16" t="str">
        <f t="shared" ca="1" si="40"/>
        <v>Fine</v>
      </c>
      <c r="V565" s="155">
        <f ca="1">IFERROR(__xludf.DUMMYFUNCTION("if(W565=""Middle Age"",QUERY(NPCVar!$K$2:$N1000, ""Select L where K = '""&amp;AB565&amp;""'""),if(W565=""Old"",QUERY(NPCVar!$K$2:$N1000, ""Select M where K = '""&amp;AB565&amp;""'""),if(W565=""Venerable"",QUERY(NPCVar!$K$2:$N1000, ""Select N where K = '""&amp;AB565&amp;""'""),fa"&amp;"lse)))*X565"),57.75)</f>
        <v>57.75</v>
      </c>
      <c r="W565" s="156" t="str">
        <f t="array" ref="W565">INDEX(NPCAgeType,TRUNC(1+(4-1)*(TRUNC(MOD((X565*1103515245 +12345)/ 65536, 32768),0)/32768),0))</f>
        <v>Middle Age</v>
      </c>
      <c r="X565" s="117">
        <f t="shared" si="45"/>
        <v>2.1</v>
      </c>
      <c r="Y565" s="157" t="e">
        <f t="array" aca="1" ref="Y565" ca="1">LOOKUP(ABS(MAX(Z565 + MIN(ABS(INDIRECT("Class Jobs!B"&amp;MATCH(E565,'Class Jobs'!$A$1:$A1000,0)&amp;":"&amp;"AF"&amp;MATCH(E565,'Class Jobs'!$A$1:$A1000,0)&amp;"")-$Z565)) * SUM(IF(MIN(ABS(INDIRECT("Class Jobs!B"&amp;MATCH(E565,'Class Jobs'!$A$1:$A1000,0)&amp;":"&amp;"AF"&amp;MATCH(E565,'Class Jobs'!$A$1:$A1000,0)&amp;"")-$Z565))=ABS(INDIRECT("Class Jobs!B"&amp;MATCH(E565,'Class Jobs'!$A$1:$A1000,0)&amp;":"&amp;"AF"&amp;MATCH(E565,'Class Jobs'!$A$1:$A1000,0)&amp;"")-$Z565),SIGN(INDIRECT("Class Jobs!B"&amp;MATCH(E565,'Class Jobs'!$A$1:A1000,0)&amp;":"&amp;"AF"&amp;MATCH(E565,'Class Jobs'!$A$1:$A1000,0)&amp;"")-$Z565),0)),0)),INDIRECT("Class Jobs!B"&amp;MATCH(E565,'Class Jobs'!$A$1:$A1000,0)&amp;":"&amp;"AF"&amp;MATCH(E565,'Class Jobs'!$A$1:$A1000,1)&amp;""),'Class Jobs'!$B$1:$AF$1)</f>
        <v>#REF!</v>
      </c>
      <c r="Z565" s="158">
        <f t="shared" si="41"/>
        <v>0.86</v>
      </c>
      <c r="AA565" s="16" t="str">
        <f t="array" ref="AA565">INDEX(NPCGender,TRUNC(1+(COUNTA(NPCGender))*(TRUNC(MOD(($B565*1103515245 +12345)/ 65536, 32768),0)/32768),0))</f>
        <v>Neutral</v>
      </c>
      <c r="AB565" s="16" t="str">
        <f t="array" ref="AB565">INDEX(NPCRace,TRUNC(1+(COUNTA(NPCRace))*(TRUNC(MOD(($B565*1103515245 +12345)/ 65536, 32768),0)/32768),0))</f>
        <v>Genasi</v>
      </c>
      <c r="AC565" s="16" t="str">
        <f t="array" ref="AC565">INDEX(NPCAL,TRUNC(1+(COUNTA(NPCAL))*(TRUNC(MOD(($B565*1103515245 +12345)/ 65536, 32768),0)/32768),0))</f>
        <v>LN</v>
      </c>
      <c r="AD565" s="72" t="str">
        <f ca="1">IFERROR(__xludf.DUMMYFUNCTION("if(V565&lt;15,QUERY(NPCVar!C:D,""Select D WHERE C = '""&amp;D565&amp;""'""),if((TRUNC(1+10)*(TRUNC(MOD((ROW(H565)*1103515245 +12345)/ 65536, 32768),0)/32768)/10) &gt; 0.85,INDEX(NPCFaction,TRUNC(1+(counta(NPCFaction)-1)*(TRUNC(MOD(($B565*1103515245 +12345)/ 65536, 3276"&amp;"8),0)/32768),0)),QUERY(NPCVar!C:D,""Select D WHERE C = '""&amp;D565&amp;""'"")))"),"Traverlers Guild")</f>
        <v>Traverlers Guild</v>
      </c>
      <c r="AE565" s="108" t="e">
        <f t="shared" ca="1" si="42"/>
        <v>#NAME?</v>
      </c>
      <c r="AF565" s="159">
        <f ca="1">IFERROR(__xludf.DUMMYFUNCTION("AE565*(V565 / QUERY(NPCVar!$K$2:$N$12, ""Select N WHERE K='""&amp;AB565&amp;""'""))*TRUNC(1+10)*(TRUNC(MOD(($B565*1103515245 +12345)/ 65536, 32768),0)/32768)"),4.49832458496093)</f>
        <v>4.4983245849609297</v>
      </c>
      <c r="AG565" s="16"/>
      <c r="AH565" s="77"/>
      <c r="AI565" s="114"/>
    </row>
    <row r="566" spans="1:35" ht="16.2">
      <c r="A566" s="53">
        <v>565</v>
      </c>
      <c r="B566" s="118">
        <f t="shared" si="44"/>
        <v>0.67840999999999996</v>
      </c>
      <c r="C566" s="72" t="str">
        <f t="array" ref="C566">INDEX(NPCFName,TRUNC(1+(COUNTA(NPCFName))*(TRUNC(MOD(($B566*1103515245 +12345)/ 65536, 32768),0)/32768),0))</f>
        <v>Asden</v>
      </c>
      <c r="D566" s="16" t="str">
        <f t="array" ref="D566">INDEX(NPCLName,TRUNC(1+(COUNTA(NPCLName))*(TRUNC(MOD(($B566*1103515245 +12345)/ 65536, 32768),0)/32768),0))</f>
        <v>Leafblight</v>
      </c>
      <c r="E566" s="16" t="str">
        <f t="array" ref="E566">INDEX(NPCClass,TRUNC(1+(COUNTA(NPCClass))*(TRUNC(MOD(($B566*1103515245 +12345)/ 65536, 32768),0)/32768),0))</f>
        <v>Paladin</v>
      </c>
      <c r="F566" s="76">
        <v>4</v>
      </c>
      <c r="G566" s="153">
        <f ca="1">VLOOKUP($AB$2,'RF Mod'!$A$2:$G$12,2,FALSE)+VLOOKUP($AD$2,'RF Mod'!$I$2:$O$11,2,FALSE)+(TRUNC(6+(24-6)*(TRUNC(MOD(($Z566*1103515245 +12345)/ 65536, 32768),0)/32768),0))</f>
        <v>7</v>
      </c>
      <c r="H566" s="16">
        <f t="shared" ca="1" si="33"/>
        <v>-2</v>
      </c>
      <c r="I566" s="153">
        <f ca="1">VLOOKUP($AB$2,'RF Mod'!$A$2:$G$12,3,FALSE)+VLOOKUP($AD$2,'RF Mod'!$I$2:$O$11,3,FALSE)+(TRUNC(6+(24-6)*(TRUNC(MOD(($Z566*1103515245 +12345)/ 65536, 32768),0)/32768),0))</f>
        <v>11</v>
      </c>
      <c r="J566" s="16" t="e">
        <f t="shared" ca="1" si="34"/>
        <v>#NAME?</v>
      </c>
      <c r="K566" s="153">
        <f ca="1">VLOOKUP($AB$2,'RF Mod'!$A$2:$G$12,3,FALSE)+VLOOKUP($AD$2,'RF Mod'!$I$2:$O$11,3,FALSE)+(TRUNC(6+(24-6)*(TRUNC(MOD(($Z566*1103515245 +12345)/ 65536, 32768),0)/32768),0))</f>
        <v>11</v>
      </c>
      <c r="L566" s="16" t="e">
        <f t="shared" ca="1" si="35"/>
        <v>#NAME?</v>
      </c>
      <c r="M566" s="153">
        <f ca="1">VLOOKUP($AB$2,'RF Mod'!$A$2:$G$12,4,FALSE)+VLOOKUP($AD$2,'RF Mod'!$I$2:$O$11,4,FALSE)+(TRUNC(6+(24-6)*(TRUNC(MOD(($Z566*1103515245 +12345)/ 65536, 32768),0)/32768),0))</f>
        <v>10</v>
      </c>
      <c r="N566" s="16" t="e">
        <f t="shared" ca="1" si="36"/>
        <v>#NAME?</v>
      </c>
      <c r="O566" s="153">
        <f ca="1">VLOOKUP($AB$2,'RF Mod'!$A$2:$G$12,5,FALSE)+VLOOKUP($AD$2,'RF Mod'!$I$2:$O$11,5,FALSE)+(TRUNC(6+(24-6)*(TRUNC(MOD(($Z566*1103515245 +12345)/ 65536, 32768),0)/32768),0))</f>
        <v>13</v>
      </c>
      <c r="P566" s="16" t="e">
        <f t="shared" ca="1" si="37"/>
        <v>#NAME?</v>
      </c>
      <c r="Q566" s="153">
        <f ca="1">VLOOKUP($AB$2,'RF Mod'!$A$2:$G$12,6,FALSE)+VLOOKUP($AD$2,'RF Mod'!$I$2:$O$11,6,FALSE)+(TRUNC(6+(24-6)*(TRUNC(MOD(($Z566*1103515245 +12345)/ 65536, 32768),0)/32768),0))</f>
        <v>11</v>
      </c>
      <c r="R566" s="16" t="e">
        <f t="shared" ca="1" si="38"/>
        <v>#NAME?</v>
      </c>
      <c r="S566" s="154">
        <f t="shared" ca="1" si="43"/>
        <v>60</v>
      </c>
      <c r="T566" s="154">
        <f t="shared" ca="1" si="39"/>
        <v>37</v>
      </c>
      <c r="U566" s="16" t="str">
        <f t="shared" ca="1" si="40"/>
        <v>Bloody</v>
      </c>
      <c r="V566" s="155">
        <f ca="1">IFERROR(__xludf.DUMMYFUNCTION("if(W566=""Middle Age"",QUERY(NPCVar!$K$2:$N1000, ""Select L where K = '""&amp;AB566&amp;""'""),if(W566=""Old"",QUERY(NPCVar!$K$2:$N1000, ""Select M where K = '""&amp;AB566&amp;""'""),if(W566=""Venerable"",QUERY(NPCVar!$K$2:$N1000, ""Select N where K = '""&amp;AB566&amp;""'""),fa"&amp;"lse)))*X566"),151.875)</f>
        <v>151.875</v>
      </c>
      <c r="W566" s="156" t="str">
        <f t="array" ref="W566">INDEX(NPCAgeType,TRUNC(1+(4-1)*(TRUNC(MOD((X566*1103515245 +12345)/ 65536, 32768),0)/32768),0))</f>
        <v>Old</v>
      </c>
      <c r="X566" s="117">
        <f t="shared" si="45"/>
        <v>0.9</v>
      </c>
      <c r="Y566" s="157" t="e">
        <f t="array" aca="1" ref="Y566" ca="1">LOOKUP(ABS(MAX(Z566 + MIN(ABS(INDIRECT("Class Jobs!B"&amp;MATCH(E566,'Class Jobs'!$A$1:$A1000,0)&amp;":"&amp;"AF"&amp;MATCH(E566,'Class Jobs'!$A$1:$A1000,0)&amp;"")-$Z566)) * SUM(IF(MIN(ABS(INDIRECT("Class Jobs!B"&amp;MATCH(E566,'Class Jobs'!$A$1:$A1000,0)&amp;":"&amp;"AF"&amp;MATCH(E566,'Class Jobs'!$A$1:$A1000,0)&amp;"")-$Z566))=ABS(INDIRECT("Class Jobs!B"&amp;MATCH(E566,'Class Jobs'!$A$1:$A1000,0)&amp;":"&amp;"AF"&amp;MATCH(E566,'Class Jobs'!$A$1:$A1000,0)&amp;"")-$Z566),SIGN(INDIRECT("Class Jobs!B"&amp;MATCH(E566,'Class Jobs'!$A$1:A1000,0)&amp;":"&amp;"AF"&amp;MATCH(E566,'Class Jobs'!$A$1:$A1000,0)&amp;"")-$Z566),0)),0)),INDIRECT("Class Jobs!B"&amp;MATCH(E566,'Class Jobs'!$A$1:$A1000,0)&amp;":"&amp;"AF"&amp;MATCH(E566,'Class Jobs'!$A$1:$A1000,1)&amp;""),'Class Jobs'!$B$1:$AF$1)</f>
        <v>#REF!</v>
      </c>
      <c r="Z566" s="158">
        <f t="shared" si="41"/>
        <v>0.35</v>
      </c>
      <c r="AA566" s="16" t="str">
        <f t="array" ref="AA566">INDEX(NPCGender,TRUNC(1+(COUNTA(NPCGender))*(TRUNC(MOD(($B566*1103515245 +12345)/ 65536, 32768),0)/32768),0))</f>
        <v>Female</v>
      </c>
      <c r="AB566" s="16" t="str">
        <f t="array" ref="AB566">INDEX(NPCRace,TRUNC(1+(COUNTA(NPCRace))*(TRUNC(MOD(($B566*1103515245 +12345)/ 65536, 32768),0)/32768),0))</f>
        <v>Gnome</v>
      </c>
      <c r="AC566" s="16" t="str">
        <f t="array" ref="AC566">INDEX(NPCAL,TRUNC(1+(COUNTA(NPCAL))*(TRUNC(MOD(($B566*1103515245 +12345)/ 65536, 32768),0)/32768),0))</f>
        <v>NG</v>
      </c>
      <c r="AD566" s="72" t="str">
        <f ca="1">IFERROR(__xludf.DUMMYFUNCTION("if(V566&lt;15,QUERY(NPCVar!C:D,""Select D WHERE C = '""&amp;D566&amp;""'""),if((TRUNC(1+10)*(TRUNC(MOD((ROW(H566)*1103515245 +12345)/ 65536, 32768),0)/32768)/10) &gt; 0.85,INDEX(NPCFaction,TRUNC(1+(counta(NPCFaction)-1)*(TRUNC(MOD(($B566*1103515245 +12345)/ 65536, 3276"&amp;"8),0)/32768),0)),QUERY(NPCVar!C:D,""Select D WHERE C = '""&amp;D566&amp;""'"")))"),"Adventures Guild")</f>
        <v>Adventures Guild</v>
      </c>
      <c r="AE566" s="108" t="e">
        <f t="shared" ca="1" si="42"/>
        <v>#NAME?</v>
      </c>
      <c r="AF566" s="159">
        <f ca="1">IFERROR(__xludf.DUMMYFUNCTION("AE566*(V566 / QUERY(NPCVar!$K$2:$N$12, ""Select N WHERE K='""&amp;AB566&amp;""'""))*TRUNC(1+10)*(TRUNC(MOD(($B566*1103515245 +12345)/ 65536, 32768),0)/32768)"),0.388255805969238)</f>
        <v>0.38825580596923798</v>
      </c>
      <c r="AG566" s="16"/>
      <c r="AH566" s="77"/>
      <c r="AI566" s="114"/>
    </row>
    <row r="567" spans="1:35" ht="16.2">
      <c r="A567" s="53">
        <v>566</v>
      </c>
      <c r="B567" s="118">
        <f t="shared" si="44"/>
        <v>2.1725400000000001</v>
      </c>
      <c r="C567" s="72" t="str">
        <f t="array" ref="C567">INDEX(NPCFName,TRUNC(1+(COUNTA(NPCFName))*(TRUNC(MOD(($B567*1103515245 +12345)/ 65536, 32768),0)/32768),0))</f>
        <v>Galiron</v>
      </c>
      <c r="D567" s="16" t="str">
        <f t="array" ref="D567">INDEX(NPCLName,TRUNC(1+(COUNTA(NPCLName))*(TRUNC(MOD(($B567*1103515245 +12345)/ 65536, 32768),0)/32768),0))</f>
        <v>Distantlash</v>
      </c>
      <c r="E567" s="16" t="str">
        <f t="array" ref="E567">INDEX(NPCClass,TRUNC(1+(COUNTA(NPCClass))*(TRUNC(MOD(($B567*1103515245 +12345)/ 65536, 32768),0)/32768),0))</f>
        <v>Bard</v>
      </c>
      <c r="F567" s="76">
        <v>1</v>
      </c>
      <c r="G567" s="153">
        <f ca="1">VLOOKUP($AB$2,'RF Mod'!$A$2:$G$12,2,FALSE)+VLOOKUP($AD$2,'RF Mod'!$I$2:$O$11,2,FALSE)+(TRUNC(6+(24-6)*(TRUNC(MOD(($Z567*1103515245 +12345)/ 65536, 32768),0)/32768),0))</f>
        <v>5</v>
      </c>
      <c r="H567" s="16">
        <f t="shared" ca="1" si="33"/>
        <v>-3</v>
      </c>
      <c r="I567" s="153">
        <f ca="1">VLOOKUP($AB$2,'RF Mod'!$A$2:$G$12,3,FALSE)+VLOOKUP($AD$2,'RF Mod'!$I$2:$O$11,3,FALSE)+(TRUNC(6+(24-6)*(TRUNC(MOD(($Z567*1103515245 +12345)/ 65536, 32768),0)/32768),0))</f>
        <v>9</v>
      </c>
      <c r="J567" s="16">
        <f t="shared" ca="1" si="34"/>
        <v>-1</v>
      </c>
      <c r="K567" s="153">
        <f ca="1">VLOOKUP($AB$2,'RF Mod'!$A$2:$G$12,3,FALSE)+VLOOKUP($AD$2,'RF Mod'!$I$2:$O$11,3,FALSE)+(TRUNC(6+(24-6)*(TRUNC(MOD(($Z567*1103515245 +12345)/ 65536, 32768),0)/32768),0))</f>
        <v>9</v>
      </c>
      <c r="L567" s="16">
        <f t="shared" ca="1" si="35"/>
        <v>-1</v>
      </c>
      <c r="M567" s="153">
        <f ca="1">VLOOKUP($AB$2,'RF Mod'!$A$2:$G$12,4,FALSE)+VLOOKUP($AD$2,'RF Mod'!$I$2:$O$11,4,FALSE)+(TRUNC(6+(24-6)*(TRUNC(MOD(($Z567*1103515245 +12345)/ 65536, 32768),0)/32768),0))</f>
        <v>8</v>
      </c>
      <c r="N567" s="16">
        <f t="shared" ca="1" si="36"/>
        <v>-1</v>
      </c>
      <c r="O567" s="153">
        <f ca="1">VLOOKUP($AB$2,'RF Mod'!$A$2:$G$12,5,FALSE)+VLOOKUP($AD$2,'RF Mod'!$I$2:$O$11,5,FALSE)+(TRUNC(6+(24-6)*(TRUNC(MOD(($Z567*1103515245 +12345)/ 65536, 32768),0)/32768),0))</f>
        <v>11</v>
      </c>
      <c r="P567" s="16" t="e">
        <f t="shared" ca="1" si="37"/>
        <v>#NAME?</v>
      </c>
      <c r="Q567" s="153">
        <f ca="1">VLOOKUP($AB$2,'RF Mod'!$A$2:$G$12,6,FALSE)+VLOOKUP($AD$2,'RF Mod'!$I$2:$O$11,6,FALSE)+(TRUNC(6+(24-6)*(TRUNC(MOD(($Z567*1103515245 +12345)/ 65536, 32768),0)/32768),0))</f>
        <v>9</v>
      </c>
      <c r="R567" s="16">
        <f t="shared" ca="1" si="38"/>
        <v>-1</v>
      </c>
      <c r="S567" s="154">
        <f t="shared" ca="1" si="43"/>
        <v>11</v>
      </c>
      <c r="T567" s="154">
        <f t="shared" ca="1" si="39"/>
        <v>11</v>
      </c>
      <c r="U567" s="16" t="str">
        <f t="shared" ca="1" si="40"/>
        <v>Unconscious</v>
      </c>
      <c r="V567" s="155">
        <f ca="1">IFERROR(__xludf.DUMMYFUNCTION("if(W567=""Middle Age"",QUERY(NPCVar!$K$2:$N1000, ""Select L where K = '""&amp;AB567&amp;""'""),if(W567=""Old"",QUERY(NPCVar!$K$2:$N1000, ""Select M where K = '""&amp;AB567&amp;""'""),if(W567=""Venerable"",QUERY(NPCVar!$K$2:$N1000, ""Select N where K = '""&amp;AB567&amp;""'""),fa"&amp;"lse)))*X567"),24)</f>
        <v>24</v>
      </c>
      <c r="W567" s="156" t="str">
        <f t="array" ref="W567">INDEX(NPCAgeType,TRUNC(1+(4-1)*(TRUNC(MOD((X567*1103515245 +12345)/ 65536, 32768),0)/32768),0))</f>
        <v>Middle Age</v>
      </c>
      <c r="X567" s="117">
        <f t="shared" si="45"/>
        <v>0.3</v>
      </c>
      <c r="Y567" s="157" t="e">
        <f t="array" aca="1" ref="Y567" ca="1">LOOKUP(ABS(MAX(Z567 + MIN(ABS(INDIRECT("Class Jobs!B"&amp;MATCH(E567,'Class Jobs'!$A$1:$A1000,0)&amp;":"&amp;"AF"&amp;MATCH(E567,'Class Jobs'!$A$1:$A1000,0)&amp;"")-$Z567)) * SUM(IF(MIN(ABS(INDIRECT("Class Jobs!B"&amp;MATCH(E567,'Class Jobs'!$A$1:$A1000,0)&amp;":"&amp;"AF"&amp;MATCH(E567,'Class Jobs'!$A$1:$A1000,0)&amp;"")-$Z567))=ABS(INDIRECT("Class Jobs!B"&amp;MATCH(E567,'Class Jobs'!$A$1:$A1000,0)&amp;":"&amp;"AF"&amp;MATCH(E567,'Class Jobs'!$A$1:$A1000,0)&amp;"")-$Z567),SIGN(INDIRECT("Class Jobs!B"&amp;MATCH(E567,'Class Jobs'!$A$1:A1000,0)&amp;":"&amp;"AF"&amp;MATCH(E567,'Class Jobs'!$A$1:$A1000,0)&amp;"")-$Z567),0)),0)),INDIRECT("Class Jobs!B"&amp;MATCH(E567,'Class Jobs'!$A$1:$A1000,0)&amp;":"&amp;"AF"&amp;MATCH(E567,'Class Jobs'!$A$1:$A1000,1)&amp;""),'Class Jobs'!$B$1:$AF$1)</f>
        <v>#REF!</v>
      </c>
      <c r="Z567" s="158">
        <f t="shared" si="41"/>
        <v>0.12</v>
      </c>
      <c r="AA567" s="16" t="str">
        <f t="array" ref="AA567">INDEX(NPCGender,TRUNC(1+(COUNTA(NPCGender))*(TRUNC(MOD(($B567*1103515245 +12345)/ 65536, 32768),0)/32768),0))</f>
        <v>Male</v>
      </c>
      <c r="AB567" s="16" t="str">
        <f t="array" ref="AB567">INDEX(NPCRace,TRUNC(1+(COUNTA(NPCRace))*(TRUNC(MOD(($B567*1103515245 +12345)/ 65536, 32768),0)/32768),0))</f>
        <v>Dwarf</v>
      </c>
      <c r="AC567" s="16" t="str">
        <f t="array" ref="AC567">INDEX(NPCAL,TRUNC(1+(COUNTA(NPCAL))*(TRUNC(MOD(($B567*1103515245 +12345)/ 65536, 32768),0)/32768),0))</f>
        <v>CE</v>
      </c>
      <c r="AD567" s="72" t="str">
        <f ca="1">IFERROR(__xludf.DUMMYFUNCTION("if(V567&lt;15,QUERY(NPCVar!C:D,""Select D WHERE C = '""&amp;D567&amp;""'""),if((TRUNC(1+10)*(TRUNC(MOD((ROW(H567)*1103515245 +12345)/ 65536, 32768),0)/32768)/10) &gt; 0.85,INDEX(NPCFaction,TRUNC(1+(counta(NPCFaction)-1)*(TRUNC(MOD(($B567*1103515245 +12345)/ 65536, 3276"&amp;"8),0)/32768),0)),QUERY(NPCVar!C:D,""Select D WHERE C = '""&amp;D567&amp;""'"")))"),"Death Guild")</f>
        <v>Death Guild</v>
      </c>
      <c r="AE567" s="108" t="e">
        <f t="shared" ca="1" si="42"/>
        <v>#NAME?</v>
      </c>
      <c r="AF567" s="159">
        <f ca="1">IFERROR(__xludf.DUMMYFUNCTION("AE567*(V567 / QUERY(NPCVar!$K$2:$N$12, ""Select N WHERE K='""&amp;AB567&amp;""'""))*TRUNC(1+10)*(TRUNC(MOD(($B567*1103515245 +12345)/ 65536, 32768),0)/32768)"),0.0480125427246093)</f>
        <v>4.8012542724609301E-2</v>
      </c>
      <c r="AG567" s="16"/>
      <c r="AH567" s="77"/>
      <c r="AI567" s="114"/>
    </row>
    <row r="568" spans="1:35" ht="16.2">
      <c r="A568" s="53">
        <v>567</v>
      </c>
      <c r="B568" s="118">
        <f t="shared" si="44"/>
        <v>1.16669</v>
      </c>
      <c r="C568" s="72" t="str">
        <f t="array" ref="C568">INDEX(NPCFName,TRUNC(1+(COUNTA(NPCFName))*(TRUNC(MOD(($B568*1103515245 +12345)/ 65536, 32768),0)/32768),0))</f>
        <v>Shard</v>
      </c>
      <c r="D568" s="16" t="str">
        <f t="array" ref="D568">INDEX(NPCLName,TRUNC(1+(COUNTA(NPCLName))*(TRUNC(MOD(($B568*1103515245 +12345)/ 65536, 32768),0)/32768),0))</f>
        <v>Chestaxe</v>
      </c>
      <c r="E568" s="16" t="str">
        <f t="array" ref="E568">INDEX(NPCClass,TRUNC(1+(COUNTA(NPCClass))*(TRUNC(MOD(($B568*1103515245 +12345)/ 65536, 32768),0)/32768),0))</f>
        <v>Warlock</v>
      </c>
      <c r="F568" s="76">
        <v>8</v>
      </c>
      <c r="G568" s="153">
        <f ca="1">VLOOKUP($AB$2,'RF Mod'!$A$2:$G$12,2,FALSE)+VLOOKUP($AD$2,'RF Mod'!$I$2:$O$11,2,FALSE)+(TRUNC(6+(24-6)*(TRUNC(MOD(($Z568*1103515245 +12345)/ 65536, 32768),0)/32768),0))</f>
        <v>9</v>
      </c>
      <c r="H568" s="16">
        <f t="shared" ca="1" si="33"/>
        <v>-1</v>
      </c>
      <c r="I568" s="153">
        <f ca="1">VLOOKUP($AB$2,'RF Mod'!$A$2:$G$12,3,FALSE)+VLOOKUP($AD$2,'RF Mod'!$I$2:$O$11,3,FALSE)+(TRUNC(6+(24-6)*(TRUNC(MOD(($Z568*1103515245 +12345)/ 65536, 32768),0)/32768),0))</f>
        <v>13</v>
      </c>
      <c r="J568" s="16" t="e">
        <f t="shared" ca="1" si="34"/>
        <v>#NAME?</v>
      </c>
      <c r="K568" s="153">
        <f ca="1">VLOOKUP($AB$2,'RF Mod'!$A$2:$G$12,3,FALSE)+VLOOKUP($AD$2,'RF Mod'!$I$2:$O$11,3,FALSE)+(TRUNC(6+(24-6)*(TRUNC(MOD(($Z568*1103515245 +12345)/ 65536, 32768),0)/32768),0))</f>
        <v>13</v>
      </c>
      <c r="L568" s="16" t="e">
        <f t="shared" ca="1" si="35"/>
        <v>#NAME?</v>
      </c>
      <c r="M568" s="153">
        <f ca="1">VLOOKUP($AB$2,'RF Mod'!$A$2:$G$12,4,FALSE)+VLOOKUP($AD$2,'RF Mod'!$I$2:$O$11,4,FALSE)+(TRUNC(6+(24-6)*(TRUNC(MOD(($Z568*1103515245 +12345)/ 65536, 32768),0)/32768),0))</f>
        <v>12</v>
      </c>
      <c r="N568" s="16" t="e">
        <f t="shared" ca="1" si="36"/>
        <v>#NAME?</v>
      </c>
      <c r="O568" s="153">
        <f ca="1">VLOOKUP($AB$2,'RF Mod'!$A$2:$G$12,5,FALSE)+VLOOKUP($AD$2,'RF Mod'!$I$2:$O$11,5,FALSE)+(TRUNC(6+(24-6)*(TRUNC(MOD(($Z568*1103515245 +12345)/ 65536, 32768),0)/32768),0))</f>
        <v>15</v>
      </c>
      <c r="P568" s="16" t="e">
        <f t="shared" ca="1" si="37"/>
        <v>#NAME?</v>
      </c>
      <c r="Q568" s="153">
        <f ca="1">VLOOKUP($AB$2,'RF Mod'!$A$2:$G$12,6,FALSE)+VLOOKUP($AD$2,'RF Mod'!$I$2:$O$11,6,FALSE)+(TRUNC(6+(24-6)*(TRUNC(MOD(($Z568*1103515245 +12345)/ 65536, 32768),0)/32768),0))</f>
        <v>13</v>
      </c>
      <c r="R568" s="16" t="e">
        <f t="shared" ca="1" si="38"/>
        <v>#NAME?</v>
      </c>
      <c r="S568" s="154">
        <f t="shared" ca="1" si="43"/>
        <v>184</v>
      </c>
      <c r="T568" s="154">
        <f t="shared" ca="1" si="39"/>
        <v>158</v>
      </c>
      <c r="U568" s="16" t="str">
        <f t="shared" ca="1" si="40"/>
        <v>Bloody</v>
      </c>
      <c r="V568" s="155">
        <f ca="1">IFERROR(__xludf.DUMMYFUNCTION("if(W568=""Middle Age"",QUERY(NPCVar!$K$2:$N1000, ""Select L where K = '""&amp;AB568&amp;""'""),if(W568=""Old"",QUERY(NPCVar!$K$2:$N1000, ""Select M where K = '""&amp;AB568&amp;""'""),if(W568=""Venerable"",QUERY(NPCVar!$K$2:$N1000, ""Select N where K = '""&amp;AB568&amp;""'""),fa"&amp;"lse)))*X568"),300)</f>
        <v>300</v>
      </c>
      <c r="W568" s="156" t="str">
        <f t="array" ref="W568">INDEX(NPCAgeType,TRUNC(1+(4-1)*(TRUNC(MOD((X568*1103515245 +12345)/ 65536, 32768),0)/32768),0))</f>
        <v>Venerable</v>
      </c>
      <c r="X568" s="117">
        <f t="shared" si="45"/>
        <v>1.5</v>
      </c>
      <c r="Y568" s="157" t="e">
        <f t="array" aca="1" ref="Y568" ca="1">LOOKUP(ABS(MAX(Z568 + MIN(ABS(INDIRECT("Class Jobs!B"&amp;MATCH(E568,'Class Jobs'!$A$1:$A1000,0)&amp;":"&amp;"AF"&amp;MATCH(E568,'Class Jobs'!$A$1:$A1000,0)&amp;"")-$Z568)) * SUM(IF(MIN(ABS(INDIRECT("Class Jobs!B"&amp;MATCH(E568,'Class Jobs'!$A$1:$A1000,0)&amp;":"&amp;"AF"&amp;MATCH(E568,'Class Jobs'!$A$1:$A1000,0)&amp;"")-$Z568))=ABS(INDIRECT("Class Jobs!B"&amp;MATCH(E568,'Class Jobs'!$A$1:$A1000,0)&amp;":"&amp;"AF"&amp;MATCH(E568,'Class Jobs'!$A$1:$A1000,0)&amp;"")-$Z568),SIGN(INDIRECT("Class Jobs!B"&amp;MATCH(E568,'Class Jobs'!$A$1:A1000,0)&amp;":"&amp;"AF"&amp;MATCH(E568,'Class Jobs'!$A$1:$A1000,0)&amp;"")-$Z568),0)),0)),INDIRECT("Class Jobs!B"&amp;MATCH(E568,'Class Jobs'!$A$1:$A1000,0)&amp;":"&amp;"AF"&amp;MATCH(E568,'Class Jobs'!$A$1:$A1000,1)&amp;""),'Class Jobs'!$B$1:$AF$1)</f>
        <v>#REF!</v>
      </c>
      <c r="Z568" s="158">
        <f t="shared" si="41"/>
        <v>0.6</v>
      </c>
      <c r="AA568" s="16" t="str">
        <f t="array" ref="AA568">INDEX(NPCGender,TRUNC(1+(COUNTA(NPCGender))*(TRUNC(MOD(($B568*1103515245 +12345)/ 65536, 32768),0)/32768),0))</f>
        <v>Female</v>
      </c>
      <c r="AB568" s="16" t="str">
        <f t="array" ref="AB568">INDEX(NPCRace,TRUNC(1+(COUNTA(NPCRace))*(TRUNC(MOD(($B568*1103515245 +12345)/ 65536, 32768),0)/32768),0))</f>
        <v>Halfling</v>
      </c>
      <c r="AC568" s="16" t="str">
        <f t="array" ref="AC568">INDEX(NPCAL,TRUNC(1+(COUNTA(NPCAL))*(TRUNC(MOD(($B568*1103515245 +12345)/ 65536, 32768),0)/32768),0))</f>
        <v>NE</v>
      </c>
      <c r="AD568" s="72" t="str">
        <f ca="1">IFERROR(__xludf.DUMMYFUNCTION("if(V568&lt;15,QUERY(NPCVar!C:D,""Select D WHERE C = '""&amp;D568&amp;""'""),if((TRUNC(1+10)*(TRUNC(MOD((ROW(H568)*1103515245 +12345)/ 65536, 32768),0)/32768)/10) &gt; 0.85,INDEX(NPCFaction,TRUNC(1+(counta(NPCFaction)-1)*(TRUNC(MOD(($B568*1103515245 +12345)/ 65536, 3276"&amp;"8),0)/32768),0)),QUERY(NPCVar!C:D,""Select D WHERE C = '""&amp;D568&amp;""'"")))"),"Death Guild")</f>
        <v>Death Guild</v>
      </c>
      <c r="AE568" s="108" t="e">
        <f t="shared" ca="1" si="42"/>
        <v>#NAME?</v>
      </c>
      <c r="AF568" s="159">
        <f ca="1">IFERROR(__xludf.DUMMYFUNCTION("AE568*(V568 / QUERY(NPCVar!$K$2:$N$12, ""Select N WHERE K='""&amp;AB568&amp;""'""))*TRUNC(1+10)*(TRUNC(MOD(($B568*1103515245 +12345)/ 65536, 32768),0)/32768)"),4.9460220336914)</f>
        <v>4.9460220336914</v>
      </c>
      <c r="AG568" s="16"/>
      <c r="AH568" s="77"/>
      <c r="AI568" s="114"/>
    </row>
    <row r="569" spans="1:35" ht="16.2">
      <c r="A569" s="53">
        <v>568</v>
      </c>
      <c r="B569" s="118">
        <f t="shared" si="44"/>
        <v>0.16083</v>
      </c>
      <c r="C569" s="72" t="str">
        <f t="array" ref="C569">INDEX(NPCFName,TRUNC(1+(COUNTA(NPCFName))*(TRUNC(MOD(($B569*1103515245 +12345)/ 65536, 32768),0)/32768),0))</f>
        <v>Dryn</v>
      </c>
      <c r="D569" s="16" t="str">
        <f t="array" ref="D569">INDEX(NPCLName,TRUNC(1+(COUNTA(NPCLName))*(TRUNC(MOD(($B569*1103515245 +12345)/ 65536, 32768),0)/32768),0))</f>
        <v>Autumnorb</v>
      </c>
      <c r="E569" s="16" t="str">
        <f t="array" ref="E569">INDEX(NPCClass,TRUNC(1+(COUNTA(NPCClass))*(TRUNC(MOD(($B569*1103515245 +12345)/ 65536, 32768),0)/32768),0))</f>
        <v>Barbarian</v>
      </c>
      <c r="F569" s="76">
        <v>1</v>
      </c>
      <c r="G569" s="153">
        <f ca="1">VLOOKUP($AB$2,'RF Mod'!$A$2:$G$12,2,FALSE)+VLOOKUP($AD$2,'RF Mod'!$I$2:$O$11,2,FALSE)+(TRUNC(6+(24-6)*(TRUNC(MOD(($Z569*1103515245 +12345)/ 65536, 32768),0)/32768),0))</f>
        <v>4</v>
      </c>
      <c r="H569" s="16">
        <f t="shared" ca="1" si="33"/>
        <v>-3</v>
      </c>
      <c r="I569" s="153">
        <f ca="1">VLOOKUP($AB$2,'RF Mod'!$A$2:$G$12,3,FALSE)+VLOOKUP($AD$2,'RF Mod'!$I$2:$O$11,3,FALSE)+(TRUNC(6+(24-6)*(TRUNC(MOD(($Z569*1103515245 +12345)/ 65536, 32768),0)/32768),0))</f>
        <v>8</v>
      </c>
      <c r="J569" s="16">
        <f t="shared" ca="1" si="34"/>
        <v>-1</v>
      </c>
      <c r="K569" s="153">
        <f ca="1">VLOOKUP($AB$2,'RF Mod'!$A$2:$G$12,3,FALSE)+VLOOKUP($AD$2,'RF Mod'!$I$2:$O$11,3,FALSE)+(TRUNC(6+(24-6)*(TRUNC(MOD(($Z569*1103515245 +12345)/ 65536, 32768),0)/32768),0))</f>
        <v>8</v>
      </c>
      <c r="L569" s="16">
        <f t="shared" ca="1" si="35"/>
        <v>-1</v>
      </c>
      <c r="M569" s="153">
        <f ca="1">VLOOKUP($AB$2,'RF Mod'!$A$2:$G$12,4,FALSE)+VLOOKUP($AD$2,'RF Mod'!$I$2:$O$11,4,FALSE)+(TRUNC(6+(24-6)*(TRUNC(MOD(($Z569*1103515245 +12345)/ 65536, 32768),0)/32768),0))</f>
        <v>7</v>
      </c>
      <c r="N569" s="16">
        <f t="shared" ca="1" si="36"/>
        <v>-2</v>
      </c>
      <c r="O569" s="153">
        <f ca="1">VLOOKUP($AB$2,'RF Mod'!$A$2:$G$12,5,FALSE)+VLOOKUP($AD$2,'RF Mod'!$I$2:$O$11,5,FALSE)+(TRUNC(6+(24-6)*(TRUNC(MOD(($Z569*1103515245 +12345)/ 65536, 32768),0)/32768),0))</f>
        <v>10</v>
      </c>
      <c r="P569" s="16" t="e">
        <f t="shared" ca="1" si="37"/>
        <v>#NAME?</v>
      </c>
      <c r="Q569" s="153">
        <f ca="1">VLOOKUP($AB$2,'RF Mod'!$A$2:$G$12,6,FALSE)+VLOOKUP($AD$2,'RF Mod'!$I$2:$O$11,6,FALSE)+(TRUNC(6+(24-6)*(TRUNC(MOD(($Z569*1103515245 +12345)/ 65536, 32768),0)/32768),0))</f>
        <v>8</v>
      </c>
      <c r="R569" s="16">
        <f t="shared" ca="1" si="38"/>
        <v>-1</v>
      </c>
      <c r="S569" s="154">
        <f t="shared" ca="1" si="43"/>
        <v>10</v>
      </c>
      <c r="T569" s="154">
        <f t="shared" ca="1" si="39"/>
        <v>5</v>
      </c>
      <c r="U569" s="16" t="str">
        <f t="shared" ca="1" si="40"/>
        <v>Fine</v>
      </c>
      <c r="V569" s="155">
        <f ca="1">IFERROR(__xludf.DUMMYFUNCTION("if(W569=""Middle Age"",QUERY(NPCVar!$K$2:$N1000, ""Select L where K = '""&amp;AB569&amp;""'""),if(W569=""Old"",QUERY(NPCVar!$K$2:$N1000, ""Select M where K = '""&amp;AB569&amp;""'""),if(W569=""Venerable"",QUERY(NPCVar!$K$2:$N1000, ""Select N where K = '""&amp;AB569&amp;""'""),fa"&amp;"lse)))*X569"),4)</f>
        <v>4</v>
      </c>
      <c r="W569" s="156" t="str">
        <f t="array" ref="W569">INDEX(NPCAgeType,TRUNC(1+(4-1)*(TRUNC(MOD((X569*1103515245 +12345)/ 65536, 32768),0)/32768),0))</f>
        <v>Middle Age</v>
      </c>
      <c r="X569" s="117">
        <f t="shared" si="45"/>
        <v>0.2</v>
      </c>
      <c r="Y569" s="157" t="e">
        <f t="array" aca="1" ref="Y569" ca="1">LOOKUP(ABS(MAX(Z569 + MIN(ABS(INDIRECT("Class Jobs!B"&amp;MATCH(E569,'Class Jobs'!$A$1:$A1000,0)&amp;":"&amp;"AF"&amp;MATCH(E569,'Class Jobs'!$A$1:$A1000,0)&amp;"")-$Z569)) * SUM(IF(MIN(ABS(INDIRECT("Class Jobs!B"&amp;MATCH(E569,'Class Jobs'!$A$1:$A1000,0)&amp;":"&amp;"AF"&amp;MATCH(E569,'Class Jobs'!$A$1:$A1000,0)&amp;"")-$Z569))=ABS(INDIRECT("Class Jobs!B"&amp;MATCH(E569,'Class Jobs'!$A$1:$A1000,0)&amp;":"&amp;"AF"&amp;MATCH(E569,'Class Jobs'!$A$1:$A1000,0)&amp;"")-$Z569),SIGN(INDIRECT("Class Jobs!B"&amp;MATCH(E569,'Class Jobs'!$A$1:A1000,0)&amp;":"&amp;"AF"&amp;MATCH(E569,'Class Jobs'!$A$1:$A1000,0)&amp;"")-$Z569),0)),0)),INDIRECT("Class Jobs!B"&amp;MATCH(E569,'Class Jobs'!$A$1:$A1000,0)&amp;":"&amp;"AF"&amp;MATCH(E569,'Class Jobs'!$A$1:$A1000,1)&amp;""),'Class Jobs'!$B$1:$AF$1)</f>
        <v>#REF!</v>
      </c>
      <c r="Z569" s="158">
        <f t="shared" si="41"/>
        <v>0.09</v>
      </c>
      <c r="AA569" s="16" t="str">
        <f t="array" ref="AA569">INDEX(NPCGender,TRUNC(1+(COUNTA(NPCGender))*(TRUNC(MOD(($B569*1103515245 +12345)/ 65536, 32768),0)/32768),0))</f>
        <v>Male</v>
      </c>
      <c r="AB569" s="16" t="str">
        <f t="array" ref="AB569">INDEX(NPCRace,TRUNC(1+(COUNTA(NPCRace))*(TRUNC(MOD(($B569*1103515245 +12345)/ 65536, 32768),0)/32768),0))</f>
        <v>Dragonborn</v>
      </c>
      <c r="AC569" s="16" t="str">
        <f t="array" ref="AC569">INDEX(NPCAL,TRUNC(1+(COUNTA(NPCAL))*(TRUNC(MOD(($B569*1103515245 +12345)/ 65536, 32768),0)/32768),0))</f>
        <v>CN</v>
      </c>
      <c r="AD569" s="72" t="str">
        <f ca="1">IFERROR(__xludf.DUMMYFUNCTION("if(V569&lt;15,QUERY(NPCVar!C:D,""Select D WHERE C = '""&amp;D569&amp;""'""),if((TRUNC(1+10)*(TRUNC(MOD((ROW(H569)*1103515245 +12345)/ 65536, 32768),0)/32768)/10) &gt; 0.85,INDEX(NPCFaction,TRUNC(1+(counta(NPCFaction)-1)*(TRUNC(MOD(($B569*1103515245 +12345)/ 65536, 3276"&amp;"8),0)/32768),0)),QUERY(NPCVar!C:D,""Select D WHERE C = '""&amp;D569&amp;""'"")))"),"Royalty")</f>
        <v>Royalty</v>
      </c>
      <c r="AE569" s="108" t="e">
        <f t="shared" ca="1" si="42"/>
        <v>#NAME?</v>
      </c>
      <c r="AF569" s="159">
        <f ca="1">IFERROR(__xludf.DUMMYFUNCTION("AE569*(V569 / QUERY(NPCVar!$K$2:$N$12, ""Select N WHERE K='""&amp;AB569&amp;""'""))*TRUNC(1+10)*(TRUNC(MOD(($B569*1103515245 +12345)/ 65536, 32768),0)/32768)"),0.0227264404296875)</f>
        <v>2.2726440429687501E-2</v>
      </c>
      <c r="AG569" s="16"/>
      <c r="AH569" s="77"/>
      <c r="AI569" s="114"/>
    </row>
    <row r="570" spans="1:35" ht="16.2">
      <c r="A570" s="53">
        <v>569</v>
      </c>
      <c r="B570" s="118">
        <f t="shared" si="44"/>
        <v>1.65489</v>
      </c>
      <c r="C570" s="72" t="str">
        <f t="array" ref="C570">INDEX(NPCFName,TRUNC(1+(COUNTA(NPCFName))*(TRUNC(MOD(($B570*1103515245 +12345)/ 65536, 32768),0)/32768),0))</f>
        <v>Markard</v>
      </c>
      <c r="D570" s="16" t="str">
        <f t="array" ref="D570">INDEX(NPCLName,TRUNC(1+(COUNTA(NPCLName))*(TRUNC(MOD(($B570*1103515245 +12345)/ 65536, 32768),0)/32768),0))</f>
        <v>Springgust</v>
      </c>
      <c r="E570" s="16" t="str">
        <f t="array" ref="E570">INDEX(NPCClass,TRUNC(1+(COUNTA(NPCClass))*(TRUNC(MOD(($B570*1103515245 +12345)/ 65536, 32768),0)/32768),0))</f>
        <v>Fighter</v>
      </c>
      <c r="F570" s="76">
        <v>8</v>
      </c>
      <c r="G570" s="153">
        <f ca="1">VLOOKUP($AB$2,'RF Mod'!$A$2:$G$12,2,FALSE)+VLOOKUP($AD$2,'RF Mod'!$I$2:$O$11,2,FALSE)+(TRUNC(6+(24-6)*(TRUNC(MOD(($Z570*1103515245 +12345)/ 65536, 32768),0)/32768),0))</f>
        <v>11</v>
      </c>
      <c r="H570" s="16" t="e">
        <f t="shared" ca="1" si="33"/>
        <v>#NAME?</v>
      </c>
      <c r="I570" s="153">
        <f ca="1">VLOOKUP($AB$2,'RF Mod'!$A$2:$G$12,3,FALSE)+VLOOKUP($AD$2,'RF Mod'!$I$2:$O$11,3,FALSE)+(TRUNC(6+(24-6)*(TRUNC(MOD(($Z570*1103515245 +12345)/ 65536, 32768),0)/32768),0))</f>
        <v>15</v>
      </c>
      <c r="J570" s="16" t="e">
        <f t="shared" ca="1" si="34"/>
        <v>#NAME?</v>
      </c>
      <c r="K570" s="153">
        <f ca="1">VLOOKUP($AB$2,'RF Mod'!$A$2:$G$12,3,FALSE)+VLOOKUP($AD$2,'RF Mod'!$I$2:$O$11,3,FALSE)+(TRUNC(6+(24-6)*(TRUNC(MOD(($Z570*1103515245 +12345)/ 65536, 32768),0)/32768),0))</f>
        <v>15</v>
      </c>
      <c r="L570" s="16" t="e">
        <f t="shared" ca="1" si="35"/>
        <v>#NAME?</v>
      </c>
      <c r="M570" s="153">
        <f ca="1">VLOOKUP($AB$2,'RF Mod'!$A$2:$G$12,4,FALSE)+VLOOKUP($AD$2,'RF Mod'!$I$2:$O$11,4,FALSE)+(TRUNC(6+(24-6)*(TRUNC(MOD(($Z570*1103515245 +12345)/ 65536, 32768),0)/32768),0))</f>
        <v>14</v>
      </c>
      <c r="N570" s="16" t="e">
        <f t="shared" ca="1" si="36"/>
        <v>#NAME?</v>
      </c>
      <c r="O570" s="153">
        <f ca="1">VLOOKUP($AB$2,'RF Mod'!$A$2:$G$12,5,FALSE)+VLOOKUP($AD$2,'RF Mod'!$I$2:$O$11,5,FALSE)+(TRUNC(6+(24-6)*(TRUNC(MOD(($Z570*1103515245 +12345)/ 65536, 32768),0)/32768),0))</f>
        <v>17</v>
      </c>
      <c r="P570" s="16" t="e">
        <f t="shared" ca="1" si="37"/>
        <v>#NAME?</v>
      </c>
      <c r="Q570" s="153">
        <f ca="1">VLOOKUP($AB$2,'RF Mod'!$A$2:$G$12,6,FALSE)+VLOOKUP($AD$2,'RF Mod'!$I$2:$O$11,6,FALSE)+(TRUNC(6+(24-6)*(TRUNC(MOD(($Z570*1103515245 +12345)/ 65536, 32768),0)/32768),0))</f>
        <v>15</v>
      </c>
      <c r="R570" s="16" t="e">
        <f t="shared" ca="1" si="38"/>
        <v>#NAME?</v>
      </c>
      <c r="S570" s="154">
        <f t="shared" ca="1" si="43"/>
        <v>168</v>
      </c>
      <c r="T570" s="154">
        <f t="shared" ca="1" si="39"/>
        <v>174</v>
      </c>
      <c r="U570" s="16" t="str">
        <f t="shared" ca="1" si="40"/>
        <v>Dead</v>
      </c>
      <c r="V570" s="155">
        <f ca="1">IFERROR(__xludf.DUMMYFUNCTION("if(W570=""Middle Age"",QUERY(NPCVar!$K$2:$N1000, ""Select L where K = '""&amp;AB570&amp;""'""),if(W570=""Old"",QUERY(NPCVar!$K$2:$N1000, ""Select M where K = '""&amp;AB570&amp;""'""),if(W570=""Venerable"",QUERY(NPCVar!$K$2:$N1000, ""Select N where K = '""&amp;AB570&amp;""'""),fa"&amp;"lse)))*X570"),57.75)</f>
        <v>57.75</v>
      </c>
      <c r="W570" s="156" t="str">
        <f t="array" ref="W570">INDEX(NPCAgeType,TRUNC(1+(4-1)*(TRUNC(MOD((X570*1103515245 +12345)/ 65536, 32768),0)/32768),0))</f>
        <v>Middle Age</v>
      </c>
      <c r="X570" s="117">
        <f t="shared" si="45"/>
        <v>2.1</v>
      </c>
      <c r="Y570" s="157" t="e">
        <f t="array" aca="1" ref="Y570" ca="1">LOOKUP(ABS(MAX(Z570 + MIN(ABS(INDIRECT("Class Jobs!B"&amp;MATCH(E570,'Class Jobs'!$A$1:$A1000,0)&amp;":"&amp;"AF"&amp;MATCH(E570,'Class Jobs'!$A$1:$A1000,0)&amp;"")-$Z570)) * SUM(IF(MIN(ABS(INDIRECT("Class Jobs!B"&amp;MATCH(E570,'Class Jobs'!$A$1:$A1000,0)&amp;":"&amp;"AF"&amp;MATCH(E570,'Class Jobs'!$A$1:$A1000,0)&amp;"")-$Z570))=ABS(INDIRECT("Class Jobs!B"&amp;MATCH(E570,'Class Jobs'!$A$1:$A1000,0)&amp;":"&amp;"AF"&amp;MATCH(E570,'Class Jobs'!$A$1:$A1000,0)&amp;"")-$Z570),SIGN(INDIRECT("Class Jobs!B"&amp;MATCH(E570,'Class Jobs'!$A$1:A1000,0)&amp;":"&amp;"AF"&amp;MATCH(E570,'Class Jobs'!$A$1:$A1000,0)&amp;"")-$Z570),0)),0)),INDIRECT("Class Jobs!B"&amp;MATCH(E570,'Class Jobs'!$A$1:$A1000,0)&amp;":"&amp;"AF"&amp;MATCH(E570,'Class Jobs'!$A$1:$A1000,1)&amp;""),'Class Jobs'!$B$1:$AF$1)</f>
        <v>#REF!</v>
      </c>
      <c r="Z570" s="158">
        <f t="shared" si="41"/>
        <v>0.85</v>
      </c>
      <c r="AA570" s="16" t="str">
        <f t="array" ref="AA570">INDEX(NPCGender,TRUNC(1+(COUNTA(NPCGender))*(TRUNC(MOD(($B570*1103515245 +12345)/ 65536, 32768),0)/32768),0))</f>
        <v>Neutral</v>
      </c>
      <c r="AB570" s="16" t="str">
        <f t="array" ref="AB570">INDEX(NPCRace,TRUNC(1+(COUNTA(NPCRace))*(TRUNC(MOD(($B570*1103515245 +12345)/ 65536, 32768),0)/32768),0))</f>
        <v>Genasi</v>
      </c>
      <c r="AC570" s="16" t="str">
        <f t="array" ref="AC570">INDEX(NPCAL,TRUNC(1+(COUNTA(NPCAL))*(TRUNC(MOD(($B570*1103515245 +12345)/ 65536, 32768),0)/32768),0))</f>
        <v>LN</v>
      </c>
      <c r="AD570" s="72" t="str">
        <f ca="1">IFERROR(__xludf.DUMMYFUNCTION("if(V570&lt;15,QUERY(NPCVar!C:D,""Select D WHERE C = '""&amp;D570&amp;""'""),if((TRUNC(1+10)*(TRUNC(MOD((ROW(H570)*1103515245 +12345)/ 65536, 32768),0)/32768)/10) &gt; 0.85,INDEX(NPCFaction,TRUNC(1+(counta(NPCFaction)-1)*(TRUNC(MOD(($B570*1103515245 +12345)/ 65536, 3276"&amp;"8),0)/32768),0)),QUERY(NPCVar!C:D,""Select D WHERE C = '""&amp;D570&amp;""'"")))"),"Farmers Guild")</f>
        <v>Farmers Guild</v>
      </c>
      <c r="AE570" s="108" t="e">
        <f t="shared" ca="1" si="42"/>
        <v>#NAME?</v>
      </c>
      <c r="AF570" s="159">
        <f ca="1">IFERROR(__xludf.DUMMYFUNCTION("AE570*(V570 / QUERY(NPCVar!$K$2:$N$12, ""Select N WHERE K='""&amp;AB570&amp;""'""))*TRUNC(1+10)*(TRUNC(MOD(($B570*1103515245 +12345)/ 65536, 32768),0)/32768)"),2.45545005798339)</f>
        <v>2.45545005798339</v>
      </c>
      <c r="AG570" s="16"/>
      <c r="AH570" s="77"/>
      <c r="AI570" s="114"/>
    </row>
    <row r="571" spans="1:35" ht="16.2">
      <c r="A571" s="53">
        <v>570</v>
      </c>
      <c r="B571" s="118">
        <f t="shared" si="44"/>
        <v>0.64903</v>
      </c>
      <c r="C571" s="72" t="str">
        <f t="array" ref="C571">INDEX(NPCFName,TRUNC(1+(COUNTA(NPCFName))*(TRUNC(MOD(($B571*1103515245 +12345)/ 65536, 32768),0)/32768),0))</f>
        <v>Abarden</v>
      </c>
      <c r="D571" s="16" t="str">
        <f t="array" ref="D571">INDEX(NPCLName,TRUNC(1+(COUNTA(NPCLName))*(TRUNC(MOD(($B571*1103515245 +12345)/ 65536, 32768),0)/32768),0))</f>
        <v>Leafblight</v>
      </c>
      <c r="E571" s="16" t="str">
        <f t="array" ref="E571">INDEX(NPCClass,TRUNC(1+(COUNTA(NPCClass))*(TRUNC(MOD(($B571*1103515245 +12345)/ 65536, 32768),0)/32768),0))</f>
        <v>Paladin</v>
      </c>
      <c r="F571" s="76">
        <v>6</v>
      </c>
      <c r="G571" s="153">
        <f ca="1">VLOOKUP($AB$2,'RF Mod'!$A$2:$G$12,2,FALSE)+VLOOKUP($AD$2,'RF Mod'!$I$2:$O$11,2,FALSE)+(TRUNC(6+(24-6)*(TRUNC(MOD(($Z571*1103515245 +12345)/ 65536, 32768),0)/32768),0))</f>
        <v>7</v>
      </c>
      <c r="H571" s="16">
        <f t="shared" ca="1" si="33"/>
        <v>-2</v>
      </c>
      <c r="I571" s="153">
        <f ca="1">VLOOKUP($AB$2,'RF Mod'!$A$2:$G$12,3,FALSE)+VLOOKUP($AD$2,'RF Mod'!$I$2:$O$11,3,FALSE)+(TRUNC(6+(24-6)*(TRUNC(MOD(($Z571*1103515245 +12345)/ 65536, 32768),0)/32768),0))</f>
        <v>11</v>
      </c>
      <c r="J571" s="16" t="e">
        <f t="shared" ca="1" si="34"/>
        <v>#NAME?</v>
      </c>
      <c r="K571" s="153">
        <f ca="1">VLOOKUP($AB$2,'RF Mod'!$A$2:$G$12,3,FALSE)+VLOOKUP($AD$2,'RF Mod'!$I$2:$O$11,3,FALSE)+(TRUNC(6+(24-6)*(TRUNC(MOD(($Z571*1103515245 +12345)/ 65536, 32768),0)/32768),0))</f>
        <v>11</v>
      </c>
      <c r="L571" s="16" t="e">
        <f t="shared" ca="1" si="35"/>
        <v>#NAME?</v>
      </c>
      <c r="M571" s="153">
        <f ca="1">VLOOKUP($AB$2,'RF Mod'!$A$2:$G$12,4,FALSE)+VLOOKUP($AD$2,'RF Mod'!$I$2:$O$11,4,FALSE)+(TRUNC(6+(24-6)*(TRUNC(MOD(($Z571*1103515245 +12345)/ 65536, 32768),0)/32768),0))</f>
        <v>10</v>
      </c>
      <c r="N571" s="16" t="e">
        <f t="shared" ca="1" si="36"/>
        <v>#NAME?</v>
      </c>
      <c r="O571" s="153">
        <f ca="1">VLOOKUP($AB$2,'RF Mod'!$A$2:$G$12,5,FALSE)+VLOOKUP($AD$2,'RF Mod'!$I$2:$O$11,5,FALSE)+(TRUNC(6+(24-6)*(TRUNC(MOD(($Z571*1103515245 +12345)/ 65536, 32768),0)/32768),0))</f>
        <v>13</v>
      </c>
      <c r="P571" s="16" t="e">
        <f t="shared" ca="1" si="37"/>
        <v>#NAME?</v>
      </c>
      <c r="Q571" s="153">
        <f ca="1">VLOOKUP($AB$2,'RF Mod'!$A$2:$G$12,6,FALSE)+VLOOKUP($AD$2,'RF Mod'!$I$2:$O$11,6,FALSE)+(TRUNC(6+(24-6)*(TRUNC(MOD(($Z571*1103515245 +12345)/ 65536, 32768),0)/32768),0))</f>
        <v>11</v>
      </c>
      <c r="R571" s="16" t="e">
        <f t="shared" ca="1" si="38"/>
        <v>#NAME?</v>
      </c>
      <c r="S571" s="154">
        <f t="shared" ca="1" si="43"/>
        <v>126</v>
      </c>
      <c r="T571" s="154">
        <f t="shared" ca="1" si="39"/>
        <v>61</v>
      </c>
      <c r="U571" s="16" t="str">
        <f t="shared" ca="1" si="40"/>
        <v>Fine</v>
      </c>
      <c r="V571" s="155">
        <f ca="1">IFERROR(__xludf.DUMMYFUNCTION("if(W571=""Middle Age"",QUERY(NPCVar!$K$2:$N1000, ""Select L where K = '""&amp;AB571&amp;""'""),if(W571=""Old"",QUERY(NPCVar!$K$2:$N1000, ""Select M where K = '""&amp;AB571&amp;""'""),if(W571=""Venerable"",QUERY(NPCVar!$K$2:$N1000, ""Select N where K = '""&amp;AB571&amp;""'""),fa"&amp;"lse)))*X571"),151.875)</f>
        <v>151.875</v>
      </c>
      <c r="W571" s="156" t="str">
        <f t="array" ref="W571">INDEX(NPCAgeType,TRUNC(1+(4-1)*(TRUNC(MOD((X571*1103515245 +12345)/ 65536, 32768),0)/32768),0))</f>
        <v>Old</v>
      </c>
      <c r="X571" s="117">
        <f t="shared" si="45"/>
        <v>0.9</v>
      </c>
      <c r="Y571" s="157" t="e">
        <f t="array" aca="1" ref="Y571" ca="1">LOOKUP(ABS(MAX(Z571 + MIN(ABS(INDIRECT("Class Jobs!B"&amp;MATCH(E571,'Class Jobs'!$A$1:$A1000,0)&amp;":"&amp;"AF"&amp;MATCH(E571,'Class Jobs'!$A$1:$A1000,0)&amp;"")-$Z571)) * SUM(IF(MIN(ABS(INDIRECT("Class Jobs!B"&amp;MATCH(E571,'Class Jobs'!$A$1:$A1000,0)&amp;":"&amp;"AF"&amp;MATCH(E571,'Class Jobs'!$A$1:$A1000,0)&amp;"")-$Z571))=ABS(INDIRECT("Class Jobs!B"&amp;MATCH(E571,'Class Jobs'!$A$1:$A1000,0)&amp;":"&amp;"AF"&amp;MATCH(E571,'Class Jobs'!$A$1:$A1000,0)&amp;"")-$Z571),SIGN(INDIRECT("Class Jobs!B"&amp;MATCH(E571,'Class Jobs'!$A$1:A1000,0)&amp;":"&amp;"AF"&amp;MATCH(E571,'Class Jobs'!$A$1:$A1000,0)&amp;"")-$Z571),0)),0)),INDIRECT("Class Jobs!B"&amp;MATCH(E571,'Class Jobs'!$A$1:$A1000,0)&amp;":"&amp;"AF"&amp;MATCH(E571,'Class Jobs'!$A$1:$A1000,1)&amp;""),'Class Jobs'!$B$1:$AF$1)</f>
        <v>#REF!</v>
      </c>
      <c r="Z571" s="158">
        <f t="shared" si="41"/>
        <v>0.34</v>
      </c>
      <c r="AA571" s="16" t="str">
        <f t="array" ref="AA571">INDEX(NPCGender,TRUNC(1+(COUNTA(NPCGender))*(TRUNC(MOD(($B571*1103515245 +12345)/ 65536, 32768),0)/32768),0))</f>
        <v>Female</v>
      </c>
      <c r="AB571" s="16" t="str">
        <f t="array" ref="AB571">INDEX(NPCRace,TRUNC(1+(COUNTA(NPCRace))*(TRUNC(MOD(($B571*1103515245 +12345)/ 65536, 32768),0)/32768),0))</f>
        <v>Gnome</v>
      </c>
      <c r="AC571" s="16" t="str">
        <f t="array" ref="AC571">INDEX(NPCAL,TRUNC(1+(COUNTA(NPCAL))*(TRUNC(MOD(($B571*1103515245 +12345)/ 65536, 32768),0)/32768),0))</f>
        <v>NG</v>
      </c>
      <c r="AD571" s="72" t="str">
        <f ca="1">IFERROR(__xludf.DUMMYFUNCTION("if(V571&lt;15,QUERY(NPCVar!C:D,""Select D WHERE C = '""&amp;D571&amp;""'""),if((TRUNC(1+10)*(TRUNC(MOD((ROW(H571)*1103515245 +12345)/ 65536, 32768),0)/32768)/10) &gt; 0.85,INDEX(NPCFaction,TRUNC(1+(counta(NPCFaction)-1)*(TRUNC(MOD(($B571*1103515245 +12345)/ 65536, 3276"&amp;"8),0)/32768),0)),QUERY(NPCVar!C:D,""Select D WHERE C = '""&amp;D571&amp;""'"")))"),"Necromancer")</f>
        <v>Necromancer</v>
      </c>
      <c r="AE571" s="108" t="e">
        <f t="shared" ca="1" si="42"/>
        <v>#NAME?</v>
      </c>
      <c r="AF571" s="159">
        <f ca="1">IFERROR(__xludf.DUMMYFUNCTION("AE571*(V571 / QUERY(NPCVar!$K$2:$N$12, ""Select N WHERE K='""&amp;AB571&amp;""'""))*TRUNC(1+10)*(TRUNC(MOD(($B571*1103515245 +12345)/ 65536, 32768),0)/32768)"),0.9904833984375)</f>
        <v>0.9904833984375</v>
      </c>
      <c r="AG571" s="16"/>
      <c r="AH571" s="77"/>
      <c r="AI571" s="114"/>
    </row>
    <row r="572" spans="1:35" ht="16.2">
      <c r="A572" s="53">
        <v>571</v>
      </c>
      <c r="B572" s="118">
        <f t="shared" si="44"/>
        <v>2.14317</v>
      </c>
      <c r="C572" s="72" t="str">
        <f t="array" ref="C572">INDEX(NPCFName,TRUNC(1+(COUNTA(NPCFName))*(TRUNC(MOD(($B572*1103515245 +12345)/ 65536, 32768),0)/32768),0))</f>
        <v>Ethen</v>
      </c>
      <c r="D572" s="16" t="str">
        <f t="array" ref="D572">INDEX(NPCLName,TRUNC(1+(COUNTA(NPCLName))*(TRUNC(MOD(($B572*1103515245 +12345)/ 65536, 32768),0)/32768),0))</f>
        <v>Distantlash</v>
      </c>
      <c r="E572" s="16" t="str">
        <f t="array" ref="E572">INDEX(NPCClass,TRUNC(1+(COUNTA(NPCClass))*(TRUNC(MOD(($B572*1103515245 +12345)/ 65536, 32768),0)/32768),0))</f>
        <v>Bard</v>
      </c>
      <c r="F572" s="76">
        <v>1</v>
      </c>
      <c r="G572" s="153">
        <f ca="1">VLOOKUP($AB$2,'RF Mod'!$A$2:$G$12,2,FALSE)+VLOOKUP($AD$2,'RF Mod'!$I$2:$O$11,2,FALSE)+(TRUNC(6+(24-6)*(TRUNC(MOD(($Z572*1103515245 +12345)/ 65536, 32768),0)/32768),0))</f>
        <v>5</v>
      </c>
      <c r="H572" s="16">
        <f t="shared" ca="1" si="33"/>
        <v>-3</v>
      </c>
      <c r="I572" s="153">
        <f ca="1">VLOOKUP($AB$2,'RF Mod'!$A$2:$G$12,3,FALSE)+VLOOKUP($AD$2,'RF Mod'!$I$2:$O$11,3,FALSE)+(TRUNC(6+(24-6)*(TRUNC(MOD(($Z572*1103515245 +12345)/ 65536, 32768),0)/32768),0))</f>
        <v>9</v>
      </c>
      <c r="J572" s="16">
        <f t="shared" ca="1" si="34"/>
        <v>-1</v>
      </c>
      <c r="K572" s="153">
        <f ca="1">VLOOKUP($AB$2,'RF Mod'!$A$2:$G$12,3,FALSE)+VLOOKUP($AD$2,'RF Mod'!$I$2:$O$11,3,FALSE)+(TRUNC(6+(24-6)*(TRUNC(MOD(($Z572*1103515245 +12345)/ 65536, 32768),0)/32768),0))</f>
        <v>9</v>
      </c>
      <c r="L572" s="16">
        <f t="shared" ca="1" si="35"/>
        <v>-1</v>
      </c>
      <c r="M572" s="153">
        <f ca="1">VLOOKUP($AB$2,'RF Mod'!$A$2:$G$12,4,FALSE)+VLOOKUP($AD$2,'RF Mod'!$I$2:$O$11,4,FALSE)+(TRUNC(6+(24-6)*(TRUNC(MOD(($Z572*1103515245 +12345)/ 65536, 32768),0)/32768),0))</f>
        <v>8</v>
      </c>
      <c r="N572" s="16">
        <f t="shared" ca="1" si="36"/>
        <v>-1</v>
      </c>
      <c r="O572" s="153">
        <f ca="1">VLOOKUP($AB$2,'RF Mod'!$A$2:$G$12,5,FALSE)+VLOOKUP($AD$2,'RF Mod'!$I$2:$O$11,5,FALSE)+(TRUNC(6+(24-6)*(TRUNC(MOD(($Z572*1103515245 +12345)/ 65536, 32768),0)/32768),0))</f>
        <v>11</v>
      </c>
      <c r="P572" s="16" t="e">
        <f t="shared" ca="1" si="37"/>
        <v>#NAME?</v>
      </c>
      <c r="Q572" s="153">
        <f ca="1">VLOOKUP($AB$2,'RF Mod'!$A$2:$G$12,6,FALSE)+VLOOKUP($AD$2,'RF Mod'!$I$2:$O$11,6,FALSE)+(TRUNC(6+(24-6)*(TRUNC(MOD(($Z572*1103515245 +12345)/ 65536, 32768),0)/32768),0))</f>
        <v>9</v>
      </c>
      <c r="R572" s="16">
        <f t="shared" ca="1" si="38"/>
        <v>-1</v>
      </c>
      <c r="S572" s="154">
        <f t="shared" ca="1" si="43"/>
        <v>11</v>
      </c>
      <c r="T572" s="154">
        <f t="shared" ca="1" si="39"/>
        <v>6</v>
      </c>
      <c r="U572" s="16" t="str">
        <f t="shared" ca="1" si="40"/>
        <v>Bloody</v>
      </c>
      <c r="V572" s="155">
        <f ca="1">IFERROR(__xludf.DUMMYFUNCTION("if(W572=""Middle Age"",QUERY(NPCVar!$K$2:$N1000, ""Select L where K = '""&amp;AB572&amp;""'""),if(W572=""Old"",QUERY(NPCVar!$K$2:$N1000, ""Select M where K = '""&amp;AB572&amp;""'""),if(W572=""Venerable"",QUERY(NPCVar!$K$2:$N1000, ""Select N where K = '""&amp;AB572&amp;""'""),fa"&amp;"lse)))*X572"),24)</f>
        <v>24</v>
      </c>
      <c r="W572" s="156" t="str">
        <f t="array" ref="W572">INDEX(NPCAgeType,TRUNC(1+(4-1)*(TRUNC(MOD((X572*1103515245 +12345)/ 65536, 32768),0)/32768),0))</f>
        <v>Middle Age</v>
      </c>
      <c r="X572" s="117">
        <f t="shared" si="45"/>
        <v>0.3</v>
      </c>
      <c r="Y572" s="157" t="e">
        <f t="array" aca="1" ref="Y572" ca="1">LOOKUP(ABS(MAX(Z572 + MIN(ABS(INDIRECT("Class Jobs!B"&amp;MATCH(E572,'Class Jobs'!$A$1:$A1000,0)&amp;":"&amp;"AF"&amp;MATCH(E572,'Class Jobs'!$A$1:$A1000,0)&amp;"")-$Z572)) * SUM(IF(MIN(ABS(INDIRECT("Class Jobs!B"&amp;MATCH(E572,'Class Jobs'!$A$1:$A1000,0)&amp;":"&amp;"AF"&amp;MATCH(E572,'Class Jobs'!$A$1:$A1000,0)&amp;"")-$Z572))=ABS(INDIRECT("Class Jobs!B"&amp;MATCH(E572,'Class Jobs'!$A$1:$A1000,0)&amp;":"&amp;"AF"&amp;MATCH(E572,'Class Jobs'!$A$1:$A1000,0)&amp;"")-$Z572),SIGN(INDIRECT("Class Jobs!B"&amp;MATCH(E572,'Class Jobs'!$A$1:A1000,0)&amp;":"&amp;"AF"&amp;MATCH(E572,'Class Jobs'!$A$1:$A1000,0)&amp;"")-$Z572),0)),0)),INDIRECT("Class Jobs!B"&amp;MATCH(E572,'Class Jobs'!$A$1:$A1000,0)&amp;":"&amp;"AF"&amp;MATCH(E572,'Class Jobs'!$A$1:$A1000,1)&amp;""),'Class Jobs'!$B$1:$AF$1)</f>
        <v>#REF!</v>
      </c>
      <c r="Z572" s="158">
        <f t="shared" si="41"/>
        <v>0.11</v>
      </c>
      <c r="AA572" s="16" t="str">
        <f t="array" ref="AA572">INDEX(NPCGender,TRUNC(1+(COUNTA(NPCGender))*(TRUNC(MOD(($B572*1103515245 +12345)/ 65536, 32768),0)/32768),0))</f>
        <v>Male</v>
      </c>
      <c r="AB572" s="16" t="str">
        <f t="array" ref="AB572">INDEX(NPCRace,TRUNC(1+(COUNTA(NPCRace))*(TRUNC(MOD(($B572*1103515245 +12345)/ 65536, 32768),0)/32768),0))</f>
        <v>Dwarf</v>
      </c>
      <c r="AC572" s="16" t="str">
        <f t="array" ref="AC572">INDEX(NPCAL,TRUNC(1+(COUNTA(NPCAL))*(TRUNC(MOD(($B572*1103515245 +12345)/ 65536, 32768),0)/32768),0))</f>
        <v>CN</v>
      </c>
      <c r="AD572" s="72" t="str">
        <f ca="1">IFERROR(__xludf.DUMMYFUNCTION("if(V572&lt;15,QUERY(NPCVar!C:D,""Select D WHERE C = '""&amp;D572&amp;""'""),if((TRUNC(1+10)*(TRUNC(MOD((ROW(H572)*1103515245 +12345)/ 65536, 32768),0)/32768)/10) &gt; 0.85,INDEX(NPCFaction,TRUNC(1+(counta(NPCFaction)-1)*(TRUNC(MOD(($B572*1103515245 +12345)/ 65536, 3276"&amp;"8),0)/32768),0)),QUERY(NPCVar!C:D,""Select D WHERE C = '""&amp;D572&amp;""'"")))"),"Royalty")</f>
        <v>Royalty</v>
      </c>
      <c r="AE572" s="108" t="e">
        <f t="shared" ca="1" si="42"/>
        <v>#NAME?</v>
      </c>
      <c r="AF572" s="159">
        <f ca="1">IFERROR(__xludf.DUMMYFUNCTION("AE572*(V572 / QUERY(NPCVar!$K$2:$N$12, ""Select N WHERE K='""&amp;AB572&amp;""'""))*TRUNC(1+10)*(TRUNC(MOD(($B572*1103515245 +12345)/ 65536, 32768),0)/32768)"),0.00835624694824219)</f>
        <v>8.3562469482421908E-3</v>
      </c>
      <c r="AG572" s="16"/>
      <c r="AH572" s="77"/>
      <c r="AI572" s="114"/>
    </row>
    <row r="573" spans="1:35" ht="16.2">
      <c r="A573" s="53">
        <v>572</v>
      </c>
      <c r="B573" s="118">
        <f t="shared" si="44"/>
        <v>1.13731</v>
      </c>
      <c r="C573" s="72" t="str">
        <f t="array" ref="C573">INDEX(NPCFName,TRUNC(1+(COUNTA(NPCFName))*(TRUNC(MOD(($B573*1103515245 +12345)/ 65536, 32768),0)/32768),0))</f>
        <v>Ryfar</v>
      </c>
      <c r="D573" s="16" t="str">
        <f t="array" ref="D573">INDEX(NPCLName,TRUNC(1+(COUNTA(NPCLName))*(TRUNC(MOD(($B573*1103515245 +12345)/ 65536, 32768),0)/32768),0))</f>
        <v>Chestaxe</v>
      </c>
      <c r="E573" s="16" t="str">
        <f t="array" ref="E573">INDEX(NPCClass,TRUNC(1+(COUNTA(NPCClass))*(TRUNC(MOD(($B573*1103515245 +12345)/ 65536, 32768),0)/32768),0))</f>
        <v>Warlock</v>
      </c>
      <c r="F573" s="76">
        <v>8</v>
      </c>
      <c r="G573" s="153">
        <f ca="1">VLOOKUP($AB$2,'RF Mod'!$A$2:$G$12,2,FALSE)+VLOOKUP($AD$2,'RF Mod'!$I$2:$O$11,2,FALSE)+(TRUNC(6+(24-6)*(TRUNC(MOD(($Z573*1103515245 +12345)/ 65536, 32768),0)/32768),0))</f>
        <v>9</v>
      </c>
      <c r="H573" s="16">
        <f t="shared" ca="1" si="33"/>
        <v>-1</v>
      </c>
      <c r="I573" s="153">
        <f ca="1">VLOOKUP($AB$2,'RF Mod'!$A$2:$G$12,3,FALSE)+VLOOKUP($AD$2,'RF Mod'!$I$2:$O$11,3,FALSE)+(TRUNC(6+(24-6)*(TRUNC(MOD(($Z573*1103515245 +12345)/ 65536, 32768),0)/32768),0))</f>
        <v>13</v>
      </c>
      <c r="J573" s="16" t="e">
        <f t="shared" ca="1" si="34"/>
        <v>#NAME?</v>
      </c>
      <c r="K573" s="153">
        <f ca="1">VLOOKUP($AB$2,'RF Mod'!$A$2:$G$12,3,FALSE)+VLOOKUP($AD$2,'RF Mod'!$I$2:$O$11,3,FALSE)+(TRUNC(6+(24-6)*(TRUNC(MOD(($Z573*1103515245 +12345)/ 65536, 32768),0)/32768),0))</f>
        <v>13</v>
      </c>
      <c r="L573" s="16" t="e">
        <f t="shared" ca="1" si="35"/>
        <v>#NAME?</v>
      </c>
      <c r="M573" s="153">
        <f ca="1">VLOOKUP($AB$2,'RF Mod'!$A$2:$G$12,4,FALSE)+VLOOKUP($AD$2,'RF Mod'!$I$2:$O$11,4,FALSE)+(TRUNC(6+(24-6)*(TRUNC(MOD(($Z573*1103515245 +12345)/ 65536, 32768),0)/32768),0))</f>
        <v>12</v>
      </c>
      <c r="N573" s="16" t="e">
        <f t="shared" ca="1" si="36"/>
        <v>#NAME?</v>
      </c>
      <c r="O573" s="153">
        <f ca="1">VLOOKUP($AB$2,'RF Mod'!$A$2:$G$12,5,FALSE)+VLOOKUP($AD$2,'RF Mod'!$I$2:$O$11,5,FALSE)+(TRUNC(6+(24-6)*(TRUNC(MOD(($Z573*1103515245 +12345)/ 65536, 32768),0)/32768),0))</f>
        <v>15</v>
      </c>
      <c r="P573" s="16" t="e">
        <f t="shared" ca="1" si="37"/>
        <v>#NAME?</v>
      </c>
      <c r="Q573" s="153">
        <f ca="1">VLOOKUP($AB$2,'RF Mod'!$A$2:$G$12,6,FALSE)+VLOOKUP($AD$2,'RF Mod'!$I$2:$O$11,6,FALSE)+(TRUNC(6+(24-6)*(TRUNC(MOD(($Z573*1103515245 +12345)/ 65536, 32768),0)/32768),0))</f>
        <v>13</v>
      </c>
      <c r="R573" s="16" t="e">
        <f t="shared" ca="1" si="38"/>
        <v>#NAME?</v>
      </c>
      <c r="S573" s="154">
        <f t="shared" ca="1" si="43"/>
        <v>248</v>
      </c>
      <c r="T573" s="154">
        <f t="shared" ca="1" si="39"/>
        <v>164</v>
      </c>
      <c r="U573" s="16" t="str">
        <f t="shared" ca="1" si="40"/>
        <v>Bloody</v>
      </c>
      <c r="V573" s="155">
        <f ca="1">IFERROR(__xludf.DUMMYFUNCTION("if(W573=""Middle Age"",QUERY(NPCVar!$K$2:$N1000, ""Select L where K = '""&amp;AB573&amp;""'""),if(W573=""Old"",QUERY(NPCVar!$K$2:$N1000, ""Select M where K = '""&amp;AB573&amp;""'""),if(W573=""Venerable"",QUERY(NPCVar!$K$2:$N1000, ""Select N where K = '""&amp;AB573&amp;""'""),fa"&amp;"lse)))*X573"),300)</f>
        <v>300</v>
      </c>
      <c r="W573" s="156" t="str">
        <f t="array" ref="W573">INDEX(NPCAgeType,TRUNC(1+(4-1)*(TRUNC(MOD((X573*1103515245 +12345)/ 65536, 32768),0)/32768),0))</f>
        <v>Venerable</v>
      </c>
      <c r="X573" s="117">
        <f t="shared" si="45"/>
        <v>1.5</v>
      </c>
      <c r="Y573" s="157" t="e">
        <f t="array" aca="1" ref="Y573" ca="1">LOOKUP(ABS(MAX(Z573 + MIN(ABS(INDIRECT("Class Jobs!B"&amp;MATCH(E573,'Class Jobs'!$A$1:$A1000,0)&amp;":"&amp;"AF"&amp;MATCH(E573,'Class Jobs'!$A$1:$A1000,0)&amp;"")-$Z573)) * SUM(IF(MIN(ABS(INDIRECT("Class Jobs!B"&amp;MATCH(E573,'Class Jobs'!$A$1:$A1000,0)&amp;":"&amp;"AF"&amp;MATCH(E573,'Class Jobs'!$A$1:$A1000,0)&amp;"")-$Z573))=ABS(INDIRECT("Class Jobs!B"&amp;MATCH(E573,'Class Jobs'!$A$1:$A1000,0)&amp;":"&amp;"AF"&amp;MATCH(E573,'Class Jobs'!$A$1:$A1000,0)&amp;"")-$Z573),SIGN(INDIRECT("Class Jobs!B"&amp;MATCH(E573,'Class Jobs'!$A$1:A1000,0)&amp;":"&amp;"AF"&amp;MATCH(E573,'Class Jobs'!$A$1:$A1000,0)&amp;"")-$Z573),0)),0)),INDIRECT("Class Jobs!B"&amp;MATCH(E573,'Class Jobs'!$A$1:$A1000,0)&amp;":"&amp;"AF"&amp;MATCH(E573,'Class Jobs'!$A$1:$A1000,1)&amp;""),'Class Jobs'!$B$1:$AF$1)</f>
        <v>#REF!</v>
      </c>
      <c r="Z573" s="158">
        <f t="shared" si="41"/>
        <v>0.57999999999999996</v>
      </c>
      <c r="AA573" s="16" t="str">
        <f t="array" ref="AA573">INDEX(NPCGender,TRUNC(1+(COUNTA(NPCGender))*(TRUNC(MOD(($B573*1103515245 +12345)/ 65536, 32768),0)/32768),0))</f>
        <v>Female</v>
      </c>
      <c r="AB573" s="16" t="str">
        <f t="array" ref="AB573">INDEX(NPCRace,TRUNC(1+(COUNTA(NPCRace))*(TRUNC(MOD(($B573*1103515245 +12345)/ 65536, 32768),0)/32768),0))</f>
        <v>Halfling</v>
      </c>
      <c r="AC573" s="16" t="str">
        <f t="array" ref="AC573">INDEX(NPCAL,TRUNC(1+(COUNTA(NPCAL))*(TRUNC(MOD(($B573*1103515245 +12345)/ 65536, 32768),0)/32768),0))</f>
        <v>NE</v>
      </c>
      <c r="AD573" s="72" t="str">
        <f ca="1">IFERROR(__xludf.DUMMYFUNCTION("if(V573&lt;15,QUERY(NPCVar!C:D,""Select D WHERE C = '""&amp;D573&amp;""'""),if((TRUNC(1+10)*(TRUNC(MOD((ROW(H573)*1103515245 +12345)/ 65536, 32768),0)/32768)/10) &gt; 0.85,INDEX(NPCFaction,TRUNC(1+(counta(NPCFaction)-1)*(TRUNC(MOD(($B573*1103515245 +12345)/ 65536, 3276"&amp;"8),0)/32768),0)),QUERY(NPCVar!C:D,""Select D WHERE C = '""&amp;D573&amp;""'"")))"),"Farmers Guild")</f>
        <v>Farmers Guild</v>
      </c>
      <c r="AE573" s="108" t="e">
        <f t="shared" ca="1" si="42"/>
        <v>#NAME?</v>
      </c>
      <c r="AF573" s="159">
        <f ca="1">IFERROR(__xludf.DUMMYFUNCTION("AE573*(V573 / QUERY(NPCVar!$K$2:$N$12, ""Select N WHERE K='""&amp;AB573&amp;""'""))*TRUNC(1+10)*(TRUNC(MOD(($B573*1103515245 +12345)/ 65536, 32768),0)/32768)"),9.64279174804687)</f>
        <v>9.6427917480468697</v>
      </c>
      <c r="AG573" s="16"/>
      <c r="AH573" s="77"/>
      <c r="AI573" s="114"/>
    </row>
    <row r="574" spans="1:35" ht="16.2">
      <c r="A574" s="53">
        <v>573</v>
      </c>
      <c r="B574" s="118">
        <f t="shared" si="44"/>
        <v>0.13145999999999999</v>
      </c>
      <c r="C574" s="72" t="str">
        <f t="array" ref="C574">INDEX(NPCFName,TRUNC(1+(COUNTA(NPCFName))*(TRUNC(MOD(($B574*1103515245 +12345)/ 65536, 32768),0)/32768),0))</f>
        <v>Darkkon</v>
      </c>
      <c r="D574" s="16" t="str">
        <f t="array" ref="D574">INDEX(NPCLName,TRUNC(1+(COUNTA(NPCLName))*(TRUNC(MOD(($B574*1103515245 +12345)/ 65536, 32768),0)/32768),0))</f>
        <v>Autumnorb</v>
      </c>
      <c r="E574" s="16" t="str">
        <f t="array" ref="E574">INDEX(NPCClass,TRUNC(1+(COUNTA(NPCClass))*(TRUNC(MOD(($B574*1103515245 +12345)/ 65536, 32768),0)/32768),0))</f>
        <v>Barbarian</v>
      </c>
      <c r="F574" s="76">
        <v>1</v>
      </c>
      <c r="G574" s="153">
        <f ca="1">VLOOKUP($AB$2,'RF Mod'!$A$2:$G$12,2,FALSE)+VLOOKUP($AD$2,'RF Mod'!$I$2:$O$11,2,FALSE)+(TRUNC(6+(24-6)*(TRUNC(MOD(($Z574*1103515245 +12345)/ 65536, 32768),0)/32768),0))</f>
        <v>4</v>
      </c>
      <c r="H574" s="16">
        <f t="shared" ca="1" si="33"/>
        <v>-3</v>
      </c>
      <c r="I574" s="153">
        <f ca="1">VLOOKUP($AB$2,'RF Mod'!$A$2:$G$12,3,FALSE)+VLOOKUP($AD$2,'RF Mod'!$I$2:$O$11,3,FALSE)+(TRUNC(6+(24-6)*(TRUNC(MOD(($Z574*1103515245 +12345)/ 65536, 32768),0)/32768),0))</f>
        <v>8</v>
      </c>
      <c r="J574" s="16">
        <f t="shared" ca="1" si="34"/>
        <v>-1</v>
      </c>
      <c r="K574" s="153">
        <f ca="1">VLOOKUP($AB$2,'RF Mod'!$A$2:$G$12,3,FALSE)+VLOOKUP($AD$2,'RF Mod'!$I$2:$O$11,3,FALSE)+(TRUNC(6+(24-6)*(TRUNC(MOD(($Z574*1103515245 +12345)/ 65536, 32768),0)/32768),0))</f>
        <v>8</v>
      </c>
      <c r="L574" s="16">
        <f t="shared" ca="1" si="35"/>
        <v>-1</v>
      </c>
      <c r="M574" s="153">
        <f ca="1">VLOOKUP($AB$2,'RF Mod'!$A$2:$G$12,4,FALSE)+VLOOKUP($AD$2,'RF Mod'!$I$2:$O$11,4,FALSE)+(TRUNC(6+(24-6)*(TRUNC(MOD(($Z574*1103515245 +12345)/ 65536, 32768),0)/32768),0))</f>
        <v>7</v>
      </c>
      <c r="N574" s="16">
        <f t="shared" ca="1" si="36"/>
        <v>-2</v>
      </c>
      <c r="O574" s="153">
        <f ca="1">VLOOKUP($AB$2,'RF Mod'!$A$2:$G$12,5,FALSE)+VLOOKUP($AD$2,'RF Mod'!$I$2:$O$11,5,FALSE)+(TRUNC(6+(24-6)*(TRUNC(MOD(($Z574*1103515245 +12345)/ 65536, 32768),0)/32768),0))</f>
        <v>10</v>
      </c>
      <c r="P574" s="16" t="e">
        <f t="shared" ca="1" si="37"/>
        <v>#NAME?</v>
      </c>
      <c r="Q574" s="153">
        <f ca="1">VLOOKUP($AB$2,'RF Mod'!$A$2:$G$12,6,FALSE)+VLOOKUP($AD$2,'RF Mod'!$I$2:$O$11,6,FALSE)+(TRUNC(6+(24-6)*(TRUNC(MOD(($Z574*1103515245 +12345)/ 65536, 32768),0)/32768),0))</f>
        <v>8</v>
      </c>
      <c r="R574" s="16">
        <f t="shared" ca="1" si="38"/>
        <v>-1</v>
      </c>
      <c r="S574" s="154">
        <f t="shared" ca="1" si="43"/>
        <v>10</v>
      </c>
      <c r="T574" s="154">
        <f t="shared" ca="1" si="39"/>
        <v>9</v>
      </c>
      <c r="U574" s="16" t="str">
        <f t="shared" ca="1" si="40"/>
        <v>Bloody</v>
      </c>
      <c r="V574" s="155">
        <f ca="1">IFERROR(__xludf.DUMMYFUNCTION("if(W574=""Middle Age"",QUERY(NPCVar!$K$2:$N1000, ""Select L where K = '""&amp;AB574&amp;""'""),if(W574=""Old"",QUERY(NPCVar!$K$2:$N1000, ""Select M where K = '""&amp;AB574&amp;""'""),if(W574=""Venerable"",QUERY(NPCVar!$K$2:$N1000, ""Select N where K = '""&amp;AB574&amp;""'""),fa"&amp;"lse)))*X574"),4)</f>
        <v>4</v>
      </c>
      <c r="W574" s="156" t="str">
        <f t="array" ref="W574">INDEX(NPCAgeType,TRUNC(1+(4-1)*(TRUNC(MOD((X574*1103515245 +12345)/ 65536, 32768),0)/32768),0))</f>
        <v>Middle Age</v>
      </c>
      <c r="X574" s="117">
        <f t="shared" si="45"/>
        <v>0.2</v>
      </c>
      <c r="Y574" s="157" t="e">
        <f t="array" aca="1" ref="Y574" ca="1">LOOKUP(ABS(MAX(Z574 + MIN(ABS(INDIRECT("Class Jobs!B"&amp;MATCH(E574,'Class Jobs'!$A$1:$A1000,0)&amp;":"&amp;"AF"&amp;MATCH(E574,'Class Jobs'!$A$1:$A1000,0)&amp;"")-$Z574)) * SUM(IF(MIN(ABS(INDIRECT("Class Jobs!B"&amp;MATCH(E574,'Class Jobs'!$A$1:$A1000,0)&amp;":"&amp;"AF"&amp;MATCH(E574,'Class Jobs'!$A$1:$A1000,0)&amp;"")-$Z574))=ABS(INDIRECT("Class Jobs!B"&amp;MATCH(E574,'Class Jobs'!$A$1:$A1000,0)&amp;":"&amp;"AF"&amp;MATCH(E574,'Class Jobs'!$A$1:$A1000,0)&amp;"")-$Z574),SIGN(INDIRECT("Class Jobs!B"&amp;MATCH(E574,'Class Jobs'!$A$1:A1000,0)&amp;":"&amp;"AF"&amp;MATCH(E574,'Class Jobs'!$A$1:$A1000,0)&amp;"")-$Z574),0)),0)),INDIRECT("Class Jobs!B"&amp;MATCH(E574,'Class Jobs'!$A$1:$A1000,0)&amp;":"&amp;"AF"&amp;MATCH(E574,'Class Jobs'!$A$1:$A1000,1)&amp;""),'Class Jobs'!$B$1:$AF$1)</f>
        <v>#REF!</v>
      </c>
      <c r="Z574" s="158">
        <f t="shared" si="41"/>
        <v>7.0000000000000007E-2</v>
      </c>
      <c r="AA574" s="16" t="str">
        <f t="array" ref="AA574">INDEX(NPCGender,TRUNC(1+(COUNTA(NPCGender))*(TRUNC(MOD(($B574*1103515245 +12345)/ 65536, 32768),0)/32768),0))</f>
        <v>Male</v>
      </c>
      <c r="AB574" s="16" t="str">
        <f t="array" ref="AB574">INDEX(NPCRace,TRUNC(1+(COUNTA(NPCRace))*(TRUNC(MOD(($B574*1103515245 +12345)/ 65536, 32768),0)/32768),0))</f>
        <v>Dragonborn</v>
      </c>
      <c r="AC574" s="16" t="str">
        <f t="array" ref="AC574">INDEX(NPCAL,TRUNC(1+(COUNTA(NPCAL))*(TRUNC(MOD(($B574*1103515245 +12345)/ 65536, 32768),0)/32768),0))</f>
        <v>CN</v>
      </c>
      <c r="AD574" s="72" t="str">
        <f ca="1">IFERROR(__xludf.DUMMYFUNCTION("if(V574&lt;15,QUERY(NPCVar!C:D,""Select D WHERE C = '""&amp;D574&amp;""'""),if((TRUNC(1+10)*(TRUNC(MOD((ROW(H574)*1103515245 +12345)/ 65536, 32768),0)/32768)/10) &gt; 0.85,INDEX(NPCFaction,TRUNC(1+(counta(NPCFaction)-1)*(TRUNC(MOD(($B574*1103515245 +12345)/ 65536, 3276"&amp;"8),0)/32768),0)),QUERY(NPCVar!C:D,""Select D WHERE C = '""&amp;D574&amp;""'"")))"),"Royalty")</f>
        <v>Royalty</v>
      </c>
      <c r="AE574" s="108" t="e">
        <f t="shared" ca="1" si="42"/>
        <v>#NAME?</v>
      </c>
      <c r="AF574" s="159">
        <f ca="1">IFERROR(__xludf.DUMMYFUNCTION("AE574*(V574 / QUERY(NPCVar!$K$2:$N$12, ""Select N WHERE K='""&amp;AB574&amp;""'""))*TRUNC(1+10)*(TRUNC(MOD(($B574*1103515245 +12345)/ 65536, 32768),0)/32768)"),0.00371444702148437)</f>
        <v>3.7144470214843699E-3</v>
      </c>
      <c r="AG574" s="16"/>
      <c r="AH574" s="77"/>
      <c r="AI574" s="114"/>
    </row>
    <row r="575" spans="1:35" ht="16.2">
      <c r="A575" s="53">
        <v>574</v>
      </c>
      <c r="B575" s="118">
        <f t="shared" si="44"/>
        <v>1.6255900000000001</v>
      </c>
      <c r="C575" s="72" t="str">
        <f t="array" ref="C575">INDEX(NPCFName,TRUNC(1+(COUNTA(NPCFName))*(TRUNC(MOD(($B575*1103515245 +12345)/ 65536, 32768),0)/32768),0))</f>
        <v>Laderic</v>
      </c>
      <c r="D575" s="16" t="str">
        <f t="array" ref="D575">INDEX(NPCLName,TRUNC(1+(COUNTA(NPCLName))*(TRUNC(MOD(($B575*1103515245 +12345)/ 65536, 32768),0)/32768),0))</f>
        <v>Springgust</v>
      </c>
      <c r="E575" s="16" t="str">
        <f t="array" ref="E575">INDEX(NPCClass,TRUNC(1+(COUNTA(NPCClass))*(TRUNC(MOD(($B575*1103515245 +12345)/ 65536, 32768),0)/32768),0))</f>
        <v>Fighter</v>
      </c>
      <c r="F575" s="76">
        <v>8</v>
      </c>
      <c r="G575" s="153">
        <f ca="1">VLOOKUP($AB$2,'RF Mod'!$A$2:$G$12,2,FALSE)+VLOOKUP($AD$2,'RF Mod'!$I$2:$O$11,2,FALSE)+(TRUNC(6+(24-6)*(TRUNC(MOD(($Z575*1103515245 +12345)/ 65536, 32768),0)/32768),0))</f>
        <v>11</v>
      </c>
      <c r="H575" s="16" t="e">
        <f t="shared" ca="1" si="33"/>
        <v>#NAME?</v>
      </c>
      <c r="I575" s="153">
        <f ca="1">VLOOKUP($AB$2,'RF Mod'!$A$2:$G$12,3,FALSE)+VLOOKUP($AD$2,'RF Mod'!$I$2:$O$11,3,FALSE)+(TRUNC(6+(24-6)*(TRUNC(MOD(($Z575*1103515245 +12345)/ 65536, 32768),0)/32768),0))</f>
        <v>15</v>
      </c>
      <c r="J575" s="16" t="e">
        <f t="shared" ca="1" si="34"/>
        <v>#NAME?</v>
      </c>
      <c r="K575" s="153">
        <f ca="1">VLOOKUP($AB$2,'RF Mod'!$A$2:$G$12,3,FALSE)+VLOOKUP($AD$2,'RF Mod'!$I$2:$O$11,3,FALSE)+(TRUNC(6+(24-6)*(TRUNC(MOD(($Z575*1103515245 +12345)/ 65536, 32768),0)/32768),0))</f>
        <v>15</v>
      </c>
      <c r="L575" s="16" t="e">
        <f t="shared" ca="1" si="35"/>
        <v>#NAME?</v>
      </c>
      <c r="M575" s="153">
        <f ca="1">VLOOKUP($AB$2,'RF Mod'!$A$2:$G$12,4,FALSE)+VLOOKUP($AD$2,'RF Mod'!$I$2:$O$11,4,FALSE)+(TRUNC(6+(24-6)*(TRUNC(MOD(($Z575*1103515245 +12345)/ 65536, 32768),0)/32768),0))</f>
        <v>14</v>
      </c>
      <c r="N575" s="16" t="e">
        <f t="shared" ca="1" si="36"/>
        <v>#NAME?</v>
      </c>
      <c r="O575" s="153">
        <f ca="1">VLOOKUP($AB$2,'RF Mod'!$A$2:$G$12,5,FALSE)+VLOOKUP($AD$2,'RF Mod'!$I$2:$O$11,5,FALSE)+(TRUNC(6+(24-6)*(TRUNC(MOD(($Z575*1103515245 +12345)/ 65536, 32768),0)/32768),0))</f>
        <v>17</v>
      </c>
      <c r="P575" s="16" t="e">
        <f t="shared" ca="1" si="37"/>
        <v>#NAME?</v>
      </c>
      <c r="Q575" s="153">
        <f ca="1">VLOOKUP($AB$2,'RF Mod'!$A$2:$G$12,6,FALSE)+VLOOKUP($AD$2,'RF Mod'!$I$2:$O$11,6,FALSE)+(TRUNC(6+(24-6)*(TRUNC(MOD(($Z575*1103515245 +12345)/ 65536, 32768),0)/32768),0))</f>
        <v>15</v>
      </c>
      <c r="R575" s="16" t="e">
        <f t="shared" ca="1" si="38"/>
        <v>#NAME?</v>
      </c>
      <c r="S575" s="154">
        <f t="shared" ca="1" si="43"/>
        <v>200</v>
      </c>
      <c r="T575" s="154">
        <f t="shared" ca="1" si="39"/>
        <v>44</v>
      </c>
      <c r="U575" s="16" t="str">
        <f t="shared" ca="1" si="40"/>
        <v>Fine</v>
      </c>
      <c r="V575" s="155">
        <f ca="1">IFERROR(__xludf.DUMMYFUNCTION("if(W575=""Middle Age"",QUERY(NPCVar!$K$2:$N1000, ""Select L where K = '""&amp;AB575&amp;""'""),if(W575=""Old"",QUERY(NPCVar!$K$2:$N1000, ""Select M where K = '""&amp;AB575&amp;""'""),if(W575=""Venerable"",QUERY(NPCVar!$K$2:$N1000, ""Select N where K = '""&amp;AB575&amp;""'""),fa"&amp;"lse)))*X575"),57.75)</f>
        <v>57.75</v>
      </c>
      <c r="W575" s="156" t="str">
        <f t="array" ref="W575">INDEX(NPCAgeType,TRUNC(1+(4-1)*(TRUNC(MOD((X575*1103515245 +12345)/ 65536, 32768),0)/32768),0))</f>
        <v>Middle Age</v>
      </c>
      <c r="X575" s="117">
        <f t="shared" si="45"/>
        <v>2.1</v>
      </c>
      <c r="Y575" s="157" t="e">
        <f t="array" aca="1" ref="Y575" ca="1">LOOKUP(ABS(MAX(Z575 + MIN(ABS(INDIRECT("Class Jobs!B"&amp;MATCH(E575,'Class Jobs'!$A$1:$A1000,0)&amp;":"&amp;"AF"&amp;MATCH(E575,'Class Jobs'!$A$1:$A1000,0)&amp;"")-$Z575)) * SUM(IF(MIN(ABS(INDIRECT("Class Jobs!B"&amp;MATCH(E575,'Class Jobs'!$A$1:$A1000,0)&amp;":"&amp;"AF"&amp;MATCH(E575,'Class Jobs'!$A$1:$A1000,0)&amp;"")-$Z575))=ABS(INDIRECT("Class Jobs!B"&amp;MATCH(E575,'Class Jobs'!$A$1:$A1000,0)&amp;":"&amp;"AF"&amp;MATCH(E575,'Class Jobs'!$A$1:$A1000,0)&amp;"")-$Z575),SIGN(INDIRECT("Class Jobs!B"&amp;MATCH(E575,'Class Jobs'!$A$1:A1000,0)&amp;":"&amp;"AF"&amp;MATCH(E575,'Class Jobs'!$A$1:$A1000,0)&amp;"")-$Z575),0)),0)),INDIRECT("Class Jobs!B"&amp;MATCH(E575,'Class Jobs'!$A$1:$A1000,0)&amp;":"&amp;"AF"&amp;MATCH(E575,'Class Jobs'!$A$1:$A1000,1)&amp;""),'Class Jobs'!$B$1:$AF$1)</f>
        <v>#REF!</v>
      </c>
      <c r="Z575" s="158">
        <f t="shared" si="41"/>
        <v>0.83</v>
      </c>
      <c r="AA575" s="16" t="str">
        <f t="array" ref="AA575">INDEX(NPCGender,TRUNC(1+(COUNTA(NPCGender))*(TRUNC(MOD(($B575*1103515245 +12345)/ 65536, 32768),0)/32768),0))</f>
        <v>Neutral</v>
      </c>
      <c r="AB575" s="16" t="str">
        <f t="array" ref="AB575">INDEX(NPCRace,TRUNC(1+(COUNTA(NPCRace))*(TRUNC(MOD(($B575*1103515245 +12345)/ 65536, 32768),0)/32768),0))</f>
        <v>Genasi</v>
      </c>
      <c r="AC575" s="16" t="str">
        <f t="array" ref="AC575">INDEX(NPCAL,TRUNC(1+(COUNTA(NPCAL))*(TRUNC(MOD(($B575*1103515245 +12345)/ 65536, 32768),0)/32768),0))</f>
        <v>LN</v>
      </c>
      <c r="AD575" s="72" t="str">
        <f ca="1">IFERROR(__xludf.DUMMYFUNCTION("if(V575&lt;15,QUERY(NPCVar!C:D,""Select D WHERE C = '""&amp;D575&amp;""'""),if((TRUNC(1+10)*(TRUNC(MOD((ROW(H575)*1103515245 +12345)/ 65536, 32768),0)/32768)/10) &gt; 0.85,INDEX(NPCFaction,TRUNC(1+(counta(NPCFaction)-1)*(TRUNC(MOD(($B575*1103515245 +12345)/ 65536, 3276"&amp;"8),0)/32768),0)),QUERY(NPCVar!C:D,""Select D WHERE C = '""&amp;D575&amp;""'"")))"),"Traverlers Guild")</f>
        <v>Traverlers Guild</v>
      </c>
      <c r="AE575" s="108" t="e">
        <f t="shared" ca="1" si="42"/>
        <v>#NAME?</v>
      </c>
      <c r="AF575" s="159">
        <f ca="1">IFERROR(__xludf.DUMMYFUNCTION("AE575*(V575 / QUERY(NPCVar!$K$2:$N$12, ""Select N WHERE K='""&amp;AB575&amp;""'""))*TRUNC(1+10)*(TRUNC(MOD(($B575*1103515245 +12345)/ 65536, 32768),0)/32768)"),4.82401428222656)</f>
        <v>4.8240142822265604</v>
      </c>
      <c r="AG575" s="16"/>
      <c r="AH575" s="77"/>
      <c r="AI575" s="114"/>
    </row>
    <row r="576" spans="1:35" ht="16.2">
      <c r="A576" s="53">
        <v>575</v>
      </c>
      <c r="B576" s="118">
        <f t="shared" si="44"/>
        <v>0.61973999999999996</v>
      </c>
      <c r="C576" s="72" t="str">
        <f t="array" ref="C576">INDEX(NPCFName,TRUNC(1+(COUNTA(NPCFName))*(TRUNC(MOD(($B576*1103515245 +12345)/ 65536, 32768),0)/32768),0))</f>
        <v>Wyder</v>
      </c>
      <c r="D576" s="16" t="str">
        <f t="array" ref="D576">INDEX(NPCLName,TRUNC(1+(COUNTA(NPCLName))*(TRUNC(MOD(($B576*1103515245 +12345)/ 65536, 32768),0)/32768),0))</f>
        <v>Stormdew</v>
      </c>
      <c r="E576" s="16" t="str">
        <f t="array" ref="E576">INDEX(NPCClass,TRUNC(1+(COUNTA(NPCClass))*(TRUNC(MOD(($B576*1103515245 +12345)/ 65536, 32768),0)/32768),0))</f>
        <v>Monk</v>
      </c>
      <c r="F576" s="76">
        <v>1</v>
      </c>
      <c r="G576" s="153">
        <f ca="1">VLOOKUP($AB$2,'RF Mod'!$A$2:$G$12,2,FALSE)+VLOOKUP($AD$2,'RF Mod'!$I$2:$O$11,2,FALSE)+(TRUNC(6+(24-6)*(TRUNC(MOD(($Z576*1103515245 +12345)/ 65536, 32768),0)/32768),0))</f>
        <v>6</v>
      </c>
      <c r="H576" s="16">
        <f t="shared" ca="1" si="33"/>
        <v>-2</v>
      </c>
      <c r="I576" s="153">
        <f ca="1">VLOOKUP($AB$2,'RF Mod'!$A$2:$G$12,3,FALSE)+VLOOKUP($AD$2,'RF Mod'!$I$2:$O$11,3,FALSE)+(TRUNC(6+(24-6)*(TRUNC(MOD(($Z576*1103515245 +12345)/ 65536, 32768),0)/32768),0))</f>
        <v>10</v>
      </c>
      <c r="J576" s="16" t="e">
        <f t="shared" ca="1" si="34"/>
        <v>#NAME?</v>
      </c>
      <c r="K576" s="153">
        <f ca="1">VLOOKUP($AB$2,'RF Mod'!$A$2:$G$12,3,FALSE)+VLOOKUP($AD$2,'RF Mod'!$I$2:$O$11,3,FALSE)+(TRUNC(6+(24-6)*(TRUNC(MOD(($Z576*1103515245 +12345)/ 65536, 32768),0)/32768),0))</f>
        <v>10</v>
      </c>
      <c r="L576" s="16" t="e">
        <f t="shared" ca="1" si="35"/>
        <v>#NAME?</v>
      </c>
      <c r="M576" s="153">
        <f ca="1">VLOOKUP($AB$2,'RF Mod'!$A$2:$G$12,4,FALSE)+VLOOKUP($AD$2,'RF Mod'!$I$2:$O$11,4,FALSE)+(TRUNC(6+(24-6)*(TRUNC(MOD(($Z576*1103515245 +12345)/ 65536, 32768),0)/32768),0))</f>
        <v>9</v>
      </c>
      <c r="N576" s="16">
        <f t="shared" ca="1" si="36"/>
        <v>-1</v>
      </c>
      <c r="O576" s="153">
        <f ca="1">VLOOKUP($AB$2,'RF Mod'!$A$2:$G$12,5,FALSE)+VLOOKUP($AD$2,'RF Mod'!$I$2:$O$11,5,FALSE)+(TRUNC(6+(24-6)*(TRUNC(MOD(($Z576*1103515245 +12345)/ 65536, 32768),0)/32768),0))</f>
        <v>12</v>
      </c>
      <c r="P576" s="16" t="e">
        <f t="shared" ca="1" si="37"/>
        <v>#NAME?</v>
      </c>
      <c r="Q576" s="153">
        <f ca="1">VLOOKUP($AB$2,'RF Mod'!$A$2:$G$12,6,FALSE)+VLOOKUP($AD$2,'RF Mod'!$I$2:$O$11,6,FALSE)+(TRUNC(6+(24-6)*(TRUNC(MOD(($Z576*1103515245 +12345)/ 65536, 32768),0)/32768),0))</f>
        <v>10</v>
      </c>
      <c r="R576" s="16" t="e">
        <f t="shared" ca="1" si="38"/>
        <v>#NAME?</v>
      </c>
      <c r="S576" s="154">
        <f t="shared" ca="1" si="43"/>
        <v>14</v>
      </c>
      <c r="T576" s="154">
        <f t="shared" ca="1" si="39"/>
        <v>7</v>
      </c>
      <c r="U576" s="16" t="str">
        <f t="shared" ca="1" si="40"/>
        <v>Fine</v>
      </c>
      <c r="V576" s="155">
        <f ca="1">IFERROR(__xludf.DUMMYFUNCTION("if(W576=""Middle Age"",QUERY(NPCVar!$K$2:$N1000, ""Select L where K = '""&amp;AB576&amp;""'""),if(W576=""Old"",QUERY(NPCVar!$K$2:$N1000, ""Select M where K = '""&amp;AB576&amp;""'""),if(W576=""Venerable"",QUERY(NPCVar!$K$2:$N1000, ""Select N where K = '""&amp;AB576&amp;""'""),fa"&amp;"lse)))*X576"),135)</f>
        <v>135</v>
      </c>
      <c r="W576" s="156" t="str">
        <f t="array" ref="W576">INDEX(NPCAgeType,TRUNC(1+(4-1)*(TRUNC(MOD((X576*1103515245 +12345)/ 65536, 32768),0)/32768),0))</f>
        <v>Old</v>
      </c>
      <c r="X576" s="117">
        <f t="shared" si="45"/>
        <v>0.8</v>
      </c>
      <c r="Y576" s="157" t="e">
        <f t="array" aca="1" ref="Y576" ca="1">LOOKUP(ABS(MAX(Z576 + MIN(ABS(INDIRECT("Class Jobs!B"&amp;MATCH(E576,'Class Jobs'!$A$1:$A1000,0)&amp;":"&amp;"AF"&amp;MATCH(E576,'Class Jobs'!$A$1:$A1000,0)&amp;"")-$Z576)) * SUM(IF(MIN(ABS(INDIRECT("Class Jobs!B"&amp;MATCH(E576,'Class Jobs'!$A$1:$A1000,0)&amp;":"&amp;"AF"&amp;MATCH(E576,'Class Jobs'!$A$1:$A1000,0)&amp;"")-$Z576))=ABS(INDIRECT("Class Jobs!B"&amp;MATCH(E576,'Class Jobs'!$A$1:$A1000,0)&amp;":"&amp;"AF"&amp;MATCH(E576,'Class Jobs'!$A$1:$A1000,0)&amp;"")-$Z576),SIGN(INDIRECT("Class Jobs!B"&amp;MATCH(E576,'Class Jobs'!$A$1:A1000,0)&amp;":"&amp;"AF"&amp;MATCH(E576,'Class Jobs'!$A$1:$A1000,0)&amp;"")-$Z576),0)),0)),INDIRECT("Class Jobs!B"&amp;MATCH(E576,'Class Jobs'!$A$1:$A1000,0)&amp;":"&amp;"AF"&amp;MATCH(E576,'Class Jobs'!$A$1:$A1000,1)&amp;""),'Class Jobs'!$B$1:$AF$1)</f>
        <v>#REF!</v>
      </c>
      <c r="Z576" s="158">
        <f t="shared" si="41"/>
        <v>0.32</v>
      </c>
      <c r="AA576" s="16" t="str">
        <f t="array" ref="AA576">INDEX(NPCGender,TRUNC(1+(COUNTA(NPCGender))*(TRUNC(MOD(($B576*1103515245 +12345)/ 65536, 32768),0)/32768),0))</f>
        <v>Male</v>
      </c>
      <c r="AB576" s="16" t="str">
        <f t="array" ref="AB576">INDEX(NPCRace,TRUNC(1+(COUNTA(NPCRace))*(TRUNC(MOD(($B576*1103515245 +12345)/ 65536, 32768),0)/32768),0))</f>
        <v>Gnome</v>
      </c>
      <c r="AC576" s="16" t="str">
        <f t="array" ref="AC576">INDEX(NPCAL,TRUNC(1+(COUNTA(NPCAL))*(TRUNC(MOD(($B576*1103515245 +12345)/ 65536, 32768),0)/32768),0))</f>
        <v>CG</v>
      </c>
      <c r="AD576" s="72" t="str">
        <f ca="1">IFERROR(__xludf.DUMMYFUNCTION("if(V576&lt;15,QUERY(NPCVar!C:D,""Select D WHERE C = '""&amp;D576&amp;""'""),if((TRUNC(1+10)*(TRUNC(MOD((ROW(H576)*1103515245 +12345)/ 65536, 32768),0)/32768)/10) &gt; 0.85,INDEX(NPCFaction,TRUNC(1+(counta(NPCFaction)-1)*(TRUNC(MOD(($B576*1103515245 +12345)/ 65536, 3276"&amp;"8),0)/32768),0)),QUERY(NPCVar!C:D,""Select D WHERE C = '""&amp;D576&amp;""'"")))"),"Traders Guild")</f>
        <v>Traders Guild</v>
      </c>
      <c r="AE576" s="108" t="e">
        <f t="shared" ca="1" si="42"/>
        <v>#NAME?</v>
      </c>
      <c r="AF576" s="159">
        <f ca="1">IFERROR(__xludf.DUMMYFUNCTION("AE576*(V576 / QUERY(NPCVar!$K$2:$N$12, ""Select N WHERE K='""&amp;AB576&amp;""'""))*TRUNC(1+10)*(TRUNC(MOD(($B576*1103515245 +12345)/ 65536, 32768),0)/32768)"),0.315266418457031)</f>
        <v>0.31526641845703102</v>
      </c>
      <c r="AG576" s="16"/>
      <c r="AH576" s="77"/>
      <c r="AI576" s="114"/>
    </row>
    <row r="577" spans="1:35" ht="16.2">
      <c r="A577" s="53">
        <v>576</v>
      </c>
      <c r="B577" s="118">
        <f t="shared" si="44"/>
        <v>2.1138699999999999</v>
      </c>
      <c r="C577" s="72" t="str">
        <f t="array" ref="C577">INDEX(NPCFName,TRUNC(1+(COUNTA(NPCFName))*(TRUNC(MOD(($B577*1103515245 +12345)/ 65536, 32768),0)/32768),0))</f>
        <v>Dyfar</v>
      </c>
      <c r="D577" s="16" t="str">
        <f t="array" ref="D577">INDEX(NPCLName,TRUNC(1+(COUNTA(NPCLName))*(TRUNC(MOD(($B577*1103515245 +12345)/ 65536, 32768),0)/32768),0))</f>
        <v>Autumnorb</v>
      </c>
      <c r="E577" s="16" t="str">
        <f t="array" ref="E577">INDEX(NPCClass,TRUNC(1+(COUNTA(NPCClass))*(TRUNC(MOD(($B577*1103515245 +12345)/ 65536, 32768),0)/32768),0))</f>
        <v>Bard</v>
      </c>
      <c r="F577" s="76">
        <v>1</v>
      </c>
      <c r="G577" s="153">
        <f ca="1">VLOOKUP($AB$2,'RF Mod'!$A$2:$G$12,2,FALSE)+VLOOKUP($AD$2,'RF Mod'!$I$2:$O$11,2,FALSE)+(TRUNC(6+(24-6)*(TRUNC(MOD(($Z577*1103515245 +12345)/ 65536, 32768),0)/32768),0))</f>
        <v>4</v>
      </c>
      <c r="H577" s="16">
        <f t="shared" ca="1" si="33"/>
        <v>-3</v>
      </c>
      <c r="I577" s="153">
        <f ca="1">VLOOKUP($AB$2,'RF Mod'!$A$2:$G$12,3,FALSE)+VLOOKUP($AD$2,'RF Mod'!$I$2:$O$11,3,FALSE)+(TRUNC(6+(24-6)*(TRUNC(MOD(($Z577*1103515245 +12345)/ 65536, 32768),0)/32768),0))</f>
        <v>8</v>
      </c>
      <c r="J577" s="16">
        <f t="shared" ca="1" si="34"/>
        <v>-1</v>
      </c>
      <c r="K577" s="153">
        <f ca="1">VLOOKUP($AB$2,'RF Mod'!$A$2:$G$12,3,FALSE)+VLOOKUP($AD$2,'RF Mod'!$I$2:$O$11,3,FALSE)+(TRUNC(6+(24-6)*(TRUNC(MOD(($Z577*1103515245 +12345)/ 65536, 32768),0)/32768),0))</f>
        <v>8</v>
      </c>
      <c r="L577" s="16">
        <f t="shared" ca="1" si="35"/>
        <v>-1</v>
      </c>
      <c r="M577" s="153">
        <f ca="1">VLOOKUP($AB$2,'RF Mod'!$A$2:$G$12,4,FALSE)+VLOOKUP($AD$2,'RF Mod'!$I$2:$O$11,4,FALSE)+(TRUNC(6+(24-6)*(TRUNC(MOD(($Z577*1103515245 +12345)/ 65536, 32768),0)/32768),0))</f>
        <v>7</v>
      </c>
      <c r="N577" s="16">
        <f t="shared" ca="1" si="36"/>
        <v>-2</v>
      </c>
      <c r="O577" s="153">
        <f ca="1">VLOOKUP($AB$2,'RF Mod'!$A$2:$G$12,5,FALSE)+VLOOKUP($AD$2,'RF Mod'!$I$2:$O$11,5,FALSE)+(TRUNC(6+(24-6)*(TRUNC(MOD(($Z577*1103515245 +12345)/ 65536, 32768),0)/32768),0))</f>
        <v>10</v>
      </c>
      <c r="P577" s="16" t="e">
        <f t="shared" ca="1" si="37"/>
        <v>#NAME?</v>
      </c>
      <c r="Q577" s="153">
        <f ca="1">VLOOKUP($AB$2,'RF Mod'!$A$2:$G$12,6,FALSE)+VLOOKUP($AD$2,'RF Mod'!$I$2:$O$11,6,FALSE)+(TRUNC(6+(24-6)*(TRUNC(MOD(($Z577*1103515245 +12345)/ 65536, 32768),0)/32768),0))</f>
        <v>8</v>
      </c>
      <c r="R577" s="16">
        <f t="shared" ca="1" si="38"/>
        <v>-1</v>
      </c>
      <c r="S577" s="154">
        <f t="shared" ca="1" si="43"/>
        <v>10</v>
      </c>
      <c r="T577" s="154">
        <f t="shared" ca="1" si="39"/>
        <v>1</v>
      </c>
      <c r="U577" s="16" t="str">
        <f t="shared" ca="1" si="40"/>
        <v>Fine</v>
      </c>
      <c r="V577" s="155">
        <f ca="1">IFERROR(__xludf.DUMMYFUNCTION("if(W577=""Middle Age"",QUERY(NPCVar!$K$2:$N1000, ""Select L where K = '""&amp;AB577&amp;""'""),if(W577=""Old"",QUERY(NPCVar!$K$2:$N1000, ""Select M where K = '""&amp;AB577&amp;""'""),if(W577=""Venerable"",QUERY(NPCVar!$K$2:$N1000, ""Select N where K = '""&amp;AB577&amp;""'""),fa"&amp;"lse)))*X577"),6)</f>
        <v>6</v>
      </c>
      <c r="W577" s="156" t="str">
        <f t="array" ref="W577">INDEX(NPCAgeType,TRUNC(1+(4-1)*(TRUNC(MOD((X577*1103515245 +12345)/ 65536, 32768),0)/32768),0))</f>
        <v>Middle Age</v>
      </c>
      <c r="X577" s="117">
        <f t="shared" si="45"/>
        <v>0.3</v>
      </c>
      <c r="Y577" s="157" t="e">
        <f t="array" aca="1" ref="Y577" ca="1">LOOKUP(ABS(MAX(Z577 + MIN(ABS(INDIRECT("Class Jobs!B"&amp;MATCH(E577,'Class Jobs'!$A$1:$A1000,0)&amp;":"&amp;"AF"&amp;MATCH(E577,'Class Jobs'!$A$1:$A1000,0)&amp;"")-$Z577)) * SUM(IF(MIN(ABS(INDIRECT("Class Jobs!B"&amp;MATCH(E577,'Class Jobs'!$A$1:$A1000,0)&amp;":"&amp;"AF"&amp;MATCH(E577,'Class Jobs'!$A$1:$A1000,0)&amp;"")-$Z577))=ABS(INDIRECT("Class Jobs!B"&amp;MATCH(E577,'Class Jobs'!$A$1:$A1000,0)&amp;":"&amp;"AF"&amp;MATCH(E577,'Class Jobs'!$A$1:$A1000,0)&amp;"")-$Z577),SIGN(INDIRECT("Class Jobs!B"&amp;MATCH(E577,'Class Jobs'!$A$1:A1000,0)&amp;":"&amp;"AF"&amp;MATCH(E577,'Class Jobs'!$A$1:$A1000,0)&amp;"")-$Z577),0)),0)),INDIRECT("Class Jobs!B"&amp;MATCH(E577,'Class Jobs'!$A$1:$A1000,0)&amp;":"&amp;"AF"&amp;MATCH(E577,'Class Jobs'!$A$1:$A1000,1)&amp;""),'Class Jobs'!$B$1:$AF$1)</f>
        <v>#REF!</v>
      </c>
      <c r="Z577" s="158">
        <f t="shared" si="41"/>
        <v>0.09</v>
      </c>
      <c r="AA577" s="16" t="str">
        <f t="array" ref="AA577">INDEX(NPCGender,TRUNC(1+(COUNTA(NPCGender))*(TRUNC(MOD(($B577*1103515245 +12345)/ 65536, 32768),0)/32768),0))</f>
        <v>Male</v>
      </c>
      <c r="AB577" s="16" t="str">
        <f t="array" ref="AB577">INDEX(NPCRace,TRUNC(1+(COUNTA(NPCRace))*(TRUNC(MOD(($B577*1103515245 +12345)/ 65536, 32768),0)/32768),0))</f>
        <v>Dragonborn</v>
      </c>
      <c r="AC577" s="16" t="str">
        <f t="array" ref="AC577">INDEX(NPCAL,TRUNC(1+(COUNTA(NPCAL))*(TRUNC(MOD(($B577*1103515245 +12345)/ 65536, 32768),0)/32768),0))</f>
        <v>CN</v>
      </c>
      <c r="AD577" s="72" t="str">
        <f ca="1">IFERROR(__xludf.DUMMYFUNCTION("if(V577&lt;15,QUERY(NPCVar!C:D,""Select D WHERE C = '""&amp;D577&amp;""'""),if((TRUNC(1+10)*(TRUNC(MOD((ROW(H577)*1103515245 +12345)/ 65536, 32768),0)/32768)/10) &gt; 0.85,INDEX(NPCFaction,TRUNC(1+(counta(NPCFaction)-1)*(TRUNC(MOD(($B577*1103515245 +12345)/ 65536, 3276"&amp;"8),0)/32768),0)),QUERY(NPCVar!C:D,""Select D WHERE C = '""&amp;D577&amp;""'"")))"),"Royalty")</f>
        <v>Royalty</v>
      </c>
      <c r="AE577" s="108" t="e">
        <f t="shared" ca="1" si="42"/>
        <v>#NAME?</v>
      </c>
      <c r="AF577" s="159">
        <f ca="1">IFERROR(__xludf.DUMMYFUNCTION("AE577*(V577 / QUERY(NPCVar!$K$2:$N$12, ""Select N WHERE K='""&amp;AB577&amp;""'""))*TRUNC(1+10)*(TRUNC(MOD(($B577*1103515245 +12345)/ 65536, 32768),0)/32768)"),0.0426901245117187)</f>
        <v>4.2690124511718698E-2</v>
      </c>
      <c r="AG577" s="16"/>
      <c r="AH577" s="77"/>
      <c r="AI577" s="114"/>
    </row>
    <row r="578" spans="1:35" ht="16.2">
      <c r="A578" s="53">
        <v>577</v>
      </c>
      <c r="B578" s="118">
        <f t="shared" ref="B578:B641" si="46">(TRUNC(1+(250000-1)*(TRUNC(MOD(((Seed*ROW())*1103515245 +12345)/ 65536, 32768),0)/32768),0))/100000</f>
        <v>1.1079399999999999</v>
      </c>
      <c r="C578" s="72" t="str">
        <f t="array" ref="C578">INDEX(NPCFName,TRUNC(1+(COUNTA(NPCFName))*(TRUNC(MOD(($B578*1103515245 +12345)/ 65536, 32768),0)/32768),0))</f>
        <v>Quiss</v>
      </c>
      <c r="D578" s="16" t="str">
        <f t="array" ref="D578">INDEX(NPCLName,TRUNC(1+(COUNTA(NPCLName))*(TRUNC(MOD(($B578*1103515245 +12345)/ 65536, 32768),0)/32768),0))</f>
        <v>Chestaxe</v>
      </c>
      <c r="E578" s="16" t="str">
        <f t="array" ref="E578">INDEX(NPCClass,TRUNC(1+(COUNTA(NPCClass))*(TRUNC(MOD(($B578*1103515245 +12345)/ 65536, 32768),0)/32768),0))</f>
        <v>Sorcerer</v>
      </c>
      <c r="F578" s="76">
        <v>8</v>
      </c>
      <c r="G578" s="153">
        <f ca="1">VLOOKUP($AB$2,'RF Mod'!$A$2:$G$12,2,FALSE)+VLOOKUP($AD$2,'RF Mod'!$I$2:$O$11,2,FALSE)+(TRUNC(6+(24-6)*(TRUNC(MOD(($Z578*1103515245 +12345)/ 65536, 32768),0)/32768),0))</f>
        <v>9</v>
      </c>
      <c r="H578" s="16">
        <f t="shared" ca="1" si="33"/>
        <v>-1</v>
      </c>
      <c r="I578" s="153">
        <f ca="1">VLOOKUP($AB$2,'RF Mod'!$A$2:$G$12,3,FALSE)+VLOOKUP($AD$2,'RF Mod'!$I$2:$O$11,3,FALSE)+(TRUNC(6+(24-6)*(TRUNC(MOD(($Z578*1103515245 +12345)/ 65536, 32768),0)/32768),0))</f>
        <v>13</v>
      </c>
      <c r="J578" s="16" t="e">
        <f t="shared" ca="1" si="34"/>
        <v>#NAME?</v>
      </c>
      <c r="K578" s="153">
        <f ca="1">VLOOKUP($AB$2,'RF Mod'!$A$2:$G$12,3,FALSE)+VLOOKUP($AD$2,'RF Mod'!$I$2:$O$11,3,FALSE)+(TRUNC(6+(24-6)*(TRUNC(MOD(($Z578*1103515245 +12345)/ 65536, 32768),0)/32768),0))</f>
        <v>13</v>
      </c>
      <c r="L578" s="16" t="e">
        <f t="shared" ca="1" si="35"/>
        <v>#NAME?</v>
      </c>
      <c r="M578" s="153">
        <f ca="1">VLOOKUP($AB$2,'RF Mod'!$A$2:$G$12,4,FALSE)+VLOOKUP($AD$2,'RF Mod'!$I$2:$O$11,4,FALSE)+(TRUNC(6+(24-6)*(TRUNC(MOD(($Z578*1103515245 +12345)/ 65536, 32768),0)/32768),0))</f>
        <v>12</v>
      </c>
      <c r="N578" s="16" t="e">
        <f t="shared" ca="1" si="36"/>
        <v>#NAME?</v>
      </c>
      <c r="O578" s="153">
        <f ca="1">VLOOKUP($AB$2,'RF Mod'!$A$2:$G$12,5,FALSE)+VLOOKUP($AD$2,'RF Mod'!$I$2:$O$11,5,FALSE)+(TRUNC(6+(24-6)*(TRUNC(MOD(($Z578*1103515245 +12345)/ 65536, 32768),0)/32768),0))</f>
        <v>15</v>
      </c>
      <c r="P578" s="16" t="e">
        <f t="shared" ca="1" si="37"/>
        <v>#NAME?</v>
      </c>
      <c r="Q578" s="153">
        <f ca="1">VLOOKUP($AB$2,'RF Mod'!$A$2:$G$12,6,FALSE)+VLOOKUP($AD$2,'RF Mod'!$I$2:$O$11,6,FALSE)+(TRUNC(6+(24-6)*(TRUNC(MOD(($Z578*1103515245 +12345)/ 65536, 32768),0)/32768),0))</f>
        <v>13</v>
      </c>
      <c r="R578" s="16" t="e">
        <f t="shared" ca="1" si="38"/>
        <v>#NAME?</v>
      </c>
      <c r="S578" s="154">
        <f t="shared" ca="1" si="43"/>
        <v>216</v>
      </c>
      <c r="T578" s="154">
        <f t="shared" ca="1" si="39"/>
        <v>164</v>
      </c>
      <c r="U578" s="16" t="str">
        <f t="shared" ca="1" si="40"/>
        <v>Bloody</v>
      </c>
      <c r="V578" s="155">
        <f ca="1">IFERROR(__xludf.DUMMYFUNCTION("if(W578=""Middle Age"",QUERY(NPCVar!$K$2:$N1000, ""Select L where K = '""&amp;AB578&amp;""'""),if(W578=""Old"",QUERY(NPCVar!$K$2:$N1000, ""Select M where K = '""&amp;AB578&amp;""'""),if(W578=""Venerable"",QUERY(NPCVar!$K$2:$N1000, ""Select N where K = '""&amp;AB578&amp;""'""),fa"&amp;"lse)))*X578"),280)</f>
        <v>280</v>
      </c>
      <c r="W578" s="156" t="str">
        <f t="array" ref="W578">INDEX(NPCAgeType,TRUNC(1+(4-1)*(TRUNC(MOD((X578*1103515245 +12345)/ 65536, 32768),0)/32768),0))</f>
        <v>Venerable</v>
      </c>
      <c r="X578" s="117">
        <f t="shared" si="45"/>
        <v>1.4</v>
      </c>
      <c r="Y578" s="157" t="e">
        <f t="array" aca="1" ref="Y578" ca="1">LOOKUP(ABS(MAX(Z578 + MIN(ABS(INDIRECT("Class Jobs!B"&amp;MATCH(E578,'Class Jobs'!$A$1:$A1000,0)&amp;":"&amp;"AF"&amp;MATCH(E578,'Class Jobs'!$A$1:$A1000,0)&amp;"")-$Z578)) * SUM(IF(MIN(ABS(INDIRECT("Class Jobs!B"&amp;MATCH(E578,'Class Jobs'!$A$1:$A1000,0)&amp;":"&amp;"AF"&amp;MATCH(E578,'Class Jobs'!$A$1:$A1000,0)&amp;"")-$Z578))=ABS(INDIRECT("Class Jobs!B"&amp;MATCH(E578,'Class Jobs'!$A$1:$A1000,0)&amp;":"&amp;"AF"&amp;MATCH(E578,'Class Jobs'!$A$1:$A1000,0)&amp;"")-$Z578),SIGN(INDIRECT("Class Jobs!B"&amp;MATCH(E578,'Class Jobs'!$A$1:A1000,0)&amp;":"&amp;"AF"&amp;MATCH(E578,'Class Jobs'!$A$1:$A1000,0)&amp;"")-$Z578),0)),0)),INDIRECT("Class Jobs!B"&amp;MATCH(E578,'Class Jobs'!$A$1:$A1000,0)&amp;":"&amp;"AF"&amp;MATCH(E578,'Class Jobs'!$A$1:$A1000,1)&amp;""),'Class Jobs'!$B$1:$AF$1)</f>
        <v>#REF!</v>
      </c>
      <c r="Z578" s="158">
        <f t="shared" si="41"/>
        <v>0.56999999999999995</v>
      </c>
      <c r="AA578" s="16" t="str">
        <f t="array" ref="AA578">INDEX(NPCGender,TRUNC(1+(COUNTA(NPCGender))*(TRUNC(MOD(($B578*1103515245 +12345)/ 65536, 32768),0)/32768),0))</f>
        <v>Female</v>
      </c>
      <c r="AB578" s="16" t="str">
        <f t="array" ref="AB578">INDEX(NPCRace,TRUNC(1+(COUNTA(NPCRace))*(TRUNC(MOD(($B578*1103515245 +12345)/ 65536, 32768),0)/32768),0))</f>
        <v>Halfling</v>
      </c>
      <c r="AC578" s="16" t="str">
        <f t="array" ref="AC578">INDEX(NPCAL,TRUNC(1+(COUNTA(NPCAL))*(TRUNC(MOD(($B578*1103515245 +12345)/ 65536, 32768),0)/32768),0))</f>
        <v>NE</v>
      </c>
      <c r="AD578" s="72" t="str">
        <f ca="1">IFERROR(__xludf.DUMMYFUNCTION("if(V578&lt;15,QUERY(NPCVar!C:D,""Select D WHERE C = '""&amp;D578&amp;""'""),if((TRUNC(1+10)*(TRUNC(MOD((ROW(H578)*1103515245 +12345)/ 65536, 32768),0)/32768)/10) &gt; 0.85,INDEX(NPCFaction,TRUNC(1+(counta(NPCFaction)-1)*(TRUNC(MOD(($B578*1103515245 +12345)/ 65536, 3276"&amp;"8),0)/32768),0)),QUERY(NPCVar!C:D,""Select D WHERE C = '""&amp;D578&amp;""'"")))"),"Farmers Guild")</f>
        <v>Farmers Guild</v>
      </c>
      <c r="AE578" s="108" t="e">
        <f t="shared" ca="1" si="42"/>
        <v>#NAME?</v>
      </c>
      <c r="AF578" s="159">
        <f ca="1">IFERROR(__xludf.DUMMYFUNCTION("AE578*(V578 / QUERY(NPCVar!$K$2:$N$12, ""Select N WHERE K='""&amp;AB578&amp;""'""))*TRUNC(1+10)*(TRUNC(MOD(($B578*1103515245 +12345)/ 65536, 32768),0)/32768)"),5.2606640625)</f>
        <v>5.2606640625000001</v>
      </c>
      <c r="AG578" s="16"/>
      <c r="AH578" s="77"/>
      <c r="AI578" s="114"/>
    </row>
    <row r="579" spans="1:35" ht="16.2">
      <c r="A579" s="53">
        <v>578</v>
      </c>
      <c r="B579" s="118">
        <f t="shared" si="46"/>
        <v>0.10209</v>
      </c>
      <c r="C579" s="72" t="str">
        <f t="array" ref="C579">INDEX(NPCFName,TRUNC(1+(COUNTA(NPCFName))*(TRUNC(MOD(($B579*1103515245 +12345)/ 65536, 32768),0)/32768),0))</f>
        <v>Cevelt</v>
      </c>
      <c r="D579" s="16" t="str">
        <f t="array" ref="D579">INDEX(NPCLName,TRUNC(1+(COUNTA(NPCLName))*(TRUNC(MOD(($B579*1103515245 +12345)/ 65536, 32768),0)/32768),0))</f>
        <v>Crystalgazer</v>
      </c>
      <c r="E579" s="16" t="str">
        <f t="array" ref="E579">INDEX(NPCClass,TRUNC(1+(COUNTA(NPCClass))*(TRUNC(MOD(($B579*1103515245 +12345)/ 65536, 32768),0)/32768),0))</f>
        <v>Barbarian</v>
      </c>
      <c r="F579" s="76">
        <v>1</v>
      </c>
      <c r="G579" s="153">
        <f ca="1">VLOOKUP($AB$2,'RF Mod'!$A$2:$G$12,2,FALSE)+VLOOKUP($AD$2,'RF Mod'!$I$2:$O$11,2,FALSE)+(TRUNC(6+(24-6)*(TRUNC(MOD(($Z579*1103515245 +12345)/ 65536, 32768),0)/32768),0))</f>
        <v>4</v>
      </c>
      <c r="H579" s="16">
        <f t="shared" ca="1" si="33"/>
        <v>-3</v>
      </c>
      <c r="I579" s="153">
        <f ca="1">VLOOKUP($AB$2,'RF Mod'!$A$2:$G$12,3,FALSE)+VLOOKUP($AD$2,'RF Mod'!$I$2:$O$11,3,FALSE)+(TRUNC(6+(24-6)*(TRUNC(MOD(($Z579*1103515245 +12345)/ 65536, 32768),0)/32768),0))</f>
        <v>8</v>
      </c>
      <c r="J579" s="16">
        <f t="shared" ca="1" si="34"/>
        <v>-1</v>
      </c>
      <c r="K579" s="153">
        <f ca="1">VLOOKUP($AB$2,'RF Mod'!$A$2:$G$12,3,FALSE)+VLOOKUP($AD$2,'RF Mod'!$I$2:$O$11,3,FALSE)+(TRUNC(6+(24-6)*(TRUNC(MOD(($Z579*1103515245 +12345)/ 65536, 32768),0)/32768),0))</f>
        <v>8</v>
      </c>
      <c r="L579" s="16">
        <f t="shared" ca="1" si="35"/>
        <v>-1</v>
      </c>
      <c r="M579" s="153">
        <f ca="1">VLOOKUP($AB$2,'RF Mod'!$A$2:$G$12,4,FALSE)+VLOOKUP($AD$2,'RF Mod'!$I$2:$O$11,4,FALSE)+(TRUNC(6+(24-6)*(TRUNC(MOD(($Z579*1103515245 +12345)/ 65536, 32768),0)/32768),0))</f>
        <v>7</v>
      </c>
      <c r="N579" s="16">
        <f t="shared" ca="1" si="36"/>
        <v>-2</v>
      </c>
      <c r="O579" s="153">
        <f ca="1">VLOOKUP($AB$2,'RF Mod'!$A$2:$G$12,5,FALSE)+VLOOKUP($AD$2,'RF Mod'!$I$2:$O$11,5,FALSE)+(TRUNC(6+(24-6)*(TRUNC(MOD(($Z579*1103515245 +12345)/ 65536, 32768),0)/32768),0))</f>
        <v>10</v>
      </c>
      <c r="P579" s="16" t="e">
        <f t="shared" ca="1" si="37"/>
        <v>#NAME?</v>
      </c>
      <c r="Q579" s="153">
        <f ca="1">VLOOKUP($AB$2,'RF Mod'!$A$2:$G$12,6,FALSE)+VLOOKUP($AD$2,'RF Mod'!$I$2:$O$11,6,FALSE)+(TRUNC(6+(24-6)*(TRUNC(MOD(($Z579*1103515245 +12345)/ 65536, 32768),0)/32768),0))</f>
        <v>8</v>
      </c>
      <c r="R579" s="16">
        <f t="shared" ca="1" si="38"/>
        <v>-1</v>
      </c>
      <c r="S579" s="154">
        <f t="shared" ca="1" si="43"/>
        <v>26</v>
      </c>
      <c r="T579" s="154">
        <f t="shared" ca="1" si="39"/>
        <v>2</v>
      </c>
      <c r="U579" s="16" t="str">
        <f t="shared" ca="1" si="40"/>
        <v>Fine</v>
      </c>
      <c r="V579" s="155">
        <f ca="1">IFERROR(__xludf.DUMMYFUNCTION("if(W579=""Middle Age"",QUERY(NPCVar!$K$2:$N1000, ""Select L where K = '""&amp;AB579&amp;""'""),if(W579=""Old"",QUERY(NPCVar!$K$2:$N1000, ""Select M where K = '""&amp;AB579&amp;""'""),if(W579=""Venerable"",QUERY(NPCVar!$K$2:$N1000, ""Select N where K = '""&amp;AB579&amp;""'""),fa"&amp;"lse)))*X579"),4)</f>
        <v>4</v>
      </c>
      <c r="W579" s="156" t="str">
        <f t="array" ref="W579">INDEX(NPCAgeType,TRUNC(1+(4-1)*(TRUNC(MOD((X579*1103515245 +12345)/ 65536, 32768),0)/32768),0))</f>
        <v>Middle Age</v>
      </c>
      <c r="X579" s="117">
        <f t="shared" si="45"/>
        <v>0.2</v>
      </c>
      <c r="Y579" s="157" t="e">
        <f t="array" aca="1" ref="Y579" ca="1">LOOKUP(ABS(MAX(Z579 + MIN(ABS(INDIRECT("Class Jobs!B"&amp;MATCH(E579,'Class Jobs'!$A$1:$A1000,0)&amp;":"&amp;"AF"&amp;MATCH(E579,'Class Jobs'!$A$1:$A1000,0)&amp;"")-$Z579)) * SUM(IF(MIN(ABS(INDIRECT("Class Jobs!B"&amp;MATCH(E579,'Class Jobs'!$A$1:$A1000,0)&amp;":"&amp;"AF"&amp;MATCH(E579,'Class Jobs'!$A$1:$A1000,0)&amp;"")-$Z579))=ABS(INDIRECT("Class Jobs!B"&amp;MATCH(E579,'Class Jobs'!$A$1:$A1000,0)&amp;":"&amp;"AF"&amp;MATCH(E579,'Class Jobs'!$A$1:$A1000,0)&amp;"")-$Z579),SIGN(INDIRECT("Class Jobs!B"&amp;MATCH(E579,'Class Jobs'!$A$1:A1000,0)&amp;":"&amp;"AF"&amp;MATCH(E579,'Class Jobs'!$A$1:$A1000,0)&amp;"")-$Z579),0)),0)),INDIRECT("Class Jobs!B"&amp;MATCH(E579,'Class Jobs'!$A$1:$A1000,0)&amp;":"&amp;"AF"&amp;MATCH(E579,'Class Jobs'!$A$1:$A1000,1)&amp;""),'Class Jobs'!$B$1:$AF$1)</f>
        <v>#REF!</v>
      </c>
      <c r="Z579" s="158">
        <f t="shared" si="41"/>
        <v>0.06</v>
      </c>
      <c r="AA579" s="16" t="str">
        <f t="array" ref="AA579">INDEX(NPCGender,TRUNC(1+(COUNTA(NPCGender))*(TRUNC(MOD(($B579*1103515245 +12345)/ 65536, 32768),0)/32768),0))</f>
        <v>Male</v>
      </c>
      <c r="AB579" s="16" t="str">
        <f t="array" ref="AB579">INDEX(NPCRace,TRUNC(1+(COUNTA(NPCRace))*(TRUNC(MOD(($B579*1103515245 +12345)/ 65536, 32768),0)/32768),0))</f>
        <v>Dragonborn</v>
      </c>
      <c r="AC579" s="16" t="str">
        <f t="array" ref="AC579">INDEX(NPCAL,TRUNC(1+(COUNTA(NPCAL))*(TRUNC(MOD(($B579*1103515245 +12345)/ 65536, 32768),0)/32768),0))</f>
        <v>CN</v>
      </c>
      <c r="AD579" s="72" t="str">
        <f ca="1">IFERROR(__xludf.DUMMYFUNCTION("if(V579&lt;15,QUERY(NPCVar!C:D,""Select D WHERE C = '""&amp;D579&amp;""'""),if((TRUNC(1+10)*(TRUNC(MOD((ROW(H579)*1103515245 +12345)/ 65536, 32768),0)/32768)/10) &gt; 0.85,INDEX(NPCFaction,TRUNC(1+(counta(NPCFaction)-1)*(TRUNC(MOD(($B579*1103515245 +12345)/ 65536, 3276"&amp;"8),0)/32768),0)),QUERY(NPCVar!C:D,""Select D WHERE C = '""&amp;D579&amp;""'"")))"),"Death Guild")</f>
        <v>Death Guild</v>
      </c>
      <c r="AE579" s="108" t="e">
        <f t="shared" ca="1" si="42"/>
        <v>#NAME?</v>
      </c>
      <c r="AF579" s="159">
        <f ca="1">IFERROR(__xludf.DUMMYFUNCTION("AE579*(V579 / QUERY(NPCVar!$K$2:$N$12, ""Select N WHERE K='""&amp;AB579&amp;""'""))*TRUNC(1+10)*(TRUNC(MOD(($B579*1103515245 +12345)/ 65536, 32768),0)/32768)"),-0.00577056884765625)</f>
        <v>-5.7705688476562501E-3</v>
      </c>
      <c r="AG579" s="16"/>
      <c r="AH579" s="77"/>
      <c r="AI579" s="114"/>
    </row>
    <row r="580" spans="1:35" ht="16.2">
      <c r="A580" s="53">
        <v>579</v>
      </c>
      <c r="B580" s="118">
        <f t="shared" si="46"/>
        <v>1.59622</v>
      </c>
      <c r="C580" s="72" t="str">
        <f t="array" ref="C580">INDEX(NPCFName,TRUNC(1+(COUNTA(NPCFName))*(TRUNC(MOD(($B580*1103515245 +12345)/ 65536, 32768),0)/32768),0))</f>
        <v>Julthor</v>
      </c>
      <c r="D580" s="16" t="str">
        <f t="array" ref="D580">INDEX(NPCLName,TRUNC(1+(COUNTA(NPCLName))*(TRUNC(MOD(($B580*1103515245 +12345)/ 65536, 32768),0)/32768),0))</f>
        <v>Deepcrest</v>
      </c>
      <c r="E580" s="16" t="str">
        <f t="array" ref="E580">INDEX(NPCClass,TRUNC(1+(COUNTA(NPCClass))*(TRUNC(MOD(($B580*1103515245 +12345)/ 65536, 32768),0)/32768),0))</f>
        <v>Cleric</v>
      </c>
      <c r="F580" s="76">
        <v>8</v>
      </c>
      <c r="G580" s="153">
        <f ca="1">VLOOKUP($AB$2,'RF Mod'!$A$2:$G$12,2,FALSE)+VLOOKUP($AD$2,'RF Mod'!$I$2:$O$11,2,FALSE)+(TRUNC(6+(24-6)*(TRUNC(MOD(($Z580*1103515245 +12345)/ 65536, 32768),0)/32768),0))</f>
        <v>11</v>
      </c>
      <c r="H580" s="16" t="e">
        <f t="shared" ca="1" si="33"/>
        <v>#NAME?</v>
      </c>
      <c r="I580" s="153">
        <f ca="1">VLOOKUP($AB$2,'RF Mod'!$A$2:$G$12,3,FALSE)+VLOOKUP($AD$2,'RF Mod'!$I$2:$O$11,3,FALSE)+(TRUNC(6+(24-6)*(TRUNC(MOD(($Z580*1103515245 +12345)/ 65536, 32768),0)/32768),0))</f>
        <v>15</v>
      </c>
      <c r="J580" s="16" t="e">
        <f t="shared" ca="1" si="34"/>
        <v>#NAME?</v>
      </c>
      <c r="K580" s="153">
        <f ca="1">VLOOKUP($AB$2,'RF Mod'!$A$2:$G$12,3,FALSE)+VLOOKUP($AD$2,'RF Mod'!$I$2:$O$11,3,FALSE)+(TRUNC(6+(24-6)*(TRUNC(MOD(($Z580*1103515245 +12345)/ 65536, 32768),0)/32768),0))</f>
        <v>15</v>
      </c>
      <c r="L580" s="16" t="e">
        <f t="shared" ca="1" si="35"/>
        <v>#NAME?</v>
      </c>
      <c r="M580" s="153">
        <f ca="1">VLOOKUP($AB$2,'RF Mod'!$A$2:$G$12,4,FALSE)+VLOOKUP($AD$2,'RF Mod'!$I$2:$O$11,4,FALSE)+(TRUNC(6+(24-6)*(TRUNC(MOD(($Z580*1103515245 +12345)/ 65536, 32768),0)/32768),0))</f>
        <v>14</v>
      </c>
      <c r="N580" s="16" t="e">
        <f t="shared" ca="1" si="36"/>
        <v>#NAME?</v>
      </c>
      <c r="O580" s="153">
        <f ca="1">VLOOKUP($AB$2,'RF Mod'!$A$2:$G$12,5,FALSE)+VLOOKUP($AD$2,'RF Mod'!$I$2:$O$11,5,FALSE)+(TRUNC(6+(24-6)*(TRUNC(MOD(($Z580*1103515245 +12345)/ 65536, 32768),0)/32768),0))</f>
        <v>17</v>
      </c>
      <c r="P580" s="16" t="e">
        <f t="shared" ca="1" si="37"/>
        <v>#NAME?</v>
      </c>
      <c r="Q580" s="153">
        <f ca="1">VLOOKUP($AB$2,'RF Mod'!$A$2:$G$12,6,FALSE)+VLOOKUP($AD$2,'RF Mod'!$I$2:$O$11,6,FALSE)+(TRUNC(6+(24-6)*(TRUNC(MOD(($Z580*1103515245 +12345)/ 65536, 32768),0)/32768),0))</f>
        <v>15</v>
      </c>
      <c r="R580" s="16" t="e">
        <f t="shared" ca="1" si="38"/>
        <v>#NAME?</v>
      </c>
      <c r="S580" s="154">
        <f t="shared" ca="1" si="43"/>
        <v>184</v>
      </c>
      <c r="T580" s="154">
        <f t="shared" ca="1" si="39"/>
        <v>84</v>
      </c>
      <c r="U580" s="16" t="str">
        <f t="shared" ca="1" si="40"/>
        <v>Fine</v>
      </c>
      <c r="V580" s="155">
        <f ca="1">IFERROR(__xludf.DUMMYFUNCTION("if(W580=""Middle Age"",QUERY(NPCVar!$K$2:$N1000, ""Select L where K = '""&amp;AB580&amp;""'""),if(W580=""Old"",QUERY(NPCVar!$K$2:$N1000, ""Select M where K = '""&amp;AB580&amp;""'""),if(W580=""Venerable"",QUERY(NPCVar!$K$2:$N1000, ""Select N where K = '""&amp;AB580&amp;""'""),fa"&amp;"lse)))*X580"),55)</f>
        <v>55</v>
      </c>
      <c r="W580" s="156" t="str">
        <f t="array" ref="W580">INDEX(NPCAgeType,TRUNC(1+(4-1)*(TRUNC(MOD((X580*1103515245 +12345)/ 65536, 32768),0)/32768),0))</f>
        <v>Middle Age</v>
      </c>
      <c r="X580" s="117">
        <f t="shared" si="45"/>
        <v>2</v>
      </c>
      <c r="Y580" s="157" t="e">
        <f t="array" aca="1" ref="Y580" ca="1">LOOKUP(ABS(MAX(Z580 + MIN(ABS(INDIRECT("Class Jobs!B"&amp;MATCH(E580,'Class Jobs'!$A$1:$A1000,0)&amp;":"&amp;"AF"&amp;MATCH(E580,'Class Jobs'!$A$1:$A1000,0)&amp;"")-$Z580)) * SUM(IF(MIN(ABS(INDIRECT("Class Jobs!B"&amp;MATCH(E580,'Class Jobs'!$A$1:$A1000,0)&amp;":"&amp;"AF"&amp;MATCH(E580,'Class Jobs'!$A$1:$A1000,0)&amp;"")-$Z580))=ABS(INDIRECT("Class Jobs!B"&amp;MATCH(E580,'Class Jobs'!$A$1:$A1000,0)&amp;":"&amp;"AF"&amp;MATCH(E580,'Class Jobs'!$A$1:$A1000,0)&amp;"")-$Z580),SIGN(INDIRECT("Class Jobs!B"&amp;MATCH(E580,'Class Jobs'!$A$1:A1000,0)&amp;":"&amp;"AF"&amp;MATCH(E580,'Class Jobs'!$A$1:$A1000,0)&amp;"")-$Z580),0)),0)),INDIRECT("Class Jobs!B"&amp;MATCH(E580,'Class Jobs'!$A$1:$A1000,0)&amp;":"&amp;"AF"&amp;MATCH(E580,'Class Jobs'!$A$1:$A1000,1)&amp;""),'Class Jobs'!$B$1:$AF$1)</f>
        <v>#REF!</v>
      </c>
      <c r="Z580" s="158">
        <f t="shared" si="41"/>
        <v>0.82</v>
      </c>
      <c r="AA580" s="16" t="str">
        <f t="array" ref="AA580">INDEX(NPCGender,TRUNC(1+(COUNTA(NPCGender))*(TRUNC(MOD(($B580*1103515245 +12345)/ 65536, 32768),0)/32768),0))</f>
        <v>Neutral</v>
      </c>
      <c r="AB580" s="16" t="str">
        <f t="array" ref="AB580">INDEX(NPCRace,TRUNC(1+(COUNTA(NPCRace))*(TRUNC(MOD(($B580*1103515245 +12345)/ 65536, 32768),0)/32768),0))</f>
        <v>Genasi</v>
      </c>
      <c r="AC580" s="16" t="str">
        <f t="array" ref="AC580">INDEX(NPCAL,TRUNC(1+(COUNTA(NPCAL))*(TRUNC(MOD(($B580*1103515245 +12345)/ 65536, 32768),0)/32768),0))</f>
        <v>LN</v>
      </c>
      <c r="AD580" s="72" t="str">
        <f ca="1">IFERROR(__xludf.DUMMYFUNCTION("if(V580&lt;15,QUERY(NPCVar!C:D,""Select D WHERE C = '""&amp;D580&amp;""'""),if((TRUNC(1+10)*(TRUNC(MOD((ROW(H580)*1103515245 +12345)/ 65536, 32768),0)/32768)/10) &gt; 0.85,INDEX(NPCFaction,TRUNC(1+(counta(NPCFaction)-1)*(TRUNC(MOD(($B580*1103515245 +12345)/ 65536, 3276"&amp;"8),0)/32768),0)),QUERY(NPCVar!C:D,""Select D WHERE C = '""&amp;D580&amp;""'"")))"),"Adventures Guild")</f>
        <v>Adventures Guild</v>
      </c>
      <c r="AE580" s="108" t="e">
        <f t="shared" ca="1" si="42"/>
        <v>#NAME?</v>
      </c>
      <c r="AF580" s="159">
        <f ca="1">IFERROR(__xludf.DUMMYFUNCTION("AE580*(V580 / QUERY(NPCVar!$K$2:$N$12, ""Select N WHERE K='""&amp;AB580&amp;""'""))*TRUNC(1+10)*(TRUNC(MOD(($B580*1103515245 +12345)/ 65536, 32768),0)/32768)"),2.70672912597656)</f>
        <v>2.70672912597656</v>
      </c>
      <c r="AG580" s="16"/>
      <c r="AH580" s="77"/>
      <c r="AI580" s="114"/>
    </row>
    <row r="581" spans="1:35" ht="16.2">
      <c r="A581" s="53">
        <v>580</v>
      </c>
      <c r="B581" s="118">
        <f t="shared" si="46"/>
        <v>0.59036999999999995</v>
      </c>
      <c r="C581" s="72" t="str">
        <f t="array" ref="C581">INDEX(NPCFName,TRUNC(1+(COUNTA(NPCFName))*(TRUNC(MOD(($B581*1103515245 +12345)/ 65536, 32768),0)/32768),0))</f>
        <v>Vider</v>
      </c>
      <c r="D581" s="16" t="str">
        <f t="array" ref="D581">INDEX(NPCLName,TRUNC(1+(COUNTA(NPCLName))*(TRUNC(MOD(($B581*1103515245 +12345)/ 65536, 32768),0)/32768),0))</f>
        <v>Stormdew</v>
      </c>
      <c r="E581" s="16" t="str">
        <f t="array" ref="E581">INDEX(NPCClass,TRUNC(1+(COUNTA(NPCClass))*(TRUNC(MOD(($B581*1103515245 +12345)/ 65536, 32768),0)/32768),0))</f>
        <v>Monk</v>
      </c>
      <c r="F581" s="76">
        <v>5</v>
      </c>
      <c r="G581" s="153">
        <f ca="1">VLOOKUP($AB$2,'RF Mod'!$A$2:$G$12,2,FALSE)+VLOOKUP($AD$2,'RF Mod'!$I$2:$O$11,2,FALSE)+(TRUNC(6+(24-6)*(TRUNC(MOD(($Z581*1103515245 +12345)/ 65536, 32768),0)/32768),0))</f>
        <v>6</v>
      </c>
      <c r="H581" s="16">
        <f t="shared" ca="1" si="33"/>
        <v>-2</v>
      </c>
      <c r="I581" s="153">
        <f ca="1">VLOOKUP($AB$2,'RF Mod'!$A$2:$G$12,3,FALSE)+VLOOKUP($AD$2,'RF Mod'!$I$2:$O$11,3,FALSE)+(TRUNC(6+(24-6)*(TRUNC(MOD(($Z581*1103515245 +12345)/ 65536, 32768),0)/32768),0))</f>
        <v>10</v>
      </c>
      <c r="J581" s="16" t="e">
        <f t="shared" ca="1" si="34"/>
        <v>#NAME?</v>
      </c>
      <c r="K581" s="153">
        <f ca="1">VLOOKUP($AB$2,'RF Mod'!$A$2:$G$12,3,FALSE)+VLOOKUP($AD$2,'RF Mod'!$I$2:$O$11,3,FALSE)+(TRUNC(6+(24-6)*(TRUNC(MOD(($Z581*1103515245 +12345)/ 65536, 32768),0)/32768),0))</f>
        <v>10</v>
      </c>
      <c r="L581" s="16" t="e">
        <f t="shared" ca="1" si="35"/>
        <v>#NAME?</v>
      </c>
      <c r="M581" s="153">
        <f ca="1">VLOOKUP($AB$2,'RF Mod'!$A$2:$G$12,4,FALSE)+VLOOKUP($AD$2,'RF Mod'!$I$2:$O$11,4,FALSE)+(TRUNC(6+(24-6)*(TRUNC(MOD(($Z581*1103515245 +12345)/ 65536, 32768),0)/32768),0))</f>
        <v>9</v>
      </c>
      <c r="N581" s="16">
        <f t="shared" ca="1" si="36"/>
        <v>-1</v>
      </c>
      <c r="O581" s="153">
        <f ca="1">VLOOKUP($AB$2,'RF Mod'!$A$2:$G$12,5,FALSE)+VLOOKUP($AD$2,'RF Mod'!$I$2:$O$11,5,FALSE)+(TRUNC(6+(24-6)*(TRUNC(MOD(($Z581*1103515245 +12345)/ 65536, 32768),0)/32768),0))</f>
        <v>12</v>
      </c>
      <c r="P581" s="16" t="e">
        <f t="shared" ca="1" si="37"/>
        <v>#NAME?</v>
      </c>
      <c r="Q581" s="153">
        <f ca="1">VLOOKUP($AB$2,'RF Mod'!$A$2:$G$12,6,FALSE)+VLOOKUP($AD$2,'RF Mod'!$I$2:$O$11,6,FALSE)+(TRUNC(6+(24-6)*(TRUNC(MOD(($Z581*1103515245 +12345)/ 65536, 32768),0)/32768),0))</f>
        <v>10</v>
      </c>
      <c r="R581" s="16" t="e">
        <f t="shared" ca="1" si="38"/>
        <v>#NAME?</v>
      </c>
      <c r="S581" s="154">
        <f t="shared" ca="1" si="43"/>
        <v>140</v>
      </c>
      <c r="T581" s="154">
        <f t="shared" ca="1" si="39"/>
        <v>151</v>
      </c>
      <c r="U581" s="16" t="str">
        <f t="shared" ca="1" si="40"/>
        <v>Dead</v>
      </c>
      <c r="V581" s="155">
        <f ca="1">IFERROR(__xludf.DUMMYFUNCTION("if(W581=""Middle Age"",QUERY(NPCVar!$K$2:$N1000, ""Select L where K = '""&amp;AB581&amp;""'""),if(W581=""Old"",QUERY(NPCVar!$K$2:$N1000, ""Select M where K = '""&amp;AB581&amp;""'""),if(W581=""Venerable"",QUERY(NPCVar!$K$2:$N1000, ""Select N where K = '""&amp;AB581&amp;""'""),fa"&amp;"lse)))*X581"),135)</f>
        <v>135</v>
      </c>
      <c r="W581" s="156" t="str">
        <f t="array" ref="W581">INDEX(NPCAgeType,TRUNC(1+(4-1)*(TRUNC(MOD((X581*1103515245 +12345)/ 65536, 32768),0)/32768),0))</f>
        <v>Old</v>
      </c>
      <c r="X581" s="117">
        <f t="shared" si="45"/>
        <v>0.8</v>
      </c>
      <c r="Y581" s="157" t="e">
        <f t="array" aca="1" ref="Y581" ca="1">LOOKUP(ABS(MAX(Z581 + MIN(ABS(INDIRECT("Class Jobs!B"&amp;MATCH(E581,'Class Jobs'!$A$1:$A1000,0)&amp;":"&amp;"AF"&amp;MATCH(E581,'Class Jobs'!$A$1:$A1000,0)&amp;"")-$Z581)) * SUM(IF(MIN(ABS(INDIRECT("Class Jobs!B"&amp;MATCH(E581,'Class Jobs'!$A$1:$A1000,0)&amp;":"&amp;"AF"&amp;MATCH(E581,'Class Jobs'!$A$1:$A1000,0)&amp;"")-$Z581))=ABS(INDIRECT("Class Jobs!B"&amp;MATCH(E581,'Class Jobs'!$A$1:$A1000,0)&amp;":"&amp;"AF"&amp;MATCH(E581,'Class Jobs'!$A$1:$A1000,0)&amp;"")-$Z581),SIGN(INDIRECT("Class Jobs!B"&amp;MATCH(E581,'Class Jobs'!$A$1:A1000,0)&amp;":"&amp;"AF"&amp;MATCH(E581,'Class Jobs'!$A$1:$A1000,0)&amp;"")-$Z581),0)),0)),INDIRECT("Class Jobs!B"&amp;MATCH(E581,'Class Jobs'!$A$1:$A1000,0)&amp;":"&amp;"AF"&amp;MATCH(E581,'Class Jobs'!$A$1:$A1000,1)&amp;""),'Class Jobs'!$B$1:$AF$1)</f>
        <v>#REF!</v>
      </c>
      <c r="Z581" s="158">
        <f t="shared" si="41"/>
        <v>0.31</v>
      </c>
      <c r="AA581" s="16" t="str">
        <f t="array" ref="AA581">INDEX(NPCGender,TRUNC(1+(COUNTA(NPCGender))*(TRUNC(MOD(($B581*1103515245 +12345)/ 65536, 32768),0)/32768),0))</f>
        <v>Male</v>
      </c>
      <c r="AB581" s="16" t="str">
        <f t="array" ref="AB581">INDEX(NPCRace,TRUNC(1+(COUNTA(NPCRace))*(TRUNC(MOD(($B581*1103515245 +12345)/ 65536, 32768),0)/32768),0))</f>
        <v>Gnome</v>
      </c>
      <c r="AC581" s="16" t="str">
        <f t="array" ref="AC581">INDEX(NPCAL,TRUNC(1+(COUNTA(NPCAL))*(TRUNC(MOD(($B581*1103515245 +12345)/ 65536, 32768),0)/32768),0))</f>
        <v>CG</v>
      </c>
      <c r="AD581" s="72" t="str">
        <f ca="1">IFERROR(__xludf.DUMMYFUNCTION("if(V581&lt;15,QUERY(NPCVar!C:D,""Select D WHERE C = '""&amp;D581&amp;""'""),if((TRUNC(1+10)*(TRUNC(MOD((ROW(H581)*1103515245 +12345)/ 65536, 32768),0)/32768)/10) &gt; 0.85,INDEX(NPCFaction,TRUNC(1+(counta(NPCFaction)-1)*(TRUNC(MOD(($B581*1103515245 +12345)/ 65536, 3276"&amp;"8),0)/32768),0)),QUERY(NPCVar!C:D,""Select D WHERE C = '""&amp;D581&amp;""'"")))"),"Magic Guild")</f>
        <v>Magic Guild</v>
      </c>
      <c r="AE581" s="108" t="e">
        <f t="shared" ca="1" si="42"/>
        <v>#NAME?</v>
      </c>
      <c r="AF581" s="159">
        <f ca="1">IFERROR(__xludf.DUMMYFUNCTION("AE581*(V581 / QUERY(NPCVar!$K$2:$N$12, ""Select N WHERE K='""&amp;AB581&amp;""'""))*TRUNC(1+10)*(TRUNC(MOD(($B581*1103515245 +12345)/ 65536, 32768),0)/32768)"),-0.100113830566406)</f>
        <v>-0.10011383056640601</v>
      </c>
      <c r="AG581" s="16"/>
      <c r="AH581" s="77"/>
      <c r="AI581" s="114"/>
    </row>
    <row r="582" spans="1:35" ht="16.2">
      <c r="A582" s="53">
        <v>581</v>
      </c>
      <c r="B582" s="118">
        <f t="shared" si="46"/>
        <v>2.0844999999999998</v>
      </c>
      <c r="C582" s="72" t="str">
        <f t="array" ref="C582">INDEX(NPCFName,TRUNC(1+(COUNTA(NPCFName))*(TRUNC(MOD(($B582*1103515245 +12345)/ 65536, 32768),0)/32768),0))</f>
        <v>Dask</v>
      </c>
      <c r="D582" s="16" t="str">
        <f t="array" ref="D582">INDEX(NPCLName,TRUNC(1+(COUNTA(NPCLName))*(TRUNC(MOD(($B582*1103515245 +12345)/ 65536, 32768),0)/32768),0))</f>
        <v>Autumnorb</v>
      </c>
      <c r="E582" s="16" t="str">
        <f t="array" ref="E582">INDEX(NPCClass,TRUNC(1+(COUNTA(NPCClass))*(TRUNC(MOD(($B582*1103515245 +12345)/ 65536, 32768),0)/32768),0))</f>
        <v>Barbarian</v>
      </c>
      <c r="F582" s="76">
        <v>1</v>
      </c>
      <c r="G582" s="153">
        <f ca="1">VLOOKUP($AB$2,'RF Mod'!$A$2:$G$12,2,FALSE)+VLOOKUP($AD$2,'RF Mod'!$I$2:$O$11,2,FALSE)+(TRUNC(6+(24-6)*(TRUNC(MOD(($Z582*1103515245 +12345)/ 65536, 32768),0)/32768),0))</f>
        <v>4</v>
      </c>
      <c r="H582" s="16">
        <f t="shared" ca="1" si="33"/>
        <v>-3</v>
      </c>
      <c r="I582" s="153">
        <f ca="1">VLOOKUP($AB$2,'RF Mod'!$A$2:$G$12,3,FALSE)+VLOOKUP($AD$2,'RF Mod'!$I$2:$O$11,3,FALSE)+(TRUNC(6+(24-6)*(TRUNC(MOD(($Z582*1103515245 +12345)/ 65536, 32768),0)/32768),0))</f>
        <v>8</v>
      </c>
      <c r="J582" s="16">
        <f t="shared" ca="1" si="34"/>
        <v>-1</v>
      </c>
      <c r="K582" s="153">
        <f ca="1">VLOOKUP($AB$2,'RF Mod'!$A$2:$G$12,3,FALSE)+VLOOKUP($AD$2,'RF Mod'!$I$2:$O$11,3,FALSE)+(TRUNC(6+(24-6)*(TRUNC(MOD(($Z582*1103515245 +12345)/ 65536, 32768),0)/32768),0))</f>
        <v>8</v>
      </c>
      <c r="L582" s="16">
        <f t="shared" ca="1" si="35"/>
        <v>-1</v>
      </c>
      <c r="M582" s="153">
        <f ca="1">VLOOKUP($AB$2,'RF Mod'!$A$2:$G$12,4,FALSE)+VLOOKUP($AD$2,'RF Mod'!$I$2:$O$11,4,FALSE)+(TRUNC(6+(24-6)*(TRUNC(MOD(($Z582*1103515245 +12345)/ 65536, 32768),0)/32768),0))</f>
        <v>7</v>
      </c>
      <c r="N582" s="16">
        <f t="shared" ca="1" si="36"/>
        <v>-2</v>
      </c>
      <c r="O582" s="153">
        <f ca="1">VLOOKUP($AB$2,'RF Mod'!$A$2:$G$12,5,FALSE)+VLOOKUP($AD$2,'RF Mod'!$I$2:$O$11,5,FALSE)+(TRUNC(6+(24-6)*(TRUNC(MOD(($Z582*1103515245 +12345)/ 65536, 32768),0)/32768),0))</f>
        <v>10</v>
      </c>
      <c r="P582" s="16" t="e">
        <f t="shared" ca="1" si="37"/>
        <v>#NAME?</v>
      </c>
      <c r="Q582" s="153">
        <f ca="1">VLOOKUP($AB$2,'RF Mod'!$A$2:$G$12,6,FALSE)+VLOOKUP($AD$2,'RF Mod'!$I$2:$O$11,6,FALSE)+(TRUNC(6+(24-6)*(TRUNC(MOD(($Z582*1103515245 +12345)/ 65536, 32768),0)/32768),0))</f>
        <v>8</v>
      </c>
      <c r="R582" s="16">
        <f t="shared" ca="1" si="38"/>
        <v>-1</v>
      </c>
      <c r="S582" s="154">
        <f t="shared" ca="1" si="43"/>
        <v>10</v>
      </c>
      <c r="T582" s="154">
        <f t="shared" ca="1" si="39"/>
        <v>8</v>
      </c>
      <c r="U582" s="16" t="str">
        <f t="shared" ca="1" si="40"/>
        <v>Bloody</v>
      </c>
      <c r="V582" s="155">
        <f ca="1">IFERROR(__xludf.DUMMYFUNCTION("if(W582=""Middle Age"",QUERY(NPCVar!$K$2:$N1000, ""Select L where K = '""&amp;AB582&amp;""'""),if(W582=""Old"",QUERY(NPCVar!$K$2:$N1000, ""Select M where K = '""&amp;AB582&amp;""'""),if(W582=""Venerable"",QUERY(NPCVar!$K$2:$N1000, ""Select N where K = '""&amp;AB582&amp;""'""),fa"&amp;"lse)))*X582"),4)</f>
        <v>4</v>
      </c>
      <c r="W582" s="156" t="str">
        <f t="array" ref="W582">INDEX(NPCAgeType,TRUNC(1+(4-1)*(TRUNC(MOD((X582*1103515245 +12345)/ 65536, 32768),0)/32768),0))</f>
        <v>Middle Age</v>
      </c>
      <c r="X582" s="117">
        <f t="shared" si="45"/>
        <v>0.2</v>
      </c>
      <c r="Y582" s="157" t="e">
        <f t="array" aca="1" ref="Y582" ca="1">LOOKUP(ABS(MAX(Z582 + MIN(ABS(INDIRECT("Class Jobs!B"&amp;MATCH(E582,'Class Jobs'!$A$1:$A1000,0)&amp;":"&amp;"AF"&amp;MATCH(E582,'Class Jobs'!$A$1:$A1000,0)&amp;"")-$Z582)) * SUM(IF(MIN(ABS(INDIRECT("Class Jobs!B"&amp;MATCH(E582,'Class Jobs'!$A$1:$A1000,0)&amp;":"&amp;"AF"&amp;MATCH(E582,'Class Jobs'!$A$1:$A1000,0)&amp;"")-$Z582))=ABS(INDIRECT("Class Jobs!B"&amp;MATCH(E582,'Class Jobs'!$A$1:$A1000,0)&amp;":"&amp;"AF"&amp;MATCH(E582,'Class Jobs'!$A$1:$A1000,0)&amp;"")-$Z582),SIGN(INDIRECT("Class Jobs!B"&amp;MATCH(E582,'Class Jobs'!$A$1:A1000,0)&amp;":"&amp;"AF"&amp;MATCH(E582,'Class Jobs'!$A$1:$A1000,0)&amp;"")-$Z582),0)),0)),INDIRECT("Class Jobs!B"&amp;MATCH(E582,'Class Jobs'!$A$1:$A1000,0)&amp;":"&amp;"AF"&amp;MATCH(E582,'Class Jobs'!$A$1:$A1000,1)&amp;""),'Class Jobs'!$B$1:$AF$1)</f>
        <v>#REF!</v>
      </c>
      <c r="Z582" s="158">
        <f t="shared" si="41"/>
        <v>0.08</v>
      </c>
      <c r="AA582" s="16" t="str">
        <f t="array" ref="AA582">INDEX(NPCGender,TRUNC(1+(COUNTA(NPCGender))*(TRUNC(MOD(($B582*1103515245 +12345)/ 65536, 32768),0)/32768),0))</f>
        <v>Male</v>
      </c>
      <c r="AB582" s="16" t="str">
        <f t="array" ref="AB582">INDEX(NPCRace,TRUNC(1+(COUNTA(NPCRace))*(TRUNC(MOD(($B582*1103515245 +12345)/ 65536, 32768),0)/32768),0))</f>
        <v>Dragonborn</v>
      </c>
      <c r="AC582" s="16" t="str">
        <f t="array" ref="AC582">INDEX(NPCAL,TRUNC(1+(COUNTA(NPCAL))*(TRUNC(MOD(($B582*1103515245 +12345)/ 65536, 32768),0)/32768),0))</f>
        <v>CN</v>
      </c>
      <c r="AD582" s="72" t="str">
        <f ca="1">IFERROR(__xludf.DUMMYFUNCTION("if(V582&lt;15,QUERY(NPCVar!C:D,""Select D WHERE C = '""&amp;D582&amp;""'""),if((TRUNC(1+10)*(TRUNC(MOD((ROW(H582)*1103515245 +12345)/ 65536, 32768),0)/32768)/10) &gt; 0.85,INDEX(NPCFaction,TRUNC(1+(counta(NPCFaction)-1)*(TRUNC(MOD(($B582*1103515245 +12345)/ 65536, 3276"&amp;"8),0)/32768),0)),QUERY(NPCVar!C:D,""Select D WHERE C = '""&amp;D582&amp;""'"")))"),"Royalty")</f>
        <v>Royalty</v>
      </c>
      <c r="AE582" s="108" t="e">
        <f t="shared" ca="1" si="42"/>
        <v>#NAME?</v>
      </c>
      <c r="AF582" s="159">
        <f ca="1">IFERROR(__xludf.DUMMYFUNCTION("AE582*(V582 / QUERY(NPCVar!$K$2:$N$12, ""Select N WHERE K='""&amp;AB582&amp;""'""))*TRUNC(1+10)*(TRUNC(MOD(($B582*1103515245 +12345)/ 65536, 32768),0)/32768)"),0.00782501220703125)</f>
        <v>7.8250122070312508E-3</v>
      </c>
      <c r="AG582" s="16"/>
      <c r="AH582" s="77"/>
      <c r="AI582" s="114"/>
    </row>
    <row r="583" spans="1:35" ht="16.2">
      <c r="A583" s="53">
        <v>582</v>
      </c>
      <c r="B583" s="118">
        <f t="shared" si="46"/>
        <v>1.07864</v>
      </c>
      <c r="C583" s="72" t="str">
        <f t="array" ref="C583">INDEX(NPCFName,TRUNC(1+(COUNTA(NPCFName))*(TRUNC(MOD(($B583*1103515245 +12345)/ 65536, 32768),0)/32768),0))</f>
        <v>Palid</v>
      </c>
      <c r="D583" s="16" t="str">
        <f t="array" ref="D583">INDEX(NPCLName,TRUNC(1+(COUNTA(NPCLName))*(TRUNC(MOD(($B583*1103515245 +12345)/ 65536, 32768),0)/32768),0))</f>
        <v>Plainspirit</v>
      </c>
      <c r="E583" s="16" t="str">
        <f t="array" ref="E583">INDEX(NPCClass,TRUNC(1+(COUNTA(NPCClass))*(TRUNC(MOD(($B583*1103515245 +12345)/ 65536, 32768),0)/32768),0))</f>
        <v>Sorcerer</v>
      </c>
      <c r="F583" s="76">
        <v>8</v>
      </c>
      <c r="G583" s="153">
        <f ca="1">VLOOKUP($AB$2,'RF Mod'!$A$2:$G$12,2,FALSE)+VLOOKUP($AD$2,'RF Mod'!$I$2:$O$11,2,FALSE)+(TRUNC(6+(24-6)*(TRUNC(MOD(($Z583*1103515245 +12345)/ 65536, 32768),0)/32768),0))</f>
        <v>9</v>
      </c>
      <c r="H583" s="16">
        <f t="shared" ca="1" si="33"/>
        <v>-1</v>
      </c>
      <c r="I583" s="153">
        <f ca="1">VLOOKUP($AB$2,'RF Mod'!$A$2:$G$12,3,FALSE)+VLOOKUP($AD$2,'RF Mod'!$I$2:$O$11,3,FALSE)+(TRUNC(6+(24-6)*(TRUNC(MOD(($Z583*1103515245 +12345)/ 65536, 32768),0)/32768),0))</f>
        <v>13</v>
      </c>
      <c r="J583" s="16" t="e">
        <f t="shared" ca="1" si="34"/>
        <v>#NAME?</v>
      </c>
      <c r="K583" s="153">
        <f ca="1">VLOOKUP($AB$2,'RF Mod'!$A$2:$G$12,3,FALSE)+VLOOKUP($AD$2,'RF Mod'!$I$2:$O$11,3,FALSE)+(TRUNC(6+(24-6)*(TRUNC(MOD(($Z583*1103515245 +12345)/ 65536, 32768),0)/32768),0))</f>
        <v>13</v>
      </c>
      <c r="L583" s="16" t="e">
        <f t="shared" ca="1" si="35"/>
        <v>#NAME?</v>
      </c>
      <c r="M583" s="153">
        <f ca="1">VLOOKUP($AB$2,'RF Mod'!$A$2:$G$12,4,FALSE)+VLOOKUP($AD$2,'RF Mod'!$I$2:$O$11,4,FALSE)+(TRUNC(6+(24-6)*(TRUNC(MOD(($Z583*1103515245 +12345)/ 65536, 32768),0)/32768),0))</f>
        <v>12</v>
      </c>
      <c r="N583" s="16" t="e">
        <f t="shared" ca="1" si="36"/>
        <v>#NAME?</v>
      </c>
      <c r="O583" s="153">
        <f ca="1">VLOOKUP($AB$2,'RF Mod'!$A$2:$G$12,5,FALSE)+VLOOKUP($AD$2,'RF Mod'!$I$2:$O$11,5,FALSE)+(TRUNC(6+(24-6)*(TRUNC(MOD(($Z583*1103515245 +12345)/ 65536, 32768),0)/32768),0))</f>
        <v>15</v>
      </c>
      <c r="P583" s="16" t="e">
        <f t="shared" ca="1" si="37"/>
        <v>#NAME?</v>
      </c>
      <c r="Q583" s="153">
        <f ca="1">VLOOKUP($AB$2,'RF Mod'!$A$2:$G$12,6,FALSE)+VLOOKUP($AD$2,'RF Mod'!$I$2:$O$11,6,FALSE)+(TRUNC(6+(24-6)*(TRUNC(MOD(($Z583*1103515245 +12345)/ 65536, 32768),0)/32768),0))</f>
        <v>13</v>
      </c>
      <c r="R583" s="16" t="e">
        <f t="shared" ca="1" si="38"/>
        <v>#NAME?</v>
      </c>
      <c r="S583" s="154">
        <f t="shared" ca="1" si="43"/>
        <v>232</v>
      </c>
      <c r="T583" s="154">
        <f t="shared" ca="1" si="39"/>
        <v>253</v>
      </c>
      <c r="U583" s="16" t="str">
        <f t="shared" ca="1" si="40"/>
        <v>Dead</v>
      </c>
      <c r="V583" s="155">
        <f ca="1">IFERROR(__xludf.DUMMYFUNCTION("if(W583=""Middle Age"",QUERY(NPCVar!$K$2:$N1000, ""Select L where K = '""&amp;AB583&amp;""'""),if(W583=""Old"",QUERY(NPCVar!$K$2:$N1000, ""Select M where K = '""&amp;AB583&amp;""'""),if(W583=""Venerable"",QUERY(NPCVar!$K$2:$N1000, ""Select N where K = '""&amp;AB583&amp;""'""),fa"&amp;"lse)))*X583"),280)</f>
        <v>280</v>
      </c>
      <c r="W583" s="156" t="str">
        <f t="array" ref="W583">INDEX(NPCAgeType,TRUNC(1+(4-1)*(TRUNC(MOD((X583*1103515245 +12345)/ 65536, 32768),0)/32768),0))</f>
        <v>Venerable</v>
      </c>
      <c r="X583" s="117">
        <f t="shared" si="45"/>
        <v>1.4</v>
      </c>
      <c r="Y583" s="157" t="e">
        <f t="array" aca="1" ref="Y583" ca="1">LOOKUP(ABS(MAX(Z583 + MIN(ABS(INDIRECT("Class Jobs!B"&amp;MATCH(E583,'Class Jobs'!$A$1:$A1000,0)&amp;":"&amp;"AF"&amp;MATCH(E583,'Class Jobs'!$A$1:$A1000,0)&amp;"")-$Z583)) * SUM(IF(MIN(ABS(INDIRECT("Class Jobs!B"&amp;MATCH(E583,'Class Jobs'!$A$1:$A1000,0)&amp;":"&amp;"AF"&amp;MATCH(E583,'Class Jobs'!$A$1:$A1000,0)&amp;"")-$Z583))=ABS(INDIRECT("Class Jobs!B"&amp;MATCH(E583,'Class Jobs'!$A$1:$A1000,0)&amp;":"&amp;"AF"&amp;MATCH(E583,'Class Jobs'!$A$1:$A1000,0)&amp;"")-$Z583),SIGN(INDIRECT("Class Jobs!B"&amp;MATCH(E583,'Class Jobs'!$A$1:A1000,0)&amp;":"&amp;"AF"&amp;MATCH(E583,'Class Jobs'!$A$1:$A1000,0)&amp;"")-$Z583),0)),0)),INDIRECT("Class Jobs!B"&amp;MATCH(E583,'Class Jobs'!$A$1:$A1000,0)&amp;":"&amp;"AF"&amp;MATCH(E583,'Class Jobs'!$A$1:$A1000,1)&amp;""),'Class Jobs'!$B$1:$AF$1)</f>
        <v>#REF!</v>
      </c>
      <c r="Z583" s="158">
        <f t="shared" si="41"/>
        <v>0.55000000000000004</v>
      </c>
      <c r="AA583" s="16" t="str">
        <f t="array" ref="AA583">INDEX(NPCGender,TRUNC(1+(COUNTA(NPCGender))*(TRUNC(MOD(($B583*1103515245 +12345)/ 65536, 32768),0)/32768),0))</f>
        <v>Female</v>
      </c>
      <c r="AB583" s="16" t="str">
        <f t="array" ref="AB583">INDEX(NPCRace,TRUNC(1+(COUNTA(NPCRace))*(TRUNC(MOD(($B583*1103515245 +12345)/ 65536, 32768),0)/32768),0))</f>
        <v>Halfling</v>
      </c>
      <c r="AC583" s="16" t="str">
        <f t="array" ref="AC583">INDEX(NPCAL,TRUNC(1+(COUNTA(NPCAL))*(TRUNC(MOD(($B583*1103515245 +12345)/ 65536, 32768),0)/32768),0))</f>
        <v>NN</v>
      </c>
      <c r="AD583" s="72" t="str">
        <f ca="1">IFERROR(__xludf.DUMMYFUNCTION("if(V583&lt;15,QUERY(NPCVar!C:D,""Select D WHERE C = '""&amp;D583&amp;""'""),if((TRUNC(1+10)*(TRUNC(MOD((ROW(H583)*1103515245 +12345)/ 65536, 32768),0)/32768)/10) &gt; 0.85,INDEX(NPCFaction,TRUNC(1+(counta(NPCFaction)-1)*(TRUNC(MOD(($B583*1103515245 +12345)/ 65536, 3276"&amp;"8),0)/32768),0)),QUERY(NPCVar!C:D,""Select D WHERE C = '""&amp;D583&amp;""'"")))"),"Traders Guild")</f>
        <v>Traders Guild</v>
      </c>
      <c r="AE583" s="108" t="e">
        <f t="shared" ca="1" si="42"/>
        <v>#NAME?</v>
      </c>
      <c r="AF583" s="159">
        <f ca="1">IFERROR(__xludf.DUMMYFUNCTION("AE583*(V583 / QUERY(NPCVar!$K$2:$N$12, ""Select N WHERE K='""&amp;AB583&amp;""'""))*TRUNC(1+10)*(TRUNC(MOD(($B583*1103515245 +12345)/ 65536, 32768),0)/32768)"),1.70712158203124)</f>
        <v>1.70712158203124</v>
      </c>
      <c r="AG583" s="16"/>
      <c r="AH583" s="77"/>
      <c r="AI583" s="114"/>
    </row>
    <row r="584" spans="1:35" ht="16.2">
      <c r="A584" s="53">
        <v>583</v>
      </c>
      <c r="B584" s="118">
        <f t="shared" si="46"/>
        <v>7.2789999999999994E-2</v>
      </c>
      <c r="C584" s="72" t="str">
        <f t="array" ref="C584">INDEX(NPCFName,TRUNC(1+(COUNTA(NPCFName))*(TRUNC(MOD(($B584*1103515245 +12345)/ 65536, 32768),0)/32768),0))</f>
        <v>Breanon</v>
      </c>
      <c r="D584" s="16" t="str">
        <f t="array" ref="D584">INDEX(NPCLName,TRUNC(1+(COUNTA(NPCLName))*(TRUNC(MOD(($B584*1103515245 +12345)/ 65536, 32768),0)/32768),0))</f>
        <v>Crystalgazer</v>
      </c>
      <c r="E584" s="16" t="str">
        <f t="array" ref="E584">INDEX(NPCClass,TRUNC(1+(COUNTA(NPCClass))*(TRUNC(MOD(($B584*1103515245 +12345)/ 65536, 32768),0)/32768),0))</f>
        <v>Barbarian</v>
      </c>
      <c r="F584" s="76">
        <v>1</v>
      </c>
      <c r="G584" s="153">
        <f ca="1">VLOOKUP($AB$2,'RF Mod'!$A$2:$G$12,2,FALSE)+VLOOKUP($AD$2,'RF Mod'!$I$2:$O$11,2,FALSE)+(TRUNC(6+(24-6)*(TRUNC(MOD(($Z584*1103515245 +12345)/ 65536, 32768),0)/32768),0))</f>
        <v>4</v>
      </c>
      <c r="H584" s="16">
        <f t="shared" ca="1" si="33"/>
        <v>-3</v>
      </c>
      <c r="I584" s="153">
        <f ca="1">VLOOKUP($AB$2,'RF Mod'!$A$2:$G$12,3,FALSE)+VLOOKUP($AD$2,'RF Mod'!$I$2:$O$11,3,FALSE)+(TRUNC(6+(24-6)*(TRUNC(MOD(($Z584*1103515245 +12345)/ 65536, 32768),0)/32768),0))</f>
        <v>8</v>
      </c>
      <c r="J584" s="16">
        <f t="shared" ca="1" si="34"/>
        <v>-1</v>
      </c>
      <c r="K584" s="153">
        <f ca="1">VLOOKUP($AB$2,'RF Mod'!$A$2:$G$12,3,FALSE)+VLOOKUP($AD$2,'RF Mod'!$I$2:$O$11,3,FALSE)+(TRUNC(6+(24-6)*(TRUNC(MOD(($Z584*1103515245 +12345)/ 65536, 32768),0)/32768),0))</f>
        <v>8</v>
      </c>
      <c r="L584" s="16">
        <f t="shared" ca="1" si="35"/>
        <v>-1</v>
      </c>
      <c r="M584" s="153">
        <f ca="1">VLOOKUP($AB$2,'RF Mod'!$A$2:$G$12,4,FALSE)+VLOOKUP($AD$2,'RF Mod'!$I$2:$O$11,4,FALSE)+(TRUNC(6+(24-6)*(TRUNC(MOD(($Z584*1103515245 +12345)/ 65536, 32768),0)/32768),0))</f>
        <v>7</v>
      </c>
      <c r="N584" s="16">
        <f t="shared" ca="1" si="36"/>
        <v>-2</v>
      </c>
      <c r="O584" s="153">
        <f ca="1">VLOOKUP($AB$2,'RF Mod'!$A$2:$G$12,5,FALSE)+VLOOKUP($AD$2,'RF Mod'!$I$2:$O$11,5,FALSE)+(TRUNC(6+(24-6)*(TRUNC(MOD(($Z584*1103515245 +12345)/ 65536, 32768),0)/32768),0))</f>
        <v>10</v>
      </c>
      <c r="P584" s="16" t="e">
        <f t="shared" ca="1" si="37"/>
        <v>#NAME?</v>
      </c>
      <c r="Q584" s="153">
        <f ca="1">VLOOKUP($AB$2,'RF Mod'!$A$2:$G$12,6,FALSE)+VLOOKUP($AD$2,'RF Mod'!$I$2:$O$11,6,FALSE)+(TRUNC(6+(24-6)*(TRUNC(MOD(($Z584*1103515245 +12345)/ 65536, 32768),0)/32768),0))</f>
        <v>8</v>
      </c>
      <c r="R584" s="16">
        <f t="shared" ca="1" si="38"/>
        <v>-1</v>
      </c>
      <c r="S584" s="154">
        <f t="shared" ca="1" si="43"/>
        <v>10</v>
      </c>
      <c r="T584" s="154">
        <f t="shared" ca="1" si="39"/>
        <v>5</v>
      </c>
      <c r="U584" s="16" t="str">
        <f t="shared" ca="1" si="40"/>
        <v>Fine</v>
      </c>
      <c r="V584" s="155">
        <f ca="1">IFERROR(__xludf.DUMMYFUNCTION("if(W584=""Middle Age"",QUERY(NPCVar!$K$2:$N1000, ""Select L where K = '""&amp;AB584&amp;""'""),if(W584=""Old"",QUERY(NPCVar!$K$2:$N1000, ""Select M where K = '""&amp;AB584&amp;""'""),if(W584=""Venerable"",QUERY(NPCVar!$K$2:$N1000, ""Select N where K = '""&amp;AB584&amp;""'""),fa"&amp;"lse)))*X584"),2)</f>
        <v>2</v>
      </c>
      <c r="W584" s="156" t="str">
        <f t="array" ref="W584">INDEX(NPCAgeType,TRUNC(1+(4-1)*(TRUNC(MOD((X584*1103515245 +12345)/ 65536, 32768),0)/32768),0))</f>
        <v>Middle Age</v>
      </c>
      <c r="X584" s="117">
        <f t="shared" si="45"/>
        <v>0.1</v>
      </c>
      <c r="Y584" s="157" t="e">
        <f t="array" aca="1" ref="Y584" ca="1">LOOKUP(ABS(MAX(Z584 + MIN(ABS(INDIRECT("Class Jobs!B"&amp;MATCH(E584,'Class Jobs'!$A$1:$A1000,0)&amp;":"&amp;"AF"&amp;MATCH(E584,'Class Jobs'!$A$1:$A1000,0)&amp;"")-$Z584)) * SUM(IF(MIN(ABS(INDIRECT("Class Jobs!B"&amp;MATCH(E584,'Class Jobs'!$A$1:$A1000,0)&amp;":"&amp;"AF"&amp;MATCH(E584,'Class Jobs'!$A$1:$A1000,0)&amp;"")-$Z584))=ABS(INDIRECT("Class Jobs!B"&amp;MATCH(E584,'Class Jobs'!$A$1:$A1000,0)&amp;":"&amp;"AF"&amp;MATCH(E584,'Class Jobs'!$A$1:$A1000,0)&amp;"")-$Z584),SIGN(INDIRECT("Class Jobs!B"&amp;MATCH(E584,'Class Jobs'!$A$1:A1000,0)&amp;":"&amp;"AF"&amp;MATCH(E584,'Class Jobs'!$A$1:$A1000,0)&amp;"")-$Z584),0)),0)),INDIRECT("Class Jobs!B"&amp;MATCH(E584,'Class Jobs'!$A$1:$A1000,0)&amp;":"&amp;"AF"&amp;MATCH(E584,'Class Jobs'!$A$1:$A1000,1)&amp;""),'Class Jobs'!$B$1:$AF$1)</f>
        <v>#REF!</v>
      </c>
      <c r="Z584" s="158">
        <f t="shared" si="41"/>
        <v>0.04</v>
      </c>
      <c r="AA584" s="16" t="str">
        <f t="array" ref="AA584">INDEX(NPCGender,TRUNC(1+(COUNTA(NPCGender))*(TRUNC(MOD(($B584*1103515245 +12345)/ 65536, 32768),0)/32768),0))</f>
        <v>Male</v>
      </c>
      <c r="AB584" s="16" t="str">
        <f t="array" ref="AB584">INDEX(NPCRace,TRUNC(1+(COUNTA(NPCRace))*(TRUNC(MOD(($B584*1103515245 +12345)/ 65536, 32768),0)/32768),0))</f>
        <v>Dragonborn</v>
      </c>
      <c r="AC584" s="16" t="str">
        <f t="array" ref="AC584">INDEX(NPCAL,TRUNC(1+(COUNTA(NPCAL))*(TRUNC(MOD(($B584*1103515245 +12345)/ 65536, 32768),0)/32768),0))</f>
        <v>CN</v>
      </c>
      <c r="AD584" s="72" t="str">
        <f ca="1">IFERROR(__xludf.DUMMYFUNCTION("if(V584&lt;15,QUERY(NPCVar!C:D,""Select D WHERE C = '""&amp;D584&amp;""'""),if((TRUNC(1+10)*(TRUNC(MOD((ROW(H584)*1103515245 +12345)/ 65536, 32768),0)/32768)/10) &gt; 0.85,INDEX(NPCFaction,TRUNC(1+(counta(NPCFaction)-1)*(TRUNC(MOD(($B584*1103515245 +12345)/ 65536, 3276"&amp;"8),0)/32768),0)),QUERY(NPCVar!C:D,""Select D WHERE C = '""&amp;D584&amp;""'"")))"),"Death Guild")</f>
        <v>Death Guild</v>
      </c>
      <c r="AE584" s="108" t="e">
        <f t="shared" ca="1" si="42"/>
        <v>#NAME?</v>
      </c>
      <c r="AF584" s="159">
        <f ca="1">IFERROR(__xludf.DUMMYFUNCTION("AE584*(V584 / QUERY(NPCVar!$K$2:$N$12, ""Select N WHERE K='""&amp;AB584&amp;""'""))*TRUNC(1+10)*(TRUNC(MOD(($B584*1103515245 +12345)/ 65536, 32768),0)/32768)"),0.00308418273925781)</f>
        <v>3.0841827392578099E-3</v>
      </c>
      <c r="AG584" s="16"/>
      <c r="AH584" s="77"/>
      <c r="AI584" s="114"/>
    </row>
    <row r="585" spans="1:35" ht="16.2">
      <c r="A585" s="53">
        <v>584</v>
      </c>
      <c r="B585" s="118">
        <f t="shared" si="46"/>
        <v>1.5669200000000001</v>
      </c>
      <c r="C585" s="72" t="str">
        <f t="array" ref="C585">INDEX(NPCFName,TRUNC(1+(COUNTA(NPCFName))*(TRUNC(MOD(($B585*1103515245 +12345)/ 65536, 32768),0)/32768),0))</f>
        <v>Ieli</v>
      </c>
      <c r="D585" s="16" t="str">
        <f t="array" ref="D585">INDEX(NPCLName,TRUNC(1+(COUNTA(NPCLName))*(TRUNC(MOD(($B585*1103515245 +12345)/ 65536, 32768),0)/32768),0))</f>
        <v>Deepcrest</v>
      </c>
      <c r="E585" s="16" t="str">
        <f t="array" ref="E585">INDEX(NPCClass,TRUNC(1+(COUNTA(NPCClass))*(TRUNC(MOD(($B585*1103515245 +12345)/ 65536, 32768),0)/32768),0))</f>
        <v>Cleric</v>
      </c>
      <c r="F585" s="76">
        <v>8</v>
      </c>
      <c r="G585" s="153">
        <f ca="1">VLOOKUP($AB$2,'RF Mod'!$A$2:$G$12,2,FALSE)+VLOOKUP($AD$2,'RF Mod'!$I$2:$O$11,2,FALSE)+(TRUNC(6+(24-6)*(TRUNC(MOD(($Z585*1103515245 +12345)/ 65536, 32768),0)/32768),0))</f>
        <v>11</v>
      </c>
      <c r="H585" s="16" t="e">
        <f t="shared" ca="1" si="33"/>
        <v>#NAME?</v>
      </c>
      <c r="I585" s="153">
        <f ca="1">VLOOKUP($AB$2,'RF Mod'!$A$2:$G$12,3,FALSE)+VLOOKUP($AD$2,'RF Mod'!$I$2:$O$11,3,FALSE)+(TRUNC(6+(24-6)*(TRUNC(MOD(($Z585*1103515245 +12345)/ 65536, 32768),0)/32768),0))</f>
        <v>15</v>
      </c>
      <c r="J585" s="16" t="e">
        <f t="shared" ca="1" si="34"/>
        <v>#NAME?</v>
      </c>
      <c r="K585" s="153">
        <f ca="1">VLOOKUP($AB$2,'RF Mod'!$A$2:$G$12,3,FALSE)+VLOOKUP($AD$2,'RF Mod'!$I$2:$O$11,3,FALSE)+(TRUNC(6+(24-6)*(TRUNC(MOD(($Z585*1103515245 +12345)/ 65536, 32768),0)/32768),0))</f>
        <v>15</v>
      </c>
      <c r="L585" s="16" t="e">
        <f t="shared" ca="1" si="35"/>
        <v>#NAME?</v>
      </c>
      <c r="M585" s="153">
        <f ca="1">VLOOKUP($AB$2,'RF Mod'!$A$2:$G$12,4,FALSE)+VLOOKUP($AD$2,'RF Mod'!$I$2:$O$11,4,FALSE)+(TRUNC(6+(24-6)*(TRUNC(MOD(($Z585*1103515245 +12345)/ 65536, 32768),0)/32768),0))</f>
        <v>14</v>
      </c>
      <c r="N585" s="16" t="e">
        <f t="shared" ca="1" si="36"/>
        <v>#NAME?</v>
      </c>
      <c r="O585" s="153">
        <f ca="1">VLOOKUP($AB$2,'RF Mod'!$A$2:$G$12,5,FALSE)+VLOOKUP($AD$2,'RF Mod'!$I$2:$O$11,5,FALSE)+(TRUNC(6+(24-6)*(TRUNC(MOD(($Z585*1103515245 +12345)/ 65536, 32768),0)/32768),0))</f>
        <v>17</v>
      </c>
      <c r="P585" s="16" t="e">
        <f t="shared" ca="1" si="37"/>
        <v>#NAME?</v>
      </c>
      <c r="Q585" s="153">
        <f ca="1">VLOOKUP($AB$2,'RF Mod'!$A$2:$G$12,6,FALSE)+VLOOKUP($AD$2,'RF Mod'!$I$2:$O$11,6,FALSE)+(TRUNC(6+(24-6)*(TRUNC(MOD(($Z585*1103515245 +12345)/ 65536, 32768),0)/32768),0))</f>
        <v>15</v>
      </c>
      <c r="R585" s="16" t="e">
        <f t="shared" ca="1" si="38"/>
        <v>#NAME?</v>
      </c>
      <c r="S585" s="154">
        <f t="shared" ca="1" si="43"/>
        <v>200</v>
      </c>
      <c r="T585" s="154">
        <f t="shared" ca="1" si="39"/>
        <v>14</v>
      </c>
      <c r="U585" s="16" t="str">
        <f t="shared" ca="1" si="40"/>
        <v>Fine</v>
      </c>
      <c r="V585" s="155">
        <f ca="1">IFERROR(__xludf.DUMMYFUNCTION("if(W585=""Middle Age"",QUERY(NPCVar!$K$2:$N1000, ""Select L where K = '""&amp;AB585&amp;""'""),if(W585=""Old"",QUERY(NPCVar!$K$2:$N1000, ""Select M where K = '""&amp;AB585&amp;""'""),if(W585=""Venerable"",QUERY(NPCVar!$K$2:$N1000, ""Select N where K = '""&amp;AB585&amp;""'""),fa"&amp;"lse)))*X585"),50)</f>
        <v>50</v>
      </c>
      <c r="W585" s="156" t="str">
        <f t="array" ref="W585">INDEX(NPCAgeType,TRUNC(1+(4-1)*(TRUNC(MOD((X585*1103515245 +12345)/ 65536, 32768),0)/32768),0))</f>
        <v>Middle Age</v>
      </c>
      <c r="X585" s="117">
        <f t="shared" si="45"/>
        <v>2</v>
      </c>
      <c r="Y585" s="157" t="e">
        <f t="array" aca="1" ref="Y585" ca="1">LOOKUP(ABS(MAX(Z585 + MIN(ABS(INDIRECT("Class Jobs!B"&amp;MATCH(E585,'Class Jobs'!$A$1:$A1000,0)&amp;":"&amp;"AF"&amp;MATCH(E585,'Class Jobs'!$A$1:$A1000,0)&amp;"")-$Z585)) * SUM(IF(MIN(ABS(INDIRECT("Class Jobs!B"&amp;MATCH(E585,'Class Jobs'!$A$1:$A1000,0)&amp;":"&amp;"AF"&amp;MATCH(E585,'Class Jobs'!$A$1:$A1000,0)&amp;"")-$Z585))=ABS(INDIRECT("Class Jobs!B"&amp;MATCH(E585,'Class Jobs'!$A$1:$A1000,0)&amp;":"&amp;"AF"&amp;MATCH(E585,'Class Jobs'!$A$1:$A1000,0)&amp;"")-$Z585),SIGN(INDIRECT("Class Jobs!B"&amp;MATCH(E585,'Class Jobs'!$A$1:A1000,0)&amp;":"&amp;"AF"&amp;MATCH(E585,'Class Jobs'!$A$1:$A1000,0)&amp;"")-$Z585),0)),0)),INDIRECT("Class Jobs!B"&amp;MATCH(E585,'Class Jobs'!$A$1:$A1000,0)&amp;":"&amp;"AF"&amp;MATCH(E585,'Class Jobs'!$A$1:$A1000,1)&amp;""),'Class Jobs'!$B$1:$AF$1)</f>
        <v>#REF!</v>
      </c>
      <c r="Z585" s="158">
        <f t="shared" si="41"/>
        <v>0.8</v>
      </c>
      <c r="AA585" s="16" t="str">
        <f t="array" ref="AA585">INDEX(NPCGender,TRUNC(1+(COUNTA(NPCGender))*(TRUNC(MOD(($B585*1103515245 +12345)/ 65536, 32768),0)/32768),0))</f>
        <v>Neutral</v>
      </c>
      <c r="AB585" s="16" t="str">
        <f t="array" ref="AB585">INDEX(NPCRace,TRUNC(1+(COUNTA(NPCRace))*(TRUNC(MOD(($B585*1103515245 +12345)/ 65536, 32768),0)/32768),0))</f>
        <v>Tiefling</v>
      </c>
      <c r="AC585" s="16" t="str">
        <f t="array" ref="AC585">INDEX(NPCAL,TRUNC(1+(COUNTA(NPCAL))*(TRUNC(MOD(($B585*1103515245 +12345)/ 65536, 32768),0)/32768),0))</f>
        <v>LN</v>
      </c>
      <c r="AD585" s="72" t="str">
        <f ca="1">IFERROR(__xludf.DUMMYFUNCTION("if(V585&lt;15,QUERY(NPCVar!C:D,""Select D WHERE C = '""&amp;D585&amp;""'""),if((TRUNC(1+10)*(TRUNC(MOD((ROW(H585)*1103515245 +12345)/ 65536, 32768),0)/32768)/10) &gt; 0.85,INDEX(NPCFaction,TRUNC(1+(counta(NPCFaction)-1)*(TRUNC(MOD(($B585*1103515245 +12345)/ 65536, 3276"&amp;"8),0)/32768),0)),QUERY(NPCVar!C:D,""Select D WHERE C = '""&amp;D585&amp;""'"")))"),"Adventures Guild")</f>
        <v>Adventures Guild</v>
      </c>
      <c r="AE585" s="108" t="e">
        <f t="shared" ca="1" si="42"/>
        <v>#NAME?</v>
      </c>
      <c r="AF585" s="159">
        <f ca="1">IFERROR(__xludf.DUMMYFUNCTION("AE585*(V585 / QUERY(NPCVar!$K$2:$N$12, ""Select N WHERE K='""&amp;AB585&amp;""'""))*TRUNC(1+10)*(TRUNC(MOD(($B585*1103515245 +12345)/ 65536, 32768),0)/32768)"),0.885693359375)</f>
        <v>0.88569335937500004</v>
      </c>
      <c r="AG585" s="16"/>
      <c r="AH585" s="77"/>
      <c r="AI585" s="114"/>
    </row>
    <row r="586" spans="1:35" ht="16.2">
      <c r="A586" s="53">
        <v>585</v>
      </c>
      <c r="B586" s="118">
        <f t="shared" si="46"/>
        <v>0.56098999999999999</v>
      </c>
      <c r="C586" s="72" t="str">
        <f t="array" ref="C586">INDEX(NPCFName,TRUNC(1+(COUNTA(NPCFName))*(TRUNC(MOD(($B586*1103515245 +12345)/ 65536, 32768),0)/32768),0))</f>
        <v>Tolle</v>
      </c>
      <c r="D586" s="16" t="str">
        <f t="array" ref="D586">INDEX(NPCLName,TRUNC(1+(COUNTA(NPCLName))*(TRUNC(MOD(($B586*1103515245 +12345)/ 65536, 32768),0)/32768),0))</f>
        <v>Commonscream</v>
      </c>
      <c r="E586" s="16" t="str">
        <f t="array" ref="E586">INDEX(NPCClass,TRUNC(1+(COUNTA(NPCClass))*(TRUNC(MOD(($B586*1103515245 +12345)/ 65536, 32768),0)/32768),0))</f>
        <v>Monk</v>
      </c>
      <c r="F586" s="76">
        <v>1</v>
      </c>
      <c r="G586" s="153">
        <f ca="1">VLOOKUP($AB$2,'RF Mod'!$A$2:$G$12,2,FALSE)+VLOOKUP($AD$2,'RF Mod'!$I$2:$O$11,2,FALSE)+(TRUNC(6+(24-6)*(TRUNC(MOD(($Z586*1103515245 +12345)/ 65536, 32768),0)/32768),0))</f>
        <v>6</v>
      </c>
      <c r="H586" s="16">
        <f t="shared" ca="1" si="33"/>
        <v>-2</v>
      </c>
      <c r="I586" s="153">
        <f ca="1">VLOOKUP($AB$2,'RF Mod'!$A$2:$G$12,3,FALSE)+VLOOKUP($AD$2,'RF Mod'!$I$2:$O$11,3,FALSE)+(TRUNC(6+(24-6)*(TRUNC(MOD(($Z586*1103515245 +12345)/ 65536, 32768),0)/32768),0))</f>
        <v>10</v>
      </c>
      <c r="J586" s="16" t="e">
        <f t="shared" ca="1" si="34"/>
        <v>#NAME?</v>
      </c>
      <c r="K586" s="153">
        <f ca="1">VLOOKUP($AB$2,'RF Mod'!$A$2:$G$12,3,FALSE)+VLOOKUP($AD$2,'RF Mod'!$I$2:$O$11,3,FALSE)+(TRUNC(6+(24-6)*(TRUNC(MOD(($Z586*1103515245 +12345)/ 65536, 32768),0)/32768),0))</f>
        <v>10</v>
      </c>
      <c r="L586" s="16" t="e">
        <f t="shared" ca="1" si="35"/>
        <v>#NAME?</v>
      </c>
      <c r="M586" s="153">
        <f ca="1">VLOOKUP($AB$2,'RF Mod'!$A$2:$G$12,4,FALSE)+VLOOKUP($AD$2,'RF Mod'!$I$2:$O$11,4,FALSE)+(TRUNC(6+(24-6)*(TRUNC(MOD(($Z586*1103515245 +12345)/ 65536, 32768),0)/32768),0))</f>
        <v>9</v>
      </c>
      <c r="N586" s="16">
        <f t="shared" ca="1" si="36"/>
        <v>-1</v>
      </c>
      <c r="O586" s="153">
        <f ca="1">VLOOKUP($AB$2,'RF Mod'!$A$2:$G$12,5,FALSE)+VLOOKUP($AD$2,'RF Mod'!$I$2:$O$11,5,FALSE)+(TRUNC(6+(24-6)*(TRUNC(MOD(($Z586*1103515245 +12345)/ 65536, 32768),0)/32768),0))</f>
        <v>12</v>
      </c>
      <c r="P586" s="16" t="e">
        <f t="shared" ca="1" si="37"/>
        <v>#NAME?</v>
      </c>
      <c r="Q586" s="153">
        <f ca="1">VLOOKUP($AB$2,'RF Mod'!$A$2:$G$12,6,FALSE)+VLOOKUP($AD$2,'RF Mod'!$I$2:$O$11,6,FALSE)+(TRUNC(6+(24-6)*(TRUNC(MOD(($Z586*1103515245 +12345)/ 65536, 32768),0)/32768),0))</f>
        <v>10</v>
      </c>
      <c r="R586" s="16" t="e">
        <f t="shared" ca="1" si="38"/>
        <v>#NAME?</v>
      </c>
      <c r="S586" s="154">
        <f t="shared" ca="1" si="43"/>
        <v>14</v>
      </c>
      <c r="T586" s="154">
        <f t="shared" ca="1" si="39"/>
        <v>11</v>
      </c>
      <c r="U586" s="16" t="str">
        <f t="shared" ca="1" si="40"/>
        <v>Bloody</v>
      </c>
      <c r="V586" s="155">
        <f ca="1">IFERROR(__xludf.DUMMYFUNCTION("if(W586=""Middle Age"",QUERY(NPCVar!$K$2:$N1000, ""Select L where K = '""&amp;AB586&amp;""'""),if(W586=""Old"",QUERY(NPCVar!$K$2:$N1000, ""Select M where K = '""&amp;AB586&amp;""'""),if(W586=""Venerable"",QUERY(NPCVar!$K$2:$N1000, ""Select N where K = '""&amp;AB586&amp;""'""),fa"&amp;"lse)))*X586"),118.124999999999)</f>
        <v>118.12499999999901</v>
      </c>
      <c r="W586" s="156" t="str">
        <f t="array" ref="W586">INDEX(NPCAgeType,TRUNC(1+(4-1)*(TRUNC(MOD((X586*1103515245 +12345)/ 65536, 32768),0)/32768),0))</f>
        <v>Old</v>
      </c>
      <c r="X586" s="117">
        <f t="shared" si="45"/>
        <v>0.7</v>
      </c>
      <c r="Y586" s="157" t="e">
        <f t="array" aca="1" ref="Y586" ca="1">LOOKUP(ABS(MAX(Z586 + MIN(ABS(INDIRECT("Class Jobs!B"&amp;MATCH(E586,'Class Jobs'!$A$1:$A1000,0)&amp;":"&amp;"AF"&amp;MATCH(E586,'Class Jobs'!$A$1:$A1000,0)&amp;"")-$Z586)) * SUM(IF(MIN(ABS(INDIRECT("Class Jobs!B"&amp;MATCH(E586,'Class Jobs'!$A$1:$A1000,0)&amp;":"&amp;"AF"&amp;MATCH(E586,'Class Jobs'!$A$1:$A1000,0)&amp;"")-$Z586))=ABS(INDIRECT("Class Jobs!B"&amp;MATCH(E586,'Class Jobs'!$A$1:$A1000,0)&amp;":"&amp;"AF"&amp;MATCH(E586,'Class Jobs'!$A$1:$A1000,0)&amp;"")-$Z586),SIGN(INDIRECT("Class Jobs!B"&amp;MATCH(E586,'Class Jobs'!$A$1:A1000,0)&amp;":"&amp;"AF"&amp;MATCH(E586,'Class Jobs'!$A$1:$A1000,0)&amp;"")-$Z586),0)),0)),INDIRECT("Class Jobs!B"&amp;MATCH(E586,'Class Jobs'!$A$1:$A1000,0)&amp;":"&amp;"AF"&amp;MATCH(E586,'Class Jobs'!$A$1:$A1000,1)&amp;""),'Class Jobs'!$B$1:$AF$1)</f>
        <v>#REF!</v>
      </c>
      <c r="Z586" s="158">
        <f t="shared" si="41"/>
        <v>0.28999999999999998</v>
      </c>
      <c r="AA586" s="16" t="str">
        <f t="array" ref="AA586">INDEX(NPCGender,TRUNC(1+(COUNTA(NPCGender))*(TRUNC(MOD(($B586*1103515245 +12345)/ 65536, 32768),0)/32768),0))</f>
        <v>Male</v>
      </c>
      <c r="AB586" s="16" t="str">
        <f t="array" ref="AB586">INDEX(NPCRace,TRUNC(1+(COUNTA(NPCRace))*(TRUNC(MOD(($B586*1103515245 +12345)/ 65536, 32768),0)/32768),0))</f>
        <v>Gnome</v>
      </c>
      <c r="AC586" s="16" t="str">
        <f t="array" ref="AC586">INDEX(NPCAL,TRUNC(1+(COUNTA(NPCAL))*(TRUNC(MOD(($B586*1103515245 +12345)/ 65536, 32768),0)/32768),0))</f>
        <v>CG</v>
      </c>
      <c r="AD586" s="72" t="str">
        <f ca="1">IFERROR(__xludf.DUMMYFUNCTION("if(V586&lt;15,QUERY(NPCVar!C:D,""Select D WHERE C = '""&amp;D586&amp;""'""),if((TRUNC(1+10)*(TRUNC(MOD((ROW(H586)*1103515245 +12345)/ 65536, 32768),0)/32768)/10) &gt; 0.85,INDEX(NPCFaction,TRUNC(1+(counta(NPCFaction)-1)*(TRUNC(MOD(($B586*1103515245 +12345)/ 65536, 3276"&amp;"8),0)/32768),0)),QUERY(NPCVar!C:D,""Select D WHERE C = '""&amp;D586&amp;""'"")))"),"Necromancer")</f>
        <v>Necromancer</v>
      </c>
      <c r="AE586" s="108" t="e">
        <f t="shared" ca="1" si="42"/>
        <v>#NAME?</v>
      </c>
      <c r="AF586" s="159">
        <f ca="1">IFERROR(__xludf.DUMMYFUNCTION("AE586*(V586 / QUERY(NPCVar!$K$2:$N$12, ""Select N WHERE K='""&amp;AB586&amp;""'""))*TRUNC(1+10)*(TRUNC(MOD(($B586*1103515245 +12345)/ 65536, 32768),0)/32768)"),0.332950744628906)</f>
        <v>0.332950744628906</v>
      </c>
      <c r="AG586" s="16"/>
      <c r="AH586" s="77"/>
      <c r="AI586" s="114"/>
    </row>
    <row r="587" spans="1:35" ht="16.2">
      <c r="A587" s="53">
        <v>586</v>
      </c>
      <c r="B587" s="118">
        <f t="shared" si="46"/>
        <v>2.0551300000000001</v>
      </c>
      <c r="C587" s="72" t="str">
        <f t="array" ref="C587">INDEX(NPCFName,TRUNC(1+(COUNTA(NPCFName))*(TRUNC(MOD(($B587*1103515245 +12345)/ 65536, 32768),0)/32768),0))</f>
        <v>Connell</v>
      </c>
      <c r="D587" s="16" t="str">
        <f t="array" ref="D587">INDEX(NPCLName,TRUNC(1+(COUNTA(NPCLName))*(TRUNC(MOD(($B587*1103515245 +12345)/ 65536, 32768),0)/32768),0))</f>
        <v>Crystalgazer</v>
      </c>
      <c r="E587" s="16" t="str">
        <f t="array" ref="E587">INDEX(NPCClass,TRUNC(1+(COUNTA(NPCClass))*(TRUNC(MOD(($B587*1103515245 +12345)/ 65536, 32768),0)/32768),0))</f>
        <v>Barbarian</v>
      </c>
      <c r="F587" s="76">
        <v>1</v>
      </c>
      <c r="G587" s="153">
        <f ca="1">VLOOKUP($AB$2,'RF Mod'!$A$2:$G$12,2,FALSE)+VLOOKUP($AD$2,'RF Mod'!$I$2:$O$11,2,FALSE)+(TRUNC(6+(24-6)*(TRUNC(MOD(($Z587*1103515245 +12345)/ 65536, 32768),0)/32768),0))</f>
        <v>4</v>
      </c>
      <c r="H587" s="16">
        <f t="shared" ca="1" si="33"/>
        <v>-3</v>
      </c>
      <c r="I587" s="153">
        <f ca="1">VLOOKUP($AB$2,'RF Mod'!$A$2:$G$12,3,FALSE)+VLOOKUP($AD$2,'RF Mod'!$I$2:$O$11,3,FALSE)+(TRUNC(6+(24-6)*(TRUNC(MOD(($Z587*1103515245 +12345)/ 65536, 32768),0)/32768),0))</f>
        <v>8</v>
      </c>
      <c r="J587" s="16">
        <f t="shared" ca="1" si="34"/>
        <v>-1</v>
      </c>
      <c r="K587" s="153">
        <f ca="1">VLOOKUP($AB$2,'RF Mod'!$A$2:$G$12,3,FALSE)+VLOOKUP($AD$2,'RF Mod'!$I$2:$O$11,3,FALSE)+(TRUNC(6+(24-6)*(TRUNC(MOD(($Z587*1103515245 +12345)/ 65536, 32768),0)/32768),0))</f>
        <v>8</v>
      </c>
      <c r="L587" s="16">
        <f t="shared" ca="1" si="35"/>
        <v>-1</v>
      </c>
      <c r="M587" s="153">
        <f ca="1">VLOOKUP($AB$2,'RF Mod'!$A$2:$G$12,4,FALSE)+VLOOKUP($AD$2,'RF Mod'!$I$2:$O$11,4,FALSE)+(TRUNC(6+(24-6)*(TRUNC(MOD(($Z587*1103515245 +12345)/ 65536, 32768),0)/32768),0))</f>
        <v>7</v>
      </c>
      <c r="N587" s="16">
        <f t="shared" ca="1" si="36"/>
        <v>-2</v>
      </c>
      <c r="O587" s="153">
        <f ca="1">VLOOKUP($AB$2,'RF Mod'!$A$2:$G$12,5,FALSE)+VLOOKUP($AD$2,'RF Mod'!$I$2:$O$11,5,FALSE)+(TRUNC(6+(24-6)*(TRUNC(MOD(($Z587*1103515245 +12345)/ 65536, 32768),0)/32768),0))</f>
        <v>10</v>
      </c>
      <c r="P587" s="16" t="e">
        <f t="shared" ca="1" si="37"/>
        <v>#NAME?</v>
      </c>
      <c r="Q587" s="153">
        <f ca="1">VLOOKUP($AB$2,'RF Mod'!$A$2:$G$12,6,FALSE)+VLOOKUP($AD$2,'RF Mod'!$I$2:$O$11,6,FALSE)+(TRUNC(6+(24-6)*(TRUNC(MOD(($Z587*1103515245 +12345)/ 65536, 32768),0)/32768),0))</f>
        <v>8</v>
      </c>
      <c r="R587" s="16">
        <f t="shared" ca="1" si="38"/>
        <v>-1</v>
      </c>
      <c r="S587" s="154">
        <f t="shared" ca="1" si="43"/>
        <v>26</v>
      </c>
      <c r="T587" s="154">
        <f t="shared" ca="1" si="39"/>
        <v>23</v>
      </c>
      <c r="U587" s="16" t="str">
        <f t="shared" ca="1" si="40"/>
        <v>Bloody</v>
      </c>
      <c r="V587" s="155">
        <f ca="1">IFERROR(__xludf.DUMMYFUNCTION("if(W587=""Middle Age"",QUERY(NPCVar!$K$2:$N1000, ""Select L where K = '""&amp;AB587&amp;""'""),if(W587=""Old"",QUERY(NPCVar!$K$2:$N1000, ""Select M where K = '""&amp;AB587&amp;""'""),if(W587=""Venerable"",QUERY(NPCVar!$K$2:$N1000, ""Select N where K = '""&amp;AB587&amp;""'""),fa"&amp;"lse)))*X587"),4)</f>
        <v>4</v>
      </c>
      <c r="W587" s="156" t="str">
        <f t="array" ref="W587">INDEX(NPCAgeType,TRUNC(1+(4-1)*(TRUNC(MOD((X587*1103515245 +12345)/ 65536, 32768),0)/32768),0))</f>
        <v>Middle Age</v>
      </c>
      <c r="X587" s="117">
        <f t="shared" si="45"/>
        <v>0.2</v>
      </c>
      <c r="Y587" s="157" t="e">
        <f t="array" aca="1" ref="Y587" ca="1">LOOKUP(ABS(MAX(Z587 + MIN(ABS(INDIRECT("Class Jobs!B"&amp;MATCH(E587,'Class Jobs'!$A$1:$A1000,0)&amp;":"&amp;"AF"&amp;MATCH(E587,'Class Jobs'!$A$1:$A1000,0)&amp;"")-$Z587)) * SUM(IF(MIN(ABS(INDIRECT("Class Jobs!B"&amp;MATCH(E587,'Class Jobs'!$A$1:$A1000,0)&amp;":"&amp;"AF"&amp;MATCH(E587,'Class Jobs'!$A$1:$A1000,0)&amp;"")-$Z587))=ABS(INDIRECT("Class Jobs!B"&amp;MATCH(E587,'Class Jobs'!$A$1:$A1000,0)&amp;":"&amp;"AF"&amp;MATCH(E587,'Class Jobs'!$A$1:$A1000,0)&amp;"")-$Z587),SIGN(INDIRECT("Class Jobs!B"&amp;MATCH(E587,'Class Jobs'!$A$1:A1000,0)&amp;":"&amp;"AF"&amp;MATCH(E587,'Class Jobs'!$A$1:$A1000,0)&amp;"")-$Z587),0)),0)),INDIRECT("Class Jobs!B"&amp;MATCH(E587,'Class Jobs'!$A$1:$A1000,0)&amp;":"&amp;"AF"&amp;MATCH(E587,'Class Jobs'!$A$1:$A1000,1)&amp;""),'Class Jobs'!$B$1:$AF$1)</f>
        <v>#REF!</v>
      </c>
      <c r="Z587" s="158">
        <f t="shared" si="41"/>
        <v>0.06</v>
      </c>
      <c r="AA587" s="16" t="str">
        <f t="array" ref="AA587">INDEX(NPCGender,TRUNC(1+(COUNTA(NPCGender))*(TRUNC(MOD(($B587*1103515245 +12345)/ 65536, 32768),0)/32768),0))</f>
        <v>Male</v>
      </c>
      <c r="AB587" s="16" t="str">
        <f t="array" ref="AB587">INDEX(NPCRace,TRUNC(1+(COUNTA(NPCRace))*(TRUNC(MOD(($B587*1103515245 +12345)/ 65536, 32768),0)/32768),0))</f>
        <v>Dragonborn</v>
      </c>
      <c r="AC587" s="16" t="str">
        <f t="array" ref="AC587">INDEX(NPCAL,TRUNC(1+(COUNTA(NPCAL))*(TRUNC(MOD(($B587*1103515245 +12345)/ 65536, 32768),0)/32768),0))</f>
        <v>CN</v>
      </c>
      <c r="AD587" s="72" t="str">
        <f ca="1">IFERROR(__xludf.DUMMYFUNCTION("if(V587&lt;15,QUERY(NPCVar!C:D,""Select D WHERE C = '""&amp;D587&amp;""'""),if((TRUNC(1+10)*(TRUNC(MOD((ROW(H587)*1103515245 +12345)/ 65536, 32768),0)/32768)/10) &gt; 0.85,INDEX(NPCFaction,TRUNC(1+(counta(NPCFaction)-1)*(TRUNC(MOD(($B587*1103515245 +12345)/ 65536, 3276"&amp;"8),0)/32768),0)),QUERY(NPCVar!C:D,""Select D WHERE C = '""&amp;D587&amp;""'"")))"),"Death Guild")</f>
        <v>Death Guild</v>
      </c>
      <c r="AE587" s="108" t="e">
        <f t="shared" ca="1" si="42"/>
        <v>#NAME?</v>
      </c>
      <c r="AF587" s="159">
        <f ca="1">IFERROR(__xludf.DUMMYFUNCTION("AE587*(V587 / QUERY(NPCVar!$K$2:$N$12, ""Select N WHERE K='""&amp;AB587&amp;""'""))*TRUNC(1+10)*(TRUNC(MOD(($B587*1103515245 +12345)/ 65536, 32768),0)/32768)"),-0.00308334350585937)</f>
        <v>-3.0833435058593701E-3</v>
      </c>
      <c r="AG587" s="16"/>
      <c r="AH587" s="77"/>
      <c r="AI587" s="114"/>
    </row>
    <row r="588" spans="1:35" ht="16.2">
      <c r="A588" s="53">
        <v>587</v>
      </c>
      <c r="B588" s="118">
        <f t="shared" si="46"/>
        <v>1.0492699999999999</v>
      </c>
      <c r="C588" s="72" t="str">
        <f t="array" ref="C588">INDEX(NPCFName,TRUNC(1+(COUNTA(NPCFName))*(TRUNC(MOD(($B588*1103515245 +12345)/ 65536, 32768),0)/32768),0))</f>
        <v>Nikrolin</v>
      </c>
      <c r="D588" s="16" t="str">
        <f t="array" ref="D588">INDEX(NPCLName,TRUNC(1+(COUNTA(NPCLName))*(TRUNC(MOD(($B588*1103515245 +12345)/ 65536, 32768),0)/32768),0))</f>
        <v>Plainspirit</v>
      </c>
      <c r="E588" s="16" t="str">
        <f t="array" ref="E588">INDEX(NPCClass,TRUNC(1+(COUNTA(NPCClass))*(TRUNC(MOD(($B588*1103515245 +12345)/ 65536, 32768),0)/32768),0))</f>
        <v>Sorcerer</v>
      </c>
      <c r="F588" s="76">
        <v>7</v>
      </c>
      <c r="G588" s="153">
        <f ca="1">VLOOKUP($AB$2,'RF Mod'!$A$2:$G$12,2,FALSE)+VLOOKUP($AD$2,'RF Mod'!$I$2:$O$11,2,FALSE)+(TRUNC(6+(24-6)*(TRUNC(MOD(($Z588*1103515245 +12345)/ 65536, 32768),0)/32768),0))</f>
        <v>8</v>
      </c>
      <c r="H588" s="16">
        <f t="shared" ca="1" si="33"/>
        <v>-1</v>
      </c>
      <c r="I588" s="153">
        <f ca="1">VLOOKUP($AB$2,'RF Mod'!$A$2:$G$12,3,FALSE)+VLOOKUP($AD$2,'RF Mod'!$I$2:$O$11,3,FALSE)+(TRUNC(6+(24-6)*(TRUNC(MOD(($Z588*1103515245 +12345)/ 65536, 32768),0)/32768),0))</f>
        <v>12</v>
      </c>
      <c r="J588" s="16" t="e">
        <f t="shared" ca="1" si="34"/>
        <v>#NAME?</v>
      </c>
      <c r="K588" s="153">
        <f ca="1">VLOOKUP($AB$2,'RF Mod'!$A$2:$G$12,3,FALSE)+VLOOKUP($AD$2,'RF Mod'!$I$2:$O$11,3,FALSE)+(TRUNC(6+(24-6)*(TRUNC(MOD(($Z588*1103515245 +12345)/ 65536, 32768),0)/32768),0))</f>
        <v>12</v>
      </c>
      <c r="L588" s="16" t="e">
        <f t="shared" ca="1" si="35"/>
        <v>#NAME?</v>
      </c>
      <c r="M588" s="153">
        <f ca="1">VLOOKUP($AB$2,'RF Mod'!$A$2:$G$12,4,FALSE)+VLOOKUP($AD$2,'RF Mod'!$I$2:$O$11,4,FALSE)+(TRUNC(6+(24-6)*(TRUNC(MOD(($Z588*1103515245 +12345)/ 65536, 32768),0)/32768),0))</f>
        <v>11</v>
      </c>
      <c r="N588" s="16" t="e">
        <f t="shared" ca="1" si="36"/>
        <v>#NAME?</v>
      </c>
      <c r="O588" s="153">
        <f ca="1">VLOOKUP($AB$2,'RF Mod'!$A$2:$G$12,5,FALSE)+VLOOKUP($AD$2,'RF Mod'!$I$2:$O$11,5,FALSE)+(TRUNC(6+(24-6)*(TRUNC(MOD(($Z588*1103515245 +12345)/ 65536, 32768),0)/32768),0))</f>
        <v>14</v>
      </c>
      <c r="P588" s="16" t="e">
        <f t="shared" ca="1" si="37"/>
        <v>#NAME?</v>
      </c>
      <c r="Q588" s="153">
        <f ca="1">VLOOKUP($AB$2,'RF Mod'!$A$2:$G$12,6,FALSE)+VLOOKUP($AD$2,'RF Mod'!$I$2:$O$11,6,FALSE)+(TRUNC(6+(24-6)*(TRUNC(MOD(($Z588*1103515245 +12345)/ 65536, 32768),0)/32768),0))</f>
        <v>12</v>
      </c>
      <c r="R588" s="16" t="e">
        <f t="shared" ca="1" si="38"/>
        <v>#NAME?</v>
      </c>
      <c r="S588" s="154">
        <f t="shared" ca="1" si="43"/>
        <v>182</v>
      </c>
      <c r="T588" s="154">
        <f t="shared" ca="1" si="39"/>
        <v>49</v>
      </c>
      <c r="U588" s="16" t="str">
        <f t="shared" ca="1" si="40"/>
        <v>Fine</v>
      </c>
      <c r="V588" s="155">
        <f ca="1">IFERROR(__xludf.DUMMYFUNCTION("if(W588=""Middle Age"",QUERY(NPCVar!$K$2:$N1000, ""Select L where K = '""&amp;AB588&amp;""'""),if(W588=""Old"",QUERY(NPCVar!$K$2:$N1000, ""Select M where K = '""&amp;AB588&amp;""'""),if(W588=""Venerable"",QUERY(NPCVar!$K$2:$N1000, ""Select N where K = '""&amp;AB588&amp;""'""),fa"&amp;"lse)))*X588"),91)</f>
        <v>91</v>
      </c>
      <c r="W588" s="156" t="str">
        <f t="array" ref="W588">INDEX(NPCAgeType,TRUNC(1+(4-1)*(TRUNC(MOD((X588*1103515245 +12345)/ 65536, 32768),0)/32768),0))</f>
        <v>Venerable</v>
      </c>
      <c r="X588" s="117">
        <f t="shared" si="45"/>
        <v>1.3</v>
      </c>
      <c r="Y588" s="157" t="e">
        <f t="array" aca="1" ref="Y588" ca="1">LOOKUP(ABS(MAX(Z588 + MIN(ABS(INDIRECT("Class Jobs!B"&amp;MATCH(E588,'Class Jobs'!$A$1:$A1000,0)&amp;":"&amp;"AF"&amp;MATCH(E588,'Class Jobs'!$A$1:$A1000,0)&amp;"")-$Z588)) * SUM(IF(MIN(ABS(INDIRECT("Class Jobs!B"&amp;MATCH(E588,'Class Jobs'!$A$1:$A1000,0)&amp;":"&amp;"AF"&amp;MATCH(E588,'Class Jobs'!$A$1:$A1000,0)&amp;"")-$Z588))=ABS(INDIRECT("Class Jobs!B"&amp;MATCH(E588,'Class Jobs'!$A$1:$A1000,0)&amp;":"&amp;"AF"&amp;MATCH(E588,'Class Jobs'!$A$1:$A1000,0)&amp;"")-$Z588),SIGN(INDIRECT("Class Jobs!B"&amp;MATCH(E588,'Class Jobs'!$A$1:A1000,0)&amp;":"&amp;"AF"&amp;MATCH(E588,'Class Jobs'!$A$1:$A1000,0)&amp;"")-$Z588),0)),0)),INDIRECT("Class Jobs!B"&amp;MATCH(E588,'Class Jobs'!$A$1:$A1000,0)&amp;":"&amp;"AF"&amp;MATCH(E588,'Class Jobs'!$A$1:$A1000,1)&amp;""),'Class Jobs'!$B$1:$AF$1)</f>
        <v>#REF!</v>
      </c>
      <c r="Z588" s="158">
        <f t="shared" si="41"/>
        <v>0.54</v>
      </c>
      <c r="AA588" s="16" t="str">
        <f t="array" ref="AA588">INDEX(NPCGender,TRUNC(1+(COUNTA(NPCGender))*(TRUNC(MOD(($B588*1103515245 +12345)/ 65536, 32768),0)/32768),0))</f>
        <v>Female</v>
      </c>
      <c r="AB588" s="16" t="str">
        <f t="array" ref="AB588">INDEX(NPCRace,TRUNC(1+(COUNTA(NPCRace))*(TRUNC(MOD(($B588*1103515245 +12345)/ 65536, 32768),0)/32768),0))</f>
        <v>Half-Orc</v>
      </c>
      <c r="AC588" s="16" t="str">
        <f t="array" ref="AC588">INDEX(NPCAL,TRUNC(1+(COUNTA(NPCAL))*(TRUNC(MOD(($B588*1103515245 +12345)/ 65536, 32768),0)/32768),0))</f>
        <v>NN</v>
      </c>
      <c r="AD588" s="72" t="str">
        <f ca="1">IFERROR(__xludf.DUMMYFUNCTION("if(V588&lt;15,QUERY(NPCVar!C:D,""Select D WHERE C = '""&amp;D588&amp;""'""),if((TRUNC(1+10)*(TRUNC(MOD((ROW(H588)*1103515245 +12345)/ 65536, 32768),0)/32768)/10) &gt; 0.85,INDEX(NPCFaction,TRUNC(1+(counta(NPCFaction)-1)*(TRUNC(MOD(($B588*1103515245 +12345)/ 65536, 3276"&amp;"8),0)/32768),0)),QUERY(NPCVar!C:D,""Select D WHERE C = '""&amp;D588&amp;""'"")))"),"Traders Guild")</f>
        <v>Traders Guild</v>
      </c>
      <c r="AE588" s="108" t="e">
        <f t="shared" ca="1" si="42"/>
        <v>#NAME?</v>
      </c>
      <c r="AF588" s="159">
        <f ca="1">IFERROR(__xludf.DUMMYFUNCTION("AE588*(V588 / QUERY(NPCVar!$K$2:$N$12, ""Select N WHERE K='""&amp;AB588&amp;""'""))*TRUNC(1+10)*(TRUNC(MOD(($B588*1103515245 +12345)/ 65536, 32768),0)/32768)"),5.39723754882812)</f>
        <v>5.3972375488281203</v>
      </c>
      <c r="AG588" s="16"/>
      <c r="AH588" s="77"/>
      <c r="AI588" s="114"/>
    </row>
    <row r="589" spans="1:35" ht="16.2">
      <c r="A589" s="53">
        <v>588</v>
      </c>
      <c r="B589" s="118">
        <f t="shared" si="46"/>
        <v>4.342E-2</v>
      </c>
      <c r="C589" s="72" t="str">
        <f t="array" ref="C589">INDEX(NPCFName,TRUNC(1+(COUNTA(NPCFName))*(TRUNC(MOD(($B589*1103515245 +12345)/ 65536, 32768),0)/32768),0))</f>
        <v>Aysen</v>
      </c>
      <c r="D589" s="16" t="str">
        <f t="array" ref="D589">INDEX(NPCLName,TRUNC(1+(COUNTA(NPCLName))*(TRUNC(MOD(($B589*1103515245 +12345)/ 65536, 32768),0)/32768),0))</f>
        <v>Stagfang</v>
      </c>
      <c r="E589" s="16" t="str">
        <f t="array" ref="E589">INDEX(NPCClass,TRUNC(1+(COUNTA(NPCClass))*(TRUNC(MOD(($B589*1103515245 +12345)/ 65536, 32768),0)/32768),0))</f>
        <v>Barbarian</v>
      </c>
      <c r="F589" s="76">
        <v>1</v>
      </c>
      <c r="G589" s="153">
        <f ca="1">VLOOKUP($AB$2,'RF Mod'!$A$2:$G$12,2,FALSE)+VLOOKUP($AD$2,'RF Mod'!$I$2:$O$11,2,FALSE)+(TRUNC(6+(24-6)*(TRUNC(MOD(($Z589*1103515245 +12345)/ 65536, 32768),0)/32768),0))</f>
        <v>4</v>
      </c>
      <c r="H589" s="16">
        <f t="shared" ca="1" si="33"/>
        <v>-3</v>
      </c>
      <c r="I589" s="153">
        <f ca="1">VLOOKUP($AB$2,'RF Mod'!$A$2:$G$12,3,FALSE)+VLOOKUP($AD$2,'RF Mod'!$I$2:$O$11,3,FALSE)+(TRUNC(6+(24-6)*(TRUNC(MOD(($Z589*1103515245 +12345)/ 65536, 32768),0)/32768),0))</f>
        <v>8</v>
      </c>
      <c r="J589" s="16">
        <f t="shared" ca="1" si="34"/>
        <v>-1</v>
      </c>
      <c r="K589" s="153">
        <f ca="1">VLOOKUP($AB$2,'RF Mod'!$A$2:$G$12,3,FALSE)+VLOOKUP($AD$2,'RF Mod'!$I$2:$O$11,3,FALSE)+(TRUNC(6+(24-6)*(TRUNC(MOD(($Z589*1103515245 +12345)/ 65536, 32768),0)/32768),0))</f>
        <v>8</v>
      </c>
      <c r="L589" s="16">
        <f t="shared" ca="1" si="35"/>
        <v>-1</v>
      </c>
      <c r="M589" s="153">
        <f ca="1">VLOOKUP($AB$2,'RF Mod'!$A$2:$G$12,4,FALSE)+VLOOKUP($AD$2,'RF Mod'!$I$2:$O$11,4,FALSE)+(TRUNC(6+(24-6)*(TRUNC(MOD(($Z589*1103515245 +12345)/ 65536, 32768),0)/32768),0))</f>
        <v>7</v>
      </c>
      <c r="N589" s="16">
        <f t="shared" ca="1" si="36"/>
        <v>-2</v>
      </c>
      <c r="O589" s="153">
        <f ca="1">VLOOKUP($AB$2,'RF Mod'!$A$2:$G$12,5,FALSE)+VLOOKUP($AD$2,'RF Mod'!$I$2:$O$11,5,FALSE)+(TRUNC(6+(24-6)*(TRUNC(MOD(($Z589*1103515245 +12345)/ 65536, 32768),0)/32768),0))</f>
        <v>10</v>
      </c>
      <c r="P589" s="16" t="e">
        <f t="shared" ca="1" si="37"/>
        <v>#NAME?</v>
      </c>
      <c r="Q589" s="153">
        <f ca="1">VLOOKUP($AB$2,'RF Mod'!$A$2:$G$12,6,FALSE)+VLOOKUP($AD$2,'RF Mod'!$I$2:$O$11,6,FALSE)+(TRUNC(6+(24-6)*(TRUNC(MOD(($Z589*1103515245 +12345)/ 65536, 32768),0)/32768),0))</f>
        <v>8</v>
      </c>
      <c r="R589" s="16">
        <f t="shared" ca="1" si="38"/>
        <v>-1</v>
      </c>
      <c r="S589" s="154">
        <f t="shared" ca="1" si="43"/>
        <v>26</v>
      </c>
      <c r="T589" s="154">
        <f t="shared" ca="1" si="39"/>
        <v>8</v>
      </c>
      <c r="U589" s="16" t="str">
        <f t="shared" ca="1" si="40"/>
        <v>Fine</v>
      </c>
      <c r="V589" s="155">
        <f ca="1">IFERROR(__xludf.DUMMYFUNCTION("if(W589=""Middle Age"",QUERY(NPCVar!$K$2:$N1000, ""Select L where K = '""&amp;AB589&amp;""'""),if(W589=""Old"",QUERY(NPCVar!$K$2:$N1000, ""Select M where K = '""&amp;AB589&amp;""'""),if(W589=""Venerable"",QUERY(NPCVar!$K$2:$N1000, ""Select N where K = '""&amp;AB589&amp;""'""),fa"&amp;"lse)))*X589"),2)</f>
        <v>2</v>
      </c>
      <c r="W589" s="156" t="str">
        <f t="array" ref="W589">INDEX(NPCAgeType,TRUNC(1+(4-1)*(TRUNC(MOD((X589*1103515245 +12345)/ 65536, 32768),0)/32768),0))</f>
        <v>Middle Age</v>
      </c>
      <c r="X589" s="117">
        <f t="shared" si="45"/>
        <v>0.1</v>
      </c>
      <c r="Y589" s="157" t="e">
        <f t="array" aca="1" ref="Y589" ca="1">LOOKUP(ABS(MAX(Z589 + MIN(ABS(INDIRECT("Class Jobs!B"&amp;MATCH(E589,'Class Jobs'!$A$1:$A1000,0)&amp;":"&amp;"AF"&amp;MATCH(E589,'Class Jobs'!$A$1:$A1000,0)&amp;"")-$Z589)) * SUM(IF(MIN(ABS(INDIRECT("Class Jobs!B"&amp;MATCH(E589,'Class Jobs'!$A$1:$A1000,0)&amp;":"&amp;"AF"&amp;MATCH(E589,'Class Jobs'!$A$1:$A1000,0)&amp;"")-$Z589))=ABS(INDIRECT("Class Jobs!B"&amp;MATCH(E589,'Class Jobs'!$A$1:$A1000,0)&amp;":"&amp;"AF"&amp;MATCH(E589,'Class Jobs'!$A$1:$A1000,0)&amp;"")-$Z589),SIGN(INDIRECT("Class Jobs!B"&amp;MATCH(E589,'Class Jobs'!$A$1:A1000,0)&amp;":"&amp;"AF"&amp;MATCH(E589,'Class Jobs'!$A$1:$A1000,0)&amp;"")-$Z589),0)),0)),INDIRECT("Class Jobs!B"&amp;MATCH(E589,'Class Jobs'!$A$1:$A1000,0)&amp;":"&amp;"AF"&amp;MATCH(E589,'Class Jobs'!$A$1:$A1000,1)&amp;""),'Class Jobs'!$B$1:$AF$1)</f>
        <v>#REF!</v>
      </c>
      <c r="Z589" s="158">
        <f t="shared" si="41"/>
        <v>0.03</v>
      </c>
      <c r="AA589" s="16" t="str">
        <f t="array" ref="AA589">INDEX(NPCGender,TRUNC(1+(COUNTA(NPCGender))*(TRUNC(MOD(($B589*1103515245 +12345)/ 65536, 32768),0)/32768),0))</f>
        <v>Male</v>
      </c>
      <c r="AB589" s="16" t="str">
        <f t="array" ref="AB589">INDEX(NPCRace,TRUNC(1+(COUNTA(NPCRace))*(TRUNC(MOD(($B589*1103515245 +12345)/ 65536, 32768),0)/32768),0))</f>
        <v>Dragonborn</v>
      </c>
      <c r="AC589" s="16" t="str">
        <f t="array" ref="AC589">INDEX(NPCAL,TRUNC(1+(COUNTA(NPCAL))*(TRUNC(MOD(($B589*1103515245 +12345)/ 65536, 32768),0)/32768),0))</f>
        <v>CN</v>
      </c>
      <c r="AD589" s="72" t="str">
        <f ca="1">IFERROR(__xludf.DUMMYFUNCTION("if(V589&lt;15,QUERY(NPCVar!C:D,""Select D WHERE C = '""&amp;D589&amp;""'""),if((TRUNC(1+10)*(TRUNC(MOD((ROW(H589)*1103515245 +12345)/ 65536, 32768),0)/32768)/10) &gt; 0.85,INDEX(NPCFaction,TRUNC(1+(counta(NPCFaction)-1)*(TRUNC(MOD(($B589*1103515245 +12345)/ 65536, 3276"&amp;"8),0)/32768),0)),QUERY(NPCVar!C:D,""Select D WHERE C = '""&amp;D589&amp;""'"")))"),"Royalty")</f>
        <v>Royalty</v>
      </c>
      <c r="AE589" s="108" t="e">
        <f t="shared" ca="1" si="42"/>
        <v>#NAME?</v>
      </c>
      <c r="AF589" s="159">
        <f ca="1">IFERROR(__xludf.DUMMYFUNCTION("AE589*(V589 / QUERY(NPCVar!$K$2:$N$12, ""Select N WHERE K='""&amp;AB589&amp;""'""))*TRUNC(1+10)*(TRUNC(MOD(($B589*1103515245 +12345)/ 65536, 32768),0)/32768)"),-0.000613479614257812)</f>
        <v>-6.1347961425781204E-4</v>
      </c>
      <c r="AG589" s="16"/>
      <c r="AH589" s="77"/>
      <c r="AI589" s="114"/>
    </row>
    <row r="590" spans="1:35" ht="16.2">
      <c r="A590" s="53">
        <v>589</v>
      </c>
      <c r="B590" s="118">
        <f t="shared" si="46"/>
        <v>1.53755</v>
      </c>
      <c r="C590" s="72" t="str">
        <f t="array" ref="C590">INDEX(NPCFName,TRUNC(1+(COUNTA(NPCFName))*(TRUNC(MOD(($B590*1103515245 +12345)/ 65536, 32768),0)/32768),0))</f>
        <v>Grimie</v>
      </c>
      <c r="D590" s="16" t="str">
        <f t="array" ref="D590">INDEX(NPCLName,TRUNC(1+(COUNTA(NPCLName))*(TRUNC(MOD(($B590*1103515245 +12345)/ 65536, 32768),0)/32768),0))</f>
        <v>Truthdoom</v>
      </c>
      <c r="E590" s="16" t="str">
        <f t="array" ref="E590">INDEX(NPCClass,TRUNC(1+(COUNTA(NPCClass))*(TRUNC(MOD(($B590*1103515245 +12345)/ 65536, 32768),0)/32768),0))</f>
        <v>Cleric</v>
      </c>
      <c r="F590" s="76">
        <v>8</v>
      </c>
      <c r="G590" s="153">
        <f ca="1">VLOOKUP($AB$2,'RF Mod'!$A$2:$G$12,2,FALSE)+VLOOKUP($AD$2,'RF Mod'!$I$2:$O$11,2,FALSE)+(TRUNC(6+(24-6)*(TRUNC(MOD(($Z590*1103515245 +12345)/ 65536, 32768),0)/32768),0))</f>
        <v>11</v>
      </c>
      <c r="H590" s="16" t="e">
        <f t="shared" ca="1" si="33"/>
        <v>#NAME?</v>
      </c>
      <c r="I590" s="153">
        <f ca="1">VLOOKUP($AB$2,'RF Mod'!$A$2:$G$12,3,FALSE)+VLOOKUP($AD$2,'RF Mod'!$I$2:$O$11,3,FALSE)+(TRUNC(6+(24-6)*(TRUNC(MOD(($Z590*1103515245 +12345)/ 65536, 32768),0)/32768),0))</f>
        <v>15</v>
      </c>
      <c r="J590" s="16" t="e">
        <f t="shared" ca="1" si="34"/>
        <v>#NAME?</v>
      </c>
      <c r="K590" s="153">
        <f ca="1">VLOOKUP($AB$2,'RF Mod'!$A$2:$G$12,3,FALSE)+VLOOKUP($AD$2,'RF Mod'!$I$2:$O$11,3,FALSE)+(TRUNC(6+(24-6)*(TRUNC(MOD(($Z590*1103515245 +12345)/ 65536, 32768),0)/32768),0))</f>
        <v>15</v>
      </c>
      <c r="L590" s="16" t="e">
        <f t="shared" ca="1" si="35"/>
        <v>#NAME?</v>
      </c>
      <c r="M590" s="153">
        <f ca="1">VLOOKUP($AB$2,'RF Mod'!$A$2:$G$12,4,FALSE)+VLOOKUP($AD$2,'RF Mod'!$I$2:$O$11,4,FALSE)+(TRUNC(6+(24-6)*(TRUNC(MOD(($Z590*1103515245 +12345)/ 65536, 32768),0)/32768),0))</f>
        <v>14</v>
      </c>
      <c r="N590" s="16" t="e">
        <f t="shared" ca="1" si="36"/>
        <v>#NAME?</v>
      </c>
      <c r="O590" s="153">
        <f ca="1">VLOOKUP($AB$2,'RF Mod'!$A$2:$G$12,5,FALSE)+VLOOKUP($AD$2,'RF Mod'!$I$2:$O$11,5,FALSE)+(TRUNC(6+(24-6)*(TRUNC(MOD(($Z590*1103515245 +12345)/ 65536, 32768),0)/32768),0))</f>
        <v>17</v>
      </c>
      <c r="P590" s="16" t="e">
        <f t="shared" ca="1" si="37"/>
        <v>#NAME?</v>
      </c>
      <c r="Q590" s="153">
        <f ca="1">VLOOKUP($AB$2,'RF Mod'!$A$2:$G$12,6,FALSE)+VLOOKUP($AD$2,'RF Mod'!$I$2:$O$11,6,FALSE)+(TRUNC(6+(24-6)*(TRUNC(MOD(($Z590*1103515245 +12345)/ 65536, 32768),0)/32768),0))</f>
        <v>15</v>
      </c>
      <c r="R590" s="16" t="e">
        <f t="shared" ca="1" si="38"/>
        <v>#NAME?</v>
      </c>
      <c r="S590" s="154">
        <f t="shared" ca="1" si="43"/>
        <v>264</v>
      </c>
      <c r="T590" s="154">
        <f t="shared" ca="1" si="39"/>
        <v>168</v>
      </c>
      <c r="U590" s="16" t="str">
        <f t="shared" ca="1" si="40"/>
        <v>Bloody</v>
      </c>
      <c r="V590" s="155">
        <f ca="1">IFERROR(__xludf.DUMMYFUNCTION("if(W590=""Middle Age"",QUERY(NPCVar!$K$2:$N1000, ""Select L where K = '""&amp;AB590&amp;""'""),if(W590=""Old"",QUERY(NPCVar!$K$2:$N1000, ""Select M where K = '""&amp;AB590&amp;""'""),if(W590=""Venerable"",QUERY(NPCVar!$K$2:$N1000, ""Select N where K = '""&amp;AB590&amp;""'""),fa"&amp;"lse)))*X590"),190)</f>
        <v>190</v>
      </c>
      <c r="W590" s="156" t="str">
        <f t="array" ref="W590">INDEX(NPCAgeType,TRUNC(1+(4-1)*(TRUNC(MOD((X590*1103515245 +12345)/ 65536, 32768),0)/32768),0))</f>
        <v>Venerable</v>
      </c>
      <c r="X590" s="117">
        <f t="shared" si="45"/>
        <v>1.9</v>
      </c>
      <c r="Y590" s="157" t="e">
        <f t="array" aca="1" ref="Y590" ca="1">LOOKUP(ABS(MAX(Z590 + MIN(ABS(INDIRECT("Class Jobs!B"&amp;MATCH(E590,'Class Jobs'!$A$1:$A1000,0)&amp;":"&amp;"AF"&amp;MATCH(E590,'Class Jobs'!$A$1:$A1000,0)&amp;"")-$Z590)) * SUM(IF(MIN(ABS(INDIRECT("Class Jobs!B"&amp;MATCH(E590,'Class Jobs'!$A$1:$A1000,0)&amp;":"&amp;"AF"&amp;MATCH(E590,'Class Jobs'!$A$1:$A1000,0)&amp;"")-$Z590))=ABS(INDIRECT("Class Jobs!B"&amp;MATCH(E590,'Class Jobs'!$A$1:$A1000,0)&amp;":"&amp;"AF"&amp;MATCH(E590,'Class Jobs'!$A$1:$A1000,0)&amp;"")-$Z590),SIGN(INDIRECT("Class Jobs!B"&amp;MATCH(E590,'Class Jobs'!$A$1:A1000,0)&amp;":"&amp;"AF"&amp;MATCH(E590,'Class Jobs'!$A$1:$A1000,0)&amp;"")-$Z590),0)),0)),INDIRECT("Class Jobs!B"&amp;MATCH(E590,'Class Jobs'!$A$1:$A1000,0)&amp;":"&amp;"AF"&amp;MATCH(E590,'Class Jobs'!$A$1:$A1000,1)&amp;""),'Class Jobs'!$B$1:$AF$1)</f>
        <v>#REF!</v>
      </c>
      <c r="Z590" s="158">
        <f t="shared" si="41"/>
        <v>0.79</v>
      </c>
      <c r="AA590" s="16" t="str">
        <f t="array" ref="AA590">INDEX(NPCGender,TRUNC(1+(COUNTA(NPCGender))*(TRUNC(MOD(($B590*1103515245 +12345)/ 65536, 32768),0)/32768),0))</f>
        <v>Neutral</v>
      </c>
      <c r="AB590" s="16" t="str">
        <f t="array" ref="AB590">INDEX(NPCRace,TRUNC(1+(COUNTA(NPCRace))*(TRUNC(MOD(($B590*1103515245 +12345)/ 65536, 32768),0)/32768),0))</f>
        <v>Tiefling</v>
      </c>
      <c r="AC590" s="16" t="str">
        <f t="array" ref="AC590">INDEX(NPCAL,TRUNC(1+(COUNTA(NPCAL))*(TRUNC(MOD(($B590*1103515245 +12345)/ 65536, 32768),0)/32768),0))</f>
        <v>LN</v>
      </c>
      <c r="AD590" s="72" t="str">
        <f ca="1">IFERROR(__xludf.DUMMYFUNCTION("if(V590&lt;15,QUERY(NPCVar!C:D,""Select D WHERE C = '""&amp;D590&amp;""'""),if((TRUNC(1+10)*(TRUNC(MOD((ROW(H590)*1103515245 +12345)/ 65536, 32768),0)/32768)/10) &gt; 0.85,INDEX(NPCFaction,TRUNC(1+(counta(NPCFaction)-1)*(TRUNC(MOD(($B590*1103515245 +12345)/ 65536, 3276"&amp;"8),0)/32768),0)),QUERY(NPCVar!C:D,""Select D WHERE C = '""&amp;D590&amp;""'"")))"),"Traverlers Guild")</f>
        <v>Traverlers Guild</v>
      </c>
      <c r="AE590" s="108" t="e">
        <f t="shared" ca="1" si="42"/>
        <v>#NAME?</v>
      </c>
      <c r="AF590" s="159">
        <f ca="1">IFERROR(__xludf.DUMMYFUNCTION("AE590*(V590 / QUERY(NPCVar!$K$2:$N$12, ""Select N WHERE K='""&amp;AB590&amp;""'""))*TRUNC(1+10)*(TRUNC(MOD(($B590*1103515245 +12345)/ 65536, 32768),0)/32768)"),11.5587179565429)</f>
        <v>11.5587179565429</v>
      </c>
      <c r="AG590" s="16"/>
      <c r="AH590" s="77"/>
      <c r="AI590" s="114"/>
    </row>
    <row r="591" spans="1:35" ht="16.2">
      <c r="A591" s="53">
        <v>590</v>
      </c>
      <c r="B591" s="118">
        <f t="shared" si="46"/>
        <v>0.53169999999999995</v>
      </c>
      <c r="C591" s="72" t="str">
        <f t="array" ref="C591">INDEX(NPCFName,TRUNC(1+(COUNTA(NPCFName))*(TRUNC(MOD(($B591*1103515245 +12345)/ 65536, 32768),0)/32768),0))</f>
        <v>Stenwulf</v>
      </c>
      <c r="D591" s="16" t="str">
        <f t="array" ref="D591">INDEX(NPCLName,TRUNC(1+(COUNTA(NPCLName))*(TRUNC(MOD(($B591*1103515245 +12345)/ 65536, 32768),0)/32768),0))</f>
        <v>Commonscream</v>
      </c>
      <c r="E591" s="16" t="str">
        <f t="array" ref="E591">INDEX(NPCClass,TRUNC(1+(COUNTA(NPCClass))*(TRUNC(MOD(($B591*1103515245 +12345)/ 65536, 32768),0)/32768),0))</f>
        <v>Monk</v>
      </c>
      <c r="F591" s="76">
        <v>2</v>
      </c>
      <c r="G591" s="153">
        <f ca="1">VLOOKUP($AB$2,'RF Mod'!$A$2:$G$12,2,FALSE)+VLOOKUP($AD$2,'RF Mod'!$I$2:$O$11,2,FALSE)+(TRUNC(6+(24-6)*(TRUNC(MOD(($Z591*1103515245 +12345)/ 65536, 32768),0)/32768),0))</f>
        <v>6</v>
      </c>
      <c r="H591" s="16">
        <f t="shared" ca="1" si="33"/>
        <v>-2</v>
      </c>
      <c r="I591" s="153">
        <f ca="1">VLOOKUP($AB$2,'RF Mod'!$A$2:$G$12,3,FALSE)+VLOOKUP($AD$2,'RF Mod'!$I$2:$O$11,3,FALSE)+(TRUNC(6+(24-6)*(TRUNC(MOD(($Z591*1103515245 +12345)/ 65536, 32768),0)/32768),0))</f>
        <v>10</v>
      </c>
      <c r="J591" s="16" t="e">
        <f t="shared" ca="1" si="34"/>
        <v>#NAME?</v>
      </c>
      <c r="K591" s="153">
        <f ca="1">VLOOKUP($AB$2,'RF Mod'!$A$2:$G$12,3,FALSE)+VLOOKUP($AD$2,'RF Mod'!$I$2:$O$11,3,FALSE)+(TRUNC(6+(24-6)*(TRUNC(MOD(($Z591*1103515245 +12345)/ 65536, 32768),0)/32768),0))</f>
        <v>10</v>
      </c>
      <c r="L591" s="16" t="e">
        <f t="shared" ca="1" si="35"/>
        <v>#NAME?</v>
      </c>
      <c r="M591" s="153">
        <f ca="1">VLOOKUP($AB$2,'RF Mod'!$A$2:$G$12,4,FALSE)+VLOOKUP($AD$2,'RF Mod'!$I$2:$O$11,4,FALSE)+(TRUNC(6+(24-6)*(TRUNC(MOD(($Z591*1103515245 +12345)/ 65536, 32768),0)/32768),0))</f>
        <v>9</v>
      </c>
      <c r="N591" s="16">
        <f t="shared" ca="1" si="36"/>
        <v>-1</v>
      </c>
      <c r="O591" s="153">
        <f ca="1">VLOOKUP($AB$2,'RF Mod'!$A$2:$G$12,5,FALSE)+VLOOKUP($AD$2,'RF Mod'!$I$2:$O$11,5,FALSE)+(TRUNC(6+(24-6)*(TRUNC(MOD(($Z591*1103515245 +12345)/ 65536, 32768),0)/32768),0))</f>
        <v>12</v>
      </c>
      <c r="P591" s="16" t="e">
        <f t="shared" ca="1" si="37"/>
        <v>#NAME?</v>
      </c>
      <c r="Q591" s="153">
        <f ca="1">VLOOKUP($AB$2,'RF Mod'!$A$2:$G$12,6,FALSE)+VLOOKUP($AD$2,'RF Mod'!$I$2:$O$11,6,FALSE)+(TRUNC(6+(24-6)*(TRUNC(MOD(($Z591*1103515245 +12345)/ 65536, 32768),0)/32768),0))</f>
        <v>10</v>
      </c>
      <c r="R591" s="16" t="e">
        <f t="shared" ca="1" si="38"/>
        <v>#NAME?</v>
      </c>
      <c r="S591" s="154">
        <f t="shared" ca="1" si="43"/>
        <v>24</v>
      </c>
      <c r="T591" s="154">
        <f t="shared" ca="1" si="39"/>
        <v>1</v>
      </c>
      <c r="U591" s="16" t="str">
        <f t="shared" ca="1" si="40"/>
        <v>Fine</v>
      </c>
      <c r="V591" s="155">
        <f ca="1">IFERROR(__xludf.DUMMYFUNCTION("if(W591=""Middle Age"",QUERY(NPCVar!$K$2:$N1000, ""Select L where K = '""&amp;AB591&amp;""'""),if(W591=""Old"",QUERY(NPCVar!$K$2:$N1000, ""Select M where K = '""&amp;AB591&amp;""'""),if(W591=""Venerable"",QUERY(NPCVar!$K$2:$N1000, ""Select N where K = '""&amp;AB591&amp;""'""),fa"&amp;"lse)))*X591"),118.124999999999)</f>
        <v>118.12499999999901</v>
      </c>
      <c r="W591" s="156" t="str">
        <f t="array" ref="W591">INDEX(NPCAgeType,TRUNC(1+(4-1)*(TRUNC(MOD((X591*1103515245 +12345)/ 65536, 32768),0)/32768),0))</f>
        <v>Old</v>
      </c>
      <c r="X591" s="117">
        <f t="shared" si="45"/>
        <v>0.7</v>
      </c>
      <c r="Y591" s="157" t="e">
        <f t="array" aca="1" ref="Y591" ca="1">LOOKUP(ABS(MAX(Z591 + MIN(ABS(INDIRECT("Class Jobs!B"&amp;MATCH(E591,'Class Jobs'!$A$1:$A1000,0)&amp;":"&amp;"AF"&amp;MATCH(E591,'Class Jobs'!$A$1:$A1000,0)&amp;"")-$Z591)) * SUM(IF(MIN(ABS(INDIRECT("Class Jobs!B"&amp;MATCH(E591,'Class Jobs'!$A$1:$A1000,0)&amp;":"&amp;"AF"&amp;MATCH(E591,'Class Jobs'!$A$1:$A1000,0)&amp;"")-$Z591))=ABS(INDIRECT("Class Jobs!B"&amp;MATCH(E591,'Class Jobs'!$A$1:$A1000,0)&amp;":"&amp;"AF"&amp;MATCH(E591,'Class Jobs'!$A$1:$A1000,0)&amp;"")-$Z591),SIGN(INDIRECT("Class Jobs!B"&amp;MATCH(E591,'Class Jobs'!$A$1:A1000,0)&amp;":"&amp;"AF"&amp;MATCH(E591,'Class Jobs'!$A$1:$A1000,0)&amp;"")-$Z591),0)),0)),INDIRECT("Class Jobs!B"&amp;MATCH(E591,'Class Jobs'!$A$1:$A1000,0)&amp;":"&amp;"AF"&amp;MATCH(E591,'Class Jobs'!$A$1:$A1000,1)&amp;""),'Class Jobs'!$B$1:$AF$1)</f>
        <v>#REF!</v>
      </c>
      <c r="Z591" s="158">
        <f t="shared" si="41"/>
        <v>0.28000000000000003</v>
      </c>
      <c r="AA591" s="16" t="str">
        <f t="array" ref="AA591">INDEX(NPCGender,TRUNC(1+(COUNTA(NPCGender))*(TRUNC(MOD(($B591*1103515245 +12345)/ 65536, 32768),0)/32768),0))</f>
        <v>Male</v>
      </c>
      <c r="AB591" s="16" t="str">
        <f t="array" ref="AB591">INDEX(NPCRace,TRUNC(1+(COUNTA(NPCRace))*(TRUNC(MOD(($B591*1103515245 +12345)/ 65536, 32768),0)/32768),0))</f>
        <v>Gnome</v>
      </c>
      <c r="AC591" s="16" t="str">
        <f t="array" ref="AC591">INDEX(NPCAL,TRUNC(1+(COUNTA(NPCAL))*(TRUNC(MOD(($B591*1103515245 +12345)/ 65536, 32768),0)/32768),0))</f>
        <v>CG</v>
      </c>
      <c r="AD591" s="72" t="str">
        <f ca="1">IFERROR(__xludf.DUMMYFUNCTION("if(V591&lt;15,QUERY(NPCVar!C:D,""Select D WHERE C = '""&amp;D591&amp;""'""),if((TRUNC(1+10)*(TRUNC(MOD((ROW(H591)*1103515245 +12345)/ 65536, 32768),0)/32768)/10) &gt; 0.85,INDEX(NPCFaction,TRUNC(1+(counta(NPCFaction)-1)*(TRUNC(MOD(($B591*1103515245 +12345)/ 65536, 3276"&amp;"8),0)/32768),0)),QUERY(NPCVar!C:D,""Select D WHERE C = '""&amp;D591&amp;""'"")))"),"Necromancer")</f>
        <v>Necromancer</v>
      </c>
      <c r="AE591" s="108" t="e">
        <f t="shared" ca="1" si="42"/>
        <v>#NAME?</v>
      </c>
      <c r="AF591" s="159">
        <f ca="1">IFERROR(__xludf.DUMMYFUNCTION("AE591*(V591 / QUERY(NPCVar!$K$2:$N$12, ""Select N WHERE K='""&amp;AB591&amp;""'""))*TRUNC(1+10)*(TRUNC(MOD(($B591*1103515245 +12345)/ 65536, 32768),0)/32768)"),0)</f>
        <v>0</v>
      </c>
      <c r="AG591" s="16"/>
      <c r="AH591" s="77"/>
      <c r="AI591" s="114"/>
    </row>
    <row r="592" spans="1:35" ht="16.2">
      <c r="A592" s="53">
        <v>591</v>
      </c>
      <c r="B592" s="118">
        <f t="shared" si="46"/>
        <v>2.02583</v>
      </c>
      <c r="C592" s="72" t="str">
        <f t="array" ref="C592">INDEX(NPCFName,TRUNC(1+(COUNTA(NPCFName))*(TRUNC(MOD(($B592*1103515245 +12345)/ 65536, 32768),0)/32768),0))</f>
        <v>Bristan</v>
      </c>
      <c r="D592" s="16" t="str">
        <f t="array" ref="D592">INDEX(NPCLName,TRUNC(1+(COUNTA(NPCLName))*(TRUNC(MOD(($B592*1103515245 +12345)/ 65536, 32768),0)/32768),0))</f>
        <v>Crystalgazer</v>
      </c>
      <c r="E592" s="16" t="str">
        <f t="array" ref="E592">INDEX(NPCClass,TRUNC(1+(COUNTA(NPCClass))*(TRUNC(MOD(($B592*1103515245 +12345)/ 65536, 32768),0)/32768),0))</f>
        <v>Barbarian</v>
      </c>
      <c r="F592" s="76">
        <v>1</v>
      </c>
      <c r="G592" s="153">
        <f ca="1">VLOOKUP($AB$2,'RF Mod'!$A$2:$G$12,2,FALSE)+VLOOKUP($AD$2,'RF Mod'!$I$2:$O$11,2,FALSE)+(TRUNC(6+(24-6)*(TRUNC(MOD(($Z592*1103515245 +12345)/ 65536, 32768),0)/32768),0))</f>
        <v>4</v>
      </c>
      <c r="H592" s="16">
        <f t="shared" ca="1" si="33"/>
        <v>-3</v>
      </c>
      <c r="I592" s="153">
        <f ca="1">VLOOKUP($AB$2,'RF Mod'!$A$2:$G$12,3,FALSE)+VLOOKUP($AD$2,'RF Mod'!$I$2:$O$11,3,FALSE)+(TRUNC(6+(24-6)*(TRUNC(MOD(($Z592*1103515245 +12345)/ 65536, 32768),0)/32768),0))</f>
        <v>8</v>
      </c>
      <c r="J592" s="16">
        <f t="shared" ca="1" si="34"/>
        <v>-1</v>
      </c>
      <c r="K592" s="153">
        <f ca="1">VLOOKUP($AB$2,'RF Mod'!$A$2:$G$12,3,FALSE)+VLOOKUP($AD$2,'RF Mod'!$I$2:$O$11,3,FALSE)+(TRUNC(6+(24-6)*(TRUNC(MOD(($Z592*1103515245 +12345)/ 65536, 32768),0)/32768),0))</f>
        <v>8</v>
      </c>
      <c r="L592" s="16">
        <f t="shared" ca="1" si="35"/>
        <v>-1</v>
      </c>
      <c r="M592" s="153">
        <f ca="1">VLOOKUP($AB$2,'RF Mod'!$A$2:$G$12,4,FALSE)+VLOOKUP($AD$2,'RF Mod'!$I$2:$O$11,4,FALSE)+(TRUNC(6+(24-6)*(TRUNC(MOD(($Z592*1103515245 +12345)/ 65536, 32768),0)/32768),0))</f>
        <v>7</v>
      </c>
      <c r="N592" s="16">
        <f t="shared" ca="1" si="36"/>
        <v>-2</v>
      </c>
      <c r="O592" s="153">
        <f ca="1">VLOOKUP($AB$2,'RF Mod'!$A$2:$G$12,5,FALSE)+VLOOKUP($AD$2,'RF Mod'!$I$2:$O$11,5,FALSE)+(TRUNC(6+(24-6)*(TRUNC(MOD(($Z592*1103515245 +12345)/ 65536, 32768),0)/32768),0))</f>
        <v>10</v>
      </c>
      <c r="P592" s="16" t="e">
        <f t="shared" ca="1" si="37"/>
        <v>#NAME?</v>
      </c>
      <c r="Q592" s="153">
        <f ca="1">VLOOKUP($AB$2,'RF Mod'!$A$2:$G$12,6,FALSE)+VLOOKUP($AD$2,'RF Mod'!$I$2:$O$11,6,FALSE)+(TRUNC(6+(24-6)*(TRUNC(MOD(($Z592*1103515245 +12345)/ 65536, 32768),0)/32768),0))</f>
        <v>8</v>
      </c>
      <c r="R592" s="16">
        <f t="shared" ca="1" si="38"/>
        <v>-1</v>
      </c>
      <c r="S592" s="154">
        <f t="shared" ca="1" si="43"/>
        <v>10</v>
      </c>
      <c r="T592" s="154">
        <f t="shared" ca="1" si="39"/>
        <v>6</v>
      </c>
      <c r="U592" s="16" t="str">
        <f t="shared" ca="1" si="40"/>
        <v>Bloody</v>
      </c>
      <c r="V592" s="155">
        <f ca="1">IFERROR(__xludf.DUMMYFUNCTION("if(W592=""Middle Age"",QUERY(NPCVar!$K$2:$N1000, ""Select L where K = '""&amp;AB592&amp;""'""),if(W592=""Old"",QUERY(NPCVar!$K$2:$N1000, ""Select M where K = '""&amp;AB592&amp;""'""),if(W592=""Venerable"",QUERY(NPCVar!$K$2:$N1000, ""Select N where K = '""&amp;AB592&amp;""'""),fa"&amp;"lse)))*X592"),2)</f>
        <v>2</v>
      </c>
      <c r="W592" s="156" t="str">
        <f t="array" ref="W592">INDEX(NPCAgeType,TRUNC(1+(4-1)*(TRUNC(MOD((X592*1103515245 +12345)/ 65536, 32768),0)/32768),0))</f>
        <v>Middle Age</v>
      </c>
      <c r="X592" s="117">
        <f t="shared" si="45"/>
        <v>0.1</v>
      </c>
      <c r="Y592" s="157" t="e">
        <f t="array" aca="1" ref="Y592" ca="1">LOOKUP(ABS(MAX(Z592 + MIN(ABS(INDIRECT("Class Jobs!B"&amp;MATCH(E592,'Class Jobs'!$A$1:$A1000,0)&amp;":"&amp;"AF"&amp;MATCH(E592,'Class Jobs'!$A$1:$A1000,0)&amp;"")-$Z592)) * SUM(IF(MIN(ABS(INDIRECT("Class Jobs!B"&amp;MATCH(E592,'Class Jobs'!$A$1:$A1000,0)&amp;":"&amp;"AF"&amp;MATCH(E592,'Class Jobs'!$A$1:$A1000,0)&amp;"")-$Z592))=ABS(INDIRECT("Class Jobs!B"&amp;MATCH(E592,'Class Jobs'!$A$1:$A1000,0)&amp;":"&amp;"AF"&amp;MATCH(E592,'Class Jobs'!$A$1:$A1000,0)&amp;"")-$Z592),SIGN(INDIRECT("Class Jobs!B"&amp;MATCH(E592,'Class Jobs'!$A$1:A1000,0)&amp;":"&amp;"AF"&amp;MATCH(E592,'Class Jobs'!$A$1:$A1000,0)&amp;"")-$Z592),0)),0)),INDIRECT("Class Jobs!B"&amp;MATCH(E592,'Class Jobs'!$A$1:$A1000,0)&amp;":"&amp;"AF"&amp;MATCH(E592,'Class Jobs'!$A$1:$A1000,1)&amp;""),'Class Jobs'!$B$1:$AF$1)</f>
        <v>#REF!</v>
      </c>
      <c r="Z592" s="158">
        <f t="shared" si="41"/>
        <v>0.05</v>
      </c>
      <c r="AA592" s="16" t="str">
        <f t="array" ref="AA592">INDEX(NPCGender,TRUNC(1+(COUNTA(NPCGender))*(TRUNC(MOD(($B592*1103515245 +12345)/ 65536, 32768),0)/32768),0))</f>
        <v>Male</v>
      </c>
      <c r="AB592" s="16" t="str">
        <f t="array" ref="AB592">INDEX(NPCRace,TRUNC(1+(COUNTA(NPCRace))*(TRUNC(MOD(($B592*1103515245 +12345)/ 65536, 32768),0)/32768),0))</f>
        <v>Dragonborn</v>
      </c>
      <c r="AC592" s="16" t="str">
        <f t="array" ref="AC592">INDEX(NPCAL,TRUNC(1+(COUNTA(NPCAL))*(TRUNC(MOD(($B592*1103515245 +12345)/ 65536, 32768),0)/32768),0))</f>
        <v>CN</v>
      </c>
      <c r="AD592" s="72" t="str">
        <f ca="1">IFERROR(__xludf.DUMMYFUNCTION("if(V592&lt;15,QUERY(NPCVar!C:D,""Select D WHERE C = '""&amp;D592&amp;""'""),if((TRUNC(1+10)*(TRUNC(MOD((ROW(H592)*1103515245 +12345)/ 65536, 32768),0)/32768)/10) &gt; 0.85,INDEX(NPCFaction,TRUNC(1+(counta(NPCFaction)-1)*(TRUNC(MOD(($B592*1103515245 +12345)/ 65536, 3276"&amp;"8),0)/32768),0)),QUERY(NPCVar!C:D,""Select D WHERE C = '""&amp;D592&amp;""'"")))"),"Death Guild")</f>
        <v>Death Guild</v>
      </c>
      <c r="AE592" s="108" t="e">
        <f t="shared" ca="1" si="42"/>
        <v>#NAME?</v>
      </c>
      <c r="AF592" s="159">
        <f ca="1">IFERROR(__xludf.DUMMYFUNCTION("AE592*(V592 / QUERY(NPCVar!$K$2:$N$12, ""Select N WHERE K='""&amp;AB592&amp;""'""))*TRUNC(1+10)*(TRUNC(MOD(($B592*1103515245 +12345)/ 65536, 32768),0)/32768)"),0.00450836181640625)</f>
        <v>4.5083618164062497E-3</v>
      </c>
      <c r="AG592" s="16"/>
      <c r="AH592" s="77"/>
      <c r="AI592" s="114"/>
    </row>
    <row r="593" spans="1:35" ht="16.2">
      <c r="A593" s="53">
        <v>592</v>
      </c>
      <c r="B593" s="118">
        <f t="shared" si="46"/>
        <v>1.01997</v>
      </c>
      <c r="C593" s="72" t="str">
        <f t="array" ref="C593">INDEX(NPCFName,TRUNC(1+(COUNTA(NPCFName))*(TRUNC(MOD(($B593*1103515245 +12345)/ 65536, 32768),0)/32768),0))</f>
        <v>Mesophan</v>
      </c>
      <c r="D593" s="16" t="str">
        <f t="array" ref="D593">INDEX(NPCLName,TRUNC(1+(COUNTA(NPCLName))*(TRUNC(MOD(($B593*1103515245 +12345)/ 65536, 32768),0)/32768),0))</f>
        <v>Staghammer</v>
      </c>
      <c r="E593" s="16" t="str">
        <f t="array" ref="E593">INDEX(NPCClass,TRUNC(1+(COUNTA(NPCClass))*(TRUNC(MOD(($B593*1103515245 +12345)/ 65536, 32768),0)/32768),0))</f>
        <v>Sorcerer</v>
      </c>
      <c r="F593" s="76">
        <v>8</v>
      </c>
      <c r="G593" s="153">
        <f ca="1">VLOOKUP($AB$2,'RF Mod'!$A$2:$G$12,2,FALSE)+VLOOKUP($AD$2,'RF Mod'!$I$2:$O$11,2,FALSE)+(TRUNC(6+(24-6)*(TRUNC(MOD(($Z593*1103515245 +12345)/ 65536, 32768),0)/32768),0))</f>
        <v>8</v>
      </c>
      <c r="H593" s="16">
        <f t="shared" ca="1" si="33"/>
        <v>-1</v>
      </c>
      <c r="I593" s="153">
        <f ca="1">VLOOKUP($AB$2,'RF Mod'!$A$2:$G$12,3,FALSE)+VLOOKUP($AD$2,'RF Mod'!$I$2:$O$11,3,FALSE)+(TRUNC(6+(24-6)*(TRUNC(MOD(($Z593*1103515245 +12345)/ 65536, 32768),0)/32768),0))</f>
        <v>12</v>
      </c>
      <c r="J593" s="16" t="e">
        <f t="shared" ca="1" si="34"/>
        <v>#NAME?</v>
      </c>
      <c r="K593" s="153">
        <f ca="1">VLOOKUP($AB$2,'RF Mod'!$A$2:$G$12,3,FALSE)+VLOOKUP($AD$2,'RF Mod'!$I$2:$O$11,3,FALSE)+(TRUNC(6+(24-6)*(TRUNC(MOD(($Z593*1103515245 +12345)/ 65536, 32768),0)/32768),0))</f>
        <v>12</v>
      </c>
      <c r="L593" s="16" t="e">
        <f t="shared" ca="1" si="35"/>
        <v>#NAME?</v>
      </c>
      <c r="M593" s="153">
        <f ca="1">VLOOKUP($AB$2,'RF Mod'!$A$2:$G$12,4,FALSE)+VLOOKUP($AD$2,'RF Mod'!$I$2:$O$11,4,FALSE)+(TRUNC(6+(24-6)*(TRUNC(MOD(($Z593*1103515245 +12345)/ 65536, 32768),0)/32768),0))</f>
        <v>11</v>
      </c>
      <c r="N593" s="16" t="e">
        <f t="shared" ca="1" si="36"/>
        <v>#NAME?</v>
      </c>
      <c r="O593" s="153">
        <f ca="1">VLOOKUP($AB$2,'RF Mod'!$A$2:$G$12,5,FALSE)+VLOOKUP($AD$2,'RF Mod'!$I$2:$O$11,5,FALSE)+(TRUNC(6+(24-6)*(TRUNC(MOD(($Z593*1103515245 +12345)/ 65536, 32768),0)/32768),0))</f>
        <v>14</v>
      </c>
      <c r="P593" s="16" t="e">
        <f t="shared" ca="1" si="37"/>
        <v>#NAME?</v>
      </c>
      <c r="Q593" s="153">
        <f ca="1">VLOOKUP($AB$2,'RF Mod'!$A$2:$G$12,6,FALSE)+VLOOKUP($AD$2,'RF Mod'!$I$2:$O$11,6,FALSE)+(TRUNC(6+(24-6)*(TRUNC(MOD(($Z593*1103515245 +12345)/ 65536, 32768),0)/32768),0))</f>
        <v>12</v>
      </c>
      <c r="R593" s="16" t="e">
        <f t="shared" ca="1" si="38"/>
        <v>#NAME?</v>
      </c>
      <c r="S593" s="154">
        <f t="shared" ca="1" si="43"/>
        <v>128</v>
      </c>
      <c r="T593" s="154">
        <f t="shared" ca="1" si="39"/>
        <v>63</v>
      </c>
      <c r="U593" s="16" t="str">
        <f t="shared" ca="1" si="40"/>
        <v>Fine</v>
      </c>
      <c r="V593" s="155">
        <f ca="1">IFERROR(__xludf.DUMMYFUNCTION("if(W593=""Middle Age"",QUERY(NPCVar!$K$2:$N1000, ""Select L where K = '""&amp;AB593&amp;""'""),if(W593=""Old"",QUERY(NPCVar!$K$2:$N1000, ""Select M where K = '""&amp;AB593&amp;""'""),if(W593=""Venerable"",QUERY(NPCVar!$K$2:$N1000, ""Select N where K = '""&amp;AB593&amp;""'""),fa"&amp;"lse)))*X593"),91)</f>
        <v>91</v>
      </c>
      <c r="W593" s="156" t="str">
        <f t="array" ref="W593">INDEX(NPCAgeType,TRUNC(1+(4-1)*(TRUNC(MOD((X593*1103515245 +12345)/ 65536, 32768),0)/32768),0))</f>
        <v>Venerable</v>
      </c>
      <c r="X593" s="117">
        <f t="shared" si="45"/>
        <v>1.3</v>
      </c>
      <c r="Y593" s="157" t="e">
        <f t="array" aca="1" ref="Y593" ca="1">LOOKUP(ABS(MAX(Z593 + MIN(ABS(INDIRECT("Class Jobs!B"&amp;MATCH(E593,'Class Jobs'!$A$1:$A1000,0)&amp;":"&amp;"AF"&amp;MATCH(E593,'Class Jobs'!$A$1:$A1000,0)&amp;"")-$Z593)) * SUM(IF(MIN(ABS(INDIRECT("Class Jobs!B"&amp;MATCH(E593,'Class Jobs'!$A$1:$A1000,0)&amp;":"&amp;"AF"&amp;MATCH(E593,'Class Jobs'!$A$1:$A1000,0)&amp;"")-$Z593))=ABS(INDIRECT("Class Jobs!B"&amp;MATCH(E593,'Class Jobs'!$A$1:$A1000,0)&amp;":"&amp;"AF"&amp;MATCH(E593,'Class Jobs'!$A$1:$A1000,0)&amp;"")-$Z593),SIGN(INDIRECT("Class Jobs!B"&amp;MATCH(E593,'Class Jobs'!$A$1:A1000,0)&amp;":"&amp;"AF"&amp;MATCH(E593,'Class Jobs'!$A$1:$A1000,0)&amp;"")-$Z593),0)),0)),INDIRECT("Class Jobs!B"&amp;MATCH(E593,'Class Jobs'!$A$1:$A1000,0)&amp;":"&amp;"AF"&amp;MATCH(E593,'Class Jobs'!$A$1:$A1000,1)&amp;""),'Class Jobs'!$B$1:$AF$1)</f>
        <v>#REF!</v>
      </c>
      <c r="Z593" s="158">
        <f t="shared" si="41"/>
        <v>0.52</v>
      </c>
      <c r="AA593" s="16" t="str">
        <f t="array" ref="AA593">INDEX(NPCGender,TRUNC(1+(COUNTA(NPCGender))*(TRUNC(MOD(($B593*1103515245 +12345)/ 65536, 32768),0)/32768),0))</f>
        <v>Female</v>
      </c>
      <c r="AB593" s="16" t="str">
        <f t="array" ref="AB593">INDEX(NPCRace,TRUNC(1+(COUNTA(NPCRace))*(TRUNC(MOD(($B593*1103515245 +12345)/ 65536, 32768),0)/32768),0))</f>
        <v>Half-Orc</v>
      </c>
      <c r="AC593" s="16" t="str">
        <f t="array" ref="AC593">INDEX(NPCAL,TRUNC(1+(COUNTA(NPCAL))*(TRUNC(MOD(($B593*1103515245 +12345)/ 65536, 32768),0)/32768),0))</f>
        <v>NN</v>
      </c>
      <c r="AD593" s="72" t="str">
        <f ca="1">IFERROR(__xludf.DUMMYFUNCTION("if(V593&lt;15,QUERY(NPCVar!C:D,""Select D WHERE C = '""&amp;D593&amp;""'""),if((TRUNC(1+10)*(TRUNC(MOD((ROW(H593)*1103515245 +12345)/ 65536, 32768),0)/32768)/10) &gt; 0.85,INDEX(NPCFaction,TRUNC(1+(counta(NPCFaction)-1)*(TRUNC(MOD(($B593*1103515245 +12345)/ 65536, 3276"&amp;"8),0)/32768),0)),QUERY(NPCVar!C:D,""Select D WHERE C = '""&amp;D593&amp;""'"")))"),"Farmers Guild")</f>
        <v>Farmers Guild</v>
      </c>
      <c r="AE593" s="108" t="e">
        <f t="shared" ca="1" si="42"/>
        <v>#NAME?</v>
      </c>
      <c r="AF593" s="159">
        <f ca="1">IFERROR(__xludf.DUMMYFUNCTION("AE593*(V593 / QUERY(NPCVar!$K$2:$N$12, ""Select N WHERE K='""&amp;AB593&amp;""'""))*TRUNC(1+10)*(TRUNC(MOD(($B593*1103515245 +12345)/ 65536, 32768),0)/32768)"),2.24842712402343)</f>
        <v>2.2484271240234301</v>
      </c>
      <c r="AG593" s="16"/>
      <c r="AH593" s="77"/>
      <c r="AI593" s="114"/>
    </row>
    <row r="594" spans="1:35" ht="16.2">
      <c r="A594" s="53">
        <v>593</v>
      </c>
      <c r="B594" s="118">
        <f t="shared" si="46"/>
        <v>1.4120000000000001E-2</v>
      </c>
      <c r="C594" s="72" t="str">
        <f t="array" ref="C594">INDEX(NPCFName,TRUNC(1+(COUNTA(NPCFName))*(TRUNC(MOD(($B594*1103515245 +12345)/ 65536, 32768),0)/32768),0))</f>
        <v>Ahburn</v>
      </c>
      <c r="D594" s="16" t="str">
        <f t="array" ref="D594">INDEX(NPCLName,TRUNC(1+(COUNTA(NPCLName))*(TRUNC(MOD(($B594*1103515245 +12345)/ 65536, 32768),0)/32768),0))</f>
        <v>Stagfang</v>
      </c>
      <c r="E594" s="16" t="str">
        <f t="array" ref="E594">INDEX(NPCClass,TRUNC(1+(COUNTA(NPCClass))*(TRUNC(MOD(($B594*1103515245 +12345)/ 65536, 32768),0)/32768),0))</f>
        <v>Barbarian</v>
      </c>
      <c r="F594" s="76">
        <v>1</v>
      </c>
      <c r="G594" s="153">
        <f ca="1">VLOOKUP($AB$2,'RF Mod'!$A$2:$G$12,2,FALSE)+VLOOKUP($AD$2,'RF Mod'!$I$2:$O$11,2,FALSE)+(TRUNC(6+(24-6)*(TRUNC(MOD(($Z594*1103515245 +12345)/ 65536, 32768),0)/32768),0))</f>
        <v>4</v>
      </c>
      <c r="H594" s="16">
        <f t="shared" ca="1" si="33"/>
        <v>-3</v>
      </c>
      <c r="I594" s="153">
        <f ca="1">VLOOKUP($AB$2,'RF Mod'!$A$2:$G$12,3,FALSE)+VLOOKUP($AD$2,'RF Mod'!$I$2:$O$11,3,FALSE)+(TRUNC(6+(24-6)*(TRUNC(MOD(($Z594*1103515245 +12345)/ 65536, 32768),0)/32768),0))</f>
        <v>8</v>
      </c>
      <c r="J594" s="16">
        <f t="shared" ca="1" si="34"/>
        <v>-1</v>
      </c>
      <c r="K594" s="153">
        <f ca="1">VLOOKUP($AB$2,'RF Mod'!$A$2:$G$12,3,FALSE)+VLOOKUP($AD$2,'RF Mod'!$I$2:$O$11,3,FALSE)+(TRUNC(6+(24-6)*(TRUNC(MOD(($Z594*1103515245 +12345)/ 65536, 32768),0)/32768),0))</f>
        <v>8</v>
      </c>
      <c r="L594" s="16">
        <f t="shared" ca="1" si="35"/>
        <v>-1</v>
      </c>
      <c r="M594" s="153">
        <f ca="1">VLOOKUP($AB$2,'RF Mod'!$A$2:$G$12,4,FALSE)+VLOOKUP($AD$2,'RF Mod'!$I$2:$O$11,4,FALSE)+(TRUNC(6+(24-6)*(TRUNC(MOD(($Z594*1103515245 +12345)/ 65536, 32768),0)/32768),0))</f>
        <v>7</v>
      </c>
      <c r="N594" s="16">
        <f t="shared" ca="1" si="36"/>
        <v>-2</v>
      </c>
      <c r="O594" s="153">
        <f ca="1">VLOOKUP($AB$2,'RF Mod'!$A$2:$G$12,5,FALSE)+VLOOKUP($AD$2,'RF Mod'!$I$2:$O$11,5,FALSE)+(TRUNC(6+(24-6)*(TRUNC(MOD(($Z594*1103515245 +12345)/ 65536, 32768),0)/32768),0))</f>
        <v>10</v>
      </c>
      <c r="P594" s="16" t="e">
        <f t="shared" ca="1" si="37"/>
        <v>#NAME?</v>
      </c>
      <c r="Q594" s="153">
        <f ca="1">VLOOKUP($AB$2,'RF Mod'!$A$2:$G$12,6,FALSE)+VLOOKUP($AD$2,'RF Mod'!$I$2:$O$11,6,FALSE)+(TRUNC(6+(24-6)*(TRUNC(MOD(($Z594*1103515245 +12345)/ 65536, 32768),0)/32768),0))</f>
        <v>8</v>
      </c>
      <c r="R594" s="16">
        <f t="shared" ca="1" si="38"/>
        <v>-1</v>
      </c>
      <c r="S594" s="154">
        <f t="shared" ca="1" si="43"/>
        <v>10</v>
      </c>
      <c r="T594" s="154">
        <f t="shared" ca="1" si="39"/>
        <v>11</v>
      </c>
      <c r="U594" s="16" t="str">
        <f t="shared" ca="1" si="40"/>
        <v>Dead</v>
      </c>
      <c r="V594" s="155">
        <f ca="1">IFERROR(__xludf.DUMMYFUNCTION("if(W594=""Middle Age"",QUERY(NPCVar!$K$2:$N1000, ""Select L where K = '""&amp;AB594&amp;""'""),if(W594=""Old"",QUERY(NPCVar!$K$2:$N1000, ""Select M where K = '""&amp;AB594&amp;""'""),if(W594=""Venerable"",QUERY(NPCVar!$K$2:$N1000, ""Select N where K = '""&amp;AB594&amp;""'""),fa"&amp;"lse)))*X594"),2)</f>
        <v>2</v>
      </c>
      <c r="W594" s="156" t="str">
        <f t="array" ref="W594">INDEX(NPCAgeType,TRUNC(1+(4-1)*(TRUNC(MOD((X594*1103515245 +12345)/ 65536, 32768),0)/32768),0))</f>
        <v>Middle Age</v>
      </c>
      <c r="X594" s="117">
        <f t="shared" si="45"/>
        <v>0.1</v>
      </c>
      <c r="Y594" s="157" t="e">
        <f t="array" aca="1" ref="Y594" ca="1">LOOKUP(ABS(MAX(Z594 + MIN(ABS(INDIRECT("Class Jobs!B"&amp;MATCH(E594,'Class Jobs'!$A$1:$A1000,0)&amp;":"&amp;"AF"&amp;MATCH(E594,'Class Jobs'!$A$1:$A1000,0)&amp;"")-$Z594)) * SUM(IF(MIN(ABS(INDIRECT("Class Jobs!B"&amp;MATCH(E594,'Class Jobs'!$A$1:$A1000,0)&amp;":"&amp;"AF"&amp;MATCH(E594,'Class Jobs'!$A$1:$A1000,0)&amp;"")-$Z594))=ABS(INDIRECT("Class Jobs!B"&amp;MATCH(E594,'Class Jobs'!$A$1:$A1000,0)&amp;":"&amp;"AF"&amp;MATCH(E594,'Class Jobs'!$A$1:$A1000,0)&amp;"")-$Z594),SIGN(INDIRECT("Class Jobs!B"&amp;MATCH(E594,'Class Jobs'!$A$1:A1000,0)&amp;":"&amp;"AF"&amp;MATCH(E594,'Class Jobs'!$A$1:$A1000,0)&amp;"")-$Z594),0)),0)),INDIRECT("Class Jobs!B"&amp;MATCH(E594,'Class Jobs'!$A$1:$A1000,0)&amp;":"&amp;"AF"&amp;MATCH(E594,'Class Jobs'!$A$1:$A1000,1)&amp;""),'Class Jobs'!$B$1:$AF$1)</f>
        <v>#REF!</v>
      </c>
      <c r="Z594" s="158">
        <f t="shared" si="41"/>
        <v>0.01</v>
      </c>
      <c r="AA594" s="16" t="str">
        <f t="array" ref="AA594">INDEX(NPCGender,TRUNC(1+(COUNTA(NPCGender))*(TRUNC(MOD(($B594*1103515245 +12345)/ 65536, 32768),0)/32768),0))</f>
        <v>Male</v>
      </c>
      <c r="AB594" s="16" t="str">
        <f t="array" ref="AB594">INDEX(NPCRace,TRUNC(1+(COUNTA(NPCRace))*(TRUNC(MOD(($B594*1103515245 +12345)/ 65536, 32768),0)/32768),0))</f>
        <v>Dragonborn</v>
      </c>
      <c r="AC594" s="16" t="str">
        <f t="array" ref="AC594">INDEX(NPCAL,TRUNC(1+(COUNTA(NPCAL))*(TRUNC(MOD(($B594*1103515245 +12345)/ 65536, 32768),0)/32768),0))</f>
        <v>CN</v>
      </c>
      <c r="AD594" s="72" t="str">
        <f ca="1">IFERROR(__xludf.DUMMYFUNCTION("if(V594&lt;15,QUERY(NPCVar!C:D,""Select D WHERE C = '""&amp;D594&amp;""'""),if((TRUNC(1+10)*(TRUNC(MOD((ROW(H594)*1103515245 +12345)/ 65536, 32768),0)/32768)/10) &gt; 0.85,INDEX(NPCFaction,TRUNC(1+(counta(NPCFaction)-1)*(TRUNC(MOD(($B594*1103515245 +12345)/ 65536, 3276"&amp;"8),0)/32768),0)),QUERY(NPCVar!C:D,""Select D WHERE C = '""&amp;D594&amp;""'"")))"),"Royalty")</f>
        <v>Royalty</v>
      </c>
      <c r="AE594" s="108" t="e">
        <f t="shared" ca="1" si="42"/>
        <v>#NAME?</v>
      </c>
      <c r="AF594" s="159">
        <f ca="1">IFERROR(__xludf.DUMMYFUNCTION("AE594*(V594 / QUERY(NPCVar!$K$2:$N$12, ""Select N WHERE K='""&amp;AB594&amp;""'""))*TRUNC(1+10)*(TRUNC(MOD(($B594*1103515245 +12345)/ 65536, 32768),0)/32768)"),0.00079559326171875)</f>
        <v>7.9559326171875001E-4</v>
      </c>
      <c r="AG594" s="16"/>
      <c r="AH594" s="77"/>
      <c r="AI594" s="114"/>
    </row>
    <row r="595" spans="1:35" ht="16.2">
      <c r="A595" s="53">
        <v>594</v>
      </c>
      <c r="B595" s="118">
        <f t="shared" si="46"/>
        <v>1.5081800000000001</v>
      </c>
      <c r="C595" s="72" t="str">
        <f t="array" ref="C595">INDEX(NPCFName,TRUNC(1+(COUNTA(NPCFName))*(TRUNC(MOD(($B595*1103515245 +12345)/ 65536, 32768),0)/32768),0))</f>
        <v>Fildon</v>
      </c>
      <c r="D595" s="16" t="str">
        <f t="array" ref="D595">INDEX(NPCLName,TRUNC(1+(COUNTA(NPCLName))*(TRUNC(MOD(($B595*1103515245 +12345)/ 65536, 32768),0)/32768),0))</f>
        <v>Truthdoom</v>
      </c>
      <c r="E595" s="16" t="str">
        <f t="array" ref="E595">INDEX(NPCClass,TRUNC(1+(COUNTA(NPCClass))*(TRUNC(MOD(($B595*1103515245 +12345)/ 65536, 32768),0)/32768),0))</f>
        <v>Cleric</v>
      </c>
      <c r="F595" s="76">
        <v>8</v>
      </c>
      <c r="G595" s="153">
        <f ca="1">VLOOKUP($AB$2,'RF Mod'!$A$2:$G$12,2,FALSE)+VLOOKUP($AD$2,'RF Mod'!$I$2:$O$11,2,FALSE)+(TRUNC(6+(24-6)*(TRUNC(MOD(($Z595*1103515245 +12345)/ 65536, 32768),0)/32768),0))</f>
        <v>11</v>
      </c>
      <c r="H595" s="16" t="e">
        <f t="shared" ca="1" si="33"/>
        <v>#NAME?</v>
      </c>
      <c r="I595" s="153">
        <f ca="1">VLOOKUP($AB$2,'RF Mod'!$A$2:$G$12,3,FALSE)+VLOOKUP($AD$2,'RF Mod'!$I$2:$O$11,3,FALSE)+(TRUNC(6+(24-6)*(TRUNC(MOD(($Z595*1103515245 +12345)/ 65536, 32768),0)/32768),0))</f>
        <v>15</v>
      </c>
      <c r="J595" s="16" t="e">
        <f t="shared" ca="1" si="34"/>
        <v>#NAME?</v>
      </c>
      <c r="K595" s="153">
        <f ca="1">VLOOKUP($AB$2,'RF Mod'!$A$2:$G$12,3,FALSE)+VLOOKUP($AD$2,'RF Mod'!$I$2:$O$11,3,FALSE)+(TRUNC(6+(24-6)*(TRUNC(MOD(($Z595*1103515245 +12345)/ 65536, 32768),0)/32768),0))</f>
        <v>15</v>
      </c>
      <c r="L595" s="16" t="e">
        <f t="shared" ca="1" si="35"/>
        <v>#NAME?</v>
      </c>
      <c r="M595" s="153">
        <f ca="1">VLOOKUP($AB$2,'RF Mod'!$A$2:$G$12,4,FALSE)+VLOOKUP($AD$2,'RF Mod'!$I$2:$O$11,4,FALSE)+(TRUNC(6+(24-6)*(TRUNC(MOD(($Z595*1103515245 +12345)/ 65536, 32768),0)/32768),0))</f>
        <v>14</v>
      </c>
      <c r="N595" s="16" t="e">
        <f t="shared" ca="1" si="36"/>
        <v>#NAME?</v>
      </c>
      <c r="O595" s="153">
        <f ca="1">VLOOKUP($AB$2,'RF Mod'!$A$2:$G$12,5,FALSE)+VLOOKUP($AD$2,'RF Mod'!$I$2:$O$11,5,FALSE)+(TRUNC(6+(24-6)*(TRUNC(MOD(($Z595*1103515245 +12345)/ 65536, 32768),0)/32768),0))</f>
        <v>17</v>
      </c>
      <c r="P595" s="16" t="e">
        <f t="shared" ca="1" si="37"/>
        <v>#NAME?</v>
      </c>
      <c r="Q595" s="153">
        <f ca="1">VLOOKUP($AB$2,'RF Mod'!$A$2:$G$12,6,FALSE)+VLOOKUP($AD$2,'RF Mod'!$I$2:$O$11,6,FALSE)+(TRUNC(6+(24-6)*(TRUNC(MOD(($Z595*1103515245 +12345)/ 65536, 32768),0)/32768),0))</f>
        <v>15</v>
      </c>
      <c r="R595" s="16" t="e">
        <f t="shared" ca="1" si="38"/>
        <v>#NAME?</v>
      </c>
      <c r="S595" s="154">
        <f t="shared" ca="1" si="43"/>
        <v>168</v>
      </c>
      <c r="T595" s="154">
        <f t="shared" ca="1" si="39"/>
        <v>6</v>
      </c>
      <c r="U595" s="16" t="str">
        <f t="shared" ca="1" si="40"/>
        <v>Fine</v>
      </c>
      <c r="V595" s="155">
        <f ca="1">IFERROR(__xludf.DUMMYFUNCTION("if(W595=""Middle Age"",QUERY(NPCVar!$K$2:$N1000, ""Select L where K = '""&amp;AB595&amp;""'""),if(W595=""Old"",QUERY(NPCVar!$K$2:$N1000, ""Select M where K = '""&amp;AB595&amp;""'""),if(W595=""Venerable"",QUERY(NPCVar!$K$2:$N1000, ""Select N where K = '""&amp;AB595&amp;""'""),fa"&amp;"lse)))*X595"),190)</f>
        <v>190</v>
      </c>
      <c r="W595" s="156" t="str">
        <f t="array" ref="W595">INDEX(NPCAgeType,TRUNC(1+(4-1)*(TRUNC(MOD((X595*1103515245 +12345)/ 65536, 32768),0)/32768),0))</f>
        <v>Venerable</v>
      </c>
      <c r="X595" s="117">
        <f t="shared" si="45"/>
        <v>1.9</v>
      </c>
      <c r="Y595" s="157" t="e">
        <f t="array" aca="1" ref="Y595" ca="1">LOOKUP(ABS(MAX(Z595 + MIN(ABS(INDIRECT("Class Jobs!B"&amp;MATCH(E595,'Class Jobs'!$A$1:$A1000,0)&amp;":"&amp;"AF"&amp;MATCH(E595,'Class Jobs'!$A$1:$A1000,0)&amp;"")-$Z595)) * SUM(IF(MIN(ABS(INDIRECT("Class Jobs!B"&amp;MATCH(E595,'Class Jobs'!$A$1:$A1000,0)&amp;":"&amp;"AF"&amp;MATCH(E595,'Class Jobs'!$A$1:$A1000,0)&amp;"")-$Z595))=ABS(INDIRECT("Class Jobs!B"&amp;MATCH(E595,'Class Jobs'!$A$1:$A1000,0)&amp;":"&amp;"AF"&amp;MATCH(E595,'Class Jobs'!$A$1:$A1000,0)&amp;"")-$Z595),SIGN(INDIRECT("Class Jobs!B"&amp;MATCH(E595,'Class Jobs'!$A$1:A1000,0)&amp;":"&amp;"AF"&amp;MATCH(E595,'Class Jobs'!$A$1:$A1000,0)&amp;"")-$Z595),0)),0)),INDIRECT("Class Jobs!B"&amp;MATCH(E595,'Class Jobs'!$A$1:$A1000,0)&amp;":"&amp;"AF"&amp;MATCH(E595,'Class Jobs'!$A$1:$A1000,1)&amp;""),'Class Jobs'!$B$1:$AF$1)</f>
        <v>#REF!</v>
      </c>
      <c r="Z595" s="158">
        <f t="shared" si="41"/>
        <v>0.77</v>
      </c>
      <c r="AA595" s="16" t="str">
        <f t="array" ref="AA595">INDEX(NPCGender,TRUNC(1+(COUNTA(NPCGender))*(TRUNC(MOD(($B595*1103515245 +12345)/ 65536, 32768),0)/32768),0))</f>
        <v>Neutral</v>
      </c>
      <c r="AB595" s="16" t="str">
        <f t="array" ref="AB595">INDEX(NPCRace,TRUNC(1+(COUNTA(NPCRace))*(TRUNC(MOD(($B595*1103515245 +12345)/ 65536, 32768),0)/32768),0))</f>
        <v>Tiefling</v>
      </c>
      <c r="AC595" s="16" t="str">
        <f t="array" ref="AC595">INDEX(NPCAL,TRUNC(1+(COUNTA(NPCAL))*(TRUNC(MOD(($B595*1103515245 +12345)/ 65536, 32768),0)/32768),0))</f>
        <v>LG</v>
      </c>
      <c r="AD595" s="72" t="str">
        <f ca="1">IFERROR(__xludf.DUMMYFUNCTION("if(V595&lt;15,QUERY(NPCVar!C:D,""Select D WHERE C = '""&amp;D595&amp;""'""),if((TRUNC(1+10)*(TRUNC(MOD((ROW(H595)*1103515245 +12345)/ 65536, 32768),0)/32768)/10) &gt; 0.85,INDEX(NPCFaction,TRUNC(1+(counta(NPCFaction)-1)*(TRUNC(MOD(($B595*1103515245 +12345)/ 65536, 3276"&amp;"8),0)/32768),0)),QUERY(NPCVar!C:D,""Select D WHERE C = '""&amp;D595&amp;""'"")))"),"Traverlers Guild")</f>
        <v>Traverlers Guild</v>
      </c>
      <c r="AE595" s="108" t="e">
        <f t="shared" ca="1" si="42"/>
        <v>#NAME?</v>
      </c>
      <c r="AF595" s="159">
        <f ca="1">IFERROR(__xludf.DUMMYFUNCTION("AE595*(V595 / QUERY(NPCVar!$K$2:$N$12, ""Select N WHERE K='""&amp;AB595&amp;""'""))*TRUNC(1+10)*(TRUNC(MOD(($B595*1103515245 +12345)/ 65536, 32768),0)/32768)"),6.47894897460937)</f>
        <v>6.47894897460937</v>
      </c>
      <c r="AG595" s="16"/>
      <c r="AH595" s="77"/>
      <c r="AI595" s="114"/>
    </row>
    <row r="596" spans="1:35" ht="16.2">
      <c r="A596" s="53">
        <v>595</v>
      </c>
      <c r="B596" s="118">
        <f t="shared" si="46"/>
        <v>0.50231999999999999</v>
      </c>
      <c r="C596" s="72" t="str">
        <f t="array" ref="C596">INDEX(NPCFName,TRUNC(1+(COUNTA(NPCFName))*(TRUNC(MOD(($B596*1103515245 +12345)/ 65536, 32768),0)/32768),0))</f>
        <v>Scoth</v>
      </c>
      <c r="D596" s="16" t="str">
        <f t="array" ref="D596">INDEX(NPCLName,TRUNC(1+(COUNTA(NPCLName))*(TRUNC(MOD(($B596*1103515245 +12345)/ 65536, 32768),0)/32768),0))</f>
        <v>Tuskleaf</v>
      </c>
      <c r="E596" s="16" t="str">
        <f t="array" ref="E596">INDEX(NPCClass,TRUNC(1+(COUNTA(NPCClass))*(TRUNC(MOD(($B596*1103515245 +12345)/ 65536, 32768),0)/32768),0))</f>
        <v>Monk</v>
      </c>
      <c r="F596" s="76">
        <v>1</v>
      </c>
      <c r="G596" s="153">
        <f ca="1">VLOOKUP($AB$2,'RF Mod'!$A$2:$G$12,2,FALSE)+VLOOKUP($AD$2,'RF Mod'!$I$2:$O$11,2,FALSE)+(TRUNC(6+(24-6)*(TRUNC(MOD(($Z596*1103515245 +12345)/ 65536, 32768),0)/32768),0))</f>
        <v>6</v>
      </c>
      <c r="H596" s="16">
        <f t="shared" ca="1" si="33"/>
        <v>-2</v>
      </c>
      <c r="I596" s="153">
        <f ca="1">VLOOKUP($AB$2,'RF Mod'!$A$2:$G$12,3,FALSE)+VLOOKUP($AD$2,'RF Mod'!$I$2:$O$11,3,FALSE)+(TRUNC(6+(24-6)*(TRUNC(MOD(($Z596*1103515245 +12345)/ 65536, 32768),0)/32768),0))</f>
        <v>10</v>
      </c>
      <c r="J596" s="16" t="e">
        <f t="shared" ca="1" si="34"/>
        <v>#NAME?</v>
      </c>
      <c r="K596" s="153">
        <f ca="1">VLOOKUP($AB$2,'RF Mod'!$A$2:$G$12,3,FALSE)+VLOOKUP($AD$2,'RF Mod'!$I$2:$O$11,3,FALSE)+(TRUNC(6+(24-6)*(TRUNC(MOD(($Z596*1103515245 +12345)/ 65536, 32768),0)/32768),0))</f>
        <v>10</v>
      </c>
      <c r="L596" s="16" t="e">
        <f t="shared" ca="1" si="35"/>
        <v>#NAME?</v>
      </c>
      <c r="M596" s="153">
        <f ca="1">VLOOKUP($AB$2,'RF Mod'!$A$2:$G$12,4,FALSE)+VLOOKUP($AD$2,'RF Mod'!$I$2:$O$11,4,FALSE)+(TRUNC(6+(24-6)*(TRUNC(MOD(($Z596*1103515245 +12345)/ 65536, 32768),0)/32768),0))</f>
        <v>9</v>
      </c>
      <c r="N596" s="16">
        <f t="shared" ca="1" si="36"/>
        <v>-1</v>
      </c>
      <c r="O596" s="153">
        <f ca="1">VLOOKUP($AB$2,'RF Mod'!$A$2:$G$12,5,FALSE)+VLOOKUP($AD$2,'RF Mod'!$I$2:$O$11,5,FALSE)+(TRUNC(6+(24-6)*(TRUNC(MOD(($Z596*1103515245 +12345)/ 65536, 32768),0)/32768),0))</f>
        <v>12</v>
      </c>
      <c r="P596" s="16" t="e">
        <f t="shared" ca="1" si="37"/>
        <v>#NAME?</v>
      </c>
      <c r="Q596" s="153">
        <f ca="1">VLOOKUP($AB$2,'RF Mod'!$A$2:$G$12,6,FALSE)+VLOOKUP($AD$2,'RF Mod'!$I$2:$O$11,6,FALSE)+(TRUNC(6+(24-6)*(TRUNC(MOD(($Z596*1103515245 +12345)/ 65536, 32768),0)/32768),0))</f>
        <v>10</v>
      </c>
      <c r="R596" s="16" t="e">
        <f t="shared" ca="1" si="38"/>
        <v>#NAME?</v>
      </c>
      <c r="S596" s="154">
        <f t="shared" ca="1" si="43"/>
        <v>14</v>
      </c>
      <c r="T596" s="154">
        <f t="shared" ca="1" si="39"/>
        <v>1</v>
      </c>
      <c r="U596" s="16" t="str">
        <f t="shared" ca="1" si="40"/>
        <v>Fine</v>
      </c>
      <c r="V596" s="155">
        <f ca="1">IFERROR(__xludf.DUMMYFUNCTION("if(W596=""Middle Age"",QUERY(NPCVar!$K$2:$N1000, ""Select L where K = '""&amp;AB596&amp;""'""),if(W596=""Old"",QUERY(NPCVar!$K$2:$N1000, ""Select M where K = '""&amp;AB596&amp;""'""),if(W596=""Venerable"",QUERY(NPCVar!$K$2:$N1000, ""Select N where K = '""&amp;AB596&amp;""'""),fa"&amp;"lse)))*X596"),196.875)</f>
        <v>196.875</v>
      </c>
      <c r="W596" s="156" t="str">
        <f t="array" ref="W596">INDEX(NPCAgeType,TRUNC(1+(4-1)*(TRUNC(MOD((X596*1103515245 +12345)/ 65536, 32768),0)/32768),0))</f>
        <v>Old</v>
      </c>
      <c r="X596" s="117">
        <f t="shared" si="45"/>
        <v>0.7</v>
      </c>
      <c r="Y596" s="157" t="e">
        <f t="array" aca="1" ref="Y596" ca="1">LOOKUP(ABS(MAX(Z596 + MIN(ABS(INDIRECT("Class Jobs!B"&amp;MATCH(E596,'Class Jobs'!$A$1:$A1000,0)&amp;":"&amp;"AF"&amp;MATCH(E596,'Class Jobs'!$A$1:$A1000,0)&amp;"")-$Z596)) * SUM(IF(MIN(ABS(INDIRECT("Class Jobs!B"&amp;MATCH(E596,'Class Jobs'!$A$1:$A1000,0)&amp;":"&amp;"AF"&amp;MATCH(E596,'Class Jobs'!$A$1:$A1000,0)&amp;"")-$Z596))=ABS(INDIRECT("Class Jobs!B"&amp;MATCH(E596,'Class Jobs'!$A$1:$A1000,0)&amp;":"&amp;"AF"&amp;MATCH(E596,'Class Jobs'!$A$1:$A1000,0)&amp;"")-$Z596),SIGN(INDIRECT("Class Jobs!B"&amp;MATCH(E596,'Class Jobs'!$A$1:A1000,0)&amp;":"&amp;"AF"&amp;MATCH(E596,'Class Jobs'!$A$1:$A1000,0)&amp;"")-$Z596),0)),0)),INDIRECT("Class Jobs!B"&amp;MATCH(E596,'Class Jobs'!$A$1:$A1000,0)&amp;":"&amp;"AF"&amp;MATCH(E596,'Class Jobs'!$A$1:$A1000,1)&amp;""),'Class Jobs'!$B$1:$AF$1)</f>
        <v>#REF!</v>
      </c>
      <c r="Z596" s="158">
        <f t="shared" si="41"/>
        <v>0.26</v>
      </c>
      <c r="AA596" s="16" t="str">
        <f t="array" ref="AA596">INDEX(NPCGender,TRUNC(1+(COUNTA(NPCGender))*(TRUNC(MOD(($B596*1103515245 +12345)/ 65536, 32768),0)/32768),0))</f>
        <v>Male</v>
      </c>
      <c r="AB596" s="16" t="str">
        <f t="array" ref="AB596">INDEX(NPCRace,TRUNC(1+(COUNTA(NPCRace))*(TRUNC(MOD(($B596*1103515245 +12345)/ 65536, 32768),0)/32768),0))</f>
        <v>Elf</v>
      </c>
      <c r="AC596" s="16" t="str">
        <f t="array" ref="AC596">INDEX(NPCAL,TRUNC(1+(COUNTA(NPCAL))*(TRUNC(MOD(($B596*1103515245 +12345)/ 65536, 32768),0)/32768),0))</f>
        <v>CG</v>
      </c>
      <c r="AD596" s="72" t="str">
        <f ca="1">IFERROR(__xludf.DUMMYFUNCTION("if(V596&lt;15,QUERY(NPCVar!C:D,""Select D WHERE C = '""&amp;D596&amp;""'""),if((TRUNC(1+10)*(TRUNC(MOD((ROW(H596)*1103515245 +12345)/ 65536, 32768),0)/32768)/10) &gt; 0.85,INDEX(NPCFaction,TRUNC(1+(counta(NPCFaction)-1)*(TRUNC(MOD(($B596*1103515245 +12345)/ 65536, 3276"&amp;"8),0)/32768),0)),QUERY(NPCVar!C:D,""Select D WHERE C = '""&amp;D596&amp;""'"")))"),"Magic Guild")</f>
        <v>Magic Guild</v>
      </c>
      <c r="AE596" s="108" t="e">
        <f t="shared" ca="1" si="42"/>
        <v>#NAME?</v>
      </c>
      <c r="AF596" s="159">
        <f ca="1">IFERROR(__xludf.DUMMYFUNCTION("AE596*(V596 / QUERY(NPCVar!$K$2:$N$12, ""Select N WHERE K='""&amp;AB596&amp;""'""))*TRUNC(1+10)*(TRUNC(MOD(($B596*1103515245 +12345)/ 65536, 32768),0)/32768)"),0.372657394409179)</f>
        <v>0.372657394409179</v>
      </c>
      <c r="AG596" s="16"/>
      <c r="AH596" s="77"/>
      <c r="AI596" s="114"/>
    </row>
    <row r="597" spans="1:35" ht="16.2">
      <c r="A597" s="53">
        <v>596</v>
      </c>
      <c r="B597" s="118">
        <f t="shared" si="46"/>
        <v>1.9964599999999999</v>
      </c>
      <c r="C597" s="72" t="str">
        <f t="array" ref="C597">INDEX(NPCFName,TRUNC(1+(COUNTA(NPCFName))*(TRUNC(MOD(($B597*1103515245 +12345)/ 65536, 32768),0)/32768),0))</f>
        <v>Balati</v>
      </c>
      <c r="D597" s="16" t="str">
        <f t="array" ref="D597">INDEX(NPCLName,TRUNC(1+(COUNTA(NPCLName))*(TRUNC(MOD(($B597*1103515245 +12345)/ 65536, 32768),0)/32768),0))</f>
        <v>Stagfang</v>
      </c>
      <c r="E597" s="16" t="str">
        <f t="array" ref="E597">INDEX(NPCClass,TRUNC(1+(COUNTA(NPCClass))*(TRUNC(MOD(($B597*1103515245 +12345)/ 65536, 32768),0)/32768),0))</f>
        <v>Barbarian</v>
      </c>
      <c r="F597" s="76">
        <v>1</v>
      </c>
      <c r="G597" s="153">
        <f ca="1">VLOOKUP($AB$2,'RF Mod'!$A$2:$G$12,2,FALSE)+VLOOKUP($AD$2,'RF Mod'!$I$2:$O$11,2,FALSE)+(TRUNC(6+(24-6)*(TRUNC(MOD(($Z597*1103515245 +12345)/ 65536, 32768),0)/32768),0))</f>
        <v>4</v>
      </c>
      <c r="H597" s="16">
        <f t="shared" ca="1" si="33"/>
        <v>-3</v>
      </c>
      <c r="I597" s="153">
        <f ca="1">VLOOKUP($AB$2,'RF Mod'!$A$2:$G$12,3,FALSE)+VLOOKUP($AD$2,'RF Mod'!$I$2:$O$11,3,FALSE)+(TRUNC(6+(24-6)*(TRUNC(MOD(($Z597*1103515245 +12345)/ 65536, 32768),0)/32768),0))</f>
        <v>8</v>
      </c>
      <c r="J597" s="16">
        <f t="shared" ca="1" si="34"/>
        <v>-1</v>
      </c>
      <c r="K597" s="153">
        <f ca="1">VLOOKUP($AB$2,'RF Mod'!$A$2:$G$12,3,FALSE)+VLOOKUP($AD$2,'RF Mod'!$I$2:$O$11,3,FALSE)+(TRUNC(6+(24-6)*(TRUNC(MOD(($Z597*1103515245 +12345)/ 65536, 32768),0)/32768),0))</f>
        <v>8</v>
      </c>
      <c r="L597" s="16">
        <f t="shared" ca="1" si="35"/>
        <v>-1</v>
      </c>
      <c r="M597" s="153">
        <f ca="1">VLOOKUP($AB$2,'RF Mod'!$A$2:$G$12,4,FALSE)+VLOOKUP($AD$2,'RF Mod'!$I$2:$O$11,4,FALSE)+(TRUNC(6+(24-6)*(TRUNC(MOD(($Z597*1103515245 +12345)/ 65536, 32768),0)/32768),0))</f>
        <v>7</v>
      </c>
      <c r="N597" s="16">
        <f t="shared" ca="1" si="36"/>
        <v>-2</v>
      </c>
      <c r="O597" s="153">
        <f ca="1">VLOOKUP($AB$2,'RF Mod'!$A$2:$G$12,5,FALSE)+VLOOKUP($AD$2,'RF Mod'!$I$2:$O$11,5,FALSE)+(TRUNC(6+(24-6)*(TRUNC(MOD(($Z597*1103515245 +12345)/ 65536, 32768),0)/32768),0))</f>
        <v>10</v>
      </c>
      <c r="P597" s="16" t="e">
        <f t="shared" ca="1" si="37"/>
        <v>#NAME?</v>
      </c>
      <c r="Q597" s="153">
        <f ca="1">VLOOKUP($AB$2,'RF Mod'!$A$2:$G$12,6,FALSE)+VLOOKUP($AD$2,'RF Mod'!$I$2:$O$11,6,FALSE)+(TRUNC(6+(24-6)*(TRUNC(MOD(($Z597*1103515245 +12345)/ 65536, 32768),0)/32768),0))</f>
        <v>8</v>
      </c>
      <c r="R597" s="16">
        <f t="shared" ca="1" si="38"/>
        <v>-1</v>
      </c>
      <c r="S597" s="154">
        <f t="shared" ca="1" si="43"/>
        <v>10</v>
      </c>
      <c r="T597" s="154">
        <f t="shared" ca="1" si="39"/>
        <v>9</v>
      </c>
      <c r="U597" s="16" t="str">
        <f t="shared" ca="1" si="40"/>
        <v>Bloody</v>
      </c>
      <c r="V597" s="155">
        <f ca="1">IFERROR(__xludf.DUMMYFUNCTION("if(W597=""Middle Age"",QUERY(NPCVar!$K$2:$N1000, ""Select L where K = '""&amp;AB597&amp;""'""),if(W597=""Old"",QUERY(NPCVar!$K$2:$N1000, ""Select M where K = '""&amp;AB597&amp;""'""),if(W597=""Venerable"",QUERY(NPCVar!$K$2:$N1000, ""Select N where K = '""&amp;AB597&amp;""'""),fa"&amp;"lse)))*X597"),2)</f>
        <v>2</v>
      </c>
      <c r="W597" s="156" t="str">
        <f t="array" ref="W597">INDEX(NPCAgeType,TRUNC(1+(4-1)*(TRUNC(MOD((X597*1103515245 +12345)/ 65536, 32768),0)/32768),0))</f>
        <v>Middle Age</v>
      </c>
      <c r="X597" s="117">
        <f t="shared" si="45"/>
        <v>0.1</v>
      </c>
      <c r="Y597" s="157" t="e">
        <f t="array" aca="1" ref="Y597" ca="1">LOOKUP(ABS(MAX(Z597 + MIN(ABS(INDIRECT("Class Jobs!B"&amp;MATCH(E597,'Class Jobs'!$A$1:$A1000,0)&amp;":"&amp;"AF"&amp;MATCH(E597,'Class Jobs'!$A$1:$A1000,0)&amp;"")-$Z597)) * SUM(IF(MIN(ABS(INDIRECT("Class Jobs!B"&amp;MATCH(E597,'Class Jobs'!$A$1:$A1000,0)&amp;":"&amp;"AF"&amp;MATCH(E597,'Class Jobs'!$A$1:$A1000,0)&amp;"")-$Z597))=ABS(INDIRECT("Class Jobs!B"&amp;MATCH(E597,'Class Jobs'!$A$1:$A1000,0)&amp;":"&amp;"AF"&amp;MATCH(E597,'Class Jobs'!$A$1:$A1000,0)&amp;"")-$Z597),SIGN(INDIRECT("Class Jobs!B"&amp;MATCH(E597,'Class Jobs'!$A$1:A1000,0)&amp;":"&amp;"AF"&amp;MATCH(E597,'Class Jobs'!$A$1:$A1000,0)&amp;"")-$Z597),0)),0)),INDIRECT("Class Jobs!B"&amp;MATCH(E597,'Class Jobs'!$A$1:$A1000,0)&amp;":"&amp;"AF"&amp;MATCH(E597,'Class Jobs'!$A$1:$A1000,1)&amp;""),'Class Jobs'!$B$1:$AF$1)</f>
        <v>#REF!</v>
      </c>
      <c r="Z597" s="158">
        <f t="shared" si="41"/>
        <v>0.03</v>
      </c>
      <c r="AA597" s="16" t="str">
        <f t="array" ref="AA597">INDEX(NPCGender,TRUNC(1+(COUNTA(NPCGender))*(TRUNC(MOD(($B597*1103515245 +12345)/ 65536, 32768),0)/32768),0))</f>
        <v>Male</v>
      </c>
      <c r="AB597" s="16" t="str">
        <f t="array" ref="AB597">INDEX(NPCRace,TRUNC(1+(COUNTA(NPCRace))*(TRUNC(MOD(($B597*1103515245 +12345)/ 65536, 32768),0)/32768),0))</f>
        <v>Dragonborn</v>
      </c>
      <c r="AC597" s="16" t="str">
        <f t="array" ref="AC597">INDEX(NPCAL,TRUNC(1+(COUNTA(NPCAL))*(TRUNC(MOD(($B597*1103515245 +12345)/ 65536, 32768),0)/32768),0))</f>
        <v>CN</v>
      </c>
      <c r="AD597" s="72" t="str">
        <f ca="1">IFERROR(__xludf.DUMMYFUNCTION("if(V597&lt;15,QUERY(NPCVar!C:D,""Select D WHERE C = '""&amp;D597&amp;""'""),if((TRUNC(1+10)*(TRUNC(MOD((ROW(H597)*1103515245 +12345)/ 65536, 32768),0)/32768)/10) &gt; 0.85,INDEX(NPCFaction,TRUNC(1+(counta(NPCFaction)-1)*(TRUNC(MOD(($B597*1103515245 +12345)/ 65536, 3276"&amp;"8),0)/32768),0)),QUERY(NPCVar!C:D,""Select D WHERE C = '""&amp;D597&amp;""'"")))"),"Royalty")</f>
        <v>Royalty</v>
      </c>
      <c r="AE597" s="108" t="e">
        <f t="shared" ca="1" si="42"/>
        <v>#NAME?</v>
      </c>
      <c r="AF597" s="159">
        <f ca="1">IFERROR(__xludf.DUMMYFUNCTION("AE597*(V597 / QUERY(NPCVar!$K$2:$N$12, ""Select N WHERE K='""&amp;AB597&amp;""'""))*TRUNC(1+10)*(TRUNC(MOD(($B597*1103515245 +12345)/ 65536, 32768),0)/32768)"),0)</f>
        <v>0</v>
      </c>
      <c r="AG597" s="16"/>
      <c r="AH597" s="77"/>
      <c r="AI597" s="114"/>
    </row>
    <row r="598" spans="1:35" ht="16.2">
      <c r="A598" s="53">
        <v>597</v>
      </c>
      <c r="B598" s="118">
        <f t="shared" si="46"/>
        <v>0.99060000000000004</v>
      </c>
      <c r="C598" s="72" t="str">
        <f t="array" ref="C598">INDEX(NPCFName,TRUNC(1+(COUNTA(NPCFName))*(TRUNC(MOD(($B598*1103515245 +12345)/ 65536, 32768),0)/32768),0))</f>
        <v>Loban</v>
      </c>
      <c r="D598" s="16" t="str">
        <f t="array" ref="D598">INDEX(NPCLName,TRUNC(1+(COUNTA(NPCLName))*(TRUNC(MOD(($B598*1103515245 +12345)/ 65536, 32768),0)/32768),0))</f>
        <v>Staghammer</v>
      </c>
      <c r="E598" s="16" t="str">
        <f t="array" ref="E598">INDEX(NPCClass,TRUNC(1+(COUNTA(NPCClass))*(TRUNC(MOD(($B598*1103515245 +12345)/ 65536, 32768),0)/32768),0))</f>
        <v>Sorcerer</v>
      </c>
      <c r="F598" s="76">
        <v>5</v>
      </c>
      <c r="G598" s="153">
        <f ca="1">VLOOKUP($AB$2,'RF Mod'!$A$2:$G$12,2,FALSE)+VLOOKUP($AD$2,'RF Mod'!$I$2:$O$11,2,FALSE)+(TRUNC(6+(24-6)*(TRUNC(MOD(($Z598*1103515245 +12345)/ 65536, 32768),0)/32768),0))</f>
        <v>8</v>
      </c>
      <c r="H598" s="16">
        <f t="shared" ca="1" si="33"/>
        <v>-1</v>
      </c>
      <c r="I598" s="153">
        <f ca="1">VLOOKUP($AB$2,'RF Mod'!$A$2:$G$12,3,FALSE)+VLOOKUP($AD$2,'RF Mod'!$I$2:$O$11,3,FALSE)+(TRUNC(6+(24-6)*(TRUNC(MOD(($Z598*1103515245 +12345)/ 65536, 32768),0)/32768),0))</f>
        <v>12</v>
      </c>
      <c r="J598" s="16" t="e">
        <f t="shared" ca="1" si="34"/>
        <v>#NAME?</v>
      </c>
      <c r="K598" s="153">
        <f ca="1">VLOOKUP($AB$2,'RF Mod'!$A$2:$G$12,3,FALSE)+VLOOKUP($AD$2,'RF Mod'!$I$2:$O$11,3,FALSE)+(TRUNC(6+(24-6)*(TRUNC(MOD(($Z598*1103515245 +12345)/ 65536, 32768),0)/32768),0))</f>
        <v>12</v>
      </c>
      <c r="L598" s="16" t="e">
        <f t="shared" ca="1" si="35"/>
        <v>#NAME?</v>
      </c>
      <c r="M598" s="153">
        <f ca="1">VLOOKUP($AB$2,'RF Mod'!$A$2:$G$12,4,FALSE)+VLOOKUP($AD$2,'RF Mod'!$I$2:$O$11,4,FALSE)+(TRUNC(6+(24-6)*(TRUNC(MOD(($Z598*1103515245 +12345)/ 65536, 32768),0)/32768),0))</f>
        <v>11</v>
      </c>
      <c r="N598" s="16" t="e">
        <f t="shared" ca="1" si="36"/>
        <v>#NAME?</v>
      </c>
      <c r="O598" s="153">
        <f ca="1">VLOOKUP($AB$2,'RF Mod'!$A$2:$G$12,5,FALSE)+VLOOKUP($AD$2,'RF Mod'!$I$2:$O$11,5,FALSE)+(TRUNC(6+(24-6)*(TRUNC(MOD(($Z598*1103515245 +12345)/ 65536, 32768),0)/32768),0))</f>
        <v>14</v>
      </c>
      <c r="P598" s="16" t="e">
        <f t="shared" ca="1" si="37"/>
        <v>#NAME?</v>
      </c>
      <c r="Q598" s="153">
        <f ca="1">VLOOKUP($AB$2,'RF Mod'!$A$2:$G$12,6,FALSE)+VLOOKUP($AD$2,'RF Mod'!$I$2:$O$11,6,FALSE)+(TRUNC(6+(24-6)*(TRUNC(MOD(($Z598*1103515245 +12345)/ 65536, 32768),0)/32768),0))</f>
        <v>12</v>
      </c>
      <c r="R598" s="16" t="e">
        <f t="shared" ca="1" si="38"/>
        <v>#NAME?</v>
      </c>
      <c r="S598" s="154">
        <f t="shared" ca="1" si="43"/>
        <v>150</v>
      </c>
      <c r="T598" s="154">
        <f t="shared" ca="1" si="39"/>
        <v>130</v>
      </c>
      <c r="U598" s="16" t="str">
        <f t="shared" ca="1" si="40"/>
        <v>Bloody</v>
      </c>
      <c r="V598" s="155">
        <f ca="1">IFERROR(__xludf.DUMMYFUNCTION("if(W598=""Middle Age"",QUERY(NPCVar!$K$2:$N1000, ""Select L where K = '""&amp;AB598&amp;""'""),if(W598=""Old"",QUERY(NPCVar!$K$2:$N1000, ""Select M where K = '""&amp;AB598&amp;""'""),if(W598=""Venerable"",QUERY(NPCVar!$K$2:$N1000, ""Select N where K = '""&amp;AB598&amp;""'""),fa"&amp;"lse)))*X598"),91)</f>
        <v>91</v>
      </c>
      <c r="W598" s="156" t="str">
        <f t="array" ref="W598">INDEX(NPCAgeType,TRUNC(1+(4-1)*(TRUNC(MOD((X598*1103515245 +12345)/ 65536, 32768),0)/32768),0))</f>
        <v>Venerable</v>
      </c>
      <c r="X598" s="117">
        <f t="shared" si="45"/>
        <v>1.3</v>
      </c>
      <c r="Y598" s="157" t="e">
        <f t="array" aca="1" ref="Y598" ca="1">LOOKUP(ABS(MAX(Z598 + MIN(ABS(INDIRECT("Class Jobs!B"&amp;MATCH(E598,'Class Jobs'!$A$1:$A1000,0)&amp;":"&amp;"AF"&amp;MATCH(E598,'Class Jobs'!$A$1:$A1000,0)&amp;"")-$Z598)) * SUM(IF(MIN(ABS(INDIRECT("Class Jobs!B"&amp;MATCH(E598,'Class Jobs'!$A$1:$A1000,0)&amp;":"&amp;"AF"&amp;MATCH(E598,'Class Jobs'!$A$1:$A1000,0)&amp;"")-$Z598))=ABS(INDIRECT("Class Jobs!B"&amp;MATCH(E598,'Class Jobs'!$A$1:$A1000,0)&amp;":"&amp;"AF"&amp;MATCH(E598,'Class Jobs'!$A$1:$A1000,0)&amp;"")-$Z598),SIGN(INDIRECT("Class Jobs!B"&amp;MATCH(E598,'Class Jobs'!$A$1:A1000,0)&amp;":"&amp;"AF"&amp;MATCH(E598,'Class Jobs'!$A$1:$A1000,0)&amp;"")-$Z598),0)),0)),INDIRECT("Class Jobs!B"&amp;MATCH(E598,'Class Jobs'!$A$1:$A1000,0)&amp;":"&amp;"AF"&amp;MATCH(E598,'Class Jobs'!$A$1:$A1000,1)&amp;""),'Class Jobs'!$B$1:$AF$1)</f>
        <v>#REF!</v>
      </c>
      <c r="Z598" s="158">
        <f t="shared" si="41"/>
        <v>0.51</v>
      </c>
      <c r="AA598" s="16" t="str">
        <f t="array" ref="AA598">INDEX(NPCGender,TRUNC(1+(COUNTA(NPCGender))*(TRUNC(MOD(($B598*1103515245 +12345)/ 65536, 32768),0)/32768),0))</f>
        <v>Female</v>
      </c>
      <c r="AB598" s="16" t="str">
        <f t="array" ref="AB598">INDEX(NPCRace,TRUNC(1+(COUNTA(NPCRace))*(TRUNC(MOD(($B598*1103515245 +12345)/ 65536, 32768),0)/32768),0))</f>
        <v>Half-Orc</v>
      </c>
      <c r="AC598" s="16" t="str">
        <f t="array" ref="AC598">INDEX(NPCAL,TRUNC(1+(COUNTA(NPCAL))*(TRUNC(MOD(($B598*1103515245 +12345)/ 65536, 32768),0)/32768),0))</f>
        <v>NN</v>
      </c>
      <c r="AD598" s="72" t="str">
        <f ca="1">IFERROR(__xludf.DUMMYFUNCTION("if(V598&lt;15,QUERY(NPCVar!C:D,""Select D WHERE C = '""&amp;D598&amp;""'""),if((TRUNC(1+10)*(TRUNC(MOD((ROW(H598)*1103515245 +12345)/ 65536, 32768),0)/32768)/10) &gt; 0.85,INDEX(NPCFaction,TRUNC(1+(counta(NPCFaction)-1)*(TRUNC(MOD(($B598*1103515245 +12345)/ 65536, 3276"&amp;"8),0)/32768),0)),QUERY(NPCVar!C:D,""Select D WHERE C = '""&amp;D598&amp;""'"")))"),"Farmers Guild")</f>
        <v>Farmers Guild</v>
      </c>
      <c r="AE598" s="108" t="e">
        <f t="shared" ca="1" si="42"/>
        <v>#NAME?</v>
      </c>
      <c r="AF598" s="159">
        <f ca="1">IFERROR(__xludf.DUMMYFUNCTION("AE598*(V598 / QUERY(NPCVar!$K$2:$N$12, ""Select N WHERE K='""&amp;AB598&amp;""'""))*TRUNC(1+10)*(TRUNC(MOD(($B598*1103515245 +12345)/ 65536, 32768),0)/32768)"),5.82333984375)</f>
        <v>5.8233398437500004</v>
      </c>
      <c r="AG598" s="16"/>
      <c r="AH598" s="77"/>
      <c r="AI598" s="114"/>
    </row>
    <row r="599" spans="1:35" ht="16.2">
      <c r="A599" s="53">
        <v>598</v>
      </c>
      <c r="B599" s="118">
        <f t="shared" si="46"/>
        <v>2.4847399999999999</v>
      </c>
      <c r="C599" s="72" t="str">
        <f t="array" ref="C599">INDEX(NPCFName,TRUNC(1+(COUNTA(NPCFName))*(TRUNC(MOD(($B599*1103515245 +12345)/ 65536, 32768),0)/32768),0))</f>
        <v>Syth</v>
      </c>
      <c r="D599" s="16" t="str">
        <f t="array" ref="D599">INDEX(NPCLName,TRUNC(1+(COUNTA(NPCLName))*(TRUNC(MOD(($B599*1103515245 +12345)/ 65536, 32768),0)/32768),0))</f>
        <v>Commonscream</v>
      </c>
      <c r="E599" s="16" t="str">
        <f t="array" ref="E599">INDEX(NPCClass,TRUNC(1+(COUNTA(NPCClass))*(TRUNC(MOD(($B599*1103515245 +12345)/ 65536, 32768),0)/32768),0))</f>
        <v>Monk</v>
      </c>
      <c r="F599" s="76">
        <v>1</v>
      </c>
      <c r="G599" s="153">
        <f ca="1">VLOOKUP($AB$2,'RF Mod'!$A$2:$G$12,2,FALSE)+VLOOKUP($AD$2,'RF Mod'!$I$2:$O$11,2,FALSE)+(TRUNC(6+(24-6)*(TRUNC(MOD(($Z599*1103515245 +12345)/ 65536, 32768),0)/32768),0))</f>
        <v>6</v>
      </c>
      <c r="H599" s="16">
        <f t="shared" ca="1" si="33"/>
        <v>-2</v>
      </c>
      <c r="I599" s="153">
        <f ca="1">VLOOKUP($AB$2,'RF Mod'!$A$2:$G$12,3,FALSE)+VLOOKUP($AD$2,'RF Mod'!$I$2:$O$11,3,FALSE)+(TRUNC(6+(24-6)*(TRUNC(MOD(($Z599*1103515245 +12345)/ 65536, 32768),0)/32768),0))</f>
        <v>10</v>
      </c>
      <c r="J599" s="16" t="e">
        <f t="shared" ca="1" si="34"/>
        <v>#NAME?</v>
      </c>
      <c r="K599" s="153">
        <f ca="1">VLOOKUP($AB$2,'RF Mod'!$A$2:$G$12,3,FALSE)+VLOOKUP($AD$2,'RF Mod'!$I$2:$O$11,3,FALSE)+(TRUNC(6+(24-6)*(TRUNC(MOD(($Z599*1103515245 +12345)/ 65536, 32768),0)/32768),0))</f>
        <v>10</v>
      </c>
      <c r="L599" s="16" t="e">
        <f t="shared" ca="1" si="35"/>
        <v>#NAME?</v>
      </c>
      <c r="M599" s="153">
        <f ca="1">VLOOKUP($AB$2,'RF Mod'!$A$2:$G$12,4,FALSE)+VLOOKUP($AD$2,'RF Mod'!$I$2:$O$11,4,FALSE)+(TRUNC(6+(24-6)*(TRUNC(MOD(($Z599*1103515245 +12345)/ 65536, 32768),0)/32768),0))</f>
        <v>9</v>
      </c>
      <c r="N599" s="16">
        <f t="shared" ca="1" si="36"/>
        <v>-1</v>
      </c>
      <c r="O599" s="153">
        <f ca="1">VLOOKUP($AB$2,'RF Mod'!$A$2:$G$12,5,FALSE)+VLOOKUP($AD$2,'RF Mod'!$I$2:$O$11,5,FALSE)+(TRUNC(6+(24-6)*(TRUNC(MOD(($Z599*1103515245 +12345)/ 65536, 32768),0)/32768),0))</f>
        <v>12</v>
      </c>
      <c r="P599" s="16" t="e">
        <f t="shared" ca="1" si="37"/>
        <v>#NAME?</v>
      </c>
      <c r="Q599" s="153">
        <f ca="1">VLOOKUP($AB$2,'RF Mod'!$A$2:$G$12,6,FALSE)+VLOOKUP($AD$2,'RF Mod'!$I$2:$O$11,6,FALSE)+(TRUNC(6+(24-6)*(TRUNC(MOD(($Z599*1103515245 +12345)/ 65536, 32768),0)/32768),0))</f>
        <v>10</v>
      </c>
      <c r="R599" s="16" t="e">
        <f t="shared" ca="1" si="38"/>
        <v>#NAME?</v>
      </c>
      <c r="S599" s="154">
        <f t="shared" ca="1" si="43"/>
        <v>12</v>
      </c>
      <c r="T599" s="154">
        <f t="shared" ca="1" si="39"/>
        <v>5</v>
      </c>
      <c r="U599" s="16" t="str">
        <f t="shared" ca="1" si="40"/>
        <v>Fine</v>
      </c>
      <c r="V599" s="155">
        <f ca="1">IFERROR(__xludf.DUMMYFUNCTION("if(W599=""Middle Age"",QUERY(NPCVar!$K$2:$N1000, ""Select L where K = '""&amp;AB599&amp;""'""),if(W599=""Old"",QUERY(NPCVar!$K$2:$N1000, ""Select M where K = '""&amp;AB599&amp;""'""),if(W599=""Venerable"",QUERY(NPCVar!$K$2:$N1000, ""Select N where K = '""&amp;AB599&amp;""'""),fa"&amp;"lse)))*X599"),118.124999999999)</f>
        <v>118.12499999999901</v>
      </c>
      <c r="W599" s="156" t="str">
        <f t="array" ref="W599">INDEX(NPCAgeType,TRUNC(1+(4-1)*(TRUNC(MOD((X599*1103515245 +12345)/ 65536, 32768),0)/32768),0))</f>
        <v>Old</v>
      </c>
      <c r="X599" s="117">
        <f t="shared" si="45"/>
        <v>0.7</v>
      </c>
      <c r="Y599" s="157" t="e">
        <f t="array" aca="1" ref="Y599" ca="1">LOOKUP(ABS(MAX(Z599 + MIN(ABS(INDIRECT("Class Jobs!B"&amp;MATCH(E599,'Class Jobs'!$A$1:$A1000,0)&amp;":"&amp;"AF"&amp;MATCH(E599,'Class Jobs'!$A$1:$A1000,0)&amp;"")-$Z599)) * SUM(IF(MIN(ABS(INDIRECT("Class Jobs!B"&amp;MATCH(E599,'Class Jobs'!$A$1:$A1000,0)&amp;":"&amp;"AF"&amp;MATCH(E599,'Class Jobs'!$A$1:$A1000,0)&amp;"")-$Z599))=ABS(INDIRECT("Class Jobs!B"&amp;MATCH(E599,'Class Jobs'!$A$1:$A1000,0)&amp;":"&amp;"AF"&amp;MATCH(E599,'Class Jobs'!$A$1:$A1000,0)&amp;"")-$Z599),SIGN(INDIRECT("Class Jobs!B"&amp;MATCH(E599,'Class Jobs'!$A$1:A1000,0)&amp;":"&amp;"AF"&amp;MATCH(E599,'Class Jobs'!$A$1:$A1000,0)&amp;"")-$Z599),0)),0)),INDIRECT("Class Jobs!B"&amp;MATCH(E599,'Class Jobs'!$A$1:$A1000,0)&amp;":"&amp;"AF"&amp;MATCH(E599,'Class Jobs'!$A$1:$A1000,1)&amp;""),'Class Jobs'!$B$1:$AF$1)</f>
        <v>#REF!</v>
      </c>
      <c r="Z599" s="158">
        <f t="shared" si="41"/>
        <v>0.28000000000000003</v>
      </c>
      <c r="AA599" s="16" t="str">
        <f t="array" ref="AA599">INDEX(NPCGender,TRUNC(1+(COUNTA(NPCGender))*(TRUNC(MOD(($B599*1103515245 +12345)/ 65536, 32768),0)/32768),0))</f>
        <v>Male</v>
      </c>
      <c r="AB599" s="16" t="str">
        <f t="array" ref="AB599">INDEX(NPCRace,TRUNC(1+(COUNTA(NPCRace))*(TRUNC(MOD(($B599*1103515245 +12345)/ 65536, 32768),0)/32768),0))</f>
        <v>Gnome</v>
      </c>
      <c r="AC599" s="16" t="str">
        <f t="array" ref="AC599">INDEX(NPCAL,TRUNC(1+(COUNTA(NPCAL))*(TRUNC(MOD(($B599*1103515245 +12345)/ 65536, 32768),0)/32768),0))</f>
        <v>CG</v>
      </c>
      <c r="AD599" s="72" t="str">
        <f ca="1">IFERROR(__xludf.DUMMYFUNCTION("if(V599&lt;15,QUERY(NPCVar!C:D,""Select D WHERE C = '""&amp;D599&amp;""'""),if((TRUNC(1+10)*(TRUNC(MOD((ROW(H599)*1103515245 +12345)/ 65536, 32768),0)/32768)/10) &gt; 0.85,INDEX(NPCFaction,TRUNC(1+(counta(NPCFaction)-1)*(TRUNC(MOD(($B599*1103515245 +12345)/ 65536, 3276"&amp;"8),0)/32768),0)),QUERY(NPCVar!C:D,""Select D WHERE C = '""&amp;D599&amp;""'"")))"),"Traders Guild")</f>
        <v>Traders Guild</v>
      </c>
      <c r="AE599" s="108" t="e">
        <f t="shared" ca="1" si="42"/>
        <v>#NAME?</v>
      </c>
      <c r="AF599" s="159">
        <f ca="1">IFERROR(__xludf.DUMMYFUNCTION("AE599*(V599 / QUERY(NPCVar!$K$2:$N$12, ""Select N WHERE K='""&amp;AB599&amp;""'""))*TRUNC(1+10)*(TRUNC(MOD(($B599*1103515245 +12345)/ 65536, 32768),0)/32768)"),0.0799332046508788)</f>
        <v>7.9933204650878803E-2</v>
      </c>
      <c r="AG599" s="16"/>
      <c r="AH599" s="77"/>
      <c r="AI599" s="114"/>
    </row>
    <row r="600" spans="1:35" ht="16.2">
      <c r="A600" s="53">
        <v>599</v>
      </c>
      <c r="B600" s="118">
        <f t="shared" si="46"/>
        <v>1.47888</v>
      </c>
      <c r="C600" s="72" t="str">
        <f t="array" ref="C600">INDEX(NPCFName,TRUNC(1+(COUNTA(NPCFName))*(TRUNC(MOD(($B600*1103515245 +12345)/ 65536, 32768),0)/32768),0))</f>
        <v>Enbane</v>
      </c>
      <c r="D600" s="16" t="str">
        <f t="array" ref="D600">INDEX(NPCLName,TRUNC(1+(COUNTA(NPCLName))*(TRUNC(MOD(($B600*1103515245 +12345)/ 65536, 32768),0)/32768),0))</f>
        <v>Sacredgloom</v>
      </c>
      <c r="E600" s="16" t="str">
        <f t="array" ref="E600">INDEX(NPCClass,TRUNC(1+(COUNTA(NPCClass))*(TRUNC(MOD(($B600*1103515245 +12345)/ 65536, 32768),0)/32768),0))</f>
        <v>Cleric</v>
      </c>
      <c r="F600" s="76">
        <v>8</v>
      </c>
      <c r="G600" s="153">
        <f ca="1">VLOOKUP($AB$2,'RF Mod'!$A$2:$G$12,2,FALSE)+VLOOKUP($AD$2,'RF Mod'!$I$2:$O$11,2,FALSE)+(TRUNC(6+(24-6)*(TRUNC(MOD(($Z600*1103515245 +12345)/ 65536, 32768),0)/32768),0))</f>
        <v>11</v>
      </c>
      <c r="H600" s="16" t="e">
        <f t="shared" ca="1" si="33"/>
        <v>#NAME?</v>
      </c>
      <c r="I600" s="153">
        <f ca="1">VLOOKUP($AB$2,'RF Mod'!$A$2:$G$12,3,FALSE)+VLOOKUP($AD$2,'RF Mod'!$I$2:$O$11,3,FALSE)+(TRUNC(6+(24-6)*(TRUNC(MOD(($Z600*1103515245 +12345)/ 65536, 32768),0)/32768),0))</f>
        <v>15</v>
      </c>
      <c r="J600" s="16" t="e">
        <f t="shared" ca="1" si="34"/>
        <v>#NAME?</v>
      </c>
      <c r="K600" s="153">
        <f ca="1">VLOOKUP($AB$2,'RF Mod'!$A$2:$G$12,3,FALSE)+VLOOKUP($AD$2,'RF Mod'!$I$2:$O$11,3,FALSE)+(TRUNC(6+(24-6)*(TRUNC(MOD(($Z600*1103515245 +12345)/ 65536, 32768),0)/32768),0))</f>
        <v>15</v>
      </c>
      <c r="L600" s="16" t="e">
        <f t="shared" ca="1" si="35"/>
        <v>#NAME?</v>
      </c>
      <c r="M600" s="153">
        <f ca="1">VLOOKUP($AB$2,'RF Mod'!$A$2:$G$12,4,FALSE)+VLOOKUP($AD$2,'RF Mod'!$I$2:$O$11,4,FALSE)+(TRUNC(6+(24-6)*(TRUNC(MOD(($Z600*1103515245 +12345)/ 65536, 32768),0)/32768),0))</f>
        <v>14</v>
      </c>
      <c r="N600" s="16" t="e">
        <f t="shared" ca="1" si="36"/>
        <v>#NAME?</v>
      </c>
      <c r="O600" s="153">
        <f ca="1">VLOOKUP($AB$2,'RF Mod'!$A$2:$G$12,5,FALSE)+VLOOKUP($AD$2,'RF Mod'!$I$2:$O$11,5,FALSE)+(TRUNC(6+(24-6)*(TRUNC(MOD(($Z600*1103515245 +12345)/ 65536, 32768),0)/32768),0))</f>
        <v>17</v>
      </c>
      <c r="P600" s="16" t="e">
        <f t="shared" ca="1" si="37"/>
        <v>#NAME?</v>
      </c>
      <c r="Q600" s="153">
        <f ca="1">VLOOKUP($AB$2,'RF Mod'!$A$2:$G$12,6,FALSE)+VLOOKUP($AD$2,'RF Mod'!$I$2:$O$11,6,FALSE)+(TRUNC(6+(24-6)*(TRUNC(MOD(($Z600*1103515245 +12345)/ 65536, 32768),0)/32768),0))</f>
        <v>15</v>
      </c>
      <c r="R600" s="16" t="e">
        <f t="shared" ca="1" si="38"/>
        <v>#NAME?</v>
      </c>
      <c r="S600" s="154">
        <f t="shared" ca="1" si="43"/>
        <v>184</v>
      </c>
      <c r="T600" s="154">
        <f t="shared" ca="1" si="39"/>
        <v>7</v>
      </c>
      <c r="U600" s="16" t="str">
        <f t="shared" ca="1" si="40"/>
        <v>Fine</v>
      </c>
      <c r="V600" s="155">
        <f ca="1">IFERROR(__xludf.DUMMYFUNCTION("if(W600=""Middle Age"",QUERY(NPCVar!$K$2:$N1000, ""Select L where K = '""&amp;AB600&amp;""'""),if(W600=""Old"",QUERY(NPCVar!$K$2:$N1000, ""Select M where K = '""&amp;AB600&amp;""'""),if(W600=""Venerable"",QUERY(NPCVar!$K$2:$N1000, ""Select N where K = '""&amp;AB600&amp;""'""),fa"&amp;"lse)))*X600"),190)</f>
        <v>190</v>
      </c>
      <c r="W600" s="156" t="str">
        <f t="array" ref="W600">INDEX(NPCAgeType,TRUNC(1+(4-1)*(TRUNC(MOD((X600*1103515245 +12345)/ 65536, 32768),0)/32768),0))</f>
        <v>Venerable</v>
      </c>
      <c r="X600" s="117">
        <f t="shared" si="45"/>
        <v>1.9</v>
      </c>
      <c r="Y600" s="157" t="e">
        <f t="array" aca="1" ref="Y600" ca="1">LOOKUP(ABS(MAX(Z600 + MIN(ABS(INDIRECT("Class Jobs!B"&amp;MATCH(E600,'Class Jobs'!$A$1:$A1000,0)&amp;":"&amp;"AF"&amp;MATCH(E600,'Class Jobs'!$A$1:$A1000,0)&amp;"")-$Z600)) * SUM(IF(MIN(ABS(INDIRECT("Class Jobs!B"&amp;MATCH(E600,'Class Jobs'!$A$1:$A1000,0)&amp;":"&amp;"AF"&amp;MATCH(E600,'Class Jobs'!$A$1:$A1000,0)&amp;"")-$Z600))=ABS(INDIRECT("Class Jobs!B"&amp;MATCH(E600,'Class Jobs'!$A$1:$A1000,0)&amp;":"&amp;"AF"&amp;MATCH(E600,'Class Jobs'!$A$1:$A1000,0)&amp;"")-$Z600),SIGN(INDIRECT("Class Jobs!B"&amp;MATCH(E600,'Class Jobs'!$A$1:A1000,0)&amp;":"&amp;"AF"&amp;MATCH(E600,'Class Jobs'!$A$1:$A1000,0)&amp;"")-$Z600),0)),0)),INDIRECT("Class Jobs!B"&amp;MATCH(E600,'Class Jobs'!$A$1:$A1000,0)&amp;":"&amp;"AF"&amp;MATCH(E600,'Class Jobs'!$A$1:$A1000,1)&amp;""),'Class Jobs'!$B$1:$AF$1)</f>
        <v>#REF!</v>
      </c>
      <c r="Z600" s="158">
        <f t="shared" si="41"/>
        <v>0.76</v>
      </c>
      <c r="AA600" s="16" t="str">
        <f t="array" ref="AA600">INDEX(NPCGender,TRUNC(1+(COUNTA(NPCGender))*(TRUNC(MOD(($B600*1103515245 +12345)/ 65536, 32768),0)/32768),0))</f>
        <v>Neutral</v>
      </c>
      <c r="AB600" s="16" t="str">
        <f t="array" ref="AB600">INDEX(NPCRace,TRUNC(1+(COUNTA(NPCRace))*(TRUNC(MOD(($B600*1103515245 +12345)/ 65536, 32768),0)/32768),0))</f>
        <v>Tiefling</v>
      </c>
      <c r="AC600" s="16" t="str">
        <f t="array" ref="AC600">INDEX(NPCAL,TRUNC(1+(COUNTA(NPCAL))*(TRUNC(MOD(($B600*1103515245 +12345)/ 65536, 32768),0)/32768),0))</f>
        <v>LG</v>
      </c>
      <c r="AD600" s="72" t="str">
        <f ca="1">IFERROR(__xludf.DUMMYFUNCTION("if(V600&lt;15,QUERY(NPCVar!C:D,""Select D WHERE C = '""&amp;D600&amp;""'""),if((TRUNC(1+10)*(TRUNC(MOD((ROW(H600)*1103515245 +12345)/ 65536, 32768),0)/32768)/10) &gt; 0.85,INDEX(NPCFaction,TRUNC(1+(counta(NPCFaction)-1)*(TRUNC(MOD(($B600*1103515245 +12345)/ 65536, 3276"&amp;"8),0)/32768),0)),QUERY(NPCVar!C:D,""Select D WHERE C = '""&amp;D600&amp;""'"")))"),"Adventures Guild")</f>
        <v>Adventures Guild</v>
      </c>
      <c r="AE600" s="108" t="e">
        <f t="shared" ca="1" si="42"/>
        <v>#NAME?</v>
      </c>
      <c r="AF600" s="159">
        <f ca="1">IFERROR(__xludf.DUMMYFUNCTION("AE600*(V600 / QUERY(NPCVar!$K$2:$N$12, ""Select N WHERE K='""&amp;AB600&amp;""'""))*TRUNC(1+10)*(TRUNC(MOD(($B600*1103515245 +12345)/ 65536, 32768),0)/32768)"),14.2946356201171)</f>
        <v>14.2946356201171</v>
      </c>
      <c r="AG600" s="16"/>
      <c r="AH600" s="77"/>
      <c r="AI600" s="114"/>
    </row>
    <row r="601" spans="1:35" ht="16.2">
      <c r="A601" s="53">
        <v>600</v>
      </c>
      <c r="B601" s="118">
        <f t="shared" si="46"/>
        <v>0.47303000000000001</v>
      </c>
      <c r="C601" s="72" t="str">
        <f t="array" ref="C601">INDEX(NPCFName,TRUNC(1+(COUNTA(NPCFName))*(TRUNC(MOD(($B601*1103515245 +12345)/ 65536, 32768),0)/32768),0))</f>
        <v>Rhithin</v>
      </c>
      <c r="D601" s="16" t="str">
        <f t="array" ref="D601">INDEX(NPCLName,TRUNC(1+(COUNTA(NPCLName))*(TRUNC(MOD(($B601*1103515245 +12345)/ 65536, 32768),0)/32768),0))</f>
        <v>Tuskleaf</v>
      </c>
      <c r="E601" s="16" t="str">
        <f t="array" ref="E601">INDEX(NPCClass,TRUNC(1+(COUNTA(NPCClass))*(TRUNC(MOD(($B601*1103515245 +12345)/ 65536, 32768),0)/32768),0))</f>
        <v>Druid</v>
      </c>
      <c r="F601" s="76">
        <v>1</v>
      </c>
      <c r="G601" s="153">
        <f ca="1">VLOOKUP($AB$2,'RF Mod'!$A$2:$G$12,2,FALSE)+VLOOKUP($AD$2,'RF Mod'!$I$2:$O$11,2,FALSE)+(TRUNC(6+(24-6)*(TRUNC(MOD(($Z601*1103515245 +12345)/ 65536, 32768),0)/32768),0))</f>
        <v>6</v>
      </c>
      <c r="H601" s="16">
        <f t="shared" ca="1" si="33"/>
        <v>-2</v>
      </c>
      <c r="I601" s="153">
        <f ca="1">VLOOKUP($AB$2,'RF Mod'!$A$2:$G$12,3,FALSE)+VLOOKUP($AD$2,'RF Mod'!$I$2:$O$11,3,FALSE)+(TRUNC(6+(24-6)*(TRUNC(MOD(($Z601*1103515245 +12345)/ 65536, 32768),0)/32768),0))</f>
        <v>10</v>
      </c>
      <c r="J601" s="16" t="e">
        <f t="shared" ca="1" si="34"/>
        <v>#NAME?</v>
      </c>
      <c r="K601" s="153">
        <f ca="1">VLOOKUP($AB$2,'RF Mod'!$A$2:$G$12,3,FALSE)+VLOOKUP($AD$2,'RF Mod'!$I$2:$O$11,3,FALSE)+(TRUNC(6+(24-6)*(TRUNC(MOD(($Z601*1103515245 +12345)/ 65536, 32768),0)/32768),0))</f>
        <v>10</v>
      </c>
      <c r="L601" s="16" t="e">
        <f t="shared" ca="1" si="35"/>
        <v>#NAME?</v>
      </c>
      <c r="M601" s="153">
        <f ca="1">VLOOKUP($AB$2,'RF Mod'!$A$2:$G$12,4,FALSE)+VLOOKUP($AD$2,'RF Mod'!$I$2:$O$11,4,FALSE)+(TRUNC(6+(24-6)*(TRUNC(MOD(($Z601*1103515245 +12345)/ 65536, 32768),0)/32768),0))</f>
        <v>9</v>
      </c>
      <c r="N601" s="16">
        <f t="shared" ca="1" si="36"/>
        <v>-1</v>
      </c>
      <c r="O601" s="153">
        <f ca="1">VLOOKUP($AB$2,'RF Mod'!$A$2:$G$12,5,FALSE)+VLOOKUP($AD$2,'RF Mod'!$I$2:$O$11,5,FALSE)+(TRUNC(6+(24-6)*(TRUNC(MOD(($Z601*1103515245 +12345)/ 65536, 32768),0)/32768),0))</f>
        <v>12</v>
      </c>
      <c r="P601" s="16" t="e">
        <f t="shared" ca="1" si="37"/>
        <v>#NAME?</v>
      </c>
      <c r="Q601" s="153">
        <f ca="1">VLOOKUP($AB$2,'RF Mod'!$A$2:$G$12,6,FALSE)+VLOOKUP($AD$2,'RF Mod'!$I$2:$O$11,6,FALSE)+(TRUNC(6+(24-6)*(TRUNC(MOD(($Z601*1103515245 +12345)/ 65536, 32768),0)/32768),0))</f>
        <v>10</v>
      </c>
      <c r="R601" s="16" t="e">
        <f t="shared" ca="1" si="38"/>
        <v>#NAME?</v>
      </c>
      <c r="S601" s="154">
        <f t="shared" ca="1" si="43"/>
        <v>12</v>
      </c>
      <c r="T601" s="154">
        <f t="shared" ca="1" si="39"/>
        <v>4</v>
      </c>
      <c r="U601" s="16" t="str">
        <f t="shared" ca="1" si="40"/>
        <v>Fine</v>
      </c>
      <c r="V601" s="155">
        <f ca="1">IFERROR(__xludf.DUMMYFUNCTION("if(W601=""Middle Age"",QUERY(NPCVar!$K$2:$N1000, ""Select L where K = '""&amp;AB601&amp;""'""),if(W601=""Old"",QUERY(NPCVar!$K$2:$N1000, ""Select M where K = '""&amp;AB601&amp;""'""),if(W601=""Venerable"",QUERY(NPCVar!$K$2:$N1000, ""Select N where K = '""&amp;AB601&amp;""'""),fa"&amp;"lse)))*X601"),112.5)</f>
        <v>112.5</v>
      </c>
      <c r="W601" s="156" t="str">
        <f t="array" ref="W601">INDEX(NPCAgeType,TRUNC(1+(4-1)*(TRUNC(MOD((X601*1103515245 +12345)/ 65536, 32768),0)/32768),0))</f>
        <v>Middle Age</v>
      </c>
      <c r="X601" s="117">
        <f t="shared" si="45"/>
        <v>0.6</v>
      </c>
      <c r="Y601" s="157" t="e">
        <f t="array" aca="1" ref="Y601" ca="1">LOOKUP(ABS(MAX(Z601 + MIN(ABS(INDIRECT("Class Jobs!B"&amp;MATCH(E601,'Class Jobs'!$A$1:$A1000,0)&amp;":"&amp;"AF"&amp;MATCH(E601,'Class Jobs'!$A$1:$A1000,0)&amp;"")-$Z601)) * SUM(IF(MIN(ABS(INDIRECT("Class Jobs!B"&amp;MATCH(E601,'Class Jobs'!$A$1:$A1000,0)&amp;":"&amp;"AF"&amp;MATCH(E601,'Class Jobs'!$A$1:$A1000,0)&amp;"")-$Z601))=ABS(INDIRECT("Class Jobs!B"&amp;MATCH(E601,'Class Jobs'!$A$1:$A1000,0)&amp;":"&amp;"AF"&amp;MATCH(E601,'Class Jobs'!$A$1:$A1000,0)&amp;"")-$Z601),SIGN(INDIRECT("Class Jobs!B"&amp;MATCH(E601,'Class Jobs'!$A$1:A1000,0)&amp;":"&amp;"AF"&amp;MATCH(E601,'Class Jobs'!$A$1:$A1000,0)&amp;"")-$Z601),0)),0)),INDIRECT("Class Jobs!B"&amp;MATCH(E601,'Class Jobs'!$A$1:$A1000,0)&amp;":"&amp;"AF"&amp;MATCH(E601,'Class Jobs'!$A$1:$A1000,1)&amp;""),'Class Jobs'!$B$1:$AF$1)</f>
        <v>#REF!</v>
      </c>
      <c r="Z601" s="158">
        <f t="shared" si="41"/>
        <v>0.25</v>
      </c>
      <c r="AA601" s="16" t="str">
        <f t="array" ref="AA601">INDEX(NPCGender,TRUNC(1+(COUNTA(NPCGender))*(TRUNC(MOD(($B601*1103515245 +12345)/ 65536, 32768),0)/32768),0))</f>
        <v>Male</v>
      </c>
      <c r="AB601" s="16" t="str">
        <f t="array" ref="AB601">INDEX(NPCRace,TRUNC(1+(COUNTA(NPCRace))*(TRUNC(MOD(($B601*1103515245 +12345)/ 65536, 32768),0)/32768),0))</f>
        <v>Elf</v>
      </c>
      <c r="AC601" s="16" t="str">
        <f t="array" ref="AC601">INDEX(NPCAL,TRUNC(1+(COUNTA(NPCAL))*(TRUNC(MOD(($B601*1103515245 +12345)/ 65536, 32768),0)/32768),0))</f>
        <v>CG</v>
      </c>
      <c r="AD601" s="72" t="str">
        <f ca="1">IFERROR(__xludf.DUMMYFUNCTION("if(V601&lt;15,QUERY(NPCVar!C:D,""Select D WHERE C = '""&amp;D601&amp;""'""),if((TRUNC(1+10)*(TRUNC(MOD((ROW(H601)*1103515245 +12345)/ 65536, 32768),0)/32768)/10) &gt; 0.85,INDEX(NPCFaction,TRUNC(1+(counta(NPCFaction)-1)*(TRUNC(MOD(($B601*1103515245 +12345)/ 65536, 3276"&amp;"8),0)/32768),0)),QUERY(NPCVar!C:D,""Select D WHERE C = '""&amp;D601&amp;""'"")))"),"Traders Guild")</f>
        <v>Traders Guild</v>
      </c>
      <c r="AE601" s="108" t="e">
        <f t="shared" ca="1" si="42"/>
        <v>#NAME?</v>
      </c>
      <c r="AF601" s="159">
        <f ca="1">IFERROR(__xludf.DUMMYFUNCTION("AE601*(V601 / QUERY(NPCVar!$K$2:$N$12, ""Select N WHERE K='""&amp;AB601&amp;""'""))*TRUNC(1+10)*(TRUNC(MOD(($B601*1103515245 +12345)/ 65536, 32768),0)/32768)"),0.0401069641113281)</f>
        <v>4.0106964111328101E-2</v>
      </c>
      <c r="AG601" s="16"/>
      <c r="AH601" s="77"/>
      <c r="AI601" s="114"/>
    </row>
    <row r="602" spans="1:35" ht="16.2">
      <c r="A602" s="53">
        <v>601</v>
      </c>
      <c r="B602" s="118">
        <f t="shared" si="46"/>
        <v>1.96716</v>
      </c>
      <c r="C602" s="72" t="str">
        <f t="array" ref="C602">INDEX(NPCFName,TRUNC(1+(COUNTA(NPCFName))*(TRUNC(MOD(($B602*1103515245 +12345)/ 65536, 32768),0)/32768),0))</f>
        <v>Aldaren</v>
      </c>
      <c r="D602" s="16" t="str">
        <f t="array" ref="D602">INDEX(NPCLName,TRUNC(1+(COUNTA(NPCLName))*(TRUNC(MOD(($B602*1103515245 +12345)/ 65536, 32768),0)/32768),0))</f>
        <v>Stagfang</v>
      </c>
      <c r="E602" s="16" t="str">
        <f t="array" ref="E602">INDEX(NPCClass,TRUNC(1+(COUNTA(NPCClass))*(TRUNC(MOD(($B602*1103515245 +12345)/ 65536, 32768),0)/32768),0))</f>
        <v>Barbarian</v>
      </c>
      <c r="F602" s="76">
        <v>1</v>
      </c>
      <c r="G602" s="153">
        <f ca="1">VLOOKUP($AB$2,'RF Mod'!$A$2:$G$12,2,FALSE)+VLOOKUP($AD$2,'RF Mod'!$I$2:$O$11,2,FALSE)+(TRUNC(6+(24-6)*(TRUNC(MOD(($Z602*1103515245 +12345)/ 65536, 32768),0)/32768),0))</f>
        <v>4</v>
      </c>
      <c r="H602" s="16">
        <f t="shared" ca="1" si="33"/>
        <v>-3</v>
      </c>
      <c r="I602" s="153">
        <f ca="1">VLOOKUP($AB$2,'RF Mod'!$A$2:$G$12,3,FALSE)+VLOOKUP($AD$2,'RF Mod'!$I$2:$O$11,3,FALSE)+(TRUNC(6+(24-6)*(TRUNC(MOD(($Z602*1103515245 +12345)/ 65536, 32768),0)/32768),0))</f>
        <v>8</v>
      </c>
      <c r="J602" s="16">
        <f t="shared" ca="1" si="34"/>
        <v>-1</v>
      </c>
      <c r="K602" s="153">
        <f ca="1">VLOOKUP($AB$2,'RF Mod'!$A$2:$G$12,3,FALSE)+VLOOKUP($AD$2,'RF Mod'!$I$2:$O$11,3,FALSE)+(TRUNC(6+(24-6)*(TRUNC(MOD(($Z602*1103515245 +12345)/ 65536, 32768),0)/32768),0))</f>
        <v>8</v>
      </c>
      <c r="L602" s="16">
        <f t="shared" ca="1" si="35"/>
        <v>-1</v>
      </c>
      <c r="M602" s="153">
        <f ca="1">VLOOKUP($AB$2,'RF Mod'!$A$2:$G$12,4,FALSE)+VLOOKUP($AD$2,'RF Mod'!$I$2:$O$11,4,FALSE)+(TRUNC(6+(24-6)*(TRUNC(MOD(($Z602*1103515245 +12345)/ 65536, 32768),0)/32768),0))</f>
        <v>7</v>
      </c>
      <c r="N602" s="16">
        <f t="shared" ca="1" si="36"/>
        <v>-2</v>
      </c>
      <c r="O602" s="153">
        <f ca="1">VLOOKUP($AB$2,'RF Mod'!$A$2:$G$12,5,FALSE)+VLOOKUP($AD$2,'RF Mod'!$I$2:$O$11,5,FALSE)+(TRUNC(6+(24-6)*(TRUNC(MOD(($Z602*1103515245 +12345)/ 65536, 32768),0)/32768),0))</f>
        <v>10</v>
      </c>
      <c r="P602" s="16" t="e">
        <f t="shared" ca="1" si="37"/>
        <v>#NAME?</v>
      </c>
      <c r="Q602" s="153">
        <f ca="1">VLOOKUP($AB$2,'RF Mod'!$A$2:$G$12,6,FALSE)+VLOOKUP($AD$2,'RF Mod'!$I$2:$O$11,6,FALSE)+(TRUNC(6+(24-6)*(TRUNC(MOD(($Z602*1103515245 +12345)/ 65536, 32768),0)/32768),0))</f>
        <v>8</v>
      </c>
      <c r="R602" s="16">
        <f t="shared" ca="1" si="38"/>
        <v>-1</v>
      </c>
      <c r="S602" s="154">
        <f t="shared" ca="1" si="43"/>
        <v>10</v>
      </c>
      <c r="T602" s="154">
        <f t="shared" ca="1" si="39"/>
        <v>11</v>
      </c>
      <c r="U602" s="16" t="str">
        <f t="shared" ca="1" si="40"/>
        <v>Dead</v>
      </c>
      <c r="V602" s="155">
        <f ca="1">IFERROR(__xludf.DUMMYFUNCTION("if(W602=""Middle Age"",QUERY(NPCVar!$K$2:$N1000, ""Select L where K = '""&amp;AB602&amp;""'""),if(W602=""Old"",QUERY(NPCVar!$K$2:$N1000, ""Select M where K = '""&amp;AB602&amp;""'""),if(W602=""Venerable"",QUERY(NPCVar!$K$2:$N1000, ""Select N where K = '""&amp;AB602&amp;""'""),fa"&amp;"lse)))*X602"),2)</f>
        <v>2</v>
      </c>
      <c r="W602" s="156" t="str">
        <f t="array" ref="W602">INDEX(NPCAgeType,TRUNC(1+(4-1)*(TRUNC(MOD((X602*1103515245 +12345)/ 65536, 32768),0)/32768),0))</f>
        <v>Middle Age</v>
      </c>
      <c r="X602" s="117">
        <f t="shared" si="45"/>
        <v>0.1</v>
      </c>
      <c r="Y602" s="157" t="e">
        <f t="array" aca="1" ref="Y602" ca="1">LOOKUP(ABS(MAX(Z602 + MIN(ABS(INDIRECT("Class Jobs!B"&amp;MATCH(E602,'Class Jobs'!$A$1:$A1000,0)&amp;":"&amp;"AF"&amp;MATCH(E602,'Class Jobs'!$A$1:$A1000,0)&amp;"")-$Z602)) * SUM(IF(MIN(ABS(INDIRECT("Class Jobs!B"&amp;MATCH(E602,'Class Jobs'!$A$1:$A1000,0)&amp;":"&amp;"AF"&amp;MATCH(E602,'Class Jobs'!$A$1:$A1000,0)&amp;"")-$Z602))=ABS(INDIRECT("Class Jobs!B"&amp;MATCH(E602,'Class Jobs'!$A$1:$A1000,0)&amp;":"&amp;"AF"&amp;MATCH(E602,'Class Jobs'!$A$1:$A1000,0)&amp;"")-$Z602),SIGN(INDIRECT("Class Jobs!B"&amp;MATCH(E602,'Class Jobs'!$A$1:A1000,0)&amp;":"&amp;"AF"&amp;MATCH(E602,'Class Jobs'!$A$1:$A1000,0)&amp;"")-$Z602),0)),0)),INDIRECT("Class Jobs!B"&amp;MATCH(E602,'Class Jobs'!$A$1:$A1000,0)&amp;":"&amp;"AF"&amp;MATCH(E602,'Class Jobs'!$A$1:$A1000,1)&amp;""),'Class Jobs'!$B$1:$AF$1)</f>
        <v>#REF!</v>
      </c>
      <c r="Z602" s="158">
        <f t="shared" si="41"/>
        <v>0.02</v>
      </c>
      <c r="AA602" s="16" t="str">
        <f t="array" ref="AA602">INDEX(NPCGender,TRUNC(1+(COUNTA(NPCGender))*(TRUNC(MOD(($B602*1103515245 +12345)/ 65536, 32768),0)/32768),0))</f>
        <v>Male</v>
      </c>
      <c r="AB602" s="16" t="str">
        <f t="array" ref="AB602">INDEX(NPCRace,TRUNC(1+(COUNTA(NPCRace))*(TRUNC(MOD(($B602*1103515245 +12345)/ 65536, 32768),0)/32768),0))</f>
        <v>Dragonborn</v>
      </c>
      <c r="AC602" s="16" t="str">
        <f t="array" ref="AC602">INDEX(NPCAL,TRUNC(1+(COUNTA(NPCAL))*(TRUNC(MOD(($B602*1103515245 +12345)/ 65536, 32768),0)/32768),0))</f>
        <v>CN</v>
      </c>
      <c r="AD602" s="72" t="str">
        <f ca="1">IFERROR(__xludf.DUMMYFUNCTION("if(V602&lt;15,QUERY(NPCVar!C:D,""Select D WHERE C = '""&amp;D602&amp;""'""),if((TRUNC(1+10)*(TRUNC(MOD((ROW(H602)*1103515245 +12345)/ 65536, 32768),0)/32768)/10) &gt; 0.85,INDEX(NPCFaction,TRUNC(1+(counta(NPCFaction)-1)*(TRUNC(MOD(($B602*1103515245 +12345)/ 65536, 3276"&amp;"8),0)/32768),0)),QUERY(NPCVar!C:D,""Select D WHERE C = '""&amp;D602&amp;""'"")))"),"Royalty")</f>
        <v>Royalty</v>
      </c>
      <c r="AE602" s="108" t="e">
        <f t="shared" ca="1" si="42"/>
        <v>#NAME?</v>
      </c>
      <c r="AF602" s="159">
        <f ca="1">IFERROR(__xludf.DUMMYFUNCTION("AE602*(V602 / QUERY(NPCVar!$K$2:$N$12, ""Select N WHERE K='""&amp;AB602&amp;""'""))*TRUNC(1+10)*(TRUNC(MOD(($B602*1103515245 +12345)/ 65536, 32768),0)/32768)"),0.00148963928222656)</f>
        <v>1.4896392822265599E-3</v>
      </c>
      <c r="AG602" s="16"/>
      <c r="AH602" s="77"/>
      <c r="AI602" s="114"/>
    </row>
    <row r="603" spans="1:35" ht="16.2">
      <c r="A603" s="53">
        <v>602</v>
      </c>
      <c r="B603" s="118">
        <f t="shared" si="46"/>
        <v>0.96123000000000003</v>
      </c>
      <c r="C603" s="72" t="str">
        <f t="array" ref="C603">INDEX(NPCFName,TRUNC(1+(COUNTA(NPCFName))*(TRUNC(MOD(($B603*1103515245 +12345)/ 65536, 32768),0)/32768),0))</f>
        <v>Kib</v>
      </c>
      <c r="D603" s="16" t="str">
        <f t="array" ref="D603">INDEX(NPCLName,TRUNC(1+(COUNTA(NPCLName))*(TRUNC(MOD(($B603*1103515245 +12345)/ 65536, 32768),0)/32768),0))</f>
        <v>Autumnglow</v>
      </c>
      <c r="E603" s="16" t="str">
        <f t="array" ref="E603">INDEX(NPCClass,TRUNC(1+(COUNTA(NPCClass))*(TRUNC(MOD(($B603*1103515245 +12345)/ 65536, 32768),0)/32768),0))</f>
        <v>Ranger</v>
      </c>
      <c r="F603" s="76">
        <v>8</v>
      </c>
      <c r="G603" s="153">
        <f ca="1">VLOOKUP($AB$2,'RF Mod'!$A$2:$G$12,2,FALSE)+VLOOKUP($AD$2,'RF Mod'!$I$2:$O$11,2,FALSE)+(TRUNC(6+(24-6)*(TRUNC(MOD(($Z603*1103515245 +12345)/ 65536, 32768),0)/32768),0))</f>
        <v>8</v>
      </c>
      <c r="H603" s="16">
        <f t="shared" ca="1" si="33"/>
        <v>-1</v>
      </c>
      <c r="I603" s="153">
        <f ca="1">VLOOKUP($AB$2,'RF Mod'!$A$2:$G$12,3,FALSE)+VLOOKUP($AD$2,'RF Mod'!$I$2:$O$11,3,FALSE)+(TRUNC(6+(24-6)*(TRUNC(MOD(($Z603*1103515245 +12345)/ 65536, 32768),0)/32768),0))</f>
        <v>12</v>
      </c>
      <c r="J603" s="16" t="e">
        <f t="shared" ca="1" si="34"/>
        <v>#NAME?</v>
      </c>
      <c r="K603" s="153">
        <f ca="1">VLOOKUP($AB$2,'RF Mod'!$A$2:$G$12,3,FALSE)+VLOOKUP($AD$2,'RF Mod'!$I$2:$O$11,3,FALSE)+(TRUNC(6+(24-6)*(TRUNC(MOD(($Z603*1103515245 +12345)/ 65536, 32768),0)/32768),0))</f>
        <v>12</v>
      </c>
      <c r="L603" s="16" t="e">
        <f t="shared" ca="1" si="35"/>
        <v>#NAME?</v>
      </c>
      <c r="M603" s="153">
        <f ca="1">VLOOKUP($AB$2,'RF Mod'!$A$2:$G$12,4,FALSE)+VLOOKUP($AD$2,'RF Mod'!$I$2:$O$11,4,FALSE)+(TRUNC(6+(24-6)*(TRUNC(MOD(($Z603*1103515245 +12345)/ 65536, 32768),0)/32768),0))</f>
        <v>11</v>
      </c>
      <c r="N603" s="16" t="e">
        <f t="shared" ca="1" si="36"/>
        <v>#NAME?</v>
      </c>
      <c r="O603" s="153">
        <f ca="1">VLOOKUP($AB$2,'RF Mod'!$A$2:$G$12,5,FALSE)+VLOOKUP($AD$2,'RF Mod'!$I$2:$O$11,5,FALSE)+(TRUNC(6+(24-6)*(TRUNC(MOD(($Z603*1103515245 +12345)/ 65536, 32768),0)/32768),0))</f>
        <v>14</v>
      </c>
      <c r="P603" s="16" t="e">
        <f t="shared" ca="1" si="37"/>
        <v>#NAME?</v>
      </c>
      <c r="Q603" s="153">
        <f ca="1">VLOOKUP($AB$2,'RF Mod'!$A$2:$G$12,6,FALSE)+VLOOKUP($AD$2,'RF Mod'!$I$2:$O$11,6,FALSE)+(TRUNC(6+(24-6)*(TRUNC(MOD(($Z603*1103515245 +12345)/ 65536, 32768),0)/32768),0))</f>
        <v>12</v>
      </c>
      <c r="R603" s="16" t="e">
        <f t="shared" ca="1" si="38"/>
        <v>#NAME?</v>
      </c>
      <c r="S603" s="154">
        <f t="shared" ca="1" si="43"/>
        <v>192</v>
      </c>
      <c r="T603" s="154">
        <f t="shared" ca="1" si="39"/>
        <v>16</v>
      </c>
      <c r="U603" s="16" t="str">
        <f t="shared" ca="1" si="40"/>
        <v>Fine</v>
      </c>
      <c r="V603" s="155">
        <f ca="1">IFERROR(__xludf.DUMMYFUNCTION("if(W603=""Middle Age"",QUERY(NPCVar!$K$2:$N1000, ""Select L where K = '""&amp;AB603&amp;""'""),if(W603=""Old"",QUERY(NPCVar!$K$2:$N1000, ""Select M where K = '""&amp;AB603&amp;""'""),if(W603=""Venerable"",QUERY(NPCVar!$K$2:$N1000, ""Select N where K = '""&amp;AB603&amp;""'""),fa"&amp;"lse)))*X603"),31.5)</f>
        <v>31.5</v>
      </c>
      <c r="W603" s="156" t="str">
        <f t="array" ref="W603">INDEX(NPCAgeType,TRUNC(1+(4-1)*(TRUNC(MOD((X603*1103515245 +12345)/ 65536, 32768),0)/32768),0))</f>
        <v>Old</v>
      </c>
      <c r="X603" s="117">
        <f t="shared" si="45"/>
        <v>1.2</v>
      </c>
      <c r="Y603" s="157" t="e">
        <f t="array" aca="1" ref="Y603" ca="1">LOOKUP(ABS(MAX(Z603 + MIN(ABS(INDIRECT("Class Jobs!B"&amp;MATCH(E603,'Class Jobs'!$A$1:$A1000,0)&amp;":"&amp;"AF"&amp;MATCH(E603,'Class Jobs'!$A$1:$A1000,0)&amp;"")-$Z603)) * SUM(IF(MIN(ABS(INDIRECT("Class Jobs!B"&amp;MATCH(E603,'Class Jobs'!$A$1:$A1000,0)&amp;":"&amp;"AF"&amp;MATCH(E603,'Class Jobs'!$A$1:$A1000,0)&amp;"")-$Z603))=ABS(INDIRECT("Class Jobs!B"&amp;MATCH(E603,'Class Jobs'!$A$1:$A1000,0)&amp;":"&amp;"AF"&amp;MATCH(E603,'Class Jobs'!$A$1:$A1000,0)&amp;"")-$Z603),SIGN(INDIRECT("Class Jobs!B"&amp;MATCH(E603,'Class Jobs'!$A$1:A1000,0)&amp;":"&amp;"AF"&amp;MATCH(E603,'Class Jobs'!$A$1:$A1000,0)&amp;"")-$Z603),0)),0)),INDIRECT("Class Jobs!B"&amp;MATCH(E603,'Class Jobs'!$A$1:$A1000,0)&amp;":"&amp;"AF"&amp;MATCH(E603,'Class Jobs'!$A$1:$A1000,1)&amp;""),'Class Jobs'!$B$1:$AF$1)</f>
        <v>#REF!</v>
      </c>
      <c r="Z603" s="158">
        <f t="shared" si="41"/>
        <v>0.49</v>
      </c>
      <c r="AA603" s="16" t="str">
        <f t="array" ref="AA603">INDEX(NPCGender,TRUNC(1+(COUNTA(NPCGender))*(TRUNC(MOD(($B603*1103515245 +12345)/ 65536, 32768),0)/32768),0))</f>
        <v>Female</v>
      </c>
      <c r="AB603" s="16" t="str">
        <f t="array" ref="AB603">INDEX(NPCRace,TRUNC(1+(COUNTA(NPCRace))*(TRUNC(MOD(($B603*1103515245 +12345)/ 65536, 32768),0)/32768),0))</f>
        <v>Half-Orc</v>
      </c>
      <c r="AC603" s="16" t="str">
        <f t="array" ref="AC603">INDEX(NPCAL,TRUNC(1+(COUNTA(NPCAL))*(TRUNC(MOD(($B603*1103515245 +12345)/ 65536, 32768),0)/32768),0))</f>
        <v>NN</v>
      </c>
      <c r="AD603" s="72" t="str">
        <f ca="1">IFERROR(__xludf.DUMMYFUNCTION("if(V603&lt;15,QUERY(NPCVar!C:D,""Select D WHERE C = '""&amp;D603&amp;""'""),if((TRUNC(1+10)*(TRUNC(MOD((ROW(H603)*1103515245 +12345)/ 65536, 32768),0)/32768)/10) &gt; 0.85,INDEX(NPCFaction,TRUNC(1+(counta(NPCFaction)-1)*(TRUNC(MOD(($B603*1103515245 +12345)/ 65536, 3276"&amp;"8),0)/32768),0)),QUERY(NPCVar!C:D,""Select D WHERE C = '""&amp;D603&amp;""'"")))"),"Thieves Guild")</f>
        <v>Thieves Guild</v>
      </c>
      <c r="AE603" s="108" t="e">
        <f t="shared" ca="1" si="42"/>
        <v>#NAME?</v>
      </c>
      <c r="AF603" s="159">
        <f ca="1">IFERROR(__xludf.DUMMYFUNCTION("AE603*(V603 / QUERY(NPCVar!$K$2:$N$12, ""Select N WHERE K='""&amp;AB603&amp;""'""))*TRUNC(1+10)*(TRUNC(MOD(($B603*1103515245 +12345)/ 65536, 32768),0)/32768)"),1.22246932983398)</f>
        <v>1.2224693298339799</v>
      </c>
      <c r="AG603" s="16"/>
      <c r="AH603" s="77"/>
      <c r="AI603" s="114"/>
    </row>
    <row r="604" spans="1:35" ht="16.2">
      <c r="A604" s="53">
        <v>603</v>
      </c>
      <c r="B604" s="118">
        <f t="shared" si="46"/>
        <v>2.4553600000000002</v>
      </c>
      <c r="C604" s="72" t="str">
        <f t="array" ref="C604">INDEX(NPCFName,TRUNC(1+(COUNTA(NPCFName))*(TRUNC(MOD(($B604*1103515245 +12345)/ 65536, 32768),0)/32768),0))</f>
        <v>Senthyril</v>
      </c>
      <c r="D604" s="16" t="str">
        <f t="array" ref="D604">INDEX(NPCLName,TRUNC(1+(COUNTA(NPCLName))*(TRUNC(MOD(($B604*1103515245 +12345)/ 65536, 32768),0)/32768),0))</f>
        <v>Tuskleaf</v>
      </c>
      <c r="E604" s="16" t="str">
        <f t="array" ref="E604">INDEX(NPCClass,TRUNC(1+(COUNTA(NPCClass))*(TRUNC(MOD(($B604*1103515245 +12345)/ 65536, 32768),0)/32768),0))</f>
        <v>Monk</v>
      </c>
      <c r="F604" s="76">
        <v>1</v>
      </c>
      <c r="G604" s="153">
        <f ca="1">VLOOKUP($AB$2,'RF Mod'!$A$2:$G$12,2,FALSE)+VLOOKUP($AD$2,'RF Mod'!$I$2:$O$11,2,FALSE)+(TRUNC(6+(24-6)*(TRUNC(MOD(($Z604*1103515245 +12345)/ 65536, 32768),0)/32768),0))</f>
        <v>6</v>
      </c>
      <c r="H604" s="16">
        <f t="shared" ca="1" si="33"/>
        <v>-2</v>
      </c>
      <c r="I604" s="153">
        <f ca="1">VLOOKUP($AB$2,'RF Mod'!$A$2:$G$12,3,FALSE)+VLOOKUP($AD$2,'RF Mod'!$I$2:$O$11,3,FALSE)+(TRUNC(6+(24-6)*(TRUNC(MOD(($Z604*1103515245 +12345)/ 65536, 32768),0)/32768),0))</f>
        <v>10</v>
      </c>
      <c r="J604" s="16" t="e">
        <f t="shared" ca="1" si="34"/>
        <v>#NAME?</v>
      </c>
      <c r="K604" s="153">
        <f ca="1">VLOOKUP($AB$2,'RF Mod'!$A$2:$G$12,3,FALSE)+VLOOKUP($AD$2,'RF Mod'!$I$2:$O$11,3,FALSE)+(TRUNC(6+(24-6)*(TRUNC(MOD(($Z604*1103515245 +12345)/ 65536, 32768),0)/32768),0))</f>
        <v>10</v>
      </c>
      <c r="L604" s="16" t="e">
        <f t="shared" ca="1" si="35"/>
        <v>#NAME?</v>
      </c>
      <c r="M604" s="153">
        <f ca="1">VLOOKUP($AB$2,'RF Mod'!$A$2:$G$12,4,FALSE)+VLOOKUP($AD$2,'RF Mod'!$I$2:$O$11,4,FALSE)+(TRUNC(6+(24-6)*(TRUNC(MOD(($Z604*1103515245 +12345)/ 65536, 32768),0)/32768),0))</f>
        <v>9</v>
      </c>
      <c r="N604" s="16">
        <f t="shared" ca="1" si="36"/>
        <v>-1</v>
      </c>
      <c r="O604" s="153">
        <f ca="1">VLOOKUP($AB$2,'RF Mod'!$A$2:$G$12,5,FALSE)+VLOOKUP($AD$2,'RF Mod'!$I$2:$O$11,5,FALSE)+(TRUNC(6+(24-6)*(TRUNC(MOD(($Z604*1103515245 +12345)/ 65536, 32768),0)/32768),0))</f>
        <v>12</v>
      </c>
      <c r="P604" s="16" t="e">
        <f t="shared" ca="1" si="37"/>
        <v>#NAME?</v>
      </c>
      <c r="Q604" s="153">
        <f ca="1">VLOOKUP($AB$2,'RF Mod'!$A$2:$G$12,6,FALSE)+VLOOKUP($AD$2,'RF Mod'!$I$2:$O$11,6,FALSE)+(TRUNC(6+(24-6)*(TRUNC(MOD(($Z604*1103515245 +12345)/ 65536, 32768),0)/32768),0))</f>
        <v>10</v>
      </c>
      <c r="R604" s="16" t="e">
        <f t="shared" ca="1" si="38"/>
        <v>#NAME?</v>
      </c>
      <c r="S604" s="154">
        <f t="shared" ca="1" si="43"/>
        <v>16</v>
      </c>
      <c r="T604" s="154">
        <f t="shared" ca="1" si="39"/>
        <v>4</v>
      </c>
      <c r="U604" s="16" t="str">
        <f t="shared" ca="1" si="40"/>
        <v>Fine</v>
      </c>
      <c r="V604" s="155">
        <f ca="1">IFERROR(__xludf.DUMMYFUNCTION("if(W604=""Middle Age"",QUERY(NPCVar!$K$2:$N1000, ""Select L where K = '""&amp;AB604&amp;""'""),if(W604=""Old"",QUERY(NPCVar!$K$2:$N1000, ""Select M where K = '""&amp;AB604&amp;""'""),if(W604=""Venerable"",QUERY(NPCVar!$K$2:$N1000, ""Select N where K = '""&amp;AB604&amp;""'""),fa"&amp;"lse)))*X604"),196.875)</f>
        <v>196.875</v>
      </c>
      <c r="W604" s="156" t="str">
        <f t="array" ref="W604">INDEX(NPCAgeType,TRUNC(1+(4-1)*(TRUNC(MOD((X604*1103515245 +12345)/ 65536, 32768),0)/32768),0))</f>
        <v>Old</v>
      </c>
      <c r="X604" s="117">
        <f t="shared" si="45"/>
        <v>0.7</v>
      </c>
      <c r="Y604" s="157" t="e">
        <f t="array" aca="1" ref="Y604" ca="1">LOOKUP(ABS(MAX(Z604 + MIN(ABS(INDIRECT("Class Jobs!B"&amp;MATCH(E604,'Class Jobs'!$A$1:$A1000,0)&amp;":"&amp;"AF"&amp;MATCH(E604,'Class Jobs'!$A$1:$A1000,0)&amp;"")-$Z604)) * SUM(IF(MIN(ABS(INDIRECT("Class Jobs!B"&amp;MATCH(E604,'Class Jobs'!$A$1:$A1000,0)&amp;":"&amp;"AF"&amp;MATCH(E604,'Class Jobs'!$A$1:$A1000,0)&amp;"")-$Z604))=ABS(INDIRECT("Class Jobs!B"&amp;MATCH(E604,'Class Jobs'!$A$1:$A1000,0)&amp;":"&amp;"AF"&amp;MATCH(E604,'Class Jobs'!$A$1:$A1000,0)&amp;"")-$Z604),SIGN(INDIRECT("Class Jobs!B"&amp;MATCH(E604,'Class Jobs'!$A$1:A1000,0)&amp;":"&amp;"AF"&amp;MATCH(E604,'Class Jobs'!$A$1:$A1000,0)&amp;"")-$Z604),0)),0)),INDIRECT("Class Jobs!B"&amp;MATCH(E604,'Class Jobs'!$A$1:$A1000,0)&amp;":"&amp;"AF"&amp;MATCH(E604,'Class Jobs'!$A$1:$A1000,1)&amp;""),'Class Jobs'!$B$1:$AF$1)</f>
        <v>#REF!</v>
      </c>
      <c r="Z604" s="158">
        <f t="shared" si="41"/>
        <v>0.26</v>
      </c>
      <c r="AA604" s="16" t="str">
        <f t="array" ref="AA604">INDEX(NPCGender,TRUNC(1+(COUNTA(NPCGender))*(TRUNC(MOD(($B604*1103515245 +12345)/ 65536, 32768),0)/32768),0))</f>
        <v>Male</v>
      </c>
      <c r="AB604" s="16" t="str">
        <f t="array" ref="AB604">INDEX(NPCRace,TRUNC(1+(COUNTA(NPCRace))*(TRUNC(MOD(($B604*1103515245 +12345)/ 65536, 32768),0)/32768),0))</f>
        <v>Elf</v>
      </c>
      <c r="AC604" s="16" t="str">
        <f t="array" ref="AC604">INDEX(NPCAL,TRUNC(1+(COUNTA(NPCAL))*(TRUNC(MOD(($B604*1103515245 +12345)/ 65536, 32768),0)/32768),0))</f>
        <v>CG</v>
      </c>
      <c r="AD604" s="72" t="str">
        <f ca="1">IFERROR(__xludf.DUMMYFUNCTION("if(V604&lt;15,QUERY(NPCVar!C:D,""Select D WHERE C = '""&amp;D604&amp;""'""),if((TRUNC(1+10)*(TRUNC(MOD((ROW(H604)*1103515245 +12345)/ 65536, 32768),0)/32768)/10) &gt; 0.85,INDEX(NPCFaction,TRUNC(1+(counta(NPCFaction)-1)*(TRUNC(MOD(($B604*1103515245 +12345)/ 65536, 3276"&amp;"8),0)/32768),0)),QUERY(NPCVar!C:D,""Select D WHERE C = '""&amp;D604&amp;""'"")))"),"Magic Guild")</f>
        <v>Magic Guild</v>
      </c>
      <c r="AE604" s="108" t="e">
        <f t="shared" ca="1" si="42"/>
        <v>#NAME?</v>
      </c>
      <c r="AF604" s="159">
        <f ca="1">IFERROR(__xludf.DUMMYFUNCTION("AE604*(V604 / QUERY(NPCVar!$K$2:$N$12, ""Select N WHERE K='""&amp;AB604&amp;""'""))*TRUNC(1+10)*(TRUNC(MOD(($B604*1103515245 +12345)/ 65536, 32768),0)/32768)"),0.453427734375)</f>
        <v>0.453427734375</v>
      </c>
      <c r="AG604" s="16"/>
      <c r="AH604" s="77"/>
      <c r="AI604" s="114"/>
    </row>
    <row r="605" spans="1:35" ht="16.2">
      <c r="A605" s="53">
        <v>604</v>
      </c>
      <c r="B605" s="118">
        <f t="shared" si="46"/>
        <v>1.4495100000000001</v>
      </c>
      <c r="C605" s="72" t="str">
        <f t="array" ref="C605">INDEX(NPCFName,TRUNC(1+(COUNTA(NPCFName))*(TRUNC(MOD(($B605*1103515245 +12345)/ 65536, 32768),0)/32768),0))</f>
        <v>Drakoe</v>
      </c>
      <c r="D605" s="16" t="str">
        <f t="array" ref="D605">INDEX(NPCLName,TRUNC(1+(COUNTA(NPCLName))*(TRUNC(MOD(($B605*1103515245 +12345)/ 65536, 32768),0)/32768),0))</f>
        <v>Sacredgloom</v>
      </c>
      <c r="E605" s="16" t="str">
        <f t="array" ref="E605">INDEX(NPCClass,TRUNC(1+(COUNTA(NPCClass))*(TRUNC(MOD(($B605*1103515245 +12345)/ 65536, 32768),0)/32768),0))</f>
        <v>None</v>
      </c>
      <c r="F605" s="76">
        <v>8</v>
      </c>
      <c r="G605" s="153">
        <f ca="1">VLOOKUP($AB$2,'RF Mod'!$A$2:$G$12,2,FALSE)+VLOOKUP($AD$2,'RF Mod'!$I$2:$O$11,2,FALSE)+(TRUNC(6+(24-6)*(TRUNC(MOD(($Z605*1103515245 +12345)/ 65536, 32768),0)/32768),0))</f>
        <v>10</v>
      </c>
      <c r="H605" s="16" t="e">
        <f t="shared" ca="1" si="33"/>
        <v>#NAME?</v>
      </c>
      <c r="I605" s="153">
        <f ca="1">VLOOKUP($AB$2,'RF Mod'!$A$2:$G$12,3,FALSE)+VLOOKUP($AD$2,'RF Mod'!$I$2:$O$11,3,FALSE)+(TRUNC(6+(24-6)*(TRUNC(MOD(($Z605*1103515245 +12345)/ 65536, 32768),0)/32768),0))</f>
        <v>14</v>
      </c>
      <c r="J605" s="16" t="e">
        <f t="shared" ca="1" si="34"/>
        <v>#NAME?</v>
      </c>
      <c r="K605" s="153">
        <f ca="1">VLOOKUP($AB$2,'RF Mod'!$A$2:$G$12,3,FALSE)+VLOOKUP($AD$2,'RF Mod'!$I$2:$O$11,3,FALSE)+(TRUNC(6+(24-6)*(TRUNC(MOD(($Z605*1103515245 +12345)/ 65536, 32768),0)/32768),0))</f>
        <v>14</v>
      </c>
      <c r="L605" s="16" t="e">
        <f t="shared" ca="1" si="35"/>
        <v>#NAME?</v>
      </c>
      <c r="M605" s="153">
        <f ca="1">VLOOKUP($AB$2,'RF Mod'!$A$2:$G$12,4,FALSE)+VLOOKUP($AD$2,'RF Mod'!$I$2:$O$11,4,FALSE)+(TRUNC(6+(24-6)*(TRUNC(MOD(($Z605*1103515245 +12345)/ 65536, 32768),0)/32768),0))</f>
        <v>13</v>
      </c>
      <c r="N605" s="16" t="e">
        <f t="shared" ca="1" si="36"/>
        <v>#NAME?</v>
      </c>
      <c r="O605" s="153">
        <f ca="1">VLOOKUP($AB$2,'RF Mod'!$A$2:$G$12,5,FALSE)+VLOOKUP($AD$2,'RF Mod'!$I$2:$O$11,5,FALSE)+(TRUNC(6+(24-6)*(TRUNC(MOD(($Z605*1103515245 +12345)/ 65536, 32768),0)/32768),0))</f>
        <v>16</v>
      </c>
      <c r="P605" s="16" t="e">
        <f t="shared" ca="1" si="37"/>
        <v>#NAME?</v>
      </c>
      <c r="Q605" s="153">
        <f ca="1">VLOOKUP($AB$2,'RF Mod'!$A$2:$G$12,6,FALSE)+VLOOKUP($AD$2,'RF Mod'!$I$2:$O$11,6,FALSE)+(TRUNC(6+(24-6)*(TRUNC(MOD(($Z605*1103515245 +12345)/ 65536, 32768),0)/32768),0))</f>
        <v>14</v>
      </c>
      <c r="R605" s="16" t="e">
        <f t="shared" ca="1" si="38"/>
        <v>#NAME?</v>
      </c>
      <c r="S605" s="154">
        <f t="shared" ca="1" si="43"/>
        <v>240</v>
      </c>
      <c r="T605" s="154">
        <f t="shared" ca="1" si="39"/>
        <v>288</v>
      </c>
      <c r="U605" s="16" t="str">
        <f t="shared" ca="1" si="40"/>
        <v>Dead</v>
      </c>
      <c r="V605" s="155">
        <f ca="1">IFERROR(__xludf.DUMMYFUNCTION("if(W605=""Middle Age"",QUERY(NPCVar!$K$2:$N1000, ""Select L where K = '""&amp;AB605&amp;""'""),if(W605=""Old"",QUERY(NPCVar!$K$2:$N1000, ""Select M where K = '""&amp;AB605&amp;""'""),if(W605=""Venerable"",QUERY(NPCVar!$K$2:$N1000, ""Select N where K = '""&amp;AB605&amp;""'""),fa"&amp;"lse)))*X605"),180)</f>
        <v>180</v>
      </c>
      <c r="W605" s="156" t="str">
        <f t="array" ref="W605">INDEX(NPCAgeType,TRUNC(1+(4-1)*(TRUNC(MOD((X605*1103515245 +12345)/ 65536, 32768),0)/32768),0))</f>
        <v>Venerable</v>
      </c>
      <c r="X605" s="117">
        <f t="shared" si="45"/>
        <v>1.8</v>
      </c>
      <c r="Y605" s="157" t="e">
        <f t="array" aca="1" ref="Y605" ca="1">LOOKUP(ABS(MAX(Z605 + MIN(ABS(INDIRECT("Class Jobs!B"&amp;MATCH(E605,'Class Jobs'!$A$1:$A1000,0)&amp;":"&amp;"AF"&amp;MATCH(E605,'Class Jobs'!$A$1:$A1000,0)&amp;"")-$Z605)) * SUM(IF(MIN(ABS(INDIRECT("Class Jobs!B"&amp;MATCH(E605,'Class Jobs'!$A$1:$A1000,0)&amp;":"&amp;"AF"&amp;MATCH(E605,'Class Jobs'!$A$1:$A1000,0)&amp;"")-$Z605))=ABS(INDIRECT("Class Jobs!B"&amp;MATCH(E605,'Class Jobs'!$A$1:$A1000,0)&amp;":"&amp;"AF"&amp;MATCH(E605,'Class Jobs'!$A$1:$A1000,0)&amp;"")-$Z605),SIGN(INDIRECT("Class Jobs!B"&amp;MATCH(E605,'Class Jobs'!$A$1:A1000,0)&amp;":"&amp;"AF"&amp;MATCH(E605,'Class Jobs'!$A$1:$A1000,0)&amp;"")-$Z605),0)),0)),INDIRECT("Class Jobs!B"&amp;MATCH(E605,'Class Jobs'!$A$1:$A1000,0)&amp;":"&amp;"AF"&amp;MATCH(E605,'Class Jobs'!$A$1:$A1000,1)&amp;""),'Class Jobs'!$B$1:$AF$1)</f>
        <v>#REF!</v>
      </c>
      <c r="Z605" s="158">
        <f t="shared" si="41"/>
        <v>0.74</v>
      </c>
      <c r="AA605" s="16" t="str">
        <f t="array" ref="AA605">INDEX(NPCGender,TRUNC(1+(COUNTA(NPCGender))*(TRUNC(MOD(($B605*1103515245 +12345)/ 65536, 32768),0)/32768),0))</f>
        <v>Neutral</v>
      </c>
      <c r="AB605" s="16" t="str">
        <f t="array" ref="AB605">INDEX(NPCRace,TRUNC(1+(COUNTA(NPCRace))*(TRUNC(MOD(($B605*1103515245 +12345)/ 65536, 32768),0)/32768),0))</f>
        <v>Tiefling</v>
      </c>
      <c r="AC605" s="16" t="str">
        <f t="array" ref="AC605">INDEX(NPCAL,TRUNC(1+(COUNTA(NPCAL))*(TRUNC(MOD(($B605*1103515245 +12345)/ 65536, 32768),0)/32768),0))</f>
        <v>LG</v>
      </c>
      <c r="AD605" s="72" t="str">
        <f ca="1">IFERROR(__xludf.DUMMYFUNCTION("if(V605&lt;15,QUERY(NPCVar!C:D,""Select D WHERE C = '""&amp;D605&amp;""'""),if((TRUNC(1+10)*(TRUNC(MOD((ROW(H605)*1103515245 +12345)/ 65536, 32768),0)/32768)/10) &gt; 0.85,INDEX(NPCFaction,TRUNC(1+(counta(NPCFaction)-1)*(TRUNC(MOD(($B605*1103515245 +12345)/ 65536, 3276"&amp;"8),0)/32768),0)),QUERY(NPCVar!C:D,""Select D WHERE C = '""&amp;D605&amp;""'"")))"),"Magic Guild")</f>
        <v>Magic Guild</v>
      </c>
      <c r="AE605" s="108" t="e">
        <f t="shared" ca="1" si="42"/>
        <v>#NAME?</v>
      </c>
      <c r="AF605" s="159">
        <f ca="1">IFERROR(__xludf.DUMMYFUNCTION("AE605*(V605 / QUERY(NPCVar!$K$2:$N$12, ""Select N WHERE K='""&amp;AB605&amp;""'""))*TRUNC(1+10)*(TRUNC(MOD(($B605*1103515245 +12345)/ 65536, 32768),0)/32768)"),7.37394104003906)</f>
        <v>7.3739410400390604</v>
      </c>
      <c r="AG605" s="16"/>
      <c r="AH605" s="77"/>
      <c r="AI605" s="114"/>
    </row>
    <row r="606" spans="1:35" ht="16.2">
      <c r="A606" s="53">
        <v>605</v>
      </c>
      <c r="B606" s="118">
        <f t="shared" si="46"/>
        <v>0.44364999999999999</v>
      </c>
      <c r="C606" s="72" t="str">
        <f t="array" ref="C606">INDEX(NPCFName,TRUNC(1+(COUNTA(NPCFName))*(TRUNC(MOD(($B606*1103515245 +12345)/ 65536, 32768),0)/32768),0))</f>
        <v>Phoenix</v>
      </c>
      <c r="D606" s="16" t="str">
        <f t="array" ref="D606">INDEX(NPCLName,TRUNC(1+(COUNTA(NPCLName))*(TRUNC(MOD(($B606*1103515245 +12345)/ 65536, 32768),0)/32768),0))</f>
        <v>Stillsun</v>
      </c>
      <c r="E606" s="16" t="str">
        <f t="array" ref="E606">INDEX(NPCClass,TRUNC(1+(COUNTA(NPCClass))*(TRUNC(MOD(($B606*1103515245 +12345)/ 65536, 32768),0)/32768),0))</f>
        <v>Druid</v>
      </c>
      <c r="F606" s="76">
        <v>4</v>
      </c>
      <c r="G606" s="153">
        <f ca="1">VLOOKUP($AB$2,'RF Mod'!$A$2:$G$12,2,FALSE)+VLOOKUP($AD$2,'RF Mod'!$I$2:$O$11,2,FALSE)+(TRUNC(6+(24-6)*(TRUNC(MOD(($Z606*1103515245 +12345)/ 65536, 32768),0)/32768),0))</f>
        <v>6</v>
      </c>
      <c r="H606" s="16">
        <f t="shared" ca="1" si="33"/>
        <v>-2</v>
      </c>
      <c r="I606" s="153">
        <f ca="1">VLOOKUP($AB$2,'RF Mod'!$A$2:$G$12,3,FALSE)+VLOOKUP($AD$2,'RF Mod'!$I$2:$O$11,3,FALSE)+(TRUNC(6+(24-6)*(TRUNC(MOD(($Z606*1103515245 +12345)/ 65536, 32768),0)/32768),0))</f>
        <v>10</v>
      </c>
      <c r="J606" s="16" t="e">
        <f t="shared" ca="1" si="34"/>
        <v>#NAME?</v>
      </c>
      <c r="K606" s="153">
        <f ca="1">VLOOKUP($AB$2,'RF Mod'!$A$2:$G$12,3,FALSE)+VLOOKUP($AD$2,'RF Mod'!$I$2:$O$11,3,FALSE)+(TRUNC(6+(24-6)*(TRUNC(MOD(($Z606*1103515245 +12345)/ 65536, 32768),0)/32768),0))</f>
        <v>10</v>
      </c>
      <c r="L606" s="16" t="e">
        <f t="shared" ca="1" si="35"/>
        <v>#NAME?</v>
      </c>
      <c r="M606" s="153">
        <f ca="1">VLOOKUP($AB$2,'RF Mod'!$A$2:$G$12,4,FALSE)+VLOOKUP($AD$2,'RF Mod'!$I$2:$O$11,4,FALSE)+(TRUNC(6+(24-6)*(TRUNC(MOD(($Z606*1103515245 +12345)/ 65536, 32768),0)/32768),0))</f>
        <v>9</v>
      </c>
      <c r="N606" s="16">
        <f t="shared" ca="1" si="36"/>
        <v>-1</v>
      </c>
      <c r="O606" s="153">
        <f ca="1">VLOOKUP($AB$2,'RF Mod'!$A$2:$G$12,5,FALSE)+VLOOKUP($AD$2,'RF Mod'!$I$2:$O$11,5,FALSE)+(TRUNC(6+(24-6)*(TRUNC(MOD(($Z606*1103515245 +12345)/ 65536, 32768),0)/32768),0))</f>
        <v>12</v>
      </c>
      <c r="P606" s="16" t="e">
        <f t="shared" ca="1" si="37"/>
        <v>#NAME?</v>
      </c>
      <c r="Q606" s="153">
        <f ca="1">VLOOKUP($AB$2,'RF Mod'!$A$2:$G$12,6,FALSE)+VLOOKUP($AD$2,'RF Mod'!$I$2:$O$11,6,FALSE)+(TRUNC(6+(24-6)*(TRUNC(MOD(($Z606*1103515245 +12345)/ 65536, 32768),0)/32768),0))</f>
        <v>10</v>
      </c>
      <c r="R606" s="16" t="e">
        <f t="shared" ca="1" si="38"/>
        <v>#NAME?</v>
      </c>
      <c r="S606" s="154">
        <f t="shared" ca="1" si="43"/>
        <v>56</v>
      </c>
      <c r="T606" s="154">
        <f t="shared" ca="1" si="39"/>
        <v>19</v>
      </c>
      <c r="U606" s="16" t="str">
        <f t="shared" ca="1" si="40"/>
        <v>Fine</v>
      </c>
      <c r="V606" s="155">
        <f ca="1">IFERROR(__xludf.DUMMYFUNCTION("if(W606=""Middle Age"",QUERY(NPCVar!$K$2:$N1000, ""Select L where K = '""&amp;AB606&amp;""'""),if(W606=""Old"",QUERY(NPCVar!$K$2:$N1000, ""Select M where K = '""&amp;AB606&amp;""'""),if(W606=""Venerable"",QUERY(NPCVar!$K$2:$N1000, ""Select N where K = '""&amp;AB606&amp;""'""),fa"&amp;"lse)))*X606"),112.5)</f>
        <v>112.5</v>
      </c>
      <c r="W606" s="156" t="str">
        <f t="array" ref="W606">INDEX(NPCAgeType,TRUNC(1+(4-1)*(TRUNC(MOD((X606*1103515245 +12345)/ 65536, 32768),0)/32768),0))</f>
        <v>Middle Age</v>
      </c>
      <c r="X606" s="117">
        <f t="shared" si="45"/>
        <v>0.6</v>
      </c>
      <c r="Y606" s="157" t="e">
        <f t="array" aca="1" ref="Y606" ca="1">LOOKUP(ABS(MAX(Z606 + MIN(ABS(INDIRECT("Class Jobs!B"&amp;MATCH(E606,'Class Jobs'!$A$1:$A1000,0)&amp;":"&amp;"AF"&amp;MATCH(E606,'Class Jobs'!$A$1:$A1000,0)&amp;"")-$Z606)) * SUM(IF(MIN(ABS(INDIRECT("Class Jobs!B"&amp;MATCH(E606,'Class Jobs'!$A$1:$A1000,0)&amp;":"&amp;"AF"&amp;MATCH(E606,'Class Jobs'!$A$1:$A1000,0)&amp;"")-$Z606))=ABS(INDIRECT("Class Jobs!B"&amp;MATCH(E606,'Class Jobs'!$A$1:$A1000,0)&amp;":"&amp;"AF"&amp;MATCH(E606,'Class Jobs'!$A$1:$A1000,0)&amp;"")-$Z606),SIGN(INDIRECT("Class Jobs!B"&amp;MATCH(E606,'Class Jobs'!$A$1:A1000,0)&amp;":"&amp;"AF"&amp;MATCH(E606,'Class Jobs'!$A$1:$A1000,0)&amp;"")-$Z606),0)),0)),INDIRECT("Class Jobs!B"&amp;MATCH(E606,'Class Jobs'!$A$1:$A1000,0)&amp;":"&amp;"AF"&amp;MATCH(E606,'Class Jobs'!$A$1:$A1000,1)&amp;""),'Class Jobs'!$B$1:$AF$1)</f>
        <v>#REF!</v>
      </c>
      <c r="Z606" s="158">
        <f t="shared" si="41"/>
        <v>0.23</v>
      </c>
      <c r="AA606" s="16" t="str">
        <f t="array" ref="AA606">INDEX(NPCGender,TRUNC(1+(COUNTA(NPCGender))*(TRUNC(MOD(($B606*1103515245 +12345)/ 65536, 32768),0)/32768),0))</f>
        <v>Male</v>
      </c>
      <c r="AB606" s="16" t="str">
        <f t="array" ref="AB606">INDEX(NPCRace,TRUNC(1+(COUNTA(NPCRace))*(TRUNC(MOD(($B606*1103515245 +12345)/ 65536, 32768),0)/32768),0))</f>
        <v>Elf</v>
      </c>
      <c r="AC606" s="16" t="str">
        <f t="array" ref="AC606">INDEX(NPCAL,TRUNC(1+(COUNTA(NPCAL))*(TRUNC(MOD(($B606*1103515245 +12345)/ 65536, 32768),0)/32768),0))</f>
        <v>CG</v>
      </c>
      <c r="AD606" s="72" t="str">
        <f ca="1">IFERROR(__xludf.DUMMYFUNCTION("if(V606&lt;15,QUERY(NPCVar!C:D,""Select D WHERE C = '""&amp;D606&amp;""'""),if((TRUNC(1+10)*(TRUNC(MOD((ROW(H606)*1103515245 +12345)/ 65536, 32768),0)/32768)/10) &gt; 0.85,INDEX(NPCFaction,TRUNC(1+(counta(NPCFaction)-1)*(TRUNC(MOD(($B606*1103515245 +12345)/ 65536, 3276"&amp;"8),0)/32768),0)),QUERY(NPCVar!C:D,""Select D WHERE C = '""&amp;D606&amp;""'"")))"),"Necromancer")</f>
        <v>Necromancer</v>
      </c>
      <c r="AE606" s="108" t="e">
        <f t="shared" ca="1" si="42"/>
        <v>#NAME?</v>
      </c>
      <c r="AF606" s="159">
        <f ca="1">IFERROR(__xludf.DUMMYFUNCTION("AE606*(V606 / QUERY(NPCVar!$K$2:$N$12, ""Select N WHERE K='""&amp;AB606&amp;""'""))*TRUNC(1+10)*(TRUNC(MOD(($B606*1103515245 +12345)/ 65536, 32768),0)/32768)"),0.225686645507812)</f>
        <v>0.22568664550781201</v>
      </c>
      <c r="AG606" s="16"/>
      <c r="AH606" s="77"/>
      <c r="AI606" s="114"/>
    </row>
    <row r="607" spans="1:35" ht="16.2">
      <c r="A607" s="53">
        <v>606</v>
      </c>
      <c r="B607" s="118">
        <f t="shared" si="46"/>
        <v>1.9377899999999999</v>
      </c>
      <c r="C607" s="72" t="str">
        <f t="array" ref="C607">INDEX(NPCFName,TRUNC(1+(COUNTA(NPCFName))*(TRUNC(MOD(($B607*1103515245 +12345)/ 65536, 32768),0)/32768),0))</f>
        <v>Zile</v>
      </c>
      <c r="D607" s="16" t="str">
        <f t="array" ref="D607">INDEX(NPCLName,TRUNC(1+(COUNTA(NPCLName))*(TRUNC(MOD(($B607*1103515245 +12345)/ 65536, 32768),0)/32768),0))</f>
        <v>Stillspell</v>
      </c>
      <c r="E607" s="16" t="str">
        <f t="array" ref="E607">INDEX(NPCClass,TRUNC(1+(COUNTA(NPCClass))*(TRUNC(MOD(($B607*1103515245 +12345)/ 65536, 32768),0)/32768),0))</f>
        <v>Wizard</v>
      </c>
      <c r="F607" s="76">
        <v>8</v>
      </c>
      <c r="G607" s="153">
        <f ca="1">VLOOKUP($AB$2,'RF Mod'!$A$2:$G$12,2,FALSE)+VLOOKUP($AD$2,'RF Mod'!$I$2:$O$11,2,FALSE)+(TRUNC(6+(24-6)*(TRUNC(MOD(($Z607*1103515245 +12345)/ 65536, 32768),0)/32768),0))</f>
        <v>13</v>
      </c>
      <c r="H607" s="16" t="e">
        <f t="shared" ca="1" si="33"/>
        <v>#NAME?</v>
      </c>
      <c r="I607" s="153">
        <f ca="1">VLOOKUP($AB$2,'RF Mod'!$A$2:$G$12,3,FALSE)+VLOOKUP($AD$2,'RF Mod'!$I$2:$O$11,3,FALSE)+(TRUNC(6+(24-6)*(TRUNC(MOD(($Z607*1103515245 +12345)/ 65536, 32768),0)/32768),0))</f>
        <v>17</v>
      </c>
      <c r="J607" s="16" t="e">
        <f t="shared" ca="1" si="34"/>
        <v>#NAME?</v>
      </c>
      <c r="K607" s="153">
        <f ca="1">VLOOKUP($AB$2,'RF Mod'!$A$2:$G$12,3,FALSE)+VLOOKUP($AD$2,'RF Mod'!$I$2:$O$11,3,FALSE)+(TRUNC(6+(24-6)*(TRUNC(MOD(($Z607*1103515245 +12345)/ 65536, 32768),0)/32768),0))</f>
        <v>17</v>
      </c>
      <c r="L607" s="16" t="e">
        <f t="shared" ca="1" si="35"/>
        <v>#NAME?</v>
      </c>
      <c r="M607" s="153">
        <f ca="1">VLOOKUP($AB$2,'RF Mod'!$A$2:$G$12,4,FALSE)+VLOOKUP($AD$2,'RF Mod'!$I$2:$O$11,4,FALSE)+(TRUNC(6+(24-6)*(TRUNC(MOD(($Z607*1103515245 +12345)/ 65536, 32768),0)/32768),0))</f>
        <v>16</v>
      </c>
      <c r="N607" s="16" t="e">
        <f t="shared" ca="1" si="36"/>
        <v>#NAME?</v>
      </c>
      <c r="O607" s="153">
        <f ca="1">VLOOKUP($AB$2,'RF Mod'!$A$2:$G$12,5,FALSE)+VLOOKUP($AD$2,'RF Mod'!$I$2:$O$11,5,FALSE)+(TRUNC(6+(24-6)*(TRUNC(MOD(($Z607*1103515245 +12345)/ 65536, 32768),0)/32768),0))</f>
        <v>19</v>
      </c>
      <c r="P607" s="16" t="e">
        <f t="shared" ca="1" si="37"/>
        <v>#NAME?</v>
      </c>
      <c r="Q607" s="153">
        <f ca="1">VLOOKUP($AB$2,'RF Mod'!$A$2:$G$12,6,FALSE)+VLOOKUP($AD$2,'RF Mod'!$I$2:$O$11,6,FALSE)+(TRUNC(6+(24-6)*(TRUNC(MOD(($Z607*1103515245 +12345)/ 65536, 32768),0)/32768),0))</f>
        <v>17</v>
      </c>
      <c r="R607" s="16" t="e">
        <f t="shared" ca="1" si="38"/>
        <v>#NAME?</v>
      </c>
      <c r="S607" s="154">
        <f t="shared" ca="1" si="43"/>
        <v>248</v>
      </c>
      <c r="T607" s="154">
        <f t="shared" ca="1" si="39"/>
        <v>33</v>
      </c>
      <c r="U607" s="16" t="str">
        <f t="shared" ca="1" si="40"/>
        <v>Fine</v>
      </c>
      <c r="V607" s="155">
        <f ca="1">IFERROR(__xludf.DUMMYFUNCTION("if(W607=""Middle Age"",QUERY(NPCVar!$K$2:$N1000, ""Select L where K = '""&amp;AB607&amp;""'""),if(W607=""Old"",QUERY(NPCVar!$K$2:$N1000, ""Select M where K = '""&amp;AB607&amp;""'""),if(W607=""Venerable"",QUERY(NPCVar!$K$2:$N1000, ""Select N where K = '""&amp;AB607&amp;""'""),fa"&amp;"lse)))*X607"),72)</f>
        <v>72</v>
      </c>
      <c r="W607" s="156" t="str">
        <f t="array" ref="W607">INDEX(NPCAgeType,TRUNC(1+(4-1)*(TRUNC(MOD((X607*1103515245 +12345)/ 65536, 32768),0)/32768),0))</f>
        <v>Middle Age</v>
      </c>
      <c r="X607" s="117">
        <f t="shared" si="45"/>
        <v>2.4</v>
      </c>
      <c r="Y607" s="157" t="e">
        <f t="array" aca="1" ref="Y607" ca="1">LOOKUP(ABS(MAX(Z607 + MIN(ABS(INDIRECT("Class Jobs!B"&amp;MATCH(E607,'Class Jobs'!$A$1:$A1000,0)&amp;":"&amp;"AF"&amp;MATCH(E607,'Class Jobs'!$A$1:$A1000,0)&amp;"")-$Z607)) * SUM(IF(MIN(ABS(INDIRECT("Class Jobs!B"&amp;MATCH(E607,'Class Jobs'!$A$1:$A1000,0)&amp;":"&amp;"AF"&amp;MATCH(E607,'Class Jobs'!$A$1:$A1000,0)&amp;"")-$Z607))=ABS(INDIRECT("Class Jobs!B"&amp;MATCH(E607,'Class Jobs'!$A$1:$A1000,0)&amp;":"&amp;"AF"&amp;MATCH(E607,'Class Jobs'!$A$1:$A1000,0)&amp;"")-$Z607),SIGN(INDIRECT("Class Jobs!B"&amp;MATCH(E607,'Class Jobs'!$A$1:A1000,0)&amp;":"&amp;"AF"&amp;MATCH(E607,'Class Jobs'!$A$1:$A1000,0)&amp;"")-$Z607),0)),0)),INDIRECT("Class Jobs!B"&amp;MATCH(E607,'Class Jobs'!$A$1:$A1000,0)&amp;":"&amp;"AF"&amp;MATCH(E607,'Class Jobs'!$A$1:$A1000,1)&amp;""),'Class Jobs'!$B$1:$AF$1)</f>
        <v>#REF!</v>
      </c>
      <c r="Z607" s="158">
        <f t="shared" si="41"/>
        <v>0.99</v>
      </c>
      <c r="AA607" s="16" t="str">
        <f t="array" ref="AA607">INDEX(NPCGender,TRUNC(1+(COUNTA(NPCGender))*(TRUNC(MOD(($B607*1103515245 +12345)/ 65536, 32768),0)/32768),0))</f>
        <v>Neutral</v>
      </c>
      <c r="AB607" s="16" t="str">
        <f t="array" ref="AB607">INDEX(NPCRace,TRUNC(1+(COUNTA(NPCRace))*(TRUNC(MOD(($B607*1103515245 +12345)/ 65536, 32768),0)/32768),0))</f>
        <v>Goliath</v>
      </c>
      <c r="AC607" s="16" t="str">
        <f t="array" ref="AC607">INDEX(NPCAL,TRUNC(1+(COUNTA(NPCAL))*(TRUNC(MOD(($B607*1103515245 +12345)/ 65536, 32768),0)/32768),0))</f>
        <v>LE</v>
      </c>
      <c r="AD607" s="72" t="str">
        <f ca="1">IFERROR(__xludf.DUMMYFUNCTION("if(V607&lt;15,QUERY(NPCVar!C:D,""Select D WHERE C = '""&amp;D607&amp;""'""),if((TRUNC(1+10)*(TRUNC(MOD((ROW(H607)*1103515245 +12345)/ 65536, 32768),0)/32768)/10) &gt; 0.85,INDEX(NPCFaction,TRUNC(1+(counta(NPCFaction)-1)*(TRUNC(MOD(($B607*1103515245 +12345)/ 65536, 3276"&amp;"8),0)/32768),0)),QUERY(NPCVar!C:D,""Select D WHERE C = '""&amp;D607&amp;""'"")))"),"Traverlers Guild")</f>
        <v>Traverlers Guild</v>
      </c>
      <c r="AE607" s="108" t="e">
        <f t="shared" ca="1" si="42"/>
        <v>#NAME?</v>
      </c>
      <c r="AF607" s="159">
        <f ca="1">IFERROR(__xludf.DUMMYFUNCTION("AE607*(V607 / QUERY(NPCVar!$K$2:$N$12, ""Select N WHERE K='""&amp;AB607&amp;""'""))*TRUNC(1+10)*(TRUNC(MOD(($B607*1103515245 +12345)/ 65536, 32768),0)/32768)"),3.28600158691406)</f>
        <v>3.2860015869140602</v>
      </c>
      <c r="AG607" s="16"/>
      <c r="AH607" s="77"/>
      <c r="AI607" s="114"/>
    </row>
    <row r="608" spans="1:35" ht="16.2">
      <c r="A608" s="53">
        <v>607</v>
      </c>
      <c r="B608" s="118">
        <f t="shared" si="46"/>
        <v>0.93193000000000004</v>
      </c>
      <c r="C608" s="72" t="str">
        <f t="array" ref="C608">INDEX(NPCFName,TRUNC(1+(COUNTA(NPCFName))*(TRUNC(MOD(($B608*1103515245 +12345)/ 65536, 32768),0)/32768),0))</f>
        <v>Isil</v>
      </c>
      <c r="D608" s="16" t="str">
        <f t="array" ref="D608">INDEX(NPCLName,TRUNC(1+(COUNTA(NPCLName))*(TRUNC(MOD(($B608*1103515245 +12345)/ 65536, 32768),0)/32768),0))</f>
        <v>Autumnglow</v>
      </c>
      <c r="E608" s="16" t="str">
        <f t="array" ref="E608">INDEX(NPCClass,TRUNC(1+(COUNTA(NPCClass))*(TRUNC(MOD(($B608*1103515245 +12345)/ 65536, 32768),0)/32768),0))</f>
        <v>Ranger</v>
      </c>
      <c r="F608" s="76">
        <v>8</v>
      </c>
      <c r="G608" s="153">
        <f ca="1">VLOOKUP($AB$2,'RF Mod'!$A$2:$G$12,2,FALSE)+VLOOKUP($AD$2,'RF Mod'!$I$2:$O$11,2,FALSE)+(TRUNC(6+(24-6)*(TRUNC(MOD(($Z608*1103515245 +12345)/ 65536, 32768),0)/32768),0))</f>
        <v>8</v>
      </c>
      <c r="H608" s="16">
        <f t="shared" ca="1" si="33"/>
        <v>-1</v>
      </c>
      <c r="I608" s="153">
        <f ca="1">VLOOKUP($AB$2,'RF Mod'!$A$2:$G$12,3,FALSE)+VLOOKUP($AD$2,'RF Mod'!$I$2:$O$11,3,FALSE)+(TRUNC(6+(24-6)*(TRUNC(MOD(($Z608*1103515245 +12345)/ 65536, 32768),0)/32768),0))</f>
        <v>12</v>
      </c>
      <c r="J608" s="16" t="e">
        <f t="shared" ca="1" si="34"/>
        <v>#NAME?</v>
      </c>
      <c r="K608" s="153">
        <f ca="1">VLOOKUP($AB$2,'RF Mod'!$A$2:$G$12,3,FALSE)+VLOOKUP($AD$2,'RF Mod'!$I$2:$O$11,3,FALSE)+(TRUNC(6+(24-6)*(TRUNC(MOD(($Z608*1103515245 +12345)/ 65536, 32768),0)/32768),0))</f>
        <v>12</v>
      </c>
      <c r="L608" s="16" t="e">
        <f t="shared" ca="1" si="35"/>
        <v>#NAME?</v>
      </c>
      <c r="M608" s="153">
        <f ca="1">VLOOKUP($AB$2,'RF Mod'!$A$2:$G$12,4,FALSE)+VLOOKUP($AD$2,'RF Mod'!$I$2:$O$11,4,FALSE)+(TRUNC(6+(24-6)*(TRUNC(MOD(($Z608*1103515245 +12345)/ 65536, 32768),0)/32768),0))</f>
        <v>11</v>
      </c>
      <c r="N608" s="16" t="e">
        <f t="shared" ca="1" si="36"/>
        <v>#NAME?</v>
      </c>
      <c r="O608" s="153">
        <f ca="1">VLOOKUP($AB$2,'RF Mod'!$A$2:$G$12,5,FALSE)+VLOOKUP($AD$2,'RF Mod'!$I$2:$O$11,5,FALSE)+(TRUNC(6+(24-6)*(TRUNC(MOD(($Z608*1103515245 +12345)/ 65536, 32768),0)/32768),0))</f>
        <v>14</v>
      </c>
      <c r="P608" s="16" t="e">
        <f t="shared" ca="1" si="37"/>
        <v>#NAME?</v>
      </c>
      <c r="Q608" s="153">
        <f ca="1">VLOOKUP($AB$2,'RF Mod'!$A$2:$G$12,6,FALSE)+VLOOKUP($AD$2,'RF Mod'!$I$2:$O$11,6,FALSE)+(TRUNC(6+(24-6)*(TRUNC(MOD(($Z608*1103515245 +12345)/ 65536, 32768),0)/32768),0))</f>
        <v>12</v>
      </c>
      <c r="R608" s="16" t="e">
        <f t="shared" ca="1" si="38"/>
        <v>#NAME?</v>
      </c>
      <c r="S608" s="154">
        <f t="shared" ca="1" si="43"/>
        <v>128</v>
      </c>
      <c r="T608" s="154">
        <f t="shared" ca="1" si="39"/>
        <v>56</v>
      </c>
      <c r="U608" s="16" t="str">
        <f t="shared" ca="1" si="40"/>
        <v>Fine</v>
      </c>
      <c r="V608" s="155">
        <f ca="1">IFERROR(__xludf.DUMMYFUNCTION("if(W608=""Middle Age"",QUERY(NPCVar!$K$2:$N1000, ""Select L where K = '""&amp;AB608&amp;""'""),if(W608=""Old"",QUERY(NPCVar!$K$2:$N1000, ""Select M where K = '""&amp;AB608&amp;""'""),if(W608=""Venerable"",QUERY(NPCVar!$K$2:$N1000, ""Select N where K = '""&amp;AB608&amp;""'""),fa"&amp;"lse)))*X608"),31.5)</f>
        <v>31.5</v>
      </c>
      <c r="W608" s="156" t="str">
        <f t="array" ref="W608">INDEX(NPCAgeType,TRUNC(1+(4-1)*(TRUNC(MOD((X608*1103515245 +12345)/ 65536, 32768),0)/32768),0))</f>
        <v>Old</v>
      </c>
      <c r="X608" s="117">
        <f t="shared" si="45"/>
        <v>1.2</v>
      </c>
      <c r="Y608" s="157" t="e">
        <f t="array" aca="1" ref="Y608" ca="1">LOOKUP(ABS(MAX(Z608 + MIN(ABS(INDIRECT("Class Jobs!B"&amp;MATCH(E608,'Class Jobs'!$A$1:$A1000,0)&amp;":"&amp;"AF"&amp;MATCH(E608,'Class Jobs'!$A$1:$A1000,0)&amp;"")-$Z608)) * SUM(IF(MIN(ABS(INDIRECT("Class Jobs!B"&amp;MATCH(E608,'Class Jobs'!$A$1:$A1000,0)&amp;":"&amp;"AF"&amp;MATCH(E608,'Class Jobs'!$A$1:$A1000,0)&amp;"")-$Z608))=ABS(INDIRECT("Class Jobs!B"&amp;MATCH(E608,'Class Jobs'!$A$1:$A1000,0)&amp;":"&amp;"AF"&amp;MATCH(E608,'Class Jobs'!$A$1:$A1000,0)&amp;"")-$Z608),SIGN(INDIRECT("Class Jobs!B"&amp;MATCH(E608,'Class Jobs'!$A$1:A1000,0)&amp;":"&amp;"AF"&amp;MATCH(E608,'Class Jobs'!$A$1:$A1000,0)&amp;"")-$Z608),0)),0)),INDIRECT("Class Jobs!B"&amp;MATCH(E608,'Class Jobs'!$A$1:$A1000,0)&amp;":"&amp;"AF"&amp;MATCH(E608,'Class Jobs'!$A$1:$A1000,1)&amp;""),'Class Jobs'!$B$1:$AF$1)</f>
        <v>#REF!</v>
      </c>
      <c r="Z608" s="158">
        <f t="shared" si="41"/>
        <v>0.48</v>
      </c>
      <c r="AA608" s="16" t="str">
        <f t="array" ref="AA608">INDEX(NPCGender,TRUNC(1+(COUNTA(NPCGender))*(TRUNC(MOD(($B608*1103515245 +12345)/ 65536, 32768),0)/32768),0))</f>
        <v>Female</v>
      </c>
      <c r="AB608" s="16" t="str">
        <f t="array" ref="AB608">INDEX(NPCRace,TRUNC(1+(COUNTA(NPCRace))*(TRUNC(MOD(($B608*1103515245 +12345)/ 65536, 32768),0)/32768),0))</f>
        <v>Half-Orc</v>
      </c>
      <c r="AC608" s="16" t="str">
        <f t="array" ref="AC608">INDEX(NPCAL,TRUNC(1+(COUNTA(NPCAL))*(TRUNC(MOD(($B608*1103515245 +12345)/ 65536, 32768),0)/32768),0))</f>
        <v>NN</v>
      </c>
      <c r="AD608" s="72" t="str">
        <f ca="1">IFERROR(__xludf.DUMMYFUNCTION("if(V608&lt;15,QUERY(NPCVar!C:D,""Select D WHERE C = '""&amp;D608&amp;""'""),if((TRUNC(1+10)*(TRUNC(MOD((ROW(H608)*1103515245 +12345)/ 65536, 32768),0)/32768)/10) &gt; 0.85,INDEX(NPCFaction,TRUNC(1+(counta(NPCFaction)-1)*(TRUNC(MOD(($B608*1103515245 +12345)/ 65536, 3276"&amp;"8),0)/32768),0)),QUERY(NPCVar!C:D,""Select D WHERE C = '""&amp;D608&amp;""'"")))"),"Traders Guild")</f>
        <v>Traders Guild</v>
      </c>
      <c r="AE608" s="108" t="e">
        <f t="shared" ca="1" si="42"/>
        <v>#NAME?</v>
      </c>
      <c r="AF608" s="159">
        <f ca="1">IFERROR(__xludf.DUMMYFUNCTION("AE608*(V608 / QUERY(NPCVar!$K$2:$N$12, ""Select N WHERE K='""&amp;AB608&amp;""'""))*TRUNC(1+10)*(TRUNC(MOD(($B608*1103515245 +12345)/ 65536, 32768),0)/32768)"),2.37046508789062)</f>
        <v>2.3704650878906199</v>
      </c>
      <c r="AG608" s="16"/>
      <c r="AH608" s="77"/>
      <c r="AI608" s="114"/>
    </row>
    <row r="609" spans="1:35" ht="16.2">
      <c r="A609" s="53">
        <v>608</v>
      </c>
      <c r="B609" s="118">
        <f t="shared" si="46"/>
        <v>2.4260700000000002</v>
      </c>
      <c r="C609" s="72" t="str">
        <f t="array" ref="C609">INDEX(NPCFName,TRUNC(1+(COUNTA(NPCFName))*(TRUNC(MOD(($B609*1103515245 +12345)/ 65536, 32768),0)/32768),0))</f>
        <v>Ritic</v>
      </c>
      <c r="D609" s="16" t="str">
        <f t="array" ref="D609">INDEX(NPCLName,TRUNC(1+(COUNTA(NPCLName))*(TRUNC(MOD(($B609*1103515245 +12345)/ 65536, 32768),0)/32768),0))</f>
        <v>Tuskleaf</v>
      </c>
      <c r="E609" s="16" t="str">
        <f t="array" ref="E609">INDEX(NPCClass,TRUNC(1+(COUNTA(NPCClass))*(TRUNC(MOD(($B609*1103515245 +12345)/ 65536, 32768),0)/32768),0))</f>
        <v>Druid</v>
      </c>
      <c r="F609" s="76">
        <v>1</v>
      </c>
      <c r="G609" s="153">
        <f ca="1">VLOOKUP($AB$2,'RF Mod'!$A$2:$G$12,2,FALSE)+VLOOKUP($AD$2,'RF Mod'!$I$2:$O$11,2,FALSE)+(TRUNC(6+(24-6)*(TRUNC(MOD(($Z609*1103515245 +12345)/ 65536, 32768),0)/32768),0))</f>
        <v>6</v>
      </c>
      <c r="H609" s="16">
        <f t="shared" ca="1" si="33"/>
        <v>-2</v>
      </c>
      <c r="I609" s="153">
        <f ca="1">VLOOKUP($AB$2,'RF Mod'!$A$2:$G$12,3,FALSE)+VLOOKUP($AD$2,'RF Mod'!$I$2:$O$11,3,FALSE)+(TRUNC(6+(24-6)*(TRUNC(MOD(($Z609*1103515245 +12345)/ 65536, 32768),0)/32768),0))</f>
        <v>10</v>
      </c>
      <c r="J609" s="16" t="e">
        <f t="shared" ca="1" si="34"/>
        <v>#NAME?</v>
      </c>
      <c r="K609" s="153">
        <f ca="1">VLOOKUP($AB$2,'RF Mod'!$A$2:$G$12,3,FALSE)+VLOOKUP($AD$2,'RF Mod'!$I$2:$O$11,3,FALSE)+(TRUNC(6+(24-6)*(TRUNC(MOD(($Z609*1103515245 +12345)/ 65536, 32768),0)/32768),0))</f>
        <v>10</v>
      </c>
      <c r="L609" s="16" t="e">
        <f t="shared" ca="1" si="35"/>
        <v>#NAME?</v>
      </c>
      <c r="M609" s="153">
        <f ca="1">VLOOKUP($AB$2,'RF Mod'!$A$2:$G$12,4,FALSE)+VLOOKUP($AD$2,'RF Mod'!$I$2:$O$11,4,FALSE)+(TRUNC(6+(24-6)*(TRUNC(MOD(($Z609*1103515245 +12345)/ 65536, 32768),0)/32768),0))</f>
        <v>9</v>
      </c>
      <c r="N609" s="16">
        <f t="shared" ca="1" si="36"/>
        <v>-1</v>
      </c>
      <c r="O609" s="153">
        <f ca="1">VLOOKUP($AB$2,'RF Mod'!$A$2:$G$12,5,FALSE)+VLOOKUP($AD$2,'RF Mod'!$I$2:$O$11,5,FALSE)+(TRUNC(6+(24-6)*(TRUNC(MOD(($Z609*1103515245 +12345)/ 65536, 32768),0)/32768),0))</f>
        <v>12</v>
      </c>
      <c r="P609" s="16" t="e">
        <f t="shared" ca="1" si="37"/>
        <v>#NAME?</v>
      </c>
      <c r="Q609" s="153">
        <f ca="1">VLOOKUP($AB$2,'RF Mod'!$A$2:$G$12,6,FALSE)+VLOOKUP($AD$2,'RF Mod'!$I$2:$O$11,6,FALSE)+(TRUNC(6+(24-6)*(TRUNC(MOD(($Z609*1103515245 +12345)/ 65536, 32768),0)/32768),0))</f>
        <v>10</v>
      </c>
      <c r="R609" s="16" t="e">
        <f t="shared" ca="1" si="38"/>
        <v>#NAME?</v>
      </c>
      <c r="S609" s="154">
        <f t="shared" ca="1" si="43"/>
        <v>12</v>
      </c>
      <c r="T609" s="154">
        <f t="shared" ca="1" si="39"/>
        <v>13</v>
      </c>
      <c r="U609" s="16" t="str">
        <f t="shared" ca="1" si="40"/>
        <v>Dead</v>
      </c>
      <c r="V609" s="155">
        <f ca="1">IFERROR(__xludf.DUMMYFUNCTION("if(W609=""Middle Age"",QUERY(NPCVar!$K$2:$N1000, ""Select L where K = '""&amp;AB609&amp;""'""),if(W609=""Old"",QUERY(NPCVar!$K$2:$N1000, ""Select M where K = '""&amp;AB609&amp;""'""),if(W609=""Venerable"",QUERY(NPCVar!$K$2:$N1000, ""Select N where K = '""&amp;AB609&amp;""'""),fa"&amp;"lse)))*X609"),112.5)</f>
        <v>112.5</v>
      </c>
      <c r="W609" s="156" t="str">
        <f t="array" ref="W609">INDEX(NPCAgeType,TRUNC(1+(4-1)*(TRUNC(MOD((X609*1103515245 +12345)/ 65536, 32768),0)/32768),0))</f>
        <v>Middle Age</v>
      </c>
      <c r="X609" s="117">
        <f t="shared" si="45"/>
        <v>0.6</v>
      </c>
      <c r="Y609" s="157" t="e">
        <f t="array" aca="1" ref="Y609" ca="1">LOOKUP(ABS(MAX(Z609 + MIN(ABS(INDIRECT("Class Jobs!B"&amp;MATCH(E609,'Class Jobs'!$A$1:$A1000,0)&amp;":"&amp;"AF"&amp;MATCH(E609,'Class Jobs'!$A$1:$A1000,0)&amp;"")-$Z609)) * SUM(IF(MIN(ABS(INDIRECT("Class Jobs!B"&amp;MATCH(E609,'Class Jobs'!$A$1:$A1000,0)&amp;":"&amp;"AF"&amp;MATCH(E609,'Class Jobs'!$A$1:$A1000,0)&amp;"")-$Z609))=ABS(INDIRECT("Class Jobs!B"&amp;MATCH(E609,'Class Jobs'!$A$1:$A1000,0)&amp;":"&amp;"AF"&amp;MATCH(E609,'Class Jobs'!$A$1:$A1000,0)&amp;"")-$Z609),SIGN(INDIRECT("Class Jobs!B"&amp;MATCH(E609,'Class Jobs'!$A$1:A1000,0)&amp;":"&amp;"AF"&amp;MATCH(E609,'Class Jobs'!$A$1:$A1000,0)&amp;"")-$Z609),0)),0)),INDIRECT("Class Jobs!B"&amp;MATCH(E609,'Class Jobs'!$A$1:$A1000,0)&amp;":"&amp;"AF"&amp;MATCH(E609,'Class Jobs'!$A$1:$A1000,1)&amp;""),'Class Jobs'!$B$1:$AF$1)</f>
        <v>#REF!</v>
      </c>
      <c r="Z609" s="158">
        <f t="shared" si="41"/>
        <v>0.25</v>
      </c>
      <c r="AA609" s="16" t="str">
        <f t="array" ref="AA609">INDEX(NPCGender,TRUNC(1+(COUNTA(NPCGender))*(TRUNC(MOD(($B609*1103515245 +12345)/ 65536, 32768),0)/32768),0))</f>
        <v>Male</v>
      </c>
      <c r="AB609" s="16" t="str">
        <f t="array" ref="AB609">INDEX(NPCRace,TRUNC(1+(COUNTA(NPCRace))*(TRUNC(MOD(($B609*1103515245 +12345)/ 65536, 32768),0)/32768),0))</f>
        <v>Elf</v>
      </c>
      <c r="AC609" s="16" t="str">
        <f t="array" ref="AC609">INDEX(NPCAL,TRUNC(1+(COUNTA(NPCAL))*(TRUNC(MOD(($B609*1103515245 +12345)/ 65536, 32768),0)/32768),0))</f>
        <v>CG</v>
      </c>
      <c r="AD609" s="72" t="str">
        <f ca="1">IFERROR(__xludf.DUMMYFUNCTION("if(V609&lt;15,QUERY(NPCVar!C:D,""Select D WHERE C = '""&amp;D609&amp;""'""),if((TRUNC(1+10)*(TRUNC(MOD((ROW(H609)*1103515245 +12345)/ 65536, 32768),0)/32768)/10) &gt; 0.85,INDEX(NPCFaction,TRUNC(1+(counta(NPCFaction)-1)*(TRUNC(MOD(($B609*1103515245 +12345)/ 65536, 3276"&amp;"8),0)/32768),0)),QUERY(NPCVar!C:D,""Select D WHERE C = '""&amp;D609&amp;""'"")))"),"Traders Guild")</f>
        <v>Traders Guild</v>
      </c>
      <c r="AE609" s="108" t="e">
        <f t="shared" ca="1" si="42"/>
        <v>#NAME?</v>
      </c>
      <c r="AF609" s="159">
        <f ca="1">IFERROR(__xludf.DUMMYFUNCTION("AE609*(V609 / QUERY(NPCVar!$K$2:$N$12, ""Select N WHERE K='""&amp;AB609&amp;""'""))*TRUNC(1+10)*(TRUNC(MOD(($B609*1103515245 +12345)/ 65536, 32768),0)/32768)"),0.0814022827148437)</f>
        <v>8.1402282714843704E-2</v>
      </c>
      <c r="AG609" s="16"/>
      <c r="AH609" s="77"/>
      <c r="AI609" s="114"/>
    </row>
    <row r="610" spans="1:35" ht="16.2">
      <c r="A610" s="53">
        <v>609</v>
      </c>
      <c r="B610" s="118">
        <f t="shared" si="46"/>
        <v>1.42021</v>
      </c>
      <c r="C610" s="72" t="str">
        <f t="array" ref="C610">INDEX(NPCFName,TRUNC(1+(COUNTA(NPCFName))*(TRUNC(MOD(($B610*1103515245 +12345)/ 65536, 32768),0)/32768),0))</f>
        <v>Dak</v>
      </c>
      <c r="D610" s="16" t="str">
        <f t="array" ref="D610">INDEX(NPCLName,TRUNC(1+(COUNTA(NPCLName))*(TRUNC(MOD(($B610*1103515245 +12345)/ 65536, 32768),0)/32768),0))</f>
        <v>Rockspell</v>
      </c>
      <c r="E610" s="16" t="str">
        <f t="array" ref="E610">INDEX(NPCClass,TRUNC(1+(COUNTA(NPCClass))*(TRUNC(MOD(($B610*1103515245 +12345)/ 65536, 32768),0)/32768),0))</f>
        <v>None</v>
      </c>
      <c r="F610" s="76">
        <v>8</v>
      </c>
      <c r="G610" s="153">
        <f ca="1">VLOOKUP($AB$2,'RF Mod'!$A$2:$G$12,2,FALSE)+VLOOKUP($AD$2,'RF Mod'!$I$2:$O$11,2,FALSE)+(TRUNC(6+(24-6)*(TRUNC(MOD(($Z610*1103515245 +12345)/ 65536, 32768),0)/32768),0))</f>
        <v>10</v>
      </c>
      <c r="H610" s="16" t="e">
        <f t="shared" ca="1" si="33"/>
        <v>#NAME?</v>
      </c>
      <c r="I610" s="153">
        <f ca="1">VLOOKUP($AB$2,'RF Mod'!$A$2:$G$12,3,FALSE)+VLOOKUP($AD$2,'RF Mod'!$I$2:$O$11,3,FALSE)+(TRUNC(6+(24-6)*(TRUNC(MOD(($Z610*1103515245 +12345)/ 65536, 32768),0)/32768),0))</f>
        <v>14</v>
      </c>
      <c r="J610" s="16" t="e">
        <f t="shared" ca="1" si="34"/>
        <v>#NAME?</v>
      </c>
      <c r="K610" s="153">
        <f ca="1">VLOOKUP($AB$2,'RF Mod'!$A$2:$G$12,3,FALSE)+VLOOKUP($AD$2,'RF Mod'!$I$2:$O$11,3,FALSE)+(TRUNC(6+(24-6)*(TRUNC(MOD(($Z610*1103515245 +12345)/ 65536, 32768),0)/32768),0))</f>
        <v>14</v>
      </c>
      <c r="L610" s="16" t="e">
        <f t="shared" ca="1" si="35"/>
        <v>#NAME?</v>
      </c>
      <c r="M610" s="153">
        <f ca="1">VLOOKUP($AB$2,'RF Mod'!$A$2:$G$12,4,FALSE)+VLOOKUP($AD$2,'RF Mod'!$I$2:$O$11,4,FALSE)+(TRUNC(6+(24-6)*(TRUNC(MOD(($Z610*1103515245 +12345)/ 65536, 32768),0)/32768),0))</f>
        <v>13</v>
      </c>
      <c r="N610" s="16" t="e">
        <f t="shared" ca="1" si="36"/>
        <v>#NAME?</v>
      </c>
      <c r="O610" s="153">
        <f ca="1">VLOOKUP($AB$2,'RF Mod'!$A$2:$G$12,5,FALSE)+VLOOKUP($AD$2,'RF Mod'!$I$2:$O$11,5,FALSE)+(TRUNC(6+(24-6)*(TRUNC(MOD(($Z610*1103515245 +12345)/ 65536, 32768),0)/32768),0))</f>
        <v>16</v>
      </c>
      <c r="P610" s="16" t="e">
        <f t="shared" ca="1" si="37"/>
        <v>#NAME?</v>
      </c>
      <c r="Q610" s="153">
        <f ca="1">VLOOKUP($AB$2,'RF Mod'!$A$2:$G$12,6,FALSE)+VLOOKUP($AD$2,'RF Mod'!$I$2:$O$11,6,FALSE)+(TRUNC(6+(24-6)*(TRUNC(MOD(($Z610*1103515245 +12345)/ 65536, 32768),0)/32768),0))</f>
        <v>14</v>
      </c>
      <c r="R610" s="16" t="e">
        <f t="shared" ca="1" si="38"/>
        <v>#NAME?</v>
      </c>
      <c r="S610" s="154">
        <f t="shared" ca="1" si="43"/>
        <v>176</v>
      </c>
      <c r="T610" s="154">
        <f t="shared" ca="1" si="39"/>
        <v>47</v>
      </c>
      <c r="U610" s="16" t="str">
        <f t="shared" ca="1" si="40"/>
        <v>Fine</v>
      </c>
      <c r="V610" s="155">
        <f ca="1">IFERROR(__xludf.DUMMYFUNCTION("if(W610=""Middle Age"",QUERY(NPCVar!$K$2:$N1000, ""Select L where K = '""&amp;AB610&amp;""'""),if(W610=""Old"",QUERY(NPCVar!$K$2:$N1000, ""Select M where K = '""&amp;AB610&amp;""'""),if(W610=""Venerable"",QUERY(NPCVar!$K$2:$N1000, ""Select N where K = '""&amp;AB610&amp;""'""),fa"&amp;"lse)))*X610"),180)</f>
        <v>180</v>
      </c>
      <c r="W610" s="156" t="str">
        <f t="array" ref="W610">INDEX(NPCAgeType,TRUNC(1+(4-1)*(TRUNC(MOD((X610*1103515245 +12345)/ 65536, 32768),0)/32768),0))</f>
        <v>Venerable</v>
      </c>
      <c r="X610" s="117">
        <f t="shared" si="45"/>
        <v>1.8</v>
      </c>
      <c r="Y610" s="157" t="e">
        <f t="array" aca="1" ref="Y610" ca="1">LOOKUP(ABS(MAX(Z610 + MIN(ABS(INDIRECT("Class Jobs!B"&amp;MATCH(E610,'Class Jobs'!$A$1:$A1000,0)&amp;":"&amp;"AF"&amp;MATCH(E610,'Class Jobs'!$A$1:$A1000,0)&amp;"")-$Z610)) * SUM(IF(MIN(ABS(INDIRECT("Class Jobs!B"&amp;MATCH(E610,'Class Jobs'!$A$1:$A1000,0)&amp;":"&amp;"AF"&amp;MATCH(E610,'Class Jobs'!$A$1:$A1000,0)&amp;"")-$Z610))=ABS(INDIRECT("Class Jobs!B"&amp;MATCH(E610,'Class Jobs'!$A$1:$A1000,0)&amp;":"&amp;"AF"&amp;MATCH(E610,'Class Jobs'!$A$1:$A1000,0)&amp;"")-$Z610),SIGN(INDIRECT("Class Jobs!B"&amp;MATCH(E610,'Class Jobs'!$A$1:A1000,0)&amp;":"&amp;"AF"&amp;MATCH(E610,'Class Jobs'!$A$1:$A1000,0)&amp;"")-$Z610),0)),0)),INDIRECT("Class Jobs!B"&amp;MATCH(E610,'Class Jobs'!$A$1:$A1000,0)&amp;":"&amp;"AF"&amp;MATCH(E610,'Class Jobs'!$A$1:$A1000,1)&amp;""),'Class Jobs'!$B$1:$AF$1)</f>
        <v>#REF!</v>
      </c>
      <c r="Z610" s="158">
        <f t="shared" si="41"/>
        <v>0.73</v>
      </c>
      <c r="AA610" s="16" t="str">
        <f t="array" ref="AA610">INDEX(NPCGender,TRUNC(1+(COUNTA(NPCGender))*(TRUNC(MOD(($B610*1103515245 +12345)/ 65536, 32768),0)/32768),0))</f>
        <v>Neutral</v>
      </c>
      <c r="AB610" s="16" t="str">
        <f t="array" ref="AB610">INDEX(NPCRace,TRUNC(1+(COUNTA(NPCRace))*(TRUNC(MOD(($B610*1103515245 +12345)/ 65536, 32768),0)/32768),0))</f>
        <v>Tiefling</v>
      </c>
      <c r="AC610" s="16" t="str">
        <f t="array" ref="AC610">INDEX(NPCAL,TRUNC(1+(COUNTA(NPCAL))*(TRUNC(MOD(($B610*1103515245 +12345)/ 65536, 32768),0)/32768),0))</f>
        <v>LG</v>
      </c>
      <c r="AD610" s="72" t="str">
        <f ca="1">IFERROR(__xludf.DUMMYFUNCTION("if(V610&lt;15,QUERY(NPCVar!C:D,""Select D WHERE C = '""&amp;D610&amp;""'""),if((TRUNC(1+10)*(TRUNC(MOD((ROW(H610)*1103515245 +12345)/ 65536, 32768),0)/32768)/10) &gt; 0.85,INDEX(NPCFaction,TRUNC(1+(counta(NPCFaction)-1)*(TRUNC(MOD(($B610*1103515245 +12345)/ 65536, 3276"&amp;"8),0)/32768),0)),QUERY(NPCVar!C:D,""Select D WHERE C = '""&amp;D610&amp;""'"")))"),"Traverlers Guild")</f>
        <v>Traverlers Guild</v>
      </c>
      <c r="AE610" s="108" t="e">
        <f t="shared" ca="1" si="42"/>
        <v>#NAME?</v>
      </c>
      <c r="AF610" s="159">
        <f ca="1">IFERROR(__xludf.DUMMYFUNCTION("AE610*(V610 / QUERY(NPCVar!$K$2:$N$12, ""Select N WHERE K='""&amp;AB610&amp;""'""))*TRUNC(1+10)*(TRUNC(MOD(($B610*1103515245 +12345)/ 65536, 32768),0)/32768)"),14.4499877929687)</f>
        <v>14.449987792968701</v>
      </c>
      <c r="AG610" s="16"/>
      <c r="AH610" s="77"/>
      <c r="AI610" s="114"/>
    </row>
    <row r="611" spans="1:35" ht="16.2">
      <c r="A611" s="53">
        <v>610</v>
      </c>
      <c r="B611" s="118">
        <f t="shared" si="46"/>
        <v>0.41427999999999998</v>
      </c>
      <c r="C611" s="72" t="str">
        <f t="array" ref="C611">INDEX(NPCFName,TRUNC(1+(COUNTA(NPCFName))*(TRUNC(MOD(($B611*1103515245 +12345)/ 65536, 32768),0)/32768),0))</f>
        <v>O’tho</v>
      </c>
      <c r="D611" s="16" t="str">
        <f t="array" ref="D611">INDEX(NPCLName,TRUNC(1+(COUNTA(NPCLName))*(TRUNC(MOD(($B611*1103515245 +12345)/ 65536, 32768),0)/32768),0))</f>
        <v>Stillsun</v>
      </c>
      <c r="E611" s="16" t="str">
        <f t="array" ref="E611">INDEX(NPCClass,TRUNC(1+(COUNTA(NPCClass))*(TRUNC(MOD(($B611*1103515245 +12345)/ 65536, 32768),0)/32768),0))</f>
        <v>Druid</v>
      </c>
      <c r="F611" s="76">
        <v>1</v>
      </c>
      <c r="G611" s="153">
        <f ca="1">VLOOKUP($AB$2,'RF Mod'!$A$2:$G$12,2,FALSE)+VLOOKUP($AD$2,'RF Mod'!$I$2:$O$11,2,FALSE)+(TRUNC(6+(24-6)*(TRUNC(MOD(($Z611*1103515245 +12345)/ 65536, 32768),0)/32768),0))</f>
        <v>6</v>
      </c>
      <c r="H611" s="16">
        <f t="shared" ca="1" si="33"/>
        <v>-2</v>
      </c>
      <c r="I611" s="153">
        <f ca="1">VLOOKUP($AB$2,'RF Mod'!$A$2:$G$12,3,FALSE)+VLOOKUP($AD$2,'RF Mod'!$I$2:$O$11,3,FALSE)+(TRUNC(6+(24-6)*(TRUNC(MOD(($Z611*1103515245 +12345)/ 65536, 32768),0)/32768),0))</f>
        <v>10</v>
      </c>
      <c r="J611" s="16" t="e">
        <f t="shared" ca="1" si="34"/>
        <v>#NAME?</v>
      </c>
      <c r="K611" s="153">
        <f ca="1">VLOOKUP($AB$2,'RF Mod'!$A$2:$G$12,3,FALSE)+VLOOKUP($AD$2,'RF Mod'!$I$2:$O$11,3,FALSE)+(TRUNC(6+(24-6)*(TRUNC(MOD(($Z611*1103515245 +12345)/ 65536, 32768),0)/32768),0))</f>
        <v>10</v>
      </c>
      <c r="L611" s="16" t="e">
        <f t="shared" ca="1" si="35"/>
        <v>#NAME?</v>
      </c>
      <c r="M611" s="153">
        <f ca="1">VLOOKUP($AB$2,'RF Mod'!$A$2:$G$12,4,FALSE)+VLOOKUP($AD$2,'RF Mod'!$I$2:$O$11,4,FALSE)+(TRUNC(6+(24-6)*(TRUNC(MOD(($Z611*1103515245 +12345)/ 65536, 32768),0)/32768),0))</f>
        <v>9</v>
      </c>
      <c r="N611" s="16">
        <f t="shared" ca="1" si="36"/>
        <v>-1</v>
      </c>
      <c r="O611" s="153">
        <f ca="1">VLOOKUP($AB$2,'RF Mod'!$A$2:$G$12,5,FALSE)+VLOOKUP($AD$2,'RF Mod'!$I$2:$O$11,5,FALSE)+(TRUNC(6+(24-6)*(TRUNC(MOD(($Z611*1103515245 +12345)/ 65536, 32768),0)/32768),0))</f>
        <v>12</v>
      </c>
      <c r="P611" s="16" t="e">
        <f t="shared" ca="1" si="37"/>
        <v>#NAME?</v>
      </c>
      <c r="Q611" s="153">
        <f ca="1">VLOOKUP($AB$2,'RF Mod'!$A$2:$G$12,6,FALSE)+VLOOKUP($AD$2,'RF Mod'!$I$2:$O$11,6,FALSE)+(TRUNC(6+(24-6)*(TRUNC(MOD(($Z611*1103515245 +12345)/ 65536, 32768),0)/32768),0))</f>
        <v>10</v>
      </c>
      <c r="R611" s="16" t="e">
        <f t="shared" ca="1" si="38"/>
        <v>#NAME?</v>
      </c>
      <c r="S611" s="154">
        <f t="shared" ca="1" si="43"/>
        <v>12</v>
      </c>
      <c r="T611" s="154">
        <f t="shared" ca="1" si="39"/>
        <v>5</v>
      </c>
      <c r="U611" s="16" t="str">
        <f t="shared" ca="1" si="40"/>
        <v>Fine</v>
      </c>
      <c r="V611" s="155">
        <f ca="1">IFERROR(__xludf.DUMMYFUNCTION("if(W611=""Middle Age"",QUERY(NPCVar!$K$2:$N1000, ""Select L where K = '""&amp;AB611&amp;""'""),if(W611=""Old"",QUERY(NPCVar!$K$2:$N1000, ""Select M where K = '""&amp;AB611&amp;""'""),if(W611=""Venerable"",QUERY(NPCVar!$K$2:$N1000, ""Select N where K = '""&amp;AB611&amp;""'""),fa"&amp;"lse)))*X611"),112.5)</f>
        <v>112.5</v>
      </c>
      <c r="W611" s="156" t="str">
        <f t="array" ref="W611">INDEX(NPCAgeType,TRUNC(1+(4-1)*(TRUNC(MOD((X611*1103515245 +12345)/ 65536, 32768),0)/32768),0))</f>
        <v>Middle Age</v>
      </c>
      <c r="X611" s="117">
        <f t="shared" si="45"/>
        <v>0.6</v>
      </c>
      <c r="Y611" s="157" t="e">
        <f t="array" aca="1" ref="Y611" ca="1">LOOKUP(ABS(MAX(Z611 + MIN(ABS(INDIRECT("Class Jobs!B"&amp;MATCH(E611,'Class Jobs'!$A$1:$A1000,0)&amp;":"&amp;"AF"&amp;MATCH(E611,'Class Jobs'!$A$1:$A1000,0)&amp;"")-$Z611)) * SUM(IF(MIN(ABS(INDIRECT("Class Jobs!B"&amp;MATCH(E611,'Class Jobs'!$A$1:$A1000,0)&amp;":"&amp;"AF"&amp;MATCH(E611,'Class Jobs'!$A$1:$A1000,0)&amp;"")-$Z611))=ABS(INDIRECT("Class Jobs!B"&amp;MATCH(E611,'Class Jobs'!$A$1:$A1000,0)&amp;":"&amp;"AF"&amp;MATCH(E611,'Class Jobs'!$A$1:$A1000,0)&amp;"")-$Z611),SIGN(INDIRECT("Class Jobs!B"&amp;MATCH(E611,'Class Jobs'!$A$1:A1000,0)&amp;":"&amp;"AF"&amp;MATCH(E611,'Class Jobs'!$A$1:$A1000,0)&amp;"")-$Z611),0)),0)),INDIRECT("Class Jobs!B"&amp;MATCH(E611,'Class Jobs'!$A$1:$A1000,0)&amp;":"&amp;"AF"&amp;MATCH(E611,'Class Jobs'!$A$1:$A1000,1)&amp;""),'Class Jobs'!$B$1:$AF$1)</f>
        <v>#REF!</v>
      </c>
      <c r="Z611" s="158">
        <f t="shared" si="41"/>
        <v>0.22</v>
      </c>
      <c r="AA611" s="16" t="str">
        <f t="array" ref="AA611">INDEX(NPCGender,TRUNC(1+(COUNTA(NPCGender))*(TRUNC(MOD(($B611*1103515245 +12345)/ 65536, 32768),0)/32768),0))</f>
        <v>Male</v>
      </c>
      <c r="AB611" s="16" t="str">
        <f t="array" ref="AB611">INDEX(NPCRace,TRUNC(1+(COUNTA(NPCRace))*(TRUNC(MOD(($B611*1103515245 +12345)/ 65536, 32768),0)/32768),0))</f>
        <v>Elf</v>
      </c>
      <c r="AC611" s="16" t="str">
        <f t="array" ref="AC611">INDEX(NPCAL,TRUNC(1+(COUNTA(NPCAL))*(TRUNC(MOD(($B611*1103515245 +12345)/ 65536, 32768),0)/32768),0))</f>
        <v>CE</v>
      </c>
      <c r="AD611" s="72" t="str">
        <f ca="1">IFERROR(__xludf.DUMMYFUNCTION("if(V611&lt;15,QUERY(NPCVar!C:D,""Select D WHERE C = '""&amp;D611&amp;""'""),if((TRUNC(1+10)*(TRUNC(MOD((ROW(H611)*1103515245 +12345)/ 65536, 32768),0)/32768)/10) &gt; 0.85,INDEX(NPCFaction,TRUNC(1+(counta(NPCFaction)-1)*(TRUNC(MOD(($B611*1103515245 +12345)/ 65536, 3276"&amp;"8),0)/32768),0)),QUERY(NPCVar!C:D,""Select D WHERE C = '""&amp;D611&amp;""'"")))"),"Necromancer")</f>
        <v>Necromancer</v>
      </c>
      <c r="AE611" s="108" t="e">
        <f t="shared" ca="1" si="42"/>
        <v>#NAME?</v>
      </c>
      <c r="AF611" s="159">
        <f ca="1">IFERROR(__xludf.DUMMYFUNCTION("AE611*(V611 / QUERY(NPCVar!$K$2:$N$12, ""Select N WHERE K='""&amp;AB611&amp;""'""))*TRUNC(1+10)*(TRUNC(MOD(($B611*1103515245 +12345)/ 65536, 32768),0)/32768)"),0.105365753173828)</f>
        <v>0.105365753173828</v>
      </c>
      <c r="AG611" s="16"/>
      <c r="AH611" s="77"/>
      <c r="AI611" s="114"/>
    </row>
    <row r="612" spans="1:35" ht="16.2">
      <c r="A612" s="53">
        <v>611</v>
      </c>
      <c r="B612" s="118">
        <f t="shared" si="46"/>
        <v>1.9084099999999999</v>
      </c>
      <c r="C612" s="72" t="str">
        <f t="array" ref="C612">INDEX(NPCFName,TRUNC(1+(COUNTA(NPCFName))*(TRUNC(MOD(($B612*1103515245 +12345)/ 65536, 32768),0)/32768),0))</f>
        <v>Witfar</v>
      </c>
      <c r="D612" s="16" t="str">
        <f t="array" ref="D612">INDEX(NPCLName,TRUNC(1+(COUNTA(NPCLName))*(TRUNC(MOD(($B612*1103515245 +12345)/ 65536, 32768),0)/32768),0))</f>
        <v>Stillspell</v>
      </c>
      <c r="E612" s="16" t="str">
        <f t="array" ref="E612">INDEX(NPCClass,TRUNC(1+(COUNTA(NPCClass))*(TRUNC(MOD(($B612*1103515245 +12345)/ 65536, 32768),0)/32768),0))</f>
        <v>Wizard</v>
      </c>
      <c r="F612" s="76">
        <v>8</v>
      </c>
      <c r="G612" s="153">
        <f ca="1">VLOOKUP($AB$2,'RF Mod'!$A$2:$G$12,2,FALSE)+VLOOKUP($AD$2,'RF Mod'!$I$2:$O$11,2,FALSE)+(TRUNC(6+(24-6)*(TRUNC(MOD(($Z612*1103515245 +12345)/ 65536, 32768),0)/32768),0))</f>
        <v>13</v>
      </c>
      <c r="H612" s="16" t="e">
        <f t="shared" ca="1" si="33"/>
        <v>#NAME?</v>
      </c>
      <c r="I612" s="153">
        <f ca="1">VLOOKUP($AB$2,'RF Mod'!$A$2:$G$12,3,FALSE)+VLOOKUP($AD$2,'RF Mod'!$I$2:$O$11,3,FALSE)+(TRUNC(6+(24-6)*(TRUNC(MOD(($Z612*1103515245 +12345)/ 65536, 32768),0)/32768),0))</f>
        <v>17</v>
      </c>
      <c r="J612" s="16" t="e">
        <f t="shared" ca="1" si="34"/>
        <v>#NAME?</v>
      </c>
      <c r="K612" s="153">
        <f ca="1">VLOOKUP($AB$2,'RF Mod'!$A$2:$G$12,3,FALSE)+VLOOKUP($AD$2,'RF Mod'!$I$2:$O$11,3,FALSE)+(TRUNC(6+(24-6)*(TRUNC(MOD(($Z612*1103515245 +12345)/ 65536, 32768),0)/32768),0))</f>
        <v>17</v>
      </c>
      <c r="L612" s="16" t="e">
        <f t="shared" ca="1" si="35"/>
        <v>#NAME?</v>
      </c>
      <c r="M612" s="153">
        <f ca="1">VLOOKUP($AB$2,'RF Mod'!$A$2:$G$12,4,FALSE)+VLOOKUP($AD$2,'RF Mod'!$I$2:$O$11,4,FALSE)+(TRUNC(6+(24-6)*(TRUNC(MOD(($Z612*1103515245 +12345)/ 65536, 32768),0)/32768),0))</f>
        <v>16</v>
      </c>
      <c r="N612" s="16" t="e">
        <f t="shared" ca="1" si="36"/>
        <v>#NAME?</v>
      </c>
      <c r="O612" s="153">
        <f ca="1">VLOOKUP($AB$2,'RF Mod'!$A$2:$G$12,5,FALSE)+VLOOKUP($AD$2,'RF Mod'!$I$2:$O$11,5,FALSE)+(TRUNC(6+(24-6)*(TRUNC(MOD(($Z612*1103515245 +12345)/ 65536, 32768),0)/32768),0))</f>
        <v>19</v>
      </c>
      <c r="P612" s="16" t="e">
        <f t="shared" ca="1" si="37"/>
        <v>#NAME?</v>
      </c>
      <c r="Q612" s="153">
        <f ca="1">VLOOKUP($AB$2,'RF Mod'!$A$2:$G$12,6,FALSE)+VLOOKUP($AD$2,'RF Mod'!$I$2:$O$11,6,FALSE)+(TRUNC(6+(24-6)*(TRUNC(MOD(($Z612*1103515245 +12345)/ 65536, 32768),0)/32768),0))</f>
        <v>17</v>
      </c>
      <c r="R612" s="16" t="e">
        <f t="shared" ca="1" si="38"/>
        <v>#NAME?</v>
      </c>
      <c r="S612" s="154">
        <f t="shared" ca="1" si="43"/>
        <v>184</v>
      </c>
      <c r="T612" s="154">
        <f t="shared" ca="1" si="39"/>
        <v>86</v>
      </c>
      <c r="U612" s="16" t="str">
        <f t="shared" ca="1" si="40"/>
        <v>Fine</v>
      </c>
      <c r="V612" s="155">
        <f ca="1">IFERROR(__xludf.DUMMYFUNCTION("if(W612=""Middle Age"",QUERY(NPCVar!$K$2:$N1000, ""Select L where K = '""&amp;AB612&amp;""'""),if(W612=""Old"",QUERY(NPCVar!$K$2:$N1000, ""Select M where K = '""&amp;AB612&amp;""'""),if(W612=""Venerable"",QUERY(NPCVar!$K$2:$N1000, ""Select N where K = '""&amp;AB612&amp;""'""),fa"&amp;"lse)))*X612"),72)</f>
        <v>72</v>
      </c>
      <c r="W612" s="156" t="str">
        <f t="array" ref="W612">INDEX(NPCAgeType,TRUNC(1+(4-1)*(TRUNC(MOD((X612*1103515245 +12345)/ 65536, 32768),0)/32768),0))</f>
        <v>Middle Age</v>
      </c>
      <c r="X612" s="117">
        <f t="shared" si="45"/>
        <v>2.4</v>
      </c>
      <c r="Y612" s="157" t="e">
        <f t="array" aca="1" ref="Y612" ca="1">LOOKUP(ABS(MAX(Z612 + MIN(ABS(INDIRECT("Class Jobs!B"&amp;MATCH(E612,'Class Jobs'!$A$1:$A1000,0)&amp;":"&amp;"AF"&amp;MATCH(E612,'Class Jobs'!$A$1:$A1000,0)&amp;"")-$Z612)) * SUM(IF(MIN(ABS(INDIRECT("Class Jobs!B"&amp;MATCH(E612,'Class Jobs'!$A$1:$A1000,0)&amp;":"&amp;"AF"&amp;MATCH(E612,'Class Jobs'!$A$1:$A1000,0)&amp;"")-$Z612))=ABS(INDIRECT("Class Jobs!B"&amp;MATCH(E612,'Class Jobs'!$A$1:$A1000,0)&amp;":"&amp;"AF"&amp;MATCH(E612,'Class Jobs'!$A$1:$A1000,0)&amp;"")-$Z612),SIGN(INDIRECT("Class Jobs!B"&amp;MATCH(E612,'Class Jobs'!$A$1:A1000,0)&amp;":"&amp;"AF"&amp;MATCH(E612,'Class Jobs'!$A$1:$A1000,0)&amp;"")-$Z612),0)),0)),INDIRECT("Class Jobs!B"&amp;MATCH(E612,'Class Jobs'!$A$1:$A1000,0)&amp;":"&amp;"AF"&amp;MATCH(E612,'Class Jobs'!$A$1:$A1000,1)&amp;""),'Class Jobs'!$B$1:$AF$1)</f>
        <v>#REF!</v>
      </c>
      <c r="Z612" s="158">
        <f t="shared" si="41"/>
        <v>0.98</v>
      </c>
      <c r="AA612" s="16" t="str">
        <f t="array" ref="AA612">INDEX(NPCGender,TRUNC(1+(COUNTA(NPCGender))*(TRUNC(MOD(($B612*1103515245 +12345)/ 65536, 32768),0)/32768),0))</f>
        <v>Neutral</v>
      </c>
      <c r="AB612" s="16" t="str">
        <f t="array" ref="AB612">INDEX(NPCRace,TRUNC(1+(COUNTA(NPCRace))*(TRUNC(MOD(($B612*1103515245 +12345)/ 65536, 32768),0)/32768),0))</f>
        <v>Goliath</v>
      </c>
      <c r="AC612" s="16" t="str">
        <f t="array" ref="AC612">INDEX(NPCAL,TRUNC(1+(COUNTA(NPCAL))*(TRUNC(MOD(($B612*1103515245 +12345)/ 65536, 32768),0)/32768),0))</f>
        <v>LE</v>
      </c>
      <c r="AD612" s="72" t="str">
        <f ca="1">IFERROR(__xludf.DUMMYFUNCTION("if(V612&lt;15,QUERY(NPCVar!C:D,""Select D WHERE C = '""&amp;D612&amp;""'""),if((TRUNC(1+10)*(TRUNC(MOD((ROW(H612)*1103515245 +12345)/ 65536, 32768),0)/32768)/10) &gt; 0.85,INDEX(NPCFaction,TRUNC(1+(counta(NPCFaction)-1)*(TRUNC(MOD(($B612*1103515245 +12345)/ 65536, 3276"&amp;"8),0)/32768),0)),QUERY(NPCVar!C:D,""Select D WHERE C = '""&amp;D612&amp;""'"")))"),"Followers of Isis")</f>
        <v>Followers of Isis</v>
      </c>
      <c r="AE612" s="108" t="e">
        <f t="shared" ca="1" si="42"/>
        <v>#NAME?</v>
      </c>
      <c r="AF612" s="159">
        <f ca="1">IFERROR(__xludf.DUMMYFUNCTION("AE612*(V612 / QUERY(NPCVar!$K$2:$N$12, ""Select N WHERE K='""&amp;AB612&amp;""'""))*TRUNC(1+10)*(TRUNC(MOD(($B612*1103515245 +12345)/ 65536, 32768),0)/32768)"),6.47230224609375)</f>
        <v>6.4723022460937498</v>
      </c>
      <c r="AG612" s="16"/>
      <c r="AH612" s="77"/>
      <c r="AI612" s="114"/>
    </row>
    <row r="613" spans="1:35" ht="16.2">
      <c r="A613" s="53">
        <v>612</v>
      </c>
      <c r="B613" s="118">
        <f t="shared" si="46"/>
        <v>0.90256000000000003</v>
      </c>
      <c r="C613" s="72" t="str">
        <f t="array" ref="C613">INDEX(NPCFName,TRUNC(1+(COUNTA(NPCFName))*(TRUNC(MOD(($B613*1103515245 +12345)/ 65536, 32768),0)/32768),0))</f>
        <v>Harrenhal</v>
      </c>
      <c r="D613" s="16" t="str">
        <f t="array" ref="D613">INDEX(NPCLName,TRUNC(1+(COUNTA(NPCLName))*(TRUNC(MOD(($B613*1103515245 +12345)/ 65536, 32768),0)/32768),0))</f>
        <v>Saurflame</v>
      </c>
      <c r="E613" s="16" t="str">
        <f t="array" ref="E613">INDEX(NPCClass,TRUNC(1+(COUNTA(NPCClass))*(TRUNC(MOD(($B613*1103515245 +12345)/ 65536, 32768),0)/32768),0))</f>
        <v>Ranger</v>
      </c>
      <c r="F613" s="76">
        <v>7</v>
      </c>
      <c r="G613" s="153">
        <f ca="1">VLOOKUP($AB$2,'RF Mod'!$A$2:$G$12,2,FALSE)+VLOOKUP($AD$2,'RF Mod'!$I$2:$O$11,2,FALSE)+(TRUNC(6+(24-6)*(TRUNC(MOD(($Z613*1103515245 +12345)/ 65536, 32768),0)/32768),0))</f>
        <v>8</v>
      </c>
      <c r="H613" s="16">
        <f t="shared" ca="1" si="33"/>
        <v>-1</v>
      </c>
      <c r="I613" s="153">
        <f ca="1">VLOOKUP($AB$2,'RF Mod'!$A$2:$G$12,3,FALSE)+VLOOKUP($AD$2,'RF Mod'!$I$2:$O$11,3,FALSE)+(TRUNC(6+(24-6)*(TRUNC(MOD(($Z613*1103515245 +12345)/ 65536, 32768),0)/32768),0))</f>
        <v>12</v>
      </c>
      <c r="J613" s="16" t="e">
        <f t="shared" ca="1" si="34"/>
        <v>#NAME?</v>
      </c>
      <c r="K613" s="153">
        <f ca="1">VLOOKUP($AB$2,'RF Mod'!$A$2:$G$12,3,FALSE)+VLOOKUP($AD$2,'RF Mod'!$I$2:$O$11,3,FALSE)+(TRUNC(6+(24-6)*(TRUNC(MOD(($Z613*1103515245 +12345)/ 65536, 32768),0)/32768),0))</f>
        <v>12</v>
      </c>
      <c r="L613" s="16" t="e">
        <f t="shared" ca="1" si="35"/>
        <v>#NAME?</v>
      </c>
      <c r="M613" s="153">
        <f ca="1">VLOOKUP($AB$2,'RF Mod'!$A$2:$G$12,4,FALSE)+VLOOKUP($AD$2,'RF Mod'!$I$2:$O$11,4,FALSE)+(TRUNC(6+(24-6)*(TRUNC(MOD(($Z613*1103515245 +12345)/ 65536, 32768),0)/32768),0))</f>
        <v>11</v>
      </c>
      <c r="N613" s="16" t="e">
        <f t="shared" ca="1" si="36"/>
        <v>#NAME?</v>
      </c>
      <c r="O613" s="153">
        <f ca="1">VLOOKUP($AB$2,'RF Mod'!$A$2:$G$12,5,FALSE)+VLOOKUP($AD$2,'RF Mod'!$I$2:$O$11,5,FALSE)+(TRUNC(6+(24-6)*(TRUNC(MOD(($Z613*1103515245 +12345)/ 65536, 32768),0)/32768),0))</f>
        <v>14</v>
      </c>
      <c r="P613" s="16" t="e">
        <f t="shared" ca="1" si="37"/>
        <v>#NAME?</v>
      </c>
      <c r="Q613" s="153">
        <f ca="1">VLOOKUP($AB$2,'RF Mod'!$A$2:$G$12,6,FALSE)+VLOOKUP($AD$2,'RF Mod'!$I$2:$O$11,6,FALSE)+(TRUNC(6+(24-6)*(TRUNC(MOD(($Z613*1103515245 +12345)/ 65536, 32768),0)/32768),0))</f>
        <v>12</v>
      </c>
      <c r="R613" s="16" t="e">
        <f t="shared" ca="1" si="38"/>
        <v>#NAME?</v>
      </c>
      <c r="S613" s="154">
        <f t="shared" ca="1" si="43"/>
        <v>182</v>
      </c>
      <c r="T613" s="154">
        <f t="shared" ca="1" si="39"/>
        <v>154</v>
      </c>
      <c r="U613" s="16" t="str">
        <f t="shared" ca="1" si="40"/>
        <v>Bloody</v>
      </c>
      <c r="V613" s="155">
        <f ca="1">IFERROR(__xludf.DUMMYFUNCTION("if(W613=""Middle Age"",QUERY(NPCVar!$K$2:$N1000, ""Select L where K = '""&amp;AB613&amp;""'""),if(W613=""Old"",QUERY(NPCVar!$K$2:$N1000, ""Select M where K = '""&amp;AB613&amp;""'""),if(W613=""Venerable"",QUERY(NPCVar!$K$2:$N1000, ""Select N where K = '""&amp;AB613&amp;""'""),fa"&amp;"lse)))*X613"),31.5)</f>
        <v>31.5</v>
      </c>
      <c r="W613" s="156" t="str">
        <f t="array" ref="W613">INDEX(NPCAgeType,TRUNC(1+(4-1)*(TRUNC(MOD((X613*1103515245 +12345)/ 65536, 32768),0)/32768),0))</f>
        <v>Old</v>
      </c>
      <c r="X613" s="117">
        <f t="shared" si="45"/>
        <v>1.2</v>
      </c>
      <c r="Y613" s="157" t="e">
        <f t="array" aca="1" ref="Y613" ca="1">LOOKUP(ABS(MAX(Z613 + MIN(ABS(INDIRECT("Class Jobs!B"&amp;MATCH(E613,'Class Jobs'!$A$1:$A1000,0)&amp;":"&amp;"AF"&amp;MATCH(E613,'Class Jobs'!$A$1:$A1000,0)&amp;"")-$Z613)) * SUM(IF(MIN(ABS(INDIRECT("Class Jobs!B"&amp;MATCH(E613,'Class Jobs'!$A$1:$A1000,0)&amp;":"&amp;"AF"&amp;MATCH(E613,'Class Jobs'!$A$1:$A1000,0)&amp;"")-$Z613))=ABS(INDIRECT("Class Jobs!B"&amp;MATCH(E613,'Class Jobs'!$A$1:$A1000,0)&amp;":"&amp;"AF"&amp;MATCH(E613,'Class Jobs'!$A$1:$A1000,0)&amp;"")-$Z613),SIGN(INDIRECT("Class Jobs!B"&amp;MATCH(E613,'Class Jobs'!$A$1:A1000,0)&amp;":"&amp;"AF"&amp;MATCH(E613,'Class Jobs'!$A$1:$A1000,0)&amp;"")-$Z613),0)),0)),INDIRECT("Class Jobs!B"&amp;MATCH(E613,'Class Jobs'!$A$1:$A1000,0)&amp;":"&amp;"AF"&amp;MATCH(E613,'Class Jobs'!$A$1:$A1000,1)&amp;""),'Class Jobs'!$B$1:$AF$1)</f>
        <v>#REF!</v>
      </c>
      <c r="Z613" s="158">
        <f t="shared" si="41"/>
        <v>0.46</v>
      </c>
      <c r="AA613" s="16" t="str">
        <f t="array" ref="AA613">INDEX(NPCGender,TRUNC(1+(COUNTA(NPCGender))*(TRUNC(MOD(($B613*1103515245 +12345)/ 65536, 32768),0)/32768),0))</f>
        <v>Female</v>
      </c>
      <c r="AB613" s="16" t="str">
        <f t="array" ref="AB613">INDEX(NPCRace,TRUNC(1+(COUNTA(NPCRace))*(TRUNC(MOD(($B613*1103515245 +12345)/ 65536, 32768),0)/32768),0))</f>
        <v>Half-Orc</v>
      </c>
      <c r="AC613" s="16" t="str">
        <f t="array" ref="AC613">INDEX(NPCAL,TRUNC(1+(COUNTA(NPCAL))*(TRUNC(MOD(($B613*1103515245 +12345)/ 65536, 32768),0)/32768),0))</f>
        <v>NN</v>
      </c>
      <c r="AD613" s="72" t="str">
        <f ca="1">IFERROR(__xludf.DUMMYFUNCTION("if(V613&lt;15,QUERY(NPCVar!C:D,""Select D WHERE C = '""&amp;D613&amp;""'""),if((TRUNC(1+10)*(TRUNC(MOD((ROW(H613)*1103515245 +12345)/ 65536, 32768),0)/32768)/10) &gt; 0.85,INDEX(NPCFaction,TRUNC(1+(counta(NPCFaction)-1)*(TRUNC(MOD(($B613*1103515245 +12345)/ 65536, 3276"&amp;"8),0)/32768),0)),QUERY(NPCVar!C:D,""Select D WHERE C = '""&amp;D613&amp;""'"")))"),"Thieves Guild")</f>
        <v>Thieves Guild</v>
      </c>
      <c r="AE613" s="108" t="e">
        <f t="shared" ca="1" si="42"/>
        <v>#NAME?</v>
      </c>
      <c r="AF613" s="159">
        <f ca="1">IFERROR(__xludf.DUMMYFUNCTION("AE613*(V613 / QUERY(NPCVar!$K$2:$N$12, ""Select N WHERE K='""&amp;AB613&amp;""'""))*TRUNC(1+10)*(TRUNC(MOD(($B613*1103515245 +12345)/ 65536, 32768),0)/32768)"),1.3774136352539)</f>
        <v>1.3774136352538999</v>
      </c>
      <c r="AG613" s="16"/>
      <c r="AH613" s="77"/>
      <c r="AI613" s="114"/>
    </row>
    <row r="614" spans="1:35" ht="16.2">
      <c r="A614" s="53">
        <v>613</v>
      </c>
      <c r="B614" s="118">
        <f t="shared" si="46"/>
        <v>2.39669</v>
      </c>
      <c r="C614" s="72" t="str">
        <f t="array" ref="C614">INDEX(NPCFName,TRUNC(1+(COUNTA(NPCFName))*(TRUNC(MOD(($B614*1103515245 +12345)/ 65536, 32768),0)/32768),0))</f>
        <v>Prothalon</v>
      </c>
      <c r="D614" s="16" t="str">
        <f t="array" ref="D614">INDEX(NPCLName,TRUNC(1+(COUNTA(NPCLName))*(TRUNC(MOD(($B614*1103515245 +12345)/ 65536, 32768),0)/32768),0))</f>
        <v>Stillsun</v>
      </c>
      <c r="E614" s="16" t="str">
        <f t="array" ref="E614">INDEX(NPCClass,TRUNC(1+(COUNTA(NPCClass))*(TRUNC(MOD(($B614*1103515245 +12345)/ 65536, 32768),0)/32768),0))</f>
        <v>Druid</v>
      </c>
      <c r="F614" s="76">
        <v>3</v>
      </c>
      <c r="G614" s="153">
        <f ca="1">VLOOKUP($AB$2,'RF Mod'!$A$2:$G$12,2,FALSE)+VLOOKUP($AD$2,'RF Mod'!$I$2:$O$11,2,FALSE)+(TRUNC(6+(24-6)*(TRUNC(MOD(($Z614*1103515245 +12345)/ 65536, 32768),0)/32768),0))</f>
        <v>6</v>
      </c>
      <c r="H614" s="16">
        <f t="shared" ca="1" si="33"/>
        <v>-2</v>
      </c>
      <c r="I614" s="153">
        <f ca="1">VLOOKUP($AB$2,'RF Mod'!$A$2:$G$12,3,FALSE)+VLOOKUP($AD$2,'RF Mod'!$I$2:$O$11,3,FALSE)+(TRUNC(6+(24-6)*(TRUNC(MOD(($Z614*1103515245 +12345)/ 65536, 32768),0)/32768),0))</f>
        <v>10</v>
      </c>
      <c r="J614" s="16" t="e">
        <f t="shared" ca="1" si="34"/>
        <v>#NAME?</v>
      </c>
      <c r="K614" s="153">
        <f ca="1">VLOOKUP($AB$2,'RF Mod'!$A$2:$G$12,3,FALSE)+VLOOKUP($AD$2,'RF Mod'!$I$2:$O$11,3,FALSE)+(TRUNC(6+(24-6)*(TRUNC(MOD(($Z614*1103515245 +12345)/ 65536, 32768),0)/32768),0))</f>
        <v>10</v>
      </c>
      <c r="L614" s="16" t="e">
        <f t="shared" ca="1" si="35"/>
        <v>#NAME?</v>
      </c>
      <c r="M614" s="153">
        <f ca="1">VLOOKUP($AB$2,'RF Mod'!$A$2:$G$12,4,FALSE)+VLOOKUP($AD$2,'RF Mod'!$I$2:$O$11,4,FALSE)+(TRUNC(6+(24-6)*(TRUNC(MOD(($Z614*1103515245 +12345)/ 65536, 32768),0)/32768),0))</f>
        <v>9</v>
      </c>
      <c r="N614" s="16">
        <f t="shared" ca="1" si="36"/>
        <v>-1</v>
      </c>
      <c r="O614" s="153">
        <f ca="1">VLOOKUP($AB$2,'RF Mod'!$A$2:$G$12,5,FALSE)+VLOOKUP($AD$2,'RF Mod'!$I$2:$O$11,5,FALSE)+(TRUNC(6+(24-6)*(TRUNC(MOD(($Z614*1103515245 +12345)/ 65536, 32768),0)/32768),0))</f>
        <v>12</v>
      </c>
      <c r="P614" s="16" t="e">
        <f t="shared" ca="1" si="37"/>
        <v>#NAME?</v>
      </c>
      <c r="Q614" s="153">
        <f ca="1">VLOOKUP($AB$2,'RF Mod'!$A$2:$G$12,6,FALSE)+VLOOKUP($AD$2,'RF Mod'!$I$2:$O$11,6,FALSE)+(TRUNC(6+(24-6)*(TRUNC(MOD(($Z614*1103515245 +12345)/ 65536, 32768),0)/32768),0))</f>
        <v>10</v>
      </c>
      <c r="R614" s="16" t="e">
        <f t="shared" ca="1" si="38"/>
        <v>#NAME?</v>
      </c>
      <c r="S614" s="154">
        <f t="shared" ca="1" si="43"/>
        <v>42</v>
      </c>
      <c r="T614" s="154">
        <f t="shared" ca="1" si="39"/>
        <v>8</v>
      </c>
      <c r="U614" s="16" t="str">
        <f t="shared" ca="1" si="40"/>
        <v>Fine</v>
      </c>
      <c r="V614" s="155">
        <f ca="1">IFERROR(__xludf.DUMMYFUNCTION("if(W614=""Middle Age"",QUERY(NPCVar!$K$2:$N1000, ""Select L where K = '""&amp;AB614&amp;""'""),if(W614=""Old"",QUERY(NPCVar!$K$2:$N1000, ""Select M where K = '""&amp;AB614&amp;""'""),if(W614=""Venerable"",QUERY(NPCVar!$K$2:$N1000, ""Select N where K = '""&amp;AB614&amp;""'""),fa"&amp;"lse)))*X614"),112.5)</f>
        <v>112.5</v>
      </c>
      <c r="W614" s="156" t="str">
        <f t="array" ref="W614">INDEX(NPCAgeType,TRUNC(1+(4-1)*(TRUNC(MOD((X614*1103515245 +12345)/ 65536, 32768),0)/32768),0))</f>
        <v>Middle Age</v>
      </c>
      <c r="X614" s="117">
        <f t="shared" si="45"/>
        <v>0.6</v>
      </c>
      <c r="Y614" s="157" t="e">
        <f t="array" aca="1" ref="Y614" ca="1">LOOKUP(ABS(MAX(Z614 + MIN(ABS(INDIRECT("Class Jobs!B"&amp;MATCH(E614,'Class Jobs'!$A$1:$A1000,0)&amp;":"&amp;"AF"&amp;MATCH(E614,'Class Jobs'!$A$1:$A1000,0)&amp;"")-$Z614)) * SUM(IF(MIN(ABS(INDIRECT("Class Jobs!B"&amp;MATCH(E614,'Class Jobs'!$A$1:$A1000,0)&amp;":"&amp;"AF"&amp;MATCH(E614,'Class Jobs'!$A$1:$A1000,0)&amp;"")-$Z614))=ABS(INDIRECT("Class Jobs!B"&amp;MATCH(E614,'Class Jobs'!$A$1:$A1000,0)&amp;":"&amp;"AF"&amp;MATCH(E614,'Class Jobs'!$A$1:$A1000,0)&amp;"")-$Z614),SIGN(INDIRECT("Class Jobs!B"&amp;MATCH(E614,'Class Jobs'!$A$1:A1000,0)&amp;":"&amp;"AF"&amp;MATCH(E614,'Class Jobs'!$A$1:$A1000,0)&amp;"")-$Z614),0)),0)),INDIRECT("Class Jobs!B"&amp;MATCH(E614,'Class Jobs'!$A$1:$A1000,0)&amp;":"&amp;"AF"&amp;MATCH(E614,'Class Jobs'!$A$1:$A1000,1)&amp;""),'Class Jobs'!$B$1:$AF$1)</f>
        <v>#REF!</v>
      </c>
      <c r="Z614" s="158">
        <f t="shared" si="41"/>
        <v>0.23</v>
      </c>
      <c r="AA614" s="16" t="str">
        <f t="array" ref="AA614">INDEX(NPCGender,TRUNC(1+(COUNTA(NPCGender))*(TRUNC(MOD(($B614*1103515245 +12345)/ 65536, 32768),0)/32768),0))</f>
        <v>Male</v>
      </c>
      <c r="AB614" s="16" t="str">
        <f t="array" ref="AB614">INDEX(NPCRace,TRUNC(1+(COUNTA(NPCRace))*(TRUNC(MOD(($B614*1103515245 +12345)/ 65536, 32768),0)/32768),0))</f>
        <v>Elf</v>
      </c>
      <c r="AC614" s="16" t="str">
        <f t="array" ref="AC614">INDEX(NPCAL,TRUNC(1+(COUNTA(NPCAL))*(TRUNC(MOD(($B614*1103515245 +12345)/ 65536, 32768),0)/32768),0))</f>
        <v>CG</v>
      </c>
      <c r="AD614" s="72" t="str">
        <f ca="1">IFERROR(__xludf.DUMMYFUNCTION("if(V614&lt;15,QUERY(NPCVar!C:D,""Select D WHERE C = '""&amp;D614&amp;""'""),if((TRUNC(1+10)*(TRUNC(MOD((ROW(H614)*1103515245 +12345)/ 65536, 32768),0)/32768)/10) &gt; 0.85,INDEX(NPCFaction,TRUNC(1+(counta(NPCFaction)-1)*(TRUNC(MOD(($B614*1103515245 +12345)/ 65536, 3276"&amp;"8),0)/32768),0)),QUERY(NPCVar!C:D,""Select D WHERE C = '""&amp;D614&amp;""'"")))"),"Necromancer")</f>
        <v>Necromancer</v>
      </c>
      <c r="AE614" s="108" t="e">
        <f t="shared" ca="1" si="42"/>
        <v>#NAME?</v>
      </c>
      <c r="AF614" s="159">
        <f ca="1">IFERROR(__xludf.DUMMYFUNCTION("AE614*(V614 / QUERY(NPCVar!$K$2:$N$12, ""Select N WHERE K='""&amp;AB614&amp;""'""))*TRUNC(1+10)*(TRUNC(MOD(($B614*1103515245 +12345)/ 65536, 32768),0)/32768)"),0.267460327148437)</f>
        <v>0.26746032714843698</v>
      </c>
      <c r="AG614" s="16"/>
      <c r="AH614" s="77"/>
      <c r="AI614" s="114"/>
    </row>
    <row r="615" spans="1:35" ht="16.2">
      <c r="A615" s="53">
        <v>614</v>
      </c>
      <c r="B615" s="118">
        <f t="shared" si="46"/>
        <v>1.3908400000000001</v>
      </c>
      <c r="C615" s="72" t="str">
        <f t="array" ref="C615">INDEX(NPCFName,TRUNC(1+(COUNTA(NPCFName))*(TRUNC(MOD(($B615*1103515245 +12345)/ 65536, 32768),0)/32768),0))</f>
        <v>Cemark</v>
      </c>
      <c r="D615" s="16" t="str">
        <f t="array" ref="D615">INDEX(NPCLName,TRUNC(1+(COUNTA(NPCLName))*(TRUNC(MOD(($B615*1103515245 +12345)/ 65536, 32768),0)/32768),0))</f>
        <v>Rockspell</v>
      </c>
      <c r="E615" s="16" t="str">
        <f t="array" ref="E615">INDEX(NPCClass,TRUNC(1+(COUNTA(NPCClass))*(TRUNC(MOD(($B615*1103515245 +12345)/ 65536, 32768),0)/32768),0))</f>
        <v>None</v>
      </c>
      <c r="F615" s="76">
        <v>8</v>
      </c>
      <c r="G615" s="153">
        <f ca="1">VLOOKUP($AB$2,'RF Mod'!$A$2:$G$12,2,FALSE)+VLOOKUP($AD$2,'RF Mod'!$I$2:$O$11,2,FALSE)+(TRUNC(6+(24-6)*(TRUNC(MOD(($Z615*1103515245 +12345)/ 65536, 32768),0)/32768),0))</f>
        <v>10</v>
      </c>
      <c r="H615" s="16" t="e">
        <f t="shared" ca="1" si="33"/>
        <v>#NAME?</v>
      </c>
      <c r="I615" s="153">
        <f ca="1">VLOOKUP($AB$2,'RF Mod'!$A$2:$G$12,3,FALSE)+VLOOKUP($AD$2,'RF Mod'!$I$2:$O$11,3,FALSE)+(TRUNC(6+(24-6)*(TRUNC(MOD(($Z615*1103515245 +12345)/ 65536, 32768),0)/32768),0))</f>
        <v>14</v>
      </c>
      <c r="J615" s="16" t="e">
        <f t="shared" ca="1" si="34"/>
        <v>#NAME?</v>
      </c>
      <c r="K615" s="153">
        <f ca="1">VLOOKUP($AB$2,'RF Mod'!$A$2:$G$12,3,FALSE)+VLOOKUP($AD$2,'RF Mod'!$I$2:$O$11,3,FALSE)+(TRUNC(6+(24-6)*(TRUNC(MOD(($Z615*1103515245 +12345)/ 65536, 32768),0)/32768),0))</f>
        <v>14</v>
      </c>
      <c r="L615" s="16" t="e">
        <f t="shared" ca="1" si="35"/>
        <v>#NAME?</v>
      </c>
      <c r="M615" s="153">
        <f ca="1">VLOOKUP($AB$2,'RF Mod'!$A$2:$G$12,4,FALSE)+VLOOKUP($AD$2,'RF Mod'!$I$2:$O$11,4,FALSE)+(TRUNC(6+(24-6)*(TRUNC(MOD(($Z615*1103515245 +12345)/ 65536, 32768),0)/32768),0))</f>
        <v>13</v>
      </c>
      <c r="N615" s="16" t="e">
        <f t="shared" ca="1" si="36"/>
        <v>#NAME?</v>
      </c>
      <c r="O615" s="153">
        <f ca="1">VLOOKUP($AB$2,'RF Mod'!$A$2:$G$12,5,FALSE)+VLOOKUP($AD$2,'RF Mod'!$I$2:$O$11,5,FALSE)+(TRUNC(6+(24-6)*(TRUNC(MOD(($Z615*1103515245 +12345)/ 65536, 32768),0)/32768),0))</f>
        <v>16</v>
      </c>
      <c r="P615" s="16" t="e">
        <f t="shared" ca="1" si="37"/>
        <v>#NAME?</v>
      </c>
      <c r="Q615" s="153">
        <f ca="1">VLOOKUP($AB$2,'RF Mod'!$A$2:$G$12,6,FALSE)+VLOOKUP($AD$2,'RF Mod'!$I$2:$O$11,6,FALSE)+(TRUNC(6+(24-6)*(TRUNC(MOD(($Z615*1103515245 +12345)/ 65536, 32768),0)/32768),0))</f>
        <v>14</v>
      </c>
      <c r="R615" s="16" t="e">
        <f t="shared" ca="1" si="38"/>
        <v>#NAME?</v>
      </c>
      <c r="S615" s="154">
        <f t="shared" ca="1" si="43"/>
        <v>176</v>
      </c>
      <c r="T615" s="154">
        <f t="shared" ca="1" si="39"/>
        <v>198</v>
      </c>
      <c r="U615" s="16" t="str">
        <f t="shared" ca="1" si="40"/>
        <v>Dead</v>
      </c>
      <c r="V615" s="155">
        <f ca="1">IFERROR(__xludf.DUMMYFUNCTION("if(W615=""Middle Age"",QUERY(NPCVar!$K$2:$N1000, ""Select L where K = '""&amp;AB615&amp;""'""),if(W615=""Old"",QUERY(NPCVar!$K$2:$N1000, ""Select M where K = '""&amp;AB615&amp;""'""),if(W615=""Venerable"",QUERY(NPCVar!$K$2:$N1000, ""Select N where K = '""&amp;AB615&amp;""'""),fa"&amp;"lse)))*X615"),162)</f>
        <v>162</v>
      </c>
      <c r="W615" s="156" t="str">
        <f t="array" ref="W615">INDEX(NPCAgeType,TRUNC(1+(4-1)*(TRUNC(MOD((X615*1103515245 +12345)/ 65536, 32768),0)/32768),0))</f>
        <v>Venerable</v>
      </c>
      <c r="X615" s="117">
        <f t="shared" si="45"/>
        <v>1.8</v>
      </c>
      <c r="Y615" s="157" t="e">
        <f t="array" aca="1" ref="Y615" ca="1">LOOKUP(ABS(MAX(Z615 + MIN(ABS(INDIRECT("Class Jobs!B"&amp;MATCH(E615,'Class Jobs'!$A$1:$A1000,0)&amp;":"&amp;"AF"&amp;MATCH(E615,'Class Jobs'!$A$1:$A1000,0)&amp;"")-$Z615)) * SUM(IF(MIN(ABS(INDIRECT("Class Jobs!B"&amp;MATCH(E615,'Class Jobs'!$A$1:$A1000,0)&amp;":"&amp;"AF"&amp;MATCH(E615,'Class Jobs'!$A$1:$A1000,0)&amp;"")-$Z615))=ABS(INDIRECT("Class Jobs!B"&amp;MATCH(E615,'Class Jobs'!$A$1:$A1000,0)&amp;":"&amp;"AF"&amp;MATCH(E615,'Class Jobs'!$A$1:$A1000,0)&amp;"")-$Z615),SIGN(INDIRECT("Class Jobs!B"&amp;MATCH(E615,'Class Jobs'!$A$1:A1000,0)&amp;":"&amp;"AF"&amp;MATCH(E615,'Class Jobs'!$A$1:$A1000,0)&amp;"")-$Z615),0)),0)),INDIRECT("Class Jobs!B"&amp;MATCH(E615,'Class Jobs'!$A$1:$A1000,0)&amp;":"&amp;"AF"&amp;MATCH(E615,'Class Jobs'!$A$1:$A1000,1)&amp;""),'Class Jobs'!$B$1:$AF$1)</f>
        <v>#REF!</v>
      </c>
      <c r="Z615" s="158">
        <f t="shared" si="41"/>
        <v>0.71</v>
      </c>
      <c r="AA615" s="16" t="str">
        <f t="array" ref="AA615">INDEX(NPCGender,TRUNC(1+(COUNTA(NPCGender))*(TRUNC(MOD(($B615*1103515245 +12345)/ 65536, 32768),0)/32768),0))</f>
        <v>Neutral</v>
      </c>
      <c r="AB615" s="16" t="str">
        <f t="array" ref="AB615">INDEX(NPCRace,TRUNC(1+(COUNTA(NPCRace))*(TRUNC(MOD(($B615*1103515245 +12345)/ 65536, 32768),0)/32768),0))</f>
        <v>Human</v>
      </c>
      <c r="AC615" s="16" t="str">
        <f t="array" ref="AC615">INDEX(NPCAL,TRUNC(1+(COUNTA(NPCAL))*(TRUNC(MOD(($B615*1103515245 +12345)/ 65536, 32768),0)/32768),0))</f>
        <v>LG</v>
      </c>
      <c r="AD615" s="72" t="str">
        <f ca="1">IFERROR(__xludf.DUMMYFUNCTION("if(V615&lt;15,QUERY(NPCVar!C:D,""Select D WHERE C = '""&amp;D615&amp;""'""),if((TRUNC(1+10)*(TRUNC(MOD((ROW(H615)*1103515245 +12345)/ 65536, 32768),0)/32768)/10) &gt; 0.85,INDEX(NPCFaction,TRUNC(1+(counta(NPCFaction)-1)*(TRUNC(MOD(($B615*1103515245 +12345)/ 65536, 3276"&amp;"8),0)/32768),0)),QUERY(NPCVar!C:D,""Select D WHERE C = '""&amp;D615&amp;""'"")))"),"Traverlers Guild")</f>
        <v>Traverlers Guild</v>
      </c>
      <c r="AE615" s="108" t="e">
        <f t="shared" ca="1" si="42"/>
        <v>#NAME?</v>
      </c>
      <c r="AF615" s="159">
        <f ca="1">IFERROR(__xludf.DUMMYFUNCTION("AE615*(V615 / QUERY(NPCVar!$K$2:$N$12, ""Select N WHERE K='""&amp;AB615&amp;""'""))*TRUNC(1+10)*(TRUNC(MOD(($B615*1103515245 +12345)/ 65536, 32768),0)/32768)"),8.49053100585937)</f>
        <v>8.4905310058593706</v>
      </c>
      <c r="AG615" s="16"/>
      <c r="AH615" s="77"/>
      <c r="AI615" s="114"/>
    </row>
    <row r="616" spans="1:35" ht="16.2">
      <c r="A616" s="53">
        <v>615</v>
      </c>
      <c r="B616" s="118">
        <f t="shared" si="46"/>
        <v>0.38497999999999999</v>
      </c>
      <c r="C616" s="72" t="str">
        <f t="array" ref="C616">INDEX(NPCFName,TRUNC(1+(COUNTA(NPCFName))*(TRUNC(MOD(($B616*1103515245 +12345)/ 65536, 32768),0)/32768),0))</f>
        <v>Modric</v>
      </c>
      <c r="D616" s="16" t="str">
        <f t="array" ref="D616">INDEX(NPCLName,TRUNC(1+(COUNTA(NPCLName))*(TRUNC(MOD(($B616*1103515245 +12345)/ 65536, 32768),0)/32768),0))</f>
        <v>Ashcloud</v>
      </c>
      <c r="E616" s="16" t="str">
        <f t="array" ref="E616">INDEX(NPCClass,TRUNC(1+(COUNTA(NPCClass))*(TRUNC(MOD(($B616*1103515245 +12345)/ 65536, 32768),0)/32768),0))</f>
        <v>Druid</v>
      </c>
      <c r="F616" s="76">
        <v>1</v>
      </c>
      <c r="G616" s="153">
        <f ca="1">VLOOKUP($AB$2,'RF Mod'!$A$2:$G$12,2,FALSE)+VLOOKUP($AD$2,'RF Mod'!$I$2:$O$11,2,FALSE)+(TRUNC(6+(24-6)*(TRUNC(MOD(($Z616*1103515245 +12345)/ 65536, 32768),0)/32768),0))</f>
        <v>5</v>
      </c>
      <c r="H616" s="16">
        <f t="shared" ca="1" si="33"/>
        <v>-3</v>
      </c>
      <c r="I616" s="153">
        <f ca="1">VLOOKUP($AB$2,'RF Mod'!$A$2:$G$12,3,FALSE)+VLOOKUP($AD$2,'RF Mod'!$I$2:$O$11,3,FALSE)+(TRUNC(6+(24-6)*(TRUNC(MOD(($Z616*1103515245 +12345)/ 65536, 32768),0)/32768),0))</f>
        <v>9</v>
      </c>
      <c r="J616" s="16">
        <f t="shared" ca="1" si="34"/>
        <v>-1</v>
      </c>
      <c r="K616" s="153">
        <f ca="1">VLOOKUP($AB$2,'RF Mod'!$A$2:$G$12,3,FALSE)+VLOOKUP($AD$2,'RF Mod'!$I$2:$O$11,3,FALSE)+(TRUNC(6+(24-6)*(TRUNC(MOD(($Z616*1103515245 +12345)/ 65536, 32768),0)/32768),0))</f>
        <v>9</v>
      </c>
      <c r="L616" s="16">
        <f t="shared" ca="1" si="35"/>
        <v>-1</v>
      </c>
      <c r="M616" s="153">
        <f ca="1">VLOOKUP($AB$2,'RF Mod'!$A$2:$G$12,4,FALSE)+VLOOKUP($AD$2,'RF Mod'!$I$2:$O$11,4,FALSE)+(TRUNC(6+(24-6)*(TRUNC(MOD(($Z616*1103515245 +12345)/ 65536, 32768),0)/32768),0))</f>
        <v>8</v>
      </c>
      <c r="N616" s="16">
        <f t="shared" ca="1" si="36"/>
        <v>-1</v>
      </c>
      <c r="O616" s="153">
        <f ca="1">VLOOKUP($AB$2,'RF Mod'!$A$2:$G$12,5,FALSE)+VLOOKUP($AD$2,'RF Mod'!$I$2:$O$11,5,FALSE)+(TRUNC(6+(24-6)*(TRUNC(MOD(($Z616*1103515245 +12345)/ 65536, 32768),0)/32768),0))</f>
        <v>11</v>
      </c>
      <c r="P616" s="16" t="e">
        <f t="shared" ca="1" si="37"/>
        <v>#NAME?</v>
      </c>
      <c r="Q616" s="153">
        <f ca="1">VLOOKUP($AB$2,'RF Mod'!$A$2:$G$12,6,FALSE)+VLOOKUP($AD$2,'RF Mod'!$I$2:$O$11,6,FALSE)+(TRUNC(6+(24-6)*(TRUNC(MOD(($Z616*1103515245 +12345)/ 65536, 32768),0)/32768),0))</f>
        <v>9</v>
      </c>
      <c r="R616" s="16">
        <f t="shared" ca="1" si="38"/>
        <v>-1</v>
      </c>
      <c r="S616" s="154">
        <f t="shared" ca="1" si="43"/>
        <v>27</v>
      </c>
      <c r="T616" s="154">
        <f t="shared" ca="1" si="39"/>
        <v>2</v>
      </c>
      <c r="U616" s="16" t="str">
        <f t="shared" ca="1" si="40"/>
        <v>Fine</v>
      </c>
      <c r="V616" s="155">
        <f ca="1">IFERROR(__xludf.DUMMYFUNCTION("if(W616=""Middle Age"",QUERY(NPCVar!$K$2:$N1000, ""Select L where K = '""&amp;AB616&amp;""'""),if(W616=""Old"",QUERY(NPCVar!$K$2:$N1000, ""Select M where K = '""&amp;AB616&amp;""'""),if(W616=""Venerable"",QUERY(NPCVar!$K$2:$N1000, ""Select N where K = '""&amp;AB616&amp;""'""),fa"&amp;"lse)))*X616"),93.75)</f>
        <v>93.75</v>
      </c>
      <c r="W616" s="156" t="str">
        <f t="array" ref="W616">INDEX(NPCAgeType,TRUNC(1+(4-1)*(TRUNC(MOD((X616*1103515245 +12345)/ 65536, 32768),0)/32768),0))</f>
        <v>Middle Age</v>
      </c>
      <c r="X616" s="117">
        <f t="shared" si="45"/>
        <v>0.5</v>
      </c>
      <c r="Y616" s="157" t="e">
        <f t="array" aca="1" ref="Y616" ca="1">LOOKUP(ABS(MAX(Z616 + MIN(ABS(INDIRECT("Class Jobs!B"&amp;MATCH(E616,'Class Jobs'!$A$1:$A1000,0)&amp;":"&amp;"AF"&amp;MATCH(E616,'Class Jobs'!$A$1:$A1000,0)&amp;"")-$Z616)) * SUM(IF(MIN(ABS(INDIRECT("Class Jobs!B"&amp;MATCH(E616,'Class Jobs'!$A$1:$A1000,0)&amp;":"&amp;"AF"&amp;MATCH(E616,'Class Jobs'!$A$1:$A1000,0)&amp;"")-$Z616))=ABS(INDIRECT("Class Jobs!B"&amp;MATCH(E616,'Class Jobs'!$A$1:$A1000,0)&amp;":"&amp;"AF"&amp;MATCH(E616,'Class Jobs'!$A$1:$A1000,0)&amp;"")-$Z616),SIGN(INDIRECT("Class Jobs!B"&amp;MATCH(E616,'Class Jobs'!$A$1:A1000,0)&amp;":"&amp;"AF"&amp;MATCH(E616,'Class Jobs'!$A$1:$A1000,0)&amp;"")-$Z616),0)),0)),INDIRECT("Class Jobs!B"&amp;MATCH(E616,'Class Jobs'!$A$1:$A1000,0)&amp;":"&amp;"AF"&amp;MATCH(E616,'Class Jobs'!$A$1:$A1000,1)&amp;""),'Class Jobs'!$B$1:$AF$1)</f>
        <v>#REF!</v>
      </c>
      <c r="Z616" s="158">
        <f t="shared" si="41"/>
        <v>0.2</v>
      </c>
      <c r="AA616" s="16" t="str">
        <f t="array" ref="AA616">INDEX(NPCGender,TRUNC(1+(COUNTA(NPCGender))*(TRUNC(MOD(($B616*1103515245 +12345)/ 65536, 32768),0)/32768),0))</f>
        <v>Male</v>
      </c>
      <c r="AB616" s="16" t="str">
        <f t="array" ref="AB616">INDEX(NPCRace,TRUNC(1+(COUNTA(NPCRace))*(TRUNC(MOD(($B616*1103515245 +12345)/ 65536, 32768),0)/32768),0))</f>
        <v>Elf</v>
      </c>
      <c r="AC616" s="16" t="str">
        <f t="array" ref="AC616">INDEX(NPCAL,TRUNC(1+(COUNTA(NPCAL))*(TRUNC(MOD(($B616*1103515245 +12345)/ 65536, 32768),0)/32768),0))</f>
        <v>CE</v>
      </c>
      <c r="AD616" s="72" t="str">
        <f ca="1">IFERROR(__xludf.DUMMYFUNCTION("if(V616&lt;15,QUERY(NPCVar!C:D,""Select D WHERE C = '""&amp;D616&amp;""'""),if((TRUNC(1+10)*(TRUNC(MOD((ROW(H616)*1103515245 +12345)/ 65536, 32768),0)/32768)/10) &gt; 0.85,INDEX(NPCFaction,TRUNC(1+(counta(NPCFaction)-1)*(TRUNC(MOD(($B616*1103515245 +12345)/ 65536, 3276"&amp;"8),0)/32768),0)),QUERY(NPCVar!C:D,""Select D WHERE C = '""&amp;D616&amp;""'"")))"),"Magic Guild")</f>
        <v>Magic Guild</v>
      </c>
      <c r="AE616" s="108" t="e">
        <f t="shared" ca="1" si="42"/>
        <v>#NAME?</v>
      </c>
      <c r="AF616" s="159">
        <f ca="1">IFERROR(__xludf.DUMMYFUNCTION("AE616*(V616 / QUERY(NPCVar!$K$2:$N$12, ""Select N WHERE K='""&amp;AB616&amp;""'""))*TRUNC(1+10)*(TRUNC(MOD(($B616*1103515245 +12345)/ 65536, 32768),0)/32768)"),-0.0543991088867187)</f>
        <v>-5.43991088867187E-2</v>
      </c>
      <c r="AG616" s="16"/>
      <c r="AH616" s="77"/>
      <c r="AI616" s="114"/>
    </row>
    <row r="617" spans="1:35" ht="16.2">
      <c r="A617" s="53">
        <v>616</v>
      </c>
      <c r="B617" s="118">
        <f t="shared" si="46"/>
        <v>1.8791199999999999</v>
      </c>
      <c r="C617" s="72" t="str">
        <f t="array" ref="C617">INDEX(NPCFName,TRUNC(1+(COUNTA(NPCFName))*(TRUNC(MOD(($B617*1103515245 +12345)/ 65536, 32768),0)/32768),0))</f>
        <v>Veldahar</v>
      </c>
      <c r="D617" s="16" t="str">
        <f t="array" ref="D617">INDEX(NPCLName,TRUNC(1+(COUNTA(NPCLName))*(TRUNC(MOD(($B617*1103515245 +12345)/ 65536, 32768),0)/32768),0))</f>
        <v>Marblearm</v>
      </c>
      <c r="E617" s="16" t="str">
        <f t="array" ref="E617">INDEX(NPCClass,TRUNC(1+(COUNTA(NPCClass))*(TRUNC(MOD(($B617*1103515245 +12345)/ 65536, 32768),0)/32768),0))</f>
        <v>Wizard</v>
      </c>
      <c r="F617" s="76">
        <v>8</v>
      </c>
      <c r="G617" s="153">
        <f ca="1">VLOOKUP($AB$2,'RF Mod'!$A$2:$G$12,2,FALSE)+VLOOKUP($AD$2,'RF Mod'!$I$2:$O$11,2,FALSE)+(TRUNC(6+(24-6)*(TRUNC(MOD(($Z617*1103515245 +12345)/ 65536, 32768),0)/32768),0))</f>
        <v>12</v>
      </c>
      <c r="H617" s="16" t="e">
        <f t="shared" ca="1" si="33"/>
        <v>#NAME?</v>
      </c>
      <c r="I617" s="153">
        <f ca="1">VLOOKUP($AB$2,'RF Mod'!$A$2:$G$12,3,FALSE)+VLOOKUP($AD$2,'RF Mod'!$I$2:$O$11,3,FALSE)+(TRUNC(6+(24-6)*(TRUNC(MOD(($Z617*1103515245 +12345)/ 65536, 32768),0)/32768),0))</f>
        <v>16</v>
      </c>
      <c r="J617" s="16" t="e">
        <f t="shared" ca="1" si="34"/>
        <v>#NAME?</v>
      </c>
      <c r="K617" s="153">
        <f ca="1">VLOOKUP($AB$2,'RF Mod'!$A$2:$G$12,3,FALSE)+VLOOKUP($AD$2,'RF Mod'!$I$2:$O$11,3,FALSE)+(TRUNC(6+(24-6)*(TRUNC(MOD(($Z617*1103515245 +12345)/ 65536, 32768),0)/32768),0))</f>
        <v>16</v>
      </c>
      <c r="L617" s="16" t="e">
        <f t="shared" ca="1" si="35"/>
        <v>#NAME?</v>
      </c>
      <c r="M617" s="153">
        <f ca="1">VLOOKUP($AB$2,'RF Mod'!$A$2:$G$12,4,FALSE)+VLOOKUP($AD$2,'RF Mod'!$I$2:$O$11,4,FALSE)+(TRUNC(6+(24-6)*(TRUNC(MOD(($Z617*1103515245 +12345)/ 65536, 32768),0)/32768),0))</f>
        <v>15</v>
      </c>
      <c r="N617" s="16" t="e">
        <f t="shared" ca="1" si="36"/>
        <v>#NAME?</v>
      </c>
      <c r="O617" s="153">
        <f ca="1">VLOOKUP($AB$2,'RF Mod'!$A$2:$G$12,5,FALSE)+VLOOKUP($AD$2,'RF Mod'!$I$2:$O$11,5,FALSE)+(TRUNC(6+(24-6)*(TRUNC(MOD(($Z617*1103515245 +12345)/ 65536, 32768),0)/32768),0))</f>
        <v>18</v>
      </c>
      <c r="P617" s="16" t="e">
        <f t="shared" ca="1" si="37"/>
        <v>#NAME?</v>
      </c>
      <c r="Q617" s="153">
        <f ca="1">VLOOKUP($AB$2,'RF Mod'!$A$2:$G$12,6,FALSE)+VLOOKUP($AD$2,'RF Mod'!$I$2:$O$11,6,FALSE)+(TRUNC(6+(24-6)*(TRUNC(MOD(($Z617*1103515245 +12345)/ 65536, 32768),0)/32768),0))</f>
        <v>16</v>
      </c>
      <c r="R617" s="16" t="e">
        <f t="shared" ca="1" si="38"/>
        <v>#NAME?</v>
      </c>
      <c r="S617" s="154">
        <f t="shared" ca="1" si="43"/>
        <v>272</v>
      </c>
      <c r="T617" s="154">
        <f t="shared" ca="1" si="39"/>
        <v>28</v>
      </c>
      <c r="U617" s="16" t="str">
        <f t="shared" ca="1" si="40"/>
        <v>Fine</v>
      </c>
      <c r="V617" s="155">
        <f ca="1">IFERROR(__xludf.DUMMYFUNCTION("if(W617=""Middle Age"",QUERY(NPCVar!$K$2:$N1000, ""Select L where K = '""&amp;AB617&amp;""'""),if(W617=""Old"",QUERY(NPCVar!$K$2:$N1000, ""Select M where K = '""&amp;AB617&amp;""'""),if(W617=""Venerable"",QUERY(NPCVar!$K$2:$N1000, ""Select N where K = '""&amp;AB617&amp;""'""),fa"&amp;"lse)))*X617"),72)</f>
        <v>72</v>
      </c>
      <c r="W617" s="156" t="str">
        <f t="array" ref="W617">INDEX(NPCAgeType,TRUNC(1+(4-1)*(TRUNC(MOD((X617*1103515245 +12345)/ 65536, 32768),0)/32768),0))</f>
        <v>Middle Age</v>
      </c>
      <c r="X617" s="117">
        <f t="shared" si="45"/>
        <v>2.4</v>
      </c>
      <c r="Y617" s="157" t="e">
        <f t="array" aca="1" ref="Y617" ca="1">LOOKUP(ABS(MAX(Z617 + MIN(ABS(INDIRECT("Class Jobs!B"&amp;MATCH(E617,'Class Jobs'!$A$1:$A1000,0)&amp;":"&amp;"AF"&amp;MATCH(E617,'Class Jobs'!$A$1:$A1000,0)&amp;"")-$Z617)) * SUM(IF(MIN(ABS(INDIRECT("Class Jobs!B"&amp;MATCH(E617,'Class Jobs'!$A$1:$A1000,0)&amp;":"&amp;"AF"&amp;MATCH(E617,'Class Jobs'!$A$1:$A1000,0)&amp;"")-$Z617))=ABS(INDIRECT("Class Jobs!B"&amp;MATCH(E617,'Class Jobs'!$A$1:$A1000,0)&amp;":"&amp;"AF"&amp;MATCH(E617,'Class Jobs'!$A$1:$A1000,0)&amp;"")-$Z617),SIGN(INDIRECT("Class Jobs!B"&amp;MATCH(E617,'Class Jobs'!$A$1:A1000,0)&amp;":"&amp;"AF"&amp;MATCH(E617,'Class Jobs'!$A$1:$A1000,0)&amp;"")-$Z617),0)),0)),INDIRECT("Class Jobs!B"&amp;MATCH(E617,'Class Jobs'!$A$1:$A1000,0)&amp;":"&amp;"AF"&amp;MATCH(E617,'Class Jobs'!$A$1:$A1000,1)&amp;""),'Class Jobs'!$B$1:$AF$1)</f>
        <v>#REF!</v>
      </c>
      <c r="Z617" s="158">
        <f t="shared" si="41"/>
        <v>0.96</v>
      </c>
      <c r="AA617" s="16" t="str">
        <f t="array" ref="AA617">INDEX(NPCGender,TRUNC(1+(COUNTA(NPCGender))*(TRUNC(MOD(($B617*1103515245 +12345)/ 65536, 32768),0)/32768),0))</f>
        <v>Neutral</v>
      </c>
      <c r="AB617" s="16" t="str">
        <f t="array" ref="AB617">INDEX(NPCRace,TRUNC(1+(COUNTA(NPCRace))*(TRUNC(MOD(($B617*1103515245 +12345)/ 65536, 32768),0)/32768),0))</f>
        <v>Goliath</v>
      </c>
      <c r="AC617" s="16" t="str">
        <f t="array" ref="AC617">INDEX(NPCAL,TRUNC(1+(COUNTA(NPCAL))*(TRUNC(MOD(($B617*1103515245 +12345)/ 65536, 32768),0)/32768),0))</f>
        <v>LE</v>
      </c>
      <c r="AD617" s="72" t="str">
        <f ca="1">IFERROR(__xludf.DUMMYFUNCTION("if(V617&lt;15,QUERY(NPCVar!C:D,""Select D WHERE C = '""&amp;D617&amp;""'""),if((TRUNC(1+10)*(TRUNC(MOD((ROW(H617)*1103515245 +12345)/ 65536, 32768),0)/32768)/10) &gt; 0.85,INDEX(NPCFaction,TRUNC(1+(counta(NPCFaction)-1)*(TRUNC(MOD(($B617*1103515245 +12345)/ 65536, 3276"&amp;"8),0)/32768),0)),QUERY(NPCVar!C:D,""Select D WHERE C = '""&amp;D617&amp;""'"")))"),"Thieves Guild")</f>
        <v>Thieves Guild</v>
      </c>
      <c r="AE617" s="108" t="e">
        <f t="shared" ca="1" si="42"/>
        <v>#NAME?</v>
      </c>
      <c r="AF617" s="159">
        <f ca="1">IFERROR(__xludf.DUMMYFUNCTION("AE617*(V617 / QUERY(NPCVar!$K$2:$N$12, ""Select N WHERE K='""&amp;AB617&amp;""'""))*TRUNC(1+10)*(TRUNC(MOD(($B617*1103515245 +12345)/ 65536, 32768),0)/32768)"),3.82380249023437)</f>
        <v>3.8238024902343701</v>
      </c>
      <c r="AG617" s="16"/>
      <c r="AH617" s="77"/>
      <c r="AI617" s="114"/>
    </row>
    <row r="618" spans="1:35" ht="16.2">
      <c r="A618" s="53">
        <v>617</v>
      </c>
      <c r="B618" s="118">
        <f t="shared" si="46"/>
        <v>0.87326000000000004</v>
      </c>
      <c r="C618" s="72" t="str">
        <f t="array" ref="C618">INDEX(NPCFName,TRUNC(1+(COUNTA(NPCFName))*(TRUNC(MOD(($B618*1103515245 +12345)/ 65536, 32768),0)/32768),0))</f>
        <v>Gametris</v>
      </c>
      <c r="D618" s="16" t="str">
        <f t="array" ref="D618">INDEX(NPCLName,TRUNC(1+(COUNTA(NPCLName))*(TRUNC(MOD(($B618*1103515245 +12345)/ 65536, 32768),0)/32768),0))</f>
        <v>Saurflame</v>
      </c>
      <c r="E618" s="16" t="str">
        <f t="array" ref="E618">INDEX(NPCClass,TRUNC(1+(COUNTA(NPCClass))*(TRUNC(MOD(($B618*1103515245 +12345)/ 65536, 32768),0)/32768),0))</f>
        <v>Ranger</v>
      </c>
      <c r="F618" s="76">
        <v>8</v>
      </c>
      <c r="G618" s="153">
        <f ca="1">VLOOKUP($AB$2,'RF Mod'!$A$2:$G$12,2,FALSE)+VLOOKUP($AD$2,'RF Mod'!$I$2:$O$11,2,FALSE)+(TRUNC(6+(24-6)*(TRUNC(MOD(($Z618*1103515245 +12345)/ 65536, 32768),0)/32768),0))</f>
        <v>8</v>
      </c>
      <c r="H618" s="16">
        <f t="shared" ca="1" si="33"/>
        <v>-1</v>
      </c>
      <c r="I618" s="153">
        <f ca="1">VLOOKUP($AB$2,'RF Mod'!$A$2:$G$12,3,FALSE)+VLOOKUP($AD$2,'RF Mod'!$I$2:$O$11,3,FALSE)+(TRUNC(6+(24-6)*(TRUNC(MOD(($Z618*1103515245 +12345)/ 65536, 32768),0)/32768),0))</f>
        <v>12</v>
      </c>
      <c r="J618" s="16" t="e">
        <f t="shared" ca="1" si="34"/>
        <v>#NAME?</v>
      </c>
      <c r="K618" s="153">
        <f ca="1">VLOOKUP($AB$2,'RF Mod'!$A$2:$G$12,3,FALSE)+VLOOKUP($AD$2,'RF Mod'!$I$2:$O$11,3,FALSE)+(TRUNC(6+(24-6)*(TRUNC(MOD(($Z618*1103515245 +12345)/ 65536, 32768),0)/32768),0))</f>
        <v>12</v>
      </c>
      <c r="L618" s="16" t="e">
        <f t="shared" ca="1" si="35"/>
        <v>#NAME?</v>
      </c>
      <c r="M618" s="153">
        <f ca="1">VLOOKUP($AB$2,'RF Mod'!$A$2:$G$12,4,FALSE)+VLOOKUP($AD$2,'RF Mod'!$I$2:$O$11,4,FALSE)+(TRUNC(6+(24-6)*(TRUNC(MOD(($Z618*1103515245 +12345)/ 65536, 32768),0)/32768),0))</f>
        <v>11</v>
      </c>
      <c r="N618" s="16" t="e">
        <f t="shared" ca="1" si="36"/>
        <v>#NAME?</v>
      </c>
      <c r="O618" s="153">
        <f ca="1">VLOOKUP($AB$2,'RF Mod'!$A$2:$G$12,5,FALSE)+VLOOKUP($AD$2,'RF Mod'!$I$2:$O$11,5,FALSE)+(TRUNC(6+(24-6)*(TRUNC(MOD(($Z618*1103515245 +12345)/ 65536, 32768),0)/32768),0))</f>
        <v>14</v>
      </c>
      <c r="P618" s="16" t="e">
        <f t="shared" ca="1" si="37"/>
        <v>#NAME?</v>
      </c>
      <c r="Q618" s="153">
        <f ca="1">VLOOKUP($AB$2,'RF Mod'!$A$2:$G$12,6,FALSE)+VLOOKUP($AD$2,'RF Mod'!$I$2:$O$11,6,FALSE)+(TRUNC(6+(24-6)*(TRUNC(MOD(($Z618*1103515245 +12345)/ 65536, 32768),0)/32768),0))</f>
        <v>12</v>
      </c>
      <c r="R618" s="16" t="e">
        <f t="shared" ca="1" si="38"/>
        <v>#NAME?</v>
      </c>
      <c r="S618" s="154">
        <f t="shared" ca="1" si="43"/>
        <v>128</v>
      </c>
      <c r="T618" s="154">
        <f t="shared" ca="1" si="39"/>
        <v>4</v>
      </c>
      <c r="U618" s="16" t="str">
        <f t="shared" ca="1" si="40"/>
        <v>Fine</v>
      </c>
      <c r="V618" s="155">
        <f ca="1">IFERROR(__xludf.DUMMYFUNCTION("if(W618=""Middle Age"",QUERY(NPCVar!$K$2:$N1000, ""Select L where K = '""&amp;AB618&amp;""'""),if(W618=""Old"",QUERY(NPCVar!$K$2:$N1000, ""Select M where K = '""&amp;AB618&amp;""'""),if(W618=""Venerable"",QUERY(NPCVar!$K$2:$N1000, ""Select N where K = '""&amp;AB618&amp;""'""),fa"&amp;"lse)))*X618"),74.25)</f>
        <v>74.25</v>
      </c>
      <c r="W618" s="156" t="str">
        <f t="array" ref="W618">INDEX(NPCAgeType,TRUNC(1+(4-1)*(TRUNC(MOD((X618*1103515245 +12345)/ 65536, 32768),0)/32768),0))</f>
        <v>Old</v>
      </c>
      <c r="X618" s="117">
        <f t="shared" si="45"/>
        <v>1.1000000000000001</v>
      </c>
      <c r="Y618" s="157" t="e">
        <f t="array" aca="1" ref="Y618" ca="1">LOOKUP(ABS(MAX(Z618 + MIN(ABS(INDIRECT("Class Jobs!B"&amp;MATCH(E618,'Class Jobs'!$A$1:$A1000,0)&amp;":"&amp;"AF"&amp;MATCH(E618,'Class Jobs'!$A$1:$A1000,0)&amp;"")-$Z618)) * SUM(IF(MIN(ABS(INDIRECT("Class Jobs!B"&amp;MATCH(E618,'Class Jobs'!$A$1:$A1000,0)&amp;":"&amp;"AF"&amp;MATCH(E618,'Class Jobs'!$A$1:$A1000,0)&amp;"")-$Z618))=ABS(INDIRECT("Class Jobs!B"&amp;MATCH(E618,'Class Jobs'!$A$1:$A1000,0)&amp;":"&amp;"AF"&amp;MATCH(E618,'Class Jobs'!$A$1:$A1000,0)&amp;"")-$Z618),SIGN(INDIRECT("Class Jobs!B"&amp;MATCH(E618,'Class Jobs'!$A$1:A1000,0)&amp;":"&amp;"AF"&amp;MATCH(E618,'Class Jobs'!$A$1:$A1000,0)&amp;"")-$Z618),0)),0)),INDIRECT("Class Jobs!B"&amp;MATCH(E618,'Class Jobs'!$A$1:$A1000,0)&amp;":"&amp;"AF"&amp;MATCH(E618,'Class Jobs'!$A$1:$A1000,1)&amp;""),'Class Jobs'!$B$1:$AF$1)</f>
        <v>#REF!</v>
      </c>
      <c r="Z618" s="158">
        <f t="shared" si="41"/>
        <v>0.45</v>
      </c>
      <c r="AA618" s="16" t="str">
        <f t="array" ref="AA618">INDEX(NPCGender,TRUNC(1+(COUNTA(NPCGender))*(TRUNC(MOD(($B618*1103515245 +12345)/ 65536, 32768),0)/32768),0))</f>
        <v>Female</v>
      </c>
      <c r="AB618" s="16" t="str">
        <f t="array" ref="AB618">INDEX(NPCRace,TRUNC(1+(COUNTA(NPCRace))*(TRUNC(MOD(($B618*1103515245 +12345)/ 65536, 32768),0)/32768),0))</f>
        <v>Half-Elf</v>
      </c>
      <c r="AC618" s="16" t="str">
        <f t="array" ref="AC618">INDEX(NPCAL,TRUNC(1+(COUNTA(NPCAL))*(TRUNC(MOD(($B618*1103515245 +12345)/ 65536, 32768),0)/32768),0))</f>
        <v>NN</v>
      </c>
      <c r="AD618" s="72" t="str">
        <f ca="1">IFERROR(__xludf.DUMMYFUNCTION("if(V618&lt;15,QUERY(NPCVar!C:D,""Select D WHERE C = '""&amp;D618&amp;""'""),if((TRUNC(1+10)*(TRUNC(MOD((ROW(H618)*1103515245 +12345)/ 65536, 32768),0)/32768)/10) &gt; 0.85,INDEX(NPCFaction,TRUNC(1+(counta(NPCFaction)-1)*(TRUNC(MOD(($B618*1103515245 +12345)/ 65536, 3276"&amp;"8),0)/32768),0)),QUERY(NPCVar!C:D,""Select D WHERE C = '""&amp;D618&amp;""'"")))"),"Farmers Guild")</f>
        <v>Farmers Guild</v>
      </c>
      <c r="AE618" s="108" t="e">
        <f t="shared" ca="1" si="42"/>
        <v>#NAME?</v>
      </c>
      <c r="AF618" s="159">
        <f ca="1">IFERROR(__xludf.DUMMYFUNCTION("AE618*(V618 / QUERY(NPCVar!$K$2:$N$12, ""Select N WHERE K='""&amp;AB618&amp;""'""))*TRUNC(1+10)*(TRUNC(MOD(($B618*1103515245 +12345)/ 65536, 32768),0)/32768)"),0.407222900390625)</f>
        <v>0.40722290039062498</v>
      </c>
      <c r="AG618" s="16"/>
      <c r="AH618" s="77"/>
      <c r="AI618" s="114"/>
    </row>
    <row r="619" spans="1:35" ht="16.2">
      <c r="A619" s="53">
        <v>618</v>
      </c>
      <c r="B619" s="118">
        <f t="shared" si="46"/>
        <v>2.3673999999999999</v>
      </c>
      <c r="C619" s="72" t="str">
        <f t="array" ref="C619">INDEX(NPCFName,TRUNC(1+(COUNTA(NPCFName))*(TRUNC(MOD(($B619*1103515245 +12345)/ 65536, 32768),0)/32768),0))</f>
        <v>Ohethlic</v>
      </c>
      <c r="D619" s="16" t="str">
        <f t="array" ref="D619">INDEX(NPCLName,TRUNC(1+(COUNTA(NPCLName))*(TRUNC(MOD(($B619*1103515245 +12345)/ 65536, 32768),0)/32768),0))</f>
        <v>Stillsun</v>
      </c>
      <c r="E619" s="16" t="str">
        <f t="array" ref="E619">INDEX(NPCClass,TRUNC(1+(COUNTA(NPCClass))*(TRUNC(MOD(($B619*1103515245 +12345)/ 65536, 32768),0)/32768),0))</f>
        <v>Druid</v>
      </c>
      <c r="F619" s="76">
        <v>1</v>
      </c>
      <c r="G619" s="153">
        <f ca="1">VLOOKUP($AB$2,'RF Mod'!$A$2:$G$12,2,FALSE)+VLOOKUP($AD$2,'RF Mod'!$I$2:$O$11,2,FALSE)+(TRUNC(6+(24-6)*(TRUNC(MOD(($Z619*1103515245 +12345)/ 65536, 32768),0)/32768),0))</f>
        <v>6</v>
      </c>
      <c r="H619" s="16">
        <f t="shared" ca="1" si="33"/>
        <v>-2</v>
      </c>
      <c r="I619" s="153">
        <f ca="1">VLOOKUP($AB$2,'RF Mod'!$A$2:$G$12,3,FALSE)+VLOOKUP($AD$2,'RF Mod'!$I$2:$O$11,3,FALSE)+(TRUNC(6+(24-6)*(TRUNC(MOD(($Z619*1103515245 +12345)/ 65536, 32768),0)/32768),0))</f>
        <v>10</v>
      </c>
      <c r="J619" s="16" t="e">
        <f t="shared" ca="1" si="34"/>
        <v>#NAME?</v>
      </c>
      <c r="K619" s="153">
        <f ca="1">VLOOKUP($AB$2,'RF Mod'!$A$2:$G$12,3,FALSE)+VLOOKUP($AD$2,'RF Mod'!$I$2:$O$11,3,FALSE)+(TRUNC(6+(24-6)*(TRUNC(MOD(($Z619*1103515245 +12345)/ 65536, 32768),0)/32768),0))</f>
        <v>10</v>
      </c>
      <c r="L619" s="16" t="e">
        <f t="shared" ca="1" si="35"/>
        <v>#NAME?</v>
      </c>
      <c r="M619" s="153">
        <f ca="1">VLOOKUP($AB$2,'RF Mod'!$A$2:$G$12,4,FALSE)+VLOOKUP($AD$2,'RF Mod'!$I$2:$O$11,4,FALSE)+(TRUNC(6+(24-6)*(TRUNC(MOD(($Z619*1103515245 +12345)/ 65536, 32768),0)/32768),0))</f>
        <v>9</v>
      </c>
      <c r="N619" s="16">
        <f t="shared" ca="1" si="36"/>
        <v>-1</v>
      </c>
      <c r="O619" s="153">
        <f ca="1">VLOOKUP($AB$2,'RF Mod'!$A$2:$G$12,5,FALSE)+VLOOKUP($AD$2,'RF Mod'!$I$2:$O$11,5,FALSE)+(TRUNC(6+(24-6)*(TRUNC(MOD(($Z619*1103515245 +12345)/ 65536, 32768),0)/32768),0))</f>
        <v>12</v>
      </c>
      <c r="P619" s="16" t="e">
        <f t="shared" ca="1" si="37"/>
        <v>#NAME?</v>
      </c>
      <c r="Q619" s="153">
        <f ca="1">VLOOKUP($AB$2,'RF Mod'!$A$2:$G$12,6,FALSE)+VLOOKUP($AD$2,'RF Mod'!$I$2:$O$11,6,FALSE)+(TRUNC(6+(24-6)*(TRUNC(MOD(($Z619*1103515245 +12345)/ 65536, 32768),0)/32768),0))</f>
        <v>10</v>
      </c>
      <c r="R619" s="16" t="e">
        <f t="shared" ca="1" si="38"/>
        <v>#NAME?</v>
      </c>
      <c r="S619" s="154">
        <f t="shared" ca="1" si="43"/>
        <v>12</v>
      </c>
      <c r="T619" s="154">
        <f t="shared" ca="1" si="39"/>
        <v>9</v>
      </c>
      <c r="U619" s="16" t="str">
        <f t="shared" ca="1" si="40"/>
        <v>Bloody</v>
      </c>
      <c r="V619" s="155">
        <f ca="1">IFERROR(__xludf.DUMMYFUNCTION("if(W619=""Middle Age"",QUERY(NPCVar!$K$2:$N1000, ""Select L where K = '""&amp;AB619&amp;""'""),if(W619=""Old"",QUERY(NPCVar!$K$2:$N1000, ""Select M where K = '""&amp;AB619&amp;""'""),if(W619=""Venerable"",QUERY(NPCVar!$K$2:$N1000, ""Select N where K = '""&amp;AB619&amp;""'""),fa"&amp;"lse)))*X619"),112.5)</f>
        <v>112.5</v>
      </c>
      <c r="W619" s="156" t="str">
        <f t="array" ref="W619">INDEX(NPCAgeType,TRUNC(1+(4-1)*(TRUNC(MOD((X619*1103515245 +12345)/ 65536, 32768),0)/32768),0))</f>
        <v>Middle Age</v>
      </c>
      <c r="X619" s="117">
        <f t="shared" si="45"/>
        <v>0.6</v>
      </c>
      <c r="Y619" s="157" t="e">
        <f t="array" aca="1" ref="Y619" ca="1">LOOKUP(ABS(MAX(Z619 + MIN(ABS(INDIRECT("Class Jobs!B"&amp;MATCH(E619,'Class Jobs'!$A$1:$A1000,0)&amp;":"&amp;"AF"&amp;MATCH(E619,'Class Jobs'!$A$1:$A1000,0)&amp;"")-$Z619)) * SUM(IF(MIN(ABS(INDIRECT("Class Jobs!B"&amp;MATCH(E619,'Class Jobs'!$A$1:$A1000,0)&amp;":"&amp;"AF"&amp;MATCH(E619,'Class Jobs'!$A$1:$A1000,0)&amp;"")-$Z619))=ABS(INDIRECT("Class Jobs!B"&amp;MATCH(E619,'Class Jobs'!$A$1:$A1000,0)&amp;":"&amp;"AF"&amp;MATCH(E619,'Class Jobs'!$A$1:$A1000,0)&amp;"")-$Z619),SIGN(INDIRECT("Class Jobs!B"&amp;MATCH(E619,'Class Jobs'!$A$1:A1000,0)&amp;":"&amp;"AF"&amp;MATCH(E619,'Class Jobs'!$A$1:$A1000,0)&amp;"")-$Z619),0)),0)),INDIRECT("Class Jobs!B"&amp;MATCH(E619,'Class Jobs'!$A$1:$A1000,0)&amp;":"&amp;"AF"&amp;MATCH(E619,'Class Jobs'!$A$1:$A1000,1)&amp;""),'Class Jobs'!$B$1:$AF$1)</f>
        <v>#REF!</v>
      </c>
      <c r="Z619" s="158">
        <f t="shared" si="41"/>
        <v>0.22</v>
      </c>
      <c r="AA619" s="16" t="str">
        <f t="array" ref="AA619">INDEX(NPCGender,TRUNC(1+(COUNTA(NPCGender))*(TRUNC(MOD(($B619*1103515245 +12345)/ 65536, 32768),0)/32768),0))</f>
        <v>Male</v>
      </c>
      <c r="AB619" s="16" t="str">
        <f t="array" ref="AB619">INDEX(NPCRace,TRUNC(1+(COUNTA(NPCRace))*(TRUNC(MOD(($B619*1103515245 +12345)/ 65536, 32768),0)/32768),0))</f>
        <v>Elf</v>
      </c>
      <c r="AC619" s="16" t="str">
        <f t="array" ref="AC619">INDEX(NPCAL,TRUNC(1+(COUNTA(NPCAL))*(TRUNC(MOD(($B619*1103515245 +12345)/ 65536, 32768),0)/32768),0))</f>
        <v>CE</v>
      </c>
      <c r="AD619" s="72" t="str">
        <f ca="1">IFERROR(__xludf.DUMMYFUNCTION("if(V619&lt;15,QUERY(NPCVar!C:D,""Select D WHERE C = '""&amp;D619&amp;""'""),if((TRUNC(1+10)*(TRUNC(MOD((ROW(H619)*1103515245 +12345)/ 65536, 32768),0)/32768)/10) &gt; 0.85,INDEX(NPCFaction,TRUNC(1+(counta(NPCFaction)-1)*(TRUNC(MOD(($B619*1103515245 +12345)/ 65536, 3276"&amp;"8),0)/32768),0)),QUERY(NPCVar!C:D,""Select D WHERE C = '""&amp;D619&amp;""'"")))"),"Necromancer")</f>
        <v>Necromancer</v>
      </c>
      <c r="AE619" s="108" t="e">
        <f t="shared" ca="1" si="42"/>
        <v>#NAME?</v>
      </c>
      <c r="AF619" s="159">
        <f ca="1">IFERROR(__xludf.DUMMYFUNCTION("AE619*(V619 / QUERY(NPCVar!$K$2:$N$12, ""Select N WHERE K='""&amp;AB619&amp;""'""))*TRUNC(1+10)*(TRUNC(MOD(($B619*1103515245 +12345)/ 65536, 32768),0)/32768)"),0.142904663085937)</f>
        <v>0.14290466308593699</v>
      </c>
      <c r="AG619" s="16"/>
      <c r="AH619" s="77"/>
      <c r="AI619" s="114"/>
    </row>
    <row r="620" spans="1:35" ht="16.2">
      <c r="A620" s="53">
        <v>619</v>
      </c>
      <c r="B620" s="118">
        <f t="shared" si="46"/>
        <v>1.36147</v>
      </c>
      <c r="C620" s="72" t="str">
        <f t="array" ref="C620">INDEX(NPCFName,TRUNC(1+(COUNTA(NPCFName))*(TRUNC(MOD(($B620*1103515245 +12345)/ 65536, 32768),0)/32768),0))</f>
        <v>Boal</v>
      </c>
      <c r="D620" s="16" t="str">
        <f t="array" ref="D620">INDEX(NPCLName,TRUNC(1+(COUNTA(NPCLName))*(TRUNC(MOD(($B620*1103515245 +12345)/ 65536, 32768),0)/32768),0))</f>
        <v>Emberhell</v>
      </c>
      <c r="E620" s="16" t="str">
        <f t="array" ref="E620">INDEX(NPCClass,TRUNC(1+(COUNTA(NPCClass))*(TRUNC(MOD(($B620*1103515245 +12345)/ 65536, 32768),0)/32768),0))</f>
        <v>None</v>
      </c>
      <c r="F620" s="76">
        <v>8</v>
      </c>
      <c r="G620" s="153">
        <f ca="1">VLOOKUP($AB$2,'RF Mod'!$A$2:$G$12,2,FALSE)+VLOOKUP($AD$2,'RF Mod'!$I$2:$O$11,2,FALSE)+(TRUNC(6+(24-6)*(TRUNC(MOD(($Z620*1103515245 +12345)/ 65536, 32768),0)/32768),0))</f>
        <v>10</v>
      </c>
      <c r="H620" s="16" t="e">
        <f t="shared" ca="1" si="33"/>
        <v>#NAME?</v>
      </c>
      <c r="I620" s="153">
        <f ca="1">VLOOKUP($AB$2,'RF Mod'!$A$2:$G$12,3,FALSE)+VLOOKUP($AD$2,'RF Mod'!$I$2:$O$11,3,FALSE)+(TRUNC(6+(24-6)*(TRUNC(MOD(($Z620*1103515245 +12345)/ 65536, 32768),0)/32768),0))</f>
        <v>14</v>
      </c>
      <c r="J620" s="16" t="e">
        <f t="shared" ca="1" si="34"/>
        <v>#NAME?</v>
      </c>
      <c r="K620" s="153">
        <f ca="1">VLOOKUP($AB$2,'RF Mod'!$A$2:$G$12,3,FALSE)+VLOOKUP($AD$2,'RF Mod'!$I$2:$O$11,3,FALSE)+(TRUNC(6+(24-6)*(TRUNC(MOD(($Z620*1103515245 +12345)/ 65536, 32768),0)/32768),0))</f>
        <v>14</v>
      </c>
      <c r="L620" s="16" t="e">
        <f t="shared" ca="1" si="35"/>
        <v>#NAME?</v>
      </c>
      <c r="M620" s="153">
        <f ca="1">VLOOKUP($AB$2,'RF Mod'!$A$2:$G$12,4,FALSE)+VLOOKUP($AD$2,'RF Mod'!$I$2:$O$11,4,FALSE)+(TRUNC(6+(24-6)*(TRUNC(MOD(($Z620*1103515245 +12345)/ 65536, 32768),0)/32768),0))</f>
        <v>13</v>
      </c>
      <c r="N620" s="16" t="e">
        <f t="shared" ca="1" si="36"/>
        <v>#NAME?</v>
      </c>
      <c r="O620" s="153">
        <f ca="1">VLOOKUP($AB$2,'RF Mod'!$A$2:$G$12,5,FALSE)+VLOOKUP($AD$2,'RF Mod'!$I$2:$O$11,5,FALSE)+(TRUNC(6+(24-6)*(TRUNC(MOD(($Z620*1103515245 +12345)/ 65536, 32768),0)/32768),0))</f>
        <v>16</v>
      </c>
      <c r="P620" s="16" t="e">
        <f t="shared" ca="1" si="37"/>
        <v>#NAME?</v>
      </c>
      <c r="Q620" s="153">
        <f ca="1">VLOOKUP($AB$2,'RF Mod'!$A$2:$G$12,6,FALSE)+VLOOKUP($AD$2,'RF Mod'!$I$2:$O$11,6,FALSE)+(TRUNC(6+(24-6)*(TRUNC(MOD(($Z620*1103515245 +12345)/ 65536, 32768),0)/32768),0))</f>
        <v>14</v>
      </c>
      <c r="R620" s="16" t="e">
        <f t="shared" ca="1" si="38"/>
        <v>#NAME?</v>
      </c>
      <c r="S620" s="154">
        <f t="shared" ca="1" si="43"/>
        <v>176</v>
      </c>
      <c r="T620" s="154">
        <f t="shared" ca="1" si="39"/>
        <v>91</v>
      </c>
      <c r="U620" s="16" t="str">
        <f t="shared" ca="1" si="40"/>
        <v>Bloody</v>
      </c>
      <c r="V620" s="155">
        <f ca="1">IFERROR(__xludf.DUMMYFUNCTION("if(W620=""Middle Age"",QUERY(NPCVar!$K$2:$N1000, ""Select L where K = '""&amp;AB620&amp;""'""),if(W620=""Old"",QUERY(NPCVar!$K$2:$N1000, ""Select M where K = '""&amp;AB620&amp;""'""),if(W620=""Venerable"",QUERY(NPCVar!$K$2:$N1000, ""Select N where K = '""&amp;AB620&amp;""'""),fa"&amp;"lse)))*X620"),153)</f>
        <v>153</v>
      </c>
      <c r="W620" s="156" t="str">
        <f t="array" ref="W620">INDEX(NPCAgeType,TRUNC(1+(4-1)*(TRUNC(MOD((X620*1103515245 +12345)/ 65536, 32768),0)/32768),0))</f>
        <v>Venerable</v>
      </c>
      <c r="X620" s="117">
        <f t="shared" si="45"/>
        <v>1.7</v>
      </c>
      <c r="Y620" s="157" t="e">
        <f t="array" aca="1" ref="Y620" ca="1">LOOKUP(ABS(MAX(Z620 + MIN(ABS(INDIRECT("Class Jobs!B"&amp;MATCH(E620,'Class Jobs'!$A$1:$A1000,0)&amp;":"&amp;"AF"&amp;MATCH(E620,'Class Jobs'!$A$1:$A1000,0)&amp;"")-$Z620)) * SUM(IF(MIN(ABS(INDIRECT("Class Jobs!B"&amp;MATCH(E620,'Class Jobs'!$A$1:$A1000,0)&amp;":"&amp;"AF"&amp;MATCH(E620,'Class Jobs'!$A$1:$A1000,0)&amp;"")-$Z620))=ABS(INDIRECT("Class Jobs!B"&amp;MATCH(E620,'Class Jobs'!$A$1:$A1000,0)&amp;":"&amp;"AF"&amp;MATCH(E620,'Class Jobs'!$A$1:$A1000,0)&amp;"")-$Z620),SIGN(INDIRECT("Class Jobs!B"&amp;MATCH(E620,'Class Jobs'!$A$1:A1000,0)&amp;":"&amp;"AF"&amp;MATCH(E620,'Class Jobs'!$A$1:$A1000,0)&amp;"")-$Z620),0)),0)),INDIRECT("Class Jobs!B"&amp;MATCH(E620,'Class Jobs'!$A$1:$A1000,0)&amp;":"&amp;"AF"&amp;MATCH(E620,'Class Jobs'!$A$1:$A1000,1)&amp;""),'Class Jobs'!$B$1:$AF$1)</f>
        <v>#REF!</v>
      </c>
      <c r="Z620" s="158">
        <f t="shared" si="41"/>
        <v>0.7</v>
      </c>
      <c r="AA620" s="16" t="str">
        <f t="array" ref="AA620">INDEX(NPCGender,TRUNC(1+(COUNTA(NPCGender))*(TRUNC(MOD(($B620*1103515245 +12345)/ 65536, 32768),0)/32768),0))</f>
        <v>Neutral</v>
      </c>
      <c r="AB620" s="16" t="str">
        <f t="array" ref="AB620">INDEX(NPCRace,TRUNC(1+(COUNTA(NPCRace))*(TRUNC(MOD(($B620*1103515245 +12345)/ 65536, 32768),0)/32768),0))</f>
        <v>Human</v>
      </c>
      <c r="AC620" s="16" t="str">
        <f t="array" ref="AC620">INDEX(NPCAL,TRUNC(1+(COUNTA(NPCAL))*(TRUNC(MOD(($B620*1103515245 +12345)/ 65536, 32768),0)/32768),0))</f>
        <v>LG</v>
      </c>
      <c r="AD620" s="72" t="str">
        <f ca="1">IFERROR(__xludf.DUMMYFUNCTION("if(V620&lt;15,QUERY(NPCVar!C:D,""Select D WHERE C = '""&amp;D620&amp;""'""),if((TRUNC(1+10)*(TRUNC(MOD((ROW(H620)*1103515245 +12345)/ 65536, 32768),0)/32768)/10) &gt; 0.85,INDEX(NPCFaction,TRUNC(1+(counta(NPCFaction)-1)*(TRUNC(MOD(($B620*1103515245 +12345)/ 65536, 3276"&amp;"8),0)/32768),0)),QUERY(NPCVar!C:D,""Select D WHERE C = '""&amp;D620&amp;""'"")))"),"Adventures Guild")</f>
        <v>Adventures Guild</v>
      </c>
      <c r="AE620" s="108" t="e">
        <f t="shared" ca="1" si="42"/>
        <v>#NAME?</v>
      </c>
      <c r="AF620" s="159">
        <f ca="1">IFERROR(__xludf.DUMMYFUNCTION("AE620*(V620 / QUERY(NPCVar!$K$2:$N$12, ""Select N WHERE K='""&amp;AB620&amp;""'""))*TRUNC(1+10)*(TRUNC(MOD(($B620*1103515245 +12345)/ 65536, 32768),0)/32768)"),2.61656188964843)</f>
        <v>2.61656188964843</v>
      </c>
      <c r="AG620" s="16"/>
      <c r="AH620" s="77"/>
      <c r="AI620" s="114"/>
    </row>
    <row r="621" spans="1:35" ht="16.2">
      <c r="A621" s="53">
        <v>620</v>
      </c>
      <c r="B621" s="118">
        <f t="shared" si="46"/>
        <v>0.35560999999999998</v>
      </c>
      <c r="C621" s="72" t="str">
        <f t="array" ref="C621">INDEX(NPCFName,TRUNC(1+(COUNTA(NPCFName))*(TRUNC(MOD(($B621*1103515245 +12345)/ 65536, 32768),0)/32768),0))</f>
        <v>Marderdeen</v>
      </c>
      <c r="D621" s="16" t="str">
        <f t="array" ref="D621">INDEX(NPCLName,TRUNC(1+(COUNTA(NPCLName))*(TRUNC(MOD(($B621*1103515245 +12345)/ 65536, 32768),0)/32768),0))</f>
        <v>Ashcloud</v>
      </c>
      <c r="E621" s="16" t="str">
        <f t="array" ref="E621">INDEX(NPCClass,TRUNC(1+(COUNTA(NPCClass))*(TRUNC(MOD(($B621*1103515245 +12345)/ 65536, 32768),0)/32768),0))</f>
        <v>Druid</v>
      </c>
      <c r="F621" s="76">
        <v>1</v>
      </c>
      <c r="G621" s="153">
        <f ca="1">VLOOKUP($AB$2,'RF Mod'!$A$2:$G$12,2,FALSE)+VLOOKUP($AD$2,'RF Mod'!$I$2:$O$11,2,FALSE)+(TRUNC(6+(24-6)*(TRUNC(MOD(($Z621*1103515245 +12345)/ 65536, 32768),0)/32768),0))</f>
        <v>5</v>
      </c>
      <c r="H621" s="16">
        <f t="shared" ca="1" si="33"/>
        <v>-3</v>
      </c>
      <c r="I621" s="153">
        <f ca="1">VLOOKUP($AB$2,'RF Mod'!$A$2:$G$12,3,FALSE)+VLOOKUP($AD$2,'RF Mod'!$I$2:$O$11,3,FALSE)+(TRUNC(6+(24-6)*(TRUNC(MOD(($Z621*1103515245 +12345)/ 65536, 32768),0)/32768),0))</f>
        <v>9</v>
      </c>
      <c r="J621" s="16">
        <f t="shared" ca="1" si="34"/>
        <v>-1</v>
      </c>
      <c r="K621" s="153">
        <f ca="1">VLOOKUP($AB$2,'RF Mod'!$A$2:$G$12,3,FALSE)+VLOOKUP($AD$2,'RF Mod'!$I$2:$O$11,3,FALSE)+(TRUNC(6+(24-6)*(TRUNC(MOD(($Z621*1103515245 +12345)/ 65536, 32768),0)/32768),0))</f>
        <v>9</v>
      </c>
      <c r="L621" s="16">
        <f t="shared" ca="1" si="35"/>
        <v>-1</v>
      </c>
      <c r="M621" s="153">
        <f ca="1">VLOOKUP($AB$2,'RF Mod'!$A$2:$G$12,4,FALSE)+VLOOKUP($AD$2,'RF Mod'!$I$2:$O$11,4,FALSE)+(TRUNC(6+(24-6)*(TRUNC(MOD(($Z621*1103515245 +12345)/ 65536, 32768),0)/32768),0))</f>
        <v>8</v>
      </c>
      <c r="N621" s="16">
        <f t="shared" ca="1" si="36"/>
        <v>-1</v>
      </c>
      <c r="O621" s="153">
        <f ca="1">VLOOKUP($AB$2,'RF Mod'!$A$2:$G$12,5,FALSE)+VLOOKUP($AD$2,'RF Mod'!$I$2:$O$11,5,FALSE)+(TRUNC(6+(24-6)*(TRUNC(MOD(($Z621*1103515245 +12345)/ 65536, 32768),0)/32768),0))</f>
        <v>11</v>
      </c>
      <c r="P621" s="16" t="e">
        <f t="shared" ca="1" si="37"/>
        <v>#NAME?</v>
      </c>
      <c r="Q621" s="153">
        <f ca="1">VLOOKUP($AB$2,'RF Mod'!$A$2:$G$12,6,FALSE)+VLOOKUP($AD$2,'RF Mod'!$I$2:$O$11,6,FALSE)+(TRUNC(6+(24-6)*(TRUNC(MOD(($Z621*1103515245 +12345)/ 65536, 32768),0)/32768),0))</f>
        <v>9</v>
      </c>
      <c r="R621" s="16">
        <f t="shared" ca="1" si="38"/>
        <v>-1</v>
      </c>
      <c r="S621" s="154">
        <f t="shared" ca="1" si="43"/>
        <v>11</v>
      </c>
      <c r="T621" s="154">
        <f t="shared" ca="1" si="39"/>
        <v>10</v>
      </c>
      <c r="U621" s="16" t="str">
        <f t="shared" ca="1" si="40"/>
        <v>Bloody</v>
      </c>
      <c r="V621" s="155">
        <f ca="1">IFERROR(__xludf.DUMMYFUNCTION("if(W621=""Middle Age"",QUERY(NPCVar!$K$2:$N1000, ""Select L where K = '""&amp;AB621&amp;""'""),if(W621=""Old"",QUERY(NPCVar!$K$2:$N1000, ""Select M where K = '""&amp;AB621&amp;""'""),if(W621=""Venerable"",QUERY(NPCVar!$K$2:$N1000, ""Select N where K = '""&amp;AB621&amp;""'""),fa"&amp;"lse)))*X621"),93.75)</f>
        <v>93.75</v>
      </c>
      <c r="W621" s="156" t="str">
        <f t="array" ref="W621">INDEX(NPCAgeType,TRUNC(1+(4-1)*(TRUNC(MOD((X621*1103515245 +12345)/ 65536, 32768),0)/32768),0))</f>
        <v>Middle Age</v>
      </c>
      <c r="X621" s="117">
        <f t="shared" si="45"/>
        <v>0.5</v>
      </c>
      <c r="Y621" s="157" t="e">
        <f t="array" aca="1" ref="Y621" ca="1">LOOKUP(ABS(MAX(Z621 + MIN(ABS(INDIRECT("Class Jobs!B"&amp;MATCH(E621,'Class Jobs'!$A$1:$A1000,0)&amp;":"&amp;"AF"&amp;MATCH(E621,'Class Jobs'!$A$1:$A1000,0)&amp;"")-$Z621)) * SUM(IF(MIN(ABS(INDIRECT("Class Jobs!B"&amp;MATCH(E621,'Class Jobs'!$A$1:$A1000,0)&amp;":"&amp;"AF"&amp;MATCH(E621,'Class Jobs'!$A$1:$A1000,0)&amp;"")-$Z621))=ABS(INDIRECT("Class Jobs!B"&amp;MATCH(E621,'Class Jobs'!$A$1:$A1000,0)&amp;":"&amp;"AF"&amp;MATCH(E621,'Class Jobs'!$A$1:$A1000,0)&amp;"")-$Z621),SIGN(INDIRECT("Class Jobs!B"&amp;MATCH(E621,'Class Jobs'!$A$1:A1000,0)&amp;":"&amp;"AF"&amp;MATCH(E621,'Class Jobs'!$A$1:$A1000,0)&amp;"")-$Z621),0)),0)),INDIRECT("Class Jobs!B"&amp;MATCH(E621,'Class Jobs'!$A$1:$A1000,0)&amp;":"&amp;"AF"&amp;MATCH(E621,'Class Jobs'!$A$1:$A1000,1)&amp;""),'Class Jobs'!$B$1:$AF$1)</f>
        <v>#REF!</v>
      </c>
      <c r="Z621" s="158">
        <f t="shared" si="41"/>
        <v>0.19</v>
      </c>
      <c r="AA621" s="16" t="str">
        <f t="array" ref="AA621">INDEX(NPCGender,TRUNC(1+(COUNTA(NPCGender))*(TRUNC(MOD(($B621*1103515245 +12345)/ 65536, 32768),0)/32768),0))</f>
        <v>Male</v>
      </c>
      <c r="AB621" s="16" t="str">
        <f t="array" ref="AB621">INDEX(NPCRace,TRUNC(1+(COUNTA(NPCRace))*(TRUNC(MOD(($B621*1103515245 +12345)/ 65536, 32768),0)/32768),0))</f>
        <v>Elf</v>
      </c>
      <c r="AC621" s="16" t="str">
        <f t="array" ref="AC621">INDEX(NPCAL,TRUNC(1+(COUNTA(NPCAL))*(TRUNC(MOD(($B621*1103515245 +12345)/ 65536, 32768),0)/32768),0))</f>
        <v>CE</v>
      </c>
      <c r="AD621" s="72" t="str">
        <f ca="1">IFERROR(__xludf.DUMMYFUNCTION("if(V621&lt;15,QUERY(NPCVar!C:D,""Select D WHERE C = '""&amp;D621&amp;""'""),if((TRUNC(1+10)*(TRUNC(MOD((ROW(H621)*1103515245 +12345)/ 65536, 32768),0)/32768)/10) &gt; 0.85,INDEX(NPCFaction,TRUNC(1+(counta(NPCFaction)-1)*(TRUNC(MOD(($B621*1103515245 +12345)/ 65536, 3276"&amp;"8),0)/32768),0)),QUERY(NPCVar!C:D,""Select D WHERE C = '""&amp;D621&amp;""'"")))"),"Magic Guild")</f>
        <v>Magic Guild</v>
      </c>
      <c r="AE621" s="108" t="e">
        <f t="shared" ca="1" si="42"/>
        <v>#NAME?</v>
      </c>
      <c r="AF621" s="159">
        <f ca="1">IFERROR(__xludf.DUMMYFUNCTION("AE621*(V621 / QUERY(NPCVar!$K$2:$N$12, ""Select N WHERE K='""&amp;AB621&amp;""'""))*TRUNC(1+10)*(TRUNC(MOD(($B621*1103515245 +12345)/ 65536, 32768),0)/32768)"),0.0753799438476562)</f>
        <v>7.53799438476562E-2</v>
      </c>
      <c r="AG621" s="16"/>
      <c r="AH621" s="77"/>
      <c r="AI621" s="114"/>
    </row>
    <row r="622" spans="1:35" ht="16.2">
      <c r="A622" s="53">
        <v>621</v>
      </c>
      <c r="B622" s="118">
        <f t="shared" si="46"/>
        <v>1.8497399999999999</v>
      </c>
      <c r="C622" s="72" t="str">
        <f t="array" ref="C622">INDEX(NPCFName,TRUNC(1+(COUNTA(NPCFName))*(TRUNC(MOD(($B622*1103515245 +12345)/ 65536, 32768),0)/32768),0))</f>
        <v>Tibers</v>
      </c>
      <c r="D622" s="16" t="str">
        <f t="array" ref="D622">INDEX(NPCLName,TRUNC(1+(COUNTA(NPCLName))*(TRUNC(MOD(($B622*1103515245 +12345)/ 65536, 32768),0)/32768),0))</f>
        <v>Marblearm</v>
      </c>
      <c r="E622" s="16" t="str">
        <f t="array" ref="E622">INDEX(NPCClass,TRUNC(1+(COUNTA(NPCClass))*(TRUNC(MOD(($B622*1103515245 +12345)/ 65536, 32768),0)/32768),0))</f>
        <v>Wizard</v>
      </c>
      <c r="F622" s="76">
        <v>8</v>
      </c>
      <c r="G622" s="153">
        <f ca="1">VLOOKUP($AB$2,'RF Mod'!$A$2:$G$12,2,FALSE)+VLOOKUP($AD$2,'RF Mod'!$I$2:$O$11,2,FALSE)+(TRUNC(6+(24-6)*(TRUNC(MOD(($Z622*1103515245 +12345)/ 65536, 32768),0)/32768),0))</f>
        <v>12</v>
      </c>
      <c r="H622" s="16" t="e">
        <f t="shared" ca="1" si="33"/>
        <v>#NAME?</v>
      </c>
      <c r="I622" s="153">
        <f ca="1">VLOOKUP($AB$2,'RF Mod'!$A$2:$G$12,3,FALSE)+VLOOKUP($AD$2,'RF Mod'!$I$2:$O$11,3,FALSE)+(TRUNC(6+(24-6)*(TRUNC(MOD(($Z622*1103515245 +12345)/ 65536, 32768),0)/32768),0))</f>
        <v>16</v>
      </c>
      <c r="J622" s="16" t="e">
        <f t="shared" ca="1" si="34"/>
        <v>#NAME?</v>
      </c>
      <c r="K622" s="153">
        <f ca="1">VLOOKUP($AB$2,'RF Mod'!$A$2:$G$12,3,FALSE)+VLOOKUP($AD$2,'RF Mod'!$I$2:$O$11,3,FALSE)+(TRUNC(6+(24-6)*(TRUNC(MOD(($Z622*1103515245 +12345)/ 65536, 32768),0)/32768),0))</f>
        <v>16</v>
      </c>
      <c r="L622" s="16" t="e">
        <f t="shared" ca="1" si="35"/>
        <v>#NAME?</v>
      </c>
      <c r="M622" s="153">
        <f ca="1">VLOOKUP($AB$2,'RF Mod'!$A$2:$G$12,4,FALSE)+VLOOKUP($AD$2,'RF Mod'!$I$2:$O$11,4,FALSE)+(TRUNC(6+(24-6)*(TRUNC(MOD(($Z622*1103515245 +12345)/ 65536, 32768),0)/32768),0))</f>
        <v>15</v>
      </c>
      <c r="N622" s="16" t="e">
        <f t="shared" ca="1" si="36"/>
        <v>#NAME?</v>
      </c>
      <c r="O622" s="153">
        <f ca="1">VLOOKUP($AB$2,'RF Mod'!$A$2:$G$12,5,FALSE)+VLOOKUP($AD$2,'RF Mod'!$I$2:$O$11,5,FALSE)+(TRUNC(6+(24-6)*(TRUNC(MOD(($Z622*1103515245 +12345)/ 65536, 32768),0)/32768),0))</f>
        <v>18</v>
      </c>
      <c r="P622" s="16" t="e">
        <f t="shared" ca="1" si="37"/>
        <v>#NAME?</v>
      </c>
      <c r="Q622" s="153">
        <f ca="1">VLOOKUP($AB$2,'RF Mod'!$A$2:$G$12,6,FALSE)+VLOOKUP($AD$2,'RF Mod'!$I$2:$O$11,6,FALSE)+(TRUNC(6+(24-6)*(TRUNC(MOD(($Z622*1103515245 +12345)/ 65536, 32768),0)/32768),0))</f>
        <v>16</v>
      </c>
      <c r="R622" s="16" t="e">
        <f t="shared" ca="1" si="38"/>
        <v>#NAME?</v>
      </c>
      <c r="S622" s="154">
        <f t="shared" ca="1" si="43"/>
        <v>224</v>
      </c>
      <c r="T622" s="154">
        <f t="shared" ca="1" si="39"/>
        <v>201</v>
      </c>
      <c r="U622" s="16" t="str">
        <f t="shared" ca="1" si="40"/>
        <v>Bloody</v>
      </c>
      <c r="V622" s="155">
        <f ca="1">IFERROR(__xludf.DUMMYFUNCTION("if(W622=""Middle Age"",QUERY(NPCVar!$K$2:$N1000, ""Select L where K = '""&amp;AB622&amp;""'""),if(W622=""Old"",QUERY(NPCVar!$K$2:$N1000, ""Select M where K = '""&amp;AB622&amp;""'""),if(W622=""Venerable"",QUERY(NPCVar!$K$2:$N1000, ""Select N where K = '""&amp;AB622&amp;""'""),fa"&amp;"lse)))*X622"),69)</f>
        <v>69</v>
      </c>
      <c r="W622" s="156" t="str">
        <f t="array" ref="W622">INDEX(NPCAgeType,TRUNC(1+(4-1)*(TRUNC(MOD((X622*1103515245 +12345)/ 65536, 32768),0)/32768),0))</f>
        <v>Middle Age</v>
      </c>
      <c r="X622" s="117">
        <f t="shared" si="45"/>
        <v>2.2999999999999998</v>
      </c>
      <c r="Y622" s="157" t="e">
        <f t="array" aca="1" ref="Y622" ca="1">LOOKUP(ABS(MAX(Z622 + MIN(ABS(INDIRECT("Class Jobs!B"&amp;MATCH(E622,'Class Jobs'!$A$1:$A1000,0)&amp;":"&amp;"AF"&amp;MATCH(E622,'Class Jobs'!$A$1:$A1000,0)&amp;"")-$Z622)) * SUM(IF(MIN(ABS(INDIRECT("Class Jobs!B"&amp;MATCH(E622,'Class Jobs'!$A$1:$A1000,0)&amp;":"&amp;"AF"&amp;MATCH(E622,'Class Jobs'!$A$1:$A1000,0)&amp;"")-$Z622))=ABS(INDIRECT("Class Jobs!B"&amp;MATCH(E622,'Class Jobs'!$A$1:$A1000,0)&amp;":"&amp;"AF"&amp;MATCH(E622,'Class Jobs'!$A$1:$A1000,0)&amp;"")-$Z622),SIGN(INDIRECT("Class Jobs!B"&amp;MATCH(E622,'Class Jobs'!$A$1:A1000,0)&amp;":"&amp;"AF"&amp;MATCH(E622,'Class Jobs'!$A$1:$A1000,0)&amp;"")-$Z622),0)),0)),INDIRECT("Class Jobs!B"&amp;MATCH(E622,'Class Jobs'!$A$1:$A1000,0)&amp;":"&amp;"AF"&amp;MATCH(E622,'Class Jobs'!$A$1:$A1000,1)&amp;""),'Class Jobs'!$B$1:$AF$1)</f>
        <v>#REF!</v>
      </c>
      <c r="Z622" s="158">
        <f t="shared" si="41"/>
        <v>0.95</v>
      </c>
      <c r="AA622" s="16" t="str">
        <f t="array" ref="AA622">INDEX(NPCGender,TRUNC(1+(COUNTA(NPCGender))*(TRUNC(MOD(($B622*1103515245 +12345)/ 65536, 32768),0)/32768),0))</f>
        <v>Neutral</v>
      </c>
      <c r="AB622" s="16" t="str">
        <f t="array" ref="AB622">INDEX(NPCRace,TRUNC(1+(COUNTA(NPCRace))*(TRUNC(MOD(($B622*1103515245 +12345)/ 65536, 32768),0)/32768),0))</f>
        <v>Goliath</v>
      </c>
      <c r="AC622" s="16" t="str">
        <f t="array" ref="AC622">INDEX(NPCAL,TRUNC(1+(COUNTA(NPCAL))*(TRUNC(MOD(($B622*1103515245 +12345)/ 65536, 32768),0)/32768),0))</f>
        <v>LE</v>
      </c>
      <c r="AD622" s="72" t="str">
        <f ca="1">IFERROR(__xludf.DUMMYFUNCTION("if(V622&lt;15,QUERY(NPCVar!C:D,""Select D WHERE C = '""&amp;D622&amp;""'""),if((TRUNC(1+10)*(TRUNC(MOD((ROW(H622)*1103515245 +12345)/ 65536, 32768),0)/32768)/10) &gt; 0.85,INDEX(NPCFaction,TRUNC(1+(counta(NPCFaction)-1)*(TRUNC(MOD(($B622*1103515245 +12345)/ 65536, 3276"&amp;"8),0)/32768),0)),QUERY(NPCVar!C:D,""Select D WHERE C = '""&amp;D622&amp;""'"")))"),"Thieves Guild")</f>
        <v>Thieves Guild</v>
      </c>
      <c r="AE622" s="108" t="e">
        <f t="shared" ca="1" si="42"/>
        <v>#NAME?</v>
      </c>
      <c r="AF622" s="159">
        <f ca="1">IFERROR(__xludf.DUMMYFUNCTION("AE622*(V622 / QUERY(NPCVar!$K$2:$N$12, ""Select N WHERE K='""&amp;AB622&amp;""'""))*TRUNC(1+10)*(TRUNC(MOD(($B622*1103515245 +12345)/ 65536, 32768),0)/32768)"),1.20238311767578)</f>
        <v>1.20238311767578</v>
      </c>
      <c r="AG622" s="16"/>
      <c r="AH622" s="77"/>
      <c r="AI622" s="114"/>
    </row>
    <row r="623" spans="1:35" ht="16.2">
      <c r="A623" s="53">
        <v>622</v>
      </c>
      <c r="B623" s="118">
        <f t="shared" si="46"/>
        <v>0.84389000000000003</v>
      </c>
      <c r="C623" s="72" t="str">
        <f t="array" ref="C623">INDEX(NPCFName,TRUNC(1+(COUNTA(NPCFName))*(TRUNC(MOD(($B623*1103515245 +12345)/ 65536, 32768),0)/32768),0))</f>
        <v>Etmere</v>
      </c>
      <c r="D623" s="16" t="str">
        <f t="array" ref="D623">INDEX(NPCLName,TRUNC(1+(COUNTA(NPCLName))*(TRUNC(MOD(($B623*1103515245 +12345)/ 65536, 32768),0)/32768),0))</f>
        <v>Saurflame</v>
      </c>
      <c r="E623" s="16" t="str">
        <f t="array" ref="E623">INDEX(NPCClass,TRUNC(1+(COUNTA(NPCClass))*(TRUNC(MOD(($B623*1103515245 +12345)/ 65536, 32768),0)/32768),0))</f>
        <v>Ranger</v>
      </c>
      <c r="F623" s="76">
        <v>3</v>
      </c>
      <c r="G623" s="153">
        <f ca="1">VLOOKUP($AB$2,'RF Mod'!$A$2:$G$12,2,FALSE)+VLOOKUP($AD$2,'RF Mod'!$I$2:$O$11,2,FALSE)+(TRUNC(6+(24-6)*(TRUNC(MOD(($Z623*1103515245 +12345)/ 65536, 32768),0)/32768),0))</f>
        <v>7</v>
      </c>
      <c r="H623" s="16">
        <f t="shared" ca="1" si="33"/>
        <v>-2</v>
      </c>
      <c r="I623" s="153">
        <f ca="1">VLOOKUP($AB$2,'RF Mod'!$A$2:$G$12,3,FALSE)+VLOOKUP($AD$2,'RF Mod'!$I$2:$O$11,3,FALSE)+(TRUNC(6+(24-6)*(TRUNC(MOD(($Z623*1103515245 +12345)/ 65536, 32768),0)/32768),0))</f>
        <v>11</v>
      </c>
      <c r="J623" s="16" t="e">
        <f t="shared" ca="1" si="34"/>
        <v>#NAME?</v>
      </c>
      <c r="K623" s="153">
        <f ca="1">VLOOKUP($AB$2,'RF Mod'!$A$2:$G$12,3,FALSE)+VLOOKUP($AD$2,'RF Mod'!$I$2:$O$11,3,FALSE)+(TRUNC(6+(24-6)*(TRUNC(MOD(($Z623*1103515245 +12345)/ 65536, 32768),0)/32768),0))</f>
        <v>11</v>
      </c>
      <c r="L623" s="16" t="e">
        <f t="shared" ca="1" si="35"/>
        <v>#NAME?</v>
      </c>
      <c r="M623" s="153">
        <f ca="1">VLOOKUP($AB$2,'RF Mod'!$A$2:$G$12,4,FALSE)+VLOOKUP($AD$2,'RF Mod'!$I$2:$O$11,4,FALSE)+(TRUNC(6+(24-6)*(TRUNC(MOD(($Z623*1103515245 +12345)/ 65536, 32768),0)/32768),0))</f>
        <v>10</v>
      </c>
      <c r="N623" s="16" t="e">
        <f t="shared" ca="1" si="36"/>
        <v>#NAME?</v>
      </c>
      <c r="O623" s="153">
        <f ca="1">VLOOKUP($AB$2,'RF Mod'!$A$2:$G$12,5,FALSE)+VLOOKUP($AD$2,'RF Mod'!$I$2:$O$11,5,FALSE)+(TRUNC(6+(24-6)*(TRUNC(MOD(($Z623*1103515245 +12345)/ 65536, 32768),0)/32768),0))</f>
        <v>13</v>
      </c>
      <c r="P623" s="16" t="e">
        <f t="shared" ca="1" si="37"/>
        <v>#NAME?</v>
      </c>
      <c r="Q623" s="153">
        <f ca="1">VLOOKUP($AB$2,'RF Mod'!$A$2:$G$12,6,FALSE)+VLOOKUP($AD$2,'RF Mod'!$I$2:$O$11,6,FALSE)+(TRUNC(6+(24-6)*(TRUNC(MOD(($Z623*1103515245 +12345)/ 65536, 32768),0)/32768),0))</f>
        <v>11</v>
      </c>
      <c r="R623" s="16" t="e">
        <f t="shared" ca="1" si="38"/>
        <v>#NAME?</v>
      </c>
      <c r="S623" s="154">
        <f t="shared" ca="1" si="43"/>
        <v>63</v>
      </c>
      <c r="T623" s="154">
        <f t="shared" ca="1" si="39"/>
        <v>20</v>
      </c>
      <c r="U623" s="16" t="str">
        <f t="shared" ca="1" si="40"/>
        <v>Fine</v>
      </c>
      <c r="V623" s="155">
        <f ca="1">IFERROR(__xludf.DUMMYFUNCTION("if(W623=""Middle Age"",QUERY(NPCVar!$K$2:$N1000, ""Select L where K = '""&amp;AB623&amp;""'""),if(W623=""Old"",QUERY(NPCVar!$K$2:$N1000, ""Select M where K = '""&amp;AB623&amp;""'""),if(W623=""Venerable"",QUERY(NPCVar!$K$2:$N1000, ""Select N where K = '""&amp;AB623&amp;""'""),fa"&amp;"lse)))*X623"),74.25)</f>
        <v>74.25</v>
      </c>
      <c r="W623" s="156" t="str">
        <f t="array" ref="W623">INDEX(NPCAgeType,TRUNC(1+(4-1)*(TRUNC(MOD((X623*1103515245 +12345)/ 65536, 32768),0)/32768),0))</f>
        <v>Old</v>
      </c>
      <c r="X623" s="117">
        <f t="shared" si="45"/>
        <v>1.1000000000000001</v>
      </c>
      <c r="Y623" s="157" t="e">
        <f t="array" aca="1" ref="Y623" ca="1">LOOKUP(ABS(MAX(Z623 + MIN(ABS(INDIRECT("Class Jobs!B"&amp;MATCH(E623,'Class Jobs'!$A$1:$A1000,0)&amp;":"&amp;"AF"&amp;MATCH(E623,'Class Jobs'!$A$1:$A1000,0)&amp;"")-$Z623)) * SUM(IF(MIN(ABS(INDIRECT("Class Jobs!B"&amp;MATCH(E623,'Class Jobs'!$A$1:$A1000,0)&amp;":"&amp;"AF"&amp;MATCH(E623,'Class Jobs'!$A$1:$A1000,0)&amp;"")-$Z623))=ABS(INDIRECT("Class Jobs!B"&amp;MATCH(E623,'Class Jobs'!$A$1:$A1000,0)&amp;":"&amp;"AF"&amp;MATCH(E623,'Class Jobs'!$A$1:$A1000,0)&amp;"")-$Z623),SIGN(INDIRECT("Class Jobs!B"&amp;MATCH(E623,'Class Jobs'!$A$1:A1000,0)&amp;":"&amp;"AF"&amp;MATCH(E623,'Class Jobs'!$A$1:$A1000,0)&amp;"")-$Z623),0)),0)),INDIRECT("Class Jobs!B"&amp;MATCH(E623,'Class Jobs'!$A$1:$A1000,0)&amp;":"&amp;"AF"&amp;MATCH(E623,'Class Jobs'!$A$1:$A1000,1)&amp;""),'Class Jobs'!$B$1:$AF$1)</f>
        <v>#REF!</v>
      </c>
      <c r="Z623" s="158">
        <f t="shared" si="41"/>
        <v>0.43</v>
      </c>
      <c r="AA623" s="16" t="str">
        <f t="array" ref="AA623">INDEX(NPCGender,TRUNC(1+(COUNTA(NPCGender))*(TRUNC(MOD(($B623*1103515245 +12345)/ 65536, 32768),0)/32768),0))</f>
        <v>Female</v>
      </c>
      <c r="AB623" s="16" t="str">
        <f t="array" ref="AB623">INDEX(NPCRace,TRUNC(1+(COUNTA(NPCRace))*(TRUNC(MOD(($B623*1103515245 +12345)/ 65536, 32768),0)/32768),0))</f>
        <v>Half-Elf</v>
      </c>
      <c r="AC623" s="16" t="str">
        <f t="array" ref="AC623">INDEX(NPCAL,TRUNC(1+(COUNTA(NPCAL))*(TRUNC(MOD(($B623*1103515245 +12345)/ 65536, 32768),0)/32768),0))</f>
        <v>NG</v>
      </c>
      <c r="AD623" s="72" t="str">
        <f ca="1">IFERROR(__xludf.DUMMYFUNCTION("if(V623&lt;15,QUERY(NPCVar!C:D,""Select D WHERE C = '""&amp;D623&amp;""'""),if((TRUNC(1+10)*(TRUNC(MOD((ROW(H623)*1103515245 +12345)/ 65536, 32768),0)/32768)/10) &gt; 0.85,INDEX(NPCFaction,TRUNC(1+(counta(NPCFaction)-1)*(TRUNC(MOD(($B623*1103515245 +12345)/ 65536, 3276"&amp;"8),0)/32768),0)),QUERY(NPCVar!C:D,""Select D WHERE C = '""&amp;D623&amp;""'"")))"),"Farmers Guild")</f>
        <v>Farmers Guild</v>
      </c>
      <c r="AE623" s="108" t="e">
        <f t="shared" ca="1" si="42"/>
        <v>#NAME?</v>
      </c>
      <c r="AF623" s="159">
        <f ca="1">IFERROR(__xludf.DUMMYFUNCTION("AE623*(V623 / QUERY(NPCVar!$K$2:$N$12, ""Select N WHERE K='""&amp;AB623&amp;""'""))*TRUNC(1+10)*(TRUNC(MOD(($B623*1103515245 +12345)/ 65536, 32768),0)/32768)"),0.983785057067871)</f>
        <v>0.983785057067871</v>
      </c>
      <c r="AG623" s="16"/>
      <c r="AH623" s="77"/>
      <c r="AI623" s="114"/>
    </row>
    <row r="624" spans="1:35" ht="16.2">
      <c r="A624" s="53">
        <v>623</v>
      </c>
      <c r="B624" s="118">
        <f t="shared" si="46"/>
        <v>2.3380200000000002</v>
      </c>
      <c r="C624" s="72" t="str">
        <f t="array" ref="C624">INDEX(NPCFName,TRUNC(1+(COUNTA(NPCFName))*(TRUNC(MOD(($B624*1103515245 +12345)/ 65536, 32768),0)/32768),0))</f>
        <v>Mythik</v>
      </c>
      <c r="D624" s="16" t="str">
        <f t="array" ref="D624">INDEX(NPCLName,TRUNC(1+(COUNTA(NPCLName))*(TRUNC(MOD(($B624*1103515245 +12345)/ 65536, 32768),0)/32768),0))</f>
        <v>Stillsun</v>
      </c>
      <c r="E624" s="16" t="str">
        <f t="array" ref="E624">INDEX(NPCClass,TRUNC(1+(COUNTA(NPCClass))*(TRUNC(MOD(($B624*1103515245 +12345)/ 65536, 32768),0)/32768),0))</f>
        <v>Druid</v>
      </c>
      <c r="F624" s="76">
        <v>1</v>
      </c>
      <c r="G624" s="153">
        <f ca="1">VLOOKUP($AB$2,'RF Mod'!$A$2:$G$12,2,FALSE)+VLOOKUP($AD$2,'RF Mod'!$I$2:$O$11,2,FALSE)+(TRUNC(6+(24-6)*(TRUNC(MOD(($Z624*1103515245 +12345)/ 65536, 32768),0)/32768),0))</f>
        <v>5</v>
      </c>
      <c r="H624" s="16">
        <f t="shared" ca="1" si="33"/>
        <v>-3</v>
      </c>
      <c r="I624" s="153">
        <f ca="1">VLOOKUP($AB$2,'RF Mod'!$A$2:$G$12,3,FALSE)+VLOOKUP($AD$2,'RF Mod'!$I$2:$O$11,3,FALSE)+(TRUNC(6+(24-6)*(TRUNC(MOD(($Z624*1103515245 +12345)/ 65536, 32768),0)/32768),0))</f>
        <v>9</v>
      </c>
      <c r="J624" s="16">
        <f t="shared" ca="1" si="34"/>
        <v>-1</v>
      </c>
      <c r="K624" s="153">
        <f ca="1">VLOOKUP($AB$2,'RF Mod'!$A$2:$G$12,3,FALSE)+VLOOKUP($AD$2,'RF Mod'!$I$2:$O$11,3,FALSE)+(TRUNC(6+(24-6)*(TRUNC(MOD(($Z624*1103515245 +12345)/ 65536, 32768),0)/32768),0))</f>
        <v>9</v>
      </c>
      <c r="L624" s="16">
        <f t="shared" ca="1" si="35"/>
        <v>-1</v>
      </c>
      <c r="M624" s="153">
        <f ca="1">VLOOKUP($AB$2,'RF Mod'!$A$2:$G$12,4,FALSE)+VLOOKUP($AD$2,'RF Mod'!$I$2:$O$11,4,FALSE)+(TRUNC(6+(24-6)*(TRUNC(MOD(($Z624*1103515245 +12345)/ 65536, 32768),0)/32768),0))</f>
        <v>8</v>
      </c>
      <c r="N624" s="16">
        <f t="shared" ca="1" si="36"/>
        <v>-1</v>
      </c>
      <c r="O624" s="153">
        <f ca="1">VLOOKUP($AB$2,'RF Mod'!$A$2:$G$12,5,FALSE)+VLOOKUP($AD$2,'RF Mod'!$I$2:$O$11,5,FALSE)+(TRUNC(6+(24-6)*(TRUNC(MOD(($Z624*1103515245 +12345)/ 65536, 32768),0)/32768),0))</f>
        <v>11</v>
      </c>
      <c r="P624" s="16" t="e">
        <f t="shared" ca="1" si="37"/>
        <v>#NAME?</v>
      </c>
      <c r="Q624" s="153">
        <f ca="1">VLOOKUP($AB$2,'RF Mod'!$A$2:$G$12,6,FALSE)+VLOOKUP($AD$2,'RF Mod'!$I$2:$O$11,6,FALSE)+(TRUNC(6+(24-6)*(TRUNC(MOD(($Z624*1103515245 +12345)/ 65536, 32768),0)/32768),0))</f>
        <v>9</v>
      </c>
      <c r="R624" s="16">
        <f t="shared" ca="1" si="38"/>
        <v>-1</v>
      </c>
      <c r="S624" s="154">
        <f t="shared" ca="1" si="43"/>
        <v>27</v>
      </c>
      <c r="T624" s="154">
        <f t="shared" ca="1" si="39"/>
        <v>15</v>
      </c>
      <c r="U624" s="16" t="str">
        <f t="shared" ca="1" si="40"/>
        <v>Bloody</v>
      </c>
      <c r="V624" s="155">
        <f ca="1">IFERROR(__xludf.DUMMYFUNCTION("if(W624=""Middle Age"",QUERY(NPCVar!$K$2:$N1000, ""Select L where K = '""&amp;AB624&amp;""'""),if(W624=""Old"",QUERY(NPCVar!$K$2:$N1000, ""Select M where K = '""&amp;AB624&amp;""'""),if(W624=""Venerable"",QUERY(NPCVar!$K$2:$N1000, ""Select N where K = '""&amp;AB624&amp;""'""),fa"&amp;"lse)))*X624"),93.75)</f>
        <v>93.75</v>
      </c>
      <c r="W624" s="156" t="str">
        <f t="array" ref="W624">INDEX(NPCAgeType,TRUNC(1+(4-1)*(TRUNC(MOD((X624*1103515245 +12345)/ 65536, 32768),0)/32768),0))</f>
        <v>Middle Age</v>
      </c>
      <c r="X624" s="117">
        <f t="shared" si="45"/>
        <v>0.5</v>
      </c>
      <c r="Y624" s="157" t="e">
        <f t="array" aca="1" ref="Y624" ca="1">LOOKUP(ABS(MAX(Z624 + MIN(ABS(INDIRECT("Class Jobs!B"&amp;MATCH(E624,'Class Jobs'!$A$1:$A1000,0)&amp;":"&amp;"AF"&amp;MATCH(E624,'Class Jobs'!$A$1:$A1000,0)&amp;"")-$Z624)) * SUM(IF(MIN(ABS(INDIRECT("Class Jobs!B"&amp;MATCH(E624,'Class Jobs'!$A$1:$A1000,0)&amp;":"&amp;"AF"&amp;MATCH(E624,'Class Jobs'!$A$1:$A1000,0)&amp;"")-$Z624))=ABS(INDIRECT("Class Jobs!B"&amp;MATCH(E624,'Class Jobs'!$A$1:$A1000,0)&amp;":"&amp;"AF"&amp;MATCH(E624,'Class Jobs'!$A$1:$A1000,0)&amp;"")-$Z624),SIGN(INDIRECT("Class Jobs!B"&amp;MATCH(E624,'Class Jobs'!$A$1:A1000,0)&amp;":"&amp;"AF"&amp;MATCH(E624,'Class Jobs'!$A$1:$A1000,0)&amp;"")-$Z624),0)),0)),INDIRECT("Class Jobs!B"&amp;MATCH(E624,'Class Jobs'!$A$1:$A1000,0)&amp;":"&amp;"AF"&amp;MATCH(E624,'Class Jobs'!$A$1:$A1000,1)&amp;""),'Class Jobs'!$B$1:$AF$1)</f>
        <v>#REF!</v>
      </c>
      <c r="Z624" s="158">
        <f t="shared" si="41"/>
        <v>0.2</v>
      </c>
      <c r="AA624" s="16" t="str">
        <f t="array" ref="AA624">INDEX(NPCGender,TRUNC(1+(COUNTA(NPCGender))*(TRUNC(MOD(($B624*1103515245 +12345)/ 65536, 32768),0)/32768),0))</f>
        <v>Male</v>
      </c>
      <c r="AB624" s="16" t="str">
        <f t="array" ref="AB624">INDEX(NPCRace,TRUNC(1+(COUNTA(NPCRace))*(TRUNC(MOD(($B624*1103515245 +12345)/ 65536, 32768),0)/32768),0))</f>
        <v>Elf</v>
      </c>
      <c r="AC624" s="16" t="str">
        <f t="array" ref="AC624">INDEX(NPCAL,TRUNC(1+(COUNTA(NPCAL))*(TRUNC(MOD(($B624*1103515245 +12345)/ 65536, 32768),0)/32768),0))</f>
        <v>CE</v>
      </c>
      <c r="AD624" s="72" t="str">
        <f ca="1">IFERROR(__xludf.DUMMYFUNCTION("if(V624&lt;15,QUERY(NPCVar!C:D,""Select D WHERE C = '""&amp;D624&amp;""'""),if((TRUNC(1+10)*(TRUNC(MOD((ROW(H624)*1103515245 +12345)/ 65536, 32768),0)/32768)/10) &gt; 0.85,INDEX(NPCFaction,TRUNC(1+(counta(NPCFaction)-1)*(TRUNC(MOD(($B624*1103515245 +12345)/ 65536, 3276"&amp;"8),0)/32768),0)),QUERY(NPCVar!C:D,""Select D WHERE C = '""&amp;D624&amp;""'"")))"),"Necromancer")</f>
        <v>Necromancer</v>
      </c>
      <c r="AE624" s="108" t="e">
        <f t="shared" ca="1" si="42"/>
        <v>#NAME?</v>
      </c>
      <c r="AF624" s="159">
        <f ca="1">IFERROR(__xludf.DUMMYFUNCTION("AE624*(V624 / QUERY(NPCVar!$K$2:$N$12, ""Select N WHERE K='""&amp;AB624&amp;""'""))*TRUNC(1+10)*(TRUNC(MOD(($B624*1103515245 +12345)/ 65536, 32768),0)/32768)"),-0.0276947021484374)</f>
        <v>-2.7694702148437399E-2</v>
      </c>
      <c r="AG624" s="16"/>
      <c r="AH624" s="77"/>
      <c r="AI624" s="114"/>
    </row>
    <row r="625" spans="1:35" ht="16.2">
      <c r="A625" s="53">
        <v>624</v>
      </c>
      <c r="B625" s="118">
        <f t="shared" si="46"/>
        <v>1.3321700000000001</v>
      </c>
      <c r="C625" s="72" t="str">
        <f t="array" ref="C625">INDEX(NPCFName,TRUNC(1+(COUNTA(NPCFName))*(TRUNC(MOD(($B625*1103515245 +12345)/ 65536, 32768),0)/32768),0))</f>
        <v>Atar</v>
      </c>
      <c r="D625" s="16" t="str">
        <f t="array" ref="D625">INDEX(NPCLName,TRUNC(1+(COUNTA(NPCLName))*(TRUNC(MOD(($B625*1103515245 +12345)/ 65536, 32768),0)/32768),0))</f>
        <v>Emberhell</v>
      </c>
      <c r="E625" s="16" t="str">
        <f t="array" ref="E625">INDEX(NPCClass,TRUNC(1+(COUNTA(NPCClass))*(TRUNC(MOD(($B625*1103515245 +12345)/ 65536, 32768),0)/32768),0))</f>
        <v>None</v>
      </c>
      <c r="F625" s="76">
        <v>8</v>
      </c>
      <c r="G625" s="153">
        <f ca="1">VLOOKUP($AB$2,'RF Mod'!$A$2:$G$12,2,FALSE)+VLOOKUP($AD$2,'RF Mod'!$I$2:$O$11,2,FALSE)+(TRUNC(6+(24-6)*(TRUNC(MOD(($Z625*1103515245 +12345)/ 65536, 32768),0)/32768),0))</f>
        <v>10</v>
      </c>
      <c r="H625" s="16" t="e">
        <f t="shared" ca="1" si="33"/>
        <v>#NAME?</v>
      </c>
      <c r="I625" s="153">
        <f ca="1">VLOOKUP($AB$2,'RF Mod'!$A$2:$G$12,3,FALSE)+VLOOKUP($AD$2,'RF Mod'!$I$2:$O$11,3,FALSE)+(TRUNC(6+(24-6)*(TRUNC(MOD(($Z625*1103515245 +12345)/ 65536, 32768),0)/32768),0))</f>
        <v>14</v>
      </c>
      <c r="J625" s="16" t="e">
        <f t="shared" ca="1" si="34"/>
        <v>#NAME?</v>
      </c>
      <c r="K625" s="153">
        <f ca="1">VLOOKUP($AB$2,'RF Mod'!$A$2:$G$12,3,FALSE)+VLOOKUP($AD$2,'RF Mod'!$I$2:$O$11,3,FALSE)+(TRUNC(6+(24-6)*(TRUNC(MOD(($Z625*1103515245 +12345)/ 65536, 32768),0)/32768),0))</f>
        <v>14</v>
      </c>
      <c r="L625" s="16" t="e">
        <f t="shared" ca="1" si="35"/>
        <v>#NAME?</v>
      </c>
      <c r="M625" s="153">
        <f ca="1">VLOOKUP($AB$2,'RF Mod'!$A$2:$G$12,4,FALSE)+VLOOKUP($AD$2,'RF Mod'!$I$2:$O$11,4,FALSE)+(TRUNC(6+(24-6)*(TRUNC(MOD(($Z625*1103515245 +12345)/ 65536, 32768),0)/32768),0))</f>
        <v>13</v>
      </c>
      <c r="N625" s="16" t="e">
        <f t="shared" ca="1" si="36"/>
        <v>#NAME?</v>
      </c>
      <c r="O625" s="153">
        <f ca="1">VLOOKUP($AB$2,'RF Mod'!$A$2:$G$12,5,FALSE)+VLOOKUP($AD$2,'RF Mod'!$I$2:$O$11,5,FALSE)+(TRUNC(6+(24-6)*(TRUNC(MOD(($Z625*1103515245 +12345)/ 65536, 32768),0)/32768),0))</f>
        <v>16</v>
      </c>
      <c r="P625" s="16" t="e">
        <f t="shared" ca="1" si="37"/>
        <v>#NAME?</v>
      </c>
      <c r="Q625" s="153">
        <f ca="1">VLOOKUP($AB$2,'RF Mod'!$A$2:$G$12,6,FALSE)+VLOOKUP($AD$2,'RF Mod'!$I$2:$O$11,6,FALSE)+(TRUNC(6+(24-6)*(TRUNC(MOD(($Z625*1103515245 +12345)/ 65536, 32768),0)/32768),0))</f>
        <v>14</v>
      </c>
      <c r="R625" s="16" t="e">
        <f t="shared" ca="1" si="38"/>
        <v>#NAME?</v>
      </c>
      <c r="S625" s="154">
        <f t="shared" ca="1" si="43"/>
        <v>208</v>
      </c>
      <c r="T625" s="154">
        <f t="shared" ca="1" si="39"/>
        <v>108</v>
      </c>
      <c r="U625" s="16" t="str">
        <f t="shared" ca="1" si="40"/>
        <v>Bloody</v>
      </c>
      <c r="V625" s="155">
        <f ca="1">IFERROR(__xludf.DUMMYFUNCTION("if(W625=""Middle Age"",QUERY(NPCVar!$K$2:$N1000, ""Select L where K = '""&amp;AB625&amp;""'""),if(W625=""Old"",QUERY(NPCVar!$K$2:$N1000, ""Select M where K = '""&amp;AB625&amp;""'""),if(W625=""Venerable"",QUERY(NPCVar!$K$2:$N1000, ""Select N where K = '""&amp;AB625&amp;""'""),fa"&amp;"lse)))*X625"),153)</f>
        <v>153</v>
      </c>
      <c r="W625" s="156" t="str">
        <f t="array" ref="W625">INDEX(NPCAgeType,TRUNC(1+(4-1)*(TRUNC(MOD((X625*1103515245 +12345)/ 65536, 32768),0)/32768),0))</f>
        <v>Venerable</v>
      </c>
      <c r="X625" s="117">
        <f t="shared" si="45"/>
        <v>1.7</v>
      </c>
      <c r="Y625" s="157" t="e">
        <f t="array" aca="1" ref="Y625" ca="1">LOOKUP(ABS(MAX(Z625 + MIN(ABS(INDIRECT("Class Jobs!B"&amp;MATCH(E625,'Class Jobs'!$A$1:$A1000,0)&amp;":"&amp;"AF"&amp;MATCH(E625,'Class Jobs'!$A$1:$A1000,0)&amp;"")-$Z625)) * SUM(IF(MIN(ABS(INDIRECT("Class Jobs!B"&amp;MATCH(E625,'Class Jobs'!$A$1:$A1000,0)&amp;":"&amp;"AF"&amp;MATCH(E625,'Class Jobs'!$A$1:$A1000,0)&amp;"")-$Z625))=ABS(INDIRECT("Class Jobs!B"&amp;MATCH(E625,'Class Jobs'!$A$1:$A1000,0)&amp;":"&amp;"AF"&amp;MATCH(E625,'Class Jobs'!$A$1:$A1000,0)&amp;"")-$Z625),SIGN(INDIRECT("Class Jobs!B"&amp;MATCH(E625,'Class Jobs'!$A$1:A1000,0)&amp;":"&amp;"AF"&amp;MATCH(E625,'Class Jobs'!$A$1:$A1000,0)&amp;"")-$Z625),0)),0)),INDIRECT("Class Jobs!B"&amp;MATCH(E625,'Class Jobs'!$A$1:$A1000,0)&amp;":"&amp;"AF"&amp;MATCH(E625,'Class Jobs'!$A$1:$A1000,1)&amp;""),'Class Jobs'!$B$1:$AF$1)</f>
        <v>#REF!</v>
      </c>
      <c r="Z625" s="158">
        <f t="shared" si="41"/>
        <v>0.68</v>
      </c>
      <c r="AA625" s="16" t="str">
        <f t="array" ref="AA625">INDEX(NPCGender,TRUNC(1+(COUNTA(NPCGender))*(TRUNC(MOD(($B625*1103515245 +12345)/ 65536, 32768),0)/32768),0))</f>
        <v>Neutral</v>
      </c>
      <c r="AB625" s="16" t="str">
        <f t="array" ref="AB625">INDEX(NPCRace,TRUNC(1+(COUNTA(NPCRace))*(TRUNC(MOD(($B625*1103515245 +12345)/ 65536, 32768),0)/32768),0))</f>
        <v>Human</v>
      </c>
      <c r="AC625" s="16" t="str">
        <f t="array" ref="AC625">INDEX(NPCAL,TRUNC(1+(COUNTA(NPCAL))*(TRUNC(MOD(($B625*1103515245 +12345)/ 65536, 32768),0)/32768),0))</f>
        <v>LG</v>
      </c>
      <c r="AD625" s="72" t="str">
        <f ca="1">IFERROR(__xludf.DUMMYFUNCTION("if(V625&lt;15,QUERY(NPCVar!C:D,""Select D WHERE C = '""&amp;D625&amp;""'""),if((TRUNC(1+10)*(TRUNC(MOD((ROW(H625)*1103515245 +12345)/ 65536, 32768),0)/32768)/10) &gt; 0.85,INDEX(NPCFaction,TRUNC(1+(counta(NPCFaction)-1)*(TRUNC(MOD(($B625*1103515245 +12345)/ 65536, 3276"&amp;"8),0)/32768),0)),QUERY(NPCVar!C:D,""Select D WHERE C = '""&amp;D625&amp;""'"")))"),"Adventures Guild")</f>
        <v>Adventures Guild</v>
      </c>
      <c r="AE625" s="108" t="e">
        <f t="shared" ca="1" si="42"/>
        <v>#NAME?</v>
      </c>
      <c r="AF625" s="159">
        <f ca="1">IFERROR(__xludf.DUMMYFUNCTION("AE625*(V625 / QUERY(NPCVar!$K$2:$N$12, ""Select N WHERE K='""&amp;AB625&amp;""'""))*TRUNC(1+10)*(TRUNC(MOD(($B625*1103515245 +12345)/ 65536, 32768),0)/32768)"),8.96062591552734)</f>
        <v>8.9606259155273396</v>
      </c>
      <c r="AG625" s="16"/>
      <c r="AH625" s="77"/>
      <c r="AI625" s="114"/>
    </row>
    <row r="626" spans="1:35" ht="16.2">
      <c r="A626" s="53">
        <v>625</v>
      </c>
      <c r="B626" s="118">
        <f t="shared" si="46"/>
        <v>0.32630999999999999</v>
      </c>
      <c r="C626" s="72" t="str">
        <f t="array" ref="C626">INDEX(NPCFName,TRUNC(1+(COUNTA(NPCFName))*(TRUNC(MOD(($B626*1103515245 +12345)/ 65536, 32768),0)/32768),0))</f>
        <v>Lackus</v>
      </c>
      <c r="D626" s="16" t="str">
        <f t="array" ref="D626">INDEX(NPCLName,TRUNC(1+(COUNTA(NPCLName))*(TRUNC(MOD(($B626*1103515245 +12345)/ 65536, 32768),0)/32768),0))</f>
        <v>Ashcloud</v>
      </c>
      <c r="E626" s="16" t="str">
        <f t="array" ref="E626">INDEX(NPCClass,TRUNC(1+(COUNTA(NPCClass))*(TRUNC(MOD(($B626*1103515245 +12345)/ 65536, 32768),0)/32768),0))</f>
        <v>Druid</v>
      </c>
      <c r="F626" s="76">
        <v>1</v>
      </c>
      <c r="G626" s="153">
        <f ca="1">VLOOKUP($AB$2,'RF Mod'!$A$2:$G$12,2,FALSE)+VLOOKUP($AD$2,'RF Mod'!$I$2:$O$11,2,FALSE)+(TRUNC(6+(24-6)*(TRUNC(MOD(($Z626*1103515245 +12345)/ 65536, 32768),0)/32768),0))</f>
        <v>5</v>
      </c>
      <c r="H626" s="16">
        <f t="shared" ca="1" si="33"/>
        <v>-3</v>
      </c>
      <c r="I626" s="153">
        <f ca="1">VLOOKUP($AB$2,'RF Mod'!$A$2:$G$12,3,FALSE)+VLOOKUP($AD$2,'RF Mod'!$I$2:$O$11,3,FALSE)+(TRUNC(6+(24-6)*(TRUNC(MOD(($Z626*1103515245 +12345)/ 65536, 32768),0)/32768),0))</f>
        <v>9</v>
      </c>
      <c r="J626" s="16">
        <f t="shared" ca="1" si="34"/>
        <v>-1</v>
      </c>
      <c r="K626" s="153">
        <f ca="1">VLOOKUP($AB$2,'RF Mod'!$A$2:$G$12,3,FALSE)+VLOOKUP($AD$2,'RF Mod'!$I$2:$O$11,3,FALSE)+(TRUNC(6+(24-6)*(TRUNC(MOD(($Z626*1103515245 +12345)/ 65536, 32768),0)/32768),0))</f>
        <v>9</v>
      </c>
      <c r="L626" s="16">
        <f t="shared" ca="1" si="35"/>
        <v>-1</v>
      </c>
      <c r="M626" s="153">
        <f ca="1">VLOOKUP($AB$2,'RF Mod'!$A$2:$G$12,4,FALSE)+VLOOKUP($AD$2,'RF Mod'!$I$2:$O$11,4,FALSE)+(TRUNC(6+(24-6)*(TRUNC(MOD(($Z626*1103515245 +12345)/ 65536, 32768),0)/32768),0))</f>
        <v>8</v>
      </c>
      <c r="N626" s="16">
        <f t="shared" ca="1" si="36"/>
        <v>-1</v>
      </c>
      <c r="O626" s="153">
        <f ca="1">VLOOKUP($AB$2,'RF Mod'!$A$2:$G$12,5,FALSE)+VLOOKUP($AD$2,'RF Mod'!$I$2:$O$11,5,FALSE)+(TRUNC(6+(24-6)*(TRUNC(MOD(($Z626*1103515245 +12345)/ 65536, 32768),0)/32768),0))</f>
        <v>11</v>
      </c>
      <c r="P626" s="16" t="e">
        <f t="shared" ca="1" si="37"/>
        <v>#NAME?</v>
      </c>
      <c r="Q626" s="153">
        <f ca="1">VLOOKUP($AB$2,'RF Mod'!$A$2:$G$12,6,FALSE)+VLOOKUP($AD$2,'RF Mod'!$I$2:$O$11,6,FALSE)+(TRUNC(6+(24-6)*(TRUNC(MOD(($Z626*1103515245 +12345)/ 65536, 32768),0)/32768),0))</f>
        <v>9</v>
      </c>
      <c r="R626" s="16">
        <f t="shared" ca="1" si="38"/>
        <v>-1</v>
      </c>
      <c r="S626" s="154">
        <f t="shared" ca="1" si="43"/>
        <v>27</v>
      </c>
      <c r="T626" s="154">
        <f t="shared" ca="1" si="39"/>
        <v>6</v>
      </c>
      <c r="U626" s="16" t="str">
        <f t="shared" ca="1" si="40"/>
        <v>Fine</v>
      </c>
      <c r="V626" s="155">
        <f ca="1">IFERROR(__xludf.DUMMYFUNCTION("if(W626=""Middle Age"",QUERY(NPCVar!$K$2:$N1000, ""Select L where K = '""&amp;AB626&amp;""'""),if(W626=""Old"",QUERY(NPCVar!$K$2:$N1000, ""Select M where K = '""&amp;AB626&amp;""'""),if(W626=""Venerable"",QUERY(NPCVar!$K$2:$N1000, ""Select N where K = '""&amp;AB626&amp;""'""),fa"&amp;"lse)))*X626"),40)</f>
        <v>40</v>
      </c>
      <c r="W626" s="156" t="str">
        <f t="array" ref="W626">INDEX(NPCAgeType,TRUNC(1+(4-1)*(TRUNC(MOD((X626*1103515245 +12345)/ 65536, 32768),0)/32768),0))</f>
        <v>Middle Age</v>
      </c>
      <c r="X626" s="117">
        <f t="shared" si="45"/>
        <v>0.5</v>
      </c>
      <c r="Y626" s="157" t="e">
        <f t="array" aca="1" ref="Y626" ca="1">LOOKUP(ABS(MAX(Z626 + MIN(ABS(INDIRECT("Class Jobs!B"&amp;MATCH(E626,'Class Jobs'!$A$1:$A1000,0)&amp;":"&amp;"AF"&amp;MATCH(E626,'Class Jobs'!$A$1:$A1000,0)&amp;"")-$Z626)) * SUM(IF(MIN(ABS(INDIRECT("Class Jobs!B"&amp;MATCH(E626,'Class Jobs'!$A$1:$A1000,0)&amp;":"&amp;"AF"&amp;MATCH(E626,'Class Jobs'!$A$1:$A1000,0)&amp;"")-$Z626))=ABS(INDIRECT("Class Jobs!B"&amp;MATCH(E626,'Class Jobs'!$A$1:$A1000,0)&amp;":"&amp;"AF"&amp;MATCH(E626,'Class Jobs'!$A$1:$A1000,0)&amp;"")-$Z626),SIGN(INDIRECT("Class Jobs!B"&amp;MATCH(E626,'Class Jobs'!$A$1:A1000,0)&amp;":"&amp;"AF"&amp;MATCH(E626,'Class Jobs'!$A$1:$A1000,0)&amp;"")-$Z626),0)),0)),INDIRECT("Class Jobs!B"&amp;MATCH(E626,'Class Jobs'!$A$1:$A1000,0)&amp;":"&amp;"AF"&amp;MATCH(E626,'Class Jobs'!$A$1:$A1000,1)&amp;""),'Class Jobs'!$B$1:$AF$1)</f>
        <v>#REF!</v>
      </c>
      <c r="Z626" s="158">
        <f t="shared" si="41"/>
        <v>0.17</v>
      </c>
      <c r="AA626" s="16" t="str">
        <f t="array" ref="AA626">INDEX(NPCGender,TRUNC(1+(COUNTA(NPCGender))*(TRUNC(MOD(($B626*1103515245 +12345)/ 65536, 32768),0)/32768),0))</f>
        <v>Male</v>
      </c>
      <c r="AB626" s="16" t="str">
        <f t="array" ref="AB626">INDEX(NPCRace,TRUNC(1+(COUNTA(NPCRace))*(TRUNC(MOD(($B626*1103515245 +12345)/ 65536, 32768),0)/32768),0))</f>
        <v>Dwarf</v>
      </c>
      <c r="AC626" s="16" t="str">
        <f t="array" ref="AC626">INDEX(NPCAL,TRUNC(1+(COUNTA(NPCAL))*(TRUNC(MOD(($B626*1103515245 +12345)/ 65536, 32768),0)/32768),0))</f>
        <v>CE</v>
      </c>
      <c r="AD626" s="72" t="str">
        <f ca="1">IFERROR(__xludf.DUMMYFUNCTION("if(V626&lt;15,QUERY(NPCVar!C:D,""Select D WHERE C = '""&amp;D626&amp;""'""),if((TRUNC(1+10)*(TRUNC(MOD((ROW(H626)*1103515245 +12345)/ 65536, 32768),0)/32768)/10) &gt; 0.85,INDEX(NPCFaction,TRUNC(1+(counta(NPCFaction)-1)*(TRUNC(MOD(($B626*1103515245 +12345)/ 65536, 3276"&amp;"8),0)/32768),0)),QUERY(NPCVar!C:D,""Select D WHERE C = '""&amp;D626&amp;""'"")))"),"Magic Guild")</f>
        <v>Magic Guild</v>
      </c>
      <c r="AE626" s="108" t="e">
        <f t="shared" ca="1" si="42"/>
        <v>#NAME?</v>
      </c>
      <c r="AF626" s="159">
        <f ca="1">IFERROR(__xludf.DUMMYFUNCTION("AE626*(V626 / QUERY(NPCVar!$K$2:$N$12, ""Select N WHERE K='""&amp;AB626&amp;""'""))*TRUNC(1+10)*(TRUNC(MOD(($B626*1103515245 +12345)/ 65536, 32768),0)/32768)"),-0.0230537414550781)</f>
        <v>-2.3053741455078099E-2</v>
      </c>
      <c r="AG626" s="16"/>
      <c r="AH626" s="77"/>
      <c r="AI626" s="114"/>
    </row>
    <row r="627" spans="1:35" ht="16.2">
      <c r="A627" s="53">
        <v>626</v>
      </c>
      <c r="B627" s="118">
        <f t="shared" si="46"/>
        <v>1.8204499999999999</v>
      </c>
      <c r="C627" s="72" t="str">
        <f t="array" ref="C627">INDEX(NPCFName,TRUNC(1+(COUNTA(NPCFName))*(TRUNC(MOD(($B627*1103515245 +12345)/ 65536, 32768),0)/32768),0))</f>
        <v>Sildo</v>
      </c>
      <c r="D627" s="16" t="str">
        <f t="array" ref="D627">INDEX(NPCLName,TRUNC(1+(COUNTA(NPCLName))*(TRUNC(MOD(($B627*1103515245 +12345)/ 65536, 32768),0)/32768),0))</f>
        <v>Marblearm</v>
      </c>
      <c r="E627" s="16" t="str">
        <f t="array" ref="E627">INDEX(NPCClass,TRUNC(1+(COUNTA(NPCClass))*(TRUNC(MOD(($B627*1103515245 +12345)/ 65536, 32768),0)/32768),0))</f>
        <v>Wizard</v>
      </c>
      <c r="F627" s="76">
        <v>8</v>
      </c>
      <c r="G627" s="153">
        <f ca="1">VLOOKUP($AB$2,'RF Mod'!$A$2:$G$12,2,FALSE)+VLOOKUP($AD$2,'RF Mod'!$I$2:$O$11,2,FALSE)+(TRUNC(6+(24-6)*(TRUNC(MOD(($Z627*1103515245 +12345)/ 65536, 32768),0)/32768),0))</f>
        <v>12</v>
      </c>
      <c r="H627" s="16" t="e">
        <f t="shared" ca="1" si="33"/>
        <v>#NAME?</v>
      </c>
      <c r="I627" s="153">
        <f ca="1">VLOOKUP($AB$2,'RF Mod'!$A$2:$G$12,3,FALSE)+VLOOKUP($AD$2,'RF Mod'!$I$2:$O$11,3,FALSE)+(TRUNC(6+(24-6)*(TRUNC(MOD(($Z627*1103515245 +12345)/ 65536, 32768),0)/32768),0))</f>
        <v>16</v>
      </c>
      <c r="J627" s="16" t="e">
        <f t="shared" ca="1" si="34"/>
        <v>#NAME?</v>
      </c>
      <c r="K627" s="153">
        <f ca="1">VLOOKUP($AB$2,'RF Mod'!$A$2:$G$12,3,FALSE)+VLOOKUP($AD$2,'RF Mod'!$I$2:$O$11,3,FALSE)+(TRUNC(6+(24-6)*(TRUNC(MOD(($Z627*1103515245 +12345)/ 65536, 32768),0)/32768),0))</f>
        <v>16</v>
      </c>
      <c r="L627" s="16" t="e">
        <f t="shared" ca="1" si="35"/>
        <v>#NAME?</v>
      </c>
      <c r="M627" s="153">
        <f ca="1">VLOOKUP($AB$2,'RF Mod'!$A$2:$G$12,4,FALSE)+VLOOKUP($AD$2,'RF Mod'!$I$2:$O$11,4,FALSE)+(TRUNC(6+(24-6)*(TRUNC(MOD(($Z627*1103515245 +12345)/ 65536, 32768),0)/32768),0))</f>
        <v>15</v>
      </c>
      <c r="N627" s="16" t="e">
        <f t="shared" ca="1" si="36"/>
        <v>#NAME?</v>
      </c>
      <c r="O627" s="153">
        <f ca="1">VLOOKUP($AB$2,'RF Mod'!$A$2:$G$12,5,FALSE)+VLOOKUP($AD$2,'RF Mod'!$I$2:$O$11,5,FALSE)+(TRUNC(6+(24-6)*(TRUNC(MOD(($Z627*1103515245 +12345)/ 65536, 32768),0)/32768),0))</f>
        <v>18</v>
      </c>
      <c r="P627" s="16" t="e">
        <f t="shared" ca="1" si="37"/>
        <v>#NAME?</v>
      </c>
      <c r="Q627" s="153">
        <f ca="1">VLOOKUP($AB$2,'RF Mod'!$A$2:$G$12,6,FALSE)+VLOOKUP($AD$2,'RF Mod'!$I$2:$O$11,6,FALSE)+(TRUNC(6+(24-6)*(TRUNC(MOD(($Z627*1103515245 +12345)/ 65536, 32768),0)/32768),0))</f>
        <v>16</v>
      </c>
      <c r="R627" s="16" t="e">
        <f t="shared" ca="1" si="38"/>
        <v>#NAME?</v>
      </c>
      <c r="S627" s="154">
        <f t="shared" ca="1" si="43"/>
        <v>192</v>
      </c>
      <c r="T627" s="154">
        <f t="shared" ca="1" si="39"/>
        <v>145</v>
      </c>
      <c r="U627" s="16" t="str">
        <f t="shared" ca="1" si="40"/>
        <v>Bloody</v>
      </c>
      <c r="V627" s="155">
        <f ca="1">IFERROR(__xludf.DUMMYFUNCTION("if(W627=""Middle Age"",QUERY(NPCVar!$K$2:$N1000, ""Select L where K = '""&amp;AB627&amp;""'""),if(W627=""Old"",QUERY(NPCVar!$K$2:$N1000, ""Select M where K = '""&amp;AB627&amp;""'""),if(W627=""Venerable"",QUERY(NPCVar!$K$2:$N1000, ""Select N where K = '""&amp;AB627&amp;""'""),fa"&amp;"lse)))*X627"),69)</f>
        <v>69</v>
      </c>
      <c r="W627" s="156" t="str">
        <f t="array" ref="W627">INDEX(NPCAgeType,TRUNC(1+(4-1)*(TRUNC(MOD((X627*1103515245 +12345)/ 65536, 32768),0)/32768),0))</f>
        <v>Middle Age</v>
      </c>
      <c r="X627" s="117">
        <f t="shared" si="45"/>
        <v>2.2999999999999998</v>
      </c>
      <c r="Y627" s="157" t="e">
        <f t="array" aca="1" ref="Y627" ca="1">LOOKUP(ABS(MAX(Z627 + MIN(ABS(INDIRECT("Class Jobs!B"&amp;MATCH(E627,'Class Jobs'!$A$1:$A1000,0)&amp;":"&amp;"AF"&amp;MATCH(E627,'Class Jobs'!$A$1:$A1000,0)&amp;"")-$Z627)) * SUM(IF(MIN(ABS(INDIRECT("Class Jobs!B"&amp;MATCH(E627,'Class Jobs'!$A$1:$A1000,0)&amp;":"&amp;"AF"&amp;MATCH(E627,'Class Jobs'!$A$1:$A1000,0)&amp;"")-$Z627))=ABS(INDIRECT("Class Jobs!B"&amp;MATCH(E627,'Class Jobs'!$A$1:$A1000,0)&amp;":"&amp;"AF"&amp;MATCH(E627,'Class Jobs'!$A$1:$A1000,0)&amp;"")-$Z627),SIGN(INDIRECT("Class Jobs!B"&amp;MATCH(E627,'Class Jobs'!$A$1:A1000,0)&amp;":"&amp;"AF"&amp;MATCH(E627,'Class Jobs'!$A$1:$A1000,0)&amp;"")-$Z627),0)),0)),INDIRECT("Class Jobs!B"&amp;MATCH(E627,'Class Jobs'!$A$1:$A1000,0)&amp;":"&amp;"AF"&amp;MATCH(E627,'Class Jobs'!$A$1:$A1000,1)&amp;""),'Class Jobs'!$B$1:$AF$1)</f>
        <v>#REF!</v>
      </c>
      <c r="Z627" s="158">
        <f t="shared" si="41"/>
        <v>0.93</v>
      </c>
      <c r="AA627" s="16" t="str">
        <f t="array" ref="AA627">INDEX(NPCGender,TRUNC(1+(COUNTA(NPCGender))*(TRUNC(MOD(($B627*1103515245 +12345)/ 65536, 32768),0)/32768),0))</f>
        <v>Neutral</v>
      </c>
      <c r="AB627" s="16" t="str">
        <f t="array" ref="AB627">INDEX(NPCRace,TRUNC(1+(COUNTA(NPCRace))*(TRUNC(MOD(($B627*1103515245 +12345)/ 65536, 32768),0)/32768),0))</f>
        <v>Goliath</v>
      </c>
      <c r="AC627" s="16" t="str">
        <f t="array" ref="AC627">INDEX(NPCAL,TRUNC(1+(COUNTA(NPCAL))*(TRUNC(MOD(($B627*1103515245 +12345)/ 65536, 32768),0)/32768),0))</f>
        <v>LE</v>
      </c>
      <c r="AD627" s="72" t="str">
        <f ca="1">IFERROR(__xludf.DUMMYFUNCTION("if(V627&lt;15,QUERY(NPCVar!C:D,""Select D WHERE C = '""&amp;D627&amp;""'""),if((TRUNC(1+10)*(TRUNC(MOD((ROW(H627)*1103515245 +12345)/ 65536, 32768),0)/32768)/10) &gt; 0.85,INDEX(NPCFaction,TRUNC(1+(counta(NPCFaction)-1)*(TRUNC(MOD(($B627*1103515245 +12345)/ 65536, 3276"&amp;"8),0)/32768),0)),QUERY(NPCVar!C:D,""Select D WHERE C = '""&amp;D627&amp;""'"")))"),"Thieves Guild")</f>
        <v>Thieves Guild</v>
      </c>
      <c r="AE627" s="108" t="e">
        <f t="shared" ca="1" si="42"/>
        <v>#NAME?</v>
      </c>
      <c r="AF627" s="159">
        <f ca="1">IFERROR(__xludf.DUMMYFUNCTION("AE627*(V627 / QUERY(NPCVar!$K$2:$N$12, ""Select N WHERE K='""&amp;AB627&amp;""'""))*TRUNC(1+10)*(TRUNC(MOD(($B627*1103515245 +12345)/ 65536, 32768),0)/32768)"),4.73340393066406)</f>
        <v>4.7334039306640596</v>
      </c>
      <c r="AG627" s="16"/>
      <c r="AH627" s="77"/>
      <c r="AI627" s="114"/>
    </row>
    <row r="628" spans="1:35" ht="16.2">
      <c r="A628" s="53">
        <v>627</v>
      </c>
      <c r="B628" s="118">
        <f t="shared" si="46"/>
        <v>0.81452000000000002</v>
      </c>
      <c r="C628" s="72" t="str">
        <f t="array" ref="C628">INDEX(NPCFName,TRUNC(1+(COUNTA(NPCFName))*(TRUNC(MOD(($B628*1103515245 +12345)/ 65536, 32768),0)/32768),0))</f>
        <v>Durmark</v>
      </c>
      <c r="D628" s="16" t="str">
        <f t="array" ref="D628">INDEX(NPCLName,TRUNC(1+(COUNTA(NPCLName))*(TRUNC(MOD(($B628*1103515245 +12345)/ 65536, 32768),0)/32768),0))</f>
        <v>Windshade</v>
      </c>
      <c r="E628" s="16" t="str">
        <f t="array" ref="E628">INDEX(NPCClass,TRUNC(1+(COUNTA(NPCClass))*(TRUNC(MOD(($B628*1103515245 +12345)/ 65536, 32768),0)/32768),0))</f>
        <v>Ranger</v>
      </c>
      <c r="F628" s="76">
        <v>6</v>
      </c>
      <c r="G628" s="153">
        <f ca="1">VLOOKUP($AB$2,'RF Mod'!$A$2:$G$12,2,FALSE)+VLOOKUP($AD$2,'RF Mod'!$I$2:$O$11,2,FALSE)+(TRUNC(6+(24-6)*(TRUNC(MOD(($Z628*1103515245 +12345)/ 65536, 32768),0)/32768),0))</f>
        <v>7</v>
      </c>
      <c r="H628" s="16">
        <f t="shared" ca="1" si="33"/>
        <v>-2</v>
      </c>
      <c r="I628" s="153">
        <f ca="1">VLOOKUP($AB$2,'RF Mod'!$A$2:$G$12,3,FALSE)+VLOOKUP($AD$2,'RF Mod'!$I$2:$O$11,3,FALSE)+(TRUNC(6+(24-6)*(TRUNC(MOD(($Z628*1103515245 +12345)/ 65536, 32768),0)/32768),0))</f>
        <v>11</v>
      </c>
      <c r="J628" s="16" t="e">
        <f t="shared" ca="1" si="34"/>
        <v>#NAME?</v>
      </c>
      <c r="K628" s="153">
        <f ca="1">VLOOKUP($AB$2,'RF Mod'!$A$2:$G$12,3,FALSE)+VLOOKUP($AD$2,'RF Mod'!$I$2:$O$11,3,FALSE)+(TRUNC(6+(24-6)*(TRUNC(MOD(($Z628*1103515245 +12345)/ 65536, 32768),0)/32768),0))</f>
        <v>11</v>
      </c>
      <c r="L628" s="16" t="e">
        <f t="shared" ca="1" si="35"/>
        <v>#NAME?</v>
      </c>
      <c r="M628" s="153">
        <f ca="1">VLOOKUP($AB$2,'RF Mod'!$A$2:$G$12,4,FALSE)+VLOOKUP($AD$2,'RF Mod'!$I$2:$O$11,4,FALSE)+(TRUNC(6+(24-6)*(TRUNC(MOD(($Z628*1103515245 +12345)/ 65536, 32768),0)/32768),0))</f>
        <v>10</v>
      </c>
      <c r="N628" s="16" t="e">
        <f t="shared" ca="1" si="36"/>
        <v>#NAME?</v>
      </c>
      <c r="O628" s="153">
        <f ca="1">VLOOKUP($AB$2,'RF Mod'!$A$2:$G$12,5,FALSE)+VLOOKUP($AD$2,'RF Mod'!$I$2:$O$11,5,FALSE)+(TRUNC(6+(24-6)*(TRUNC(MOD(($Z628*1103515245 +12345)/ 65536, 32768),0)/32768),0))</f>
        <v>13</v>
      </c>
      <c r="P628" s="16" t="e">
        <f t="shared" ca="1" si="37"/>
        <v>#NAME?</v>
      </c>
      <c r="Q628" s="153">
        <f ca="1">VLOOKUP($AB$2,'RF Mod'!$A$2:$G$12,6,FALSE)+VLOOKUP($AD$2,'RF Mod'!$I$2:$O$11,6,FALSE)+(TRUNC(6+(24-6)*(TRUNC(MOD(($Z628*1103515245 +12345)/ 65536, 32768),0)/32768),0))</f>
        <v>11</v>
      </c>
      <c r="R628" s="16" t="e">
        <f t="shared" ca="1" si="38"/>
        <v>#NAME?</v>
      </c>
      <c r="S628" s="154">
        <f t="shared" ca="1" si="43"/>
        <v>78</v>
      </c>
      <c r="T628" s="154">
        <f t="shared" ca="1" si="39"/>
        <v>61</v>
      </c>
      <c r="U628" s="16" t="str">
        <f t="shared" ca="1" si="40"/>
        <v>Bloody</v>
      </c>
      <c r="V628" s="155">
        <f ca="1">IFERROR(__xludf.DUMMYFUNCTION("if(W628=""Middle Age"",QUERY(NPCVar!$K$2:$N1000, ""Select L where K = '""&amp;AB628&amp;""'""),if(W628=""Old"",QUERY(NPCVar!$K$2:$N1000, ""Select M where K = '""&amp;AB628&amp;""'""),if(W628=""Venerable"",QUERY(NPCVar!$K$2:$N1000, ""Select N where K = '""&amp;AB628&amp;""'""),fa"&amp;"lse)))*X628"),74.25)</f>
        <v>74.25</v>
      </c>
      <c r="W628" s="156" t="str">
        <f t="array" ref="W628">INDEX(NPCAgeType,TRUNC(1+(4-1)*(TRUNC(MOD((X628*1103515245 +12345)/ 65536, 32768),0)/32768),0))</f>
        <v>Old</v>
      </c>
      <c r="X628" s="117">
        <f t="shared" si="45"/>
        <v>1.1000000000000001</v>
      </c>
      <c r="Y628" s="157" t="e">
        <f t="array" aca="1" ref="Y628" ca="1">LOOKUP(ABS(MAX(Z628 + MIN(ABS(INDIRECT("Class Jobs!B"&amp;MATCH(E628,'Class Jobs'!$A$1:$A1000,0)&amp;":"&amp;"AF"&amp;MATCH(E628,'Class Jobs'!$A$1:$A1000,0)&amp;"")-$Z628)) * SUM(IF(MIN(ABS(INDIRECT("Class Jobs!B"&amp;MATCH(E628,'Class Jobs'!$A$1:$A1000,0)&amp;":"&amp;"AF"&amp;MATCH(E628,'Class Jobs'!$A$1:$A1000,0)&amp;"")-$Z628))=ABS(INDIRECT("Class Jobs!B"&amp;MATCH(E628,'Class Jobs'!$A$1:$A1000,0)&amp;":"&amp;"AF"&amp;MATCH(E628,'Class Jobs'!$A$1:$A1000,0)&amp;"")-$Z628),SIGN(INDIRECT("Class Jobs!B"&amp;MATCH(E628,'Class Jobs'!$A$1:A1000,0)&amp;":"&amp;"AF"&amp;MATCH(E628,'Class Jobs'!$A$1:$A1000,0)&amp;"")-$Z628),0)),0)),INDIRECT("Class Jobs!B"&amp;MATCH(E628,'Class Jobs'!$A$1:$A1000,0)&amp;":"&amp;"AF"&amp;MATCH(E628,'Class Jobs'!$A$1:$A1000,1)&amp;""),'Class Jobs'!$B$1:$AF$1)</f>
        <v>#REF!</v>
      </c>
      <c r="Z628" s="158">
        <f t="shared" si="41"/>
        <v>0.42</v>
      </c>
      <c r="AA628" s="16" t="str">
        <f t="array" ref="AA628">INDEX(NPCGender,TRUNC(1+(COUNTA(NPCGender))*(TRUNC(MOD(($B628*1103515245 +12345)/ 65536, 32768),0)/32768),0))</f>
        <v>Female</v>
      </c>
      <c r="AB628" s="16" t="str">
        <f t="array" ref="AB628">INDEX(NPCRace,TRUNC(1+(COUNTA(NPCRace))*(TRUNC(MOD(($B628*1103515245 +12345)/ 65536, 32768),0)/32768),0))</f>
        <v>Half-Elf</v>
      </c>
      <c r="AC628" s="16" t="str">
        <f t="array" ref="AC628">INDEX(NPCAL,TRUNC(1+(COUNTA(NPCAL))*(TRUNC(MOD(($B628*1103515245 +12345)/ 65536, 32768),0)/32768),0))</f>
        <v>NG</v>
      </c>
      <c r="AD628" s="72" t="str">
        <f ca="1">IFERROR(__xludf.DUMMYFUNCTION("if(V628&lt;15,QUERY(NPCVar!C:D,""Select D WHERE C = '""&amp;D628&amp;""'""),if((TRUNC(1+10)*(TRUNC(MOD((ROW(H628)*1103515245 +12345)/ 65536, 32768),0)/32768)/10) &gt; 0.85,INDEX(NPCFaction,TRUNC(1+(counta(NPCFaction)-1)*(TRUNC(MOD(($B628*1103515245 +12345)/ 65536, 3276"&amp;"8),0)/32768),0)),QUERY(NPCVar!C:D,""Select D WHERE C = '""&amp;D628&amp;""'"")))"),"Traders Guild")</f>
        <v>Traders Guild</v>
      </c>
      <c r="AE628" s="108" t="e">
        <f t="shared" ca="1" si="42"/>
        <v>#NAME?</v>
      </c>
      <c r="AF628" s="159">
        <f ca="1">IFERROR(__xludf.DUMMYFUNCTION("AE628*(V628 / QUERY(NPCVar!$K$2:$N$12, ""Select N WHERE K='""&amp;AB628&amp;""'""))*TRUNC(1+10)*(TRUNC(MOD(($B628*1103515245 +12345)/ 65536, 32768),0)/32768)"),0.18991641998291)</f>
        <v>0.18991641998291001</v>
      </c>
      <c r="AG628" s="16"/>
      <c r="AH628" s="77"/>
      <c r="AI628" s="114"/>
    </row>
    <row r="629" spans="1:35" ht="16.2">
      <c r="A629" s="53">
        <v>628</v>
      </c>
      <c r="B629" s="118">
        <f t="shared" si="46"/>
        <v>2.3086500000000001</v>
      </c>
      <c r="C629" s="72" t="str">
        <f t="array" ref="C629">INDEX(NPCFName,TRUNC(1+(COUNTA(NPCFName))*(TRUNC(MOD(($B629*1103515245 +12345)/ 65536, 32768),0)/32768),0))</f>
        <v>Mathar</v>
      </c>
      <c r="D629" s="16" t="str">
        <f t="array" ref="D629">INDEX(NPCLName,TRUNC(1+(COUNTA(NPCLName))*(TRUNC(MOD(($B629*1103515245 +12345)/ 65536, 32768),0)/32768),0))</f>
        <v>Ashcloud</v>
      </c>
      <c r="E629" s="16" t="str">
        <f t="array" ref="E629">INDEX(NPCClass,TRUNC(1+(COUNTA(NPCClass))*(TRUNC(MOD(($B629*1103515245 +12345)/ 65536, 32768),0)/32768),0))</f>
        <v>Druid</v>
      </c>
      <c r="F629" s="76">
        <v>1</v>
      </c>
      <c r="G629" s="153">
        <f ca="1">VLOOKUP($AB$2,'RF Mod'!$A$2:$G$12,2,FALSE)+VLOOKUP($AD$2,'RF Mod'!$I$2:$O$11,2,FALSE)+(TRUNC(6+(24-6)*(TRUNC(MOD(($Z629*1103515245 +12345)/ 65536, 32768),0)/32768),0))</f>
        <v>5</v>
      </c>
      <c r="H629" s="16">
        <f t="shared" ca="1" si="33"/>
        <v>-3</v>
      </c>
      <c r="I629" s="153">
        <f ca="1">VLOOKUP($AB$2,'RF Mod'!$A$2:$G$12,3,FALSE)+VLOOKUP($AD$2,'RF Mod'!$I$2:$O$11,3,FALSE)+(TRUNC(6+(24-6)*(TRUNC(MOD(($Z629*1103515245 +12345)/ 65536, 32768),0)/32768),0))</f>
        <v>9</v>
      </c>
      <c r="J629" s="16">
        <f t="shared" ca="1" si="34"/>
        <v>-1</v>
      </c>
      <c r="K629" s="153">
        <f ca="1">VLOOKUP($AB$2,'RF Mod'!$A$2:$G$12,3,FALSE)+VLOOKUP($AD$2,'RF Mod'!$I$2:$O$11,3,FALSE)+(TRUNC(6+(24-6)*(TRUNC(MOD(($Z629*1103515245 +12345)/ 65536, 32768),0)/32768),0))</f>
        <v>9</v>
      </c>
      <c r="L629" s="16">
        <f t="shared" ca="1" si="35"/>
        <v>-1</v>
      </c>
      <c r="M629" s="153">
        <f ca="1">VLOOKUP($AB$2,'RF Mod'!$A$2:$G$12,4,FALSE)+VLOOKUP($AD$2,'RF Mod'!$I$2:$O$11,4,FALSE)+(TRUNC(6+(24-6)*(TRUNC(MOD(($Z629*1103515245 +12345)/ 65536, 32768),0)/32768),0))</f>
        <v>8</v>
      </c>
      <c r="N629" s="16">
        <f t="shared" ca="1" si="36"/>
        <v>-1</v>
      </c>
      <c r="O629" s="153">
        <f ca="1">VLOOKUP($AB$2,'RF Mod'!$A$2:$G$12,5,FALSE)+VLOOKUP($AD$2,'RF Mod'!$I$2:$O$11,5,FALSE)+(TRUNC(6+(24-6)*(TRUNC(MOD(($Z629*1103515245 +12345)/ 65536, 32768),0)/32768),0))</f>
        <v>11</v>
      </c>
      <c r="P629" s="16" t="e">
        <f t="shared" ca="1" si="37"/>
        <v>#NAME?</v>
      </c>
      <c r="Q629" s="153">
        <f ca="1">VLOOKUP($AB$2,'RF Mod'!$A$2:$G$12,6,FALSE)+VLOOKUP($AD$2,'RF Mod'!$I$2:$O$11,6,FALSE)+(TRUNC(6+(24-6)*(TRUNC(MOD(($Z629*1103515245 +12345)/ 65536, 32768),0)/32768),0))</f>
        <v>9</v>
      </c>
      <c r="R629" s="16">
        <f t="shared" ca="1" si="38"/>
        <v>-1</v>
      </c>
      <c r="S629" s="154">
        <f t="shared" ca="1" si="43"/>
        <v>11</v>
      </c>
      <c r="T629" s="154">
        <f t="shared" ca="1" si="39"/>
        <v>7</v>
      </c>
      <c r="U629" s="16" t="str">
        <f t="shared" ca="1" si="40"/>
        <v>Bloody</v>
      </c>
      <c r="V629" s="155">
        <f ca="1">IFERROR(__xludf.DUMMYFUNCTION("if(W629=""Middle Age"",QUERY(NPCVar!$K$2:$N1000, ""Select L where K = '""&amp;AB629&amp;""'""),if(W629=""Old"",QUERY(NPCVar!$K$2:$N1000, ""Select M where K = '""&amp;AB629&amp;""'""),if(W629=""Venerable"",QUERY(NPCVar!$K$2:$N1000, ""Select N where K = '""&amp;AB629&amp;""'""),fa"&amp;"lse)))*X629"),93.75)</f>
        <v>93.75</v>
      </c>
      <c r="W629" s="156" t="str">
        <f t="array" ref="W629">INDEX(NPCAgeType,TRUNC(1+(4-1)*(TRUNC(MOD((X629*1103515245 +12345)/ 65536, 32768),0)/32768),0))</f>
        <v>Middle Age</v>
      </c>
      <c r="X629" s="117">
        <f t="shared" si="45"/>
        <v>0.5</v>
      </c>
      <c r="Y629" s="157" t="e">
        <f t="array" aca="1" ref="Y629" ca="1">LOOKUP(ABS(MAX(Z629 + MIN(ABS(INDIRECT("Class Jobs!B"&amp;MATCH(E629,'Class Jobs'!$A$1:$A1000,0)&amp;":"&amp;"AF"&amp;MATCH(E629,'Class Jobs'!$A$1:$A1000,0)&amp;"")-$Z629)) * SUM(IF(MIN(ABS(INDIRECT("Class Jobs!B"&amp;MATCH(E629,'Class Jobs'!$A$1:$A1000,0)&amp;":"&amp;"AF"&amp;MATCH(E629,'Class Jobs'!$A$1:$A1000,0)&amp;"")-$Z629))=ABS(INDIRECT("Class Jobs!B"&amp;MATCH(E629,'Class Jobs'!$A$1:$A1000,0)&amp;":"&amp;"AF"&amp;MATCH(E629,'Class Jobs'!$A$1:$A1000,0)&amp;"")-$Z629),SIGN(INDIRECT("Class Jobs!B"&amp;MATCH(E629,'Class Jobs'!$A$1:A1000,0)&amp;":"&amp;"AF"&amp;MATCH(E629,'Class Jobs'!$A$1:$A1000,0)&amp;"")-$Z629),0)),0)),INDIRECT("Class Jobs!B"&amp;MATCH(E629,'Class Jobs'!$A$1:$A1000,0)&amp;":"&amp;"AF"&amp;MATCH(E629,'Class Jobs'!$A$1:$A1000,1)&amp;""),'Class Jobs'!$B$1:$AF$1)</f>
        <v>#REF!</v>
      </c>
      <c r="Z629" s="158">
        <f t="shared" si="41"/>
        <v>0.19</v>
      </c>
      <c r="AA629" s="16" t="str">
        <f t="array" ref="AA629">INDEX(NPCGender,TRUNC(1+(COUNTA(NPCGender))*(TRUNC(MOD(($B629*1103515245 +12345)/ 65536, 32768),0)/32768),0))</f>
        <v>Male</v>
      </c>
      <c r="AB629" s="16" t="str">
        <f t="array" ref="AB629">INDEX(NPCRace,TRUNC(1+(COUNTA(NPCRace))*(TRUNC(MOD(($B629*1103515245 +12345)/ 65536, 32768),0)/32768),0))</f>
        <v>Elf</v>
      </c>
      <c r="AC629" s="16" t="str">
        <f t="array" ref="AC629">INDEX(NPCAL,TRUNC(1+(COUNTA(NPCAL))*(TRUNC(MOD(($B629*1103515245 +12345)/ 65536, 32768),0)/32768),0))</f>
        <v>CE</v>
      </c>
      <c r="AD629" s="72" t="str">
        <f ca="1">IFERROR(__xludf.DUMMYFUNCTION("if(V629&lt;15,QUERY(NPCVar!C:D,""Select D WHERE C = '""&amp;D629&amp;""'""),if((TRUNC(1+10)*(TRUNC(MOD((ROW(H629)*1103515245 +12345)/ 65536, 32768),0)/32768)/10) &gt; 0.85,INDEX(NPCFaction,TRUNC(1+(counta(NPCFaction)-1)*(TRUNC(MOD(($B629*1103515245 +12345)/ 65536, 3276"&amp;"8),0)/32768),0)),QUERY(NPCVar!C:D,""Select D WHERE C = '""&amp;D629&amp;""'"")))"),"Magic Guild")</f>
        <v>Magic Guild</v>
      </c>
      <c r="AE629" s="108" t="e">
        <f t="shared" ca="1" si="42"/>
        <v>#NAME?</v>
      </c>
      <c r="AF629" s="159">
        <f ca="1">IFERROR(__xludf.DUMMYFUNCTION("AE629*(V629 / QUERY(NPCVar!$K$2:$N$12, ""Select N WHERE K='""&amp;AB629&amp;""'""))*TRUNC(1+10)*(TRUNC(MOD(($B629*1103515245 +12345)/ 65536, 32768),0)/32768)"),0.102470397949218)</f>
        <v>0.102470397949218</v>
      </c>
      <c r="AG629" s="16"/>
      <c r="AH629" s="77"/>
      <c r="AI629" s="114"/>
    </row>
    <row r="630" spans="1:35" ht="16.2">
      <c r="A630" s="53">
        <v>629</v>
      </c>
      <c r="B630" s="118">
        <f t="shared" si="46"/>
        <v>1.3028</v>
      </c>
      <c r="C630" s="72" t="str">
        <f t="array" ref="C630">INDEX(NPCFName,TRUNC(1+(COUNTA(NPCFName))*(TRUNC(MOD(($B630*1103515245 +12345)/ 65536, 32768),0)/32768),0))</f>
        <v>Ackmard</v>
      </c>
      <c r="D630" s="16" t="str">
        <f t="array" ref="D630">INDEX(NPCLName,TRUNC(1+(COUNTA(NPCLName))*(TRUNC(MOD(($B630*1103515245 +12345)/ 65536, 32768),0)/32768),0))</f>
        <v>Emberhell</v>
      </c>
      <c r="E630" s="16" t="str">
        <f t="array" ref="E630">INDEX(NPCClass,TRUNC(1+(COUNTA(NPCClass))*(TRUNC(MOD(($B630*1103515245 +12345)/ 65536, 32768),0)/32768),0))</f>
        <v>None</v>
      </c>
      <c r="F630" s="76">
        <v>8</v>
      </c>
      <c r="G630" s="153">
        <f ca="1">VLOOKUP($AB$2,'RF Mod'!$A$2:$G$12,2,FALSE)+VLOOKUP($AD$2,'RF Mod'!$I$2:$O$11,2,FALSE)+(TRUNC(6+(24-6)*(TRUNC(MOD(($Z630*1103515245 +12345)/ 65536, 32768),0)/32768),0))</f>
        <v>10</v>
      </c>
      <c r="H630" s="16" t="e">
        <f t="shared" ca="1" si="33"/>
        <v>#NAME?</v>
      </c>
      <c r="I630" s="153">
        <f ca="1">VLOOKUP($AB$2,'RF Mod'!$A$2:$G$12,3,FALSE)+VLOOKUP($AD$2,'RF Mod'!$I$2:$O$11,3,FALSE)+(TRUNC(6+(24-6)*(TRUNC(MOD(($Z630*1103515245 +12345)/ 65536, 32768),0)/32768),0))</f>
        <v>14</v>
      </c>
      <c r="J630" s="16" t="e">
        <f t="shared" ca="1" si="34"/>
        <v>#NAME?</v>
      </c>
      <c r="K630" s="153">
        <f ca="1">VLOOKUP($AB$2,'RF Mod'!$A$2:$G$12,3,FALSE)+VLOOKUP($AD$2,'RF Mod'!$I$2:$O$11,3,FALSE)+(TRUNC(6+(24-6)*(TRUNC(MOD(($Z630*1103515245 +12345)/ 65536, 32768),0)/32768),0))</f>
        <v>14</v>
      </c>
      <c r="L630" s="16" t="e">
        <f t="shared" ca="1" si="35"/>
        <v>#NAME?</v>
      </c>
      <c r="M630" s="153">
        <f ca="1">VLOOKUP($AB$2,'RF Mod'!$A$2:$G$12,4,FALSE)+VLOOKUP($AD$2,'RF Mod'!$I$2:$O$11,4,FALSE)+(TRUNC(6+(24-6)*(TRUNC(MOD(($Z630*1103515245 +12345)/ 65536, 32768),0)/32768),0))</f>
        <v>13</v>
      </c>
      <c r="N630" s="16" t="e">
        <f t="shared" ca="1" si="36"/>
        <v>#NAME?</v>
      </c>
      <c r="O630" s="153">
        <f ca="1">VLOOKUP($AB$2,'RF Mod'!$A$2:$G$12,5,FALSE)+VLOOKUP($AD$2,'RF Mod'!$I$2:$O$11,5,FALSE)+(TRUNC(6+(24-6)*(TRUNC(MOD(($Z630*1103515245 +12345)/ 65536, 32768),0)/32768),0))</f>
        <v>16</v>
      </c>
      <c r="P630" s="16" t="e">
        <f t="shared" ca="1" si="37"/>
        <v>#NAME?</v>
      </c>
      <c r="Q630" s="153">
        <f ca="1">VLOOKUP($AB$2,'RF Mod'!$A$2:$G$12,6,FALSE)+VLOOKUP($AD$2,'RF Mod'!$I$2:$O$11,6,FALSE)+(TRUNC(6+(24-6)*(TRUNC(MOD(($Z630*1103515245 +12345)/ 65536, 32768),0)/32768),0))</f>
        <v>14</v>
      </c>
      <c r="R630" s="16" t="e">
        <f t="shared" ca="1" si="38"/>
        <v>#NAME?</v>
      </c>
      <c r="S630" s="154">
        <f t="shared" ca="1" si="43"/>
        <v>256</v>
      </c>
      <c r="T630" s="154">
        <f t="shared" ca="1" si="39"/>
        <v>223</v>
      </c>
      <c r="U630" s="16" t="str">
        <f t="shared" ca="1" si="40"/>
        <v>Bloody</v>
      </c>
      <c r="V630" s="155">
        <f ca="1">IFERROR(__xludf.DUMMYFUNCTION("if(W630=""Middle Age"",QUERY(NPCVar!$K$2:$N1000, ""Select L where K = '""&amp;AB630&amp;""'""),if(W630=""Old"",QUERY(NPCVar!$K$2:$N1000, ""Select M where K = '""&amp;AB630&amp;""'""),if(W630=""Venerable"",QUERY(NPCVar!$K$2:$N1000, ""Select N where K = '""&amp;AB630&amp;""'""),fa"&amp;"lse)))*X630"),153)</f>
        <v>153</v>
      </c>
      <c r="W630" s="156" t="str">
        <f t="array" ref="W630">INDEX(NPCAgeType,TRUNC(1+(4-1)*(TRUNC(MOD((X630*1103515245 +12345)/ 65536, 32768),0)/32768),0))</f>
        <v>Venerable</v>
      </c>
      <c r="X630" s="117">
        <f t="shared" si="45"/>
        <v>1.7</v>
      </c>
      <c r="Y630" s="157" t="e">
        <f t="array" aca="1" ref="Y630" ca="1">LOOKUP(ABS(MAX(Z630 + MIN(ABS(INDIRECT("Class Jobs!B"&amp;MATCH(E630,'Class Jobs'!$A$1:$A1000,0)&amp;":"&amp;"AF"&amp;MATCH(E630,'Class Jobs'!$A$1:$A1000,0)&amp;"")-$Z630)) * SUM(IF(MIN(ABS(INDIRECT("Class Jobs!B"&amp;MATCH(E630,'Class Jobs'!$A$1:$A1000,0)&amp;":"&amp;"AF"&amp;MATCH(E630,'Class Jobs'!$A$1:$A1000,0)&amp;"")-$Z630))=ABS(INDIRECT("Class Jobs!B"&amp;MATCH(E630,'Class Jobs'!$A$1:$A1000,0)&amp;":"&amp;"AF"&amp;MATCH(E630,'Class Jobs'!$A$1:$A1000,0)&amp;"")-$Z630),SIGN(INDIRECT("Class Jobs!B"&amp;MATCH(E630,'Class Jobs'!$A$1:A1000,0)&amp;":"&amp;"AF"&amp;MATCH(E630,'Class Jobs'!$A$1:$A1000,0)&amp;"")-$Z630),0)),0)),INDIRECT("Class Jobs!B"&amp;MATCH(E630,'Class Jobs'!$A$1:$A1000,0)&amp;":"&amp;"AF"&amp;MATCH(E630,'Class Jobs'!$A$1:$A1000,1)&amp;""),'Class Jobs'!$B$1:$AF$1)</f>
        <v>#REF!</v>
      </c>
      <c r="Z630" s="158">
        <f t="shared" si="41"/>
        <v>0.67</v>
      </c>
      <c r="AA630" s="16" t="str">
        <f t="array" ref="AA630">INDEX(NPCGender,TRUNC(1+(COUNTA(NPCGender))*(TRUNC(MOD(($B630*1103515245 +12345)/ 65536, 32768),0)/32768),0))</f>
        <v>Neutral</v>
      </c>
      <c r="AB630" s="16" t="str">
        <f t="array" ref="AB630">INDEX(NPCRace,TRUNC(1+(COUNTA(NPCRace))*(TRUNC(MOD(($B630*1103515245 +12345)/ 65536, 32768),0)/32768),0))</f>
        <v>Human</v>
      </c>
      <c r="AC630" s="16" t="str">
        <f t="array" ref="AC630">INDEX(NPCAL,TRUNC(1+(COUNTA(NPCAL))*(TRUNC(MOD(($B630*1103515245 +12345)/ 65536, 32768),0)/32768),0))</f>
        <v>LG</v>
      </c>
      <c r="AD630" s="72" t="str">
        <f ca="1">IFERROR(__xludf.DUMMYFUNCTION("if(V630&lt;15,QUERY(NPCVar!C:D,""Select D WHERE C = '""&amp;D630&amp;""'""),if((TRUNC(1+10)*(TRUNC(MOD((ROW(H630)*1103515245 +12345)/ 65536, 32768),0)/32768)/10) &gt; 0.85,INDEX(NPCFaction,TRUNC(1+(counta(NPCFaction)-1)*(TRUNC(MOD(($B630*1103515245 +12345)/ 65536, 3276"&amp;"8),0)/32768),0)),QUERY(NPCVar!C:D,""Select D WHERE C = '""&amp;D630&amp;""'"")))"),"Adventures Guild")</f>
        <v>Adventures Guild</v>
      </c>
      <c r="AE630" s="108" t="e">
        <f t="shared" ca="1" si="42"/>
        <v>#NAME?</v>
      </c>
      <c r="AF630" s="159">
        <f ca="1">IFERROR(__xludf.DUMMYFUNCTION("AE630*(V630 / QUERY(NPCVar!$K$2:$N$12, ""Select N WHERE K='""&amp;AB630&amp;""'""))*TRUNC(1+10)*(TRUNC(MOD(($B630*1103515245 +12345)/ 65536, 32768),0)/32768)"),3.75569366455078)</f>
        <v>3.7556936645507801</v>
      </c>
      <c r="AG630" s="16"/>
      <c r="AH630" s="77"/>
      <c r="AI630" s="114"/>
    </row>
    <row r="631" spans="1:35" ht="16.2">
      <c r="A631" s="53">
        <v>630</v>
      </c>
      <c r="B631" s="118">
        <f t="shared" si="46"/>
        <v>0.29693999999999998</v>
      </c>
      <c r="C631" s="72" t="str">
        <f t="array" ref="C631">INDEX(NPCFName,TRUNC(1+(COUNTA(NPCFName))*(TRUNC(MOD(($B631*1103515245 +12345)/ 65536, 32768),0)/32768),0))</f>
        <v>Jex</v>
      </c>
      <c r="D631" s="16" t="str">
        <f t="array" ref="D631">INDEX(NPCLName,TRUNC(1+(COUNTA(NPCLName))*(TRUNC(MOD(($B631*1103515245 +12345)/ 65536, 32768),0)/32768),0))</f>
        <v>Fistwing</v>
      </c>
      <c r="E631" s="16" t="str">
        <f t="array" ref="E631">INDEX(NPCClass,TRUNC(1+(COUNTA(NPCClass))*(TRUNC(MOD(($B631*1103515245 +12345)/ 65536, 32768),0)/32768),0))</f>
        <v>Bard</v>
      </c>
      <c r="F631" s="76">
        <v>1</v>
      </c>
      <c r="G631" s="153">
        <f ca="1">VLOOKUP($AB$2,'RF Mod'!$A$2:$G$12,2,FALSE)+VLOOKUP($AD$2,'RF Mod'!$I$2:$O$11,2,FALSE)+(TRUNC(6+(24-6)*(TRUNC(MOD(($Z631*1103515245 +12345)/ 65536, 32768),0)/32768),0))</f>
        <v>5</v>
      </c>
      <c r="H631" s="16">
        <f t="shared" ca="1" si="33"/>
        <v>-3</v>
      </c>
      <c r="I631" s="153">
        <f ca="1">VLOOKUP($AB$2,'RF Mod'!$A$2:$G$12,3,FALSE)+VLOOKUP($AD$2,'RF Mod'!$I$2:$O$11,3,FALSE)+(TRUNC(6+(24-6)*(TRUNC(MOD(($Z631*1103515245 +12345)/ 65536, 32768),0)/32768),0))</f>
        <v>9</v>
      </c>
      <c r="J631" s="16">
        <f t="shared" ca="1" si="34"/>
        <v>-1</v>
      </c>
      <c r="K631" s="153">
        <f ca="1">VLOOKUP($AB$2,'RF Mod'!$A$2:$G$12,3,FALSE)+VLOOKUP($AD$2,'RF Mod'!$I$2:$O$11,3,FALSE)+(TRUNC(6+(24-6)*(TRUNC(MOD(($Z631*1103515245 +12345)/ 65536, 32768),0)/32768),0))</f>
        <v>9</v>
      </c>
      <c r="L631" s="16">
        <f t="shared" ca="1" si="35"/>
        <v>-1</v>
      </c>
      <c r="M631" s="153">
        <f ca="1">VLOOKUP($AB$2,'RF Mod'!$A$2:$G$12,4,FALSE)+VLOOKUP($AD$2,'RF Mod'!$I$2:$O$11,4,FALSE)+(TRUNC(6+(24-6)*(TRUNC(MOD(($Z631*1103515245 +12345)/ 65536, 32768),0)/32768),0))</f>
        <v>8</v>
      </c>
      <c r="N631" s="16">
        <f t="shared" ca="1" si="36"/>
        <v>-1</v>
      </c>
      <c r="O631" s="153">
        <f ca="1">VLOOKUP($AB$2,'RF Mod'!$A$2:$G$12,5,FALSE)+VLOOKUP($AD$2,'RF Mod'!$I$2:$O$11,5,FALSE)+(TRUNC(6+(24-6)*(TRUNC(MOD(($Z631*1103515245 +12345)/ 65536, 32768),0)/32768),0))</f>
        <v>11</v>
      </c>
      <c r="P631" s="16" t="e">
        <f t="shared" ca="1" si="37"/>
        <v>#NAME?</v>
      </c>
      <c r="Q631" s="153">
        <f ca="1">VLOOKUP($AB$2,'RF Mod'!$A$2:$G$12,6,FALSE)+VLOOKUP($AD$2,'RF Mod'!$I$2:$O$11,6,FALSE)+(TRUNC(6+(24-6)*(TRUNC(MOD(($Z631*1103515245 +12345)/ 65536, 32768),0)/32768),0))</f>
        <v>9</v>
      </c>
      <c r="R631" s="16">
        <f t="shared" ca="1" si="38"/>
        <v>-1</v>
      </c>
      <c r="S631" s="154">
        <f t="shared" ca="1" si="43"/>
        <v>11</v>
      </c>
      <c r="T631" s="154">
        <f t="shared" ca="1" si="39"/>
        <v>2</v>
      </c>
      <c r="U631" s="16" t="str">
        <f t="shared" ca="1" si="40"/>
        <v>Fine</v>
      </c>
      <c r="V631" s="155">
        <f ca="1">IFERROR(__xludf.DUMMYFUNCTION("if(W631=""Middle Age"",QUERY(NPCVar!$K$2:$N1000, ""Select L where K = '""&amp;AB631&amp;""'""),if(W631=""Old"",QUERY(NPCVar!$K$2:$N1000, ""Select M where K = '""&amp;AB631&amp;""'""),if(W631=""Venerable"",QUERY(NPCVar!$K$2:$N1000, ""Select N where K = '""&amp;AB631&amp;""'""),fa"&amp;"lse)))*X631"),32)</f>
        <v>32</v>
      </c>
      <c r="W631" s="156" t="str">
        <f t="array" ref="W631">INDEX(NPCAgeType,TRUNC(1+(4-1)*(TRUNC(MOD((X631*1103515245 +12345)/ 65536, 32768),0)/32768),0))</f>
        <v>Middle Age</v>
      </c>
      <c r="X631" s="117">
        <f t="shared" si="45"/>
        <v>0.4</v>
      </c>
      <c r="Y631" s="157" t="e">
        <f t="array" aca="1" ref="Y631" ca="1">LOOKUP(ABS(MAX(Z631 + MIN(ABS(INDIRECT("Class Jobs!B"&amp;MATCH(E631,'Class Jobs'!$A$1:$A1000,0)&amp;":"&amp;"AF"&amp;MATCH(E631,'Class Jobs'!$A$1:$A1000,0)&amp;"")-$Z631)) * SUM(IF(MIN(ABS(INDIRECT("Class Jobs!B"&amp;MATCH(E631,'Class Jobs'!$A$1:$A1000,0)&amp;":"&amp;"AF"&amp;MATCH(E631,'Class Jobs'!$A$1:$A1000,0)&amp;"")-$Z631))=ABS(INDIRECT("Class Jobs!B"&amp;MATCH(E631,'Class Jobs'!$A$1:$A1000,0)&amp;":"&amp;"AF"&amp;MATCH(E631,'Class Jobs'!$A$1:$A1000,0)&amp;"")-$Z631),SIGN(INDIRECT("Class Jobs!B"&amp;MATCH(E631,'Class Jobs'!$A$1:A1000,0)&amp;":"&amp;"AF"&amp;MATCH(E631,'Class Jobs'!$A$1:$A1000,0)&amp;"")-$Z631),0)),0)),INDIRECT("Class Jobs!B"&amp;MATCH(E631,'Class Jobs'!$A$1:$A1000,0)&amp;":"&amp;"AF"&amp;MATCH(E631,'Class Jobs'!$A$1:$A1000,1)&amp;""),'Class Jobs'!$B$1:$AF$1)</f>
        <v>#REF!</v>
      </c>
      <c r="Z631" s="158">
        <f t="shared" si="41"/>
        <v>0.16</v>
      </c>
      <c r="AA631" s="16" t="str">
        <f t="array" ref="AA631">INDEX(NPCGender,TRUNC(1+(COUNTA(NPCGender))*(TRUNC(MOD(($B631*1103515245 +12345)/ 65536, 32768),0)/32768),0))</f>
        <v>Male</v>
      </c>
      <c r="AB631" s="16" t="str">
        <f t="array" ref="AB631">INDEX(NPCRace,TRUNC(1+(COUNTA(NPCRace))*(TRUNC(MOD(($B631*1103515245 +12345)/ 65536, 32768),0)/32768),0))</f>
        <v>Dwarf</v>
      </c>
      <c r="AC631" s="16" t="str">
        <f t="array" ref="AC631">INDEX(NPCAL,TRUNC(1+(COUNTA(NPCAL))*(TRUNC(MOD(($B631*1103515245 +12345)/ 65536, 32768),0)/32768),0))</f>
        <v>CE</v>
      </c>
      <c r="AD631" s="72" t="str">
        <f ca="1">IFERROR(__xludf.DUMMYFUNCTION("if(V631&lt;15,QUERY(NPCVar!C:D,""Select D WHERE C = '""&amp;D631&amp;""'""),if((TRUNC(1+10)*(TRUNC(MOD((ROW(H631)*1103515245 +12345)/ 65536, 32768),0)/32768)/10) &gt; 0.85,INDEX(NPCFaction,TRUNC(1+(counta(NPCFaction)-1)*(TRUNC(MOD(($B631*1103515245 +12345)/ 65536, 3276"&amp;"8),0)/32768),0)),QUERY(NPCVar!C:D,""Select D WHERE C = '""&amp;D631&amp;""'"")))"),"Royalty")</f>
        <v>Royalty</v>
      </c>
      <c r="AE631" s="108" t="e">
        <f t="shared" ca="1" si="42"/>
        <v>#NAME?</v>
      </c>
      <c r="AF631" s="159">
        <f ca="1">IFERROR(__xludf.DUMMYFUNCTION("AE631*(V631 / QUERY(NPCVar!$K$2:$N$12, ""Select N WHERE K='""&amp;AB631&amp;""'""))*TRUNC(1+10)*(TRUNC(MOD(($B631*1103515245 +12345)/ 65536, 32768),0)/32768)"),0.067138671875)</f>
        <v>6.7138671875E-2</v>
      </c>
      <c r="AG631" s="16"/>
      <c r="AH631" s="77"/>
      <c r="AI631" s="114"/>
    </row>
    <row r="632" spans="1:35" ht="16.2">
      <c r="A632" s="53">
        <v>631</v>
      </c>
      <c r="B632" s="118">
        <f t="shared" si="46"/>
        <v>1.7910699999999999</v>
      </c>
      <c r="C632" s="72" t="str">
        <f t="array" ref="C632">INDEX(NPCFName,TRUNC(1+(COUNTA(NPCFName))*(TRUNC(MOD(($B632*1103515245 +12345)/ 65536, 32768),0)/32768),0))</f>
        <v>Rythern</v>
      </c>
      <c r="D632" s="16" t="str">
        <f t="array" ref="D632">INDEX(NPCLName,TRUNC(1+(COUNTA(NPCLName))*(TRUNC(MOD(($B632*1103515245 +12345)/ 65536, 32768),0)/32768),0))</f>
        <v>Stormwolf</v>
      </c>
      <c r="E632" s="16" t="str">
        <f t="array" ref="E632">INDEX(NPCClass,TRUNC(1+(COUNTA(NPCClass))*(TRUNC(MOD(($B632*1103515245 +12345)/ 65536, 32768),0)/32768),0))</f>
        <v>Wizard</v>
      </c>
      <c r="F632" s="76">
        <v>8</v>
      </c>
      <c r="G632" s="153">
        <f ca="1">VLOOKUP($AB$2,'RF Mod'!$A$2:$G$12,2,FALSE)+VLOOKUP($AD$2,'RF Mod'!$I$2:$O$11,2,FALSE)+(TRUNC(6+(24-6)*(TRUNC(MOD(($Z632*1103515245 +12345)/ 65536, 32768),0)/32768),0))</f>
        <v>12</v>
      </c>
      <c r="H632" s="16" t="e">
        <f t="shared" ca="1" si="33"/>
        <v>#NAME?</v>
      </c>
      <c r="I632" s="153">
        <f ca="1">VLOOKUP($AB$2,'RF Mod'!$A$2:$G$12,3,FALSE)+VLOOKUP($AD$2,'RF Mod'!$I$2:$O$11,3,FALSE)+(TRUNC(6+(24-6)*(TRUNC(MOD(($Z632*1103515245 +12345)/ 65536, 32768),0)/32768),0))</f>
        <v>16</v>
      </c>
      <c r="J632" s="16" t="e">
        <f t="shared" ca="1" si="34"/>
        <v>#NAME?</v>
      </c>
      <c r="K632" s="153">
        <f ca="1">VLOOKUP($AB$2,'RF Mod'!$A$2:$G$12,3,FALSE)+VLOOKUP($AD$2,'RF Mod'!$I$2:$O$11,3,FALSE)+(TRUNC(6+(24-6)*(TRUNC(MOD(($Z632*1103515245 +12345)/ 65536, 32768),0)/32768),0))</f>
        <v>16</v>
      </c>
      <c r="L632" s="16" t="e">
        <f t="shared" ca="1" si="35"/>
        <v>#NAME?</v>
      </c>
      <c r="M632" s="153">
        <f ca="1">VLOOKUP($AB$2,'RF Mod'!$A$2:$G$12,4,FALSE)+VLOOKUP($AD$2,'RF Mod'!$I$2:$O$11,4,FALSE)+(TRUNC(6+(24-6)*(TRUNC(MOD(($Z632*1103515245 +12345)/ 65536, 32768),0)/32768),0))</f>
        <v>15</v>
      </c>
      <c r="N632" s="16" t="e">
        <f t="shared" ca="1" si="36"/>
        <v>#NAME?</v>
      </c>
      <c r="O632" s="153">
        <f ca="1">VLOOKUP($AB$2,'RF Mod'!$A$2:$G$12,5,FALSE)+VLOOKUP($AD$2,'RF Mod'!$I$2:$O$11,5,FALSE)+(TRUNC(6+(24-6)*(TRUNC(MOD(($Z632*1103515245 +12345)/ 65536, 32768),0)/32768),0))</f>
        <v>18</v>
      </c>
      <c r="P632" s="16" t="e">
        <f t="shared" ca="1" si="37"/>
        <v>#NAME?</v>
      </c>
      <c r="Q632" s="153">
        <f ca="1">VLOOKUP($AB$2,'RF Mod'!$A$2:$G$12,6,FALSE)+VLOOKUP($AD$2,'RF Mod'!$I$2:$O$11,6,FALSE)+(TRUNC(6+(24-6)*(TRUNC(MOD(($Z632*1103515245 +12345)/ 65536, 32768),0)/32768),0))</f>
        <v>16</v>
      </c>
      <c r="R632" s="16" t="e">
        <f t="shared" ca="1" si="38"/>
        <v>#NAME?</v>
      </c>
      <c r="S632" s="154">
        <f t="shared" ca="1" si="43"/>
        <v>160</v>
      </c>
      <c r="T632" s="154">
        <f t="shared" ca="1" si="39"/>
        <v>160</v>
      </c>
      <c r="U632" s="16" t="str">
        <f t="shared" ca="1" si="40"/>
        <v>Unconscious</v>
      </c>
      <c r="V632" s="155">
        <f ca="1">IFERROR(__xludf.DUMMYFUNCTION("if(W632=""Middle Age"",QUERY(NPCVar!$K$2:$N1000, ""Select L where K = '""&amp;AB632&amp;""'""),if(W632=""Old"",QUERY(NPCVar!$K$2:$N1000, ""Select M where K = '""&amp;AB632&amp;""'""),if(W632=""Venerable"",QUERY(NPCVar!$K$2:$N1000, ""Select N where K = '""&amp;AB632&amp;""'""),fa"&amp;"lse)))*X632"),69)</f>
        <v>69</v>
      </c>
      <c r="W632" s="156" t="str">
        <f t="array" ref="W632">INDEX(NPCAgeType,TRUNC(1+(4-1)*(TRUNC(MOD((X632*1103515245 +12345)/ 65536, 32768),0)/32768),0))</f>
        <v>Middle Age</v>
      </c>
      <c r="X632" s="117">
        <f t="shared" si="45"/>
        <v>2.2999999999999998</v>
      </c>
      <c r="Y632" s="157" t="e">
        <f t="array" aca="1" ref="Y632" ca="1">LOOKUP(ABS(MAX(Z632 + MIN(ABS(INDIRECT("Class Jobs!B"&amp;MATCH(E632,'Class Jobs'!$A$1:$A1000,0)&amp;":"&amp;"AF"&amp;MATCH(E632,'Class Jobs'!$A$1:$A1000,0)&amp;"")-$Z632)) * SUM(IF(MIN(ABS(INDIRECT("Class Jobs!B"&amp;MATCH(E632,'Class Jobs'!$A$1:$A1000,0)&amp;":"&amp;"AF"&amp;MATCH(E632,'Class Jobs'!$A$1:$A1000,0)&amp;"")-$Z632))=ABS(INDIRECT("Class Jobs!B"&amp;MATCH(E632,'Class Jobs'!$A$1:$A1000,0)&amp;":"&amp;"AF"&amp;MATCH(E632,'Class Jobs'!$A$1:$A1000,0)&amp;"")-$Z632),SIGN(INDIRECT("Class Jobs!B"&amp;MATCH(E632,'Class Jobs'!$A$1:A1000,0)&amp;":"&amp;"AF"&amp;MATCH(E632,'Class Jobs'!$A$1:$A1000,0)&amp;"")-$Z632),0)),0)),INDIRECT("Class Jobs!B"&amp;MATCH(E632,'Class Jobs'!$A$1:$A1000,0)&amp;":"&amp;"AF"&amp;MATCH(E632,'Class Jobs'!$A$1:$A1000,1)&amp;""),'Class Jobs'!$B$1:$AF$1)</f>
        <v>#REF!</v>
      </c>
      <c r="Z632" s="158">
        <f t="shared" si="41"/>
        <v>0.92</v>
      </c>
      <c r="AA632" s="16" t="str">
        <f t="array" ref="AA632">INDEX(NPCGender,TRUNC(1+(COUNTA(NPCGender))*(TRUNC(MOD(($B632*1103515245 +12345)/ 65536, 32768),0)/32768),0))</f>
        <v>Neutral</v>
      </c>
      <c r="AB632" s="16" t="str">
        <f t="array" ref="AB632">INDEX(NPCRace,TRUNC(1+(COUNTA(NPCRace))*(TRUNC(MOD(($B632*1103515245 +12345)/ 65536, 32768),0)/32768),0))</f>
        <v>Goliath</v>
      </c>
      <c r="AC632" s="16" t="str">
        <f t="array" ref="AC632">INDEX(NPCAL,TRUNC(1+(COUNTA(NPCAL))*(TRUNC(MOD(($B632*1103515245 +12345)/ 65536, 32768),0)/32768),0))</f>
        <v>LE</v>
      </c>
      <c r="AD632" s="72" t="str">
        <f ca="1">IFERROR(__xludf.DUMMYFUNCTION("if(V632&lt;15,QUERY(NPCVar!C:D,""Select D WHERE C = '""&amp;D632&amp;""'""),if((TRUNC(1+10)*(TRUNC(MOD((ROW(H632)*1103515245 +12345)/ 65536, 32768),0)/32768)/10) &gt; 0.85,INDEX(NPCFaction,TRUNC(1+(counta(NPCFaction)-1)*(TRUNC(MOD(($B632*1103515245 +12345)/ 65536, 3276"&amp;"8),0)/32768),0)),QUERY(NPCVar!C:D,""Select D WHERE C = '""&amp;D632&amp;""'"")))"),"Followers of Isis")</f>
        <v>Followers of Isis</v>
      </c>
      <c r="AE632" s="108" t="e">
        <f t="shared" ca="1" si="42"/>
        <v>#NAME?</v>
      </c>
      <c r="AF632" s="159">
        <f ca="1">IFERROR(__xludf.DUMMYFUNCTION("AE632*(V632 / QUERY(NPCVar!$K$2:$N$12, ""Select N WHERE K='""&amp;AB632&amp;""'""))*TRUNC(1+10)*(TRUNC(MOD(($B632*1103515245 +12345)/ 65536, 32768),0)/32768)"),2.32848327636718)</f>
        <v>2.3284832763671801</v>
      </c>
      <c r="AG632" s="16"/>
      <c r="AH632" s="77"/>
      <c r="AI632" s="114"/>
    </row>
    <row r="633" spans="1:35" ht="16.2">
      <c r="A633" s="53">
        <v>632</v>
      </c>
      <c r="B633" s="118">
        <f t="shared" si="46"/>
        <v>0.78522000000000003</v>
      </c>
      <c r="C633" s="72" t="str">
        <f t="array" ref="C633">INDEX(NPCFName,TRUNC(1+(COUNTA(NPCFName))*(TRUNC(MOD(($B633*1103515245 +12345)/ 65536, 32768),0)/32768),0))</f>
        <v>Darpick</v>
      </c>
      <c r="D633" s="16" t="str">
        <f t="array" ref="D633">INDEX(NPCLName,TRUNC(1+(COUNTA(NPCLName))*(TRUNC(MOD(($B633*1103515245 +12345)/ 65536, 32768),0)/32768),0))</f>
        <v>Windshade</v>
      </c>
      <c r="E633" s="16" t="str">
        <f t="array" ref="E633">INDEX(NPCClass,TRUNC(1+(COUNTA(NPCClass))*(TRUNC(MOD(($B633*1103515245 +12345)/ 65536, 32768),0)/32768),0))</f>
        <v>Paladin</v>
      </c>
      <c r="F633" s="76">
        <v>1</v>
      </c>
      <c r="G633" s="153">
        <f ca="1">VLOOKUP($AB$2,'RF Mod'!$A$2:$G$12,2,FALSE)+VLOOKUP($AD$2,'RF Mod'!$I$2:$O$11,2,FALSE)+(TRUNC(6+(24-6)*(TRUNC(MOD(($Z633*1103515245 +12345)/ 65536, 32768),0)/32768),0))</f>
        <v>7</v>
      </c>
      <c r="H633" s="16">
        <f t="shared" ca="1" si="33"/>
        <v>-2</v>
      </c>
      <c r="I633" s="153">
        <f ca="1">VLOOKUP($AB$2,'RF Mod'!$A$2:$G$12,3,FALSE)+VLOOKUP($AD$2,'RF Mod'!$I$2:$O$11,3,FALSE)+(TRUNC(6+(24-6)*(TRUNC(MOD(($Z633*1103515245 +12345)/ 65536, 32768),0)/32768),0))</f>
        <v>11</v>
      </c>
      <c r="J633" s="16" t="e">
        <f t="shared" ca="1" si="34"/>
        <v>#NAME?</v>
      </c>
      <c r="K633" s="153">
        <f ca="1">VLOOKUP($AB$2,'RF Mod'!$A$2:$G$12,3,FALSE)+VLOOKUP($AD$2,'RF Mod'!$I$2:$O$11,3,FALSE)+(TRUNC(6+(24-6)*(TRUNC(MOD(($Z633*1103515245 +12345)/ 65536, 32768),0)/32768),0))</f>
        <v>11</v>
      </c>
      <c r="L633" s="16" t="e">
        <f t="shared" ca="1" si="35"/>
        <v>#NAME?</v>
      </c>
      <c r="M633" s="153">
        <f ca="1">VLOOKUP($AB$2,'RF Mod'!$A$2:$G$12,4,FALSE)+VLOOKUP($AD$2,'RF Mod'!$I$2:$O$11,4,FALSE)+(TRUNC(6+(24-6)*(TRUNC(MOD(($Z633*1103515245 +12345)/ 65536, 32768),0)/32768),0))</f>
        <v>10</v>
      </c>
      <c r="N633" s="16" t="e">
        <f t="shared" ca="1" si="36"/>
        <v>#NAME?</v>
      </c>
      <c r="O633" s="153">
        <f ca="1">VLOOKUP($AB$2,'RF Mod'!$A$2:$G$12,5,FALSE)+VLOOKUP($AD$2,'RF Mod'!$I$2:$O$11,5,FALSE)+(TRUNC(6+(24-6)*(TRUNC(MOD(($Z633*1103515245 +12345)/ 65536, 32768),0)/32768),0))</f>
        <v>13</v>
      </c>
      <c r="P633" s="16" t="e">
        <f t="shared" ca="1" si="37"/>
        <v>#NAME?</v>
      </c>
      <c r="Q633" s="153">
        <f ca="1">VLOOKUP($AB$2,'RF Mod'!$A$2:$G$12,6,FALSE)+VLOOKUP($AD$2,'RF Mod'!$I$2:$O$11,6,FALSE)+(TRUNC(6+(24-6)*(TRUNC(MOD(($Z633*1103515245 +12345)/ 65536, 32768),0)/32768),0))</f>
        <v>11</v>
      </c>
      <c r="R633" s="16" t="e">
        <f t="shared" ca="1" si="38"/>
        <v>#NAME?</v>
      </c>
      <c r="S633" s="154">
        <f t="shared" ca="1" si="43"/>
        <v>21</v>
      </c>
      <c r="T633" s="154">
        <f t="shared" ca="1" si="39"/>
        <v>9</v>
      </c>
      <c r="U633" s="16" t="str">
        <f t="shared" ca="1" si="40"/>
        <v>Fine</v>
      </c>
      <c r="V633" s="155">
        <f ca="1">IFERROR(__xludf.DUMMYFUNCTION("if(W633=""Middle Age"",QUERY(NPCVar!$K$2:$N1000, ""Select L where K = '""&amp;AB633&amp;""'""),if(W633=""Old"",QUERY(NPCVar!$K$2:$N1000, ""Select M where K = '""&amp;AB633&amp;""'""),if(W633=""Venerable"",QUERY(NPCVar!$K$2:$N1000, ""Select N where K = '""&amp;AB633&amp;""'""),fa"&amp;"lse)))*X633"),67.5)</f>
        <v>67.5</v>
      </c>
      <c r="W633" s="156" t="str">
        <f t="array" ref="W633">INDEX(NPCAgeType,TRUNC(1+(4-1)*(TRUNC(MOD((X633*1103515245 +12345)/ 65536, 32768),0)/32768),0))</f>
        <v>Old</v>
      </c>
      <c r="X633" s="117">
        <f t="shared" si="45"/>
        <v>1</v>
      </c>
      <c r="Y633" s="157" t="e">
        <f t="array" aca="1" ref="Y633" ca="1">LOOKUP(ABS(MAX(Z633 + MIN(ABS(INDIRECT("Class Jobs!B"&amp;MATCH(E633,'Class Jobs'!$A$1:$A1000,0)&amp;":"&amp;"AF"&amp;MATCH(E633,'Class Jobs'!$A$1:$A1000,0)&amp;"")-$Z633)) * SUM(IF(MIN(ABS(INDIRECT("Class Jobs!B"&amp;MATCH(E633,'Class Jobs'!$A$1:$A1000,0)&amp;":"&amp;"AF"&amp;MATCH(E633,'Class Jobs'!$A$1:$A1000,0)&amp;"")-$Z633))=ABS(INDIRECT("Class Jobs!B"&amp;MATCH(E633,'Class Jobs'!$A$1:$A1000,0)&amp;":"&amp;"AF"&amp;MATCH(E633,'Class Jobs'!$A$1:$A1000,0)&amp;"")-$Z633),SIGN(INDIRECT("Class Jobs!B"&amp;MATCH(E633,'Class Jobs'!$A$1:A1000,0)&amp;":"&amp;"AF"&amp;MATCH(E633,'Class Jobs'!$A$1:$A1000,0)&amp;"")-$Z633),0)),0)),INDIRECT("Class Jobs!B"&amp;MATCH(E633,'Class Jobs'!$A$1:$A1000,0)&amp;":"&amp;"AF"&amp;MATCH(E633,'Class Jobs'!$A$1:$A1000,1)&amp;""),'Class Jobs'!$B$1:$AF$1)</f>
        <v>#REF!</v>
      </c>
      <c r="Z633" s="158">
        <f t="shared" si="41"/>
        <v>0.4</v>
      </c>
      <c r="AA633" s="16" t="str">
        <f t="array" ref="AA633">INDEX(NPCGender,TRUNC(1+(COUNTA(NPCGender))*(TRUNC(MOD(($B633*1103515245 +12345)/ 65536, 32768),0)/32768),0))</f>
        <v>Female</v>
      </c>
      <c r="AB633" s="16" t="str">
        <f t="array" ref="AB633">INDEX(NPCRace,TRUNC(1+(COUNTA(NPCRace))*(TRUNC(MOD(($B633*1103515245 +12345)/ 65536, 32768),0)/32768),0))</f>
        <v>Half-Elf</v>
      </c>
      <c r="AC633" s="16" t="str">
        <f t="array" ref="AC633">INDEX(NPCAL,TRUNC(1+(COUNTA(NPCAL))*(TRUNC(MOD(($B633*1103515245 +12345)/ 65536, 32768),0)/32768),0))</f>
        <v>NG</v>
      </c>
      <c r="AD633" s="72" t="str">
        <f ca="1">IFERROR(__xludf.DUMMYFUNCTION("if(V633&lt;15,QUERY(NPCVar!C:D,""Select D WHERE C = '""&amp;D633&amp;""'""),if((TRUNC(1+10)*(TRUNC(MOD((ROW(H633)*1103515245 +12345)/ 65536, 32768),0)/32768)/10) &gt; 0.85,INDEX(NPCFaction,TRUNC(1+(counta(NPCFaction)-1)*(TRUNC(MOD(($B633*1103515245 +12345)/ 65536, 3276"&amp;"8),0)/32768),0)),QUERY(NPCVar!C:D,""Select D WHERE C = '""&amp;D633&amp;""'"")))"),"Traders Guild")</f>
        <v>Traders Guild</v>
      </c>
      <c r="AE633" s="108" t="e">
        <f t="shared" ca="1" si="42"/>
        <v>#NAME?</v>
      </c>
      <c r="AF633" s="159">
        <f ca="1">IFERROR(__xludf.DUMMYFUNCTION("AE633*(V633 / QUERY(NPCVar!$K$2:$N$12, ""Select N WHERE K='""&amp;AB633&amp;""'""))*TRUNC(1+10)*(TRUNC(MOD(($B633*1103515245 +12345)/ 65536, 32768),0)/32768)"),0.998595428466796)</f>
        <v>0.99859542846679605</v>
      </c>
      <c r="AG633" s="16"/>
      <c r="AH633" s="77"/>
      <c r="AI633" s="114"/>
    </row>
    <row r="634" spans="1:35" ht="16.2">
      <c r="A634" s="53">
        <v>633</v>
      </c>
      <c r="B634" s="118">
        <f t="shared" si="46"/>
        <v>2.27935</v>
      </c>
      <c r="C634" s="72" t="str">
        <f t="array" ref="C634">INDEX(NPCFName,TRUNC(1+(COUNTA(NPCFName))*(TRUNC(MOD(($B634*1103515245 +12345)/ 65536, 32768),0)/32768),0))</f>
        <v>Ledale</v>
      </c>
      <c r="D634" s="16" t="str">
        <f t="array" ref="D634">INDEX(NPCLName,TRUNC(1+(COUNTA(NPCLName))*(TRUNC(MOD(($B634*1103515245 +12345)/ 65536, 32768),0)/32768),0))</f>
        <v>Ashcloud</v>
      </c>
      <c r="E634" s="16" t="str">
        <f t="array" ref="E634">INDEX(NPCClass,TRUNC(1+(COUNTA(NPCClass))*(TRUNC(MOD(($B634*1103515245 +12345)/ 65536, 32768),0)/32768),0))</f>
        <v>Druid</v>
      </c>
      <c r="F634" s="76">
        <v>1</v>
      </c>
      <c r="G634" s="153">
        <f ca="1">VLOOKUP($AB$2,'RF Mod'!$A$2:$G$12,2,FALSE)+VLOOKUP($AD$2,'RF Mod'!$I$2:$O$11,2,FALSE)+(TRUNC(6+(24-6)*(TRUNC(MOD(($Z634*1103515245 +12345)/ 65536, 32768),0)/32768),0))</f>
        <v>5</v>
      </c>
      <c r="H634" s="16">
        <f t="shared" ca="1" si="33"/>
        <v>-3</v>
      </c>
      <c r="I634" s="153">
        <f ca="1">VLOOKUP($AB$2,'RF Mod'!$A$2:$G$12,3,FALSE)+VLOOKUP($AD$2,'RF Mod'!$I$2:$O$11,3,FALSE)+(TRUNC(6+(24-6)*(TRUNC(MOD(($Z634*1103515245 +12345)/ 65536, 32768),0)/32768),0))</f>
        <v>9</v>
      </c>
      <c r="J634" s="16">
        <f t="shared" ca="1" si="34"/>
        <v>-1</v>
      </c>
      <c r="K634" s="153">
        <f ca="1">VLOOKUP($AB$2,'RF Mod'!$A$2:$G$12,3,FALSE)+VLOOKUP($AD$2,'RF Mod'!$I$2:$O$11,3,FALSE)+(TRUNC(6+(24-6)*(TRUNC(MOD(($Z634*1103515245 +12345)/ 65536, 32768),0)/32768),0))</f>
        <v>9</v>
      </c>
      <c r="L634" s="16">
        <f t="shared" ca="1" si="35"/>
        <v>-1</v>
      </c>
      <c r="M634" s="153">
        <f ca="1">VLOOKUP($AB$2,'RF Mod'!$A$2:$G$12,4,FALSE)+VLOOKUP($AD$2,'RF Mod'!$I$2:$O$11,4,FALSE)+(TRUNC(6+(24-6)*(TRUNC(MOD(($Z634*1103515245 +12345)/ 65536, 32768),0)/32768),0))</f>
        <v>8</v>
      </c>
      <c r="N634" s="16">
        <f t="shared" ca="1" si="36"/>
        <v>-1</v>
      </c>
      <c r="O634" s="153">
        <f ca="1">VLOOKUP($AB$2,'RF Mod'!$A$2:$G$12,5,FALSE)+VLOOKUP($AD$2,'RF Mod'!$I$2:$O$11,5,FALSE)+(TRUNC(6+(24-6)*(TRUNC(MOD(($Z634*1103515245 +12345)/ 65536, 32768),0)/32768),0))</f>
        <v>11</v>
      </c>
      <c r="P634" s="16" t="e">
        <f t="shared" ca="1" si="37"/>
        <v>#NAME?</v>
      </c>
      <c r="Q634" s="153">
        <f ca="1">VLOOKUP($AB$2,'RF Mod'!$A$2:$G$12,6,FALSE)+VLOOKUP($AD$2,'RF Mod'!$I$2:$O$11,6,FALSE)+(TRUNC(6+(24-6)*(TRUNC(MOD(($Z634*1103515245 +12345)/ 65536, 32768),0)/32768),0))</f>
        <v>9</v>
      </c>
      <c r="R634" s="16">
        <f t="shared" ca="1" si="38"/>
        <v>-1</v>
      </c>
      <c r="S634" s="154">
        <f t="shared" ca="1" si="43"/>
        <v>11</v>
      </c>
      <c r="T634" s="154">
        <f t="shared" ca="1" si="39"/>
        <v>1</v>
      </c>
      <c r="U634" s="16" t="str">
        <f t="shared" ca="1" si="40"/>
        <v>Fine</v>
      </c>
      <c r="V634" s="155">
        <f ca="1">IFERROR(__xludf.DUMMYFUNCTION("if(W634=""Middle Age"",QUERY(NPCVar!$K$2:$N1000, ""Select L where K = '""&amp;AB634&amp;""'""),if(W634=""Old"",QUERY(NPCVar!$K$2:$N1000, ""Select M where K = '""&amp;AB634&amp;""'""),if(W634=""Venerable"",QUERY(NPCVar!$K$2:$N1000, ""Select N where K = '""&amp;AB634&amp;""'""),fa"&amp;"lse)))*X634"),40)</f>
        <v>40</v>
      </c>
      <c r="W634" s="156" t="str">
        <f t="array" ref="W634">INDEX(NPCAgeType,TRUNC(1+(4-1)*(TRUNC(MOD((X634*1103515245 +12345)/ 65536, 32768),0)/32768),0))</f>
        <v>Middle Age</v>
      </c>
      <c r="X634" s="117">
        <f t="shared" si="45"/>
        <v>0.5</v>
      </c>
      <c r="Y634" s="157" t="e">
        <f t="array" aca="1" ref="Y634" ca="1">LOOKUP(ABS(MAX(Z634 + MIN(ABS(INDIRECT("Class Jobs!B"&amp;MATCH(E634,'Class Jobs'!$A$1:$A1000,0)&amp;":"&amp;"AF"&amp;MATCH(E634,'Class Jobs'!$A$1:$A1000,0)&amp;"")-$Z634)) * SUM(IF(MIN(ABS(INDIRECT("Class Jobs!B"&amp;MATCH(E634,'Class Jobs'!$A$1:$A1000,0)&amp;":"&amp;"AF"&amp;MATCH(E634,'Class Jobs'!$A$1:$A1000,0)&amp;"")-$Z634))=ABS(INDIRECT("Class Jobs!B"&amp;MATCH(E634,'Class Jobs'!$A$1:$A1000,0)&amp;":"&amp;"AF"&amp;MATCH(E634,'Class Jobs'!$A$1:$A1000,0)&amp;"")-$Z634),SIGN(INDIRECT("Class Jobs!B"&amp;MATCH(E634,'Class Jobs'!$A$1:A1000,0)&amp;":"&amp;"AF"&amp;MATCH(E634,'Class Jobs'!$A$1:$A1000,0)&amp;"")-$Z634),0)),0)),INDIRECT("Class Jobs!B"&amp;MATCH(E634,'Class Jobs'!$A$1:$A1000,0)&amp;":"&amp;"AF"&amp;MATCH(E634,'Class Jobs'!$A$1:$A1000,1)&amp;""),'Class Jobs'!$B$1:$AF$1)</f>
        <v>#REF!</v>
      </c>
      <c r="Z634" s="158">
        <f t="shared" si="41"/>
        <v>0.17</v>
      </c>
      <c r="AA634" s="16" t="str">
        <f t="array" ref="AA634">INDEX(NPCGender,TRUNC(1+(COUNTA(NPCGender))*(TRUNC(MOD(($B634*1103515245 +12345)/ 65536, 32768),0)/32768),0))</f>
        <v>Male</v>
      </c>
      <c r="AB634" s="16" t="str">
        <f t="array" ref="AB634">INDEX(NPCRace,TRUNC(1+(COUNTA(NPCRace))*(TRUNC(MOD(($B634*1103515245 +12345)/ 65536, 32768),0)/32768),0))</f>
        <v>Dwarf</v>
      </c>
      <c r="AC634" s="16" t="str">
        <f t="array" ref="AC634">INDEX(NPCAL,TRUNC(1+(COUNTA(NPCAL))*(TRUNC(MOD(($B634*1103515245 +12345)/ 65536, 32768),0)/32768),0))</f>
        <v>CE</v>
      </c>
      <c r="AD634" s="72" t="str">
        <f ca="1">IFERROR(__xludf.DUMMYFUNCTION("if(V634&lt;15,QUERY(NPCVar!C:D,""Select D WHERE C = '""&amp;D634&amp;""'""),if((TRUNC(1+10)*(TRUNC(MOD((ROW(H634)*1103515245 +12345)/ 65536, 32768),0)/32768)/10) &gt; 0.85,INDEX(NPCFaction,TRUNC(1+(counta(NPCFaction)-1)*(TRUNC(MOD(($B634*1103515245 +12345)/ 65536, 3276"&amp;"8),0)/32768),0)),QUERY(NPCVar!C:D,""Select D WHERE C = '""&amp;D634&amp;""'"")))"),"Necromancer")</f>
        <v>Necromancer</v>
      </c>
      <c r="AE634" s="108" t="e">
        <f t="shared" ca="1" si="42"/>
        <v>#NAME?</v>
      </c>
      <c r="AF634" s="159">
        <f ca="1">IFERROR(__xludf.DUMMYFUNCTION("AE634*(V634 / QUERY(NPCVar!$K$2:$N$12, ""Select N WHERE K='""&amp;AB634&amp;""'""))*TRUNC(1+10)*(TRUNC(MOD(($B634*1103515245 +12345)/ 65536, 32768),0)/32768)"),0)</f>
        <v>0</v>
      </c>
      <c r="AG634" s="16"/>
      <c r="AH634" s="77"/>
      <c r="AI634" s="114"/>
    </row>
    <row r="635" spans="1:35" ht="16.2">
      <c r="A635" s="53">
        <v>634</v>
      </c>
      <c r="B635" s="118">
        <f t="shared" si="46"/>
        <v>1.2735000000000001</v>
      </c>
      <c r="C635" s="72" t="str">
        <f t="array" ref="C635">INDEX(NPCFName,TRUNC(1+(COUNTA(NPCFName))*(TRUNC(MOD(($B635*1103515245 +12345)/ 65536, 32768),0)/32768),0))</f>
        <v>Xithyl</v>
      </c>
      <c r="D635" s="16" t="str">
        <f t="array" ref="D635">INDEX(NPCLName,TRUNC(1+(COUNTA(NPCLName))*(TRUNC(MOD(($B635*1103515245 +12345)/ 65536, 32768),0)/32768),0))</f>
        <v>Mourninglash</v>
      </c>
      <c r="E635" s="16" t="str">
        <f t="array" ref="E635">INDEX(NPCClass,TRUNC(1+(COUNTA(NPCClass))*(TRUNC(MOD(($B635*1103515245 +12345)/ 65536, 32768),0)/32768),0))</f>
        <v>Warlock</v>
      </c>
      <c r="F635" s="76">
        <v>8</v>
      </c>
      <c r="G635" s="153">
        <f ca="1">VLOOKUP($AB$2,'RF Mod'!$A$2:$G$12,2,FALSE)+VLOOKUP($AD$2,'RF Mod'!$I$2:$O$11,2,FALSE)+(TRUNC(6+(24-6)*(TRUNC(MOD(($Z635*1103515245 +12345)/ 65536, 32768),0)/32768),0))</f>
        <v>10</v>
      </c>
      <c r="H635" s="16" t="e">
        <f t="shared" ca="1" si="33"/>
        <v>#NAME?</v>
      </c>
      <c r="I635" s="153">
        <f ca="1">VLOOKUP($AB$2,'RF Mod'!$A$2:$G$12,3,FALSE)+VLOOKUP($AD$2,'RF Mod'!$I$2:$O$11,3,FALSE)+(TRUNC(6+(24-6)*(TRUNC(MOD(($Z635*1103515245 +12345)/ 65536, 32768),0)/32768),0))</f>
        <v>14</v>
      </c>
      <c r="J635" s="16" t="e">
        <f t="shared" ca="1" si="34"/>
        <v>#NAME?</v>
      </c>
      <c r="K635" s="153">
        <f ca="1">VLOOKUP($AB$2,'RF Mod'!$A$2:$G$12,3,FALSE)+VLOOKUP($AD$2,'RF Mod'!$I$2:$O$11,3,FALSE)+(TRUNC(6+(24-6)*(TRUNC(MOD(($Z635*1103515245 +12345)/ 65536, 32768),0)/32768),0))</f>
        <v>14</v>
      </c>
      <c r="L635" s="16" t="e">
        <f t="shared" ca="1" si="35"/>
        <v>#NAME?</v>
      </c>
      <c r="M635" s="153">
        <f ca="1">VLOOKUP($AB$2,'RF Mod'!$A$2:$G$12,4,FALSE)+VLOOKUP($AD$2,'RF Mod'!$I$2:$O$11,4,FALSE)+(TRUNC(6+(24-6)*(TRUNC(MOD(($Z635*1103515245 +12345)/ 65536, 32768),0)/32768),0))</f>
        <v>13</v>
      </c>
      <c r="N635" s="16" t="e">
        <f t="shared" ca="1" si="36"/>
        <v>#NAME?</v>
      </c>
      <c r="O635" s="153">
        <f ca="1">VLOOKUP($AB$2,'RF Mod'!$A$2:$G$12,5,FALSE)+VLOOKUP($AD$2,'RF Mod'!$I$2:$O$11,5,FALSE)+(TRUNC(6+(24-6)*(TRUNC(MOD(($Z635*1103515245 +12345)/ 65536, 32768),0)/32768),0))</f>
        <v>16</v>
      </c>
      <c r="P635" s="16" t="e">
        <f t="shared" ca="1" si="37"/>
        <v>#NAME?</v>
      </c>
      <c r="Q635" s="153">
        <f ca="1">VLOOKUP($AB$2,'RF Mod'!$A$2:$G$12,6,FALSE)+VLOOKUP($AD$2,'RF Mod'!$I$2:$O$11,6,FALSE)+(TRUNC(6+(24-6)*(TRUNC(MOD(($Z635*1103515245 +12345)/ 65536, 32768),0)/32768),0))</f>
        <v>14</v>
      </c>
      <c r="R635" s="16" t="e">
        <f t="shared" ca="1" si="38"/>
        <v>#NAME?</v>
      </c>
      <c r="S635" s="154">
        <f t="shared" ca="1" si="43"/>
        <v>160</v>
      </c>
      <c r="T635" s="154">
        <f t="shared" ca="1" si="39"/>
        <v>147</v>
      </c>
      <c r="U635" s="16" t="str">
        <f t="shared" ca="1" si="40"/>
        <v>Bloody</v>
      </c>
      <c r="V635" s="155">
        <f ca="1">IFERROR(__xludf.DUMMYFUNCTION("if(W635=""Middle Age"",QUERY(NPCVar!$K$2:$N1000, ""Select L where K = '""&amp;AB635&amp;""'""),if(W635=""Old"",QUERY(NPCVar!$K$2:$N1000, ""Select M where K = '""&amp;AB635&amp;""'""),if(W635=""Venerable"",QUERY(NPCVar!$K$2:$N1000, ""Select N where K = '""&amp;AB635&amp;""'""),fa"&amp;"lse)))*X635"),144)</f>
        <v>144</v>
      </c>
      <c r="W635" s="156" t="str">
        <f t="array" ref="W635">INDEX(NPCAgeType,TRUNC(1+(4-1)*(TRUNC(MOD((X635*1103515245 +12345)/ 65536, 32768),0)/32768),0))</f>
        <v>Venerable</v>
      </c>
      <c r="X635" s="117">
        <f t="shared" si="45"/>
        <v>1.6</v>
      </c>
      <c r="Y635" s="157" t="e">
        <f t="array" aca="1" ref="Y635" ca="1">LOOKUP(ABS(MAX(Z635 + MIN(ABS(INDIRECT("Class Jobs!B"&amp;MATCH(E635,'Class Jobs'!$A$1:$A1000,0)&amp;":"&amp;"AF"&amp;MATCH(E635,'Class Jobs'!$A$1:$A1000,0)&amp;"")-$Z635)) * SUM(IF(MIN(ABS(INDIRECT("Class Jobs!B"&amp;MATCH(E635,'Class Jobs'!$A$1:$A1000,0)&amp;":"&amp;"AF"&amp;MATCH(E635,'Class Jobs'!$A$1:$A1000,0)&amp;"")-$Z635))=ABS(INDIRECT("Class Jobs!B"&amp;MATCH(E635,'Class Jobs'!$A$1:$A1000,0)&amp;":"&amp;"AF"&amp;MATCH(E635,'Class Jobs'!$A$1:$A1000,0)&amp;"")-$Z635),SIGN(INDIRECT("Class Jobs!B"&amp;MATCH(E635,'Class Jobs'!$A$1:A1000,0)&amp;":"&amp;"AF"&amp;MATCH(E635,'Class Jobs'!$A$1:$A1000,0)&amp;"")-$Z635),0)),0)),INDIRECT("Class Jobs!B"&amp;MATCH(E635,'Class Jobs'!$A$1:$A1000,0)&amp;":"&amp;"AF"&amp;MATCH(E635,'Class Jobs'!$A$1:$A1000,1)&amp;""),'Class Jobs'!$B$1:$AF$1)</f>
        <v>#REF!</v>
      </c>
      <c r="Z635" s="158">
        <f t="shared" si="41"/>
        <v>0.65</v>
      </c>
      <c r="AA635" s="16" t="str">
        <f t="array" ref="AA635">INDEX(NPCGender,TRUNC(1+(COUNTA(NPCGender))*(TRUNC(MOD(($B635*1103515245 +12345)/ 65536, 32768),0)/32768),0))</f>
        <v>Female</v>
      </c>
      <c r="AB635" s="16" t="str">
        <f t="array" ref="AB635">INDEX(NPCRace,TRUNC(1+(COUNTA(NPCRace))*(TRUNC(MOD(($B635*1103515245 +12345)/ 65536, 32768),0)/32768),0))</f>
        <v>Human</v>
      </c>
      <c r="AC635" s="16" t="str">
        <f t="array" ref="AC635">INDEX(NPCAL,TRUNC(1+(COUNTA(NPCAL))*(TRUNC(MOD(($B635*1103515245 +12345)/ 65536, 32768),0)/32768),0))</f>
        <v>NE</v>
      </c>
      <c r="AD635" s="72" t="str">
        <f ca="1">IFERROR(__xludf.DUMMYFUNCTION("if(V635&lt;15,QUERY(NPCVar!C:D,""Select D WHERE C = '""&amp;D635&amp;""'""),if((TRUNC(1+10)*(TRUNC(MOD((ROW(H635)*1103515245 +12345)/ 65536, 32768),0)/32768)/10) &gt; 0.85,INDEX(NPCFaction,TRUNC(1+(counta(NPCFaction)-1)*(TRUNC(MOD(($B635*1103515245 +12345)/ 65536, 3276"&amp;"8),0)/32768),0)),QUERY(NPCVar!C:D,""Select D WHERE C = '""&amp;D635&amp;""'"")))"),"Traverlers Guild")</f>
        <v>Traverlers Guild</v>
      </c>
      <c r="AE635" s="108" t="e">
        <f t="shared" ca="1" si="42"/>
        <v>#NAME?</v>
      </c>
      <c r="AF635" s="159">
        <f ca="1">IFERROR(__xludf.DUMMYFUNCTION("AE635*(V635 / QUERY(NPCVar!$K$2:$N$12, ""Select N WHERE K='""&amp;AB635&amp;""'""))*TRUNC(1+10)*(TRUNC(MOD(($B635*1103515245 +12345)/ 65536, 32768),0)/32768)"),10.3655126953125)</f>
        <v>10.3655126953125</v>
      </c>
      <c r="AG635" s="16"/>
      <c r="AH635" s="77"/>
      <c r="AI635" s="114"/>
    </row>
    <row r="636" spans="1:35" ht="16.2">
      <c r="A636" s="53">
        <v>635</v>
      </c>
      <c r="B636" s="118">
        <f t="shared" si="46"/>
        <v>0.26756999999999997</v>
      </c>
      <c r="C636" s="72" t="str">
        <f t="array" ref="C636">INDEX(NPCFName,TRUNC(1+(COUNTA(NPCFName))*(TRUNC(MOD(($B636*1103515245 +12345)/ 65536, 32768),0)/32768),0))</f>
        <v>Hydale</v>
      </c>
      <c r="D636" s="16" t="str">
        <f t="array" ref="D636">INDEX(NPCLName,TRUNC(1+(COUNTA(NPCLName))*(TRUNC(MOD(($B636*1103515245 +12345)/ 65536, 32768),0)/32768),0))</f>
        <v>Fistwing</v>
      </c>
      <c r="E636" s="16" t="str">
        <f t="array" ref="E636">INDEX(NPCClass,TRUNC(1+(COUNTA(NPCClass))*(TRUNC(MOD(($B636*1103515245 +12345)/ 65536, 32768),0)/32768),0))</f>
        <v>Bard</v>
      </c>
      <c r="F636" s="76">
        <v>1</v>
      </c>
      <c r="G636" s="153">
        <f ca="1">VLOOKUP($AB$2,'RF Mod'!$A$2:$G$12,2,FALSE)+VLOOKUP($AD$2,'RF Mod'!$I$2:$O$11,2,FALSE)+(TRUNC(6+(24-6)*(TRUNC(MOD(($Z636*1103515245 +12345)/ 65536, 32768),0)/32768),0))</f>
        <v>5</v>
      </c>
      <c r="H636" s="16">
        <f t="shared" ca="1" si="33"/>
        <v>-3</v>
      </c>
      <c r="I636" s="153">
        <f ca="1">VLOOKUP($AB$2,'RF Mod'!$A$2:$G$12,3,FALSE)+VLOOKUP($AD$2,'RF Mod'!$I$2:$O$11,3,FALSE)+(TRUNC(6+(24-6)*(TRUNC(MOD(($Z636*1103515245 +12345)/ 65536, 32768),0)/32768),0))</f>
        <v>9</v>
      </c>
      <c r="J636" s="16">
        <f t="shared" ca="1" si="34"/>
        <v>-1</v>
      </c>
      <c r="K636" s="153">
        <f ca="1">VLOOKUP($AB$2,'RF Mod'!$A$2:$G$12,3,FALSE)+VLOOKUP($AD$2,'RF Mod'!$I$2:$O$11,3,FALSE)+(TRUNC(6+(24-6)*(TRUNC(MOD(($Z636*1103515245 +12345)/ 65536, 32768),0)/32768),0))</f>
        <v>9</v>
      </c>
      <c r="L636" s="16">
        <f t="shared" ca="1" si="35"/>
        <v>-1</v>
      </c>
      <c r="M636" s="153">
        <f ca="1">VLOOKUP($AB$2,'RF Mod'!$A$2:$G$12,4,FALSE)+VLOOKUP($AD$2,'RF Mod'!$I$2:$O$11,4,FALSE)+(TRUNC(6+(24-6)*(TRUNC(MOD(($Z636*1103515245 +12345)/ 65536, 32768),0)/32768),0))</f>
        <v>8</v>
      </c>
      <c r="N636" s="16">
        <f t="shared" ca="1" si="36"/>
        <v>-1</v>
      </c>
      <c r="O636" s="153">
        <f ca="1">VLOOKUP($AB$2,'RF Mod'!$A$2:$G$12,5,FALSE)+VLOOKUP($AD$2,'RF Mod'!$I$2:$O$11,5,FALSE)+(TRUNC(6+(24-6)*(TRUNC(MOD(($Z636*1103515245 +12345)/ 65536, 32768),0)/32768),0))</f>
        <v>11</v>
      </c>
      <c r="P636" s="16" t="e">
        <f t="shared" ca="1" si="37"/>
        <v>#NAME?</v>
      </c>
      <c r="Q636" s="153">
        <f ca="1">VLOOKUP($AB$2,'RF Mod'!$A$2:$G$12,6,FALSE)+VLOOKUP($AD$2,'RF Mod'!$I$2:$O$11,6,FALSE)+(TRUNC(6+(24-6)*(TRUNC(MOD(($Z636*1103515245 +12345)/ 65536, 32768),0)/32768),0))</f>
        <v>9</v>
      </c>
      <c r="R636" s="16">
        <f t="shared" ca="1" si="38"/>
        <v>-1</v>
      </c>
      <c r="S636" s="154">
        <f t="shared" ca="1" si="43"/>
        <v>11</v>
      </c>
      <c r="T636" s="154">
        <f t="shared" ca="1" si="39"/>
        <v>2</v>
      </c>
      <c r="U636" s="16" t="str">
        <f t="shared" ca="1" si="40"/>
        <v>Fine</v>
      </c>
      <c r="V636" s="155">
        <f ca="1">IFERROR(__xludf.DUMMYFUNCTION("if(W636=""Middle Age"",QUERY(NPCVar!$K$2:$N1000, ""Select L where K = '""&amp;AB636&amp;""'""),if(W636=""Old"",QUERY(NPCVar!$K$2:$N1000, ""Select M where K = '""&amp;AB636&amp;""'""),if(W636=""Venerable"",QUERY(NPCVar!$K$2:$N1000, ""Select N where K = '""&amp;AB636&amp;""'""),fa"&amp;"lse)))*X636"),32)</f>
        <v>32</v>
      </c>
      <c r="W636" s="156" t="str">
        <f t="array" ref="W636">INDEX(NPCAgeType,TRUNC(1+(4-1)*(TRUNC(MOD((X636*1103515245 +12345)/ 65536, 32768),0)/32768),0))</f>
        <v>Middle Age</v>
      </c>
      <c r="X636" s="117">
        <f t="shared" si="45"/>
        <v>0.4</v>
      </c>
      <c r="Y636" s="157" t="e">
        <f t="array" aca="1" ref="Y636" ca="1">LOOKUP(ABS(MAX(Z636 + MIN(ABS(INDIRECT("Class Jobs!B"&amp;MATCH(E636,'Class Jobs'!$A$1:$A1000,0)&amp;":"&amp;"AF"&amp;MATCH(E636,'Class Jobs'!$A$1:$A1000,0)&amp;"")-$Z636)) * SUM(IF(MIN(ABS(INDIRECT("Class Jobs!B"&amp;MATCH(E636,'Class Jobs'!$A$1:$A1000,0)&amp;":"&amp;"AF"&amp;MATCH(E636,'Class Jobs'!$A$1:$A1000,0)&amp;"")-$Z636))=ABS(INDIRECT("Class Jobs!B"&amp;MATCH(E636,'Class Jobs'!$A$1:$A1000,0)&amp;":"&amp;"AF"&amp;MATCH(E636,'Class Jobs'!$A$1:$A1000,0)&amp;"")-$Z636),SIGN(INDIRECT("Class Jobs!B"&amp;MATCH(E636,'Class Jobs'!$A$1:A1000,0)&amp;":"&amp;"AF"&amp;MATCH(E636,'Class Jobs'!$A$1:$A1000,0)&amp;"")-$Z636),0)),0)),INDIRECT("Class Jobs!B"&amp;MATCH(E636,'Class Jobs'!$A$1:$A1000,0)&amp;":"&amp;"AF"&amp;MATCH(E636,'Class Jobs'!$A$1:$A1000,1)&amp;""),'Class Jobs'!$B$1:$AF$1)</f>
        <v>#REF!</v>
      </c>
      <c r="Z636" s="158">
        <f t="shared" si="41"/>
        <v>0.14000000000000001</v>
      </c>
      <c r="AA636" s="16" t="str">
        <f t="array" ref="AA636">INDEX(NPCGender,TRUNC(1+(COUNTA(NPCGender))*(TRUNC(MOD(($B636*1103515245 +12345)/ 65536, 32768),0)/32768),0))</f>
        <v>Male</v>
      </c>
      <c r="AB636" s="16" t="str">
        <f t="array" ref="AB636">INDEX(NPCRace,TRUNC(1+(COUNTA(NPCRace))*(TRUNC(MOD(($B636*1103515245 +12345)/ 65536, 32768),0)/32768),0))</f>
        <v>Dwarf</v>
      </c>
      <c r="AC636" s="16" t="str">
        <f t="array" ref="AC636">INDEX(NPCAL,TRUNC(1+(COUNTA(NPCAL))*(TRUNC(MOD(($B636*1103515245 +12345)/ 65536, 32768),0)/32768),0))</f>
        <v>CE</v>
      </c>
      <c r="AD636" s="72" t="str">
        <f ca="1">IFERROR(__xludf.DUMMYFUNCTION("if(V636&lt;15,QUERY(NPCVar!C:D,""Select D WHERE C = '""&amp;D636&amp;""'""),if((TRUNC(1+10)*(TRUNC(MOD((ROW(H636)*1103515245 +12345)/ 65536, 32768),0)/32768)/10) &gt; 0.85,INDEX(NPCFaction,TRUNC(1+(counta(NPCFaction)-1)*(TRUNC(MOD(($B636*1103515245 +12345)/ 65536, 3276"&amp;"8),0)/32768),0)),QUERY(NPCVar!C:D,""Select D WHERE C = '""&amp;D636&amp;""'"")))"),"Necromancer")</f>
        <v>Necromancer</v>
      </c>
      <c r="AE636" s="108" t="e">
        <f t="shared" ca="1" si="42"/>
        <v>#NAME?</v>
      </c>
      <c r="AF636" s="159">
        <f ca="1">IFERROR(__xludf.DUMMYFUNCTION("AE636*(V636 / QUERY(NPCVar!$K$2:$N$12, ""Select N WHERE K='""&amp;AB636&amp;""'""))*TRUNC(1+10)*(TRUNC(MOD(($B636*1103515245 +12345)/ 65536, 32768),0)/32768)"),0)</f>
        <v>0</v>
      </c>
      <c r="AG636" s="16"/>
      <c r="AH636" s="77"/>
      <c r="AI636" s="114"/>
    </row>
    <row r="637" spans="1:35" ht="16.2">
      <c r="A637" s="53">
        <v>636</v>
      </c>
      <c r="B637" s="118">
        <f t="shared" si="46"/>
        <v>1.7617</v>
      </c>
      <c r="C637" s="72" t="str">
        <f t="array" ref="C637">INDEX(NPCFName,TRUNC(1+(COUNTA(NPCFName))*(TRUNC(MOD(($B637*1103515245 +12345)/ 65536, 32768),0)/32768),0))</f>
        <v>Raysdan</v>
      </c>
      <c r="D637" s="16" t="str">
        <f t="array" ref="D637">INDEX(NPCLName,TRUNC(1+(COUNTA(NPCLName))*(TRUNC(MOD(($B637*1103515245 +12345)/ 65536, 32768),0)/32768),0))</f>
        <v>Stormwolf</v>
      </c>
      <c r="E637" s="16" t="str">
        <f t="array" ref="E637">INDEX(NPCClass,TRUNC(1+(COUNTA(NPCClass))*(TRUNC(MOD(($B637*1103515245 +12345)/ 65536, 32768),0)/32768),0))</f>
        <v>Fighter</v>
      </c>
      <c r="F637" s="76">
        <v>8</v>
      </c>
      <c r="G637" s="153">
        <f ca="1">VLOOKUP($AB$2,'RF Mod'!$A$2:$G$12,2,FALSE)+VLOOKUP($AD$2,'RF Mod'!$I$2:$O$11,2,FALSE)+(TRUNC(6+(24-6)*(TRUNC(MOD(($Z637*1103515245 +12345)/ 65536, 32768),0)/32768),0))</f>
        <v>12</v>
      </c>
      <c r="H637" s="16" t="e">
        <f t="shared" ca="1" si="33"/>
        <v>#NAME?</v>
      </c>
      <c r="I637" s="153">
        <f ca="1">VLOOKUP($AB$2,'RF Mod'!$A$2:$G$12,3,FALSE)+VLOOKUP($AD$2,'RF Mod'!$I$2:$O$11,3,FALSE)+(TRUNC(6+(24-6)*(TRUNC(MOD(($Z637*1103515245 +12345)/ 65536, 32768),0)/32768),0))</f>
        <v>16</v>
      </c>
      <c r="J637" s="16" t="e">
        <f t="shared" ca="1" si="34"/>
        <v>#NAME?</v>
      </c>
      <c r="K637" s="153">
        <f ca="1">VLOOKUP($AB$2,'RF Mod'!$A$2:$G$12,3,FALSE)+VLOOKUP($AD$2,'RF Mod'!$I$2:$O$11,3,FALSE)+(TRUNC(6+(24-6)*(TRUNC(MOD(($Z637*1103515245 +12345)/ 65536, 32768),0)/32768),0))</f>
        <v>16</v>
      </c>
      <c r="L637" s="16" t="e">
        <f t="shared" ca="1" si="35"/>
        <v>#NAME?</v>
      </c>
      <c r="M637" s="153">
        <f ca="1">VLOOKUP($AB$2,'RF Mod'!$A$2:$G$12,4,FALSE)+VLOOKUP($AD$2,'RF Mod'!$I$2:$O$11,4,FALSE)+(TRUNC(6+(24-6)*(TRUNC(MOD(($Z637*1103515245 +12345)/ 65536, 32768),0)/32768),0))</f>
        <v>15</v>
      </c>
      <c r="N637" s="16" t="e">
        <f t="shared" ca="1" si="36"/>
        <v>#NAME?</v>
      </c>
      <c r="O637" s="153">
        <f ca="1">VLOOKUP($AB$2,'RF Mod'!$A$2:$G$12,5,FALSE)+VLOOKUP($AD$2,'RF Mod'!$I$2:$O$11,5,FALSE)+(TRUNC(6+(24-6)*(TRUNC(MOD(($Z637*1103515245 +12345)/ 65536, 32768),0)/32768),0))</f>
        <v>18</v>
      </c>
      <c r="P637" s="16" t="e">
        <f t="shared" ca="1" si="37"/>
        <v>#NAME?</v>
      </c>
      <c r="Q637" s="153">
        <f ca="1">VLOOKUP($AB$2,'RF Mod'!$A$2:$G$12,6,FALSE)+VLOOKUP($AD$2,'RF Mod'!$I$2:$O$11,6,FALSE)+(TRUNC(6+(24-6)*(TRUNC(MOD(($Z637*1103515245 +12345)/ 65536, 32768),0)/32768),0))</f>
        <v>16</v>
      </c>
      <c r="R637" s="16" t="e">
        <f t="shared" ca="1" si="38"/>
        <v>#NAME?</v>
      </c>
      <c r="S637" s="154">
        <f t="shared" ca="1" si="43"/>
        <v>208</v>
      </c>
      <c r="T637" s="154">
        <f t="shared" ca="1" si="39"/>
        <v>158</v>
      </c>
      <c r="U637" s="16" t="str">
        <f t="shared" ca="1" si="40"/>
        <v>Bloody</v>
      </c>
      <c r="V637" s="155">
        <f ca="1">IFERROR(__xludf.DUMMYFUNCTION("if(W637=""Middle Age"",QUERY(NPCVar!$K$2:$N1000, ""Select L where K = '""&amp;AB637&amp;""'""),if(W637=""Old"",QUERY(NPCVar!$K$2:$N1000, ""Select M where K = '""&amp;AB637&amp;""'""),if(W637=""Venerable"",QUERY(NPCVar!$K$2:$N1000, ""Select N where K = '""&amp;AB637&amp;""'""),fa"&amp;"lse)))*X637"),60.5)</f>
        <v>60.5</v>
      </c>
      <c r="W637" s="156" t="str">
        <f t="array" ref="W637">INDEX(NPCAgeType,TRUNC(1+(4-1)*(TRUNC(MOD((X637*1103515245 +12345)/ 65536, 32768),0)/32768),0))</f>
        <v>Middle Age</v>
      </c>
      <c r="X637" s="117">
        <f t="shared" si="45"/>
        <v>2.2000000000000002</v>
      </c>
      <c r="Y637" s="157" t="e">
        <f t="array" aca="1" ref="Y637" ca="1">LOOKUP(ABS(MAX(Z637 + MIN(ABS(INDIRECT("Class Jobs!B"&amp;MATCH(E637,'Class Jobs'!$A$1:$A1000,0)&amp;":"&amp;"AF"&amp;MATCH(E637,'Class Jobs'!$A$1:$A1000,0)&amp;"")-$Z637)) * SUM(IF(MIN(ABS(INDIRECT("Class Jobs!B"&amp;MATCH(E637,'Class Jobs'!$A$1:$A1000,0)&amp;":"&amp;"AF"&amp;MATCH(E637,'Class Jobs'!$A$1:$A1000,0)&amp;"")-$Z637))=ABS(INDIRECT("Class Jobs!B"&amp;MATCH(E637,'Class Jobs'!$A$1:$A1000,0)&amp;":"&amp;"AF"&amp;MATCH(E637,'Class Jobs'!$A$1:$A1000,0)&amp;"")-$Z637),SIGN(INDIRECT("Class Jobs!B"&amp;MATCH(E637,'Class Jobs'!$A$1:A1000,0)&amp;":"&amp;"AF"&amp;MATCH(E637,'Class Jobs'!$A$1:$A1000,0)&amp;"")-$Z637),0)),0)),INDIRECT("Class Jobs!B"&amp;MATCH(E637,'Class Jobs'!$A$1:$A1000,0)&amp;":"&amp;"AF"&amp;MATCH(E637,'Class Jobs'!$A$1:$A1000,1)&amp;""),'Class Jobs'!$B$1:$AF$1)</f>
        <v>#REF!</v>
      </c>
      <c r="Z637" s="158">
        <f t="shared" si="41"/>
        <v>0.9</v>
      </c>
      <c r="AA637" s="16" t="str">
        <f t="array" ref="AA637">INDEX(NPCGender,TRUNC(1+(COUNTA(NPCGender))*(TRUNC(MOD(($B637*1103515245 +12345)/ 65536, 32768),0)/32768),0))</f>
        <v>Neutral</v>
      </c>
      <c r="AB637" s="16" t="str">
        <f t="array" ref="AB637">INDEX(NPCRace,TRUNC(1+(COUNTA(NPCRace))*(TRUNC(MOD(($B637*1103515245 +12345)/ 65536, 32768),0)/32768),0))</f>
        <v>Genasi</v>
      </c>
      <c r="AC637" s="16" t="str">
        <f t="array" ref="AC637">INDEX(NPCAL,TRUNC(1+(COUNTA(NPCAL))*(TRUNC(MOD(($B637*1103515245 +12345)/ 65536, 32768),0)/32768),0))</f>
        <v>LE</v>
      </c>
      <c r="AD637" s="72" t="str">
        <f ca="1">IFERROR(__xludf.DUMMYFUNCTION("if(V637&lt;15,QUERY(NPCVar!C:D,""Select D WHERE C = '""&amp;D637&amp;""'""),if((TRUNC(1+10)*(TRUNC(MOD((ROW(H637)*1103515245 +12345)/ 65536, 32768),0)/32768)/10) &gt; 0.85,INDEX(NPCFaction,TRUNC(1+(counta(NPCFaction)-1)*(TRUNC(MOD(($B637*1103515245 +12345)/ 65536, 3276"&amp;"8),0)/32768),0)),QUERY(NPCVar!C:D,""Select D WHERE C = '""&amp;D637&amp;""'"")))"),"Followers of Isis")</f>
        <v>Followers of Isis</v>
      </c>
      <c r="AE637" s="108" t="e">
        <f t="shared" ca="1" si="42"/>
        <v>#NAME?</v>
      </c>
      <c r="AF637" s="159">
        <f ca="1">IFERROR(__xludf.DUMMYFUNCTION("AE637*(V637 / QUERY(NPCVar!$K$2:$N$12, ""Select N WHERE K='""&amp;AB637&amp;""'""))*TRUNC(1+10)*(TRUNC(MOD(($B637*1103515245 +12345)/ 65536, 32768),0)/32768)"),4.9292138671875)</f>
        <v>4.9292138671875003</v>
      </c>
      <c r="AG637" s="16"/>
      <c r="AH637" s="77"/>
      <c r="AI637" s="114"/>
    </row>
    <row r="638" spans="1:35" ht="16.2">
      <c r="A638" s="53">
        <v>637</v>
      </c>
      <c r="B638" s="118">
        <f t="shared" si="46"/>
        <v>0.75585000000000002</v>
      </c>
      <c r="C638" s="72" t="str">
        <f t="array" ref="C638">INDEX(NPCFName,TRUNC(1+(COUNTA(NPCFName))*(TRUNC(MOD(($B638*1103515245 +12345)/ 65536, 32768),0)/32768),0))</f>
        <v>Codern</v>
      </c>
      <c r="D638" s="16" t="str">
        <f t="array" ref="D638">INDEX(NPCLName,TRUNC(1+(COUNTA(NPCLName))*(TRUNC(MOD(($B638*1103515245 +12345)/ 65536, 32768),0)/32768),0))</f>
        <v>Fistroot</v>
      </c>
      <c r="E638" s="16" t="str">
        <f t="array" ref="E638">INDEX(NPCClass,TRUNC(1+(COUNTA(NPCClass))*(TRUNC(MOD(($B638*1103515245 +12345)/ 65536, 32768),0)/32768),0))</f>
        <v>Paladin</v>
      </c>
      <c r="F638" s="76">
        <v>5</v>
      </c>
      <c r="G638" s="153">
        <f ca="1">VLOOKUP($AB$2,'RF Mod'!$A$2:$G$12,2,FALSE)+VLOOKUP($AD$2,'RF Mod'!$I$2:$O$11,2,FALSE)+(TRUNC(6+(24-6)*(TRUNC(MOD(($Z638*1103515245 +12345)/ 65536, 32768),0)/32768),0))</f>
        <v>7</v>
      </c>
      <c r="H638" s="16">
        <f t="shared" ca="1" si="33"/>
        <v>-2</v>
      </c>
      <c r="I638" s="153">
        <f ca="1">VLOOKUP($AB$2,'RF Mod'!$A$2:$G$12,3,FALSE)+VLOOKUP($AD$2,'RF Mod'!$I$2:$O$11,3,FALSE)+(TRUNC(6+(24-6)*(TRUNC(MOD(($Z638*1103515245 +12345)/ 65536, 32768),0)/32768),0))</f>
        <v>11</v>
      </c>
      <c r="J638" s="16" t="e">
        <f t="shared" ca="1" si="34"/>
        <v>#NAME?</v>
      </c>
      <c r="K638" s="153">
        <f ca="1">VLOOKUP($AB$2,'RF Mod'!$A$2:$G$12,3,FALSE)+VLOOKUP($AD$2,'RF Mod'!$I$2:$O$11,3,FALSE)+(TRUNC(6+(24-6)*(TRUNC(MOD(($Z638*1103515245 +12345)/ 65536, 32768),0)/32768),0))</f>
        <v>11</v>
      </c>
      <c r="L638" s="16" t="e">
        <f t="shared" ca="1" si="35"/>
        <v>#NAME?</v>
      </c>
      <c r="M638" s="153">
        <f ca="1">VLOOKUP($AB$2,'RF Mod'!$A$2:$G$12,4,FALSE)+VLOOKUP($AD$2,'RF Mod'!$I$2:$O$11,4,FALSE)+(TRUNC(6+(24-6)*(TRUNC(MOD(($Z638*1103515245 +12345)/ 65536, 32768),0)/32768),0))</f>
        <v>10</v>
      </c>
      <c r="N638" s="16" t="e">
        <f t="shared" ca="1" si="36"/>
        <v>#NAME?</v>
      </c>
      <c r="O638" s="153">
        <f ca="1">VLOOKUP($AB$2,'RF Mod'!$A$2:$G$12,5,FALSE)+VLOOKUP($AD$2,'RF Mod'!$I$2:$O$11,5,FALSE)+(TRUNC(6+(24-6)*(TRUNC(MOD(($Z638*1103515245 +12345)/ 65536, 32768),0)/32768),0))</f>
        <v>13</v>
      </c>
      <c r="P638" s="16" t="e">
        <f t="shared" ca="1" si="37"/>
        <v>#NAME?</v>
      </c>
      <c r="Q638" s="153">
        <f ca="1">VLOOKUP($AB$2,'RF Mod'!$A$2:$G$12,6,FALSE)+VLOOKUP($AD$2,'RF Mod'!$I$2:$O$11,6,FALSE)+(TRUNC(6+(24-6)*(TRUNC(MOD(($Z638*1103515245 +12345)/ 65536, 32768),0)/32768),0))</f>
        <v>11</v>
      </c>
      <c r="R638" s="16" t="e">
        <f t="shared" ca="1" si="38"/>
        <v>#NAME?</v>
      </c>
      <c r="S638" s="154">
        <f t="shared" ca="1" si="43"/>
        <v>75</v>
      </c>
      <c r="T638" s="154">
        <f t="shared" ca="1" si="39"/>
        <v>3</v>
      </c>
      <c r="U638" s="16" t="str">
        <f t="shared" ca="1" si="40"/>
        <v>Fine</v>
      </c>
      <c r="V638" s="155">
        <f ca="1">IFERROR(__xludf.DUMMYFUNCTION("if(W638=""Middle Age"",QUERY(NPCVar!$K$2:$N1000, ""Select L where K = '""&amp;AB638&amp;""'""),if(W638=""Old"",QUERY(NPCVar!$K$2:$N1000, ""Select M where K = '""&amp;AB638&amp;""'""),if(W638=""Venerable"",QUERY(NPCVar!$K$2:$N1000, ""Select N where K = '""&amp;AB638&amp;""'""),fa"&amp;"lse)))*X638"),67.5)</f>
        <v>67.5</v>
      </c>
      <c r="W638" s="156" t="str">
        <f t="array" ref="W638">INDEX(NPCAgeType,TRUNC(1+(4-1)*(TRUNC(MOD((X638*1103515245 +12345)/ 65536, 32768),0)/32768),0))</f>
        <v>Old</v>
      </c>
      <c r="X638" s="117">
        <f t="shared" si="45"/>
        <v>1</v>
      </c>
      <c r="Y638" s="157" t="e">
        <f t="array" aca="1" ref="Y638" ca="1">LOOKUP(ABS(MAX(Z638 + MIN(ABS(INDIRECT("Class Jobs!B"&amp;MATCH(E638,'Class Jobs'!$A$1:$A1000,0)&amp;":"&amp;"AF"&amp;MATCH(E638,'Class Jobs'!$A$1:$A1000,0)&amp;"")-$Z638)) * SUM(IF(MIN(ABS(INDIRECT("Class Jobs!B"&amp;MATCH(E638,'Class Jobs'!$A$1:$A1000,0)&amp;":"&amp;"AF"&amp;MATCH(E638,'Class Jobs'!$A$1:$A1000,0)&amp;"")-$Z638))=ABS(INDIRECT("Class Jobs!B"&amp;MATCH(E638,'Class Jobs'!$A$1:$A1000,0)&amp;":"&amp;"AF"&amp;MATCH(E638,'Class Jobs'!$A$1:$A1000,0)&amp;"")-$Z638),SIGN(INDIRECT("Class Jobs!B"&amp;MATCH(E638,'Class Jobs'!$A$1:A1000,0)&amp;":"&amp;"AF"&amp;MATCH(E638,'Class Jobs'!$A$1:$A1000,0)&amp;"")-$Z638),0)),0)),INDIRECT("Class Jobs!B"&amp;MATCH(E638,'Class Jobs'!$A$1:$A1000,0)&amp;":"&amp;"AF"&amp;MATCH(E638,'Class Jobs'!$A$1:$A1000,1)&amp;""),'Class Jobs'!$B$1:$AF$1)</f>
        <v>#REF!</v>
      </c>
      <c r="Z638" s="158">
        <f t="shared" si="41"/>
        <v>0.39</v>
      </c>
      <c r="AA638" s="16" t="str">
        <f t="array" ref="AA638">INDEX(NPCGender,TRUNC(1+(COUNTA(NPCGender))*(TRUNC(MOD(($B638*1103515245 +12345)/ 65536, 32768),0)/32768),0))</f>
        <v>Female</v>
      </c>
      <c r="AB638" s="16" t="str">
        <f t="array" ref="AB638">INDEX(NPCRace,TRUNC(1+(COUNTA(NPCRace))*(TRUNC(MOD(($B638*1103515245 +12345)/ 65536, 32768),0)/32768),0))</f>
        <v>Half-Elf</v>
      </c>
      <c r="AC638" s="16" t="str">
        <f t="array" ref="AC638">INDEX(NPCAL,TRUNC(1+(COUNTA(NPCAL))*(TRUNC(MOD(($B638*1103515245 +12345)/ 65536, 32768),0)/32768),0))</f>
        <v>NG</v>
      </c>
      <c r="AD638" s="72" t="str">
        <f ca="1">IFERROR(__xludf.DUMMYFUNCTION("if(V638&lt;15,QUERY(NPCVar!C:D,""Select D WHERE C = '""&amp;D638&amp;""'""),if((TRUNC(1+10)*(TRUNC(MOD((ROW(H638)*1103515245 +12345)/ 65536, 32768),0)/32768)/10) &gt; 0.85,INDEX(NPCFaction,TRUNC(1+(counta(NPCFaction)-1)*(TRUNC(MOD(($B638*1103515245 +12345)/ 65536, 3276"&amp;"8),0)/32768),0)),QUERY(NPCVar!C:D,""Select D WHERE C = '""&amp;D638&amp;""'"")))"),"Adventures Guild")</f>
        <v>Adventures Guild</v>
      </c>
      <c r="AE638" s="108" t="e">
        <f t="shared" ca="1" si="42"/>
        <v>#NAME?</v>
      </c>
      <c r="AF638" s="159">
        <f ca="1">IFERROR(__xludf.DUMMYFUNCTION("AE638*(V638 / QUERY(NPCVar!$K$2:$N$12, ""Select N WHERE K='""&amp;AB638&amp;""'""))*TRUNC(1+10)*(TRUNC(MOD(($B638*1103515245 +12345)/ 65536, 32768),0)/32768)"),0.320427703857421)</f>
        <v>0.32042770385742098</v>
      </c>
      <c r="AG638" s="16"/>
      <c r="AH638" s="77"/>
      <c r="AI638" s="114"/>
    </row>
    <row r="639" spans="1:35" ht="16.2">
      <c r="A639" s="53">
        <v>638</v>
      </c>
      <c r="B639" s="118">
        <f t="shared" si="46"/>
        <v>2.2499799999999999</v>
      </c>
      <c r="C639" s="72" t="str">
        <f t="array" ref="C639">INDEX(NPCFName,TRUNC(1+(COUNTA(NPCFName))*(TRUNC(MOD(($B639*1103515245 +12345)/ 65536, 32768),0)/32768),0))</f>
        <v>Kafar</v>
      </c>
      <c r="D639" s="16" t="str">
        <f t="array" ref="D639">INDEX(NPCLName,TRUNC(1+(COUNTA(NPCLName))*(TRUNC(MOD(($B639*1103515245 +12345)/ 65536, 32768),0)/32768),0))</f>
        <v>Fistwing</v>
      </c>
      <c r="E639" s="16" t="str">
        <f t="array" ref="E639">INDEX(NPCClass,TRUNC(1+(COUNTA(NPCClass))*(TRUNC(MOD(($B639*1103515245 +12345)/ 65536, 32768),0)/32768),0))</f>
        <v>Bard</v>
      </c>
      <c r="F639" s="76">
        <v>1</v>
      </c>
      <c r="G639" s="153">
        <f ca="1">VLOOKUP($AB$2,'RF Mod'!$A$2:$G$12,2,FALSE)+VLOOKUP($AD$2,'RF Mod'!$I$2:$O$11,2,FALSE)+(TRUNC(6+(24-6)*(TRUNC(MOD(($Z639*1103515245 +12345)/ 65536, 32768),0)/32768),0))</f>
        <v>5</v>
      </c>
      <c r="H639" s="16">
        <f t="shared" ca="1" si="33"/>
        <v>-3</v>
      </c>
      <c r="I639" s="153">
        <f ca="1">VLOOKUP($AB$2,'RF Mod'!$A$2:$G$12,3,FALSE)+VLOOKUP($AD$2,'RF Mod'!$I$2:$O$11,3,FALSE)+(TRUNC(6+(24-6)*(TRUNC(MOD(($Z639*1103515245 +12345)/ 65536, 32768),0)/32768),0))</f>
        <v>9</v>
      </c>
      <c r="J639" s="16">
        <f t="shared" ca="1" si="34"/>
        <v>-1</v>
      </c>
      <c r="K639" s="153">
        <f ca="1">VLOOKUP($AB$2,'RF Mod'!$A$2:$G$12,3,FALSE)+VLOOKUP($AD$2,'RF Mod'!$I$2:$O$11,3,FALSE)+(TRUNC(6+(24-6)*(TRUNC(MOD(($Z639*1103515245 +12345)/ 65536, 32768),0)/32768),0))</f>
        <v>9</v>
      </c>
      <c r="L639" s="16">
        <f t="shared" ca="1" si="35"/>
        <v>-1</v>
      </c>
      <c r="M639" s="153">
        <f ca="1">VLOOKUP($AB$2,'RF Mod'!$A$2:$G$12,4,FALSE)+VLOOKUP($AD$2,'RF Mod'!$I$2:$O$11,4,FALSE)+(TRUNC(6+(24-6)*(TRUNC(MOD(($Z639*1103515245 +12345)/ 65536, 32768),0)/32768),0))</f>
        <v>8</v>
      </c>
      <c r="N639" s="16">
        <f t="shared" ca="1" si="36"/>
        <v>-1</v>
      </c>
      <c r="O639" s="153">
        <f ca="1">VLOOKUP($AB$2,'RF Mod'!$A$2:$G$12,5,FALSE)+VLOOKUP($AD$2,'RF Mod'!$I$2:$O$11,5,FALSE)+(TRUNC(6+(24-6)*(TRUNC(MOD(($Z639*1103515245 +12345)/ 65536, 32768),0)/32768),0))</f>
        <v>11</v>
      </c>
      <c r="P639" s="16" t="e">
        <f t="shared" ca="1" si="37"/>
        <v>#NAME?</v>
      </c>
      <c r="Q639" s="153">
        <f ca="1">VLOOKUP($AB$2,'RF Mod'!$A$2:$G$12,6,FALSE)+VLOOKUP($AD$2,'RF Mod'!$I$2:$O$11,6,FALSE)+(TRUNC(6+(24-6)*(TRUNC(MOD(($Z639*1103515245 +12345)/ 65536, 32768),0)/32768),0))</f>
        <v>9</v>
      </c>
      <c r="R639" s="16">
        <f t="shared" ca="1" si="38"/>
        <v>-1</v>
      </c>
      <c r="S639" s="154">
        <f t="shared" ca="1" si="43"/>
        <v>11</v>
      </c>
      <c r="T639" s="154">
        <f t="shared" ca="1" si="39"/>
        <v>11</v>
      </c>
      <c r="U639" s="16" t="str">
        <f t="shared" ca="1" si="40"/>
        <v>Unconscious</v>
      </c>
      <c r="V639" s="155">
        <f ca="1">IFERROR(__xludf.DUMMYFUNCTION("if(W639=""Middle Age"",QUERY(NPCVar!$K$2:$N1000, ""Select L where K = '""&amp;AB639&amp;""'""),if(W639=""Old"",QUERY(NPCVar!$K$2:$N1000, ""Select M where K = '""&amp;AB639&amp;""'""),if(W639=""Venerable"",QUERY(NPCVar!$K$2:$N1000, ""Select N where K = '""&amp;AB639&amp;""'""),fa"&amp;"lse)))*X639"),32)</f>
        <v>32</v>
      </c>
      <c r="W639" s="156" t="str">
        <f t="array" ref="W639">INDEX(NPCAgeType,TRUNC(1+(4-1)*(TRUNC(MOD((X639*1103515245 +12345)/ 65536, 32768),0)/32768),0))</f>
        <v>Middle Age</v>
      </c>
      <c r="X639" s="117">
        <f t="shared" si="45"/>
        <v>0.4</v>
      </c>
      <c r="Y639" s="157" t="e">
        <f t="array" aca="1" ref="Y639" ca="1">LOOKUP(ABS(MAX(Z639 + MIN(ABS(INDIRECT("Class Jobs!B"&amp;MATCH(E639,'Class Jobs'!$A$1:$A1000,0)&amp;":"&amp;"AF"&amp;MATCH(E639,'Class Jobs'!$A$1:$A1000,0)&amp;"")-$Z639)) * SUM(IF(MIN(ABS(INDIRECT("Class Jobs!B"&amp;MATCH(E639,'Class Jobs'!$A$1:$A1000,0)&amp;":"&amp;"AF"&amp;MATCH(E639,'Class Jobs'!$A$1:$A1000,0)&amp;"")-$Z639))=ABS(INDIRECT("Class Jobs!B"&amp;MATCH(E639,'Class Jobs'!$A$1:$A1000,0)&amp;":"&amp;"AF"&amp;MATCH(E639,'Class Jobs'!$A$1:$A1000,0)&amp;"")-$Z639),SIGN(INDIRECT("Class Jobs!B"&amp;MATCH(E639,'Class Jobs'!$A$1:A1000,0)&amp;":"&amp;"AF"&amp;MATCH(E639,'Class Jobs'!$A$1:$A1000,0)&amp;"")-$Z639),0)),0)),INDIRECT("Class Jobs!B"&amp;MATCH(E639,'Class Jobs'!$A$1:$A1000,0)&amp;":"&amp;"AF"&amp;MATCH(E639,'Class Jobs'!$A$1:$A1000,1)&amp;""),'Class Jobs'!$B$1:$AF$1)</f>
        <v>#REF!</v>
      </c>
      <c r="Z639" s="158">
        <f t="shared" si="41"/>
        <v>0.16</v>
      </c>
      <c r="AA639" s="16" t="str">
        <f t="array" ref="AA639">INDEX(NPCGender,TRUNC(1+(COUNTA(NPCGender))*(TRUNC(MOD(($B639*1103515245 +12345)/ 65536, 32768),0)/32768),0))</f>
        <v>Male</v>
      </c>
      <c r="AB639" s="16" t="str">
        <f t="array" ref="AB639">INDEX(NPCRace,TRUNC(1+(COUNTA(NPCRace))*(TRUNC(MOD(($B639*1103515245 +12345)/ 65536, 32768),0)/32768),0))</f>
        <v>Dwarf</v>
      </c>
      <c r="AC639" s="16" t="str">
        <f t="array" ref="AC639">INDEX(NPCAL,TRUNC(1+(COUNTA(NPCAL))*(TRUNC(MOD(($B639*1103515245 +12345)/ 65536, 32768),0)/32768),0))</f>
        <v>CE</v>
      </c>
      <c r="AD639" s="72" t="str">
        <f ca="1">IFERROR(__xludf.DUMMYFUNCTION("if(V639&lt;15,QUERY(NPCVar!C:D,""Select D WHERE C = '""&amp;D639&amp;""'""),if((TRUNC(1+10)*(TRUNC(MOD((ROW(H639)*1103515245 +12345)/ 65536, 32768),0)/32768)/10) &gt; 0.85,INDEX(NPCFaction,TRUNC(1+(counta(NPCFaction)-1)*(TRUNC(MOD(($B639*1103515245 +12345)/ 65536, 3276"&amp;"8),0)/32768),0)),QUERY(NPCVar!C:D,""Select D WHERE C = '""&amp;D639&amp;""'"")))"),"Royalty")</f>
        <v>Royalty</v>
      </c>
      <c r="AE639" s="108" t="e">
        <f t="shared" ca="1" si="42"/>
        <v>#NAME?</v>
      </c>
      <c r="AF639" s="159">
        <f ca="1">IFERROR(__xludf.DUMMYFUNCTION("AE639*(V639 / QUERY(NPCVar!$K$2:$N$12, ""Select N WHERE K='""&amp;AB639&amp;""'""))*TRUNC(1+10)*(TRUNC(MOD(($B639*1103515245 +12345)/ 65536, 32768),0)/32768)"),0.0859039306640625)</f>
        <v>8.5903930664062503E-2</v>
      </c>
      <c r="AG639" s="16"/>
      <c r="AH639" s="77"/>
      <c r="AI639" s="114"/>
    </row>
    <row r="640" spans="1:35" ht="16.2">
      <c r="A640" s="53">
        <v>639</v>
      </c>
      <c r="B640" s="118">
        <f t="shared" si="46"/>
        <v>1.24413</v>
      </c>
      <c r="C640" s="72" t="str">
        <f t="array" ref="C640">INDEX(NPCFName,TRUNC(1+(COUNTA(NPCFName))*(TRUNC(MOD(($B640*1103515245 +12345)/ 65536, 32768),0)/32768),0))</f>
        <v>Voltain</v>
      </c>
      <c r="D640" s="16" t="str">
        <f t="array" ref="D640">INDEX(NPCLName,TRUNC(1+(COUNTA(NPCLName))*(TRUNC(MOD(($B640*1103515245 +12345)/ 65536, 32768),0)/32768),0))</f>
        <v>Mourninglash</v>
      </c>
      <c r="E640" s="16" t="str">
        <f t="array" ref="E640">INDEX(NPCClass,TRUNC(1+(COUNTA(NPCClass))*(TRUNC(MOD(($B640*1103515245 +12345)/ 65536, 32768),0)/32768),0))</f>
        <v>Warlock</v>
      </c>
      <c r="F640" s="76">
        <v>8</v>
      </c>
      <c r="G640" s="153">
        <f ca="1">VLOOKUP($AB$2,'RF Mod'!$A$2:$G$12,2,FALSE)+VLOOKUP($AD$2,'RF Mod'!$I$2:$O$11,2,FALSE)+(TRUNC(6+(24-6)*(TRUNC(MOD(($Z640*1103515245 +12345)/ 65536, 32768),0)/32768),0))</f>
        <v>9</v>
      </c>
      <c r="H640" s="16">
        <f t="shared" ca="1" si="33"/>
        <v>-1</v>
      </c>
      <c r="I640" s="153">
        <f ca="1">VLOOKUP($AB$2,'RF Mod'!$A$2:$G$12,3,FALSE)+VLOOKUP($AD$2,'RF Mod'!$I$2:$O$11,3,FALSE)+(TRUNC(6+(24-6)*(TRUNC(MOD(($Z640*1103515245 +12345)/ 65536, 32768),0)/32768),0))</f>
        <v>13</v>
      </c>
      <c r="J640" s="16" t="e">
        <f t="shared" ca="1" si="34"/>
        <v>#NAME?</v>
      </c>
      <c r="K640" s="153">
        <f ca="1">VLOOKUP($AB$2,'RF Mod'!$A$2:$G$12,3,FALSE)+VLOOKUP($AD$2,'RF Mod'!$I$2:$O$11,3,FALSE)+(TRUNC(6+(24-6)*(TRUNC(MOD(($Z640*1103515245 +12345)/ 65536, 32768),0)/32768),0))</f>
        <v>13</v>
      </c>
      <c r="L640" s="16" t="e">
        <f t="shared" ca="1" si="35"/>
        <v>#NAME?</v>
      </c>
      <c r="M640" s="153">
        <f ca="1">VLOOKUP($AB$2,'RF Mod'!$A$2:$G$12,4,FALSE)+VLOOKUP($AD$2,'RF Mod'!$I$2:$O$11,4,FALSE)+(TRUNC(6+(24-6)*(TRUNC(MOD(($Z640*1103515245 +12345)/ 65536, 32768),0)/32768),0))</f>
        <v>12</v>
      </c>
      <c r="N640" s="16" t="e">
        <f t="shared" ca="1" si="36"/>
        <v>#NAME?</v>
      </c>
      <c r="O640" s="153">
        <f ca="1">VLOOKUP($AB$2,'RF Mod'!$A$2:$G$12,5,FALSE)+VLOOKUP($AD$2,'RF Mod'!$I$2:$O$11,5,FALSE)+(TRUNC(6+(24-6)*(TRUNC(MOD(($Z640*1103515245 +12345)/ 65536, 32768),0)/32768),0))</f>
        <v>15</v>
      </c>
      <c r="P640" s="16" t="e">
        <f t="shared" ca="1" si="37"/>
        <v>#NAME?</v>
      </c>
      <c r="Q640" s="153">
        <f ca="1">VLOOKUP($AB$2,'RF Mod'!$A$2:$G$12,6,FALSE)+VLOOKUP($AD$2,'RF Mod'!$I$2:$O$11,6,FALSE)+(TRUNC(6+(24-6)*(TRUNC(MOD(($Z640*1103515245 +12345)/ 65536, 32768),0)/32768),0))</f>
        <v>13</v>
      </c>
      <c r="R640" s="16" t="e">
        <f t="shared" ca="1" si="38"/>
        <v>#NAME?</v>
      </c>
      <c r="S640" s="154">
        <f t="shared" ca="1" si="43"/>
        <v>248</v>
      </c>
      <c r="T640" s="154">
        <f t="shared" ca="1" si="39"/>
        <v>109</v>
      </c>
      <c r="U640" s="16" t="str">
        <f t="shared" ca="1" si="40"/>
        <v>Fine</v>
      </c>
      <c r="V640" s="155">
        <f ca="1">IFERROR(__xludf.DUMMYFUNCTION("if(W640=""Middle Age"",QUERY(NPCVar!$K$2:$N1000, ""Select L where K = '""&amp;AB640&amp;""'""),if(W640=""Old"",QUERY(NPCVar!$K$2:$N1000, ""Select M where K = '""&amp;AB640&amp;""'""),if(W640=""Venerable"",QUERY(NPCVar!$K$2:$N1000, ""Select N where K = '""&amp;AB640&amp;""'""),fa"&amp;"lse)))*X640"),144)</f>
        <v>144</v>
      </c>
      <c r="W640" s="156" t="str">
        <f t="array" ref="W640">INDEX(NPCAgeType,TRUNC(1+(4-1)*(TRUNC(MOD((X640*1103515245 +12345)/ 65536, 32768),0)/32768),0))</f>
        <v>Venerable</v>
      </c>
      <c r="X640" s="117">
        <f t="shared" si="45"/>
        <v>1.6</v>
      </c>
      <c r="Y640" s="157" t="e">
        <f t="array" aca="1" ref="Y640" ca="1">LOOKUP(ABS(MAX(Z640 + MIN(ABS(INDIRECT("Class Jobs!B"&amp;MATCH(E640,'Class Jobs'!$A$1:$A1000,0)&amp;":"&amp;"AF"&amp;MATCH(E640,'Class Jobs'!$A$1:$A1000,0)&amp;"")-$Z640)) * SUM(IF(MIN(ABS(INDIRECT("Class Jobs!B"&amp;MATCH(E640,'Class Jobs'!$A$1:$A1000,0)&amp;":"&amp;"AF"&amp;MATCH(E640,'Class Jobs'!$A$1:$A1000,0)&amp;"")-$Z640))=ABS(INDIRECT("Class Jobs!B"&amp;MATCH(E640,'Class Jobs'!$A$1:$A1000,0)&amp;":"&amp;"AF"&amp;MATCH(E640,'Class Jobs'!$A$1:$A1000,0)&amp;"")-$Z640),SIGN(INDIRECT("Class Jobs!B"&amp;MATCH(E640,'Class Jobs'!$A$1:A1000,0)&amp;":"&amp;"AF"&amp;MATCH(E640,'Class Jobs'!$A$1:$A1000,0)&amp;"")-$Z640),0)),0)),INDIRECT("Class Jobs!B"&amp;MATCH(E640,'Class Jobs'!$A$1:$A1000,0)&amp;":"&amp;"AF"&amp;MATCH(E640,'Class Jobs'!$A$1:$A1000,1)&amp;""),'Class Jobs'!$B$1:$AF$1)</f>
        <v>#REF!</v>
      </c>
      <c r="Z640" s="158">
        <f t="shared" si="41"/>
        <v>0.64</v>
      </c>
      <c r="AA640" s="16" t="str">
        <f t="array" ref="AA640">INDEX(NPCGender,TRUNC(1+(COUNTA(NPCGender))*(TRUNC(MOD(($B640*1103515245 +12345)/ 65536, 32768),0)/32768),0))</f>
        <v>Female</v>
      </c>
      <c r="AB640" s="16" t="str">
        <f t="array" ref="AB640">INDEX(NPCRace,TRUNC(1+(COUNTA(NPCRace))*(TRUNC(MOD(($B640*1103515245 +12345)/ 65536, 32768),0)/32768),0))</f>
        <v>Human</v>
      </c>
      <c r="AC640" s="16" t="str">
        <f t="array" ref="AC640">INDEX(NPCAL,TRUNC(1+(COUNTA(NPCAL))*(TRUNC(MOD(($B640*1103515245 +12345)/ 65536, 32768),0)/32768),0))</f>
        <v>NE</v>
      </c>
      <c r="AD640" s="72" t="str">
        <f ca="1">IFERROR(__xludf.DUMMYFUNCTION("if(V640&lt;15,QUERY(NPCVar!C:D,""Select D WHERE C = '""&amp;D640&amp;""'""),if((TRUNC(1+10)*(TRUNC(MOD((ROW(H640)*1103515245 +12345)/ 65536, 32768),0)/32768)/10) &gt; 0.85,INDEX(NPCFaction,TRUNC(1+(counta(NPCFaction)-1)*(TRUNC(MOD(($B640*1103515245 +12345)/ 65536, 3276"&amp;"8),0)/32768),0)),QUERY(NPCVar!C:D,""Select D WHERE C = '""&amp;D640&amp;""'"")))"),"Death Guild")</f>
        <v>Death Guild</v>
      </c>
      <c r="AE640" s="108" t="e">
        <f t="shared" ca="1" si="42"/>
        <v>#NAME?</v>
      </c>
      <c r="AF640" s="159">
        <f ca="1">IFERROR(__xludf.DUMMYFUNCTION("AE640*(V640 / QUERY(NPCVar!$K$2:$N$12, ""Select N WHERE K='""&amp;AB640&amp;""'""))*TRUNC(1+10)*(TRUNC(MOD(($B640*1103515245 +12345)/ 65536, 32768),0)/32768)"),5.6259521484375)</f>
        <v>5.6259521484375004</v>
      </c>
      <c r="AG640" s="16"/>
      <c r="AH640" s="77"/>
      <c r="AI640" s="114"/>
    </row>
    <row r="641" spans="1:35" ht="16.2">
      <c r="A641" s="53">
        <v>640</v>
      </c>
      <c r="B641" s="118">
        <f t="shared" si="46"/>
        <v>0.23827000000000001</v>
      </c>
      <c r="C641" s="72" t="str">
        <f t="array" ref="C641">INDEX(NPCFName,TRUNC(1+(COUNTA(NPCFName))*(TRUNC(MOD(($B641*1103515245 +12345)/ 65536, 32768),0)/32768),0))</f>
        <v>Gom</v>
      </c>
      <c r="D641" s="16" t="str">
        <f t="array" ref="D641">INDEX(NPCLName,TRUNC(1+(COUNTA(NPCLName))*(TRUNC(MOD(($B641*1103515245 +12345)/ 65536, 32768),0)/32768),0))</f>
        <v>Distantlash</v>
      </c>
      <c r="E641" s="16" t="str">
        <f t="array" ref="E641">INDEX(NPCClass,TRUNC(1+(COUNTA(NPCClass))*(TRUNC(MOD(($B641*1103515245 +12345)/ 65536, 32768),0)/32768),0))</f>
        <v>Bard</v>
      </c>
      <c r="F641" s="76">
        <v>1</v>
      </c>
      <c r="G641" s="153">
        <f ca="1">VLOOKUP($AB$2,'RF Mod'!$A$2:$G$12,2,FALSE)+VLOOKUP($AD$2,'RF Mod'!$I$2:$O$11,2,FALSE)+(TRUNC(6+(24-6)*(TRUNC(MOD(($Z641*1103515245 +12345)/ 65536, 32768),0)/32768),0))</f>
        <v>5</v>
      </c>
      <c r="H641" s="16">
        <f t="shared" ca="1" si="33"/>
        <v>-3</v>
      </c>
      <c r="I641" s="153">
        <f ca="1">VLOOKUP($AB$2,'RF Mod'!$A$2:$G$12,3,FALSE)+VLOOKUP($AD$2,'RF Mod'!$I$2:$O$11,3,FALSE)+(TRUNC(6+(24-6)*(TRUNC(MOD(($Z641*1103515245 +12345)/ 65536, 32768),0)/32768),0))</f>
        <v>9</v>
      </c>
      <c r="J641" s="16">
        <f t="shared" ca="1" si="34"/>
        <v>-1</v>
      </c>
      <c r="K641" s="153">
        <f ca="1">VLOOKUP($AB$2,'RF Mod'!$A$2:$G$12,3,FALSE)+VLOOKUP($AD$2,'RF Mod'!$I$2:$O$11,3,FALSE)+(TRUNC(6+(24-6)*(TRUNC(MOD(($Z641*1103515245 +12345)/ 65536, 32768),0)/32768),0))</f>
        <v>9</v>
      </c>
      <c r="L641" s="16">
        <f t="shared" ca="1" si="35"/>
        <v>-1</v>
      </c>
      <c r="M641" s="153">
        <f ca="1">VLOOKUP($AB$2,'RF Mod'!$A$2:$G$12,4,FALSE)+VLOOKUP($AD$2,'RF Mod'!$I$2:$O$11,4,FALSE)+(TRUNC(6+(24-6)*(TRUNC(MOD(($Z641*1103515245 +12345)/ 65536, 32768),0)/32768),0))</f>
        <v>8</v>
      </c>
      <c r="N641" s="16">
        <f t="shared" ca="1" si="36"/>
        <v>-1</v>
      </c>
      <c r="O641" s="153">
        <f ca="1">VLOOKUP($AB$2,'RF Mod'!$A$2:$G$12,5,FALSE)+VLOOKUP($AD$2,'RF Mod'!$I$2:$O$11,5,FALSE)+(TRUNC(6+(24-6)*(TRUNC(MOD(($Z641*1103515245 +12345)/ 65536, 32768),0)/32768),0))</f>
        <v>11</v>
      </c>
      <c r="P641" s="16" t="e">
        <f t="shared" ca="1" si="37"/>
        <v>#NAME?</v>
      </c>
      <c r="Q641" s="153">
        <f ca="1">VLOOKUP($AB$2,'RF Mod'!$A$2:$G$12,6,FALSE)+VLOOKUP($AD$2,'RF Mod'!$I$2:$O$11,6,FALSE)+(TRUNC(6+(24-6)*(TRUNC(MOD(($Z641*1103515245 +12345)/ 65536, 32768),0)/32768),0))</f>
        <v>9</v>
      </c>
      <c r="R641" s="16">
        <f t="shared" ca="1" si="38"/>
        <v>-1</v>
      </c>
      <c r="S641" s="154">
        <f t="shared" ca="1" si="43"/>
        <v>11</v>
      </c>
      <c r="T641" s="154">
        <f t="shared" ca="1" si="39"/>
        <v>3</v>
      </c>
      <c r="U641" s="16" t="str">
        <f t="shared" ca="1" si="40"/>
        <v>Fine</v>
      </c>
      <c r="V641" s="155">
        <f ca="1">IFERROR(__xludf.DUMMYFUNCTION("if(W641=""Middle Age"",QUERY(NPCVar!$K$2:$N1000, ""Select L where K = '""&amp;AB641&amp;""'""),if(W641=""Old"",QUERY(NPCVar!$K$2:$N1000, ""Select M where K = '""&amp;AB641&amp;""'""),if(W641=""Venerable"",QUERY(NPCVar!$K$2:$N1000, ""Select N where K = '""&amp;AB641&amp;""'""),fa"&amp;"lse)))*X641"),24)</f>
        <v>24</v>
      </c>
      <c r="W641" s="156" t="str">
        <f t="array" ref="W641">INDEX(NPCAgeType,TRUNC(1+(4-1)*(TRUNC(MOD((X641*1103515245 +12345)/ 65536, 32768),0)/32768),0))</f>
        <v>Middle Age</v>
      </c>
      <c r="X641" s="117">
        <f t="shared" si="45"/>
        <v>0.3</v>
      </c>
      <c r="Y641" s="157" t="e">
        <f t="array" aca="1" ref="Y641" ca="1">LOOKUP(ABS(MAX(Z641 + MIN(ABS(INDIRECT("Class Jobs!B"&amp;MATCH(E641,'Class Jobs'!$A$1:$A1000,0)&amp;":"&amp;"AF"&amp;MATCH(E641,'Class Jobs'!$A$1:$A1000,0)&amp;"")-$Z641)) * SUM(IF(MIN(ABS(INDIRECT("Class Jobs!B"&amp;MATCH(E641,'Class Jobs'!$A$1:$A1000,0)&amp;":"&amp;"AF"&amp;MATCH(E641,'Class Jobs'!$A$1:$A1000,0)&amp;"")-$Z641))=ABS(INDIRECT("Class Jobs!B"&amp;MATCH(E641,'Class Jobs'!$A$1:$A1000,0)&amp;":"&amp;"AF"&amp;MATCH(E641,'Class Jobs'!$A$1:$A1000,0)&amp;"")-$Z641),SIGN(INDIRECT("Class Jobs!B"&amp;MATCH(E641,'Class Jobs'!$A$1:A1000,0)&amp;":"&amp;"AF"&amp;MATCH(E641,'Class Jobs'!$A$1:$A1000,0)&amp;"")-$Z641),0)),0)),INDIRECT("Class Jobs!B"&amp;MATCH(E641,'Class Jobs'!$A$1:$A1000,0)&amp;":"&amp;"AF"&amp;MATCH(E641,'Class Jobs'!$A$1:$A1000,1)&amp;""),'Class Jobs'!$B$1:$AF$1)</f>
        <v>#REF!</v>
      </c>
      <c r="Z641" s="158">
        <f t="shared" si="41"/>
        <v>0.13</v>
      </c>
      <c r="AA641" s="16" t="str">
        <f t="array" ref="AA641">INDEX(NPCGender,TRUNC(1+(COUNTA(NPCGender))*(TRUNC(MOD(($B641*1103515245 +12345)/ 65536, 32768),0)/32768),0))</f>
        <v>Male</v>
      </c>
      <c r="AB641" s="16" t="str">
        <f t="array" ref="AB641">INDEX(NPCRace,TRUNC(1+(COUNTA(NPCRace))*(TRUNC(MOD(($B641*1103515245 +12345)/ 65536, 32768),0)/32768),0))</f>
        <v>Dwarf</v>
      </c>
      <c r="AC641" s="16" t="str">
        <f t="array" ref="AC641">INDEX(NPCAL,TRUNC(1+(COUNTA(NPCAL))*(TRUNC(MOD(($B641*1103515245 +12345)/ 65536, 32768),0)/32768),0))</f>
        <v>CE</v>
      </c>
      <c r="AD641" s="72" t="str">
        <f ca="1">IFERROR(__xludf.DUMMYFUNCTION("if(V641&lt;15,QUERY(NPCVar!C:D,""Select D WHERE C = '""&amp;D641&amp;""'""),if((TRUNC(1+10)*(TRUNC(MOD((ROW(H641)*1103515245 +12345)/ 65536, 32768),0)/32768)/10) &gt; 0.85,INDEX(NPCFaction,TRUNC(1+(counta(NPCFaction)-1)*(TRUNC(MOD(($B641*1103515245 +12345)/ 65536, 3276"&amp;"8),0)/32768),0)),QUERY(NPCVar!C:D,""Select D WHERE C = '""&amp;D641&amp;""'"")))"),"Death Guild")</f>
        <v>Death Guild</v>
      </c>
      <c r="AE641" s="108" t="e">
        <f t="shared" ca="1" si="42"/>
        <v>#NAME?</v>
      </c>
      <c r="AF641" s="159">
        <f ca="1">IFERROR(__xludf.DUMMYFUNCTION("AE641*(V641 / QUERY(NPCVar!$K$2:$N$12, ""Select N WHERE K='""&amp;AB641&amp;""'""))*TRUNC(1+10)*(TRUNC(MOD(($B641*1103515245 +12345)/ 65536, 32768),0)/32768)"),0.0505050659179687)</f>
        <v>5.0505065917968703E-2</v>
      </c>
      <c r="AG641" s="16"/>
      <c r="AH641" s="77"/>
      <c r="AI641" s="114"/>
    </row>
    <row r="642" spans="1:35" ht="16.2">
      <c r="A642" s="53">
        <v>641</v>
      </c>
      <c r="B642" s="118">
        <f t="shared" ref="B642:B705" si="47">(TRUNC(1+(250000-1)*(TRUNC(MOD(((Seed*ROW())*1103515245 +12345)/ 65536, 32768),0)/32768),0))/100000</f>
        <v>1.7323999999999999</v>
      </c>
      <c r="C642" s="72" t="str">
        <f t="array" ref="C642">INDEX(NPCFName,TRUNC(1+(COUNTA(NPCFName))*(TRUNC(MOD(($B642*1103515245 +12345)/ 65536, 32768),0)/32768),0))</f>
        <v>Perol</v>
      </c>
      <c r="D642" s="16" t="str">
        <f t="array" ref="D642">INDEX(NPCLName,TRUNC(1+(COUNTA(NPCLName))*(TRUNC(MOD(($B642*1103515245 +12345)/ 65536, 32768),0)/32768),0))</f>
        <v>Forestbluff</v>
      </c>
      <c r="E642" s="16" t="str">
        <f t="array" ref="E642">INDEX(NPCClass,TRUNC(1+(COUNTA(NPCClass))*(TRUNC(MOD(($B642*1103515245 +12345)/ 65536, 32768),0)/32768),0))</f>
        <v>Fighter</v>
      </c>
      <c r="F642" s="76">
        <v>8</v>
      </c>
      <c r="G642" s="153">
        <f ca="1">VLOOKUP($AB$2,'RF Mod'!$A$2:$G$12,2,FALSE)+VLOOKUP($AD$2,'RF Mod'!$I$2:$O$11,2,FALSE)+(TRUNC(6+(24-6)*(TRUNC(MOD(($Z642*1103515245 +12345)/ 65536, 32768),0)/32768),0))</f>
        <v>12</v>
      </c>
      <c r="H642" s="16" t="e">
        <f t="shared" ca="1" si="33"/>
        <v>#NAME?</v>
      </c>
      <c r="I642" s="153">
        <f ca="1">VLOOKUP($AB$2,'RF Mod'!$A$2:$G$12,3,FALSE)+VLOOKUP($AD$2,'RF Mod'!$I$2:$O$11,3,FALSE)+(TRUNC(6+(24-6)*(TRUNC(MOD(($Z642*1103515245 +12345)/ 65536, 32768),0)/32768),0))</f>
        <v>16</v>
      </c>
      <c r="J642" s="16" t="e">
        <f t="shared" ca="1" si="34"/>
        <v>#NAME?</v>
      </c>
      <c r="K642" s="153">
        <f ca="1">VLOOKUP($AB$2,'RF Mod'!$A$2:$G$12,3,FALSE)+VLOOKUP($AD$2,'RF Mod'!$I$2:$O$11,3,FALSE)+(TRUNC(6+(24-6)*(TRUNC(MOD(($Z642*1103515245 +12345)/ 65536, 32768),0)/32768),0))</f>
        <v>16</v>
      </c>
      <c r="L642" s="16" t="e">
        <f t="shared" ca="1" si="35"/>
        <v>#NAME?</v>
      </c>
      <c r="M642" s="153">
        <f ca="1">VLOOKUP($AB$2,'RF Mod'!$A$2:$G$12,4,FALSE)+VLOOKUP($AD$2,'RF Mod'!$I$2:$O$11,4,FALSE)+(TRUNC(6+(24-6)*(TRUNC(MOD(($Z642*1103515245 +12345)/ 65536, 32768),0)/32768),0))</f>
        <v>15</v>
      </c>
      <c r="N642" s="16" t="e">
        <f t="shared" ca="1" si="36"/>
        <v>#NAME?</v>
      </c>
      <c r="O642" s="153">
        <f ca="1">VLOOKUP($AB$2,'RF Mod'!$A$2:$G$12,5,FALSE)+VLOOKUP($AD$2,'RF Mod'!$I$2:$O$11,5,FALSE)+(TRUNC(6+(24-6)*(TRUNC(MOD(($Z642*1103515245 +12345)/ 65536, 32768),0)/32768),0))</f>
        <v>18</v>
      </c>
      <c r="P642" s="16" t="e">
        <f t="shared" ca="1" si="37"/>
        <v>#NAME?</v>
      </c>
      <c r="Q642" s="153">
        <f ca="1">VLOOKUP($AB$2,'RF Mod'!$A$2:$G$12,6,FALSE)+VLOOKUP($AD$2,'RF Mod'!$I$2:$O$11,6,FALSE)+(TRUNC(6+(24-6)*(TRUNC(MOD(($Z642*1103515245 +12345)/ 65536, 32768),0)/32768),0))</f>
        <v>16</v>
      </c>
      <c r="R642" s="16" t="e">
        <f t="shared" ca="1" si="38"/>
        <v>#NAME?</v>
      </c>
      <c r="S642" s="154">
        <f t="shared" ca="1" si="43"/>
        <v>192</v>
      </c>
      <c r="T642" s="154">
        <f t="shared" ca="1" si="39"/>
        <v>66</v>
      </c>
      <c r="U642" s="16" t="str">
        <f t="shared" ca="1" si="40"/>
        <v>Fine</v>
      </c>
      <c r="V642" s="155">
        <f ca="1">IFERROR(__xludf.DUMMYFUNCTION("if(W642=""Middle Age"",QUERY(NPCVar!$K$2:$N1000, ""Select L where K = '""&amp;AB642&amp;""'""),if(W642=""Old"",QUERY(NPCVar!$K$2:$N1000, ""Select M where K = '""&amp;AB642&amp;""'""),if(W642=""Venerable"",QUERY(NPCVar!$K$2:$N1000, ""Select N where K = '""&amp;AB642&amp;""'""),fa"&amp;"lse)))*X642"),60.5)</f>
        <v>60.5</v>
      </c>
      <c r="W642" s="156" t="str">
        <f t="array" ref="W642">INDEX(NPCAgeType,TRUNC(1+(4-1)*(TRUNC(MOD((X642*1103515245 +12345)/ 65536, 32768),0)/32768),0))</f>
        <v>Middle Age</v>
      </c>
      <c r="X642" s="117">
        <f t="shared" si="45"/>
        <v>2.2000000000000002</v>
      </c>
      <c r="Y642" s="157" t="e">
        <f t="array" aca="1" ref="Y642" ca="1">LOOKUP(ABS(MAX(Z642 + MIN(ABS(INDIRECT("Class Jobs!B"&amp;MATCH(E642,'Class Jobs'!$A$1:$A1000,0)&amp;":"&amp;"AF"&amp;MATCH(E642,'Class Jobs'!$A$1:$A1000,0)&amp;"")-$Z642)) * SUM(IF(MIN(ABS(INDIRECT("Class Jobs!B"&amp;MATCH(E642,'Class Jobs'!$A$1:$A1000,0)&amp;":"&amp;"AF"&amp;MATCH(E642,'Class Jobs'!$A$1:$A1000,0)&amp;"")-$Z642))=ABS(INDIRECT("Class Jobs!B"&amp;MATCH(E642,'Class Jobs'!$A$1:$A1000,0)&amp;":"&amp;"AF"&amp;MATCH(E642,'Class Jobs'!$A$1:$A1000,0)&amp;"")-$Z642),SIGN(INDIRECT("Class Jobs!B"&amp;MATCH(E642,'Class Jobs'!$A$1:A1000,0)&amp;":"&amp;"AF"&amp;MATCH(E642,'Class Jobs'!$A$1:$A1000,0)&amp;"")-$Z642),0)),0)),INDIRECT("Class Jobs!B"&amp;MATCH(E642,'Class Jobs'!$A$1:$A1000,0)&amp;":"&amp;"AF"&amp;MATCH(E642,'Class Jobs'!$A$1:$A1000,1)&amp;""),'Class Jobs'!$B$1:$AF$1)</f>
        <v>#REF!</v>
      </c>
      <c r="Z642" s="158">
        <f t="shared" si="41"/>
        <v>0.89</v>
      </c>
      <c r="AA642" s="16" t="str">
        <f t="array" ref="AA642">INDEX(NPCGender,TRUNC(1+(COUNTA(NPCGender))*(TRUNC(MOD(($B642*1103515245 +12345)/ 65536, 32768),0)/32768),0))</f>
        <v>Neutral</v>
      </c>
      <c r="AB642" s="16" t="str">
        <f t="array" ref="AB642">INDEX(NPCRace,TRUNC(1+(COUNTA(NPCRace))*(TRUNC(MOD(($B642*1103515245 +12345)/ 65536, 32768),0)/32768),0))</f>
        <v>Genasi</v>
      </c>
      <c r="AC642" s="16" t="str">
        <f t="array" ref="AC642">INDEX(NPCAL,TRUNC(1+(COUNTA(NPCAL))*(TRUNC(MOD(($B642*1103515245 +12345)/ 65536, 32768),0)/32768),0))</f>
        <v>LE</v>
      </c>
      <c r="AD642" s="72" t="str">
        <f ca="1">IFERROR(__xludf.DUMMYFUNCTION("if(V642&lt;15,QUERY(NPCVar!C:D,""Select D WHERE C = '""&amp;D642&amp;""'""),if((TRUNC(1+10)*(TRUNC(MOD((ROW(H642)*1103515245 +12345)/ 65536, 32768),0)/32768)/10) &gt; 0.85,INDEX(NPCFaction,TRUNC(1+(counta(NPCFaction)-1)*(TRUNC(MOD(($B642*1103515245 +12345)/ 65536, 3276"&amp;"8),0)/32768),0)),QUERY(NPCVar!C:D,""Select D WHERE C = '""&amp;D642&amp;""'"")))"),"Traverlers Guild")</f>
        <v>Traverlers Guild</v>
      </c>
      <c r="AE642" s="108" t="e">
        <f t="shared" ca="1" si="42"/>
        <v>#NAME?</v>
      </c>
      <c r="AF642" s="159">
        <f ca="1">IFERROR(__xludf.DUMMYFUNCTION("AE642*(V642 / QUERY(NPCVar!$K$2:$N$12, ""Select N WHERE K='""&amp;AB642&amp;""'""))*TRUNC(1+10)*(TRUNC(MOD(($B642*1103515245 +12345)/ 65536, 32768),0)/32768)"),2.6928482055664)</f>
        <v>2.6928482055664</v>
      </c>
      <c r="AG642" s="16"/>
      <c r="AH642" s="77"/>
      <c r="AI642" s="114"/>
    </row>
    <row r="643" spans="1:35" ht="16.2">
      <c r="A643" s="53">
        <v>642</v>
      </c>
      <c r="B643" s="118">
        <f t="shared" si="47"/>
        <v>0.72655000000000003</v>
      </c>
      <c r="C643" s="72" t="str">
        <f t="array" ref="C643">INDEX(NPCFName,TRUNC(1+(COUNTA(NPCFName))*(TRUNC(MOD(($B643*1103515245 +12345)/ 65536, 32768),0)/32768),0))</f>
        <v>Buchmeid</v>
      </c>
      <c r="D643" s="16" t="str">
        <f t="array" ref="D643">INDEX(NPCLName,TRUNC(1+(COUNTA(NPCLName))*(TRUNC(MOD(($B643*1103515245 +12345)/ 65536, 32768),0)/32768),0))</f>
        <v>Fistroot</v>
      </c>
      <c r="E643" s="16" t="str">
        <f t="array" ref="E643">INDEX(NPCClass,TRUNC(1+(COUNTA(NPCClass))*(TRUNC(MOD(($B643*1103515245 +12345)/ 65536, 32768),0)/32768),0))</f>
        <v>Paladin</v>
      </c>
      <c r="F643" s="76">
        <v>6</v>
      </c>
      <c r="G643" s="153">
        <f ca="1">VLOOKUP($AB$2,'RF Mod'!$A$2:$G$12,2,FALSE)+VLOOKUP($AD$2,'RF Mod'!$I$2:$O$11,2,FALSE)+(TRUNC(6+(24-6)*(TRUNC(MOD(($Z643*1103515245 +12345)/ 65536, 32768),0)/32768),0))</f>
        <v>7</v>
      </c>
      <c r="H643" s="16">
        <f t="shared" ca="1" si="33"/>
        <v>-2</v>
      </c>
      <c r="I643" s="153">
        <f ca="1">VLOOKUP($AB$2,'RF Mod'!$A$2:$G$12,3,FALSE)+VLOOKUP($AD$2,'RF Mod'!$I$2:$O$11,3,FALSE)+(TRUNC(6+(24-6)*(TRUNC(MOD(($Z643*1103515245 +12345)/ 65536, 32768),0)/32768),0))</f>
        <v>11</v>
      </c>
      <c r="J643" s="16" t="e">
        <f t="shared" ca="1" si="34"/>
        <v>#NAME?</v>
      </c>
      <c r="K643" s="153">
        <f ca="1">VLOOKUP($AB$2,'RF Mod'!$A$2:$G$12,3,FALSE)+VLOOKUP($AD$2,'RF Mod'!$I$2:$O$11,3,FALSE)+(TRUNC(6+(24-6)*(TRUNC(MOD(($Z643*1103515245 +12345)/ 65536, 32768),0)/32768),0))</f>
        <v>11</v>
      </c>
      <c r="L643" s="16" t="e">
        <f t="shared" ca="1" si="35"/>
        <v>#NAME?</v>
      </c>
      <c r="M643" s="153">
        <f ca="1">VLOOKUP($AB$2,'RF Mod'!$A$2:$G$12,4,FALSE)+VLOOKUP($AD$2,'RF Mod'!$I$2:$O$11,4,FALSE)+(TRUNC(6+(24-6)*(TRUNC(MOD(($Z643*1103515245 +12345)/ 65536, 32768),0)/32768),0))</f>
        <v>10</v>
      </c>
      <c r="N643" s="16" t="e">
        <f t="shared" ca="1" si="36"/>
        <v>#NAME?</v>
      </c>
      <c r="O643" s="153">
        <f ca="1">VLOOKUP($AB$2,'RF Mod'!$A$2:$G$12,5,FALSE)+VLOOKUP($AD$2,'RF Mod'!$I$2:$O$11,5,FALSE)+(TRUNC(6+(24-6)*(TRUNC(MOD(($Z643*1103515245 +12345)/ 65536, 32768),0)/32768),0))</f>
        <v>13</v>
      </c>
      <c r="P643" s="16" t="e">
        <f t="shared" ca="1" si="37"/>
        <v>#NAME?</v>
      </c>
      <c r="Q643" s="153">
        <f ca="1">VLOOKUP($AB$2,'RF Mod'!$A$2:$G$12,6,FALSE)+VLOOKUP($AD$2,'RF Mod'!$I$2:$O$11,6,FALSE)+(TRUNC(6+(24-6)*(TRUNC(MOD(($Z643*1103515245 +12345)/ 65536, 32768),0)/32768),0))</f>
        <v>11</v>
      </c>
      <c r="R643" s="16" t="e">
        <f t="shared" ca="1" si="38"/>
        <v>#NAME?</v>
      </c>
      <c r="S643" s="154">
        <f t="shared" ca="1" si="43"/>
        <v>138</v>
      </c>
      <c r="T643" s="154">
        <f t="shared" ca="1" si="39"/>
        <v>134</v>
      </c>
      <c r="U643" s="16" t="str">
        <f t="shared" ca="1" si="40"/>
        <v>Bloody</v>
      </c>
      <c r="V643" s="155">
        <f ca="1">IFERROR(__xludf.DUMMYFUNCTION("if(W643=""Middle Age"",QUERY(NPCVar!$K$2:$N1000, ""Select L where K = '""&amp;AB643&amp;""'""),if(W643=""Old"",QUERY(NPCVar!$K$2:$N1000, ""Select M where K = '""&amp;AB643&amp;""'""),if(W643=""Venerable"",QUERY(NPCVar!$K$2:$N1000, ""Select N where K = '""&amp;AB643&amp;""'""),fa"&amp;"lse)))*X643"),60.75)</f>
        <v>60.75</v>
      </c>
      <c r="W643" s="156" t="str">
        <f t="array" ref="W643">INDEX(NPCAgeType,TRUNC(1+(4-1)*(TRUNC(MOD((X643*1103515245 +12345)/ 65536, 32768),0)/32768),0))</f>
        <v>Old</v>
      </c>
      <c r="X643" s="117">
        <f t="shared" si="45"/>
        <v>0.9</v>
      </c>
      <c r="Y643" s="157" t="e">
        <f t="array" aca="1" ref="Y643" ca="1">LOOKUP(ABS(MAX(Z643 + MIN(ABS(INDIRECT("Class Jobs!B"&amp;MATCH(E643,'Class Jobs'!$A$1:$A1000,0)&amp;":"&amp;"AF"&amp;MATCH(E643,'Class Jobs'!$A$1:$A1000,0)&amp;"")-$Z643)) * SUM(IF(MIN(ABS(INDIRECT("Class Jobs!B"&amp;MATCH(E643,'Class Jobs'!$A$1:$A1000,0)&amp;":"&amp;"AF"&amp;MATCH(E643,'Class Jobs'!$A$1:$A1000,0)&amp;"")-$Z643))=ABS(INDIRECT("Class Jobs!B"&amp;MATCH(E643,'Class Jobs'!$A$1:$A1000,0)&amp;":"&amp;"AF"&amp;MATCH(E643,'Class Jobs'!$A$1:$A1000,0)&amp;"")-$Z643),SIGN(INDIRECT("Class Jobs!B"&amp;MATCH(E643,'Class Jobs'!$A$1:A1000,0)&amp;":"&amp;"AF"&amp;MATCH(E643,'Class Jobs'!$A$1:$A1000,0)&amp;"")-$Z643),0)),0)),INDIRECT("Class Jobs!B"&amp;MATCH(E643,'Class Jobs'!$A$1:$A1000,0)&amp;":"&amp;"AF"&amp;MATCH(E643,'Class Jobs'!$A$1:$A1000,1)&amp;""),'Class Jobs'!$B$1:$AF$1)</f>
        <v>#REF!</v>
      </c>
      <c r="Z643" s="158">
        <f t="shared" si="41"/>
        <v>0.37</v>
      </c>
      <c r="AA643" s="16" t="str">
        <f t="array" ref="AA643">INDEX(NPCGender,TRUNC(1+(COUNTA(NPCGender))*(TRUNC(MOD(($B643*1103515245 +12345)/ 65536, 32768),0)/32768),0))</f>
        <v>Female</v>
      </c>
      <c r="AB643" s="16" t="str">
        <f t="array" ref="AB643">INDEX(NPCRace,TRUNC(1+(COUNTA(NPCRace))*(TRUNC(MOD(($B643*1103515245 +12345)/ 65536, 32768),0)/32768),0))</f>
        <v>Half-Elf</v>
      </c>
      <c r="AC643" s="16" t="str">
        <f t="array" ref="AC643">INDEX(NPCAL,TRUNC(1+(COUNTA(NPCAL))*(TRUNC(MOD(($B643*1103515245 +12345)/ 65536, 32768),0)/32768),0))</f>
        <v>NG</v>
      </c>
      <c r="AD643" s="72" t="str">
        <f ca="1">IFERROR(__xludf.DUMMYFUNCTION("if(V643&lt;15,QUERY(NPCVar!C:D,""Select D WHERE C = '""&amp;D643&amp;""'""),if((TRUNC(1+10)*(TRUNC(MOD((ROW(H643)*1103515245 +12345)/ 65536, 32768),0)/32768)/10) &gt; 0.85,INDEX(NPCFaction,TRUNC(1+(counta(NPCFaction)-1)*(TRUNC(MOD(($B643*1103515245 +12345)/ 65536, 3276"&amp;"8),0)/32768),0)),QUERY(NPCVar!C:D,""Select D WHERE C = '""&amp;D643&amp;""'"")))"),"Magic Guild")</f>
        <v>Magic Guild</v>
      </c>
      <c r="AE643" s="108" t="e">
        <f t="shared" ca="1" si="42"/>
        <v>#NAME?</v>
      </c>
      <c r="AF643" s="159">
        <f ca="1">IFERROR(__xludf.DUMMYFUNCTION("AE643*(V643 / QUERY(NPCVar!$K$2:$N$12, ""Select N WHERE K='""&amp;AB643&amp;""'""))*TRUNC(1+10)*(TRUNC(MOD(($B643*1103515245 +12345)/ 65536, 32768),0)/32768)"),1.10885559082031)</f>
        <v>1.1088555908203099</v>
      </c>
      <c r="AG643" s="16"/>
      <c r="AH643" s="77"/>
      <c r="AI643" s="114"/>
    </row>
    <row r="644" spans="1:35" ht="16.2">
      <c r="A644" s="53">
        <v>643</v>
      </c>
      <c r="B644" s="118">
        <f t="shared" si="47"/>
        <v>2.2206800000000002</v>
      </c>
      <c r="C644" s="72" t="str">
        <f t="array" ref="C644">INDEX(NPCFName,TRUNC(1+(COUNTA(NPCFName))*(TRUNC(MOD(($B644*1103515245 +12345)/ 65536, 32768),0)/32768),0))</f>
        <v>Ieserk</v>
      </c>
      <c r="D644" s="16" t="str">
        <f t="array" ref="D644">INDEX(NPCLName,TRUNC(1+(COUNTA(NPCLName))*(TRUNC(MOD(($B644*1103515245 +12345)/ 65536, 32768),0)/32768),0))</f>
        <v>Fistwing</v>
      </c>
      <c r="E644" s="16" t="str">
        <f t="array" ref="E644">INDEX(NPCClass,TRUNC(1+(COUNTA(NPCClass))*(TRUNC(MOD(($B644*1103515245 +12345)/ 65536, 32768),0)/32768),0))</f>
        <v>Bard</v>
      </c>
      <c r="F644" s="76">
        <v>1</v>
      </c>
      <c r="G644" s="153">
        <f ca="1">VLOOKUP($AB$2,'RF Mod'!$A$2:$G$12,2,FALSE)+VLOOKUP($AD$2,'RF Mod'!$I$2:$O$11,2,FALSE)+(TRUNC(6+(24-6)*(TRUNC(MOD(($Z644*1103515245 +12345)/ 65536, 32768),0)/32768),0))</f>
        <v>5</v>
      </c>
      <c r="H644" s="16">
        <f t="shared" ca="1" si="33"/>
        <v>-3</v>
      </c>
      <c r="I644" s="153">
        <f ca="1">VLOOKUP($AB$2,'RF Mod'!$A$2:$G$12,3,FALSE)+VLOOKUP($AD$2,'RF Mod'!$I$2:$O$11,3,FALSE)+(TRUNC(6+(24-6)*(TRUNC(MOD(($Z644*1103515245 +12345)/ 65536, 32768),0)/32768),0))</f>
        <v>9</v>
      </c>
      <c r="J644" s="16">
        <f t="shared" ca="1" si="34"/>
        <v>-1</v>
      </c>
      <c r="K644" s="153">
        <f ca="1">VLOOKUP($AB$2,'RF Mod'!$A$2:$G$12,3,FALSE)+VLOOKUP($AD$2,'RF Mod'!$I$2:$O$11,3,FALSE)+(TRUNC(6+(24-6)*(TRUNC(MOD(($Z644*1103515245 +12345)/ 65536, 32768),0)/32768),0))</f>
        <v>9</v>
      </c>
      <c r="L644" s="16">
        <f t="shared" ca="1" si="35"/>
        <v>-1</v>
      </c>
      <c r="M644" s="153">
        <f ca="1">VLOOKUP($AB$2,'RF Mod'!$A$2:$G$12,4,FALSE)+VLOOKUP($AD$2,'RF Mod'!$I$2:$O$11,4,FALSE)+(TRUNC(6+(24-6)*(TRUNC(MOD(($Z644*1103515245 +12345)/ 65536, 32768),0)/32768),0))</f>
        <v>8</v>
      </c>
      <c r="N644" s="16">
        <f t="shared" ca="1" si="36"/>
        <v>-1</v>
      </c>
      <c r="O644" s="153">
        <f ca="1">VLOOKUP($AB$2,'RF Mod'!$A$2:$G$12,5,FALSE)+VLOOKUP($AD$2,'RF Mod'!$I$2:$O$11,5,FALSE)+(TRUNC(6+(24-6)*(TRUNC(MOD(($Z644*1103515245 +12345)/ 65536, 32768),0)/32768),0))</f>
        <v>11</v>
      </c>
      <c r="P644" s="16" t="e">
        <f t="shared" ca="1" si="37"/>
        <v>#NAME?</v>
      </c>
      <c r="Q644" s="153">
        <f ca="1">VLOOKUP($AB$2,'RF Mod'!$A$2:$G$12,6,FALSE)+VLOOKUP($AD$2,'RF Mod'!$I$2:$O$11,6,FALSE)+(TRUNC(6+(24-6)*(TRUNC(MOD(($Z644*1103515245 +12345)/ 65536, 32768),0)/32768),0))</f>
        <v>9</v>
      </c>
      <c r="R644" s="16">
        <f t="shared" ca="1" si="38"/>
        <v>-1</v>
      </c>
      <c r="S644" s="154">
        <f t="shared" ca="1" si="43"/>
        <v>11</v>
      </c>
      <c r="T644" s="154">
        <f t="shared" ca="1" si="39"/>
        <v>3</v>
      </c>
      <c r="U644" s="16" t="str">
        <f t="shared" ca="1" si="40"/>
        <v>Fine</v>
      </c>
      <c r="V644" s="155">
        <f ca="1">IFERROR(__xludf.DUMMYFUNCTION("if(W644=""Middle Age"",QUERY(NPCVar!$K$2:$N1000, ""Select L where K = '""&amp;AB644&amp;""'""),if(W644=""Old"",QUERY(NPCVar!$K$2:$N1000, ""Select M where K = '""&amp;AB644&amp;""'""),if(W644=""Venerable"",QUERY(NPCVar!$K$2:$N1000, ""Select N where K = '""&amp;AB644&amp;""'""),fa"&amp;"lse)))*X644"),32)</f>
        <v>32</v>
      </c>
      <c r="W644" s="156" t="str">
        <f t="array" ref="W644">INDEX(NPCAgeType,TRUNC(1+(4-1)*(TRUNC(MOD((X644*1103515245 +12345)/ 65536, 32768),0)/32768),0))</f>
        <v>Middle Age</v>
      </c>
      <c r="X644" s="117">
        <f t="shared" si="45"/>
        <v>0.4</v>
      </c>
      <c r="Y644" s="157" t="e">
        <f t="array" aca="1" ref="Y644" ca="1">LOOKUP(ABS(MAX(Z644 + MIN(ABS(INDIRECT("Class Jobs!B"&amp;MATCH(E644,'Class Jobs'!$A$1:$A1000,0)&amp;":"&amp;"AF"&amp;MATCH(E644,'Class Jobs'!$A$1:$A1000,0)&amp;"")-$Z644)) * SUM(IF(MIN(ABS(INDIRECT("Class Jobs!B"&amp;MATCH(E644,'Class Jobs'!$A$1:$A1000,0)&amp;":"&amp;"AF"&amp;MATCH(E644,'Class Jobs'!$A$1:$A1000,0)&amp;"")-$Z644))=ABS(INDIRECT("Class Jobs!B"&amp;MATCH(E644,'Class Jobs'!$A$1:$A1000,0)&amp;":"&amp;"AF"&amp;MATCH(E644,'Class Jobs'!$A$1:$A1000,0)&amp;"")-$Z644),SIGN(INDIRECT("Class Jobs!B"&amp;MATCH(E644,'Class Jobs'!$A$1:A1000,0)&amp;":"&amp;"AF"&amp;MATCH(E644,'Class Jobs'!$A$1:$A1000,0)&amp;"")-$Z644),0)),0)),INDIRECT("Class Jobs!B"&amp;MATCH(E644,'Class Jobs'!$A$1:$A1000,0)&amp;":"&amp;"AF"&amp;MATCH(E644,'Class Jobs'!$A$1:$A1000,1)&amp;""),'Class Jobs'!$B$1:$AF$1)</f>
        <v>#REF!</v>
      </c>
      <c r="Z644" s="158">
        <f t="shared" si="41"/>
        <v>0.14000000000000001</v>
      </c>
      <c r="AA644" s="16" t="str">
        <f t="array" ref="AA644">INDEX(NPCGender,TRUNC(1+(COUNTA(NPCGender))*(TRUNC(MOD(($B644*1103515245 +12345)/ 65536, 32768),0)/32768),0))</f>
        <v>Male</v>
      </c>
      <c r="AB644" s="16" t="str">
        <f t="array" ref="AB644">INDEX(NPCRace,TRUNC(1+(COUNTA(NPCRace))*(TRUNC(MOD(($B644*1103515245 +12345)/ 65536, 32768),0)/32768),0))</f>
        <v>Dwarf</v>
      </c>
      <c r="AC644" s="16" t="str">
        <f t="array" ref="AC644">INDEX(NPCAL,TRUNC(1+(COUNTA(NPCAL))*(TRUNC(MOD(($B644*1103515245 +12345)/ 65536, 32768),0)/32768),0))</f>
        <v>CE</v>
      </c>
      <c r="AD644" s="72" t="str">
        <f ca="1">IFERROR(__xludf.DUMMYFUNCTION("if(V644&lt;15,QUERY(NPCVar!C:D,""Select D WHERE C = '""&amp;D644&amp;""'""),if((TRUNC(1+10)*(TRUNC(MOD((ROW(H644)*1103515245 +12345)/ 65536, 32768),0)/32768)/10) &gt; 0.85,INDEX(NPCFaction,TRUNC(1+(counta(NPCFaction)-1)*(TRUNC(MOD(($B644*1103515245 +12345)/ 65536, 3276"&amp;"8),0)/32768),0)),QUERY(NPCVar!C:D,""Select D WHERE C = '""&amp;D644&amp;""'"")))"),"Necromancer")</f>
        <v>Necromancer</v>
      </c>
      <c r="AE644" s="108" t="e">
        <f t="shared" ca="1" si="42"/>
        <v>#NAME?</v>
      </c>
      <c r="AF644" s="159">
        <f ca="1">IFERROR(__xludf.DUMMYFUNCTION("AE644*(V644 / QUERY(NPCVar!$K$2:$N$12, ""Select N WHERE K='""&amp;AB644&amp;""'""))*TRUNC(1+10)*(TRUNC(MOD(($B644*1103515245 +12345)/ 65536, 32768),0)/32768)"),0.0155224609375)</f>
        <v>1.55224609375E-2</v>
      </c>
      <c r="AG644" s="16"/>
      <c r="AH644" s="77"/>
      <c r="AI644" s="114"/>
    </row>
    <row r="645" spans="1:35" ht="16.2">
      <c r="A645" s="53">
        <v>644</v>
      </c>
      <c r="B645" s="118">
        <f t="shared" si="47"/>
        <v>1.21475</v>
      </c>
      <c r="C645" s="72" t="str">
        <f t="array" ref="C645">INDEX(NPCFName,TRUNC(1+(COUNTA(NPCFName))*(TRUNC(MOD(($B645*1103515245 +12345)/ 65536, 32768),0)/32768),0))</f>
        <v>Tuscanar</v>
      </c>
      <c r="D645" s="16" t="str">
        <f t="array" ref="D645">INDEX(NPCLName,TRUNC(1+(COUNTA(NPCLName))*(TRUNC(MOD(($B645*1103515245 +12345)/ 65536, 32768),0)/32768),0))</f>
        <v>Gloomrage</v>
      </c>
      <c r="E645" s="16" t="str">
        <f t="array" ref="E645">INDEX(NPCClass,TRUNC(1+(COUNTA(NPCClass))*(TRUNC(MOD(($B645*1103515245 +12345)/ 65536, 32768),0)/32768),0))</f>
        <v>Warlock</v>
      </c>
      <c r="F645" s="76">
        <v>8</v>
      </c>
      <c r="G645" s="153">
        <f ca="1">VLOOKUP($AB$2,'RF Mod'!$A$2:$G$12,2,FALSE)+VLOOKUP($AD$2,'RF Mod'!$I$2:$O$11,2,FALSE)+(TRUNC(6+(24-6)*(TRUNC(MOD(($Z645*1103515245 +12345)/ 65536, 32768),0)/32768),0))</f>
        <v>9</v>
      </c>
      <c r="H645" s="16">
        <f t="shared" ca="1" si="33"/>
        <v>-1</v>
      </c>
      <c r="I645" s="153">
        <f ca="1">VLOOKUP($AB$2,'RF Mod'!$A$2:$G$12,3,FALSE)+VLOOKUP($AD$2,'RF Mod'!$I$2:$O$11,3,FALSE)+(TRUNC(6+(24-6)*(TRUNC(MOD(($Z645*1103515245 +12345)/ 65536, 32768),0)/32768),0))</f>
        <v>13</v>
      </c>
      <c r="J645" s="16" t="e">
        <f t="shared" ca="1" si="34"/>
        <v>#NAME?</v>
      </c>
      <c r="K645" s="153">
        <f ca="1">VLOOKUP($AB$2,'RF Mod'!$A$2:$G$12,3,FALSE)+VLOOKUP($AD$2,'RF Mod'!$I$2:$O$11,3,FALSE)+(TRUNC(6+(24-6)*(TRUNC(MOD(($Z645*1103515245 +12345)/ 65536, 32768),0)/32768),0))</f>
        <v>13</v>
      </c>
      <c r="L645" s="16" t="e">
        <f t="shared" ca="1" si="35"/>
        <v>#NAME?</v>
      </c>
      <c r="M645" s="153">
        <f ca="1">VLOOKUP($AB$2,'RF Mod'!$A$2:$G$12,4,FALSE)+VLOOKUP($AD$2,'RF Mod'!$I$2:$O$11,4,FALSE)+(TRUNC(6+(24-6)*(TRUNC(MOD(($Z645*1103515245 +12345)/ 65536, 32768),0)/32768),0))</f>
        <v>12</v>
      </c>
      <c r="N645" s="16" t="e">
        <f t="shared" ca="1" si="36"/>
        <v>#NAME?</v>
      </c>
      <c r="O645" s="153">
        <f ca="1">VLOOKUP($AB$2,'RF Mod'!$A$2:$G$12,5,FALSE)+VLOOKUP($AD$2,'RF Mod'!$I$2:$O$11,5,FALSE)+(TRUNC(6+(24-6)*(TRUNC(MOD(($Z645*1103515245 +12345)/ 65536, 32768),0)/32768),0))</f>
        <v>15</v>
      </c>
      <c r="P645" s="16" t="e">
        <f t="shared" ca="1" si="37"/>
        <v>#NAME?</v>
      </c>
      <c r="Q645" s="153">
        <f ca="1">VLOOKUP($AB$2,'RF Mod'!$A$2:$G$12,6,FALSE)+VLOOKUP($AD$2,'RF Mod'!$I$2:$O$11,6,FALSE)+(TRUNC(6+(24-6)*(TRUNC(MOD(($Z645*1103515245 +12345)/ 65536, 32768),0)/32768),0))</f>
        <v>13</v>
      </c>
      <c r="R645" s="16" t="e">
        <f t="shared" ca="1" si="38"/>
        <v>#NAME?</v>
      </c>
      <c r="S645" s="154">
        <f t="shared" ca="1" si="43"/>
        <v>152</v>
      </c>
      <c r="T645" s="154">
        <f t="shared" ca="1" si="39"/>
        <v>19</v>
      </c>
      <c r="U645" s="16" t="str">
        <f t="shared" ca="1" si="40"/>
        <v>Fine</v>
      </c>
      <c r="V645" s="155">
        <f ca="1">IFERROR(__xludf.DUMMYFUNCTION("if(W645=""Middle Age"",QUERY(NPCVar!$K$2:$N1000, ""Select L where K = '""&amp;AB645&amp;""'""),if(W645=""Old"",QUERY(NPCVar!$K$2:$N1000, ""Select M where K = '""&amp;AB645&amp;""'""),if(W645=""Venerable"",QUERY(NPCVar!$K$2:$N1000, ""Select N where K = '""&amp;AB645&amp;""'""),fa"&amp;"lse)))*X645"),300)</f>
        <v>300</v>
      </c>
      <c r="W645" s="156" t="str">
        <f t="array" ref="W645">INDEX(NPCAgeType,TRUNC(1+(4-1)*(TRUNC(MOD((X645*1103515245 +12345)/ 65536, 32768),0)/32768),0))</f>
        <v>Venerable</v>
      </c>
      <c r="X645" s="117">
        <f t="shared" si="45"/>
        <v>1.5</v>
      </c>
      <c r="Y645" s="157" t="e">
        <f t="array" aca="1" ref="Y645" ca="1">LOOKUP(ABS(MAX(Z645 + MIN(ABS(INDIRECT("Class Jobs!B"&amp;MATCH(E645,'Class Jobs'!$A$1:$A1000,0)&amp;":"&amp;"AF"&amp;MATCH(E645,'Class Jobs'!$A$1:$A1000,0)&amp;"")-$Z645)) * SUM(IF(MIN(ABS(INDIRECT("Class Jobs!B"&amp;MATCH(E645,'Class Jobs'!$A$1:$A1000,0)&amp;":"&amp;"AF"&amp;MATCH(E645,'Class Jobs'!$A$1:$A1000,0)&amp;"")-$Z645))=ABS(INDIRECT("Class Jobs!B"&amp;MATCH(E645,'Class Jobs'!$A$1:$A1000,0)&amp;":"&amp;"AF"&amp;MATCH(E645,'Class Jobs'!$A$1:$A1000,0)&amp;"")-$Z645),SIGN(INDIRECT("Class Jobs!B"&amp;MATCH(E645,'Class Jobs'!$A$1:A1000,0)&amp;":"&amp;"AF"&amp;MATCH(E645,'Class Jobs'!$A$1:$A1000,0)&amp;"")-$Z645),0)),0)),INDIRECT("Class Jobs!B"&amp;MATCH(E645,'Class Jobs'!$A$1:$A1000,0)&amp;":"&amp;"AF"&amp;MATCH(E645,'Class Jobs'!$A$1:$A1000,1)&amp;""),'Class Jobs'!$B$1:$AF$1)</f>
        <v>#REF!</v>
      </c>
      <c r="Z645" s="158">
        <f t="shared" si="41"/>
        <v>0.62</v>
      </c>
      <c r="AA645" s="16" t="str">
        <f t="array" ref="AA645">INDEX(NPCGender,TRUNC(1+(COUNTA(NPCGender))*(TRUNC(MOD(($B645*1103515245 +12345)/ 65536, 32768),0)/32768),0))</f>
        <v>Female</v>
      </c>
      <c r="AB645" s="16" t="str">
        <f t="array" ref="AB645">INDEX(NPCRace,TRUNC(1+(COUNTA(NPCRace))*(TRUNC(MOD(($B645*1103515245 +12345)/ 65536, 32768),0)/32768),0))</f>
        <v>Halfling</v>
      </c>
      <c r="AC645" s="16" t="str">
        <f t="array" ref="AC645">INDEX(NPCAL,TRUNC(1+(COUNTA(NPCAL))*(TRUNC(MOD(($B645*1103515245 +12345)/ 65536, 32768),0)/32768),0))</f>
        <v>NE</v>
      </c>
      <c r="AD645" s="72" t="str">
        <f ca="1">IFERROR(__xludf.DUMMYFUNCTION("if(V645&lt;15,QUERY(NPCVar!C:D,""Select D WHERE C = '""&amp;D645&amp;""'""),if((TRUNC(1+10)*(TRUNC(MOD((ROW(H645)*1103515245 +12345)/ 65536, 32768),0)/32768)/10) &gt; 0.85,INDEX(NPCFaction,TRUNC(1+(counta(NPCFaction)-1)*(TRUNC(MOD(($B645*1103515245 +12345)/ 65536, 3276"&amp;"8),0)/32768),0)),QUERY(NPCVar!C:D,""Select D WHERE C = '""&amp;D645&amp;""'"")))"),"Traders Guild")</f>
        <v>Traders Guild</v>
      </c>
      <c r="AE645" s="108" t="e">
        <f t="shared" ca="1" si="42"/>
        <v>#NAME?</v>
      </c>
      <c r="AF645" s="159">
        <f ca="1">IFERROR(__xludf.DUMMYFUNCTION("AE645*(V645 / QUERY(NPCVar!$K$2:$N$12, ""Select N WHERE K='""&amp;AB645&amp;""'""))*TRUNC(1+10)*(TRUNC(MOD(($B645*1103515245 +12345)/ 65536, 32768),0)/32768)"),10.2994079589843)</f>
        <v>10.2994079589843</v>
      </c>
      <c r="AG645" s="16"/>
      <c r="AH645" s="77"/>
      <c r="AI645" s="114"/>
    </row>
    <row r="646" spans="1:35" ht="16.2">
      <c r="A646" s="53">
        <v>645</v>
      </c>
      <c r="B646" s="118">
        <f t="shared" si="47"/>
        <v>0.2089</v>
      </c>
      <c r="C646" s="72" t="str">
        <f t="array" ref="C646">INDEX(NPCFName,TRUNC(1+(COUNTA(NPCFName))*(TRUNC(MOD(($B646*1103515245 +12345)/ 65536, 32768),0)/32768),0))</f>
        <v>Ficadon</v>
      </c>
      <c r="D646" s="16" t="str">
        <f t="array" ref="D646">INDEX(NPCLName,TRUNC(1+(COUNTA(NPCLName))*(TRUNC(MOD(($B646*1103515245 +12345)/ 65536, 32768),0)/32768),0))</f>
        <v>Distantlash</v>
      </c>
      <c r="E646" s="16" t="str">
        <f t="array" ref="E646">INDEX(NPCClass,TRUNC(1+(COUNTA(NPCClass))*(TRUNC(MOD(($B646*1103515245 +12345)/ 65536, 32768),0)/32768),0))</f>
        <v>Bard</v>
      </c>
      <c r="F646" s="76">
        <v>1</v>
      </c>
      <c r="G646" s="153">
        <f ca="1">VLOOKUP($AB$2,'RF Mod'!$A$2:$G$12,2,FALSE)+VLOOKUP($AD$2,'RF Mod'!$I$2:$O$11,2,FALSE)+(TRUNC(6+(24-6)*(TRUNC(MOD(($Z646*1103515245 +12345)/ 65536, 32768),0)/32768),0))</f>
        <v>5</v>
      </c>
      <c r="H646" s="16">
        <f t="shared" ca="1" si="33"/>
        <v>-3</v>
      </c>
      <c r="I646" s="153">
        <f ca="1">VLOOKUP($AB$2,'RF Mod'!$A$2:$G$12,3,FALSE)+VLOOKUP($AD$2,'RF Mod'!$I$2:$O$11,3,FALSE)+(TRUNC(6+(24-6)*(TRUNC(MOD(($Z646*1103515245 +12345)/ 65536, 32768),0)/32768),0))</f>
        <v>9</v>
      </c>
      <c r="J646" s="16">
        <f t="shared" ca="1" si="34"/>
        <v>-1</v>
      </c>
      <c r="K646" s="153">
        <f ca="1">VLOOKUP($AB$2,'RF Mod'!$A$2:$G$12,3,FALSE)+VLOOKUP($AD$2,'RF Mod'!$I$2:$O$11,3,FALSE)+(TRUNC(6+(24-6)*(TRUNC(MOD(($Z646*1103515245 +12345)/ 65536, 32768),0)/32768),0))</f>
        <v>9</v>
      </c>
      <c r="L646" s="16">
        <f t="shared" ca="1" si="35"/>
        <v>-1</v>
      </c>
      <c r="M646" s="153">
        <f ca="1">VLOOKUP($AB$2,'RF Mod'!$A$2:$G$12,4,FALSE)+VLOOKUP($AD$2,'RF Mod'!$I$2:$O$11,4,FALSE)+(TRUNC(6+(24-6)*(TRUNC(MOD(($Z646*1103515245 +12345)/ 65536, 32768),0)/32768),0))</f>
        <v>8</v>
      </c>
      <c r="N646" s="16">
        <f t="shared" ca="1" si="36"/>
        <v>-1</v>
      </c>
      <c r="O646" s="153">
        <f ca="1">VLOOKUP($AB$2,'RF Mod'!$A$2:$G$12,5,FALSE)+VLOOKUP($AD$2,'RF Mod'!$I$2:$O$11,5,FALSE)+(TRUNC(6+(24-6)*(TRUNC(MOD(($Z646*1103515245 +12345)/ 65536, 32768),0)/32768),0))</f>
        <v>11</v>
      </c>
      <c r="P646" s="16" t="e">
        <f t="shared" ca="1" si="37"/>
        <v>#NAME?</v>
      </c>
      <c r="Q646" s="153">
        <f ca="1">VLOOKUP($AB$2,'RF Mod'!$A$2:$G$12,6,FALSE)+VLOOKUP($AD$2,'RF Mod'!$I$2:$O$11,6,FALSE)+(TRUNC(6+(24-6)*(TRUNC(MOD(($Z646*1103515245 +12345)/ 65536, 32768),0)/32768),0))</f>
        <v>9</v>
      </c>
      <c r="R646" s="16">
        <f t="shared" ca="1" si="38"/>
        <v>-1</v>
      </c>
      <c r="S646" s="154">
        <f t="shared" ca="1" si="43"/>
        <v>11</v>
      </c>
      <c r="T646" s="154">
        <f t="shared" ca="1" si="39"/>
        <v>10</v>
      </c>
      <c r="U646" s="16" t="str">
        <f t="shared" ca="1" si="40"/>
        <v>Bloody</v>
      </c>
      <c r="V646" s="155">
        <f ca="1">IFERROR(__xludf.DUMMYFUNCTION("if(W646=""Middle Age"",QUERY(NPCVar!$K$2:$N1000, ""Select L where K = '""&amp;AB646&amp;""'""),if(W646=""Old"",QUERY(NPCVar!$K$2:$N1000, ""Select M where K = '""&amp;AB646&amp;""'""),if(W646=""Venerable"",QUERY(NPCVar!$K$2:$N1000, ""Select N where K = '""&amp;AB646&amp;""'""),fa"&amp;"lse)))*X646"),24)</f>
        <v>24</v>
      </c>
      <c r="W646" s="156" t="str">
        <f t="array" ref="W646">INDEX(NPCAgeType,TRUNC(1+(4-1)*(TRUNC(MOD((X646*1103515245 +12345)/ 65536, 32768),0)/32768),0))</f>
        <v>Middle Age</v>
      </c>
      <c r="X646" s="117">
        <f t="shared" si="45"/>
        <v>0.3</v>
      </c>
      <c r="Y646" s="157" t="e">
        <f t="array" aca="1" ref="Y646" ca="1">LOOKUP(ABS(MAX(Z646 + MIN(ABS(INDIRECT("Class Jobs!B"&amp;MATCH(E646,'Class Jobs'!$A$1:$A1000,0)&amp;":"&amp;"AF"&amp;MATCH(E646,'Class Jobs'!$A$1:$A1000,0)&amp;"")-$Z646)) * SUM(IF(MIN(ABS(INDIRECT("Class Jobs!B"&amp;MATCH(E646,'Class Jobs'!$A$1:$A1000,0)&amp;":"&amp;"AF"&amp;MATCH(E646,'Class Jobs'!$A$1:$A1000,0)&amp;"")-$Z646))=ABS(INDIRECT("Class Jobs!B"&amp;MATCH(E646,'Class Jobs'!$A$1:$A1000,0)&amp;":"&amp;"AF"&amp;MATCH(E646,'Class Jobs'!$A$1:$A1000,0)&amp;"")-$Z646),SIGN(INDIRECT("Class Jobs!B"&amp;MATCH(E646,'Class Jobs'!$A$1:A1000,0)&amp;":"&amp;"AF"&amp;MATCH(E646,'Class Jobs'!$A$1:$A1000,0)&amp;"")-$Z646),0)),0)),INDIRECT("Class Jobs!B"&amp;MATCH(E646,'Class Jobs'!$A$1:$A1000,0)&amp;":"&amp;"AF"&amp;MATCH(E646,'Class Jobs'!$A$1:$A1000,1)&amp;""),'Class Jobs'!$B$1:$AF$1)</f>
        <v>#REF!</v>
      </c>
      <c r="Z646" s="158">
        <f t="shared" si="41"/>
        <v>0.11</v>
      </c>
      <c r="AA646" s="16" t="str">
        <f t="array" ref="AA646">INDEX(NPCGender,TRUNC(1+(COUNTA(NPCGender))*(TRUNC(MOD(($B646*1103515245 +12345)/ 65536, 32768),0)/32768),0))</f>
        <v>Male</v>
      </c>
      <c r="AB646" s="16" t="str">
        <f t="array" ref="AB646">INDEX(NPCRace,TRUNC(1+(COUNTA(NPCRace))*(TRUNC(MOD(($B646*1103515245 +12345)/ 65536, 32768),0)/32768),0))</f>
        <v>Dwarf</v>
      </c>
      <c r="AC646" s="16" t="str">
        <f t="array" ref="AC646">INDEX(NPCAL,TRUNC(1+(COUNTA(NPCAL))*(TRUNC(MOD(($B646*1103515245 +12345)/ 65536, 32768),0)/32768),0))</f>
        <v>CN</v>
      </c>
      <c r="AD646" s="72" t="str">
        <f ca="1">IFERROR(__xludf.DUMMYFUNCTION("if(V646&lt;15,QUERY(NPCVar!C:D,""Select D WHERE C = '""&amp;D646&amp;""'""),if((TRUNC(1+10)*(TRUNC(MOD((ROW(H646)*1103515245 +12345)/ 65536, 32768),0)/32768)/10) &gt; 0.85,INDEX(NPCFaction,TRUNC(1+(counta(NPCFaction)-1)*(TRUNC(MOD(($B646*1103515245 +12345)/ 65536, 3276"&amp;"8),0)/32768),0)),QUERY(NPCVar!C:D,""Select D WHERE C = '""&amp;D646&amp;""'"")))"),"Royalty")</f>
        <v>Royalty</v>
      </c>
      <c r="AE646" s="108" t="e">
        <f t="shared" ca="1" si="42"/>
        <v>#NAME?</v>
      </c>
      <c r="AF646" s="159">
        <f ca="1">IFERROR(__xludf.DUMMYFUNCTION("AE646*(V646 / QUERY(NPCVar!$K$2:$N$12, ""Select N WHERE K='""&amp;AB646&amp;""'""))*TRUNC(1+10)*(TRUNC(MOD(($B646*1103515245 +12345)/ 65536, 32768),0)/32768)"),0.00885475158691406)</f>
        <v>8.85475158691406E-3</v>
      </c>
      <c r="AG646" s="16"/>
      <c r="AH646" s="77"/>
      <c r="AI646" s="114"/>
    </row>
    <row r="647" spans="1:35" ht="16.2">
      <c r="A647" s="53">
        <v>646</v>
      </c>
      <c r="B647" s="118">
        <f t="shared" si="47"/>
        <v>1.70303</v>
      </c>
      <c r="C647" s="72" t="str">
        <f t="array" ref="C647">INDEX(NPCFName,TRUNC(1+(COUNTA(NPCFName))*(TRUNC(MOD(($B647*1103515245 +12345)/ 65536, 32768),0)/32768),0))</f>
        <v>Nothar</v>
      </c>
      <c r="D647" s="16" t="str">
        <f t="array" ref="D647">INDEX(NPCLName,TRUNC(1+(COUNTA(NPCLName))*(TRUNC(MOD(($B647*1103515245 +12345)/ 65536, 32768),0)/32768),0))</f>
        <v>Forestbluff</v>
      </c>
      <c r="E647" s="16" t="str">
        <f t="array" ref="E647">INDEX(NPCClass,TRUNC(1+(COUNTA(NPCClass))*(TRUNC(MOD(($B647*1103515245 +12345)/ 65536, 32768),0)/32768),0))</f>
        <v>Fighter</v>
      </c>
      <c r="F647" s="76">
        <v>8</v>
      </c>
      <c r="G647" s="153">
        <f ca="1">VLOOKUP($AB$2,'RF Mod'!$A$2:$G$12,2,FALSE)+VLOOKUP($AD$2,'RF Mod'!$I$2:$O$11,2,FALSE)+(TRUNC(6+(24-6)*(TRUNC(MOD(($Z647*1103515245 +12345)/ 65536, 32768),0)/32768),0))</f>
        <v>12</v>
      </c>
      <c r="H647" s="16" t="e">
        <f t="shared" ca="1" si="33"/>
        <v>#NAME?</v>
      </c>
      <c r="I647" s="153">
        <f ca="1">VLOOKUP($AB$2,'RF Mod'!$A$2:$G$12,3,FALSE)+VLOOKUP($AD$2,'RF Mod'!$I$2:$O$11,3,FALSE)+(TRUNC(6+(24-6)*(TRUNC(MOD(($Z647*1103515245 +12345)/ 65536, 32768),0)/32768),0))</f>
        <v>16</v>
      </c>
      <c r="J647" s="16" t="e">
        <f t="shared" ca="1" si="34"/>
        <v>#NAME?</v>
      </c>
      <c r="K647" s="153">
        <f ca="1">VLOOKUP($AB$2,'RF Mod'!$A$2:$G$12,3,FALSE)+VLOOKUP($AD$2,'RF Mod'!$I$2:$O$11,3,FALSE)+(TRUNC(6+(24-6)*(TRUNC(MOD(($Z647*1103515245 +12345)/ 65536, 32768),0)/32768),0))</f>
        <v>16</v>
      </c>
      <c r="L647" s="16" t="e">
        <f t="shared" ca="1" si="35"/>
        <v>#NAME?</v>
      </c>
      <c r="M647" s="153">
        <f ca="1">VLOOKUP($AB$2,'RF Mod'!$A$2:$G$12,4,FALSE)+VLOOKUP($AD$2,'RF Mod'!$I$2:$O$11,4,FALSE)+(TRUNC(6+(24-6)*(TRUNC(MOD(($Z647*1103515245 +12345)/ 65536, 32768),0)/32768),0))</f>
        <v>15</v>
      </c>
      <c r="N647" s="16" t="e">
        <f t="shared" ca="1" si="36"/>
        <v>#NAME?</v>
      </c>
      <c r="O647" s="153">
        <f ca="1">VLOOKUP($AB$2,'RF Mod'!$A$2:$G$12,5,FALSE)+VLOOKUP($AD$2,'RF Mod'!$I$2:$O$11,5,FALSE)+(TRUNC(6+(24-6)*(TRUNC(MOD(($Z647*1103515245 +12345)/ 65536, 32768),0)/32768),0))</f>
        <v>18</v>
      </c>
      <c r="P647" s="16" t="e">
        <f t="shared" ca="1" si="37"/>
        <v>#NAME?</v>
      </c>
      <c r="Q647" s="153">
        <f ca="1">VLOOKUP($AB$2,'RF Mod'!$A$2:$G$12,6,FALSE)+VLOOKUP($AD$2,'RF Mod'!$I$2:$O$11,6,FALSE)+(TRUNC(6+(24-6)*(TRUNC(MOD(($Z647*1103515245 +12345)/ 65536, 32768),0)/32768),0))</f>
        <v>16</v>
      </c>
      <c r="R647" s="16" t="e">
        <f t="shared" ca="1" si="38"/>
        <v>#NAME?</v>
      </c>
      <c r="S647" s="154">
        <f t="shared" ca="1" si="43"/>
        <v>240</v>
      </c>
      <c r="T647" s="154">
        <f t="shared" ca="1" si="39"/>
        <v>102</v>
      </c>
      <c r="U647" s="16" t="str">
        <f t="shared" ca="1" si="40"/>
        <v>Fine</v>
      </c>
      <c r="V647" s="155">
        <f ca="1">IFERROR(__xludf.DUMMYFUNCTION("if(W647=""Middle Age"",QUERY(NPCVar!$K$2:$N1000, ""Select L where K = '""&amp;AB647&amp;""'""),if(W647=""Old"",QUERY(NPCVar!$K$2:$N1000, ""Select M where K = '""&amp;AB647&amp;""'""),if(W647=""Venerable"",QUERY(NPCVar!$K$2:$N1000, ""Select N where K = '""&amp;AB647&amp;""'""),fa"&amp;"lse)))*X647"),60.5)</f>
        <v>60.5</v>
      </c>
      <c r="W647" s="156" t="str">
        <f t="array" ref="W647">INDEX(NPCAgeType,TRUNC(1+(4-1)*(TRUNC(MOD((X647*1103515245 +12345)/ 65536, 32768),0)/32768),0))</f>
        <v>Middle Age</v>
      </c>
      <c r="X647" s="117">
        <f t="shared" si="45"/>
        <v>2.2000000000000002</v>
      </c>
      <c r="Y647" s="157" t="e">
        <f t="array" aca="1" ref="Y647" ca="1">LOOKUP(ABS(MAX(Z647 + MIN(ABS(INDIRECT("Class Jobs!B"&amp;MATCH(E647,'Class Jobs'!$A$1:$A1000,0)&amp;":"&amp;"AF"&amp;MATCH(E647,'Class Jobs'!$A$1:$A1000,0)&amp;"")-$Z647)) * SUM(IF(MIN(ABS(INDIRECT("Class Jobs!B"&amp;MATCH(E647,'Class Jobs'!$A$1:$A1000,0)&amp;":"&amp;"AF"&amp;MATCH(E647,'Class Jobs'!$A$1:$A1000,0)&amp;"")-$Z647))=ABS(INDIRECT("Class Jobs!B"&amp;MATCH(E647,'Class Jobs'!$A$1:$A1000,0)&amp;":"&amp;"AF"&amp;MATCH(E647,'Class Jobs'!$A$1:$A1000,0)&amp;"")-$Z647),SIGN(INDIRECT("Class Jobs!B"&amp;MATCH(E647,'Class Jobs'!$A$1:A1000,0)&amp;":"&amp;"AF"&amp;MATCH(E647,'Class Jobs'!$A$1:$A1000,0)&amp;"")-$Z647),0)),0)),INDIRECT("Class Jobs!B"&amp;MATCH(E647,'Class Jobs'!$A$1:$A1000,0)&amp;":"&amp;"AF"&amp;MATCH(E647,'Class Jobs'!$A$1:$A1000,1)&amp;""),'Class Jobs'!$B$1:$AF$1)</f>
        <v>#REF!</v>
      </c>
      <c r="Z647" s="158">
        <f t="shared" si="41"/>
        <v>0.87</v>
      </c>
      <c r="AA647" s="16" t="str">
        <f t="array" ref="AA647">INDEX(NPCGender,TRUNC(1+(COUNTA(NPCGender))*(TRUNC(MOD(($B647*1103515245 +12345)/ 65536, 32768),0)/32768),0))</f>
        <v>Neutral</v>
      </c>
      <c r="AB647" s="16" t="str">
        <f t="array" ref="AB647">INDEX(NPCRace,TRUNC(1+(COUNTA(NPCRace))*(TRUNC(MOD(($B647*1103515245 +12345)/ 65536, 32768),0)/32768),0))</f>
        <v>Genasi</v>
      </c>
      <c r="AC647" s="16" t="str">
        <f t="array" ref="AC647">INDEX(NPCAL,TRUNC(1+(COUNTA(NPCAL))*(TRUNC(MOD(($B647*1103515245 +12345)/ 65536, 32768),0)/32768),0))</f>
        <v>LN</v>
      </c>
      <c r="AD647" s="72" t="str">
        <f ca="1">IFERROR(__xludf.DUMMYFUNCTION("if(V647&lt;15,QUERY(NPCVar!C:D,""Select D WHERE C = '""&amp;D647&amp;""'""),if((TRUNC(1+10)*(TRUNC(MOD((ROW(H647)*1103515245 +12345)/ 65536, 32768),0)/32768)/10) &gt; 0.85,INDEX(NPCFaction,TRUNC(1+(counta(NPCFaction)-1)*(TRUNC(MOD(($B647*1103515245 +12345)/ 65536, 3276"&amp;"8),0)/32768),0)),QUERY(NPCVar!C:D,""Select D WHERE C = '""&amp;D647&amp;""'"")))"),"Thieves Guild")</f>
        <v>Thieves Guild</v>
      </c>
      <c r="AE647" s="108" t="e">
        <f t="shared" ca="1" si="42"/>
        <v>#NAME?</v>
      </c>
      <c r="AF647" s="159">
        <f ca="1">IFERROR(__xludf.DUMMYFUNCTION("AE647*(V647 / QUERY(NPCVar!$K$2:$N$12, ""Select N WHERE K='""&amp;AB647&amp;""'""))*TRUNC(1+10)*(TRUNC(MOD(($B647*1103515245 +12345)/ 65536, 32768),0)/32768)"),5.29448852539062)</f>
        <v>5.2944885253906202</v>
      </c>
      <c r="AG647" s="16"/>
      <c r="AH647" s="77"/>
      <c r="AI647" s="114"/>
    </row>
    <row r="648" spans="1:35" ht="16.2">
      <c r="A648" s="53">
        <v>647</v>
      </c>
      <c r="B648" s="118">
        <f t="shared" si="47"/>
        <v>0.69718000000000002</v>
      </c>
      <c r="C648" s="72" t="str">
        <f t="array" ref="C648">INDEX(NPCFName,TRUNC(1+(COUNTA(NPCFName))*(TRUNC(MOD(($B648*1103515245 +12345)/ 65536, 32768),0)/32768),0))</f>
        <v>Baradeer</v>
      </c>
      <c r="D648" s="16" t="str">
        <f t="array" ref="D648">INDEX(NPCLName,TRUNC(1+(COUNTA(NPCLName))*(TRUNC(MOD(($B648*1103515245 +12345)/ 65536, 32768),0)/32768),0))</f>
        <v>Leafblight</v>
      </c>
      <c r="E648" s="16" t="str">
        <f t="array" ref="E648">INDEX(NPCClass,TRUNC(1+(COUNTA(NPCClass))*(TRUNC(MOD(($B648*1103515245 +12345)/ 65536, 32768),0)/32768),0))</f>
        <v>Paladin</v>
      </c>
      <c r="F648" s="76">
        <v>2</v>
      </c>
      <c r="G648" s="153">
        <f ca="1">VLOOKUP($AB$2,'RF Mod'!$A$2:$G$12,2,FALSE)+VLOOKUP($AD$2,'RF Mod'!$I$2:$O$11,2,FALSE)+(TRUNC(6+(24-6)*(TRUNC(MOD(($Z648*1103515245 +12345)/ 65536, 32768),0)/32768),0))</f>
        <v>7</v>
      </c>
      <c r="H648" s="16">
        <f t="shared" ca="1" si="33"/>
        <v>-2</v>
      </c>
      <c r="I648" s="153">
        <f ca="1">VLOOKUP($AB$2,'RF Mod'!$A$2:$G$12,3,FALSE)+VLOOKUP($AD$2,'RF Mod'!$I$2:$O$11,3,FALSE)+(TRUNC(6+(24-6)*(TRUNC(MOD(($Z648*1103515245 +12345)/ 65536, 32768),0)/32768),0))</f>
        <v>11</v>
      </c>
      <c r="J648" s="16" t="e">
        <f t="shared" ca="1" si="34"/>
        <v>#NAME?</v>
      </c>
      <c r="K648" s="153">
        <f ca="1">VLOOKUP($AB$2,'RF Mod'!$A$2:$G$12,3,FALSE)+VLOOKUP($AD$2,'RF Mod'!$I$2:$O$11,3,FALSE)+(TRUNC(6+(24-6)*(TRUNC(MOD(($Z648*1103515245 +12345)/ 65536, 32768),0)/32768),0))</f>
        <v>11</v>
      </c>
      <c r="L648" s="16" t="e">
        <f t="shared" ca="1" si="35"/>
        <v>#NAME?</v>
      </c>
      <c r="M648" s="153">
        <f ca="1">VLOOKUP($AB$2,'RF Mod'!$A$2:$G$12,4,FALSE)+VLOOKUP($AD$2,'RF Mod'!$I$2:$O$11,4,FALSE)+(TRUNC(6+(24-6)*(TRUNC(MOD(($Z648*1103515245 +12345)/ 65536, 32768),0)/32768),0))</f>
        <v>10</v>
      </c>
      <c r="N648" s="16" t="e">
        <f t="shared" ca="1" si="36"/>
        <v>#NAME?</v>
      </c>
      <c r="O648" s="153">
        <f ca="1">VLOOKUP($AB$2,'RF Mod'!$A$2:$G$12,5,FALSE)+VLOOKUP($AD$2,'RF Mod'!$I$2:$O$11,5,FALSE)+(TRUNC(6+(24-6)*(TRUNC(MOD(($Z648*1103515245 +12345)/ 65536, 32768),0)/32768),0))</f>
        <v>13</v>
      </c>
      <c r="P648" s="16" t="e">
        <f t="shared" ca="1" si="37"/>
        <v>#NAME?</v>
      </c>
      <c r="Q648" s="153">
        <f ca="1">VLOOKUP($AB$2,'RF Mod'!$A$2:$G$12,6,FALSE)+VLOOKUP($AD$2,'RF Mod'!$I$2:$O$11,6,FALSE)+(TRUNC(6+(24-6)*(TRUNC(MOD(($Z648*1103515245 +12345)/ 65536, 32768),0)/32768),0))</f>
        <v>11</v>
      </c>
      <c r="R648" s="16" t="e">
        <f t="shared" ca="1" si="38"/>
        <v>#NAME?</v>
      </c>
      <c r="S648" s="154">
        <f t="shared" ca="1" si="43"/>
        <v>34</v>
      </c>
      <c r="T648" s="154">
        <f t="shared" ca="1" si="39"/>
        <v>6</v>
      </c>
      <c r="U648" s="16" t="str">
        <f t="shared" ca="1" si="40"/>
        <v>Fine</v>
      </c>
      <c r="V648" s="155">
        <f ca="1">IFERROR(__xludf.DUMMYFUNCTION("if(W648=""Middle Age"",QUERY(NPCVar!$K$2:$N1000, ""Select L where K = '""&amp;AB648&amp;""'""),if(W648=""Old"",QUERY(NPCVar!$K$2:$N1000, ""Select M where K = '""&amp;AB648&amp;""'""),if(W648=""Venerable"",QUERY(NPCVar!$K$2:$N1000, ""Select N where K = '""&amp;AB648&amp;""'""),fa"&amp;"lse)))*X648"),151.875)</f>
        <v>151.875</v>
      </c>
      <c r="W648" s="156" t="str">
        <f t="array" ref="W648">INDEX(NPCAgeType,TRUNC(1+(4-1)*(TRUNC(MOD((X648*1103515245 +12345)/ 65536, 32768),0)/32768),0))</f>
        <v>Old</v>
      </c>
      <c r="X648" s="117">
        <f t="shared" si="45"/>
        <v>0.9</v>
      </c>
      <c r="Y648" s="157" t="e">
        <f t="array" aca="1" ref="Y648" ca="1">LOOKUP(ABS(MAX(Z648 + MIN(ABS(INDIRECT("Class Jobs!B"&amp;MATCH(E648,'Class Jobs'!$A$1:$A1000,0)&amp;":"&amp;"AF"&amp;MATCH(E648,'Class Jobs'!$A$1:$A1000,0)&amp;"")-$Z648)) * SUM(IF(MIN(ABS(INDIRECT("Class Jobs!B"&amp;MATCH(E648,'Class Jobs'!$A$1:$A1000,0)&amp;":"&amp;"AF"&amp;MATCH(E648,'Class Jobs'!$A$1:$A1000,0)&amp;"")-$Z648))=ABS(INDIRECT("Class Jobs!B"&amp;MATCH(E648,'Class Jobs'!$A$1:$A1000,0)&amp;":"&amp;"AF"&amp;MATCH(E648,'Class Jobs'!$A$1:$A1000,0)&amp;"")-$Z648),SIGN(INDIRECT("Class Jobs!B"&amp;MATCH(E648,'Class Jobs'!$A$1:A1000,0)&amp;":"&amp;"AF"&amp;MATCH(E648,'Class Jobs'!$A$1:$A1000,0)&amp;"")-$Z648),0)),0)),INDIRECT("Class Jobs!B"&amp;MATCH(E648,'Class Jobs'!$A$1:$A1000,0)&amp;":"&amp;"AF"&amp;MATCH(E648,'Class Jobs'!$A$1:$A1000,1)&amp;""),'Class Jobs'!$B$1:$AF$1)</f>
        <v>#REF!</v>
      </c>
      <c r="Z648" s="158">
        <f t="shared" si="41"/>
        <v>0.36</v>
      </c>
      <c r="AA648" s="16" t="str">
        <f t="array" ref="AA648">INDEX(NPCGender,TRUNC(1+(COUNTA(NPCGender))*(TRUNC(MOD(($B648*1103515245 +12345)/ 65536, 32768),0)/32768),0))</f>
        <v>Female</v>
      </c>
      <c r="AB648" s="16" t="str">
        <f t="array" ref="AB648">INDEX(NPCRace,TRUNC(1+(COUNTA(NPCRace))*(TRUNC(MOD(($B648*1103515245 +12345)/ 65536, 32768),0)/32768),0))</f>
        <v>Gnome</v>
      </c>
      <c r="AC648" s="16" t="str">
        <f t="array" ref="AC648">INDEX(NPCAL,TRUNC(1+(COUNTA(NPCAL))*(TRUNC(MOD(($B648*1103515245 +12345)/ 65536, 32768),0)/32768),0))</f>
        <v>NG</v>
      </c>
      <c r="AD648" s="72" t="str">
        <f ca="1">IFERROR(__xludf.DUMMYFUNCTION("if(V648&lt;15,QUERY(NPCVar!C:D,""Select D WHERE C = '""&amp;D648&amp;""'""),if((TRUNC(1+10)*(TRUNC(MOD((ROW(H648)*1103515245 +12345)/ 65536, 32768),0)/32768)/10) &gt; 0.85,INDEX(NPCFaction,TRUNC(1+(counta(NPCFaction)-1)*(TRUNC(MOD(($B648*1103515245 +12345)/ 65536, 3276"&amp;"8),0)/32768),0)),QUERY(NPCVar!C:D,""Select D WHERE C = '""&amp;D648&amp;""'"")))"),"Adventures Guild")</f>
        <v>Adventures Guild</v>
      </c>
      <c r="AE648" s="108" t="e">
        <f t="shared" ca="1" si="42"/>
        <v>#NAME?</v>
      </c>
      <c r="AF648" s="159">
        <f ca="1">IFERROR(__xludf.DUMMYFUNCTION("AE648*(V648 / QUERY(NPCVar!$K$2:$N$12, ""Select N WHERE K='""&amp;AB648&amp;""'""))*TRUNC(1+10)*(TRUNC(MOD(($B648*1103515245 +12345)/ 65536, 32768),0)/32768)"),0.531995086669921)</f>
        <v>0.53199508666992101</v>
      </c>
      <c r="AG648" s="16"/>
      <c r="AH648" s="77"/>
      <c r="AI648" s="114"/>
    </row>
    <row r="649" spans="1:35" ht="16.2">
      <c r="A649" s="53">
        <v>648</v>
      </c>
      <c r="B649" s="118">
        <f t="shared" si="47"/>
        <v>2.1913100000000001</v>
      </c>
      <c r="C649" s="72" t="str">
        <f t="array" ref="C649">INDEX(NPCFName,TRUNC(1+(COUNTA(NPCFName))*(TRUNC(MOD(($B649*1103515245 +12345)/ 65536, 32768),0)/32768),0))</f>
        <v>Gryn</v>
      </c>
      <c r="D649" s="16" t="str">
        <f t="array" ref="D649">INDEX(NPCLName,TRUNC(1+(COUNTA(NPCLName))*(TRUNC(MOD(($B649*1103515245 +12345)/ 65536, 32768),0)/32768),0))</f>
        <v>Distantlash</v>
      </c>
      <c r="E649" s="16" t="str">
        <f t="array" ref="E649">INDEX(NPCClass,TRUNC(1+(COUNTA(NPCClass))*(TRUNC(MOD(($B649*1103515245 +12345)/ 65536, 32768),0)/32768),0))</f>
        <v>Bard</v>
      </c>
      <c r="F649" s="76">
        <v>1</v>
      </c>
      <c r="G649" s="153">
        <f ca="1">VLOOKUP($AB$2,'RF Mod'!$A$2:$G$12,2,FALSE)+VLOOKUP($AD$2,'RF Mod'!$I$2:$O$11,2,FALSE)+(TRUNC(6+(24-6)*(TRUNC(MOD(($Z649*1103515245 +12345)/ 65536, 32768),0)/32768),0))</f>
        <v>5</v>
      </c>
      <c r="H649" s="16">
        <f t="shared" ca="1" si="33"/>
        <v>-3</v>
      </c>
      <c r="I649" s="153">
        <f ca="1">VLOOKUP($AB$2,'RF Mod'!$A$2:$G$12,3,FALSE)+VLOOKUP($AD$2,'RF Mod'!$I$2:$O$11,3,FALSE)+(TRUNC(6+(24-6)*(TRUNC(MOD(($Z649*1103515245 +12345)/ 65536, 32768),0)/32768),0))</f>
        <v>9</v>
      </c>
      <c r="J649" s="16">
        <f t="shared" ca="1" si="34"/>
        <v>-1</v>
      </c>
      <c r="K649" s="153">
        <f ca="1">VLOOKUP($AB$2,'RF Mod'!$A$2:$G$12,3,FALSE)+VLOOKUP($AD$2,'RF Mod'!$I$2:$O$11,3,FALSE)+(TRUNC(6+(24-6)*(TRUNC(MOD(($Z649*1103515245 +12345)/ 65536, 32768),0)/32768),0))</f>
        <v>9</v>
      </c>
      <c r="L649" s="16">
        <f t="shared" ca="1" si="35"/>
        <v>-1</v>
      </c>
      <c r="M649" s="153">
        <f ca="1">VLOOKUP($AB$2,'RF Mod'!$A$2:$G$12,4,FALSE)+VLOOKUP($AD$2,'RF Mod'!$I$2:$O$11,4,FALSE)+(TRUNC(6+(24-6)*(TRUNC(MOD(($Z649*1103515245 +12345)/ 65536, 32768),0)/32768),0))</f>
        <v>8</v>
      </c>
      <c r="N649" s="16">
        <f t="shared" ca="1" si="36"/>
        <v>-1</v>
      </c>
      <c r="O649" s="153">
        <f ca="1">VLOOKUP($AB$2,'RF Mod'!$A$2:$G$12,5,FALSE)+VLOOKUP($AD$2,'RF Mod'!$I$2:$O$11,5,FALSE)+(TRUNC(6+(24-6)*(TRUNC(MOD(($Z649*1103515245 +12345)/ 65536, 32768),0)/32768),0))</f>
        <v>11</v>
      </c>
      <c r="P649" s="16" t="e">
        <f t="shared" ca="1" si="37"/>
        <v>#NAME?</v>
      </c>
      <c r="Q649" s="153">
        <f ca="1">VLOOKUP($AB$2,'RF Mod'!$A$2:$G$12,6,FALSE)+VLOOKUP($AD$2,'RF Mod'!$I$2:$O$11,6,FALSE)+(TRUNC(6+(24-6)*(TRUNC(MOD(($Z649*1103515245 +12345)/ 65536, 32768),0)/32768),0))</f>
        <v>9</v>
      </c>
      <c r="R649" s="16">
        <f t="shared" ca="1" si="38"/>
        <v>-1</v>
      </c>
      <c r="S649" s="154">
        <f t="shared" ca="1" si="43"/>
        <v>11</v>
      </c>
      <c r="T649" s="154">
        <f t="shared" ca="1" si="39"/>
        <v>4</v>
      </c>
      <c r="U649" s="16" t="str">
        <f t="shared" ca="1" si="40"/>
        <v>Fine</v>
      </c>
      <c r="V649" s="155">
        <f ca="1">IFERROR(__xludf.DUMMYFUNCTION("if(W649=""Middle Age"",QUERY(NPCVar!$K$2:$N1000, ""Select L where K = '""&amp;AB649&amp;""'""),if(W649=""Old"",QUERY(NPCVar!$K$2:$N1000, ""Select M where K = '""&amp;AB649&amp;""'""),if(W649=""Venerable"",QUERY(NPCVar!$K$2:$N1000, ""Select N where K = '""&amp;AB649&amp;""'""),fa"&amp;"lse)))*X649"),32)</f>
        <v>32</v>
      </c>
      <c r="W649" s="156" t="str">
        <f t="array" ref="W649">INDEX(NPCAgeType,TRUNC(1+(4-1)*(TRUNC(MOD((X649*1103515245 +12345)/ 65536, 32768),0)/32768),0))</f>
        <v>Middle Age</v>
      </c>
      <c r="X649" s="117">
        <f t="shared" si="45"/>
        <v>0.4</v>
      </c>
      <c r="Y649" s="157" t="e">
        <f t="array" aca="1" ref="Y649" ca="1">LOOKUP(ABS(MAX(Z649 + MIN(ABS(INDIRECT("Class Jobs!B"&amp;MATCH(E649,'Class Jobs'!$A$1:$A1000,0)&amp;":"&amp;"AF"&amp;MATCH(E649,'Class Jobs'!$A$1:$A1000,0)&amp;"")-$Z649)) * SUM(IF(MIN(ABS(INDIRECT("Class Jobs!B"&amp;MATCH(E649,'Class Jobs'!$A$1:$A1000,0)&amp;":"&amp;"AF"&amp;MATCH(E649,'Class Jobs'!$A$1:$A1000,0)&amp;"")-$Z649))=ABS(INDIRECT("Class Jobs!B"&amp;MATCH(E649,'Class Jobs'!$A$1:$A1000,0)&amp;":"&amp;"AF"&amp;MATCH(E649,'Class Jobs'!$A$1:$A1000,0)&amp;"")-$Z649),SIGN(INDIRECT("Class Jobs!B"&amp;MATCH(E649,'Class Jobs'!$A$1:A1000,0)&amp;":"&amp;"AF"&amp;MATCH(E649,'Class Jobs'!$A$1:$A1000,0)&amp;"")-$Z649),0)),0)),INDIRECT("Class Jobs!B"&amp;MATCH(E649,'Class Jobs'!$A$1:$A1000,0)&amp;":"&amp;"AF"&amp;MATCH(E649,'Class Jobs'!$A$1:$A1000,1)&amp;""),'Class Jobs'!$B$1:$AF$1)</f>
        <v>#REF!</v>
      </c>
      <c r="Z649" s="158">
        <f t="shared" si="41"/>
        <v>0.13</v>
      </c>
      <c r="AA649" s="16" t="str">
        <f t="array" ref="AA649">INDEX(NPCGender,TRUNC(1+(COUNTA(NPCGender))*(TRUNC(MOD(($B649*1103515245 +12345)/ 65536, 32768),0)/32768),0))</f>
        <v>Male</v>
      </c>
      <c r="AB649" s="16" t="str">
        <f t="array" ref="AB649">INDEX(NPCRace,TRUNC(1+(COUNTA(NPCRace))*(TRUNC(MOD(($B649*1103515245 +12345)/ 65536, 32768),0)/32768),0))</f>
        <v>Dwarf</v>
      </c>
      <c r="AC649" s="16" t="str">
        <f t="array" ref="AC649">INDEX(NPCAL,TRUNC(1+(COUNTA(NPCAL))*(TRUNC(MOD(($B649*1103515245 +12345)/ 65536, 32768),0)/32768),0))</f>
        <v>CE</v>
      </c>
      <c r="AD649" s="72" t="str">
        <f ca="1">IFERROR(__xludf.DUMMYFUNCTION("if(V649&lt;15,QUERY(NPCVar!C:D,""Select D WHERE C = '""&amp;D649&amp;""'""),if((TRUNC(1+10)*(TRUNC(MOD((ROW(H649)*1103515245 +12345)/ 65536, 32768),0)/32768)/10) &gt; 0.85,INDEX(NPCFaction,TRUNC(1+(counta(NPCFaction)-1)*(TRUNC(MOD(($B649*1103515245 +12345)/ 65536, 3276"&amp;"8),0)/32768),0)),QUERY(NPCVar!C:D,""Select D WHERE C = '""&amp;D649&amp;""'"")))"),"Death Guild")</f>
        <v>Death Guild</v>
      </c>
      <c r="AE649" s="108" t="e">
        <f t="shared" ca="1" si="42"/>
        <v>#NAME?</v>
      </c>
      <c r="AF649" s="159">
        <f ca="1">IFERROR(__xludf.DUMMYFUNCTION("AE649*(V649 / QUERY(NPCVar!$K$2:$N$12, ""Select N WHERE K='""&amp;AB649&amp;""'""))*TRUNC(1+10)*(TRUNC(MOD(($B649*1103515245 +12345)/ 65536, 32768),0)/32768)"),0.083184814453125)</f>
        <v>8.3184814453125006E-2</v>
      </c>
      <c r="AG649" s="16"/>
      <c r="AH649" s="77"/>
      <c r="AI649" s="114"/>
    </row>
    <row r="650" spans="1:35" ht="16.2">
      <c r="A650" s="53">
        <v>649</v>
      </c>
      <c r="B650" s="118">
        <f t="shared" si="47"/>
        <v>1.18546</v>
      </c>
      <c r="C650" s="72" t="str">
        <f t="array" ref="C650">INDEX(NPCFName,TRUNC(1+(COUNTA(NPCFName))*(TRUNC(MOD(($B650*1103515245 +12345)/ 65536, 32768),0)/32768),0))</f>
        <v>Sutlin</v>
      </c>
      <c r="D650" s="16" t="str">
        <f t="array" ref="D650">INDEX(NPCLName,TRUNC(1+(COUNTA(NPCLName))*(TRUNC(MOD(($B650*1103515245 +12345)/ 65536, 32768),0)/32768),0))</f>
        <v>Gloomrage</v>
      </c>
      <c r="E650" s="16" t="str">
        <f t="array" ref="E650">INDEX(NPCClass,TRUNC(1+(COUNTA(NPCClass))*(TRUNC(MOD(($B650*1103515245 +12345)/ 65536, 32768),0)/32768),0))</f>
        <v>Warlock</v>
      </c>
      <c r="F650" s="76">
        <v>8</v>
      </c>
      <c r="G650" s="153">
        <f ca="1">VLOOKUP($AB$2,'RF Mod'!$A$2:$G$12,2,FALSE)+VLOOKUP($AD$2,'RF Mod'!$I$2:$O$11,2,FALSE)+(TRUNC(6+(24-6)*(TRUNC(MOD(($Z650*1103515245 +12345)/ 65536, 32768),0)/32768),0))</f>
        <v>9</v>
      </c>
      <c r="H650" s="16">
        <f t="shared" ca="1" si="33"/>
        <v>-1</v>
      </c>
      <c r="I650" s="153">
        <f ca="1">VLOOKUP($AB$2,'RF Mod'!$A$2:$G$12,3,FALSE)+VLOOKUP($AD$2,'RF Mod'!$I$2:$O$11,3,FALSE)+(TRUNC(6+(24-6)*(TRUNC(MOD(($Z650*1103515245 +12345)/ 65536, 32768),0)/32768),0))</f>
        <v>13</v>
      </c>
      <c r="J650" s="16" t="e">
        <f t="shared" ca="1" si="34"/>
        <v>#NAME?</v>
      </c>
      <c r="K650" s="153">
        <f ca="1">VLOOKUP($AB$2,'RF Mod'!$A$2:$G$12,3,FALSE)+VLOOKUP($AD$2,'RF Mod'!$I$2:$O$11,3,FALSE)+(TRUNC(6+(24-6)*(TRUNC(MOD(($Z650*1103515245 +12345)/ 65536, 32768),0)/32768),0))</f>
        <v>13</v>
      </c>
      <c r="L650" s="16" t="e">
        <f t="shared" ca="1" si="35"/>
        <v>#NAME?</v>
      </c>
      <c r="M650" s="153">
        <f ca="1">VLOOKUP($AB$2,'RF Mod'!$A$2:$G$12,4,FALSE)+VLOOKUP($AD$2,'RF Mod'!$I$2:$O$11,4,FALSE)+(TRUNC(6+(24-6)*(TRUNC(MOD(($Z650*1103515245 +12345)/ 65536, 32768),0)/32768),0))</f>
        <v>12</v>
      </c>
      <c r="N650" s="16" t="e">
        <f t="shared" ca="1" si="36"/>
        <v>#NAME?</v>
      </c>
      <c r="O650" s="153">
        <f ca="1">VLOOKUP($AB$2,'RF Mod'!$A$2:$G$12,5,FALSE)+VLOOKUP($AD$2,'RF Mod'!$I$2:$O$11,5,FALSE)+(TRUNC(6+(24-6)*(TRUNC(MOD(($Z650*1103515245 +12345)/ 65536, 32768),0)/32768),0))</f>
        <v>15</v>
      </c>
      <c r="P650" s="16" t="e">
        <f t="shared" ca="1" si="37"/>
        <v>#NAME?</v>
      </c>
      <c r="Q650" s="153">
        <f ca="1">VLOOKUP($AB$2,'RF Mod'!$A$2:$G$12,6,FALSE)+VLOOKUP($AD$2,'RF Mod'!$I$2:$O$11,6,FALSE)+(TRUNC(6+(24-6)*(TRUNC(MOD(($Z650*1103515245 +12345)/ 65536, 32768),0)/32768),0))</f>
        <v>13</v>
      </c>
      <c r="R650" s="16" t="e">
        <f t="shared" ca="1" si="38"/>
        <v>#NAME?</v>
      </c>
      <c r="S650" s="154">
        <f t="shared" ca="1" si="43"/>
        <v>120</v>
      </c>
      <c r="T650" s="154">
        <f t="shared" ca="1" si="39"/>
        <v>83</v>
      </c>
      <c r="U650" s="16" t="str">
        <f t="shared" ca="1" si="40"/>
        <v>Bloody</v>
      </c>
      <c r="V650" s="155">
        <f ca="1">IFERROR(__xludf.DUMMYFUNCTION("if(W650=""Middle Age"",QUERY(NPCVar!$K$2:$N1000, ""Select L where K = '""&amp;AB650&amp;""'""),if(W650=""Old"",QUERY(NPCVar!$K$2:$N1000, ""Select M where K = '""&amp;AB650&amp;""'""),if(W650=""Venerable"",QUERY(NPCVar!$K$2:$N1000, ""Select N where K = '""&amp;AB650&amp;""'""),fa"&amp;"lse)))*X650"),300)</f>
        <v>300</v>
      </c>
      <c r="W650" s="156" t="str">
        <f t="array" ref="W650">INDEX(NPCAgeType,TRUNC(1+(4-1)*(TRUNC(MOD((X650*1103515245 +12345)/ 65536, 32768),0)/32768),0))</f>
        <v>Venerable</v>
      </c>
      <c r="X650" s="117">
        <f t="shared" si="45"/>
        <v>1.5</v>
      </c>
      <c r="Y650" s="157" t="e">
        <f t="array" aca="1" ref="Y650" ca="1">LOOKUP(ABS(MAX(Z650 + MIN(ABS(INDIRECT("Class Jobs!B"&amp;MATCH(E650,'Class Jobs'!$A$1:$A1000,0)&amp;":"&amp;"AF"&amp;MATCH(E650,'Class Jobs'!$A$1:$A1000,0)&amp;"")-$Z650)) * SUM(IF(MIN(ABS(INDIRECT("Class Jobs!B"&amp;MATCH(E650,'Class Jobs'!$A$1:$A1000,0)&amp;":"&amp;"AF"&amp;MATCH(E650,'Class Jobs'!$A$1:$A1000,0)&amp;"")-$Z650))=ABS(INDIRECT("Class Jobs!B"&amp;MATCH(E650,'Class Jobs'!$A$1:$A1000,0)&amp;":"&amp;"AF"&amp;MATCH(E650,'Class Jobs'!$A$1:$A1000,0)&amp;"")-$Z650),SIGN(INDIRECT("Class Jobs!B"&amp;MATCH(E650,'Class Jobs'!$A$1:A1000,0)&amp;":"&amp;"AF"&amp;MATCH(E650,'Class Jobs'!$A$1:$A1000,0)&amp;"")-$Z650),0)),0)),INDIRECT("Class Jobs!B"&amp;MATCH(E650,'Class Jobs'!$A$1:$A1000,0)&amp;":"&amp;"AF"&amp;MATCH(E650,'Class Jobs'!$A$1:$A1000,1)&amp;""),'Class Jobs'!$B$1:$AF$1)</f>
        <v>#REF!</v>
      </c>
      <c r="Z650" s="158">
        <f t="shared" si="41"/>
        <v>0.61</v>
      </c>
      <c r="AA650" s="16" t="str">
        <f t="array" ref="AA650">INDEX(NPCGender,TRUNC(1+(COUNTA(NPCGender))*(TRUNC(MOD(($B650*1103515245 +12345)/ 65536, 32768),0)/32768),0))</f>
        <v>Female</v>
      </c>
      <c r="AB650" s="16" t="str">
        <f t="array" ref="AB650">INDEX(NPCRace,TRUNC(1+(COUNTA(NPCRace))*(TRUNC(MOD(($B650*1103515245 +12345)/ 65536, 32768),0)/32768),0))</f>
        <v>Halfling</v>
      </c>
      <c r="AC650" s="16" t="str">
        <f t="array" ref="AC650">INDEX(NPCAL,TRUNC(1+(COUNTA(NPCAL))*(TRUNC(MOD(($B650*1103515245 +12345)/ 65536, 32768),0)/32768),0))</f>
        <v>NE</v>
      </c>
      <c r="AD650" s="72" t="str">
        <f ca="1">IFERROR(__xludf.DUMMYFUNCTION("if(V650&lt;15,QUERY(NPCVar!C:D,""Select D WHERE C = '""&amp;D650&amp;""'""),if((TRUNC(1+10)*(TRUNC(MOD((ROW(H650)*1103515245 +12345)/ 65536, 32768),0)/32768)/10) &gt; 0.85,INDEX(NPCFaction,TRUNC(1+(counta(NPCFaction)-1)*(TRUNC(MOD(($B650*1103515245 +12345)/ 65536, 3276"&amp;"8),0)/32768),0)),QUERY(NPCVar!C:D,""Select D WHERE C = '""&amp;D650&amp;""'"")))"),"Traders Guild")</f>
        <v>Traders Guild</v>
      </c>
      <c r="AE650" s="108" t="e">
        <f t="shared" ca="1" si="42"/>
        <v>#NAME?</v>
      </c>
      <c r="AF650" s="159">
        <f ca="1">IFERROR(__xludf.DUMMYFUNCTION("AE650*(V650 / QUERY(NPCVar!$K$2:$N$12, ""Select N WHERE K='""&amp;AB650&amp;""'""))*TRUNC(1+10)*(TRUNC(MOD(($B650*1103515245 +12345)/ 65536, 32768),0)/32768)"),6.03069763183593)</f>
        <v>6.0306976318359302</v>
      </c>
      <c r="AG650" s="16"/>
      <c r="AH650" s="77"/>
      <c r="AI650" s="114"/>
    </row>
    <row r="651" spans="1:35" ht="16.2">
      <c r="A651" s="53">
        <v>650</v>
      </c>
      <c r="B651" s="118">
        <f t="shared" si="47"/>
        <v>0.17960000000000001</v>
      </c>
      <c r="C651" s="72" t="str">
        <f t="array" ref="C651">INDEX(NPCFName,TRUNC(1+(COUNTA(NPCFName))*(TRUNC(MOD(($B651*1103515245 +12345)/ 65536, 32768),0)/32768),0))</f>
        <v>Elson</v>
      </c>
      <c r="D651" s="16" t="str">
        <f t="array" ref="D651">INDEX(NPCLName,TRUNC(1+(COUNTA(NPCLName))*(TRUNC(MOD(($B651*1103515245 +12345)/ 65536, 32768),0)/32768),0))</f>
        <v>Autumnorb</v>
      </c>
      <c r="E651" s="16" t="str">
        <f t="array" ref="E651">INDEX(NPCClass,TRUNC(1+(COUNTA(NPCClass))*(TRUNC(MOD(($B651*1103515245 +12345)/ 65536, 32768),0)/32768),0))</f>
        <v>Bard</v>
      </c>
      <c r="F651" s="76">
        <v>1</v>
      </c>
      <c r="G651" s="153">
        <f ca="1">VLOOKUP($AB$2,'RF Mod'!$A$2:$G$12,2,FALSE)+VLOOKUP($AD$2,'RF Mod'!$I$2:$O$11,2,FALSE)+(TRUNC(6+(24-6)*(TRUNC(MOD(($Z651*1103515245 +12345)/ 65536, 32768),0)/32768),0))</f>
        <v>4</v>
      </c>
      <c r="H651" s="16">
        <f t="shared" ca="1" si="33"/>
        <v>-3</v>
      </c>
      <c r="I651" s="153">
        <f ca="1">VLOOKUP($AB$2,'RF Mod'!$A$2:$G$12,3,FALSE)+VLOOKUP($AD$2,'RF Mod'!$I$2:$O$11,3,FALSE)+(TRUNC(6+(24-6)*(TRUNC(MOD(($Z651*1103515245 +12345)/ 65536, 32768),0)/32768),0))</f>
        <v>8</v>
      </c>
      <c r="J651" s="16">
        <f t="shared" ca="1" si="34"/>
        <v>-1</v>
      </c>
      <c r="K651" s="153">
        <f ca="1">VLOOKUP($AB$2,'RF Mod'!$A$2:$G$12,3,FALSE)+VLOOKUP($AD$2,'RF Mod'!$I$2:$O$11,3,FALSE)+(TRUNC(6+(24-6)*(TRUNC(MOD(($Z651*1103515245 +12345)/ 65536, 32768),0)/32768),0))</f>
        <v>8</v>
      </c>
      <c r="L651" s="16">
        <f t="shared" ca="1" si="35"/>
        <v>-1</v>
      </c>
      <c r="M651" s="153">
        <f ca="1">VLOOKUP($AB$2,'RF Mod'!$A$2:$G$12,4,FALSE)+VLOOKUP($AD$2,'RF Mod'!$I$2:$O$11,4,FALSE)+(TRUNC(6+(24-6)*(TRUNC(MOD(($Z651*1103515245 +12345)/ 65536, 32768),0)/32768),0))</f>
        <v>7</v>
      </c>
      <c r="N651" s="16">
        <f t="shared" ca="1" si="36"/>
        <v>-2</v>
      </c>
      <c r="O651" s="153">
        <f ca="1">VLOOKUP($AB$2,'RF Mod'!$A$2:$G$12,5,FALSE)+VLOOKUP($AD$2,'RF Mod'!$I$2:$O$11,5,FALSE)+(TRUNC(6+(24-6)*(TRUNC(MOD(($Z651*1103515245 +12345)/ 65536, 32768),0)/32768),0))</f>
        <v>10</v>
      </c>
      <c r="P651" s="16" t="e">
        <f t="shared" ca="1" si="37"/>
        <v>#NAME?</v>
      </c>
      <c r="Q651" s="153">
        <f ca="1">VLOOKUP($AB$2,'RF Mod'!$A$2:$G$12,6,FALSE)+VLOOKUP($AD$2,'RF Mod'!$I$2:$O$11,6,FALSE)+(TRUNC(6+(24-6)*(TRUNC(MOD(($Z651*1103515245 +12345)/ 65536, 32768),0)/32768),0))</f>
        <v>8</v>
      </c>
      <c r="R651" s="16">
        <f t="shared" ca="1" si="38"/>
        <v>-1</v>
      </c>
      <c r="S651" s="154">
        <f t="shared" ca="1" si="43"/>
        <v>26</v>
      </c>
      <c r="T651" s="154">
        <f t="shared" ca="1" si="39"/>
        <v>4</v>
      </c>
      <c r="U651" s="16" t="str">
        <f t="shared" ca="1" si="40"/>
        <v>Fine</v>
      </c>
      <c r="V651" s="155">
        <f ca="1">IFERROR(__xludf.DUMMYFUNCTION("if(W651=""Middle Age"",QUERY(NPCVar!$K$2:$N1000, ""Select L where K = '""&amp;AB651&amp;""'""),if(W651=""Old"",QUERY(NPCVar!$K$2:$N1000, ""Select M where K = '""&amp;AB651&amp;""'""),if(W651=""Venerable"",QUERY(NPCVar!$K$2:$N1000, ""Select N where K = '""&amp;AB651&amp;""'""),fa"&amp;"lse)))*X651"),24)</f>
        <v>24</v>
      </c>
      <c r="W651" s="156" t="str">
        <f t="array" ref="W651">INDEX(NPCAgeType,TRUNC(1+(4-1)*(TRUNC(MOD((X651*1103515245 +12345)/ 65536, 32768),0)/32768),0))</f>
        <v>Middle Age</v>
      </c>
      <c r="X651" s="117">
        <f t="shared" si="45"/>
        <v>0.3</v>
      </c>
      <c r="Y651" s="157" t="e">
        <f t="array" aca="1" ref="Y651" ca="1">LOOKUP(ABS(MAX(Z651 + MIN(ABS(INDIRECT("Class Jobs!B"&amp;MATCH(E651,'Class Jobs'!$A$1:$A1000,0)&amp;":"&amp;"AF"&amp;MATCH(E651,'Class Jobs'!$A$1:$A1000,0)&amp;"")-$Z651)) * SUM(IF(MIN(ABS(INDIRECT("Class Jobs!B"&amp;MATCH(E651,'Class Jobs'!$A$1:$A1000,0)&amp;":"&amp;"AF"&amp;MATCH(E651,'Class Jobs'!$A$1:$A1000,0)&amp;"")-$Z651))=ABS(INDIRECT("Class Jobs!B"&amp;MATCH(E651,'Class Jobs'!$A$1:$A1000,0)&amp;":"&amp;"AF"&amp;MATCH(E651,'Class Jobs'!$A$1:$A1000,0)&amp;"")-$Z651),SIGN(INDIRECT("Class Jobs!B"&amp;MATCH(E651,'Class Jobs'!$A$1:A1000,0)&amp;":"&amp;"AF"&amp;MATCH(E651,'Class Jobs'!$A$1:$A1000,0)&amp;"")-$Z651),0)),0)),INDIRECT("Class Jobs!B"&amp;MATCH(E651,'Class Jobs'!$A$1:$A1000,0)&amp;":"&amp;"AF"&amp;MATCH(E651,'Class Jobs'!$A$1:$A1000,1)&amp;""),'Class Jobs'!$B$1:$AF$1)</f>
        <v>#REF!</v>
      </c>
      <c r="Z651" s="158">
        <f t="shared" si="41"/>
        <v>0.1</v>
      </c>
      <c r="AA651" s="16" t="str">
        <f t="array" ref="AA651">INDEX(NPCGender,TRUNC(1+(COUNTA(NPCGender))*(TRUNC(MOD(($B651*1103515245 +12345)/ 65536, 32768),0)/32768),0))</f>
        <v>Male</v>
      </c>
      <c r="AB651" s="16" t="str">
        <f t="array" ref="AB651">INDEX(NPCRace,TRUNC(1+(COUNTA(NPCRace))*(TRUNC(MOD(($B651*1103515245 +12345)/ 65536, 32768),0)/32768),0))</f>
        <v>Dwarf</v>
      </c>
      <c r="AC651" s="16" t="str">
        <f t="array" ref="AC651">INDEX(NPCAL,TRUNC(1+(COUNTA(NPCAL))*(TRUNC(MOD(($B651*1103515245 +12345)/ 65536, 32768),0)/32768),0))</f>
        <v>CN</v>
      </c>
      <c r="AD651" s="72" t="str">
        <f ca="1">IFERROR(__xludf.DUMMYFUNCTION("if(V651&lt;15,QUERY(NPCVar!C:D,""Select D WHERE C = '""&amp;D651&amp;""'""),if((TRUNC(1+10)*(TRUNC(MOD((ROW(H651)*1103515245 +12345)/ 65536, 32768),0)/32768)/10) &gt; 0.85,INDEX(NPCFaction,TRUNC(1+(counta(NPCFaction)-1)*(TRUNC(MOD(($B651*1103515245 +12345)/ 65536, 3276"&amp;"8),0)/32768),0)),QUERY(NPCVar!C:D,""Select D WHERE C = '""&amp;D651&amp;""'"")))"),"Royalty")</f>
        <v>Royalty</v>
      </c>
      <c r="AE651" s="108" t="e">
        <f t="shared" ca="1" si="42"/>
        <v>#NAME?</v>
      </c>
      <c r="AF651" s="159">
        <f ca="1">IFERROR(__xludf.DUMMYFUNCTION("AE651*(V651 / QUERY(NPCVar!$K$2:$N$12, ""Select N WHERE K='""&amp;AB651&amp;""'""))*TRUNC(1+10)*(TRUNC(MOD(($B651*1103515245 +12345)/ 65536, 32768),0)/32768)"),-0.0152270507812499)</f>
        <v>-1.52270507812499E-2</v>
      </c>
      <c r="AG651" s="16"/>
      <c r="AH651" s="77"/>
      <c r="AI651" s="114"/>
    </row>
    <row r="652" spans="1:35" ht="16.2">
      <c r="A652" s="53">
        <v>651</v>
      </c>
      <c r="B652" s="118">
        <f t="shared" si="47"/>
        <v>1.6737299999999999</v>
      </c>
      <c r="C652" s="72" t="str">
        <f t="array" ref="C652">INDEX(NPCFName,TRUNC(1+(COUNTA(NPCFName))*(TRUNC(MOD(($B652*1103515245 +12345)/ 65536, 32768),0)/32768),0))</f>
        <v>Mick</v>
      </c>
      <c r="D652" s="16" t="str">
        <f t="array" ref="D652">INDEX(NPCLName,TRUNC(1+(COUNTA(NPCLName))*(TRUNC(MOD(($B652*1103515245 +12345)/ 65536, 32768),0)/32768),0))</f>
        <v>Springgust</v>
      </c>
      <c r="E652" s="16" t="str">
        <f t="array" ref="E652">INDEX(NPCClass,TRUNC(1+(COUNTA(NPCClass))*(TRUNC(MOD(($B652*1103515245 +12345)/ 65536, 32768),0)/32768),0))</f>
        <v>Fighter</v>
      </c>
      <c r="F652" s="76">
        <v>8</v>
      </c>
      <c r="G652" s="153">
        <f ca="1">VLOOKUP($AB$2,'RF Mod'!$A$2:$G$12,2,FALSE)+VLOOKUP($AD$2,'RF Mod'!$I$2:$O$11,2,FALSE)+(TRUNC(6+(24-6)*(TRUNC(MOD(($Z652*1103515245 +12345)/ 65536, 32768),0)/32768),0))</f>
        <v>11</v>
      </c>
      <c r="H652" s="16" t="e">
        <f t="shared" ca="1" si="33"/>
        <v>#NAME?</v>
      </c>
      <c r="I652" s="153">
        <f ca="1">VLOOKUP($AB$2,'RF Mod'!$A$2:$G$12,3,FALSE)+VLOOKUP($AD$2,'RF Mod'!$I$2:$O$11,3,FALSE)+(TRUNC(6+(24-6)*(TRUNC(MOD(($Z652*1103515245 +12345)/ 65536, 32768),0)/32768),0))</f>
        <v>15</v>
      </c>
      <c r="J652" s="16" t="e">
        <f t="shared" ca="1" si="34"/>
        <v>#NAME?</v>
      </c>
      <c r="K652" s="153">
        <f ca="1">VLOOKUP($AB$2,'RF Mod'!$A$2:$G$12,3,FALSE)+VLOOKUP($AD$2,'RF Mod'!$I$2:$O$11,3,FALSE)+(TRUNC(6+(24-6)*(TRUNC(MOD(($Z652*1103515245 +12345)/ 65536, 32768),0)/32768),0))</f>
        <v>15</v>
      </c>
      <c r="L652" s="16" t="e">
        <f t="shared" ca="1" si="35"/>
        <v>#NAME?</v>
      </c>
      <c r="M652" s="153">
        <f ca="1">VLOOKUP($AB$2,'RF Mod'!$A$2:$G$12,4,FALSE)+VLOOKUP($AD$2,'RF Mod'!$I$2:$O$11,4,FALSE)+(TRUNC(6+(24-6)*(TRUNC(MOD(($Z652*1103515245 +12345)/ 65536, 32768),0)/32768),0))</f>
        <v>14</v>
      </c>
      <c r="N652" s="16" t="e">
        <f t="shared" ca="1" si="36"/>
        <v>#NAME?</v>
      </c>
      <c r="O652" s="153">
        <f ca="1">VLOOKUP($AB$2,'RF Mod'!$A$2:$G$12,5,FALSE)+VLOOKUP($AD$2,'RF Mod'!$I$2:$O$11,5,FALSE)+(TRUNC(6+(24-6)*(TRUNC(MOD(($Z652*1103515245 +12345)/ 65536, 32768),0)/32768),0))</f>
        <v>17</v>
      </c>
      <c r="P652" s="16" t="e">
        <f t="shared" ca="1" si="37"/>
        <v>#NAME?</v>
      </c>
      <c r="Q652" s="153">
        <f ca="1">VLOOKUP($AB$2,'RF Mod'!$A$2:$G$12,6,FALSE)+VLOOKUP($AD$2,'RF Mod'!$I$2:$O$11,6,FALSE)+(TRUNC(6+(24-6)*(TRUNC(MOD(($Z652*1103515245 +12345)/ 65536, 32768),0)/32768),0))</f>
        <v>15</v>
      </c>
      <c r="R652" s="16" t="e">
        <f t="shared" ca="1" si="38"/>
        <v>#NAME?</v>
      </c>
      <c r="S652" s="154">
        <f t="shared" ca="1" si="43"/>
        <v>200</v>
      </c>
      <c r="T652" s="154">
        <f t="shared" ca="1" si="39"/>
        <v>190</v>
      </c>
      <c r="U652" s="16" t="str">
        <f t="shared" ca="1" si="40"/>
        <v>Bloody</v>
      </c>
      <c r="V652" s="155">
        <f ca="1">IFERROR(__xludf.DUMMYFUNCTION("if(W652=""Middle Age"",QUERY(NPCVar!$K$2:$N1000, ""Select L where K = '""&amp;AB652&amp;""'""),if(W652=""Old"",QUERY(NPCVar!$K$2:$N1000, ""Select M where K = '""&amp;AB652&amp;""'""),if(W652=""Venerable"",QUERY(NPCVar!$K$2:$N1000, ""Select N where K = '""&amp;AB652&amp;""'""),fa"&amp;"lse)))*X652"),57.75)</f>
        <v>57.75</v>
      </c>
      <c r="W652" s="156" t="str">
        <f t="array" ref="W652">INDEX(NPCAgeType,TRUNC(1+(4-1)*(TRUNC(MOD((X652*1103515245 +12345)/ 65536, 32768),0)/32768),0))</f>
        <v>Middle Age</v>
      </c>
      <c r="X652" s="117">
        <f t="shared" si="45"/>
        <v>2.1</v>
      </c>
      <c r="Y652" s="157" t="e">
        <f t="array" aca="1" ref="Y652" ca="1">LOOKUP(ABS(MAX(Z652 + MIN(ABS(INDIRECT("Class Jobs!B"&amp;MATCH(E652,'Class Jobs'!$A$1:$A1000,0)&amp;":"&amp;"AF"&amp;MATCH(E652,'Class Jobs'!$A$1:$A1000,0)&amp;"")-$Z652)) * SUM(IF(MIN(ABS(INDIRECT("Class Jobs!B"&amp;MATCH(E652,'Class Jobs'!$A$1:$A1000,0)&amp;":"&amp;"AF"&amp;MATCH(E652,'Class Jobs'!$A$1:$A1000,0)&amp;"")-$Z652))=ABS(INDIRECT("Class Jobs!B"&amp;MATCH(E652,'Class Jobs'!$A$1:$A1000,0)&amp;":"&amp;"AF"&amp;MATCH(E652,'Class Jobs'!$A$1:$A1000,0)&amp;"")-$Z652),SIGN(INDIRECT("Class Jobs!B"&amp;MATCH(E652,'Class Jobs'!$A$1:A1000,0)&amp;":"&amp;"AF"&amp;MATCH(E652,'Class Jobs'!$A$1:$A1000,0)&amp;"")-$Z652),0)),0)),INDIRECT("Class Jobs!B"&amp;MATCH(E652,'Class Jobs'!$A$1:$A1000,0)&amp;":"&amp;"AF"&amp;MATCH(E652,'Class Jobs'!$A$1:$A1000,1)&amp;""),'Class Jobs'!$B$1:$AF$1)</f>
        <v>#REF!</v>
      </c>
      <c r="Z652" s="158">
        <f t="shared" si="41"/>
        <v>0.86</v>
      </c>
      <c r="AA652" s="16" t="str">
        <f t="array" ref="AA652">INDEX(NPCGender,TRUNC(1+(COUNTA(NPCGender))*(TRUNC(MOD(($B652*1103515245 +12345)/ 65536, 32768),0)/32768),0))</f>
        <v>Neutral</v>
      </c>
      <c r="AB652" s="16" t="str">
        <f t="array" ref="AB652">INDEX(NPCRace,TRUNC(1+(COUNTA(NPCRace))*(TRUNC(MOD(($B652*1103515245 +12345)/ 65536, 32768),0)/32768),0))</f>
        <v>Genasi</v>
      </c>
      <c r="AC652" s="16" t="str">
        <f t="array" ref="AC652">INDEX(NPCAL,TRUNC(1+(COUNTA(NPCAL))*(TRUNC(MOD(($B652*1103515245 +12345)/ 65536, 32768),0)/32768),0))</f>
        <v>LN</v>
      </c>
      <c r="AD652" s="72" t="str">
        <f ca="1">IFERROR(__xludf.DUMMYFUNCTION("if(V652&lt;15,QUERY(NPCVar!C:D,""Select D WHERE C = '""&amp;D652&amp;""'""),if((TRUNC(1+10)*(TRUNC(MOD((ROW(H652)*1103515245 +12345)/ 65536, 32768),0)/32768)/10) &gt; 0.85,INDEX(NPCFaction,TRUNC(1+(counta(NPCFaction)-1)*(TRUNC(MOD(($B652*1103515245 +12345)/ 65536, 3276"&amp;"8),0)/32768),0)),QUERY(NPCVar!C:D,""Select D WHERE C = '""&amp;D652&amp;""'"")))"),"Traverlers Guild")</f>
        <v>Traverlers Guild</v>
      </c>
      <c r="AE652" s="108" t="e">
        <f t="shared" ca="1" si="42"/>
        <v>#NAME?</v>
      </c>
      <c r="AF652" s="159">
        <f ca="1">IFERROR(__xludf.DUMMYFUNCTION("AE652*(V652 / QUERY(NPCVar!$K$2:$N$12, ""Select N WHERE K='""&amp;AB652&amp;""'""))*TRUNC(1+10)*(TRUNC(MOD(($B652*1103515245 +12345)/ 65536, 32768),0)/32768)"),2.98006072998046)</f>
        <v>2.98006072998046</v>
      </c>
      <c r="AG652" s="16"/>
      <c r="AH652" s="77"/>
      <c r="AI652" s="114"/>
    </row>
    <row r="653" spans="1:35" ht="16.2">
      <c r="A653" s="53">
        <v>652</v>
      </c>
      <c r="B653" s="118">
        <f t="shared" si="47"/>
        <v>0.66779999999999995</v>
      </c>
      <c r="C653" s="72" t="str">
        <f t="array" ref="C653">INDEX(NPCFName,TRUNC(1+(COUNTA(NPCFName))*(TRUNC(MOD(($B653*1103515245 +12345)/ 65536, 32768),0)/32768),0))</f>
        <v>Airis</v>
      </c>
      <c r="D653" s="16" t="str">
        <f t="array" ref="D653">INDEX(NPCLName,TRUNC(1+(COUNTA(NPCLName))*(TRUNC(MOD(($B653*1103515245 +12345)/ 65536, 32768),0)/32768),0))</f>
        <v>Leafblight</v>
      </c>
      <c r="E653" s="16" t="str">
        <f t="array" ref="E653">INDEX(NPCClass,TRUNC(1+(COUNTA(NPCClass))*(TRUNC(MOD(($B653*1103515245 +12345)/ 65536, 32768),0)/32768),0))</f>
        <v>Paladin</v>
      </c>
      <c r="F653" s="76">
        <v>6</v>
      </c>
      <c r="G653" s="153">
        <f ca="1">VLOOKUP($AB$2,'RF Mod'!$A$2:$G$12,2,FALSE)+VLOOKUP($AD$2,'RF Mod'!$I$2:$O$11,2,FALSE)+(TRUNC(6+(24-6)*(TRUNC(MOD(($Z653*1103515245 +12345)/ 65536, 32768),0)/32768),0))</f>
        <v>7</v>
      </c>
      <c r="H653" s="16">
        <f t="shared" ca="1" si="33"/>
        <v>-2</v>
      </c>
      <c r="I653" s="153">
        <f ca="1">VLOOKUP($AB$2,'RF Mod'!$A$2:$G$12,3,FALSE)+VLOOKUP($AD$2,'RF Mod'!$I$2:$O$11,3,FALSE)+(TRUNC(6+(24-6)*(TRUNC(MOD(($Z653*1103515245 +12345)/ 65536, 32768),0)/32768),0))</f>
        <v>11</v>
      </c>
      <c r="J653" s="16" t="e">
        <f t="shared" ca="1" si="34"/>
        <v>#NAME?</v>
      </c>
      <c r="K653" s="153">
        <f ca="1">VLOOKUP($AB$2,'RF Mod'!$A$2:$G$12,3,FALSE)+VLOOKUP($AD$2,'RF Mod'!$I$2:$O$11,3,FALSE)+(TRUNC(6+(24-6)*(TRUNC(MOD(($Z653*1103515245 +12345)/ 65536, 32768),0)/32768),0))</f>
        <v>11</v>
      </c>
      <c r="L653" s="16" t="e">
        <f t="shared" ca="1" si="35"/>
        <v>#NAME?</v>
      </c>
      <c r="M653" s="153">
        <f ca="1">VLOOKUP($AB$2,'RF Mod'!$A$2:$G$12,4,FALSE)+VLOOKUP($AD$2,'RF Mod'!$I$2:$O$11,4,FALSE)+(TRUNC(6+(24-6)*(TRUNC(MOD(($Z653*1103515245 +12345)/ 65536, 32768),0)/32768),0))</f>
        <v>10</v>
      </c>
      <c r="N653" s="16" t="e">
        <f t="shared" ca="1" si="36"/>
        <v>#NAME?</v>
      </c>
      <c r="O653" s="153">
        <f ca="1">VLOOKUP($AB$2,'RF Mod'!$A$2:$G$12,5,FALSE)+VLOOKUP($AD$2,'RF Mod'!$I$2:$O$11,5,FALSE)+(TRUNC(6+(24-6)*(TRUNC(MOD(($Z653*1103515245 +12345)/ 65536, 32768),0)/32768),0))</f>
        <v>13</v>
      </c>
      <c r="P653" s="16" t="e">
        <f t="shared" ca="1" si="37"/>
        <v>#NAME?</v>
      </c>
      <c r="Q653" s="153">
        <f ca="1">VLOOKUP($AB$2,'RF Mod'!$A$2:$G$12,6,FALSE)+VLOOKUP($AD$2,'RF Mod'!$I$2:$O$11,6,FALSE)+(TRUNC(6+(24-6)*(TRUNC(MOD(($Z653*1103515245 +12345)/ 65536, 32768),0)/32768),0))</f>
        <v>11</v>
      </c>
      <c r="R653" s="16" t="e">
        <f t="shared" ca="1" si="38"/>
        <v>#NAME?</v>
      </c>
      <c r="S653" s="154">
        <f t="shared" ca="1" si="43"/>
        <v>78</v>
      </c>
      <c r="T653" s="154">
        <f t="shared" ca="1" si="39"/>
        <v>56</v>
      </c>
      <c r="U653" s="16" t="str">
        <f t="shared" ca="1" si="40"/>
        <v>Bloody</v>
      </c>
      <c r="V653" s="155">
        <f ca="1">IFERROR(__xludf.DUMMYFUNCTION("if(W653=""Middle Age"",QUERY(NPCVar!$K$2:$N1000, ""Select L where K = '""&amp;AB653&amp;""'""),if(W653=""Old"",QUERY(NPCVar!$K$2:$N1000, ""Select M where K = '""&amp;AB653&amp;""'""),if(W653=""Venerable"",QUERY(NPCVar!$K$2:$N1000, ""Select N where K = '""&amp;AB653&amp;""'""),fa"&amp;"lse)))*X653"),151.875)</f>
        <v>151.875</v>
      </c>
      <c r="W653" s="156" t="str">
        <f t="array" ref="W653">INDEX(NPCAgeType,TRUNC(1+(4-1)*(TRUNC(MOD((X653*1103515245 +12345)/ 65536, 32768),0)/32768),0))</f>
        <v>Old</v>
      </c>
      <c r="X653" s="117">
        <f t="shared" si="45"/>
        <v>0.9</v>
      </c>
      <c r="Y653" s="157" t="e">
        <f t="array" aca="1" ref="Y653" ca="1">LOOKUP(ABS(MAX(Z653 + MIN(ABS(INDIRECT("Class Jobs!B"&amp;MATCH(E653,'Class Jobs'!$A$1:$A1000,0)&amp;":"&amp;"AF"&amp;MATCH(E653,'Class Jobs'!$A$1:$A1000,0)&amp;"")-$Z653)) * SUM(IF(MIN(ABS(INDIRECT("Class Jobs!B"&amp;MATCH(E653,'Class Jobs'!$A$1:$A1000,0)&amp;":"&amp;"AF"&amp;MATCH(E653,'Class Jobs'!$A$1:$A1000,0)&amp;"")-$Z653))=ABS(INDIRECT("Class Jobs!B"&amp;MATCH(E653,'Class Jobs'!$A$1:$A1000,0)&amp;":"&amp;"AF"&amp;MATCH(E653,'Class Jobs'!$A$1:$A1000,0)&amp;"")-$Z653),SIGN(INDIRECT("Class Jobs!B"&amp;MATCH(E653,'Class Jobs'!$A$1:A1000,0)&amp;":"&amp;"AF"&amp;MATCH(E653,'Class Jobs'!$A$1:$A1000,0)&amp;"")-$Z653),0)),0)),INDIRECT("Class Jobs!B"&amp;MATCH(E653,'Class Jobs'!$A$1:$A1000,0)&amp;":"&amp;"AF"&amp;MATCH(E653,'Class Jobs'!$A$1:$A1000,1)&amp;""),'Class Jobs'!$B$1:$AF$1)</f>
        <v>#REF!</v>
      </c>
      <c r="Z653" s="158">
        <f t="shared" si="41"/>
        <v>0.34</v>
      </c>
      <c r="AA653" s="16" t="str">
        <f t="array" ref="AA653">INDEX(NPCGender,TRUNC(1+(COUNTA(NPCGender))*(TRUNC(MOD(($B653*1103515245 +12345)/ 65536, 32768),0)/32768),0))</f>
        <v>Female</v>
      </c>
      <c r="AB653" s="16" t="str">
        <f t="array" ref="AB653">INDEX(NPCRace,TRUNC(1+(COUNTA(NPCRace))*(TRUNC(MOD(($B653*1103515245 +12345)/ 65536, 32768),0)/32768),0))</f>
        <v>Gnome</v>
      </c>
      <c r="AC653" s="16" t="str">
        <f t="array" ref="AC653">INDEX(NPCAL,TRUNC(1+(COUNTA(NPCAL))*(TRUNC(MOD(($B653*1103515245 +12345)/ 65536, 32768),0)/32768),0))</f>
        <v>NG</v>
      </c>
      <c r="AD653" s="72" t="str">
        <f ca="1">IFERROR(__xludf.DUMMYFUNCTION("if(V653&lt;15,QUERY(NPCVar!C:D,""Select D WHERE C = '""&amp;D653&amp;""'""),if((TRUNC(1+10)*(TRUNC(MOD((ROW(H653)*1103515245 +12345)/ 65536, 32768),0)/32768)/10) &gt; 0.85,INDEX(NPCFaction,TRUNC(1+(counta(NPCFaction)-1)*(TRUNC(MOD(($B653*1103515245 +12345)/ 65536, 3276"&amp;"8),0)/32768),0)),QUERY(NPCVar!C:D,""Select D WHERE C = '""&amp;D653&amp;""'"")))"),"Necromancer")</f>
        <v>Necromancer</v>
      </c>
      <c r="AE653" s="108" t="e">
        <f t="shared" ca="1" si="42"/>
        <v>#NAME?</v>
      </c>
      <c r="AF653" s="159">
        <f ca="1">IFERROR(__xludf.DUMMYFUNCTION("AE653*(V653 / QUERY(NPCVar!$K$2:$N$12, ""Select N WHERE K='""&amp;AB653&amp;""'""))*TRUNC(1+10)*(TRUNC(MOD(($B653*1103515245 +12345)/ 65536, 32768),0)/32768)"),0)</f>
        <v>0</v>
      </c>
      <c r="AG653" s="16"/>
      <c r="AH653" s="77"/>
      <c r="AI653" s="114"/>
    </row>
    <row r="654" spans="1:35" ht="16.2">
      <c r="A654" s="53">
        <v>653</v>
      </c>
      <c r="B654" s="118">
        <f t="shared" si="47"/>
        <v>2.16194</v>
      </c>
      <c r="C654" s="72" t="str">
        <f t="array" ref="C654">INDEX(NPCFName,TRUNC(1+(COUNTA(NPCFName))*(TRUNC(MOD(($B654*1103515245 +12345)/ 65536, 32768),0)/32768),0))</f>
        <v>Folmard</v>
      </c>
      <c r="D654" s="16" t="str">
        <f t="array" ref="D654">INDEX(NPCLName,TRUNC(1+(COUNTA(NPCLName))*(TRUNC(MOD(($B654*1103515245 +12345)/ 65536, 32768),0)/32768),0))</f>
        <v>Distantlash</v>
      </c>
      <c r="E654" s="16" t="str">
        <f t="array" ref="E654">INDEX(NPCClass,TRUNC(1+(COUNTA(NPCClass))*(TRUNC(MOD(($B654*1103515245 +12345)/ 65536, 32768),0)/32768),0))</f>
        <v>Bard</v>
      </c>
      <c r="F654" s="76">
        <v>1</v>
      </c>
      <c r="G654" s="153">
        <f ca="1">VLOOKUP($AB$2,'RF Mod'!$A$2:$G$12,2,FALSE)+VLOOKUP($AD$2,'RF Mod'!$I$2:$O$11,2,FALSE)+(TRUNC(6+(24-6)*(TRUNC(MOD(($Z654*1103515245 +12345)/ 65536, 32768),0)/32768),0))</f>
        <v>5</v>
      </c>
      <c r="H654" s="16">
        <f t="shared" ca="1" si="33"/>
        <v>-3</v>
      </c>
      <c r="I654" s="153">
        <f ca="1">VLOOKUP($AB$2,'RF Mod'!$A$2:$G$12,3,FALSE)+VLOOKUP($AD$2,'RF Mod'!$I$2:$O$11,3,FALSE)+(TRUNC(6+(24-6)*(TRUNC(MOD(($Z654*1103515245 +12345)/ 65536, 32768),0)/32768),0))</f>
        <v>9</v>
      </c>
      <c r="J654" s="16">
        <f t="shared" ca="1" si="34"/>
        <v>-1</v>
      </c>
      <c r="K654" s="153">
        <f ca="1">VLOOKUP($AB$2,'RF Mod'!$A$2:$G$12,3,FALSE)+VLOOKUP($AD$2,'RF Mod'!$I$2:$O$11,3,FALSE)+(TRUNC(6+(24-6)*(TRUNC(MOD(($Z654*1103515245 +12345)/ 65536, 32768),0)/32768),0))</f>
        <v>9</v>
      </c>
      <c r="L654" s="16">
        <f t="shared" ca="1" si="35"/>
        <v>-1</v>
      </c>
      <c r="M654" s="153">
        <f ca="1">VLOOKUP($AB$2,'RF Mod'!$A$2:$G$12,4,FALSE)+VLOOKUP($AD$2,'RF Mod'!$I$2:$O$11,4,FALSE)+(TRUNC(6+(24-6)*(TRUNC(MOD(($Z654*1103515245 +12345)/ 65536, 32768),0)/32768),0))</f>
        <v>8</v>
      </c>
      <c r="N654" s="16">
        <f t="shared" ca="1" si="36"/>
        <v>-1</v>
      </c>
      <c r="O654" s="153">
        <f ca="1">VLOOKUP($AB$2,'RF Mod'!$A$2:$G$12,5,FALSE)+VLOOKUP($AD$2,'RF Mod'!$I$2:$O$11,5,FALSE)+(TRUNC(6+(24-6)*(TRUNC(MOD(($Z654*1103515245 +12345)/ 65536, 32768),0)/32768),0))</f>
        <v>11</v>
      </c>
      <c r="P654" s="16" t="e">
        <f t="shared" ca="1" si="37"/>
        <v>#NAME?</v>
      </c>
      <c r="Q654" s="153">
        <f ca="1">VLOOKUP($AB$2,'RF Mod'!$A$2:$G$12,6,FALSE)+VLOOKUP($AD$2,'RF Mod'!$I$2:$O$11,6,FALSE)+(TRUNC(6+(24-6)*(TRUNC(MOD(($Z654*1103515245 +12345)/ 65536, 32768),0)/32768),0))</f>
        <v>9</v>
      </c>
      <c r="R654" s="16">
        <f t="shared" ca="1" si="38"/>
        <v>-1</v>
      </c>
      <c r="S654" s="154">
        <f t="shared" ca="1" si="43"/>
        <v>11</v>
      </c>
      <c r="T654" s="154">
        <f t="shared" ca="1" si="39"/>
        <v>6</v>
      </c>
      <c r="U654" s="16" t="str">
        <f t="shared" ca="1" si="40"/>
        <v>Bloody</v>
      </c>
      <c r="V654" s="155">
        <f ca="1">IFERROR(__xludf.DUMMYFUNCTION("if(W654=""Middle Age"",QUERY(NPCVar!$K$2:$N1000, ""Select L where K = '""&amp;AB654&amp;""'""),if(W654=""Old"",QUERY(NPCVar!$K$2:$N1000, ""Select M where K = '""&amp;AB654&amp;""'""),if(W654=""Venerable"",QUERY(NPCVar!$K$2:$N1000, ""Select N where K = '""&amp;AB654&amp;""'""),fa"&amp;"lse)))*X654"),24)</f>
        <v>24</v>
      </c>
      <c r="W654" s="156" t="str">
        <f t="array" ref="W654">INDEX(NPCAgeType,TRUNC(1+(4-1)*(TRUNC(MOD((X654*1103515245 +12345)/ 65536, 32768),0)/32768),0))</f>
        <v>Middle Age</v>
      </c>
      <c r="X654" s="117">
        <f t="shared" si="45"/>
        <v>0.3</v>
      </c>
      <c r="Y654" s="157" t="e">
        <f t="array" aca="1" ref="Y654" ca="1">LOOKUP(ABS(MAX(Z654 + MIN(ABS(INDIRECT("Class Jobs!B"&amp;MATCH(E654,'Class Jobs'!$A$1:$A1000,0)&amp;":"&amp;"AF"&amp;MATCH(E654,'Class Jobs'!$A$1:$A1000,0)&amp;"")-$Z654)) * SUM(IF(MIN(ABS(INDIRECT("Class Jobs!B"&amp;MATCH(E654,'Class Jobs'!$A$1:$A1000,0)&amp;":"&amp;"AF"&amp;MATCH(E654,'Class Jobs'!$A$1:$A1000,0)&amp;"")-$Z654))=ABS(INDIRECT("Class Jobs!B"&amp;MATCH(E654,'Class Jobs'!$A$1:$A1000,0)&amp;":"&amp;"AF"&amp;MATCH(E654,'Class Jobs'!$A$1:$A1000,0)&amp;"")-$Z654),SIGN(INDIRECT("Class Jobs!B"&amp;MATCH(E654,'Class Jobs'!$A$1:A1000,0)&amp;":"&amp;"AF"&amp;MATCH(E654,'Class Jobs'!$A$1:$A1000,0)&amp;"")-$Z654),0)),0)),INDIRECT("Class Jobs!B"&amp;MATCH(E654,'Class Jobs'!$A$1:$A1000,0)&amp;":"&amp;"AF"&amp;MATCH(E654,'Class Jobs'!$A$1:$A1000,1)&amp;""),'Class Jobs'!$B$1:$AF$1)</f>
        <v>#REF!</v>
      </c>
      <c r="Z654" s="158">
        <f t="shared" si="41"/>
        <v>0.11</v>
      </c>
      <c r="AA654" s="16" t="str">
        <f t="array" ref="AA654">INDEX(NPCGender,TRUNC(1+(COUNTA(NPCGender))*(TRUNC(MOD(($B654*1103515245 +12345)/ 65536, 32768),0)/32768),0))</f>
        <v>Male</v>
      </c>
      <c r="AB654" s="16" t="str">
        <f t="array" ref="AB654">INDEX(NPCRace,TRUNC(1+(COUNTA(NPCRace))*(TRUNC(MOD(($B654*1103515245 +12345)/ 65536, 32768),0)/32768),0))</f>
        <v>Dwarf</v>
      </c>
      <c r="AC654" s="16" t="str">
        <f t="array" ref="AC654">INDEX(NPCAL,TRUNC(1+(COUNTA(NPCAL))*(TRUNC(MOD(($B654*1103515245 +12345)/ 65536, 32768),0)/32768),0))</f>
        <v>CN</v>
      </c>
      <c r="AD654" s="72" t="str">
        <f ca="1">IFERROR(__xludf.DUMMYFUNCTION("if(V654&lt;15,QUERY(NPCVar!C:D,""Select D WHERE C = '""&amp;D654&amp;""'""),if((TRUNC(1+10)*(TRUNC(MOD((ROW(H654)*1103515245 +12345)/ 65536, 32768),0)/32768)/10) &gt; 0.85,INDEX(NPCFaction,TRUNC(1+(counta(NPCFaction)-1)*(TRUNC(MOD(($B654*1103515245 +12345)/ 65536, 3276"&amp;"8),0)/32768),0)),QUERY(NPCVar!C:D,""Select D WHERE C = '""&amp;D654&amp;""'"")))"),"Death Guild")</f>
        <v>Death Guild</v>
      </c>
      <c r="AE654" s="108" t="e">
        <f t="shared" ca="1" si="42"/>
        <v>#NAME?</v>
      </c>
      <c r="AF654" s="159">
        <f ca="1">IFERROR(__xludf.DUMMYFUNCTION("AE654*(V654 / QUERY(NPCVar!$K$2:$N$12, ""Select N WHERE K='""&amp;AB654&amp;""'""))*TRUNC(1+10)*(TRUNC(MOD(($B654*1103515245 +12345)/ 65536, 32768),0)/32768)"),0.0183036804199218)</f>
        <v>1.8303680419921801E-2</v>
      </c>
      <c r="AG654" s="16"/>
      <c r="AH654" s="77"/>
      <c r="AI654" s="114"/>
    </row>
    <row r="655" spans="1:35" ht="16.2">
      <c r="A655" s="53">
        <v>654</v>
      </c>
      <c r="B655" s="118">
        <f t="shared" si="47"/>
        <v>1.15608</v>
      </c>
      <c r="C655" s="72" t="str">
        <f t="array" ref="C655">INDEX(NPCFName,TRUNC(1+(COUNTA(NPCFName))*(TRUNC(MOD(($B655*1103515245 +12345)/ 65536, 32768),0)/32768),0))</f>
        <v>Sedar</v>
      </c>
      <c r="D655" s="16" t="str">
        <f t="array" ref="D655">INDEX(NPCLName,TRUNC(1+(COUNTA(NPCLName))*(TRUNC(MOD(($B655*1103515245 +12345)/ 65536, 32768),0)/32768),0))</f>
        <v>Chestaxe</v>
      </c>
      <c r="E655" s="16" t="str">
        <f t="array" ref="E655">INDEX(NPCClass,TRUNC(1+(COUNTA(NPCClass))*(TRUNC(MOD(($B655*1103515245 +12345)/ 65536, 32768),0)/32768),0))</f>
        <v>Warlock</v>
      </c>
      <c r="F655" s="76">
        <v>8</v>
      </c>
      <c r="G655" s="153">
        <f ca="1">VLOOKUP($AB$2,'RF Mod'!$A$2:$G$12,2,FALSE)+VLOOKUP($AD$2,'RF Mod'!$I$2:$O$11,2,FALSE)+(TRUNC(6+(24-6)*(TRUNC(MOD(($Z655*1103515245 +12345)/ 65536, 32768),0)/32768),0))</f>
        <v>9</v>
      </c>
      <c r="H655" s="16">
        <f t="shared" ca="1" si="33"/>
        <v>-1</v>
      </c>
      <c r="I655" s="153">
        <f ca="1">VLOOKUP($AB$2,'RF Mod'!$A$2:$G$12,3,FALSE)+VLOOKUP($AD$2,'RF Mod'!$I$2:$O$11,3,FALSE)+(TRUNC(6+(24-6)*(TRUNC(MOD(($Z655*1103515245 +12345)/ 65536, 32768),0)/32768),0))</f>
        <v>13</v>
      </c>
      <c r="J655" s="16" t="e">
        <f t="shared" ca="1" si="34"/>
        <v>#NAME?</v>
      </c>
      <c r="K655" s="153">
        <f ca="1">VLOOKUP($AB$2,'RF Mod'!$A$2:$G$12,3,FALSE)+VLOOKUP($AD$2,'RF Mod'!$I$2:$O$11,3,FALSE)+(TRUNC(6+(24-6)*(TRUNC(MOD(($Z655*1103515245 +12345)/ 65536, 32768),0)/32768),0))</f>
        <v>13</v>
      </c>
      <c r="L655" s="16" t="e">
        <f t="shared" ca="1" si="35"/>
        <v>#NAME?</v>
      </c>
      <c r="M655" s="153">
        <f ca="1">VLOOKUP($AB$2,'RF Mod'!$A$2:$G$12,4,FALSE)+VLOOKUP($AD$2,'RF Mod'!$I$2:$O$11,4,FALSE)+(TRUNC(6+(24-6)*(TRUNC(MOD(($Z655*1103515245 +12345)/ 65536, 32768),0)/32768),0))</f>
        <v>12</v>
      </c>
      <c r="N655" s="16" t="e">
        <f t="shared" ca="1" si="36"/>
        <v>#NAME?</v>
      </c>
      <c r="O655" s="153">
        <f ca="1">VLOOKUP($AB$2,'RF Mod'!$A$2:$G$12,5,FALSE)+VLOOKUP($AD$2,'RF Mod'!$I$2:$O$11,5,FALSE)+(TRUNC(6+(24-6)*(TRUNC(MOD(($Z655*1103515245 +12345)/ 65536, 32768),0)/32768),0))</f>
        <v>15</v>
      </c>
      <c r="P655" s="16" t="e">
        <f t="shared" ca="1" si="37"/>
        <v>#NAME?</v>
      </c>
      <c r="Q655" s="153">
        <f ca="1">VLOOKUP($AB$2,'RF Mod'!$A$2:$G$12,6,FALSE)+VLOOKUP($AD$2,'RF Mod'!$I$2:$O$11,6,FALSE)+(TRUNC(6+(24-6)*(TRUNC(MOD(($Z655*1103515245 +12345)/ 65536, 32768),0)/32768),0))</f>
        <v>13</v>
      </c>
      <c r="R655" s="16" t="e">
        <f t="shared" ca="1" si="38"/>
        <v>#NAME?</v>
      </c>
      <c r="S655" s="154">
        <f t="shared" ca="1" si="43"/>
        <v>120</v>
      </c>
      <c r="T655" s="154">
        <f t="shared" ca="1" si="39"/>
        <v>49</v>
      </c>
      <c r="U655" s="16" t="str">
        <f t="shared" ca="1" si="40"/>
        <v>Fine</v>
      </c>
      <c r="V655" s="155">
        <f ca="1">IFERROR(__xludf.DUMMYFUNCTION("if(W655=""Middle Age"",QUERY(NPCVar!$K$2:$N1000, ""Select L where K = '""&amp;AB655&amp;""'""),if(W655=""Old"",QUERY(NPCVar!$K$2:$N1000, ""Select M where K = '""&amp;AB655&amp;""'""),if(W655=""Venerable"",QUERY(NPCVar!$K$2:$N1000, ""Select N where K = '""&amp;AB655&amp;""'""),fa"&amp;"lse)))*X655"),300)</f>
        <v>300</v>
      </c>
      <c r="W655" s="156" t="str">
        <f t="array" ref="W655">INDEX(NPCAgeType,TRUNC(1+(4-1)*(TRUNC(MOD((X655*1103515245 +12345)/ 65536, 32768),0)/32768),0))</f>
        <v>Venerable</v>
      </c>
      <c r="X655" s="117">
        <f t="shared" si="45"/>
        <v>1.5</v>
      </c>
      <c r="Y655" s="157" t="e">
        <f t="array" aca="1" ref="Y655" ca="1">LOOKUP(ABS(MAX(Z655 + MIN(ABS(INDIRECT("Class Jobs!B"&amp;MATCH(E655,'Class Jobs'!$A$1:$A1000,0)&amp;":"&amp;"AF"&amp;MATCH(E655,'Class Jobs'!$A$1:$A1000,0)&amp;"")-$Z655)) * SUM(IF(MIN(ABS(INDIRECT("Class Jobs!B"&amp;MATCH(E655,'Class Jobs'!$A$1:$A1000,0)&amp;":"&amp;"AF"&amp;MATCH(E655,'Class Jobs'!$A$1:$A1000,0)&amp;"")-$Z655))=ABS(INDIRECT("Class Jobs!B"&amp;MATCH(E655,'Class Jobs'!$A$1:$A1000,0)&amp;":"&amp;"AF"&amp;MATCH(E655,'Class Jobs'!$A$1:$A1000,0)&amp;"")-$Z655),SIGN(INDIRECT("Class Jobs!B"&amp;MATCH(E655,'Class Jobs'!$A$1:A1000,0)&amp;":"&amp;"AF"&amp;MATCH(E655,'Class Jobs'!$A$1:$A1000,0)&amp;"")-$Z655),0)),0)),INDIRECT("Class Jobs!B"&amp;MATCH(E655,'Class Jobs'!$A$1:$A1000,0)&amp;":"&amp;"AF"&amp;MATCH(E655,'Class Jobs'!$A$1:$A1000,1)&amp;""),'Class Jobs'!$B$1:$AF$1)</f>
        <v>#REF!</v>
      </c>
      <c r="Z655" s="158">
        <f t="shared" si="41"/>
        <v>0.59</v>
      </c>
      <c r="AA655" s="16" t="str">
        <f t="array" ref="AA655">INDEX(NPCGender,TRUNC(1+(COUNTA(NPCGender))*(TRUNC(MOD(($B655*1103515245 +12345)/ 65536, 32768),0)/32768),0))</f>
        <v>Female</v>
      </c>
      <c r="AB655" s="16" t="str">
        <f t="array" ref="AB655">INDEX(NPCRace,TRUNC(1+(COUNTA(NPCRace))*(TRUNC(MOD(($B655*1103515245 +12345)/ 65536, 32768),0)/32768),0))</f>
        <v>Halfling</v>
      </c>
      <c r="AC655" s="16" t="str">
        <f t="array" ref="AC655">INDEX(NPCAL,TRUNC(1+(COUNTA(NPCAL))*(TRUNC(MOD(($B655*1103515245 +12345)/ 65536, 32768),0)/32768),0))</f>
        <v>NE</v>
      </c>
      <c r="AD655" s="72" t="str">
        <f ca="1">IFERROR(__xludf.DUMMYFUNCTION("if(V655&lt;15,QUERY(NPCVar!C:D,""Select D WHERE C = '""&amp;D655&amp;""'""),if((TRUNC(1+10)*(TRUNC(MOD((ROW(H655)*1103515245 +12345)/ 65536, 32768),0)/32768)/10) &gt; 0.85,INDEX(NPCFaction,TRUNC(1+(counta(NPCFaction)-1)*(TRUNC(MOD(($B655*1103515245 +12345)/ 65536, 3276"&amp;"8),0)/32768),0)),QUERY(NPCVar!C:D,""Select D WHERE C = '""&amp;D655&amp;""'"")))"),"Farmers Guild")</f>
        <v>Farmers Guild</v>
      </c>
      <c r="AE655" s="108" t="e">
        <f t="shared" ca="1" si="42"/>
        <v>#NAME?</v>
      </c>
      <c r="AF655" s="159">
        <f ca="1">IFERROR(__xludf.DUMMYFUNCTION("AE655*(V655 / QUERY(NPCVar!$K$2:$N$12, ""Select N WHERE K='""&amp;AB655&amp;""'""))*TRUNC(1+10)*(TRUNC(MOD(($B655*1103515245 +12345)/ 65536, 32768),0)/32768)"),1.96038208007812)</f>
        <v>1.96038208007812</v>
      </c>
      <c r="AG655" s="16"/>
      <c r="AH655" s="77"/>
      <c r="AI655" s="114"/>
    </row>
    <row r="656" spans="1:35" ht="16.2">
      <c r="A656" s="53">
        <v>655</v>
      </c>
      <c r="B656" s="118">
        <f t="shared" si="47"/>
        <v>0.15023</v>
      </c>
      <c r="C656" s="72" t="str">
        <f t="array" ref="C656">INDEX(NPCFName,TRUNC(1+(COUNTA(NPCFName))*(TRUNC(MOD(($B656*1103515245 +12345)/ 65536, 32768),0)/32768),0))</f>
        <v>Dorn</v>
      </c>
      <c r="D656" s="16" t="str">
        <f t="array" ref="D656">INDEX(NPCLName,TRUNC(1+(COUNTA(NPCLName))*(TRUNC(MOD(($B656*1103515245 +12345)/ 65536, 32768),0)/32768),0))</f>
        <v>Autumnorb</v>
      </c>
      <c r="E656" s="16" t="str">
        <f t="array" ref="E656">INDEX(NPCClass,TRUNC(1+(COUNTA(NPCClass))*(TRUNC(MOD(($B656*1103515245 +12345)/ 65536, 32768),0)/32768),0))</f>
        <v>Barbarian</v>
      </c>
      <c r="F656" s="76">
        <v>1</v>
      </c>
      <c r="G656" s="153">
        <f ca="1">VLOOKUP($AB$2,'RF Mod'!$A$2:$G$12,2,FALSE)+VLOOKUP($AD$2,'RF Mod'!$I$2:$O$11,2,FALSE)+(TRUNC(6+(24-6)*(TRUNC(MOD(($Z656*1103515245 +12345)/ 65536, 32768),0)/32768),0))</f>
        <v>4</v>
      </c>
      <c r="H656" s="16">
        <f t="shared" ca="1" si="33"/>
        <v>-3</v>
      </c>
      <c r="I656" s="153">
        <f ca="1">VLOOKUP($AB$2,'RF Mod'!$A$2:$G$12,3,FALSE)+VLOOKUP($AD$2,'RF Mod'!$I$2:$O$11,3,FALSE)+(TRUNC(6+(24-6)*(TRUNC(MOD(($Z656*1103515245 +12345)/ 65536, 32768),0)/32768),0))</f>
        <v>8</v>
      </c>
      <c r="J656" s="16">
        <f t="shared" ca="1" si="34"/>
        <v>-1</v>
      </c>
      <c r="K656" s="153">
        <f ca="1">VLOOKUP($AB$2,'RF Mod'!$A$2:$G$12,3,FALSE)+VLOOKUP($AD$2,'RF Mod'!$I$2:$O$11,3,FALSE)+(TRUNC(6+(24-6)*(TRUNC(MOD(($Z656*1103515245 +12345)/ 65536, 32768),0)/32768),0))</f>
        <v>8</v>
      </c>
      <c r="L656" s="16">
        <f t="shared" ca="1" si="35"/>
        <v>-1</v>
      </c>
      <c r="M656" s="153">
        <f ca="1">VLOOKUP($AB$2,'RF Mod'!$A$2:$G$12,4,FALSE)+VLOOKUP($AD$2,'RF Mod'!$I$2:$O$11,4,FALSE)+(TRUNC(6+(24-6)*(TRUNC(MOD(($Z656*1103515245 +12345)/ 65536, 32768),0)/32768),0))</f>
        <v>7</v>
      </c>
      <c r="N656" s="16">
        <f t="shared" ca="1" si="36"/>
        <v>-2</v>
      </c>
      <c r="O656" s="153">
        <f ca="1">VLOOKUP($AB$2,'RF Mod'!$A$2:$G$12,5,FALSE)+VLOOKUP($AD$2,'RF Mod'!$I$2:$O$11,5,FALSE)+(TRUNC(6+(24-6)*(TRUNC(MOD(($Z656*1103515245 +12345)/ 65536, 32768),0)/32768),0))</f>
        <v>10</v>
      </c>
      <c r="P656" s="16" t="e">
        <f t="shared" ca="1" si="37"/>
        <v>#NAME?</v>
      </c>
      <c r="Q656" s="153">
        <f ca="1">VLOOKUP($AB$2,'RF Mod'!$A$2:$G$12,6,FALSE)+VLOOKUP($AD$2,'RF Mod'!$I$2:$O$11,6,FALSE)+(TRUNC(6+(24-6)*(TRUNC(MOD(($Z656*1103515245 +12345)/ 65536, 32768),0)/32768),0))</f>
        <v>8</v>
      </c>
      <c r="R656" s="16">
        <f t="shared" ca="1" si="38"/>
        <v>-1</v>
      </c>
      <c r="S656" s="154">
        <f t="shared" ca="1" si="43"/>
        <v>10</v>
      </c>
      <c r="T656" s="154">
        <f t="shared" ca="1" si="39"/>
        <v>6</v>
      </c>
      <c r="U656" s="16" t="str">
        <f t="shared" ca="1" si="40"/>
        <v>Bloody</v>
      </c>
      <c r="V656" s="155">
        <f ca="1">IFERROR(__xludf.DUMMYFUNCTION("if(W656=""Middle Age"",QUERY(NPCVar!$K$2:$N1000, ""Select L where K = '""&amp;AB656&amp;""'""),if(W656=""Old"",QUERY(NPCVar!$K$2:$N1000, ""Select M where K = '""&amp;AB656&amp;""'""),if(W656=""Venerable"",QUERY(NPCVar!$K$2:$N1000, ""Select N where K = '""&amp;AB656&amp;""'""),fa"&amp;"lse)))*X656"),4)</f>
        <v>4</v>
      </c>
      <c r="W656" s="156" t="str">
        <f t="array" ref="W656">INDEX(NPCAgeType,TRUNC(1+(4-1)*(TRUNC(MOD((X656*1103515245 +12345)/ 65536, 32768),0)/32768),0))</f>
        <v>Middle Age</v>
      </c>
      <c r="X656" s="117">
        <f t="shared" si="45"/>
        <v>0.2</v>
      </c>
      <c r="Y656" s="157" t="e">
        <f t="array" aca="1" ref="Y656" ca="1">LOOKUP(ABS(MAX(Z656 + MIN(ABS(INDIRECT("Class Jobs!B"&amp;MATCH(E656,'Class Jobs'!$A$1:$A1000,0)&amp;":"&amp;"AF"&amp;MATCH(E656,'Class Jobs'!$A$1:$A1000,0)&amp;"")-$Z656)) * SUM(IF(MIN(ABS(INDIRECT("Class Jobs!B"&amp;MATCH(E656,'Class Jobs'!$A$1:$A1000,0)&amp;":"&amp;"AF"&amp;MATCH(E656,'Class Jobs'!$A$1:$A1000,0)&amp;"")-$Z656))=ABS(INDIRECT("Class Jobs!B"&amp;MATCH(E656,'Class Jobs'!$A$1:$A1000,0)&amp;":"&amp;"AF"&amp;MATCH(E656,'Class Jobs'!$A$1:$A1000,0)&amp;"")-$Z656),SIGN(INDIRECT("Class Jobs!B"&amp;MATCH(E656,'Class Jobs'!$A$1:A1000,0)&amp;":"&amp;"AF"&amp;MATCH(E656,'Class Jobs'!$A$1:$A1000,0)&amp;"")-$Z656),0)),0)),INDIRECT("Class Jobs!B"&amp;MATCH(E656,'Class Jobs'!$A$1:$A1000,0)&amp;":"&amp;"AF"&amp;MATCH(E656,'Class Jobs'!$A$1:$A1000,1)&amp;""),'Class Jobs'!$B$1:$AF$1)</f>
        <v>#REF!</v>
      </c>
      <c r="Z656" s="158">
        <f t="shared" si="41"/>
        <v>0.08</v>
      </c>
      <c r="AA656" s="16" t="str">
        <f t="array" ref="AA656">INDEX(NPCGender,TRUNC(1+(COUNTA(NPCGender))*(TRUNC(MOD(($B656*1103515245 +12345)/ 65536, 32768),0)/32768),0))</f>
        <v>Male</v>
      </c>
      <c r="AB656" s="16" t="str">
        <f t="array" ref="AB656">INDEX(NPCRace,TRUNC(1+(COUNTA(NPCRace))*(TRUNC(MOD(($B656*1103515245 +12345)/ 65536, 32768),0)/32768),0))</f>
        <v>Dragonborn</v>
      </c>
      <c r="AC656" s="16" t="str">
        <f t="array" ref="AC656">INDEX(NPCAL,TRUNC(1+(COUNTA(NPCAL))*(TRUNC(MOD(($B656*1103515245 +12345)/ 65536, 32768),0)/32768),0))</f>
        <v>CN</v>
      </c>
      <c r="AD656" s="72" t="str">
        <f ca="1">IFERROR(__xludf.DUMMYFUNCTION("if(V656&lt;15,QUERY(NPCVar!C:D,""Select D WHERE C = '""&amp;D656&amp;""'""),if((TRUNC(1+10)*(TRUNC(MOD((ROW(H656)*1103515245 +12345)/ 65536, 32768),0)/32768)/10) &gt; 0.85,INDEX(NPCFaction,TRUNC(1+(counta(NPCFaction)-1)*(TRUNC(MOD(($B656*1103515245 +12345)/ 65536, 3276"&amp;"8),0)/32768),0)),QUERY(NPCVar!C:D,""Select D WHERE C = '""&amp;D656&amp;""'"")))"),"Royalty")</f>
        <v>Royalty</v>
      </c>
      <c r="AE656" s="108" t="e">
        <f t="shared" ca="1" si="42"/>
        <v>#NAME?</v>
      </c>
      <c r="AF656" s="159">
        <f ca="1">IFERROR(__xludf.DUMMYFUNCTION("AE656*(V656 / QUERY(NPCVar!$K$2:$N$12, ""Select N WHERE K='""&amp;AB656&amp;""'""))*TRUNC(1+10)*(TRUNC(MOD(($B656*1103515245 +12345)/ 65536, 32768),0)/32768)"),0.0127345275878906)</f>
        <v>1.27345275878906E-2</v>
      </c>
      <c r="AG656" s="16"/>
      <c r="AH656" s="77"/>
      <c r="AI656" s="114"/>
    </row>
    <row r="657" spans="1:35" ht="16.2">
      <c r="A657" s="53">
        <v>656</v>
      </c>
      <c r="B657" s="118">
        <f t="shared" si="47"/>
        <v>1.64436</v>
      </c>
      <c r="C657" s="72" t="str">
        <f t="array" ref="C657">INDEX(NPCFName,TRUNC(1+(COUNTA(NPCFName))*(TRUNC(MOD(($B657*1103515245 +12345)/ 65536, 32768),0)/32768),0))</f>
        <v>Lupin</v>
      </c>
      <c r="D657" s="16" t="str">
        <f t="array" ref="D657">INDEX(NPCLName,TRUNC(1+(COUNTA(NPCLName))*(TRUNC(MOD(($B657*1103515245 +12345)/ 65536, 32768),0)/32768),0))</f>
        <v>Springgust</v>
      </c>
      <c r="E657" s="16" t="str">
        <f t="array" ref="E657">INDEX(NPCClass,TRUNC(1+(COUNTA(NPCClass))*(TRUNC(MOD(($B657*1103515245 +12345)/ 65536, 32768),0)/32768),0))</f>
        <v>Fighter</v>
      </c>
      <c r="F657" s="76">
        <v>8</v>
      </c>
      <c r="G657" s="153">
        <f ca="1">VLOOKUP($AB$2,'RF Mod'!$A$2:$G$12,2,FALSE)+VLOOKUP($AD$2,'RF Mod'!$I$2:$O$11,2,FALSE)+(TRUNC(6+(24-6)*(TRUNC(MOD(($Z657*1103515245 +12345)/ 65536, 32768),0)/32768),0))</f>
        <v>11</v>
      </c>
      <c r="H657" s="16" t="e">
        <f t="shared" ca="1" si="33"/>
        <v>#NAME?</v>
      </c>
      <c r="I657" s="153">
        <f ca="1">VLOOKUP($AB$2,'RF Mod'!$A$2:$G$12,3,FALSE)+VLOOKUP($AD$2,'RF Mod'!$I$2:$O$11,3,FALSE)+(TRUNC(6+(24-6)*(TRUNC(MOD(($Z657*1103515245 +12345)/ 65536, 32768),0)/32768),0))</f>
        <v>15</v>
      </c>
      <c r="J657" s="16" t="e">
        <f t="shared" ca="1" si="34"/>
        <v>#NAME?</v>
      </c>
      <c r="K657" s="153">
        <f ca="1">VLOOKUP($AB$2,'RF Mod'!$A$2:$G$12,3,FALSE)+VLOOKUP($AD$2,'RF Mod'!$I$2:$O$11,3,FALSE)+(TRUNC(6+(24-6)*(TRUNC(MOD(($Z657*1103515245 +12345)/ 65536, 32768),0)/32768),0))</f>
        <v>15</v>
      </c>
      <c r="L657" s="16" t="e">
        <f t="shared" ca="1" si="35"/>
        <v>#NAME?</v>
      </c>
      <c r="M657" s="153">
        <f ca="1">VLOOKUP($AB$2,'RF Mod'!$A$2:$G$12,4,FALSE)+VLOOKUP($AD$2,'RF Mod'!$I$2:$O$11,4,FALSE)+(TRUNC(6+(24-6)*(TRUNC(MOD(($Z657*1103515245 +12345)/ 65536, 32768),0)/32768),0))</f>
        <v>14</v>
      </c>
      <c r="N657" s="16" t="e">
        <f t="shared" ca="1" si="36"/>
        <v>#NAME?</v>
      </c>
      <c r="O657" s="153">
        <f ca="1">VLOOKUP($AB$2,'RF Mod'!$A$2:$G$12,5,FALSE)+VLOOKUP($AD$2,'RF Mod'!$I$2:$O$11,5,FALSE)+(TRUNC(6+(24-6)*(TRUNC(MOD(($Z657*1103515245 +12345)/ 65536, 32768),0)/32768),0))</f>
        <v>17</v>
      </c>
      <c r="P657" s="16" t="e">
        <f t="shared" ca="1" si="37"/>
        <v>#NAME?</v>
      </c>
      <c r="Q657" s="153">
        <f ca="1">VLOOKUP($AB$2,'RF Mod'!$A$2:$G$12,6,FALSE)+VLOOKUP($AD$2,'RF Mod'!$I$2:$O$11,6,FALSE)+(TRUNC(6+(24-6)*(TRUNC(MOD(($Z657*1103515245 +12345)/ 65536, 32768),0)/32768),0))</f>
        <v>15</v>
      </c>
      <c r="R657" s="16" t="e">
        <f t="shared" ca="1" si="38"/>
        <v>#NAME?</v>
      </c>
      <c r="S657" s="154">
        <f t="shared" ca="1" si="43"/>
        <v>200</v>
      </c>
      <c r="T657" s="154">
        <f t="shared" ca="1" si="39"/>
        <v>212</v>
      </c>
      <c r="U657" s="16" t="str">
        <f t="shared" ca="1" si="40"/>
        <v>Dead</v>
      </c>
      <c r="V657" s="155">
        <f ca="1">IFERROR(__xludf.DUMMYFUNCTION("if(W657=""Middle Age"",QUERY(NPCVar!$K$2:$N1000, ""Select L where K = '""&amp;AB657&amp;""'""),if(W657=""Old"",QUERY(NPCVar!$K$2:$N1000, ""Select M where K = '""&amp;AB657&amp;""'""),if(W657=""Venerable"",QUERY(NPCVar!$K$2:$N1000, ""Select N where K = '""&amp;AB657&amp;""'""),fa"&amp;"lse)))*X657"),57.75)</f>
        <v>57.75</v>
      </c>
      <c r="W657" s="156" t="str">
        <f t="array" ref="W657">INDEX(NPCAgeType,TRUNC(1+(4-1)*(TRUNC(MOD((X657*1103515245 +12345)/ 65536, 32768),0)/32768),0))</f>
        <v>Middle Age</v>
      </c>
      <c r="X657" s="117">
        <f t="shared" si="45"/>
        <v>2.1</v>
      </c>
      <c r="Y657" s="157" t="e">
        <f t="array" aca="1" ref="Y657" ca="1">LOOKUP(ABS(MAX(Z657 + MIN(ABS(INDIRECT("Class Jobs!B"&amp;MATCH(E657,'Class Jobs'!$A$1:$A1000,0)&amp;":"&amp;"AF"&amp;MATCH(E657,'Class Jobs'!$A$1:$A1000,0)&amp;"")-$Z657)) * SUM(IF(MIN(ABS(INDIRECT("Class Jobs!B"&amp;MATCH(E657,'Class Jobs'!$A$1:$A1000,0)&amp;":"&amp;"AF"&amp;MATCH(E657,'Class Jobs'!$A$1:$A1000,0)&amp;"")-$Z657))=ABS(INDIRECT("Class Jobs!B"&amp;MATCH(E657,'Class Jobs'!$A$1:$A1000,0)&amp;":"&amp;"AF"&amp;MATCH(E657,'Class Jobs'!$A$1:$A1000,0)&amp;"")-$Z657),SIGN(INDIRECT("Class Jobs!B"&amp;MATCH(E657,'Class Jobs'!$A$1:A1000,0)&amp;":"&amp;"AF"&amp;MATCH(E657,'Class Jobs'!$A$1:$A1000,0)&amp;"")-$Z657),0)),0)),INDIRECT("Class Jobs!B"&amp;MATCH(E657,'Class Jobs'!$A$1:$A1000,0)&amp;":"&amp;"AF"&amp;MATCH(E657,'Class Jobs'!$A$1:$A1000,1)&amp;""),'Class Jobs'!$B$1:$AF$1)</f>
        <v>#REF!</v>
      </c>
      <c r="Z657" s="158">
        <f t="shared" si="41"/>
        <v>0.84</v>
      </c>
      <c r="AA657" s="16" t="str">
        <f t="array" ref="AA657">INDEX(NPCGender,TRUNC(1+(COUNTA(NPCGender))*(TRUNC(MOD(($B657*1103515245 +12345)/ 65536, 32768),0)/32768),0))</f>
        <v>Neutral</v>
      </c>
      <c r="AB657" s="16" t="str">
        <f t="array" ref="AB657">INDEX(NPCRace,TRUNC(1+(COUNTA(NPCRace))*(TRUNC(MOD(($B657*1103515245 +12345)/ 65536, 32768),0)/32768),0))</f>
        <v>Genasi</v>
      </c>
      <c r="AC657" s="16" t="str">
        <f t="array" ref="AC657">INDEX(NPCAL,TRUNC(1+(COUNTA(NPCAL))*(TRUNC(MOD(($B657*1103515245 +12345)/ 65536, 32768),0)/32768),0))</f>
        <v>LN</v>
      </c>
      <c r="AD657" s="72" t="str">
        <f ca="1">IFERROR(__xludf.DUMMYFUNCTION("if(V657&lt;15,QUERY(NPCVar!C:D,""Select D WHERE C = '""&amp;D657&amp;""'""),if((TRUNC(1+10)*(TRUNC(MOD((ROW(H657)*1103515245 +12345)/ 65536, 32768),0)/32768)/10) &gt; 0.85,INDEX(NPCFaction,TRUNC(1+(counta(NPCFaction)-1)*(TRUNC(MOD(($B657*1103515245 +12345)/ 65536, 3276"&amp;"8),0)/32768),0)),QUERY(NPCVar!C:D,""Select D WHERE C = '""&amp;D657&amp;""'"")))"),"Traverlers Guild")</f>
        <v>Traverlers Guild</v>
      </c>
      <c r="AE657" s="108" t="e">
        <f t="shared" ca="1" si="42"/>
        <v>#NAME?</v>
      </c>
      <c r="AF657" s="159">
        <f ca="1">IFERROR(__xludf.DUMMYFUNCTION("AE657*(V657 / QUERY(NPCVar!$K$2:$N$12, ""Select N WHERE K='""&amp;AB657&amp;""'""))*TRUNC(1+10)*(TRUNC(MOD(($B657*1103515245 +12345)/ 65536, 32768),0)/32768)"),0.975941162109375)</f>
        <v>0.97594116210937498</v>
      </c>
      <c r="AG657" s="16"/>
      <c r="AH657" s="77"/>
      <c r="AI657" s="114"/>
    </row>
    <row r="658" spans="1:35" ht="16.2">
      <c r="A658" s="53">
        <v>657</v>
      </c>
      <c r="B658" s="118">
        <f t="shared" si="47"/>
        <v>0.63851000000000002</v>
      </c>
      <c r="C658" s="72" t="str">
        <f t="array" ref="C658">INDEX(NPCFName,TRUNC(1+(COUNTA(NPCFName))*(TRUNC(MOD(($B658*1103515245 +12345)/ 65536, 32768),0)/32768),0))</f>
        <v>Zeke</v>
      </c>
      <c r="D658" s="16" t="str">
        <f t="array" ref="D658">INDEX(NPCLName,TRUNC(1+(COUNTA(NPCLName))*(TRUNC(MOD(($B658*1103515245 +12345)/ 65536, 32768),0)/32768),0))</f>
        <v>Stormdew</v>
      </c>
      <c r="E658" s="16" t="str">
        <f t="array" ref="E658">INDEX(NPCClass,TRUNC(1+(COUNTA(NPCClass))*(TRUNC(MOD(($B658*1103515245 +12345)/ 65536, 32768),0)/32768),0))</f>
        <v>Monk</v>
      </c>
      <c r="F658" s="76">
        <v>1</v>
      </c>
      <c r="G658" s="153">
        <f ca="1">VLOOKUP($AB$2,'RF Mod'!$A$2:$G$12,2,FALSE)+VLOOKUP($AD$2,'RF Mod'!$I$2:$O$11,2,FALSE)+(TRUNC(6+(24-6)*(TRUNC(MOD(($Z658*1103515245 +12345)/ 65536, 32768),0)/32768),0))</f>
        <v>7</v>
      </c>
      <c r="H658" s="16">
        <f t="shared" ca="1" si="33"/>
        <v>-2</v>
      </c>
      <c r="I658" s="153">
        <f ca="1">VLOOKUP($AB$2,'RF Mod'!$A$2:$G$12,3,FALSE)+VLOOKUP($AD$2,'RF Mod'!$I$2:$O$11,3,FALSE)+(TRUNC(6+(24-6)*(TRUNC(MOD(($Z658*1103515245 +12345)/ 65536, 32768),0)/32768),0))</f>
        <v>11</v>
      </c>
      <c r="J658" s="16" t="e">
        <f t="shared" ca="1" si="34"/>
        <v>#NAME?</v>
      </c>
      <c r="K658" s="153">
        <f ca="1">VLOOKUP($AB$2,'RF Mod'!$A$2:$G$12,3,FALSE)+VLOOKUP($AD$2,'RF Mod'!$I$2:$O$11,3,FALSE)+(TRUNC(6+(24-6)*(TRUNC(MOD(($Z658*1103515245 +12345)/ 65536, 32768),0)/32768),0))</f>
        <v>11</v>
      </c>
      <c r="L658" s="16" t="e">
        <f t="shared" ca="1" si="35"/>
        <v>#NAME?</v>
      </c>
      <c r="M658" s="153">
        <f ca="1">VLOOKUP($AB$2,'RF Mod'!$A$2:$G$12,4,FALSE)+VLOOKUP($AD$2,'RF Mod'!$I$2:$O$11,4,FALSE)+(TRUNC(6+(24-6)*(TRUNC(MOD(($Z658*1103515245 +12345)/ 65536, 32768),0)/32768),0))</f>
        <v>10</v>
      </c>
      <c r="N658" s="16" t="e">
        <f t="shared" ca="1" si="36"/>
        <v>#NAME?</v>
      </c>
      <c r="O658" s="153">
        <f ca="1">VLOOKUP($AB$2,'RF Mod'!$A$2:$G$12,5,FALSE)+VLOOKUP($AD$2,'RF Mod'!$I$2:$O$11,5,FALSE)+(TRUNC(6+(24-6)*(TRUNC(MOD(($Z658*1103515245 +12345)/ 65536, 32768),0)/32768),0))</f>
        <v>13</v>
      </c>
      <c r="P658" s="16" t="e">
        <f t="shared" ca="1" si="37"/>
        <v>#NAME?</v>
      </c>
      <c r="Q658" s="153">
        <f ca="1">VLOOKUP($AB$2,'RF Mod'!$A$2:$G$12,6,FALSE)+VLOOKUP($AD$2,'RF Mod'!$I$2:$O$11,6,FALSE)+(TRUNC(6+(24-6)*(TRUNC(MOD(($Z658*1103515245 +12345)/ 65536, 32768),0)/32768),0))</f>
        <v>11</v>
      </c>
      <c r="R658" s="16" t="e">
        <f t="shared" ca="1" si="38"/>
        <v>#NAME?</v>
      </c>
      <c r="S658" s="154">
        <f t="shared" ca="1" si="43"/>
        <v>17</v>
      </c>
      <c r="T658" s="154">
        <f t="shared" ca="1" si="39"/>
        <v>2</v>
      </c>
      <c r="U658" s="16" t="str">
        <f t="shared" ca="1" si="40"/>
        <v>Fine</v>
      </c>
      <c r="V658" s="155">
        <f ca="1">IFERROR(__xludf.DUMMYFUNCTION("if(W658=""Middle Age"",QUERY(NPCVar!$K$2:$N1000, ""Select L where K = '""&amp;AB658&amp;""'""),if(W658=""Old"",QUERY(NPCVar!$K$2:$N1000, ""Select M where K = '""&amp;AB658&amp;""'""),if(W658=""Venerable"",QUERY(NPCVar!$K$2:$N1000, ""Select N where K = '""&amp;AB658&amp;""'""),fa"&amp;"lse)))*X658"),135)</f>
        <v>135</v>
      </c>
      <c r="W658" s="156" t="str">
        <f t="array" ref="W658">INDEX(NPCAgeType,TRUNC(1+(4-1)*(TRUNC(MOD((X658*1103515245 +12345)/ 65536, 32768),0)/32768),0))</f>
        <v>Old</v>
      </c>
      <c r="X658" s="117">
        <f t="shared" si="45"/>
        <v>0.8</v>
      </c>
      <c r="Y658" s="157" t="e">
        <f t="array" aca="1" ref="Y658" ca="1">LOOKUP(ABS(MAX(Z658 + MIN(ABS(INDIRECT("Class Jobs!B"&amp;MATCH(E658,'Class Jobs'!$A$1:$A1000,0)&amp;":"&amp;"AF"&amp;MATCH(E658,'Class Jobs'!$A$1:$A1000,0)&amp;"")-$Z658)) * SUM(IF(MIN(ABS(INDIRECT("Class Jobs!B"&amp;MATCH(E658,'Class Jobs'!$A$1:$A1000,0)&amp;":"&amp;"AF"&amp;MATCH(E658,'Class Jobs'!$A$1:$A1000,0)&amp;"")-$Z658))=ABS(INDIRECT("Class Jobs!B"&amp;MATCH(E658,'Class Jobs'!$A$1:$A1000,0)&amp;":"&amp;"AF"&amp;MATCH(E658,'Class Jobs'!$A$1:$A1000,0)&amp;"")-$Z658),SIGN(INDIRECT("Class Jobs!B"&amp;MATCH(E658,'Class Jobs'!$A$1:A1000,0)&amp;":"&amp;"AF"&amp;MATCH(E658,'Class Jobs'!$A$1:$A1000,0)&amp;"")-$Z658),0)),0)),INDIRECT("Class Jobs!B"&amp;MATCH(E658,'Class Jobs'!$A$1:$A1000,0)&amp;":"&amp;"AF"&amp;MATCH(E658,'Class Jobs'!$A$1:$A1000,1)&amp;""),'Class Jobs'!$B$1:$AF$1)</f>
        <v>#REF!</v>
      </c>
      <c r="Z658" s="158">
        <f t="shared" si="41"/>
        <v>0.33</v>
      </c>
      <c r="AA658" s="16" t="str">
        <f t="array" ref="AA658">INDEX(NPCGender,TRUNC(1+(COUNTA(NPCGender))*(TRUNC(MOD(($B658*1103515245 +12345)/ 65536, 32768),0)/32768),0))</f>
        <v>Male</v>
      </c>
      <c r="AB658" s="16" t="str">
        <f t="array" ref="AB658">INDEX(NPCRace,TRUNC(1+(COUNTA(NPCRace))*(TRUNC(MOD(($B658*1103515245 +12345)/ 65536, 32768),0)/32768),0))</f>
        <v>Gnome</v>
      </c>
      <c r="AC658" s="16" t="str">
        <f t="array" ref="AC658">INDEX(NPCAL,TRUNC(1+(COUNTA(NPCAL))*(TRUNC(MOD(($B658*1103515245 +12345)/ 65536, 32768),0)/32768),0))</f>
        <v>CG</v>
      </c>
      <c r="AD658" s="72" t="str">
        <f ca="1">IFERROR(__xludf.DUMMYFUNCTION("if(V658&lt;15,QUERY(NPCVar!C:D,""Select D WHERE C = '""&amp;D658&amp;""'""),if((TRUNC(1+10)*(TRUNC(MOD((ROW(H658)*1103515245 +12345)/ 65536, 32768),0)/32768)/10) &gt; 0.85,INDEX(NPCFaction,TRUNC(1+(counta(NPCFaction)-1)*(TRUNC(MOD(($B658*1103515245 +12345)/ 65536, 3276"&amp;"8),0)/32768),0)),QUERY(NPCVar!C:D,""Select D WHERE C = '""&amp;D658&amp;""'"")))"),"Magic Guild")</f>
        <v>Magic Guild</v>
      </c>
      <c r="AE658" s="108" t="e">
        <f t="shared" ca="1" si="42"/>
        <v>#NAME?</v>
      </c>
      <c r="AF658" s="159">
        <f ca="1">IFERROR(__xludf.DUMMYFUNCTION("AE658*(V658 / QUERY(NPCVar!$K$2:$N$12, ""Select N WHERE K='""&amp;AB658&amp;""'""))*TRUNC(1+10)*(TRUNC(MOD(($B658*1103515245 +12345)/ 65536, 32768),0)/32768)"),0.541355895996093)</f>
        <v>0.54135589599609302</v>
      </c>
      <c r="AG658" s="16"/>
      <c r="AH658" s="77"/>
      <c r="AI658" s="114"/>
    </row>
    <row r="659" spans="1:35" ht="16.2">
      <c r="A659" s="53">
        <v>658</v>
      </c>
      <c r="B659" s="118">
        <f t="shared" si="47"/>
        <v>2.1326399999999999</v>
      </c>
      <c r="C659" s="72" t="str">
        <f t="array" ref="C659">INDEX(NPCFName,TRUNC(1+(COUNTA(NPCFName))*(TRUNC(MOD(($B659*1103515245 +12345)/ 65536, 32768),0)/32768),0))</f>
        <v>Enro</v>
      </c>
      <c r="D659" s="16" t="str">
        <f t="array" ref="D659">INDEX(NPCLName,TRUNC(1+(COUNTA(NPCLName))*(TRUNC(MOD(($B659*1103515245 +12345)/ 65536, 32768),0)/32768),0))</f>
        <v>Autumnorb</v>
      </c>
      <c r="E659" s="16" t="str">
        <f t="array" ref="E659">INDEX(NPCClass,TRUNC(1+(COUNTA(NPCClass))*(TRUNC(MOD(($B659*1103515245 +12345)/ 65536, 32768),0)/32768),0))</f>
        <v>Bard</v>
      </c>
      <c r="F659" s="76">
        <v>1</v>
      </c>
      <c r="G659" s="153">
        <f ca="1">VLOOKUP($AB$2,'RF Mod'!$A$2:$G$12,2,FALSE)+VLOOKUP($AD$2,'RF Mod'!$I$2:$O$11,2,FALSE)+(TRUNC(6+(24-6)*(TRUNC(MOD(($Z659*1103515245 +12345)/ 65536, 32768),0)/32768),0))</f>
        <v>4</v>
      </c>
      <c r="H659" s="16">
        <f t="shared" ca="1" si="33"/>
        <v>-3</v>
      </c>
      <c r="I659" s="153">
        <f ca="1">VLOOKUP($AB$2,'RF Mod'!$A$2:$G$12,3,FALSE)+VLOOKUP($AD$2,'RF Mod'!$I$2:$O$11,3,FALSE)+(TRUNC(6+(24-6)*(TRUNC(MOD(($Z659*1103515245 +12345)/ 65536, 32768),0)/32768),0))</f>
        <v>8</v>
      </c>
      <c r="J659" s="16">
        <f t="shared" ca="1" si="34"/>
        <v>-1</v>
      </c>
      <c r="K659" s="153">
        <f ca="1">VLOOKUP($AB$2,'RF Mod'!$A$2:$G$12,3,FALSE)+VLOOKUP($AD$2,'RF Mod'!$I$2:$O$11,3,FALSE)+(TRUNC(6+(24-6)*(TRUNC(MOD(($Z659*1103515245 +12345)/ 65536, 32768),0)/32768),0))</f>
        <v>8</v>
      </c>
      <c r="L659" s="16">
        <f t="shared" ca="1" si="35"/>
        <v>-1</v>
      </c>
      <c r="M659" s="153">
        <f ca="1">VLOOKUP($AB$2,'RF Mod'!$A$2:$G$12,4,FALSE)+VLOOKUP($AD$2,'RF Mod'!$I$2:$O$11,4,FALSE)+(TRUNC(6+(24-6)*(TRUNC(MOD(($Z659*1103515245 +12345)/ 65536, 32768),0)/32768),0))</f>
        <v>7</v>
      </c>
      <c r="N659" s="16">
        <f t="shared" ca="1" si="36"/>
        <v>-2</v>
      </c>
      <c r="O659" s="153">
        <f ca="1">VLOOKUP($AB$2,'RF Mod'!$A$2:$G$12,5,FALSE)+VLOOKUP($AD$2,'RF Mod'!$I$2:$O$11,5,FALSE)+(TRUNC(6+(24-6)*(TRUNC(MOD(($Z659*1103515245 +12345)/ 65536, 32768),0)/32768),0))</f>
        <v>10</v>
      </c>
      <c r="P659" s="16" t="e">
        <f t="shared" ca="1" si="37"/>
        <v>#NAME?</v>
      </c>
      <c r="Q659" s="153">
        <f ca="1">VLOOKUP($AB$2,'RF Mod'!$A$2:$G$12,6,FALSE)+VLOOKUP($AD$2,'RF Mod'!$I$2:$O$11,6,FALSE)+(TRUNC(6+(24-6)*(TRUNC(MOD(($Z659*1103515245 +12345)/ 65536, 32768),0)/32768),0))</f>
        <v>8</v>
      </c>
      <c r="R659" s="16">
        <f t="shared" ca="1" si="38"/>
        <v>-1</v>
      </c>
      <c r="S659" s="154">
        <f t="shared" ca="1" si="43"/>
        <v>26</v>
      </c>
      <c r="T659" s="154">
        <f t="shared" ca="1" si="39"/>
        <v>6</v>
      </c>
      <c r="U659" s="16" t="str">
        <f t="shared" ca="1" si="40"/>
        <v>Fine</v>
      </c>
      <c r="V659" s="155">
        <f ca="1">IFERROR(__xludf.DUMMYFUNCTION("if(W659=""Middle Age"",QUERY(NPCVar!$K$2:$N1000, ""Select L where K = '""&amp;AB659&amp;""'""),if(W659=""Old"",QUERY(NPCVar!$K$2:$N1000, ""Select M where K = '""&amp;AB659&amp;""'""),if(W659=""Venerable"",QUERY(NPCVar!$K$2:$N1000, ""Select N where K = '""&amp;AB659&amp;""'""),fa"&amp;"lse)))*X659"),24)</f>
        <v>24</v>
      </c>
      <c r="W659" s="156" t="str">
        <f t="array" ref="W659">INDEX(NPCAgeType,TRUNC(1+(4-1)*(TRUNC(MOD((X659*1103515245 +12345)/ 65536, 32768),0)/32768),0))</f>
        <v>Middle Age</v>
      </c>
      <c r="X659" s="117">
        <f t="shared" si="45"/>
        <v>0.3</v>
      </c>
      <c r="Y659" s="157" t="e">
        <f t="array" aca="1" ref="Y659" ca="1">LOOKUP(ABS(MAX(Z659 + MIN(ABS(INDIRECT("Class Jobs!B"&amp;MATCH(E659,'Class Jobs'!$A$1:$A1000,0)&amp;":"&amp;"AF"&amp;MATCH(E659,'Class Jobs'!$A$1:$A1000,0)&amp;"")-$Z659)) * SUM(IF(MIN(ABS(INDIRECT("Class Jobs!B"&amp;MATCH(E659,'Class Jobs'!$A$1:$A1000,0)&amp;":"&amp;"AF"&amp;MATCH(E659,'Class Jobs'!$A$1:$A1000,0)&amp;"")-$Z659))=ABS(INDIRECT("Class Jobs!B"&amp;MATCH(E659,'Class Jobs'!$A$1:$A1000,0)&amp;":"&amp;"AF"&amp;MATCH(E659,'Class Jobs'!$A$1:$A1000,0)&amp;"")-$Z659),SIGN(INDIRECT("Class Jobs!B"&amp;MATCH(E659,'Class Jobs'!$A$1:A1000,0)&amp;":"&amp;"AF"&amp;MATCH(E659,'Class Jobs'!$A$1:$A1000,0)&amp;"")-$Z659),0)),0)),INDIRECT("Class Jobs!B"&amp;MATCH(E659,'Class Jobs'!$A$1:$A1000,0)&amp;":"&amp;"AF"&amp;MATCH(E659,'Class Jobs'!$A$1:$A1000,1)&amp;""),'Class Jobs'!$B$1:$AF$1)</f>
        <v>#REF!</v>
      </c>
      <c r="Z659" s="158">
        <f t="shared" si="41"/>
        <v>0.1</v>
      </c>
      <c r="AA659" s="16" t="str">
        <f t="array" ref="AA659">INDEX(NPCGender,TRUNC(1+(COUNTA(NPCGender))*(TRUNC(MOD(($B659*1103515245 +12345)/ 65536, 32768),0)/32768),0))</f>
        <v>Male</v>
      </c>
      <c r="AB659" s="16" t="str">
        <f t="array" ref="AB659">INDEX(NPCRace,TRUNC(1+(COUNTA(NPCRace))*(TRUNC(MOD(($B659*1103515245 +12345)/ 65536, 32768),0)/32768),0))</f>
        <v>Dwarf</v>
      </c>
      <c r="AC659" s="16" t="str">
        <f t="array" ref="AC659">INDEX(NPCAL,TRUNC(1+(COUNTA(NPCAL))*(TRUNC(MOD(($B659*1103515245 +12345)/ 65536, 32768),0)/32768),0))</f>
        <v>CN</v>
      </c>
      <c r="AD659" s="72" t="str">
        <f ca="1">IFERROR(__xludf.DUMMYFUNCTION("if(V659&lt;15,QUERY(NPCVar!C:D,""Select D WHERE C = '""&amp;D659&amp;""'""),if((TRUNC(1+10)*(TRUNC(MOD((ROW(H659)*1103515245 +12345)/ 65536, 32768),0)/32768)/10) &gt; 0.85,INDEX(NPCFaction,TRUNC(1+(counta(NPCFaction)-1)*(TRUNC(MOD(($B659*1103515245 +12345)/ 65536, 3276"&amp;"8),0)/32768),0)),QUERY(NPCVar!C:D,""Select D WHERE C = '""&amp;D659&amp;""'"")))"),"Royalty")</f>
        <v>Royalty</v>
      </c>
      <c r="AE659" s="108" t="e">
        <f t="shared" ca="1" si="42"/>
        <v>#NAME?</v>
      </c>
      <c r="AF659" s="159">
        <f ca="1">IFERROR(__xludf.DUMMYFUNCTION("AE659*(V659 / QUERY(NPCVar!$K$2:$N$12, ""Select N WHERE K='""&amp;AB659&amp;""'""))*TRUNC(1+10)*(TRUNC(MOD(($B659*1103515245 +12345)/ 65536, 32768),0)/32768)"),-0.00791061401367187)</f>
        <v>-7.9106140136718708E-3</v>
      </c>
      <c r="AG659" s="16"/>
      <c r="AH659" s="77"/>
      <c r="AI659" s="114"/>
    </row>
    <row r="660" spans="1:35" ht="16.2">
      <c r="A660" s="53">
        <v>659</v>
      </c>
      <c r="B660" s="118">
        <f t="shared" si="47"/>
        <v>1.12679</v>
      </c>
      <c r="C660" s="72" t="str">
        <f t="array" ref="C660">INDEX(NPCFName,TRUNC(1+(COUNTA(NPCFName))*(TRUNC(MOD(($B660*1103515245 +12345)/ 65536, 32768),0)/32768),0))</f>
        <v>Rismak</v>
      </c>
      <c r="D660" s="16" t="str">
        <f t="array" ref="D660">INDEX(NPCLName,TRUNC(1+(COUNTA(NPCLName))*(TRUNC(MOD(($B660*1103515245 +12345)/ 65536, 32768),0)/32768),0))</f>
        <v>Chestaxe</v>
      </c>
      <c r="E660" s="16" t="str">
        <f t="array" ref="E660">INDEX(NPCClass,TRUNC(1+(COUNTA(NPCClass))*(TRUNC(MOD(($B660*1103515245 +12345)/ 65536, 32768),0)/32768),0))</f>
        <v>Sorcerer</v>
      </c>
      <c r="F660" s="76">
        <v>8</v>
      </c>
      <c r="G660" s="153">
        <f ca="1">VLOOKUP($AB$2,'RF Mod'!$A$2:$G$12,2,FALSE)+VLOOKUP($AD$2,'RF Mod'!$I$2:$O$11,2,FALSE)+(TRUNC(6+(24-6)*(TRUNC(MOD(($Z660*1103515245 +12345)/ 65536, 32768),0)/32768),0))</f>
        <v>9</v>
      </c>
      <c r="H660" s="16">
        <f t="shared" ca="1" si="33"/>
        <v>-1</v>
      </c>
      <c r="I660" s="153">
        <f ca="1">VLOOKUP($AB$2,'RF Mod'!$A$2:$G$12,3,FALSE)+VLOOKUP($AD$2,'RF Mod'!$I$2:$O$11,3,FALSE)+(TRUNC(6+(24-6)*(TRUNC(MOD(($Z660*1103515245 +12345)/ 65536, 32768),0)/32768),0))</f>
        <v>13</v>
      </c>
      <c r="J660" s="16" t="e">
        <f t="shared" ca="1" si="34"/>
        <v>#NAME?</v>
      </c>
      <c r="K660" s="153">
        <f ca="1">VLOOKUP($AB$2,'RF Mod'!$A$2:$G$12,3,FALSE)+VLOOKUP($AD$2,'RF Mod'!$I$2:$O$11,3,FALSE)+(TRUNC(6+(24-6)*(TRUNC(MOD(($Z660*1103515245 +12345)/ 65536, 32768),0)/32768),0))</f>
        <v>13</v>
      </c>
      <c r="L660" s="16" t="e">
        <f t="shared" ca="1" si="35"/>
        <v>#NAME?</v>
      </c>
      <c r="M660" s="153">
        <f ca="1">VLOOKUP($AB$2,'RF Mod'!$A$2:$G$12,4,FALSE)+VLOOKUP($AD$2,'RF Mod'!$I$2:$O$11,4,FALSE)+(TRUNC(6+(24-6)*(TRUNC(MOD(($Z660*1103515245 +12345)/ 65536, 32768),0)/32768),0))</f>
        <v>12</v>
      </c>
      <c r="N660" s="16" t="e">
        <f t="shared" ca="1" si="36"/>
        <v>#NAME?</v>
      </c>
      <c r="O660" s="153">
        <f ca="1">VLOOKUP($AB$2,'RF Mod'!$A$2:$G$12,5,FALSE)+VLOOKUP($AD$2,'RF Mod'!$I$2:$O$11,5,FALSE)+(TRUNC(6+(24-6)*(TRUNC(MOD(($Z660*1103515245 +12345)/ 65536, 32768),0)/32768),0))</f>
        <v>15</v>
      </c>
      <c r="P660" s="16" t="e">
        <f t="shared" ca="1" si="37"/>
        <v>#NAME?</v>
      </c>
      <c r="Q660" s="153">
        <f ca="1">VLOOKUP($AB$2,'RF Mod'!$A$2:$G$12,6,FALSE)+VLOOKUP($AD$2,'RF Mod'!$I$2:$O$11,6,FALSE)+(TRUNC(6+(24-6)*(TRUNC(MOD(($Z660*1103515245 +12345)/ 65536, 32768),0)/32768),0))</f>
        <v>13</v>
      </c>
      <c r="R660" s="16" t="e">
        <f t="shared" ca="1" si="38"/>
        <v>#NAME?</v>
      </c>
      <c r="S660" s="154">
        <f t="shared" ca="1" si="43"/>
        <v>136</v>
      </c>
      <c r="T660" s="154">
        <f t="shared" ca="1" si="39"/>
        <v>162</v>
      </c>
      <c r="U660" s="16" t="str">
        <f t="shared" ca="1" si="40"/>
        <v>Dead</v>
      </c>
      <c r="V660" s="155">
        <f ca="1">IFERROR(__xludf.DUMMYFUNCTION("if(W660=""Middle Age"",QUERY(NPCVar!$K$2:$N1000, ""Select L where K = '""&amp;AB660&amp;""'""),if(W660=""Old"",QUERY(NPCVar!$K$2:$N1000, ""Select M where K = '""&amp;AB660&amp;""'""),if(W660=""Venerable"",QUERY(NPCVar!$K$2:$N1000, ""Select N where K = '""&amp;AB660&amp;""'""),fa"&amp;"lse)))*X660"),280)</f>
        <v>280</v>
      </c>
      <c r="W660" s="156" t="str">
        <f t="array" ref="W660">INDEX(NPCAgeType,TRUNC(1+(4-1)*(TRUNC(MOD((X660*1103515245 +12345)/ 65536, 32768),0)/32768),0))</f>
        <v>Venerable</v>
      </c>
      <c r="X660" s="117">
        <f t="shared" si="45"/>
        <v>1.4</v>
      </c>
      <c r="Y660" s="157" t="e">
        <f t="array" aca="1" ref="Y660" ca="1">LOOKUP(ABS(MAX(Z660 + MIN(ABS(INDIRECT("Class Jobs!B"&amp;MATCH(E660,'Class Jobs'!$A$1:$A1000,0)&amp;":"&amp;"AF"&amp;MATCH(E660,'Class Jobs'!$A$1:$A1000,0)&amp;"")-$Z660)) * SUM(IF(MIN(ABS(INDIRECT("Class Jobs!B"&amp;MATCH(E660,'Class Jobs'!$A$1:$A1000,0)&amp;":"&amp;"AF"&amp;MATCH(E660,'Class Jobs'!$A$1:$A1000,0)&amp;"")-$Z660))=ABS(INDIRECT("Class Jobs!B"&amp;MATCH(E660,'Class Jobs'!$A$1:$A1000,0)&amp;":"&amp;"AF"&amp;MATCH(E660,'Class Jobs'!$A$1:$A1000,0)&amp;"")-$Z660),SIGN(INDIRECT("Class Jobs!B"&amp;MATCH(E660,'Class Jobs'!$A$1:A1000,0)&amp;":"&amp;"AF"&amp;MATCH(E660,'Class Jobs'!$A$1:$A1000,0)&amp;"")-$Z660),0)),0)),INDIRECT("Class Jobs!B"&amp;MATCH(E660,'Class Jobs'!$A$1:$A1000,0)&amp;":"&amp;"AF"&amp;MATCH(E660,'Class Jobs'!$A$1:$A1000,1)&amp;""),'Class Jobs'!$B$1:$AF$1)</f>
        <v>#REF!</v>
      </c>
      <c r="Z660" s="158">
        <f t="shared" si="41"/>
        <v>0.57999999999999996</v>
      </c>
      <c r="AA660" s="16" t="str">
        <f t="array" ref="AA660">INDEX(NPCGender,TRUNC(1+(COUNTA(NPCGender))*(TRUNC(MOD(($B660*1103515245 +12345)/ 65536, 32768),0)/32768),0))</f>
        <v>Female</v>
      </c>
      <c r="AB660" s="16" t="str">
        <f t="array" ref="AB660">INDEX(NPCRace,TRUNC(1+(COUNTA(NPCRace))*(TRUNC(MOD(($B660*1103515245 +12345)/ 65536, 32768),0)/32768),0))</f>
        <v>Halfling</v>
      </c>
      <c r="AC660" s="16" t="str">
        <f t="array" ref="AC660">INDEX(NPCAL,TRUNC(1+(COUNTA(NPCAL))*(TRUNC(MOD(($B660*1103515245 +12345)/ 65536, 32768),0)/32768),0))</f>
        <v>NE</v>
      </c>
      <c r="AD660" s="72" t="str">
        <f ca="1">IFERROR(__xludf.DUMMYFUNCTION("if(V660&lt;15,QUERY(NPCVar!C:D,""Select D WHERE C = '""&amp;D660&amp;""'""),if((TRUNC(1+10)*(TRUNC(MOD((ROW(H660)*1103515245 +12345)/ 65536, 32768),0)/32768)/10) &gt; 0.85,INDEX(NPCFaction,TRUNC(1+(counta(NPCFaction)-1)*(TRUNC(MOD(($B660*1103515245 +12345)/ 65536, 3276"&amp;"8),0)/32768),0)),QUERY(NPCVar!C:D,""Select D WHERE C = '""&amp;D660&amp;""'"")))"),"Farmers Guild")</f>
        <v>Farmers Guild</v>
      </c>
      <c r="AE660" s="108" t="e">
        <f t="shared" ca="1" si="42"/>
        <v>#NAME?</v>
      </c>
      <c r="AF660" s="159">
        <f ca="1">IFERROR(__xludf.DUMMYFUNCTION("AE660*(V660 / QUERY(NPCVar!$K$2:$N$12, ""Select N WHERE K='""&amp;AB660&amp;""'""))*TRUNC(1+10)*(TRUNC(MOD(($B660*1103515245 +12345)/ 65536, 32768),0)/32768)"),6.24172790527343)</f>
        <v>6.2417279052734296</v>
      </c>
      <c r="AG660" s="16"/>
      <c r="AH660" s="77"/>
      <c r="AI660" s="114"/>
    </row>
    <row r="661" spans="1:35" ht="16.2">
      <c r="A661" s="53">
        <v>660</v>
      </c>
      <c r="B661" s="118">
        <f t="shared" si="47"/>
        <v>0.12085</v>
      </c>
      <c r="C661" s="72" t="str">
        <f t="array" ref="C661">INDEX(NPCFName,TRUNC(1+(COUNTA(NPCFName))*(TRUNC(MOD(($B661*1103515245 +12345)/ 65536, 32768),0)/32768),0))</f>
        <v>Cyton</v>
      </c>
      <c r="D661" s="16" t="str">
        <f t="array" ref="D661">INDEX(NPCLName,TRUNC(1+(COUNTA(NPCLName))*(TRUNC(MOD(($B661*1103515245 +12345)/ 65536, 32768),0)/32768),0))</f>
        <v>Crystalgazer</v>
      </c>
      <c r="E661" s="16" t="str">
        <f t="array" ref="E661">INDEX(NPCClass,TRUNC(1+(COUNTA(NPCClass))*(TRUNC(MOD(($B661*1103515245 +12345)/ 65536, 32768),0)/32768),0))</f>
        <v>Barbarian</v>
      </c>
      <c r="F661" s="76">
        <v>1</v>
      </c>
      <c r="G661" s="153">
        <f ca="1">VLOOKUP($AB$2,'RF Mod'!$A$2:$G$12,2,FALSE)+VLOOKUP($AD$2,'RF Mod'!$I$2:$O$11,2,FALSE)+(TRUNC(6+(24-6)*(TRUNC(MOD(($Z661*1103515245 +12345)/ 65536, 32768),0)/32768),0))</f>
        <v>4</v>
      </c>
      <c r="H661" s="16">
        <f t="shared" ca="1" si="33"/>
        <v>-3</v>
      </c>
      <c r="I661" s="153">
        <f ca="1">VLOOKUP($AB$2,'RF Mod'!$A$2:$G$12,3,FALSE)+VLOOKUP($AD$2,'RF Mod'!$I$2:$O$11,3,FALSE)+(TRUNC(6+(24-6)*(TRUNC(MOD(($Z661*1103515245 +12345)/ 65536, 32768),0)/32768),0))</f>
        <v>8</v>
      </c>
      <c r="J661" s="16">
        <f t="shared" ca="1" si="34"/>
        <v>-1</v>
      </c>
      <c r="K661" s="153">
        <f ca="1">VLOOKUP($AB$2,'RF Mod'!$A$2:$G$12,3,FALSE)+VLOOKUP($AD$2,'RF Mod'!$I$2:$O$11,3,FALSE)+(TRUNC(6+(24-6)*(TRUNC(MOD(($Z661*1103515245 +12345)/ 65536, 32768),0)/32768),0))</f>
        <v>8</v>
      </c>
      <c r="L661" s="16">
        <f t="shared" ca="1" si="35"/>
        <v>-1</v>
      </c>
      <c r="M661" s="153">
        <f ca="1">VLOOKUP($AB$2,'RF Mod'!$A$2:$G$12,4,FALSE)+VLOOKUP($AD$2,'RF Mod'!$I$2:$O$11,4,FALSE)+(TRUNC(6+(24-6)*(TRUNC(MOD(($Z661*1103515245 +12345)/ 65536, 32768),0)/32768),0))</f>
        <v>7</v>
      </c>
      <c r="N661" s="16">
        <f t="shared" ca="1" si="36"/>
        <v>-2</v>
      </c>
      <c r="O661" s="153">
        <f ca="1">VLOOKUP($AB$2,'RF Mod'!$A$2:$G$12,5,FALSE)+VLOOKUP($AD$2,'RF Mod'!$I$2:$O$11,5,FALSE)+(TRUNC(6+(24-6)*(TRUNC(MOD(($Z661*1103515245 +12345)/ 65536, 32768),0)/32768),0))</f>
        <v>10</v>
      </c>
      <c r="P661" s="16" t="e">
        <f t="shared" ca="1" si="37"/>
        <v>#NAME?</v>
      </c>
      <c r="Q661" s="153">
        <f ca="1">VLOOKUP($AB$2,'RF Mod'!$A$2:$G$12,6,FALSE)+VLOOKUP($AD$2,'RF Mod'!$I$2:$O$11,6,FALSE)+(TRUNC(6+(24-6)*(TRUNC(MOD(($Z661*1103515245 +12345)/ 65536, 32768),0)/32768),0))</f>
        <v>8</v>
      </c>
      <c r="R661" s="16">
        <f t="shared" ca="1" si="38"/>
        <v>-1</v>
      </c>
      <c r="S661" s="154">
        <f t="shared" ca="1" si="43"/>
        <v>26</v>
      </c>
      <c r="T661" s="154">
        <f t="shared" ca="1" si="39"/>
        <v>2</v>
      </c>
      <c r="U661" s="16" t="str">
        <f t="shared" ca="1" si="40"/>
        <v>Fine</v>
      </c>
      <c r="V661" s="155">
        <f ca="1">IFERROR(__xludf.DUMMYFUNCTION("if(W661=""Middle Age"",QUERY(NPCVar!$K$2:$N1000, ""Select L where K = '""&amp;AB661&amp;""'""),if(W661=""Old"",QUERY(NPCVar!$K$2:$N1000, ""Select M where K = '""&amp;AB661&amp;""'""),if(W661=""Venerable"",QUERY(NPCVar!$K$2:$N1000, ""Select N where K = '""&amp;AB661&amp;""'""),fa"&amp;"lse)))*X661"),4)</f>
        <v>4</v>
      </c>
      <c r="W661" s="156" t="str">
        <f t="array" ref="W661">INDEX(NPCAgeType,TRUNC(1+(4-1)*(TRUNC(MOD((X661*1103515245 +12345)/ 65536, 32768),0)/32768),0))</f>
        <v>Middle Age</v>
      </c>
      <c r="X661" s="117">
        <f t="shared" si="45"/>
        <v>0.2</v>
      </c>
      <c r="Y661" s="157" t="e">
        <f t="array" aca="1" ref="Y661" ca="1">LOOKUP(ABS(MAX(Z661 + MIN(ABS(INDIRECT("Class Jobs!B"&amp;MATCH(E661,'Class Jobs'!$A$1:$A1000,0)&amp;":"&amp;"AF"&amp;MATCH(E661,'Class Jobs'!$A$1:$A1000,0)&amp;"")-$Z661)) * SUM(IF(MIN(ABS(INDIRECT("Class Jobs!B"&amp;MATCH(E661,'Class Jobs'!$A$1:$A1000,0)&amp;":"&amp;"AF"&amp;MATCH(E661,'Class Jobs'!$A$1:$A1000,0)&amp;"")-$Z661))=ABS(INDIRECT("Class Jobs!B"&amp;MATCH(E661,'Class Jobs'!$A$1:$A1000,0)&amp;":"&amp;"AF"&amp;MATCH(E661,'Class Jobs'!$A$1:$A1000,0)&amp;"")-$Z661),SIGN(INDIRECT("Class Jobs!B"&amp;MATCH(E661,'Class Jobs'!$A$1:A1000,0)&amp;":"&amp;"AF"&amp;MATCH(E661,'Class Jobs'!$A$1:$A1000,0)&amp;"")-$Z661),0)),0)),INDIRECT("Class Jobs!B"&amp;MATCH(E661,'Class Jobs'!$A$1:$A1000,0)&amp;":"&amp;"AF"&amp;MATCH(E661,'Class Jobs'!$A$1:$A1000,1)&amp;""),'Class Jobs'!$B$1:$AF$1)</f>
        <v>#REF!</v>
      </c>
      <c r="Z661" s="158">
        <f t="shared" si="41"/>
        <v>7.0000000000000007E-2</v>
      </c>
      <c r="AA661" s="16" t="str">
        <f t="array" ref="AA661">INDEX(NPCGender,TRUNC(1+(COUNTA(NPCGender))*(TRUNC(MOD(($B661*1103515245 +12345)/ 65536, 32768),0)/32768),0))</f>
        <v>Male</v>
      </c>
      <c r="AB661" s="16" t="str">
        <f t="array" ref="AB661">INDEX(NPCRace,TRUNC(1+(COUNTA(NPCRace))*(TRUNC(MOD(($B661*1103515245 +12345)/ 65536, 32768),0)/32768),0))</f>
        <v>Dragonborn</v>
      </c>
      <c r="AC661" s="16" t="str">
        <f t="array" ref="AC661">INDEX(NPCAL,TRUNC(1+(COUNTA(NPCAL))*(TRUNC(MOD(($B661*1103515245 +12345)/ 65536, 32768),0)/32768),0))</f>
        <v>CN</v>
      </c>
      <c r="AD661" s="72" t="str">
        <f ca="1">IFERROR(__xludf.DUMMYFUNCTION("if(V661&lt;15,QUERY(NPCVar!C:D,""Select D WHERE C = '""&amp;D661&amp;""'""),if((TRUNC(1+10)*(TRUNC(MOD((ROW(H661)*1103515245 +12345)/ 65536, 32768),0)/32768)/10) &gt; 0.85,INDEX(NPCFaction,TRUNC(1+(counta(NPCFaction)-1)*(TRUNC(MOD(($B661*1103515245 +12345)/ 65536, 3276"&amp;"8),0)/32768),0)),QUERY(NPCVar!C:D,""Select D WHERE C = '""&amp;D661&amp;""'"")))"),"Death Guild")</f>
        <v>Death Guild</v>
      </c>
      <c r="AE661" s="108" t="e">
        <f t="shared" ca="1" si="42"/>
        <v>#NAME?</v>
      </c>
      <c r="AF661" s="159">
        <f ca="1">IFERROR(__xludf.DUMMYFUNCTION("AE661*(V661 / QUERY(NPCVar!$K$2:$N$12, ""Select N WHERE K='""&amp;AB661&amp;""'""))*TRUNC(1+10)*(TRUNC(MOD(($B661*1103515245 +12345)/ 65536, 32768),0)/32768)"),-0.00341567993164062)</f>
        <v>-3.4156799316406201E-3</v>
      </c>
      <c r="AG661" s="16"/>
      <c r="AH661" s="77"/>
      <c r="AI661" s="114"/>
    </row>
    <row r="662" spans="1:35" ht="16.2">
      <c r="A662" s="53">
        <v>661</v>
      </c>
      <c r="B662" s="118">
        <f t="shared" si="47"/>
        <v>1.6149899999999999</v>
      </c>
      <c r="C662" s="72" t="str">
        <f t="array" ref="C662">INDEX(NPCFName,TRUNC(1+(COUNTA(NPCFName))*(TRUNC(MOD(($B662*1103515245 +12345)/ 65536, 32768),0)/32768),0))</f>
        <v>Kinorn</v>
      </c>
      <c r="D662" s="16" t="str">
        <f t="array" ref="D662">INDEX(NPCLName,TRUNC(1+(COUNTA(NPCLName))*(TRUNC(MOD(($B662*1103515245 +12345)/ 65536, 32768),0)/32768),0))</f>
        <v>Deepcrest</v>
      </c>
      <c r="E662" s="16" t="str">
        <f t="array" ref="E662">INDEX(NPCClass,TRUNC(1+(COUNTA(NPCClass))*(TRUNC(MOD(($B662*1103515245 +12345)/ 65536, 32768),0)/32768),0))</f>
        <v>Cleric</v>
      </c>
      <c r="F662" s="76">
        <v>8</v>
      </c>
      <c r="G662" s="153">
        <f ca="1">VLOOKUP($AB$2,'RF Mod'!$A$2:$G$12,2,FALSE)+VLOOKUP($AD$2,'RF Mod'!$I$2:$O$11,2,FALSE)+(TRUNC(6+(24-6)*(TRUNC(MOD(($Z662*1103515245 +12345)/ 65536, 32768),0)/32768),0))</f>
        <v>11</v>
      </c>
      <c r="H662" s="16" t="e">
        <f t="shared" ca="1" si="33"/>
        <v>#NAME?</v>
      </c>
      <c r="I662" s="153">
        <f ca="1">VLOOKUP($AB$2,'RF Mod'!$A$2:$G$12,3,FALSE)+VLOOKUP($AD$2,'RF Mod'!$I$2:$O$11,3,FALSE)+(TRUNC(6+(24-6)*(TRUNC(MOD(($Z662*1103515245 +12345)/ 65536, 32768),0)/32768),0))</f>
        <v>15</v>
      </c>
      <c r="J662" s="16" t="e">
        <f t="shared" ca="1" si="34"/>
        <v>#NAME?</v>
      </c>
      <c r="K662" s="153">
        <f ca="1">VLOOKUP($AB$2,'RF Mod'!$A$2:$G$12,3,FALSE)+VLOOKUP($AD$2,'RF Mod'!$I$2:$O$11,3,FALSE)+(TRUNC(6+(24-6)*(TRUNC(MOD(($Z662*1103515245 +12345)/ 65536, 32768),0)/32768),0))</f>
        <v>15</v>
      </c>
      <c r="L662" s="16" t="e">
        <f t="shared" ca="1" si="35"/>
        <v>#NAME?</v>
      </c>
      <c r="M662" s="153">
        <f ca="1">VLOOKUP($AB$2,'RF Mod'!$A$2:$G$12,4,FALSE)+VLOOKUP($AD$2,'RF Mod'!$I$2:$O$11,4,FALSE)+(TRUNC(6+(24-6)*(TRUNC(MOD(($Z662*1103515245 +12345)/ 65536, 32768),0)/32768),0))</f>
        <v>14</v>
      </c>
      <c r="N662" s="16" t="e">
        <f t="shared" ca="1" si="36"/>
        <v>#NAME?</v>
      </c>
      <c r="O662" s="153">
        <f ca="1">VLOOKUP($AB$2,'RF Mod'!$A$2:$G$12,5,FALSE)+VLOOKUP($AD$2,'RF Mod'!$I$2:$O$11,5,FALSE)+(TRUNC(6+(24-6)*(TRUNC(MOD(($Z662*1103515245 +12345)/ 65536, 32768),0)/32768),0))</f>
        <v>17</v>
      </c>
      <c r="P662" s="16" t="e">
        <f t="shared" ca="1" si="37"/>
        <v>#NAME?</v>
      </c>
      <c r="Q662" s="153">
        <f ca="1">VLOOKUP($AB$2,'RF Mod'!$A$2:$G$12,6,FALSE)+VLOOKUP($AD$2,'RF Mod'!$I$2:$O$11,6,FALSE)+(TRUNC(6+(24-6)*(TRUNC(MOD(($Z662*1103515245 +12345)/ 65536, 32768),0)/32768),0))</f>
        <v>15</v>
      </c>
      <c r="R662" s="16" t="e">
        <f t="shared" ca="1" si="38"/>
        <v>#NAME?</v>
      </c>
      <c r="S662" s="154">
        <f t="shared" ca="1" si="43"/>
        <v>216</v>
      </c>
      <c r="T662" s="154">
        <f t="shared" ca="1" si="39"/>
        <v>57</v>
      </c>
      <c r="U662" s="16" t="str">
        <f t="shared" ca="1" si="40"/>
        <v>Fine</v>
      </c>
      <c r="V662" s="155">
        <f ca="1">IFERROR(__xludf.DUMMYFUNCTION("if(W662=""Middle Age"",QUERY(NPCVar!$K$2:$N1000, ""Select L where K = '""&amp;AB662&amp;""'""),if(W662=""Old"",QUERY(NPCVar!$K$2:$N1000, ""Select M where K = '""&amp;AB662&amp;""'""),if(W662=""Venerable"",QUERY(NPCVar!$K$2:$N1000, ""Select N where K = '""&amp;AB662&amp;""'""),fa"&amp;"lse)))*X662"),55)</f>
        <v>55</v>
      </c>
      <c r="W662" s="156" t="str">
        <f t="array" ref="W662">INDEX(NPCAgeType,TRUNC(1+(4-1)*(TRUNC(MOD((X662*1103515245 +12345)/ 65536, 32768),0)/32768),0))</f>
        <v>Middle Age</v>
      </c>
      <c r="X662" s="117">
        <f t="shared" si="45"/>
        <v>2</v>
      </c>
      <c r="Y662" s="157" t="e">
        <f t="array" aca="1" ref="Y662" ca="1">LOOKUP(ABS(MAX(Z662 + MIN(ABS(INDIRECT("Class Jobs!B"&amp;MATCH(E662,'Class Jobs'!$A$1:$A1000,0)&amp;":"&amp;"AF"&amp;MATCH(E662,'Class Jobs'!$A$1:$A1000,0)&amp;"")-$Z662)) * SUM(IF(MIN(ABS(INDIRECT("Class Jobs!B"&amp;MATCH(E662,'Class Jobs'!$A$1:$A1000,0)&amp;":"&amp;"AF"&amp;MATCH(E662,'Class Jobs'!$A$1:$A1000,0)&amp;"")-$Z662))=ABS(INDIRECT("Class Jobs!B"&amp;MATCH(E662,'Class Jobs'!$A$1:$A1000,0)&amp;":"&amp;"AF"&amp;MATCH(E662,'Class Jobs'!$A$1:$A1000,0)&amp;"")-$Z662),SIGN(INDIRECT("Class Jobs!B"&amp;MATCH(E662,'Class Jobs'!$A$1:A1000,0)&amp;":"&amp;"AF"&amp;MATCH(E662,'Class Jobs'!$A$1:$A1000,0)&amp;"")-$Z662),0)),0)),INDIRECT("Class Jobs!B"&amp;MATCH(E662,'Class Jobs'!$A$1:$A1000,0)&amp;":"&amp;"AF"&amp;MATCH(E662,'Class Jobs'!$A$1:$A1000,1)&amp;""),'Class Jobs'!$B$1:$AF$1)</f>
        <v>#REF!</v>
      </c>
      <c r="Z662" s="158">
        <f t="shared" si="41"/>
        <v>0.83</v>
      </c>
      <c r="AA662" s="16" t="str">
        <f t="array" ref="AA662">INDEX(NPCGender,TRUNC(1+(COUNTA(NPCGender))*(TRUNC(MOD(($B662*1103515245 +12345)/ 65536, 32768),0)/32768),0))</f>
        <v>Neutral</v>
      </c>
      <c r="AB662" s="16" t="str">
        <f t="array" ref="AB662">INDEX(NPCRace,TRUNC(1+(COUNTA(NPCRace))*(TRUNC(MOD(($B662*1103515245 +12345)/ 65536, 32768),0)/32768),0))</f>
        <v>Genasi</v>
      </c>
      <c r="AC662" s="16" t="str">
        <f t="array" ref="AC662">INDEX(NPCAL,TRUNC(1+(COUNTA(NPCAL))*(TRUNC(MOD(($B662*1103515245 +12345)/ 65536, 32768),0)/32768),0))</f>
        <v>LN</v>
      </c>
      <c r="AD662" s="72" t="str">
        <f ca="1">IFERROR(__xludf.DUMMYFUNCTION("if(V662&lt;15,QUERY(NPCVar!C:D,""Select D WHERE C = '""&amp;D662&amp;""'""),if((TRUNC(1+10)*(TRUNC(MOD((ROW(H662)*1103515245 +12345)/ 65536, 32768),0)/32768)/10) &gt; 0.85,INDEX(NPCFaction,TRUNC(1+(counta(NPCFaction)-1)*(TRUNC(MOD(($B662*1103515245 +12345)/ 65536, 3276"&amp;"8),0)/32768),0)),QUERY(NPCVar!C:D,""Select D WHERE C = '""&amp;D662&amp;""'"")))"),"Adventures Guild")</f>
        <v>Adventures Guild</v>
      </c>
      <c r="AE662" s="108" t="e">
        <f t="shared" ca="1" si="42"/>
        <v>#NAME?</v>
      </c>
      <c r="AF662" s="159">
        <f ca="1">IFERROR(__xludf.DUMMYFUNCTION("AE662*(V662 / QUERY(NPCVar!$K$2:$N$12, ""Select N WHERE K='""&amp;AB662&amp;""'""))*TRUNC(1+10)*(TRUNC(MOD(($B662*1103515245 +12345)/ 65536, 32768),0)/32768)"),3.19497833251953)</f>
        <v>3.19497833251953</v>
      </c>
      <c r="AG662" s="16"/>
      <c r="AH662" s="77"/>
      <c r="AI662" s="114"/>
    </row>
    <row r="663" spans="1:35" ht="16.2">
      <c r="A663" s="53">
        <v>662</v>
      </c>
      <c r="B663" s="118">
        <f t="shared" si="47"/>
        <v>0.60912999999999995</v>
      </c>
      <c r="C663" s="72" t="str">
        <f t="array" ref="C663">INDEX(NPCFName,TRUNC(1+(COUNTA(NPCFName))*(TRUNC(MOD(($B663*1103515245 +12345)/ 65536, 32768),0)/32768),0))</f>
        <v>William</v>
      </c>
      <c r="D663" s="16" t="str">
        <f t="array" ref="D663">INDEX(NPCLName,TRUNC(1+(COUNTA(NPCLName))*(TRUNC(MOD(($B663*1103515245 +12345)/ 65536, 32768),0)/32768),0))</f>
        <v>Stormdew</v>
      </c>
      <c r="E663" s="16" t="str">
        <f t="array" ref="E663">INDEX(NPCClass,TRUNC(1+(COUNTA(NPCClass))*(TRUNC(MOD(($B663*1103515245 +12345)/ 65536, 32768),0)/32768),0))</f>
        <v>Monk</v>
      </c>
      <c r="F663" s="76">
        <v>3</v>
      </c>
      <c r="G663" s="153">
        <f ca="1">VLOOKUP($AB$2,'RF Mod'!$A$2:$G$12,2,FALSE)+VLOOKUP($AD$2,'RF Mod'!$I$2:$O$11,2,FALSE)+(TRUNC(6+(24-6)*(TRUNC(MOD(($Z663*1103515245 +12345)/ 65536, 32768),0)/32768),0))</f>
        <v>6</v>
      </c>
      <c r="H663" s="16">
        <f t="shared" ca="1" si="33"/>
        <v>-2</v>
      </c>
      <c r="I663" s="153">
        <f ca="1">VLOOKUP($AB$2,'RF Mod'!$A$2:$G$12,3,FALSE)+VLOOKUP($AD$2,'RF Mod'!$I$2:$O$11,3,FALSE)+(TRUNC(6+(24-6)*(TRUNC(MOD(($Z663*1103515245 +12345)/ 65536, 32768),0)/32768),0))</f>
        <v>10</v>
      </c>
      <c r="J663" s="16" t="e">
        <f t="shared" ca="1" si="34"/>
        <v>#NAME?</v>
      </c>
      <c r="K663" s="153">
        <f ca="1">VLOOKUP($AB$2,'RF Mod'!$A$2:$G$12,3,FALSE)+VLOOKUP($AD$2,'RF Mod'!$I$2:$O$11,3,FALSE)+(TRUNC(6+(24-6)*(TRUNC(MOD(($Z663*1103515245 +12345)/ 65536, 32768),0)/32768),0))</f>
        <v>10</v>
      </c>
      <c r="L663" s="16" t="e">
        <f t="shared" ca="1" si="35"/>
        <v>#NAME?</v>
      </c>
      <c r="M663" s="153">
        <f ca="1">VLOOKUP($AB$2,'RF Mod'!$A$2:$G$12,4,FALSE)+VLOOKUP($AD$2,'RF Mod'!$I$2:$O$11,4,FALSE)+(TRUNC(6+(24-6)*(TRUNC(MOD(($Z663*1103515245 +12345)/ 65536, 32768),0)/32768),0))</f>
        <v>9</v>
      </c>
      <c r="N663" s="16">
        <f t="shared" ca="1" si="36"/>
        <v>-1</v>
      </c>
      <c r="O663" s="153">
        <f ca="1">VLOOKUP($AB$2,'RF Mod'!$A$2:$G$12,5,FALSE)+VLOOKUP($AD$2,'RF Mod'!$I$2:$O$11,5,FALSE)+(TRUNC(6+(24-6)*(TRUNC(MOD(($Z663*1103515245 +12345)/ 65536, 32768),0)/32768),0))</f>
        <v>12</v>
      </c>
      <c r="P663" s="16" t="e">
        <f t="shared" ca="1" si="37"/>
        <v>#NAME?</v>
      </c>
      <c r="Q663" s="153">
        <f ca="1">VLOOKUP($AB$2,'RF Mod'!$A$2:$G$12,6,FALSE)+VLOOKUP($AD$2,'RF Mod'!$I$2:$O$11,6,FALSE)+(TRUNC(6+(24-6)*(TRUNC(MOD(($Z663*1103515245 +12345)/ 65536, 32768),0)/32768),0))</f>
        <v>10</v>
      </c>
      <c r="R663" s="16" t="e">
        <f t="shared" ca="1" si="38"/>
        <v>#NAME?</v>
      </c>
      <c r="S663" s="154">
        <f t="shared" ca="1" si="43"/>
        <v>36</v>
      </c>
      <c r="T663" s="154">
        <f t="shared" ca="1" si="39"/>
        <v>28</v>
      </c>
      <c r="U663" s="16" t="str">
        <f t="shared" ca="1" si="40"/>
        <v>Bloody</v>
      </c>
      <c r="V663" s="155">
        <f ca="1">IFERROR(__xludf.DUMMYFUNCTION("if(W663=""Middle Age"",QUERY(NPCVar!$K$2:$N1000, ""Select L where K = '""&amp;AB663&amp;""'""),if(W663=""Old"",QUERY(NPCVar!$K$2:$N1000, ""Select M where K = '""&amp;AB663&amp;""'""),if(W663=""Venerable"",QUERY(NPCVar!$K$2:$N1000, ""Select N where K = '""&amp;AB663&amp;""'""),fa"&amp;"lse)))*X663"),135)</f>
        <v>135</v>
      </c>
      <c r="W663" s="156" t="str">
        <f t="array" ref="W663">INDEX(NPCAgeType,TRUNC(1+(4-1)*(TRUNC(MOD((X663*1103515245 +12345)/ 65536, 32768),0)/32768),0))</f>
        <v>Old</v>
      </c>
      <c r="X663" s="117">
        <f t="shared" si="45"/>
        <v>0.8</v>
      </c>
      <c r="Y663" s="157" t="e">
        <f t="array" aca="1" ref="Y663" ca="1">LOOKUP(ABS(MAX(Z663 + MIN(ABS(INDIRECT("Class Jobs!B"&amp;MATCH(E663,'Class Jobs'!$A$1:$A1000,0)&amp;":"&amp;"AF"&amp;MATCH(E663,'Class Jobs'!$A$1:$A1000,0)&amp;"")-$Z663)) * SUM(IF(MIN(ABS(INDIRECT("Class Jobs!B"&amp;MATCH(E663,'Class Jobs'!$A$1:$A1000,0)&amp;":"&amp;"AF"&amp;MATCH(E663,'Class Jobs'!$A$1:$A1000,0)&amp;"")-$Z663))=ABS(INDIRECT("Class Jobs!B"&amp;MATCH(E663,'Class Jobs'!$A$1:$A1000,0)&amp;":"&amp;"AF"&amp;MATCH(E663,'Class Jobs'!$A$1:$A1000,0)&amp;"")-$Z663),SIGN(INDIRECT("Class Jobs!B"&amp;MATCH(E663,'Class Jobs'!$A$1:A1000,0)&amp;":"&amp;"AF"&amp;MATCH(E663,'Class Jobs'!$A$1:$A1000,0)&amp;"")-$Z663),0)),0)),INDIRECT("Class Jobs!B"&amp;MATCH(E663,'Class Jobs'!$A$1:$A1000,0)&amp;":"&amp;"AF"&amp;MATCH(E663,'Class Jobs'!$A$1:$A1000,1)&amp;""),'Class Jobs'!$B$1:$AF$1)</f>
        <v>#REF!</v>
      </c>
      <c r="Z663" s="158">
        <f t="shared" si="41"/>
        <v>0.31</v>
      </c>
      <c r="AA663" s="16" t="str">
        <f t="array" ref="AA663">INDEX(NPCGender,TRUNC(1+(COUNTA(NPCGender))*(TRUNC(MOD(($B663*1103515245 +12345)/ 65536, 32768),0)/32768),0))</f>
        <v>Male</v>
      </c>
      <c r="AB663" s="16" t="str">
        <f t="array" ref="AB663">INDEX(NPCRace,TRUNC(1+(COUNTA(NPCRace))*(TRUNC(MOD(($B663*1103515245 +12345)/ 65536, 32768),0)/32768),0))</f>
        <v>Gnome</v>
      </c>
      <c r="AC663" s="16" t="str">
        <f t="array" ref="AC663">INDEX(NPCAL,TRUNC(1+(COUNTA(NPCAL))*(TRUNC(MOD(($B663*1103515245 +12345)/ 65536, 32768),0)/32768),0))</f>
        <v>CG</v>
      </c>
      <c r="AD663" s="72" t="str">
        <f ca="1">IFERROR(__xludf.DUMMYFUNCTION("if(V663&lt;15,QUERY(NPCVar!C:D,""Select D WHERE C = '""&amp;D663&amp;""'""),if((TRUNC(1+10)*(TRUNC(MOD((ROW(H663)*1103515245 +12345)/ 65536, 32768),0)/32768)/10) &gt; 0.85,INDEX(NPCFaction,TRUNC(1+(counta(NPCFaction)-1)*(TRUNC(MOD(($B663*1103515245 +12345)/ 65536, 3276"&amp;"8),0)/32768),0)),QUERY(NPCVar!C:D,""Select D WHERE C = '""&amp;D663&amp;""'"")))"),"Magic Guild")</f>
        <v>Magic Guild</v>
      </c>
      <c r="AE663" s="108" t="e">
        <f t="shared" ca="1" si="42"/>
        <v>#NAME?</v>
      </c>
      <c r="AF663" s="159">
        <f ca="1">IFERROR(__xludf.DUMMYFUNCTION("AE663*(V663 / QUERY(NPCVar!$K$2:$N$12, ""Select N WHERE K='""&amp;AB663&amp;""'""))*TRUNC(1+10)*(TRUNC(MOD(($B663*1103515245 +12345)/ 65536, 32768),0)/32768)"),0)</f>
        <v>0</v>
      </c>
      <c r="AG663" s="16"/>
      <c r="AH663" s="77"/>
      <c r="AI663" s="114"/>
    </row>
    <row r="664" spans="1:35" ht="16.2">
      <c r="A664" s="53">
        <v>663</v>
      </c>
      <c r="B664" s="118">
        <f t="shared" si="47"/>
        <v>2.1032700000000002</v>
      </c>
      <c r="C664" s="72" t="str">
        <f t="array" ref="C664">INDEX(NPCFName,TRUNC(1+(COUNTA(NPCFName))*(TRUNC(MOD(($B664*1103515245 +12345)/ 65536, 32768),0)/32768),0))</f>
        <v>Dritz</v>
      </c>
      <c r="D664" s="16" t="str">
        <f t="array" ref="D664">INDEX(NPCLName,TRUNC(1+(COUNTA(NPCLName))*(TRUNC(MOD(($B664*1103515245 +12345)/ 65536, 32768),0)/32768),0))</f>
        <v>Autumnorb</v>
      </c>
      <c r="E664" s="16" t="str">
        <f t="array" ref="E664">INDEX(NPCClass,TRUNC(1+(COUNTA(NPCClass))*(TRUNC(MOD(($B664*1103515245 +12345)/ 65536, 32768),0)/32768),0))</f>
        <v>Barbarian</v>
      </c>
      <c r="F664" s="76">
        <v>1</v>
      </c>
      <c r="G664" s="153">
        <f ca="1">VLOOKUP($AB$2,'RF Mod'!$A$2:$G$12,2,FALSE)+VLOOKUP($AD$2,'RF Mod'!$I$2:$O$11,2,FALSE)+(TRUNC(6+(24-6)*(TRUNC(MOD(($Z664*1103515245 +12345)/ 65536, 32768),0)/32768),0))</f>
        <v>4</v>
      </c>
      <c r="H664" s="16">
        <f t="shared" ca="1" si="33"/>
        <v>-3</v>
      </c>
      <c r="I664" s="153">
        <f ca="1">VLOOKUP($AB$2,'RF Mod'!$A$2:$G$12,3,FALSE)+VLOOKUP($AD$2,'RF Mod'!$I$2:$O$11,3,FALSE)+(TRUNC(6+(24-6)*(TRUNC(MOD(($Z664*1103515245 +12345)/ 65536, 32768),0)/32768),0))</f>
        <v>8</v>
      </c>
      <c r="J664" s="16">
        <f t="shared" ca="1" si="34"/>
        <v>-1</v>
      </c>
      <c r="K664" s="153">
        <f ca="1">VLOOKUP($AB$2,'RF Mod'!$A$2:$G$12,3,FALSE)+VLOOKUP($AD$2,'RF Mod'!$I$2:$O$11,3,FALSE)+(TRUNC(6+(24-6)*(TRUNC(MOD(($Z664*1103515245 +12345)/ 65536, 32768),0)/32768),0))</f>
        <v>8</v>
      </c>
      <c r="L664" s="16">
        <f t="shared" ca="1" si="35"/>
        <v>-1</v>
      </c>
      <c r="M664" s="153">
        <f ca="1">VLOOKUP($AB$2,'RF Mod'!$A$2:$G$12,4,FALSE)+VLOOKUP($AD$2,'RF Mod'!$I$2:$O$11,4,FALSE)+(TRUNC(6+(24-6)*(TRUNC(MOD(($Z664*1103515245 +12345)/ 65536, 32768),0)/32768),0))</f>
        <v>7</v>
      </c>
      <c r="N664" s="16">
        <f t="shared" ca="1" si="36"/>
        <v>-2</v>
      </c>
      <c r="O664" s="153">
        <f ca="1">VLOOKUP($AB$2,'RF Mod'!$A$2:$G$12,5,FALSE)+VLOOKUP($AD$2,'RF Mod'!$I$2:$O$11,5,FALSE)+(TRUNC(6+(24-6)*(TRUNC(MOD(($Z664*1103515245 +12345)/ 65536, 32768),0)/32768),0))</f>
        <v>10</v>
      </c>
      <c r="P664" s="16" t="e">
        <f t="shared" ca="1" si="37"/>
        <v>#NAME?</v>
      </c>
      <c r="Q664" s="153">
        <f ca="1">VLOOKUP($AB$2,'RF Mod'!$A$2:$G$12,6,FALSE)+VLOOKUP($AD$2,'RF Mod'!$I$2:$O$11,6,FALSE)+(TRUNC(6+(24-6)*(TRUNC(MOD(($Z664*1103515245 +12345)/ 65536, 32768),0)/32768),0))</f>
        <v>8</v>
      </c>
      <c r="R664" s="16">
        <f t="shared" ca="1" si="38"/>
        <v>-1</v>
      </c>
      <c r="S664" s="154">
        <f t="shared" ca="1" si="43"/>
        <v>10</v>
      </c>
      <c r="T664" s="154">
        <f t="shared" ca="1" si="39"/>
        <v>5</v>
      </c>
      <c r="U664" s="16" t="str">
        <f t="shared" ca="1" si="40"/>
        <v>Fine</v>
      </c>
      <c r="V664" s="155">
        <f ca="1">IFERROR(__xludf.DUMMYFUNCTION("if(W664=""Middle Age"",QUERY(NPCVar!$K$2:$N1000, ""Select L where K = '""&amp;AB664&amp;""'""),if(W664=""Old"",QUERY(NPCVar!$K$2:$N1000, ""Select M where K = '""&amp;AB664&amp;""'""),if(W664=""Venerable"",QUERY(NPCVar!$K$2:$N1000, ""Select N where K = '""&amp;AB664&amp;""'""),fa"&amp;"lse)))*X664"),4)</f>
        <v>4</v>
      </c>
      <c r="W664" s="156" t="str">
        <f t="array" ref="W664">INDEX(NPCAgeType,TRUNC(1+(4-1)*(TRUNC(MOD((X664*1103515245 +12345)/ 65536, 32768),0)/32768),0))</f>
        <v>Middle Age</v>
      </c>
      <c r="X664" s="117">
        <f t="shared" si="45"/>
        <v>0.2</v>
      </c>
      <c r="Y664" s="157" t="e">
        <f t="array" aca="1" ref="Y664" ca="1">LOOKUP(ABS(MAX(Z664 + MIN(ABS(INDIRECT("Class Jobs!B"&amp;MATCH(E664,'Class Jobs'!$A$1:$A1000,0)&amp;":"&amp;"AF"&amp;MATCH(E664,'Class Jobs'!$A$1:$A1000,0)&amp;"")-$Z664)) * SUM(IF(MIN(ABS(INDIRECT("Class Jobs!B"&amp;MATCH(E664,'Class Jobs'!$A$1:$A1000,0)&amp;":"&amp;"AF"&amp;MATCH(E664,'Class Jobs'!$A$1:$A1000,0)&amp;"")-$Z664))=ABS(INDIRECT("Class Jobs!B"&amp;MATCH(E664,'Class Jobs'!$A$1:$A1000,0)&amp;":"&amp;"AF"&amp;MATCH(E664,'Class Jobs'!$A$1:$A1000,0)&amp;"")-$Z664),SIGN(INDIRECT("Class Jobs!B"&amp;MATCH(E664,'Class Jobs'!$A$1:A1000,0)&amp;":"&amp;"AF"&amp;MATCH(E664,'Class Jobs'!$A$1:$A1000,0)&amp;"")-$Z664),0)),0)),INDIRECT("Class Jobs!B"&amp;MATCH(E664,'Class Jobs'!$A$1:$A1000,0)&amp;":"&amp;"AF"&amp;MATCH(E664,'Class Jobs'!$A$1:$A1000,1)&amp;""),'Class Jobs'!$B$1:$AF$1)</f>
        <v>#REF!</v>
      </c>
      <c r="Z664" s="158">
        <f t="shared" si="41"/>
        <v>0.08</v>
      </c>
      <c r="AA664" s="16" t="str">
        <f t="array" ref="AA664">INDEX(NPCGender,TRUNC(1+(COUNTA(NPCGender))*(TRUNC(MOD(($B664*1103515245 +12345)/ 65536, 32768),0)/32768),0))</f>
        <v>Male</v>
      </c>
      <c r="AB664" s="16" t="str">
        <f t="array" ref="AB664">INDEX(NPCRace,TRUNC(1+(COUNTA(NPCRace))*(TRUNC(MOD(($B664*1103515245 +12345)/ 65536, 32768),0)/32768),0))</f>
        <v>Dragonborn</v>
      </c>
      <c r="AC664" s="16" t="str">
        <f t="array" ref="AC664">INDEX(NPCAL,TRUNC(1+(COUNTA(NPCAL))*(TRUNC(MOD(($B664*1103515245 +12345)/ 65536, 32768),0)/32768),0))</f>
        <v>CN</v>
      </c>
      <c r="AD664" s="72" t="str">
        <f ca="1">IFERROR(__xludf.DUMMYFUNCTION("if(V664&lt;15,QUERY(NPCVar!C:D,""Select D WHERE C = '""&amp;D664&amp;""'""),if((TRUNC(1+10)*(TRUNC(MOD((ROW(H664)*1103515245 +12345)/ 65536, 32768),0)/32768)/10) &gt; 0.85,INDEX(NPCFaction,TRUNC(1+(counta(NPCFaction)-1)*(TRUNC(MOD(($B664*1103515245 +12345)/ 65536, 3276"&amp;"8),0)/32768),0)),QUERY(NPCVar!C:D,""Select D WHERE C = '""&amp;D664&amp;""'"")))"),"Royalty")</f>
        <v>Royalty</v>
      </c>
      <c r="AE664" s="108" t="e">
        <f t="shared" ca="1" si="42"/>
        <v>#NAME?</v>
      </c>
      <c r="AF664" s="159">
        <f ca="1">IFERROR(__xludf.DUMMYFUNCTION("AE664*(V664 / QUERY(NPCVar!$K$2:$N$12, ""Select N WHERE K='""&amp;AB664&amp;""'""))*TRUNC(1+10)*(TRUNC(MOD(($B664*1103515245 +12345)/ 65536, 32768),0)/32768)"),0.0177716064453125)</f>
        <v>1.7771606445312501E-2</v>
      </c>
      <c r="AG664" s="16"/>
      <c r="AH664" s="77"/>
      <c r="AI664" s="114"/>
    </row>
    <row r="665" spans="1:35" ht="16.2">
      <c r="A665" s="53">
        <v>664</v>
      </c>
      <c r="B665" s="118">
        <f t="shared" si="47"/>
        <v>1.09741</v>
      </c>
      <c r="C665" s="72" t="str">
        <f t="array" ref="C665">INDEX(NPCFName,TRUNC(1+(COUNTA(NPCFName))*(TRUNC(MOD(($B665*1103515245 +12345)/ 65536, 32768),0)/32768),0))</f>
        <v>Poran</v>
      </c>
      <c r="D665" s="16" t="str">
        <f t="array" ref="D665">INDEX(NPCLName,TRUNC(1+(COUNTA(NPCLName))*(TRUNC(MOD(($B665*1103515245 +12345)/ 65536, 32768),0)/32768),0))</f>
        <v>Plainspirit</v>
      </c>
      <c r="E665" s="16" t="str">
        <f t="array" ref="E665">INDEX(NPCClass,TRUNC(1+(COUNTA(NPCClass))*(TRUNC(MOD(($B665*1103515245 +12345)/ 65536, 32768),0)/32768),0))</f>
        <v>Sorcerer</v>
      </c>
      <c r="F665" s="76">
        <v>8</v>
      </c>
      <c r="G665" s="153">
        <f ca="1">VLOOKUP($AB$2,'RF Mod'!$A$2:$G$12,2,FALSE)+VLOOKUP($AD$2,'RF Mod'!$I$2:$O$11,2,FALSE)+(TRUNC(6+(24-6)*(TRUNC(MOD(($Z665*1103515245 +12345)/ 65536, 32768),0)/32768),0))</f>
        <v>9</v>
      </c>
      <c r="H665" s="16">
        <f t="shared" ca="1" si="33"/>
        <v>-1</v>
      </c>
      <c r="I665" s="153">
        <f ca="1">VLOOKUP($AB$2,'RF Mod'!$A$2:$G$12,3,FALSE)+VLOOKUP($AD$2,'RF Mod'!$I$2:$O$11,3,FALSE)+(TRUNC(6+(24-6)*(TRUNC(MOD(($Z665*1103515245 +12345)/ 65536, 32768),0)/32768),0))</f>
        <v>13</v>
      </c>
      <c r="J665" s="16" t="e">
        <f t="shared" ca="1" si="34"/>
        <v>#NAME?</v>
      </c>
      <c r="K665" s="153">
        <f ca="1">VLOOKUP($AB$2,'RF Mod'!$A$2:$G$12,3,FALSE)+VLOOKUP($AD$2,'RF Mod'!$I$2:$O$11,3,FALSE)+(TRUNC(6+(24-6)*(TRUNC(MOD(($Z665*1103515245 +12345)/ 65536, 32768),0)/32768),0))</f>
        <v>13</v>
      </c>
      <c r="L665" s="16" t="e">
        <f t="shared" ca="1" si="35"/>
        <v>#NAME?</v>
      </c>
      <c r="M665" s="153">
        <f ca="1">VLOOKUP($AB$2,'RF Mod'!$A$2:$G$12,4,FALSE)+VLOOKUP($AD$2,'RF Mod'!$I$2:$O$11,4,FALSE)+(TRUNC(6+(24-6)*(TRUNC(MOD(($Z665*1103515245 +12345)/ 65536, 32768),0)/32768),0))</f>
        <v>12</v>
      </c>
      <c r="N665" s="16" t="e">
        <f t="shared" ca="1" si="36"/>
        <v>#NAME?</v>
      </c>
      <c r="O665" s="153">
        <f ca="1">VLOOKUP($AB$2,'RF Mod'!$A$2:$G$12,5,FALSE)+VLOOKUP($AD$2,'RF Mod'!$I$2:$O$11,5,FALSE)+(TRUNC(6+(24-6)*(TRUNC(MOD(($Z665*1103515245 +12345)/ 65536, 32768),0)/32768),0))</f>
        <v>15</v>
      </c>
      <c r="P665" s="16" t="e">
        <f t="shared" ca="1" si="37"/>
        <v>#NAME?</v>
      </c>
      <c r="Q665" s="153">
        <f ca="1">VLOOKUP($AB$2,'RF Mod'!$A$2:$G$12,6,FALSE)+VLOOKUP($AD$2,'RF Mod'!$I$2:$O$11,6,FALSE)+(TRUNC(6+(24-6)*(TRUNC(MOD(($Z665*1103515245 +12345)/ 65536, 32768),0)/32768),0))</f>
        <v>13</v>
      </c>
      <c r="R665" s="16" t="e">
        <f t="shared" ca="1" si="38"/>
        <v>#NAME?</v>
      </c>
      <c r="S665" s="154">
        <f t="shared" ca="1" si="43"/>
        <v>168</v>
      </c>
      <c r="T665" s="154">
        <f t="shared" ca="1" si="39"/>
        <v>197</v>
      </c>
      <c r="U665" s="16" t="str">
        <f t="shared" ca="1" si="40"/>
        <v>Dead</v>
      </c>
      <c r="V665" s="155">
        <f ca="1">IFERROR(__xludf.DUMMYFUNCTION("if(W665=""Middle Age"",QUERY(NPCVar!$K$2:$N1000, ""Select L where K = '""&amp;AB665&amp;""'""),if(W665=""Old"",QUERY(NPCVar!$K$2:$N1000, ""Select M where K = '""&amp;AB665&amp;""'""),if(W665=""Venerable"",QUERY(NPCVar!$K$2:$N1000, ""Select N where K = '""&amp;AB665&amp;""'""),fa"&amp;"lse)))*X665"),280)</f>
        <v>280</v>
      </c>
      <c r="W665" s="156" t="str">
        <f t="array" ref="W665">INDEX(NPCAgeType,TRUNC(1+(4-1)*(TRUNC(MOD((X665*1103515245 +12345)/ 65536, 32768),0)/32768),0))</f>
        <v>Venerable</v>
      </c>
      <c r="X665" s="117">
        <f t="shared" si="45"/>
        <v>1.4</v>
      </c>
      <c r="Y665" s="157" t="e">
        <f t="array" aca="1" ref="Y665" ca="1">LOOKUP(ABS(MAX(Z665 + MIN(ABS(INDIRECT("Class Jobs!B"&amp;MATCH(E665,'Class Jobs'!$A$1:$A1000,0)&amp;":"&amp;"AF"&amp;MATCH(E665,'Class Jobs'!$A$1:$A1000,0)&amp;"")-$Z665)) * SUM(IF(MIN(ABS(INDIRECT("Class Jobs!B"&amp;MATCH(E665,'Class Jobs'!$A$1:$A1000,0)&amp;":"&amp;"AF"&amp;MATCH(E665,'Class Jobs'!$A$1:$A1000,0)&amp;"")-$Z665))=ABS(INDIRECT("Class Jobs!B"&amp;MATCH(E665,'Class Jobs'!$A$1:$A1000,0)&amp;":"&amp;"AF"&amp;MATCH(E665,'Class Jobs'!$A$1:$A1000,0)&amp;"")-$Z665),SIGN(INDIRECT("Class Jobs!B"&amp;MATCH(E665,'Class Jobs'!$A$1:A1000,0)&amp;":"&amp;"AF"&amp;MATCH(E665,'Class Jobs'!$A$1:$A1000,0)&amp;"")-$Z665),0)),0)),INDIRECT("Class Jobs!B"&amp;MATCH(E665,'Class Jobs'!$A$1:$A1000,0)&amp;":"&amp;"AF"&amp;MATCH(E665,'Class Jobs'!$A$1:$A1000,1)&amp;""),'Class Jobs'!$B$1:$AF$1)</f>
        <v>#REF!</v>
      </c>
      <c r="Z665" s="158">
        <f t="shared" si="41"/>
        <v>0.56000000000000005</v>
      </c>
      <c r="AA665" s="16" t="str">
        <f t="array" ref="AA665">INDEX(NPCGender,TRUNC(1+(COUNTA(NPCGender))*(TRUNC(MOD(($B665*1103515245 +12345)/ 65536, 32768),0)/32768),0))</f>
        <v>Female</v>
      </c>
      <c r="AB665" s="16" t="str">
        <f t="array" ref="AB665">INDEX(NPCRace,TRUNC(1+(COUNTA(NPCRace))*(TRUNC(MOD(($B665*1103515245 +12345)/ 65536, 32768),0)/32768),0))</f>
        <v>Halfling</v>
      </c>
      <c r="AC665" s="16" t="str">
        <f t="array" ref="AC665">INDEX(NPCAL,TRUNC(1+(COUNTA(NPCAL))*(TRUNC(MOD(($B665*1103515245 +12345)/ 65536, 32768),0)/32768),0))</f>
        <v>NE</v>
      </c>
      <c r="AD665" s="72" t="str">
        <f ca="1">IFERROR(__xludf.DUMMYFUNCTION("if(V665&lt;15,QUERY(NPCVar!C:D,""Select D WHERE C = '""&amp;D665&amp;""'""),if((TRUNC(1+10)*(TRUNC(MOD((ROW(H665)*1103515245 +12345)/ 65536, 32768),0)/32768)/10) &gt; 0.85,INDEX(NPCFaction,TRUNC(1+(counta(NPCFaction)-1)*(TRUNC(MOD(($B665*1103515245 +12345)/ 65536, 3276"&amp;"8),0)/32768),0)),QUERY(NPCVar!C:D,""Select D WHERE C = '""&amp;D665&amp;""'"")))"),"Traders Guild")</f>
        <v>Traders Guild</v>
      </c>
      <c r="AE665" s="108" t="e">
        <f t="shared" ca="1" si="42"/>
        <v>#NAME?</v>
      </c>
      <c r="AF665" s="159">
        <f ca="1">IFERROR(__xludf.DUMMYFUNCTION("AE665*(V665 / QUERY(NPCVar!$K$2:$N$12, ""Select N WHERE K='""&amp;AB665&amp;""'""))*TRUNC(1+10)*(TRUNC(MOD(($B665*1103515245 +12345)/ 65536, 32768),0)/32768)"),2.60523559570312)</f>
        <v>2.6052355957031201</v>
      </c>
      <c r="AG665" s="16"/>
      <c r="AH665" s="77"/>
      <c r="AI665" s="114"/>
    </row>
    <row r="666" spans="1:35" ht="16.2">
      <c r="A666" s="53">
        <v>665</v>
      </c>
      <c r="B666" s="118">
        <f t="shared" si="47"/>
        <v>9.1560000000000002E-2</v>
      </c>
      <c r="C666" s="72" t="str">
        <f t="array" ref="C666">INDEX(NPCFName,TRUNC(1+(COUNTA(NPCFName))*(TRUNC(MOD(($B666*1103515245 +12345)/ 65536, 32768),0)/32768),0))</f>
        <v>Casden</v>
      </c>
      <c r="D666" s="16" t="str">
        <f t="array" ref="D666">INDEX(NPCLName,TRUNC(1+(COUNTA(NPCLName))*(TRUNC(MOD(($B666*1103515245 +12345)/ 65536, 32768),0)/32768),0))</f>
        <v>Crystalgazer</v>
      </c>
      <c r="E666" s="16" t="str">
        <f t="array" ref="E666">INDEX(NPCClass,TRUNC(1+(COUNTA(NPCClass))*(TRUNC(MOD(($B666*1103515245 +12345)/ 65536, 32768),0)/32768),0))</f>
        <v>Barbarian</v>
      </c>
      <c r="F666" s="76">
        <v>1</v>
      </c>
      <c r="G666" s="153">
        <f ca="1">VLOOKUP($AB$2,'RF Mod'!$A$2:$G$12,2,FALSE)+VLOOKUP($AD$2,'RF Mod'!$I$2:$O$11,2,FALSE)+(TRUNC(6+(24-6)*(TRUNC(MOD(($Z666*1103515245 +12345)/ 65536, 32768),0)/32768),0))</f>
        <v>4</v>
      </c>
      <c r="H666" s="16">
        <f t="shared" ca="1" si="33"/>
        <v>-3</v>
      </c>
      <c r="I666" s="153">
        <f ca="1">VLOOKUP($AB$2,'RF Mod'!$A$2:$G$12,3,FALSE)+VLOOKUP($AD$2,'RF Mod'!$I$2:$O$11,3,FALSE)+(TRUNC(6+(24-6)*(TRUNC(MOD(($Z666*1103515245 +12345)/ 65536, 32768),0)/32768),0))</f>
        <v>8</v>
      </c>
      <c r="J666" s="16">
        <f t="shared" ca="1" si="34"/>
        <v>-1</v>
      </c>
      <c r="K666" s="153">
        <f ca="1">VLOOKUP($AB$2,'RF Mod'!$A$2:$G$12,3,FALSE)+VLOOKUP($AD$2,'RF Mod'!$I$2:$O$11,3,FALSE)+(TRUNC(6+(24-6)*(TRUNC(MOD(($Z666*1103515245 +12345)/ 65536, 32768),0)/32768),0))</f>
        <v>8</v>
      </c>
      <c r="L666" s="16">
        <f t="shared" ca="1" si="35"/>
        <v>-1</v>
      </c>
      <c r="M666" s="153">
        <f ca="1">VLOOKUP($AB$2,'RF Mod'!$A$2:$G$12,4,FALSE)+VLOOKUP($AD$2,'RF Mod'!$I$2:$O$11,4,FALSE)+(TRUNC(6+(24-6)*(TRUNC(MOD(($Z666*1103515245 +12345)/ 65536, 32768),0)/32768),0))</f>
        <v>7</v>
      </c>
      <c r="N666" s="16">
        <f t="shared" ca="1" si="36"/>
        <v>-2</v>
      </c>
      <c r="O666" s="153">
        <f ca="1">VLOOKUP($AB$2,'RF Mod'!$A$2:$G$12,5,FALSE)+VLOOKUP($AD$2,'RF Mod'!$I$2:$O$11,5,FALSE)+(TRUNC(6+(24-6)*(TRUNC(MOD(($Z666*1103515245 +12345)/ 65536, 32768),0)/32768),0))</f>
        <v>10</v>
      </c>
      <c r="P666" s="16" t="e">
        <f t="shared" ca="1" si="37"/>
        <v>#NAME?</v>
      </c>
      <c r="Q666" s="153">
        <f ca="1">VLOOKUP($AB$2,'RF Mod'!$A$2:$G$12,6,FALSE)+VLOOKUP($AD$2,'RF Mod'!$I$2:$O$11,6,FALSE)+(TRUNC(6+(24-6)*(TRUNC(MOD(($Z666*1103515245 +12345)/ 65536, 32768),0)/32768),0))</f>
        <v>8</v>
      </c>
      <c r="R666" s="16">
        <f t="shared" ca="1" si="38"/>
        <v>-1</v>
      </c>
      <c r="S666" s="154">
        <f t="shared" ca="1" si="43"/>
        <v>10</v>
      </c>
      <c r="T666" s="154">
        <f t="shared" ca="1" si="39"/>
        <v>1</v>
      </c>
      <c r="U666" s="16" t="str">
        <f t="shared" ca="1" si="40"/>
        <v>Fine</v>
      </c>
      <c r="V666" s="155">
        <f ca="1">IFERROR(__xludf.DUMMYFUNCTION("if(W666=""Middle Age"",QUERY(NPCVar!$K$2:$N1000, ""Select L where K = '""&amp;AB666&amp;""'""),if(W666=""Old"",QUERY(NPCVar!$K$2:$N1000, ""Select M where K = '""&amp;AB666&amp;""'""),if(W666=""Venerable"",QUERY(NPCVar!$K$2:$N1000, ""Select N where K = '""&amp;AB666&amp;""'""),fa"&amp;"lse)))*X666"),4)</f>
        <v>4</v>
      </c>
      <c r="W666" s="156" t="str">
        <f t="array" ref="W666">INDEX(NPCAgeType,TRUNC(1+(4-1)*(TRUNC(MOD((X666*1103515245 +12345)/ 65536, 32768),0)/32768),0))</f>
        <v>Middle Age</v>
      </c>
      <c r="X666" s="117">
        <f t="shared" si="45"/>
        <v>0.2</v>
      </c>
      <c r="Y666" s="157" t="e">
        <f t="array" aca="1" ref="Y666" ca="1">LOOKUP(ABS(MAX(Z666 + MIN(ABS(INDIRECT("Class Jobs!B"&amp;MATCH(E666,'Class Jobs'!$A$1:$A1000,0)&amp;":"&amp;"AF"&amp;MATCH(E666,'Class Jobs'!$A$1:$A1000,0)&amp;"")-$Z666)) * SUM(IF(MIN(ABS(INDIRECT("Class Jobs!B"&amp;MATCH(E666,'Class Jobs'!$A$1:$A1000,0)&amp;":"&amp;"AF"&amp;MATCH(E666,'Class Jobs'!$A$1:$A1000,0)&amp;"")-$Z666))=ABS(INDIRECT("Class Jobs!B"&amp;MATCH(E666,'Class Jobs'!$A$1:$A1000,0)&amp;":"&amp;"AF"&amp;MATCH(E666,'Class Jobs'!$A$1:$A1000,0)&amp;"")-$Z666),SIGN(INDIRECT("Class Jobs!B"&amp;MATCH(E666,'Class Jobs'!$A$1:A1000,0)&amp;":"&amp;"AF"&amp;MATCH(E666,'Class Jobs'!$A$1:$A1000,0)&amp;"")-$Z666),0)),0)),INDIRECT("Class Jobs!B"&amp;MATCH(E666,'Class Jobs'!$A$1:$A1000,0)&amp;":"&amp;"AF"&amp;MATCH(E666,'Class Jobs'!$A$1:$A1000,1)&amp;""),'Class Jobs'!$B$1:$AF$1)</f>
        <v>#REF!</v>
      </c>
      <c r="Z666" s="158">
        <f t="shared" si="41"/>
        <v>0.05</v>
      </c>
      <c r="AA666" s="16" t="str">
        <f t="array" ref="AA666">INDEX(NPCGender,TRUNC(1+(COUNTA(NPCGender))*(TRUNC(MOD(($B666*1103515245 +12345)/ 65536, 32768),0)/32768),0))</f>
        <v>Male</v>
      </c>
      <c r="AB666" s="16" t="str">
        <f t="array" ref="AB666">INDEX(NPCRace,TRUNC(1+(COUNTA(NPCRace))*(TRUNC(MOD(($B666*1103515245 +12345)/ 65536, 32768),0)/32768),0))</f>
        <v>Dragonborn</v>
      </c>
      <c r="AC666" s="16" t="str">
        <f t="array" ref="AC666">INDEX(NPCAL,TRUNC(1+(COUNTA(NPCAL))*(TRUNC(MOD(($B666*1103515245 +12345)/ 65536, 32768),0)/32768),0))</f>
        <v>CN</v>
      </c>
      <c r="AD666" s="72" t="str">
        <f ca="1">IFERROR(__xludf.DUMMYFUNCTION("if(V666&lt;15,QUERY(NPCVar!C:D,""Select D WHERE C = '""&amp;D666&amp;""'""),if((TRUNC(1+10)*(TRUNC(MOD((ROW(H666)*1103515245 +12345)/ 65536, 32768),0)/32768)/10) &gt; 0.85,INDEX(NPCFaction,TRUNC(1+(counta(NPCFaction)-1)*(TRUNC(MOD(($B666*1103515245 +12345)/ 65536, 3276"&amp;"8),0)/32768),0)),QUERY(NPCVar!C:D,""Select D WHERE C = '""&amp;D666&amp;""'"")))"),"Death Guild")</f>
        <v>Death Guild</v>
      </c>
      <c r="AE666" s="108" t="e">
        <f t="shared" ca="1" si="42"/>
        <v>#NAME?</v>
      </c>
      <c r="AF666" s="159">
        <f ca="1">IFERROR(__xludf.DUMMYFUNCTION("AE666*(V666 / QUERY(NPCVar!$K$2:$N$12, ""Select N WHERE K='""&amp;AB666&amp;""'""))*TRUNC(1+10)*(TRUNC(MOD(($B666*1103515245 +12345)/ 65536, 32768),0)/32768)"),0.0103460693359375)</f>
        <v>1.0346069335937499E-2</v>
      </c>
      <c r="AG666" s="16"/>
      <c r="AH666" s="77"/>
      <c r="AI666" s="114"/>
    </row>
    <row r="667" spans="1:35" ht="16.2">
      <c r="A667" s="53">
        <v>666</v>
      </c>
      <c r="B667" s="118">
        <f t="shared" si="47"/>
        <v>1.58569</v>
      </c>
      <c r="C667" s="72" t="str">
        <f t="array" ref="C667">INDEX(NPCFName,TRUNC(1+(COUNTA(NPCFName))*(TRUNC(MOD(($B667*1103515245 +12345)/ 65536, 32768),0)/32768),0))</f>
        <v>Jaython</v>
      </c>
      <c r="D667" s="16" t="str">
        <f t="array" ref="D667">INDEX(NPCLName,TRUNC(1+(COUNTA(NPCLName))*(TRUNC(MOD(($B667*1103515245 +12345)/ 65536, 32768),0)/32768),0))</f>
        <v>Deepcrest</v>
      </c>
      <c r="E667" s="16" t="str">
        <f t="array" ref="E667">INDEX(NPCClass,TRUNC(1+(COUNTA(NPCClass))*(TRUNC(MOD(($B667*1103515245 +12345)/ 65536, 32768),0)/32768),0))</f>
        <v>Cleric</v>
      </c>
      <c r="F667" s="76">
        <v>8</v>
      </c>
      <c r="G667" s="153">
        <f ca="1">VLOOKUP($AB$2,'RF Mod'!$A$2:$G$12,2,FALSE)+VLOOKUP($AD$2,'RF Mod'!$I$2:$O$11,2,FALSE)+(TRUNC(6+(24-6)*(TRUNC(MOD(($Z667*1103515245 +12345)/ 65536, 32768),0)/32768),0))</f>
        <v>11</v>
      </c>
      <c r="H667" s="16" t="e">
        <f t="shared" ca="1" si="33"/>
        <v>#NAME?</v>
      </c>
      <c r="I667" s="153">
        <f ca="1">VLOOKUP($AB$2,'RF Mod'!$A$2:$G$12,3,FALSE)+VLOOKUP($AD$2,'RF Mod'!$I$2:$O$11,3,FALSE)+(TRUNC(6+(24-6)*(TRUNC(MOD(($Z667*1103515245 +12345)/ 65536, 32768),0)/32768),0))</f>
        <v>15</v>
      </c>
      <c r="J667" s="16" t="e">
        <f t="shared" ca="1" si="34"/>
        <v>#NAME?</v>
      </c>
      <c r="K667" s="153">
        <f ca="1">VLOOKUP($AB$2,'RF Mod'!$A$2:$G$12,3,FALSE)+VLOOKUP($AD$2,'RF Mod'!$I$2:$O$11,3,FALSE)+(TRUNC(6+(24-6)*(TRUNC(MOD(($Z667*1103515245 +12345)/ 65536, 32768),0)/32768),0))</f>
        <v>15</v>
      </c>
      <c r="L667" s="16" t="e">
        <f t="shared" ca="1" si="35"/>
        <v>#NAME?</v>
      </c>
      <c r="M667" s="153">
        <f ca="1">VLOOKUP($AB$2,'RF Mod'!$A$2:$G$12,4,FALSE)+VLOOKUP($AD$2,'RF Mod'!$I$2:$O$11,4,FALSE)+(TRUNC(6+(24-6)*(TRUNC(MOD(($Z667*1103515245 +12345)/ 65536, 32768),0)/32768),0))</f>
        <v>14</v>
      </c>
      <c r="N667" s="16" t="e">
        <f t="shared" ca="1" si="36"/>
        <v>#NAME?</v>
      </c>
      <c r="O667" s="153">
        <f ca="1">VLOOKUP($AB$2,'RF Mod'!$A$2:$G$12,5,FALSE)+VLOOKUP($AD$2,'RF Mod'!$I$2:$O$11,5,FALSE)+(TRUNC(6+(24-6)*(TRUNC(MOD(($Z667*1103515245 +12345)/ 65536, 32768),0)/32768),0))</f>
        <v>17</v>
      </c>
      <c r="P667" s="16" t="e">
        <f t="shared" ca="1" si="37"/>
        <v>#NAME?</v>
      </c>
      <c r="Q667" s="153">
        <f ca="1">VLOOKUP($AB$2,'RF Mod'!$A$2:$G$12,6,FALSE)+VLOOKUP($AD$2,'RF Mod'!$I$2:$O$11,6,FALSE)+(TRUNC(6+(24-6)*(TRUNC(MOD(($Z667*1103515245 +12345)/ 65536, 32768),0)/32768),0))</f>
        <v>15</v>
      </c>
      <c r="R667" s="16" t="e">
        <f t="shared" ca="1" si="38"/>
        <v>#NAME?</v>
      </c>
      <c r="S667" s="154">
        <f t="shared" ca="1" si="43"/>
        <v>264</v>
      </c>
      <c r="T667" s="154">
        <f t="shared" ca="1" si="39"/>
        <v>118</v>
      </c>
      <c r="U667" s="16" t="str">
        <f t="shared" ca="1" si="40"/>
        <v>Fine</v>
      </c>
      <c r="V667" s="155">
        <f ca="1">IFERROR(__xludf.DUMMYFUNCTION("if(W667=""Middle Age"",QUERY(NPCVar!$K$2:$N1000, ""Select L where K = '""&amp;AB667&amp;""'""),if(W667=""Old"",QUERY(NPCVar!$K$2:$N1000, ""Select M where K = '""&amp;AB667&amp;""'""),if(W667=""Venerable"",QUERY(NPCVar!$K$2:$N1000, ""Select N where K = '""&amp;AB667&amp;""'""),fa"&amp;"lse)))*X667"),50)</f>
        <v>50</v>
      </c>
      <c r="W667" s="156" t="str">
        <f t="array" ref="W667">INDEX(NPCAgeType,TRUNC(1+(4-1)*(TRUNC(MOD((X667*1103515245 +12345)/ 65536, 32768),0)/32768),0))</f>
        <v>Middle Age</v>
      </c>
      <c r="X667" s="117">
        <f t="shared" si="45"/>
        <v>2</v>
      </c>
      <c r="Y667" s="157" t="e">
        <f t="array" aca="1" ref="Y667" ca="1">LOOKUP(ABS(MAX(Z667 + MIN(ABS(INDIRECT("Class Jobs!B"&amp;MATCH(E667,'Class Jobs'!$A$1:$A1000,0)&amp;":"&amp;"AF"&amp;MATCH(E667,'Class Jobs'!$A$1:$A1000,0)&amp;"")-$Z667)) * SUM(IF(MIN(ABS(INDIRECT("Class Jobs!B"&amp;MATCH(E667,'Class Jobs'!$A$1:$A1000,0)&amp;":"&amp;"AF"&amp;MATCH(E667,'Class Jobs'!$A$1:$A1000,0)&amp;"")-$Z667))=ABS(INDIRECT("Class Jobs!B"&amp;MATCH(E667,'Class Jobs'!$A$1:$A1000,0)&amp;":"&amp;"AF"&amp;MATCH(E667,'Class Jobs'!$A$1:$A1000,0)&amp;"")-$Z667),SIGN(INDIRECT("Class Jobs!B"&amp;MATCH(E667,'Class Jobs'!$A$1:A1000,0)&amp;":"&amp;"AF"&amp;MATCH(E667,'Class Jobs'!$A$1:$A1000,0)&amp;"")-$Z667),0)),0)),INDIRECT("Class Jobs!B"&amp;MATCH(E667,'Class Jobs'!$A$1:$A1000,0)&amp;":"&amp;"AF"&amp;MATCH(E667,'Class Jobs'!$A$1:$A1000,1)&amp;""),'Class Jobs'!$B$1:$AF$1)</f>
        <v>#REF!</v>
      </c>
      <c r="Z667" s="158">
        <f t="shared" si="41"/>
        <v>0.81</v>
      </c>
      <c r="AA667" s="16" t="str">
        <f t="array" ref="AA667">INDEX(NPCGender,TRUNC(1+(COUNTA(NPCGender))*(TRUNC(MOD(($B667*1103515245 +12345)/ 65536, 32768),0)/32768),0))</f>
        <v>Neutral</v>
      </c>
      <c r="AB667" s="16" t="str">
        <f t="array" ref="AB667">INDEX(NPCRace,TRUNC(1+(COUNTA(NPCRace))*(TRUNC(MOD(($B667*1103515245 +12345)/ 65536, 32768),0)/32768),0))</f>
        <v>Tiefling</v>
      </c>
      <c r="AC667" s="16" t="str">
        <f t="array" ref="AC667">INDEX(NPCAL,TRUNC(1+(COUNTA(NPCAL))*(TRUNC(MOD(($B667*1103515245 +12345)/ 65536, 32768),0)/32768),0))</f>
        <v>LN</v>
      </c>
      <c r="AD667" s="72" t="str">
        <f ca="1">IFERROR(__xludf.DUMMYFUNCTION("if(V667&lt;15,QUERY(NPCVar!C:D,""Select D WHERE C = '""&amp;D667&amp;""'""),if((TRUNC(1+10)*(TRUNC(MOD((ROW(H667)*1103515245 +12345)/ 65536, 32768),0)/32768)/10) &gt; 0.85,INDEX(NPCFaction,TRUNC(1+(counta(NPCFaction)-1)*(TRUNC(MOD(($B667*1103515245 +12345)/ 65536, 3276"&amp;"8),0)/32768),0)),QUERY(NPCVar!C:D,""Select D WHERE C = '""&amp;D667&amp;""'"")))"),"Adventures Guild")</f>
        <v>Adventures Guild</v>
      </c>
      <c r="AE667" s="108" t="e">
        <f t="shared" ca="1" si="42"/>
        <v>#NAME?</v>
      </c>
      <c r="AF667" s="159">
        <f ca="1">IFERROR(__xludf.DUMMYFUNCTION("AE667*(V667 / QUERY(NPCVar!$K$2:$N$12, ""Select N WHERE K='""&amp;AB667&amp;""'""))*TRUNC(1+10)*(TRUNC(MOD(($B667*1103515245 +12345)/ 65536, 32768),0)/32768)"),1.7926025390625)</f>
        <v>1.7926025390625</v>
      </c>
      <c r="AG667" s="16"/>
      <c r="AH667" s="77"/>
      <c r="AI667" s="114"/>
    </row>
    <row r="668" spans="1:35" ht="16.2">
      <c r="A668" s="53">
        <v>667</v>
      </c>
      <c r="B668" s="118">
        <f t="shared" si="47"/>
        <v>0.57984000000000002</v>
      </c>
      <c r="C668" s="72" t="str">
        <f t="array" ref="C668">INDEX(NPCFName,TRUNC(1+(COUNTA(NPCFName))*(TRUNC(MOD(($B668*1103515245 +12345)/ 65536, 32768),0)/32768),0))</f>
        <v>Vaccon</v>
      </c>
      <c r="D668" s="16" t="str">
        <f t="array" ref="D668">INDEX(NPCLName,TRUNC(1+(COUNTA(NPCLName))*(TRUNC(MOD(($B668*1103515245 +12345)/ 65536, 32768),0)/32768),0))</f>
        <v>Commonscream</v>
      </c>
      <c r="E668" s="16" t="str">
        <f t="array" ref="E668">INDEX(NPCClass,TRUNC(1+(COUNTA(NPCClass))*(TRUNC(MOD(($B668*1103515245 +12345)/ 65536, 32768),0)/32768),0))</f>
        <v>Monk</v>
      </c>
      <c r="F668" s="76">
        <v>1</v>
      </c>
      <c r="G668" s="153">
        <f ca="1">VLOOKUP($AB$2,'RF Mod'!$A$2:$G$12,2,FALSE)+VLOOKUP($AD$2,'RF Mod'!$I$2:$O$11,2,FALSE)+(TRUNC(6+(24-6)*(TRUNC(MOD(($Z668*1103515245 +12345)/ 65536, 32768),0)/32768),0))</f>
        <v>6</v>
      </c>
      <c r="H668" s="16">
        <f t="shared" ca="1" si="33"/>
        <v>-2</v>
      </c>
      <c r="I668" s="153">
        <f ca="1">VLOOKUP($AB$2,'RF Mod'!$A$2:$G$12,3,FALSE)+VLOOKUP($AD$2,'RF Mod'!$I$2:$O$11,3,FALSE)+(TRUNC(6+(24-6)*(TRUNC(MOD(($Z668*1103515245 +12345)/ 65536, 32768),0)/32768),0))</f>
        <v>10</v>
      </c>
      <c r="J668" s="16" t="e">
        <f t="shared" ca="1" si="34"/>
        <v>#NAME?</v>
      </c>
      <c r="K668" s="153">
        <f ca="1">VLOOKUP($AB$2,'RF Mod'!$A$2:$G$12,3,FALSE)+VLOOKUP($AD$2,'RF Mod'!$I$2:$O$11,3,FALSE)+(TRUNC(6+(24-6)*(TRUNC(MOD(($Z668*1103515245 +12345)/ 65536, 32768),0)/32768),0))</f>
        <v>10</v>
      </c>
      <c r="L668" s="16" t="e">
        <f t="shared" ca="1" si="35"/>
        <v>#NAME?</v>
      </c>
      <c r="M668" s="153">
        <f ca="1">VLOOKUP($AB$2,'RF Mod'!$A$2:$G$12,4,FALSE)+VLOOKUP($AD$2,'RF Mod'!$I$2:$O$11,4,FALSE)+(TRUNC(6+(24-6)*(TRUNC(MOD(($Z668*1103515245 +12345)/ 65536, 32768),0)/32768),0))</f>
        <v>9</v>
      </c>
      <c r="N668" s="16">
        <f t="shared" ca="1" si="36"/>
        <v>-1</v>
      </c>
      <c r="O668" s="153">
        <f ca="1">VLOOKUP($AB$2,'RF Mod'!$A$2:$G$12,5,FALSE)+VLOOKUP($AD$2,'RF Mod'!$I$2:$O$11,5,FALSE)+(TRUNC(6+(24-6)*(TRUNC(MOD(($Z668*1103515245 +12345)/ 65536, 32768),0)/32768),0))</f>
        <v>12</v>
      </c>
      <c r="P668" s="16" t="e">
        <f t="shared" ca="1" si="37"/>
        <v>#NAME?</v>
      </c>
      <c r="Q668" s="153">
        <f ca="1">VLOOKUP($AB$2,'RF Mod'!$A$2:$G$12,6,FALSE)+VLOOKUP($AD$2,'RF Mod'!$I$2:$O$11,6,FALSE)+(TRUNC(6+(24-6)*(TRUNC(MOD(($Z668*1103515245 +12345)/ 65536, 32768),0)/32768),0))</f>
        <v>10</v>
      </c>
      <c r="R668" s="16" t="e">
        <f t="shared" ca="1" si="38"/>
        <v>#NAME?</v>
      </c>
      <c r="S668" s="154">
        <f t="shared" ca="1" si="43"/>
        <v>16</v>
      </c>
      <c r="T668" s="154">
        <f t="shared" ca="1" si="39"/>
        <v>1</v>
      </c>
      <c r="U668" s="16" t="str">
        <f t="shared" ca="1" si="40"/>
        <v>Fine</v>
      </c>
      <c r="V668" s="155">
        <f ca="1">IFERROR(__xludf.DUMMYFUNCTION("if(W668=""Middle Age"",QUERY(NPCVar!$K$2:$N1000, ""Select L where K = '""&amp;AB668&amp;""'""),if(W668=""Old"",QUERY(NPCVar!$K$2:$N1000, ""Select M where K = '""&amp;AB668&amp;""'""),if(W668=""Venerable"",QUERY(NPCVar!$K$2:$N1000, ""Select N where K = '""&amp;AB668&amp;""'""),fa"&amp;"lse)))*X668"),135)</f>
        <v>135</v>
      </c>
      <c r="W668" s="156" t="str">
        <f t="array" ref="W668">INDEX(NPCAgeType,TRUNC(1+(4-1)*(TRUNC(MOD((X668*1103515245 +12345)/ 65536, 32768),0)/32768),0))</f>
        <v>Old</v>
      </c>
      <c r="X668" s="117">
        <f t="shared" si="45"/>
        <v>0.8</v>
      </c>
      <c r="Y668" s="157" t="e">
        <f t="array" aca="1" ref="Y668" ca="1">LOOKUP(ABS(MAX(Z668 + MIN(ABS(INDIRECT("Class Jobs!B"&amp;MATCH(E668,'Class Jobs'!$A$1:$A1000,0)&amp;":"&amp;"AF"&amp;MATCH(E668,'Class Jobs'!$A$1:$A1000,0)&amp;"")-$Z668)) * SUM(IF(MIN(ABS(INDIRECT("Class Jobs!B"&amp;MATCH(E668,'Class Jobs'!$A$1:$A1000,0)&amp;":"&amp;"AF"&amp;MATCH(E668,'Class Jobs'!$A$1:$A1000,0)&amp;"")-$Z668))=ABS(INDIRECT("Class Jobs!B"&amp;MATCH(E668,'Class Jobs'!$A$1:$A1000,0)&amp;":"&amp;"AF"&amp;MATCH(E668,'Class Jobs'!$A$1:$A1000,0)&amp;"")-$Z668),SIGN(INDIRECT("Class Jobs!B"&amp;MATCH(E668,'Class Jobs'!$A$1:A1000,0)&amp;":"&amp;"AF"&amp;MATCH(E668,'Class Jobs'!$A$1:$A1000,0)&amp;"")-$Z668),0)),0)),INDIRECT("Class Jobs!B"&amp;MATCH(E668,'Class Jobs'!$A$1:$A1000,0)&amp;":"&amp;"AF"&amp;MATCH(E668,'Class Jobs'!$A$1:$A1000,1)&amp;""),'Class Jobs'!$B$1:$AF$1)</f>
        <v>#REF!</v>
      </c>
      <c r="Z668" s="158">
        <f t="shared" si="41"/>
        <v>0.3</v>
      </c>
      <c r="AA668" s="16" t="str">
        <f t="array" ref="AA668">INDEX(NPCGender,TRUNC(1+(COUNTA(NPCGender))*(TRUNC(MOD(($B668*1103515245 +12345)/ 65536, 32768),0)/32768),0))</f>
        <v>Male</v>
      </c>
      <c r="AB668" s="16" t="str">
        <f t="array" ref="AB668">INDEX(NPCRace,TRUNC(1+(COUNTA(NPCRace))*(TRUNC(MOD(($B668*1103515245 +12345)/ 65536, 32768),0)/32768),0))</f>
        <v>Gnome</v>
      </c>
      <c r="AC668" s="16" t="str">
        <f t="array" ref="AC668">INDEX(NPCAL,TRUNC(1+(COUNTA(NPCAL))*(TRUNC(MOD(($B668*1103515245 +12345)/ 65536, 32768),0)/32768),0))</f>
        <v>CG</v>
      </c>
      <c r="AD668" s="72" t="str">
        <f ca="1">IFERROR(__xludf.DUMMYFUNCTION("if(V668&lt;15,QUERY(NPCVar!C:D,""Select D WHERE C = '""&amp;D668&amp;""'""),if((TRUNC(1+10)*(TRUNC(MOD((ROW(H668)*1103515245 +12345)/ 65536, 32768),0)/32768)/10) &gt; 0.85,INDEX(NPCFaction,TRUNC(1+(counta(NPCFaction)-1)*(TRUNC(MOD(($B668*1103515245 +12345)/ 65536, 3276"&amp;"8),0)/32768),0)),QUERY(NPCVar!C:D,""Select D WHERE C = '""&amp;D668&amp;""'"")))"),"Necromancer")</f>
        <v>Necromancer</v>
      </c>
      <c r="AE668" s="108" t="e">
        <f t="shared" ca="1" si="42"/>
        <v>#NAME?</v>
      </c>
      <c r="AF668" s="159">
        <f ca="1">IFERROR(__xludf.DUMMYFUNCTION("AE668*(V668 / QUERY(NPCVar!$K$2:$N$12, ""Select N WHERE K='""&amp;AB668&amp;""'""))*TRUNC(1+10)*(TRUNC(MOD(($B668*1103515245 +12345)/ 65536, 32768),0)/32768)"),0.491606140136718)</f>
        <v>0.491606140136718</v>
      </c>
      <c r="AG668" s="16"/>
      <c r="AH668" s="77"/>
      <c r="AI668" s="114"/>
    </row>
    <row r="669" spans="1:35" ht="16.2">
      <c r="A669" s="53">
        <v>668</v>
      </c>
      <c r="B669" s="118">
        <f t="shared" si="47"/>
        <v>2.0739700000000001</v>
      </c>
      <c r="C669" s="72" t="str">
        <f t="array" ref="C669">INDEX(NPCFName,TRUNC(1+(COUNTA(NPCFName))*(TRUNC(MOD(($B669*1103515245 +12345)/ 65536, 32768),0)/32768),0))</f>
        <v>Dalmarn</v>
      </c>
      <c r="D669" s="16" t="str">
        <f t="array" ref="D669">INDEX(NPCLName,TRUNC(1+(COUNTA(NPCLName))*(TRUNC(MOD(($B669*1103515245 +12345)/ 65536, 32768),0)/32768),0))</f>
        <v>Crystalgazer</v>
      </c>
      <c r="E669" s="16" t="str">
        <f t="array" ref="E669">INDEX(NPCClass,TRUNC(1+(COUNTA(NPCClass))*(TRUNC(MOD(($B669*1103515245 +12345)/ 65536, 32768),0)/32768),0))</f>
        <v>Barbarian</v>
      </c>
      <c r="F669" s="76">
        <v>1</v>
      </c>
      <c r="G669" s="153">
        <f ca="1">VLOOKUP($AB$2,'RF Mod'!$A$2:$G$12,2,FALSE)+VLOOKUP($AD$2,'RF Mod'!$I$2:$O$11,2,FALSE)+(TRUNC(6+(24-6)*(TRUNC(MOD(($Z669*1103515245 +12345)/ 65536, 32768),0)/32768),0))</f>
        <v>4</v>
      </c>
      <c r="H669" s="16">
        <f t="shared" ca="1" si="33"/>
        <v>-3</v>
      </c>
      <c r="I669" s="153">
        <f ca="1">VLOOKUP($AB$2,'RF Mod'!$A$2:$G$12,3,FALSE)+VLOOKUP($AD$2,'RF Mod'!$I$2:$O$11,3,FALSE)+(TRUNC(6+(24-6)*(TRUNC(MOD(($Z669*1103515245 +12345)/ 65536, 32768),0)/32768),0))</f>
        <v>8</v>
      </c>
      <c r="J669" s="16">
        <f t="shared" ca="1" si="34"/>
        <v>-1</v>
      </c>
      <c r="K669" s="153">
        <f ca="1">VLOOKUP($AB$2,'RF Mod'!$A$2:$G$12,3,FALSE)+VLOOKUP($AD$2,'RF Mod'!$I$2:$O$11,3,FALSE)+(TRUNC(6+(24-6)*(TRUNC(MOD(($Z669*1103515245 +12345)/ 65536, 32768),0)/32768),0))</f>
        <v>8</v>
      </c>
      <c r="L669" s="16">
        <f t="shared" ca="1" si="35"/>
        <v>-1</v>
      </c>
      <c r="M669" s="153">
        <f ca="1">VLOOKUP($AB$2,'RF Mod'!$A$2:$G$12,4,FALSE)+VLOOKUP($AD$2,'RF Mod'!$I$2:$O$11,4,FALSE)+(TRUNC(6+(24-6)*(TRUNC(MOD(($Z669*1103515245 +12345)/ 65536, 32768),0)/32768),0))</f>
        <v>7</v>
      </c>
      <c r="N669" s="16">
        <f t="shared" ca="1" si="36"/>
        <v>-2</v>
      </c>
      <c r="O669" s="153">
        <f ca="1">VLOOKUP($AB$2,'RF Mod'!$A$2:$G$12,5,FALSE)+VLOOKUP($AD$2,'RF Mod'!$I$2:$O$11,5,FALSE)+(TRUNC(6+(24-6)*(TRUNC(MOD(($Z669*1103515245 +12345)/ 65536, 32768),0)/32768),0))</f>
        <v>10</v>
      </c>
      <c r="P669" s="16" t="e">
        <f t="shared" ca="1" si="37"/>
        <v>#NAME?</v>
      </c>
      <c r="Q669" s="153">
        <f ca="1">VLOOKUP($AB$2,'RF Mod'!$A$2:$G$12,6,FALSE)+VLOOKUP($AD$2,'RF Mod'!$I$2:$O$11,6,FALSE)+(TRUNC(6+(24-6)*(TRUNC(MOD(($Z669*1103515245 +12345)/ 65536, 32768),0)/32768),0))</f>
        <v>8</v>
      </c>
      <c r="R669" s="16">
        <f t="shared" ca="1" si="38"/>
        <v>-1</v>
      </c>
      <c r="S669" s="154">
        <f t="shared" ca="1" si="43"/>
        <v>10</v>
      </c>
      <c r="T669" s="154">
        <f t="shared" ca="1" si="39"/>
        <v>1</v>
      </c>
      <c r="U669" s="16" t="str">
        <f t="shared" ca="1" si="40"/>
        <v>Fine</v>
      </c>
      <c r="V669" s="155">
        <f ca="1">IFERROR(__xludf.DUMMYFUNCTION("if(W669=""Middle Age"",QUERY(NPCVar!$K$2:$N1000, ""Select L where K = '""&amp;AB669&amp;""'""),if(W669=""Old"",QUERY(NPCVar!$K$2:$N1000, ""Select M where K = '""&amp;AB669&amp;""'""),if(W669=""Venerable"",QUERY(NPCVar!$K$2:$N1000, ""Select N where K = '""&amp;AB669&amp;""'""),fa"&amp;"lse)))*X669"),4)</f>
        <v>4</v>
      </c>
      <c r="W669" s="156" t="str">
        <f t="array" ref="W669">INDEX(NPCAgeType,TRUNC(1+(4-1)*(TRUNC(MOD((X669*1103515245 +12345)/ 65536, 32768),0)/32768),0))</f>
        <v>Middle Age</v>
      </c>
      <c r="X669" s="117">
        <f t="shared" si="45"/>
        <v>0.2</v>
      </c>
      <c r="Y669" s="157" t="e">
        <f t="array" aca="1" ref="Y669" ca="1">LOOKUP(ABS(MAX(Z669 + MIN(ABS(INDIRECT("Class Jobs!B"&amp;MATCH(E669,'Class Jobs'!$A$1:$A1000,0)&amp;":"&amp;"AF"&amp;MATCH(E669,'Class Jobs'!$A$1:$A1000,0)&amp;"")-$Z669)) * SUM(IF(MIN(ABS(INDIRECT("Class Jobs!B"&amp;MATCH(E669,'Class Jobs'!$A$1:$A1000,0)&amp;":"&amp;"AF"&amp;MATCH(E669,'Class Jobs'!$A$1:$A1000,0)&amp;"")-$Z669))=ABS(INDIRECT("Class Jobs!B"&amp;MATCH(E669,'Class Jobs'!$A$1:$A1000,0)&amp;":"&amp;"AF"&amp;MATCH(E669,'Class Jobs'!$A$1:$A1000,0)&amp;"")-$Z669),SIGN(INDIRECT("Class Jobs!B"&amp;MATCH(E669,'Class Jobs'!$A$1:A1000,0)&amp;":"&amp;"AF"&amp;MATCH(E669,'Class Jobs'!$A$1:$A1000,0)&amp;"")-$Z669),0)),0)),INDIRECT("Class Jobs!B"&amp;MATCH(E669,'Class Jobs'!$A$1:$A1000,0)&amp;":"&amp;"AF"&amp;MATCH(E669,'Class Jobs'!$A$1:$A1000,1)&amp;""),'Class Jobs'!$B$1:$AF$1)</f>
        <v>#REF!</v>
      </c>
      <c r="Z669" s="158">
        <f t="shared" si="41"/>
        <v>7.0000000000000007E-2</v>
      </c>
      <c r="AA669" s="16" t="str">
        <f t="array" ref="AA669">INDEX(NPCGender,TRUNC(1+(COUNTA(NPCGender))*(TRUNC(MOD(($B669*1103515245 +12345)/ 65536, 32768),0)/32768),0))</f>
        <v>Male</v>
      </c>
      <c r="AB669" s="16" t="str">
        <f t="array" ref="AB669">INDEX(NPCRace,TRUNC(1+(COUNTA(NPCRace))*(TRUNC(MOD(($B669*1103515245 +12345)/ 65536, 32768),0)/32768),0))</f>
        <v>Dragonborn</v>
      </c>
      <c r="AC669" s="16" t="str">
        <f t="array" ref="AC669">INDEX(NPCAL,TRUNC(1+(COUNTA(NPCAL))*(TRUNC(MOD(($B669*1103515245 +12345)/ 65536, 32768),0)/32768),0))</f>
        <v>CN</v>
      </c>
      <c r="AD669" s="72" t="str">
        <f ca="1">IFERROR(__xludf.DUMMYFUNCTION("if(V669&lt;15,QUERY(NPCVar!C:D,""Select D WHERE C = '""&amp;D669&amp;""'""),if((TRUNC(1+10)*(TRUNC(MOD((ROW(H669)*1103515245 +12345)/ 65536, 32768),0)/32768)/10) &gt; 0.85,INDEX(NPCFaction,TRUNC(1+(counta(NPCFaction)-1)*(TRUNC(MOD(($B669*1103515245 +12345)/ 65536, 3276"&amp;"8),0)/32768),0)),QUERY(NPCVar!C:D,""Select D WHERE C = '""&amp;D669&amp;""'"")))"),"Death Guild")</f>
        <v>Death Guild</v>
      </c>
      <c r="AE669" s="108" t="e">
        <f t="shared" ca="1" si="42"/>
        <v>#NAME?</v>
      </c>
      <c r="AF669" s="159">
        <f ca="1">IFERROR(__xludf.DUMMYFUNCTION("AE669*(V669 / QUERY(NPCVar!$K$2:$N$12, ""Select N WHERE K='""&amp;AB669&amp;""'""))*TRUNC(1+10)*(TRUNC(MOD(($B669*1103515245 +12345)/ 65536, 32768),0)/32768)"),0)</f>
        <v>0</v>
      </c>
      <c r="AG669" s="16"/>
      <c r="AH669" s="77"/>
      <c r="AI669" s="114"/>
    </row>
    <row r="670" spans="1:35" ht="16.2">
      <c r="A670" s="53">
        <v>669</v>
      </c>
      <c r="B670" s="118">
        <f t="shared" si="47"/>
        <v>1.0680400000000001</v>
      </c>
      <c r="C670" s="72" t="str">
        <f t="array" ref="C670">INDEX(NPCFName,TRUNC(1+(COUNTA(NPCFName))*(TRUNC(MOD(($B670*1103515245 +12345)/ 65536, 32768),0)/32768),0))</f>
        <v>Okar</v>
      </c>
      <c r="D670" s="16" t="str">
        <f t="array" ref="D670">INDEX(NPCLName,TRUNC(1+(COUNTA(NPCLName))*(TRUNC(MOD(($B670*1103515245 +12345)/ 65536, 32768),0)/32768),0))</f>
        <v>Plainspirit</v>
      </c>
      <c r="E670" s="16" t="str">
        <f t="array" ref="E670">INDEX(NPCClass,TRUNC(1+(COUNTA(NPCClass))*(TRUNC(MOD(($B670*1103515245 +12345)/ 65536, 32768),0)/32768),0))</f>
        <v>Sorcerer</v>
      </c>
      <c r="F670" s="76">
        <v>6</v>
      </c>
      <c r="G670" s="153">
        <f ca="1">VLOOKUP($AB$2,'RF Mod'!$A$2:$G$12,2,FALSE)+VLOOKUP($AD$2,'RF Mod'!$I$2:$O$11,2,FALSE)+(TRUNC(6+(24-6)*(TRUNC(MOD(($Z670*1103515245 +12345)/ 65536, 32768),0)/32768),0))</f>
        <v>9</v>
      </c>
      <c r="H670" s="16">
        <f t="shared" ca="1" si="33"/>
        <v>-1</v>
      </c>
      <c r="I670" s="153">
        <f ca="1">VLOOKUP($AB$2,'RF Mod'!$A$2:$G$12,3,FALSE)+VLOOKUP($AD$2,'RF Mod'!$I$2:$O$11,3,FALSE)+(TRUNC(6+(24-6)*(TRUNC(MOD(($Z670*1103515245 +12345)/ 65536, 32768),0)/32768),0))</f>
        <v>13</v>
      </c>
      <c r="J670" s="16" t="e">
        <f t="shared" ca="1" si="34"/>
        <v>#NAME?</v>
      </c>
      <c r="K670" s="153">
        <f ca="1">VLOOKUP($AB$2,'RF Mod'!$A$2:$G$12,3,FALSE)+VLOOKUP($AD$2,'RF Mod'!$I$2:$O$11,3,FALSE)+(TRUNC(6+(24-6)*(TRUNC(MOD(($Z670*1103515245 +12345)/ 65536, 32768),0)/32768),0))</f>
        <v>13</v>
      </c>
      <c r="L670" s="16" t="e">
        <f t="shared" ca="1" si="35"/>
        <v>#NAME?</v>
      </c>
      <c r="M670" s="153">
        <f ca="1">VLOOKUP($AB$2,'RF Mod'!$A$2:$G$12,4,FALSE)+VLOOKUP($AD$2,'RF Mod'!$I$2:$O$11,4,FALSE)+(TRUNC(6+(24-6)*(TRUNC(MOD(($Z670*1103515245 +12345)/ 65536, 32768),0)/32768),0))</f>
        <v>12</v>
      </c>
      <c r="N670" s="16" t="e">
        <f t="shared" ca="1" si="36"/>
        <v>#NAME?</v>
      </c>
      <c r="O670" s="153">
        <f ca="1">VLOOKUP($AB$2,'RF Mod'!$A$2:$G$12,5,FALSE)+VLOOKUP($AD$2,'RF Mod'!$I$2:$O$11,5,FALSE)+(TRUNC(6+(24-6)*(TRUNC(MOD(($Z670*1103515245 +12345)/ 65536, 32768),0)/32768),0))</f>
        <v>15</v>
      </c>
      <c r="P670" s="16" t="e">
        <f t="shared" ca="1" si="37"/>
        <v>#NAME?</v>
      </c>
      <c r="Q670" s="153">
        <f ca="1">VLOOKUP($AB$2,'RF Mod'!$A$2:$G$12,6,FALSE)+VLOOKUP($AD$2,'RF Mod'!$I$2:$O$11,6,FALSE)+(TRUNC(6+(24-6)*(TRUNC(MOD(($Z670*1103515245 +12345)/ 65536, 32768),0)/32768),0))</f>
        <v>13</v>
      </c>
      <c r="R670" s="16" t="e">
        <f t="shared" ca="1" si="38"/>
        <v>#NAME?</v>
      </c>
      <c r="S670" s="154">
        <f t="shared" ca="1" si="43"/>
        <v>138</v>
      </c>
      <c r="T670" s="154">
        <f t="shared" ca="1" si="39"/>
        <v>60</v>
      </c>
      <c r="U670" s="16" t="str">
        <f t="shared" ca="1" si="40"/>
        <v>Fine</v>
      </c>
      <c r="V670" s="155">
        <f ca="1">IFERROR(__xludf.DUMMYFUNCTION("if(W670=""Middle Age"",QUERY(NPCVar!$K$2:$N1000, ""Select L where K = '""&amp;AB670&amp;""'""),if(W670=""Old"",QUERY(NPCVar!$K$2:$N1000, ""Select M where K = '""&amp;AB670&amp;""'""),if(W670=""Venerable"",QUERY(NPCVar!$K$2:$N1000, ""Select N where K = '""&amp;AB670&amp;""'""),fa"&amp;"lse)))*X670"),280)</f>
        <v>280</v>
      </c>
      <c r="W670" s="156" t="str">
        <f t="array" ref="W670">INDEX(NPCAgeType,TRUNC(1+(4-1)*(TRUNC(MOD((X670*1103515245 +12345)/ 65536, 32768),0)/32768),0))</f>
        <v>Venerable</v>
      </c>
      <c r="X670" s="117">
        <f t="shared" si="45"/>
        <v>1.4</v>
      </c>
      <c r="Y670" s="157" t="e">
        <f t="array" aca="1" ref="Y670" ca="1">LOOKUP(ABS(MAX(Z670 + MIN(ABS(INDIRECT("Class Jobs!B"&amp;MATCH(E670,'Class Jobs'!$A$1:$A1000,0)&amp;":"&amp;"AF"&amp;MATCH(E670,'Class Jobs'!$A$1:$A1000,0)&amp;"")-$Z670)) * SUM(IF(MIN(ABS(INDIRECT("Class Jobs!B"&amp;MATCH(E670,'Class Jobs'!$A$1:$A1000,0)&amp;":"&amp;"AF"&amp;MATCH(E670,'Class Jobs'!$A$1:$A1000,0)&amp;"")-$Z670))=ABS(INDIRECT("Class Jobs!B"&amp;MATCH(E670,'Class Jobs'!$A$1:$A1000,0)&amp;":"&amp;"AF"&amp;MATCH(E670,'Class Jobs'!$A$1:$A1000,0)&amp;"")-$Z670),SIGN(INDIRECT("Class Jobs!B"&amp;MATCH(E670,'Class Jobs'!$A$1:A1000,0)&amp;":"&amp;"AF"&amp;MATCH(E670,'Class Jobs'!$A$1:$A1000,0)&amp;"")-$Z670),0)),0)),INDIRECT("Class Jobs!B"&amp;MATCH(E670,'Class Jobs'!$A$1:$A1000,0)&amp;":"&amp;"AF"&amp;MATCH(E670,'Class Jobs'!$A$1:$A1000,1)&amp;""),'Class Jobs'!$B$1:$AF$1)</f>
        <v>#REF!</v>
      </c>
      <c r="Z670" s="158">
        <f t="shared" si="41"/>
        <v>0.55000000000000004</v>
      </c>
      <c r="AA670" s="16" t="str">
        <f t="array" ref="AA670">INDEX(NPCGender,TRUNC(1+(COUNTA(NPCGender))*(TRUNC(MOD(($B670*1103515245 +12345)/ 65536, 32768),0)/32768),0))</f>
        <v>Female</v>
      </c>
      <c r="AB670" s="16" t="str">
        <f t="array" ref="AB670">INDEX(NPCRace,TRUNC(1+(COUNTA(NPCRace))*(TRUNC(MOD(($B670*1103515245 +12345)/ 65536, 32768),0)/32768),0))</f>
        <v>Halfling</v>
      </c>
      <c r="AC670" s="16" t="str">
        <f t="array" ref="AC670">INDEX(NPCAL,TRUNC(1+(COUNTA(NPCAL))*(TRUNC(MOD(($B670*1103515245 +12345)/ 65536, 32768),0)/32768),0))</f>
        <v>NN</v>
      </c>
      <c r="AD670" s="72" t="str">
        <f ca="1">IFERROR(__xludf.DUMMYFUNCTION("if(V670&lt;15,QUERY(NPCVar!C:D,""Select D WHERE C = '""&amp;D670&amp;""'""),if((TRUNC(1+10)*(TRUNC(MOD((ROW(H670)*1103515245 +12345)/ 65536, 32768),0)/32768)/10) &gt; 0.85,INDEX(NPCFaction,TRUNC(1+(counta(NPCFaction)-1)*(TRUNC(MOD(($B670*1103515245 +12345)/ 65536, 3276"&amp;"8),0)/32768),0)),QUERY(NPCVar!C:D,""Select D WHERE C = '""&amp;D670&amp;""'"")))"),"Traders Guild")</f>
        <v>Traders Guild</v>
      </c>
      <c r="AE670" s="108" t="e">
        <f t="shared" ca="1" si="42"/>
        <v>#NAME?</v>
      </c>
      <c r="AF670" s="159">
        <f ca="1">IFERROR(__xludf.DUMMYFUNCTION("AE670*(V670 / QUERY(NPCVar!$K$2:$N$12, ""Select N WHERE K='""&amp;AB670&amp;""'""))*TRUNC(1+10)*(TRUNC(MOD(($B670*1103515245 +12345)/ 65536, 32768),0)/32768)"),6.76156249999999)</f>
        <v>6.7615624999999904</v>
      </c>
      <c r="AG670" s="16"/>
      <c r="AH670" s="77"/>
      <c r="AI670" s="114"/>
    </row>
    <row r="671" spans="1:35" ht="16.2">
      <c r="A671" s="53">
        <v>670</v>
      </c>
      <c r="B671" s="118">
        <f t="shared" si="47"/>
        <v>6.2179999999999999E-2</v>
      </c>
      <c r="C671" s="72" t="str">
        <f t="array" ref="C671">INDEX(NPCFName,TRUNC(1+(COUNTA(NPCFName))*(TRUNC(MOD(($B671*1103515245 +12345)/ 65536, 32768),0)/32768),0))</f>
        <v>Bewul</v>
      </c>
      <c r="D671" s="16" t="str">
        <f t="array" ref="D671">INDEX(NPCLName,TRUNC(1+(COUNTA(NPCLName))*(TRUNC(MOD(($B671*1103515245 +12345)/ 65536, 32768),0)/32768),0))</f>
        <v>Stagfang</v>
      </c>
      <c r="E671" s="16" t="str">
        <f t="array" ref="E671">INDEX(NPCClass,TRUNC(1+(COUNTA(NPCClass))*(TRUNC(MOD(($B671*1103515245 +12345)/ 65536, 32768),0)/32768),0))</f>
        <v>Barbarian</v>
      </c>
      <c r="F671" s="76">
        <v>1</v>
      </c>
      <c r="G671" s="153">
        <f ca="1">VLOOKUP($AB$2,'RF Mod'!$A$2:$G$12,2,FALSE)+VLOOKUP($AD$2,'RF Mod'!$I$2:$O$11,2,FALSE)+(TRUNC(6+(24-6)*(TRUNC(MOD(($Z671*1103515245 +12345)/ 65536, 32768),0)/32768),0))</f>
        <v>4</v>
      </c>
      <c r="H671" s="16">
        <f t="shared" ca="1" si="33"/>
        <v>-3</v>
      </c>
      <c r="I671" s="153">
        <f ca="1">VLOOKUP($AB$2,'RF Mod'!$A$2:$G$12,3,FALSE)+VLOOKUP($AD$2,'RF Mod'!$I$2:$O$11,3,FALSE)+(TRUNC(6+(24-6)*(TRUNC(MOD(($Z671*1103515245 +12345)/ 65536, 32768),0)/32768),0))</f>
        <v>8</v>
      </c>
      <c r="J671" s="16">
        <f t="shared" ca="1" si="34"/>
        <v>-1</v>
      </c>
      <c r="K671" s="153">
        <f ca="1">VLOOKUP($AB$2,'RF Mod'!$A$2:$G$12,3,FALSE)+VLOOKUP($AD$2,'RF Mod'!$I$2:$O$11,3,FALSE)+(TRUNC(6+(24-6)*(TRUNC(MOD(($Z671*1103515245 +12345)/ 65536, 32768),0)/32768),0))</f>
        <v>8</v>
      </c>
      <c r="L671" s="16">
        <f t="shared" ca="1" si="35"/>
        <v>-1</v>
      </c>
      <c r="M671" s="153">
        <f ca="1">VLOOKUP($AB$2,'RF Mod'!$A$2:$G$12,4,FALSE)+VLOOKUP($AD$2,'RF Mod'!$I$2:$O$11,4,FALSE)+(TRUNC(6+(24-6)*(TRUNC(MOD(($Z671*1103515245 +12345)/ 65536, 32768),0)/32768),0))</f>
        <v>7</v>
      </c>
      <c r="N671" s="16">
        <f t="shared" ca="1" si="36"/>
        <v>-2</v>
      </c>
      <c r="O671" s="153">
        <f ca="1">VLOOKUP($AB$2,'RF Mod'!$A$2:$G$12,5,FALSE)+VLOOKUP($AD$2,'RF Mod'!$I$2:$O$11,5,FALSE)+(TRUNC(6+(24-6)*(TRUNC(MOD(($Z671*1103515245 +12345)/ 65536, 32768),0)/32768),0))</f>
        <v>10</v>
      </c>
      <c r="P671" s="16" t="e">
        <f t="shared" ca="1" si="37"/>
        <v>#NAME?</v>
      </c>
      <c r="Q671" s="153">
        <f ca="1">VLOOKUP($AB$2,'RF Mod'!$A$2:$G$12,6,FALSE)+VLOOKUP($AD$2,'RF Mod'!$I$2:$O$11,6,FALSE)+(TRUNC(6+(24-6)*(TRUNC(MOD(($Z671*1103515245 +12345)/ 65536, 32768),0)/32768),0))</f>
        <v>8</v>
      </c>
      <c r="R671" s="16">
        <f t="shared" ca="1" si="38"/>
        <v>-1</v>
      </c>
      <c r="S671" s="154">
        <f t="shared" ca="1" si="43"/>
        <v>10</v>
      </c>
      <c r="T671" s="154">
        <f t="shared" ca="1" si="39"/>
        <v>8</v>
      </c>
      <c r="U671" s="16" t="str">
        <f t="shared" ca="1" si="40"/>
        <v>Bloody</v>
      </c>
      <c r="V671" s="155">
        <f ca="1">IFERROR(__xludf.DUMMYFUNCTION("if(W671=""Middle Age"",QUERY(NPCVar!$K$2:$N1000, ""Select L where K = '""&amp;AB671&amp;""'""),if(W671=""Old"",QUERY(NPCVar!$K$2:$N1000, ""Select M where K = '""&amp;AB671&amp;""'""),if(W671=""Venerable"",QUERY(NPCVar!$K$2:$N1000, ""Select N where K = '""&amp;AB671&amp;""'""),fa"&amp;"lse)))*X671"),2)</f>
        <v>2</v>
      </c>
      <c r="W671" s="156" t="str">
        <f t="array" ref="W671">INDEX(NPCAgeType,TRUNC(1+(4-1)*(TRUNC(MOD((X671*1103515245 +12345)/ 65536, 32768),0)/32768),0))</f>
        <v>Middle Age</v>
      </c>
      <c r="X671" s="117">
        <f t="shared" si="45"/>
        <v>0.1</v>
      </c>
      <c r="Y671" s="157" t="e">
        <f t="array" aca="1" ref="Y671" ca="1">LOOKUP(ABS(MAX(Z671 + MIN(ABS(INDIRECT("Class Jobs!B"&amp;MATCH(E671,'Class Jobs'!$A$1:$A1000,0)&amp;":"&amp;"AF"&amp;MATCH(E671,'Class Jobs'!$A$1:$A1000,0)&amp;"")-$Z671)) * SUM(IF(MIN(ABS(INDIRECT("Class Jobs!B"&amp;MATCH(E671,'Class Jobs'!$A$1:$A1000,0)&amp;":"&amp;"AF"&amp;MATCH(E671,'Class Jobs'!$A$1:$A1000,0)&amp;"")-$Z671))=ABS(INDIRECT("Class Jobs!B"&amp;MATCH(E671,'Class Jobs'!$A$1:$A1000,0)&amp;":"&amp;"AF"&amp;MATCH(E671,'Class Jobs'!$A$1:$A1000,0)&amp;"")-$Z671),SIGN(INDIRECT("Class Jobs!B"&amp;MATCH(E671,'Class Jobs'!$A$1:A1000,0)&amp;":"&amp;"AF"&amp;MATCH(E671,'Class Jobs'!$A$1:$A1000,0)&amp;"")-$Z671),0)),0)),INDIRECT("Class Jobs!B"&amp;MATCH(E671,'Class Jobs'!$A$1:$A1000,0)&amp;":"&amp;"AF"&amp;MATCH(E671,'Class Jobs'!$A$1:$A1000,1)&amp;""),'Class Jobs'!$B$1:$AF$1)</f>
        <v>#REF!</v>
      </c>
      <c r="Z671" s="158">
        <f t="shared" si="41"/>
        <v>0.04</v>
      </c>
      <c r="AA671" s="16" t="str">
        <f t="array" ref="AA671">INDEX(NPCGender,TRUNC(1+(COUNTA(NPCGender))*(TRUNC(MOD(($B671*1103515245 +12345)/ 65536, 32768),0)/32768),0))</f>
        <v>Male</v>
      </c>
      <c r="AB671" s="16" t="str">
        <f t="array" ref="AB671">INDEX(NPCRace,TRUNC(1+(COUNTA(NPCRace))*(TRUNC(MOD(($B671*1103515245 +12345)/ 65536, 32768),0)/32768),0))</f>
        <v>Dragonborn</v>
      </c>
      <c r="AC671" s="16" t="str">
        <f t="array" ref="AC671">INDEX(NPCAL,TRUNC(1+(COUNTA(NPCAL))*(TRUNC(MOD(($B671*1103515245 +12345)/ 65536, 32768),0)/32768),0))</f>
        <v>CN</v>
      </c>
      <c r="AD671" s="72" t="str">
        <f ca="1">IFERROR(__xludf.DUMMYFUNCTION("if(V671&lt;15,QUERY(NPCVar!C:D,""Select D WHERE C = '""&amp;D671&amp;""'""),if((TRUNC(1+10)*(TRUNC(MOD((ROW(H671)*1103515245 +12345)/ 65536, 32768),0)/32768)/10) &gt; 0.85,INDEX(NPCFaction,TRUNC(1+(counta(NPCFaction)-1)*(TRUNC(MOD(($B671*1103515245 +12345)/ 65536, 3276"&amp;"8),0)/32768),0)),QUERY(NPCVar!C:D,""Select D WHERE C = '""&amp;D671&amp;""'"")))"),"Royalty")</f>
        <v>Royalty</v>
      </c>
      <c r="AE671" s="108" t="e">
        <f t="shared" ca="1" si="42"/>
        <v>#NAME?</v>
      </c>
      <c r="AF671" s="159">
        <f ca="1">IFERROR(__xludf.DUMMYFUNCTION("AE671*(V671 / QUERY(NPCVar!$K$2:$N$12, ""Select N WHERE K='""&amp;AB671&amp;""'""))*TRUNC(1+10)*(TRUNC(MOD(($B671*1103515245 +12345)/ 65536, 32768),0)/32768)"),0)</f>
        <v>0</v>
      </c>
      <c r="AG671" s="16"/>
      <c r="AH671" s="77"/>
      <c r="AI671" s="114"/>
    </row>
    <row r="672" spans="1:35" ht="16.2">
      <c r="A672" s="53">
        <v>671</v>
      </c>
      <c r="B672" s="118">
        <f t="shared" si="47"/>
        <v>1.5563199999999999</v>
      </c>
      <c r="C672" s="72" t="str">
        <f t="array" ref="C672">INDEX(NPCFName,TRUNC(1+(COUNTA(NPCFName))*(TRUNC(MOD(($B672*1103515245 +12345)/ 65536, 32768),0)/32768),0))</f>
        <v>Hezak</v>
      </c>
      <c r="D672" s="16" t="str">
        <f t="array" ref="D672">INDEX(NPCLName,TRUNC(1+(COUNTA(NPCLName))*(TRUNC(MOD(($B672*1103515245 +12345)/ 65536, 32768),0)/32768),0))</f>
        <v>Truthdoom</v>
      </c>
      <c r="E672" s="16" t="str">
        <f t="array" ref="E672">INDEX(NPCClass,TRUNC(1+(COUNTA(NPCClass))*(TRUNC(MOD(($B672*1103515245 +12345)/ 65536, 32768),0)/32768),0))</f>
        <v>Cleric</v>
      </c>
      <c r="F672" s="76">
        <v>8</v>
      </c>
      <c r="G672" s="153">
        <f ca="1">VLOOKUP($AB$2,'RF Mod'!$A$2:$G$12,2,FALSE)+VLOOKUP($AD$2,'RF Mod'!$I$2:$O$11,2,FALSE)+(TRUNC(6+(24-6)*(TRUNC(MOD(($Z672*1103515245 +12345)/ 65536, 32768),0)/32768),0))</f>
        <v>11</v>
      </c>
      <c r="H672" s="16" t="e">
        <f t="shared" ca="1" si="33"/>
        <v>#NAME?</v>
      </c>
      <c r="I672" s="153">
        <f ca="1">VLOOKUP($AB$2,'RF Mod'!$A$2:$G$12,3,FALSE)+VLOOKUP($AD$2,'RF Mod'!$I$2:$O$11,3,FALSE)+(TRUNC(6+(24-6)*(TRUNC(MOD(($Z672*1103515245 +12345)/ 65536, 32768),0)/32768),0))</f>
        <v>15</v>
      </c>
      <c r="J672" s="16" t="e">
        <f t="shared" ca="1" si="34"/>
        <v>#NAME?</v>
      </c>
      <c r="K672" s="153">
        <f ca="1">VLOOKUP($AB$2,'RF Mod'!$A$2:$G$12,3,FALSE)+VLOOKUP($AD$2,'RF Mod'!$I$2:$O$11,3,FALSE)+(TRUNC(6+(24-6)*(TRUNC(MOD(($Z672*1103515245 +12345)/ 65536, 32768),0)/32768),0))</f>
        <v>15</v>
      </c>
      <c r="L672" s="16" t="e">
        <f t="shared" ca="1" si="35"/>
        <v>#NAME?</v>
      </c>
      <c r="M672" s="153">
        <f ca="1">VLOOKUP($AB$2,'RF Mod'!$A$2:$G$12,4,FALSE)+VLOOKUP($AD$2,'RF Mod'!$I$2:$O$11,4,FALSE)+(TRUNC(6+(24-6)*(TRUNC(MOD(($Z672*1103515245 +12345)/ 65536, 32768),0)/32768),0))</f>
        <v>14</v>
      </c>
      <c r="N672" s="16" t="e">
        <f t="shared" ca="1" si="36"/>
        <v>#NAME?</v>
      </c>
      <c r="O672" s="153">
        <f ca="1">VLOOKUP($AB$2,'RF Mod'!$A$2:$G$12,5,FALSE)+VLOOKUP($AD$2,'RF Mod'!$I$2:$O$11,5,FALSE)+(TRUNC(6+(24-6)*(TRUNC(MOD(($Z672*1103515245 +12345)/ 65536, 32768),0)/32768),0))</f>
        <v>17</v>
      </c>
      <c r="P672" s="16" t="e">
        <f t="shared" ca="1" si="37"/>
        <v>#NAME?</v>
      </c>
      <c r="Q672" s="153">
        <f ca="1">VLOOKUP($AB$2,'RF Mod'!$A$2:$G$12,6,FALSE)+VLOOKUP($AD$2,'RF Mod'!$I$2:$O$11,6,FALSE)+(TRUNC(6+(24-6)*(TRUNC(MOD(($Z672*1103515245 +12345)/ 65536, 32768),0)/32768),0))</f>
        <v>15</v>
      </c>
      <c r="R672" s="16" t="e">
        <f t="shared" ca="1" si="38"/>
        <v>#NAME?</v>
      </c>
      <c r="S672" s="154">
        <f t="shared" ca="1" si="43"/>
        <v>136</v>
      </c>
      <c r="T672" s="154">
        <f t="shared" ca="1" si="39"/>
        <v>153</v>
      </c>
      <c r="U672" s="16" t="str">
        <f t="shared" ca="1" si="40"/>
        <v>Dead</v>
      </c>
      <c r="V672" s="155">
        <f ca="1">IFERROR(__xludf.DUMMYFUNCTION("if(W672=""Middle Age"",QUERY(NPCVar!$K$2:$N1000, ""Select L where K = '""&amp;AB672&amp;""'""),if(W672=""Old"",QUERY(NPCVar!$K$2:$N1000, ""Select M where K = '""&amp;AB672&amp;""'""),if(W672=""Venerable"",QUERY(NPCVar!$K$2:$N1000, ""Select N where K = '""&amp;AB672&amp;""'""),fa"&amp;"lse)))*X672"),50)</f>
        <v>50</v>
      </c>
      <c r="W672" s="156" t="str">
        <f t="array" ref="W672">INDEX(NPCAgeType,TRUNC(1+(4-1)*(TRUNC(MOD((X672*1103515245 +12345)/ 65536, 32768),0)/32768),0))</f>
        <v>Middle Age</v>
      </c>
      <c r="X672" s="117">
        <f t="shared" si="45"/>
        <v>2</v>
      </c>
      <c r="Y672" s="157" t="e">
        <f t="array" aca="1" ref="Y672" ca="1">LOOKUP(ABS(MAX(Z672 + MIN(ABS(INDIRECT("Class Jobs!B"&amp;MATCH(E672,'Class Jobs'!$A$1:$A1000,0)&amp;":"&amp;"AF"&amp;MATCH(E672,'Class Jobs'!$A$1:$A1000,0)&amp;"")-$Z672)) * SUM(IF(MIN(ABS(INDIRECT("Class Jobs!B"&amp;MATCH(E672,'Class Jobs'!$A$1:$A1000,0)&amp;":"&amp;"AF"&amp;MATCH(E672,'Class Jobs'!$A$1:$A1000,0)&amp;"")-$Z672))=ABS(INDIRECT("Class Jobs!B"&amp;MATCH(E672,'Class Jobs'!$A$1:$A1000,0)&amp;":"&amp;"AF"&amp;MATCH(E672,'Class Jobs'!$A$1:$A1000,0)&amp;"")-$Z672),SIGN(INDIRECT("Class Jobs!B"&amp;MATCH(E672,'Class Jobs'!$A$1:A1000,0)&amp;":"&amp;"AF"&amp;MATCH(E672,'Class Jobs'!$A$1:$A1000,0)&amp;"")-$Z672),0)),0)),INDIRECT("Class Jobs!B"&amp;MATCH(E672,'Class Jobs'!$A$1:$A1000,0)&amp;":"&amp;"AF"&amp;MATCH(E672,'Class Jobs'!$A$1:$A1000,1)&amp;""),'Class Jobs'!$B$1:$AF$1)</f>
        <v>#REF!</v>
      </c>
      <c r="Z672" s="158">
        <f t="shared" si="41"/>
        <v>0.8</v>
      </c>
      <c r="AA672" s="16" t="str">
        <f t="array" ref="AA672">INDEX(NPCGender,TRUNC(1+(COUNTA(NPCGender))*(TRUNC(MOD(($B672*1103515245 +12345)/ 65536, 32768),0)/32768),0))</f>
        <v>Neutral</v>
      </c>
      <c r="AB672" s="16" t="str">
        <f t="array" ref="AB672">INDEX(NPCRace,TRUNC(1+(COUNTA(NPCRace))*(TRUNC(MOD(($B672*1103515245 +12345)/ 65536, 32768),0)/32768),0))</f>
        <v>Tiefling</v>
      </c>
      <c r="AC672" s="16" t="str">
        <f t="array" ref="AC672">INDEX(NPCAL,TRUNC(1+(COUNTA(NPCAL))*(TRUNC(MOD(($B672*1103515245 +12345)/ 65536, 32768),0)/32768),0))</f>
        <v>LN</v>
      </c>
      <c r="AD672" s="72" t="str">
        <f ca="1">IFERROR(__xludf.DUMMYFUNCTION("if(V672&lt;15,QUERY(NPCVar!C:D,""Select D WHERE C = '""&amp;D672&amp;""'""),if((TRUNC(1+10)*(TRUNC(MOD((ROW(H672)*1103515245 +12345)/ 65536, 32768),0)/32768)/10) &gt; 0.85,INDEX(NPCFaction,TRUNC(1+(counta(NPCFaction)-1)*(TRUNC(MOD(($B672*1103515245 +12345)/ 65536, 3276"&amp;"8),0)/32768),0)),QUERY(NPCVar!C:D,""Select D WHERE C = '""&amp;D672&amp;""'"")))"),"Traverlers Guild")</f>
        <v>Traverlers Guild</v>
      </c>
      <c r="AE672" s="108" t="e">
        <f t="shared" ca="1" si="42"/>
        <v>#NAME?</v>
      </c>
      <c r="AF672" s="159">
        <f ca="1">IFERROR(__xludf.DUMMYFUNCTION("AE672*(V672 / QUERY(NPCVar!$K$2:$N$12, ""Select N WHERE K='""&amp;AB672&amp;""'""))*TRUNC(1+10)*(TRUNC(MOD(($B672*1103515245 +12345)/ 65536, 32768),0)/32768)"),3.95858001708984)</f>
        <v>3.9585800170898402</v>
      </c>
      <c r="AG672" s="16"/>
      <c r="AH672" s="77"/>
      <c r="AI672" s="114"/>
    </row>
    <row r="673" spans="1:35" ht="16.2">
      <c r="A673" s="53">
        <v>672</v>
      </c>
      <c r="B673" s="118">
        <f t="shared" si="47"/>
        <v>0.55045999999999995</v>
      </c>
      <c r="C673" s="72" t="str">
        <f t="array" ref="C673">INDEX(NPCFName,TRUNC(1+(COUNTA(NPCFName))*(TRUNC(MOD(($B673*1103515245 +12345)/ 65536, 32768),0)/32768),0))</f>
        <v>Thiltran</v>
      </c>
      <c r="D673" s="16" t="str">
        <f t="array" ref="D673">INDEX(NPCLName,TRUNC(1+(COUNTA(NPCLName))*(TRUNC(MOD(($B673*1103515245 +12345)/ 65536, 32768),0)/32768),0))</f>
        <v>Commonscream</v>
      </c>
      <c r="E673" s="16" t="str">
        <f t="array" ref="E673">INDEX(NPCClass,TRUNC(1+(COUNTA(NPCClass))*(TRUNC(MOD(($B673*1103515245 +12345)/ 65536, 32768),0)/32768),0))</f>
        <v>Monk</v>
      </c>
      <c r="F673" s="76">
        <v>1</v>
      </c>
      <c r="G673" s="153">
        <f ca="1">VLOOKUP($AB$2,'RF Mod'!$A$2:$G$12,2,FALSE)+VLOOKUP($AD$2,'RF Mod'!$I$2:$O$11,2,FALSE)+(TRUNC(6+(24-6)*(TRUNC(MOD(($Z673*1103515245 +12345)/ 65536, 32768),0)/32768),0))</f>
        <v>6</v>
      </c>
      <c r="H673" s="16">
        <f t="shared" ca="1" si="33"/>
        <v>-2</v>
      </c>
      <c r="I673" s="153">
        <f ca="1">VLOOKUP($AB$2,'RF Mod'!$A$2:$G$12,3,FALSE)+VLOOKUP($AD$2,'RF Mod'!$I$2:$O$11,3,FALSE)+(TRUNC(6+(24-6)*(TRUNC(MOD(($Z673*1103515245 +12345)/ 65536, 32768),0)/32768),0))</f>
        <v>10</v>
      </c>
      <c r="J673" s="16" t="e">
        <f t="shared" ca="1" si="34"/>
        <v>#NAME?</v>
      </c>
      <c r="K673" s="153">
        <f ca="1">VLOOKUP($AB$2,'RF Mod'!$A$2:$G$12,3,FALSE)+VLOOKUP($AD$2,'RF Mod'!$I$2:$O$11,3,FALSE)+(TRUNC(6+(24-6)*(TRUNC(MOD(($Z673*1103515245 +12345)/ 65536, 32768),0)/32768),0))</f>
        <v>10</v>
      </c>
      <c r="L673" s="16" t="e">
        <f t="shared" ca="1" si="35"/>
        <v>#NAME?</v>
      </c>
      <c r="M673" s="153">
        <f ca="1">VLOOKUP($AB$2,'RF Mod'!$A$2:$G$12,4,FALSE)+VLOOKUP($AD$2,'RF Mod'!$I$2:$O$11,4,FALSE)+(TRUNC(6+(24-6)*(TRUNC(MOD(($Z673*1103515245 +12345)/ 65536, 32768),0)/32768),0))</f>
        <v>9</v>
      </c>
      <c r="N673" s="16">
        <f t="shared" ca="1" si="36"/>
        <v>-1</v>
      </c>
      <c r="O673" s="153">
        <f ca="1">VLOOKUP($AB$2,'RF Mod'!$A$2:$G$12,5,FALSE)+VLOOKUP($AD$2,'RF Mod'!$I$2:$O$11,5,FALSE)+(TRUNC(6+(24-6)*(TRUNC(MOD(($Z673*1103515245 +12345)/ 65536, 32768),0)/32768),0))</f>
        <v>12</v>
      </c>
      <c r="P673" s="16" t="e">
        <f t="shared" ca="1" si="37"/>
        <v>#NAME?</v>
      </c>
      <c r="Q673" s="153">
        <f ca="1">VLOOKUP($AB$2,'RF Mod'!$A$2:$G$12,6,FALSE)+VLOOKUP($AD$2,'RF Mod'!$I$2:$O$11,6,FALSE)+(TRUNC(6+(24-6)*(TRUNC(MOD(($Z673*1103515245 +12345)/ 65536, 32768),0)/32768),0))</f>
        <v>10</v>
      </c>
      <c r="R673" s="16" t="e">
        <f t="shared" ca="1" si="38"/>
        <v>#NAME?</v>
      </c>
      <c r="S673" s="154">
        <f t="shared" ca="1" si="43"/>
        <v>12</v>
      </c>
      <c r="T673" s="154">
        <f t="shared" ca="1" si="39"/>
        <v>4</v>
      </c>
      <c r="U673" s="16" t="str">
        <f t="shared" ca="1" si="40"/>
        <v>Fine</v>
      </c>
      <c r="V673" s="155">
        <f ca="1">IFERROR(__xludf.DUMMYFUNCTION("if(W673=""Middle Age"",QUERY(NPCVar!$K$2:$N1000, ""Select L where K = '""&amp;AB673&amp;""'""),if(W673=""Old"",QUERY(NPCVar!$K$2:$N1000, ""Select M where K = '""&amp;AB673&amp;""'""),if(W673=""Venerable"",QUERY(NPCVar!$K$2:$N1000, ""Select N where K = '""&amp;AB673&amp;""'""),fa"&amp;"lse)))*X673"),118.124999999999)</f>
        <v>118.12499999999901</v>
      </c>
      <c r="W673" s="156" t="str">
        <f t="array" ref="W673">INDEX(NPCAgeType,TRUNC(1+(4-1)*(TRUNC(MOD((X673*1103515245 +12345)/ 65536, 32768),0)/32768),0))</f>
        <v>Old</v>
      </c>
      <c r="X673" s="117">
        <f t="shared" si="45"/>
        <v>0.7</v>
      </c>
      <c r="Y673" s="157" t="e">
        <f t="array" aca="1" ref="Y673" ca="1">LOOKUP(ABS(MAX(Z673 + MIN(ABS(INDIRECT("Class Jobs!B"&amp;MATCH(E673,'Class Jobs'!$A$1:$A1000,0)&amp;":"&amp;"AF"&amp;MATCH(E673,'Class Jobs'!$A$1:$A1000,0)&amp;"")-$Z673)) * SUM(IF(MIN(ABS(INDIRECT("Class Jobs!B"&amp;MATCH(E673,'Class Jobs'!$A$1:$A1000,0)&amp;":"&amp;"AF"&amp;MATCH(E673,'Class Jobs'!$A$1:$A1000,0)&amp;"")-$Z673))=ABS(INDIRECT("Class Jobs!B"&amp;MATCH(E673,'Class Jobs'!$A$1:$A1000,0)&amp;":"&amp;"AF"&amp;MATCH(E673,'Class Jobs'!$A$1:$A1000,0)&amp;"")-$Z673),SIGN(INDIRECT("Class Jobs!B"&amp;MATCH(E673,'Class Jobs'!$A$1:A1000,0)&amp;":"&amp;"AF"&amp;MATCH(E673,'Class Jobs'!$A$1:$A1000,0)&amp;"")-$Z673),0)),0)),INDIRECT("Class Jobs!B"&amp;MATCH(E673,'Class Jobs'!$A$1:$A1000,0)&amp;":"&amp;"AF"&amp;MATCH(E673,'Class Jobs'!$A$1:$A1000,1)&amp;""),'Class Jobs'!$B$1:$AF$1)</f>
        <v>#REF!</v>
      </c>
      <c r="Z673" s="158">
        <f t="shared" si="41"/>
        <v>0.28999999999999998</v>
      </c>
      <c r="AA673" s="16" t="str">
        <f t="array" ref="AA673">INDEX(NPCGender,TRUNC(1+(COUNTA(NPCGender))*(TRUNC(MOD(($B673*1103515245 +12345)/ 65536, 32768),0)/32768),0))</f>
        <v>Male</v>
      </c>
      <c r="AB673" s="16" t="str">
        <f t="array" ref="AB673">INDEX(NPCRace,TRUNC(1+(COUNTA(NPCRace))*(TRUNC(MOD(($B673*1103515245 +12345)/ 65536, 32768),0)/32768),0))</f>
        <v>Gnome</v>
      </c>
      <c r="AC673" s="16" t="str">
        <f t="array" ref="AC673">INDEX(NPCAL,TRUNC(1+(COUNTA(NPCAL))*(TRUNC(MOD(($B673*1103515245 +12345)/ 65536, 32768),0)/32768),0))</f>
        <v>CG</v>
      </c>
      <c r="AD673" s="72" t="str">
        <f ca="1">IFERROR(__xludf.DUMMYFUNCTION("if(V673&lt;15,QUERY(NPCVar!C:D,""Select D WHERE C = '""&amp;D673&amp;""'""),if((TRUNC(1+10)*(TRUNC(MOD((ROW(H673)*1103515245 +12345)/ 65536, 32768),0)/32768)/10) &gt; 0.85,INDEX(NPCFaction,TRUNC(1+(counta(NPCFaction)-1)*(TRUNC(MOD(($B673*1103515245 +12345)/ 65536, 3276"&amp;"8),0)/32768),0)),QUERY(NPCVar!C:D,""Select D WHERE C = '""&amp;D673&amp;""'"")))"),"Traders Guild")</f>
        <v>Traders Guild</v>
      </c>
      <c r="AE673" s="108" t="e">
        <f t="shared" ca="1" si="42"/>
        <v>#NAME?</v>
      </c>
      <c r="AF673" s="159">
        <f ca="1">IFERROR(__xludf.DUMMYFUNCTION("AE673*(V673 / QUERY(NPCVar!$K$2:$N$12, ""Select N WHERE K='""&amp;AB673&amp;""'""))*TRUNC(1+10)*(TRUNC(MOD(($B673*1103515245 +12345)/ 65536, 32768),0)/32768)"),0.0816779708862304)</f>
        <v>8.1677970886230397E-2</v>
      </c>
      <c r="AG673" s="16"/>
      <c r="AH673" s="77"/>
      <c r="AI673" s="114"/>
    </row>
    <row r="674" spans="1:35" ht="16.2">
      <c r="A674" s="53">
        <v>673</v>
      </c>
      <c r="B674" s="118">
        <f t="shared" si="47"/>
        <v>2.0446</v>
      </c>
      <c r="C674" s="72" t="str">
        <f t="array" ref="C674">INDEX(NPCFName,TRUNC(1+(COUNTA(NPCFName))*(TRUNC(MOD(($B674*1103515245 +12345)/ 65536, 32768),0)/32768),0))</f>
        <v>Cerdern</v>
      </c>
      <c r="D674" s="16" t="str">
        <f t="array" ref="D674">INDEX(NPCLName,TRUNC(1+(COUNTA(NPCLName))*(TRUNC(MOD(($B674*1103515245 +12345)/ 65536, 32768),0)/32768),0))</f>
        <v>Crystalgazer</v>
      </c>
      <c r="E674" s="16" t="str">
        <f t="array" ref="E674">INDEX(NPCClass,TRUNC(1+(COUNTA(NPCClass))*(TRUNC(MOD(($B674*1103515245 +12345)/ 65536, 32768),0)/32768),0))</f>
        <v>Barbarian</v>
      </c>
      <c r="F674" s="76">
        <v>1</v>
      </c>
      <c r="G674" s="153">
        <f ca="1">VLOOKUP($AB$2,'RF Mod'!$A$2:$G$12,2,FALSE)+VLOOKUP($AD$2,'RF Mod'!$I$2:$O$11,2,FALSE)+(TRUNC(6+(24-6)*(TRUNC(MOD(($Z674*1103515245 +12345)/ 65536, 32768),0)/32768),0))</f>
        <v>4</v>
      </c>
      <c r="H674" s="16">
        <f t="shared" ca="1" si="33"/>
        <v>-3</v>
      </c>
      <c r="I674" s="153">
        <f ca="1">VLOOKUP($AB$2,'RF Mod'!$A$2:$G$12,3,FALSE)+VLOOKUP($AD$2,'RF Mod'!$I$2:$O$11,3,FALSE)+(TRUNC(6+(24-6)*(TRUNC(MOD(($Z674*1103515245 +12345)/ 65536, 32768),0)/32768),0))</f>
        <v>8</v>
      </c>
      <c r="J674" s="16">
        <f t="shared" ca="1" si="34"/>
        <v>-1</v>
      </c>
      <c r="K674" s="153">
        <f ca="1">VLOOKUP($AB$2,'RF Mod'!$A$2:$G$12,3,FALSE)+VLOOKUP($AD$2,'RF Mod'!$I$2:$O$11,3,FALSE)+(TRUNC(6+(24-6)*(TRUNC(MOD(($Z674*1103515245 +12345)/ 65536, 32768),0)/32768),0))</f>
        <v>8</v>
      </c>
      <c r="L674" s="16">
        <f t="shared" ca="1" si="35"/>
        <v>-1</v>
      </c>
      <c r="M674" s="153">
        <f ca="1">VLOOKUP($AB$2,'RF Mod'!$A$2:$G$12,4,FALSE)+VLOOKUP($AD$2,'RF Mod'!$I$2:$O$11,4,FALSE)+(TRUNC(6+(24-6)*(TRUNC(MOD(($Z674*1103515245 +12345)/ 65536, 32768),0)/32768),0))</f>
        <v>7</v>
      </c>
      <c r="N674" s="16">
        <f t="shared" ca="1" si="36"/>
        <v>-2</v>
      </c>
      <c r="O674" s="153">
        <f ca="1">VLOOKUP($AB$2,'RF Mod'!$A$2:$G$12,5,FALSE)+VLOOKUP($AD$2,'RF Mod'!$I$2:$O$11,5,FALSE)+(TRUNC(6+(24-6)*(TRUNC(MOD(($Z674*1103515245 +12345)/ 65536, 32768),0)/32768),0))</f>
        <v>10</v>
      </c>
      <c r="P674" s="16" t="e">
        <f t="shared" ca="1" si="37"/>
        <v>#NAME?</v>
      </c>
      <c r="Q674" s="153">
        <f ca="1">VLOOKUP($AB$2,'RF Mod'!$A$2:$G$12,6,FALSE)+VLOOKUP($AD$2,'RF Mod'!$I$2:$O$11,6,FALSE)+(TRUNC(6+(24-6)*(TRUNC(MOD(($Z674*1103515245 +12345)/ 65536, 32768),0)/32768),0))</f>
        <v>8</v>
      </c>
      <c r="R674" s="16">
        <f t="shared" ca="1" si="38"/>
        <v>-1</v>
      </c>
      <c r="S674" s="154">
        <f t="shared" ca="1" si="43"/>
        <v>10</v>
      </c>
      <c r="T674" s="154">
        <f t="shared" ca="1" si="39"/>
        <v>1</v>
      </c>
      <c r="U674" s="16" t="str">
        <f t="shared" ca="1" si="40"/>
        <v>Fine</v>
      </c>
      <c r="V674" s="155">
        <f ca="1">IFERROR(__xludf.DUMMYFUNCTION("if(W674=""Middle Age"",QUERY(NPCVar!$K$2:$N1000, ""Select L where K = '""&amp;AB674&amp;""'""),if(W674=""Old"",QUERY(NPCVar!$K$2:$N1000, ""Select M where K = '""&amp;AB674&amp;""'""),if(W674=""Venerable"",QUERY(NPCVar!$K$2:$N1000, ""Select N where K = '""&amp;AB674&amp;""'""),fa"&amp;"lse)))*X674"),4)</f>
        <v>4</v>
      </c>
      <c r="W674" s="156" t="str">
        <f t="array" ref="W674">INDEX(NPCAgeType,TRUNC(1+(4-1)*(TRUNC(MOD((X674*1103515245 +12345)/ 65536, 32768),0)/32768),0))</f>
        <v>Middle Age</v>
      </c>
      <c r="X674" s="117">
        <f t="shared" si="45"/>
        <v>0.2</v>
      </c>
      <c r="Y674" s="157" t="e">
        <f t="array" aca="1" ref="Y674" ca="1">LOOKUP(ABS(MAX(Z674 + MIN(ABS(INDIRECT("Class Jobs!B"&amp;MATCH(E674,'Class Jobs'!$A$1:$A1000,0)&amp;":"&amp;"AF"&amp;MATCH(E674,'Class Jobs'!$A$1:$A1000,0)&amp;"")-$Z674)) * SUM(IF(MIN(ABS(INDIRECT("Class Jobs!B"&amp;MATCH(E674,'Class Jobs'!$A$1:$A1000,0)&amp;":"&amp;"AF"&amp;MATCH(E674,'Class Jobs'!$A$1:$A1000,0)&amp;"")-$Z674))=ABS(INDIRECT("Class Jobs!B"&amp;MATCH(E674,'Class Jobs'!$A$1:$A1000,0)&amp;":"&amp;"AF"&amp;MATCH(E674,'Class Jobs'!$A$1:$A1000,0)&amp;"")-$Z674),SIGN(INDIRECT("Class Jobs!B"&amp;MATCH(E674,'Class Jobs'!$A$1:A1000,0)&amp;":"&amp;"AF"&amp;MATCH(E674,'Class Jobs'!$A$1:$A1000,0)&amp;"")-$Z674),0)),0)),INDIRECT("Class Jobs!B"&amp;MATCH(E674,'Class Jobs'!$A$1:$A1000,0)&amp;":"&amp;"AF"&amp;MATCH(E674,'Class Jobs'!$A$1:$A1000,1)&amp;""),'Class Jobs'!$B$1:$AF$1)</f>
        <v>#REF!</v>
      </c>
      <c r="Z674" s="158">
        <f t="shared" si="41"/>
        <v>0.06</v>
      </c>
      <c r="AA674" s="16" t="str">
        <f t="array" ref="AA674">INDEX(NPCGender,TRUNC(1+(COUNTA(NPCGender))*(TRUNC(MOD(($B674*1103515245 +12345)/ 65536, 32768),0)/32768),0))</f>
        <v>Male</v>
      </c>
      <c r="AB674" s="16" t="str">
        <f t="array" ref="AB674">INDEX(NPCRace,TRUNC(1+(COUNTA(NPCRace))*(TRUNC(MOD(($B674*1103515245 +12345)/ 65536, 32768),0)/32768),0))</f>
        <v>Dragonborn</v>
      </c>
      <c r="AC674" s="16" t="str">
        <f t="array" ref="AC674">INDEX(NPCAL,TRUNC(1+(COUNTA(NPCAL))*(TRUNC(MOD(($B674*1103515245 +12345)/ 65536, 32768),0)/32768),0))</f>
        <v>CN</v>
      </c>
      <c r="AD674" s="72" t="str">
        <f ca="1">IFERROR(__xludf.DUMMYFUNCTION("if(V674&lt;15,QUERY(NPCVar!C:D,""Select D WHERE C = '""&amp;D674&amp;""'""),if((TRUNC(1+10)*(TRUNC(MOD((ROW(H674)*1103515245 +12345)/ 65536, 32768),0)/32768)/10) &gt; 0.85,INDEX(NPCFaction,TRUNC(1+(counta(NPCFaction)-1)*(TRUNC(MOD(($B674*1103515245 +12345)/ 65536, 3276"&amp;"8),0)/32768),0)),QUERY(NPCVar!C:D,""Select D WHERE C = '""&amp;D674&amp;""'"")))"),"Death Guild")</f>
        <v>Death Guild</v>
      </c>
      <c r="AE674" s="108" t="e">
        <f t="shared" ca="1" si="42"/>
        <v>#NAME?</v>
      </c>
      <c r="AF674" s="159">
        <f ca="1">IFERROR(__xludf.DUMMYFUNCTION("AE674*(V674 / QUERY(NPCVar!$K$2:$N$12, ""Select N WHERE K='""&amp;AB674&amp;""'""))*TRUNC(1+10)*(TRUNC(MOD(($B674*1103515245 +12345)/ 65536, 32768),0)/32768)"),0.0139228820800781)</f>
        <v>1.39228820800781E-2</v>
      </c>
      <c r="AG674" s="16"/>
      <c r="AH674" s="77"/>
      <c r="AI674" s="114"/>
    </row>
    <row r="675" spans="1:35" ht="16.2">
      <c r="A675" s="53">
        <v>674</v>
      </c>
      <c r="B675" s="118">
        <f t="shared" si="47"/>
        <v>1.03874</v>
      </c>
      <c r="C675" s="72" t="str">
        <f t="array" ref="C675">INDEX(NPCFName,TRUNC(1+(COUNTA(NPCFName))*(TRUNC(MOD(($B675*1103515245 +12345)/ 65536, 32768),0)/32768),0))</f>
        <v>Mythil</v>
      </c>
      <c r="D675" s="16" t="str">
        <f t="array" ref="D675">INDEX(NPCLName,TRUNC(1+(COUNTA(NPCLName))*(TRUNC(MOD(($B675*1103515245 +12345)/ 65536, 32768),0)/32768),0))</f>
        <v>Plainspirit</v>
      </c>
      <c r="E675" s="16" t="str">
        <f t="array" ref="E675">INDEX(NPCClass,TRUNC(1+(COUNTA(NPCClass))*(TRUNC(MOD(($B675*1103515245 +12345)/ 65536, 32768),0)/32768),0))</f>
        <v>Sorcerer</v>
      </c>
      <c r="F675" s="76">
        <v>8</v>
      </c>
      <c r="G675" s="153">
        <f ca="1">VLOOKUP($AB$2,'RF Mod'!$A$2:$G$12,2,FALSE)+VLOOKUP($AD$2,'RF Mod'!$I$2:$O$11,2,FALSE)+(TRUNC(6+(24-6)*(TRUNC(MOD(($Z675*1103515245 +12345)/ 65536, 32768),0)/32768),0))</f>
        <v>8</v>
      </c>
      <c r="H675" s="16">
        <f t="shared" ca="1" si="33"/>
        <v>-1</v>
      </c>
      <c r="I675" s="153">
        <f ca="1">VLOOKUP($AB$2,'RF Mod'!$A$2:$G$12,3,FALSE)+VLOOKUP($AD$2,'RF Mod'!$I$2:$O$11,3,FALSE)+(TRUNC(6+(24-6)*(TRUNC(MOD(($Z675*1103515245 +12345)/ 65536, 32768),0)/32768),0))</f>
        <v>12</v>
      </c>
      <c r="J675" s="16" t="e">
        <f t="shared" ca="1" si="34"/>
        <v>#NAME?</v>
      </c>
      <c r="K675" s="153">
        <f ca="1">VLOOKUP($AB$2,'RF Mod'!$A$2:$G$12,3,FALSE)+VLOOKUP($AD$2,'RF Mod'!$I$2:$O$11,3,FALSE)+(TRUNC(6+(24-6)*(TRUNC(MOD(($Z675*1103515245 +12345)/ 65536, 32768),0)/32768),0))</f>
        <v>12</v>
      </c>
      <c r="L675" s="16" t="e">
        <f t="shared" ca="1" si="35"/>
        <v>#NAME?</v>
      </c>
      <c r="M675" s="153">
        <f ca="1">VLOOKUP($AB$2,'RF Mod'!$A$2:$G$12,4,FALSE)+VLOOKUP($AD$2,'RF Mod'!$I$2:$O$11,4,FALSE)+(TRUNC(6+(24-6)*(TRUNC(MOD(($Z675*1103515245 +12345)/ 65536, 32768),0)/32768),0))</f>
        <v>11</v>
      </c>
      <c r="N675" s="16" t="e">
        <f t="shared" ca="1" si="36"/>
        <v>#NAME?</v>
      </c>
      <c r="O675" s="153">
        <f ca="1">VLOOKUP($AB$2,'RF Mod'!$A$2:$G$12,5,FALSE)+VLOOKUP($AD$2,'RF Mod'!$I$2:$O$11,5,FALSE)+(TRUNC(6+(24-6)*(TRUNC(MOD(($Z675*1103515245 +12345)/ 65536, 32768),0)/32768),0))</f>
        <v>14</v>
      </c>
      <c r="P675" s="16" t="e">
        <f t="shared" ca="1" si="37"/>
        <v>#NAME?</v>
      </c>
      <c r="Q675" s="153">
        <f ca="1">VLOOKUP($AB$2,'RF Mod'!$A$2:$G$12,6,FALSE)+VLOOKUP($AD$2,'RF Mod'!$I$2:$O$11,6,FALSE)+(TRUNC(6+(24-6)*(TRUNC(MOD(($Z675*1103515245 +12345)/ 65536, 32768),0)/32768),0))</f>
        <v>12</v>
      </c>
      <c r="R675" s="16" t="e">
        <f t="shared" ca="1" si="38"/>
        <v>#NAME?</v>
      </c>
      <c r="S675" s="154">
        <f t="shared" ca="1" si="43"/>
        <v>240</v>
      </c>
      <c r="T675" s="154">
        <f t="shared" ca="1" si="39"/>
        <v>43</v>
      </c>
      <c r="U675" s="16" t="str">
        <f t="shared" ca="1" si="40"/>
        <v>Fine</v>
      </c>
      <c r="V675" s="155">
        <f ca="1">IFERROR(__xludf.DUMMYFUNCTION("if(W675=""Middle Age"",QUERY(NPCVar!$K$2:$N1000, ""Select L where K = '""&amp;AB675&amp;""'""),if(W675=""Old"",QUERY(NPCVar!$K$2:$N1000, ""Select M where K = '""&amp;AB675&amp;""'""),if(W675=""Venerable"",QUERY(NPCVar!$K$2:$N1000, ""Select N where K = '""&amp;AB675&amp;""'""),fa"&amp;"lse)))*X675"),91)</f>
        <v>91</v>
      </c>
      <c r="W675" s="156" t="str">
        <f t="array" ref="W675">INDEX(NPCAgeType,TRUNC(1+(4-1)*(TRUNC(MOD((X675*1103515245 +12345)/ 65536, 32768),0)/32768),0))</f>
        <v>Venerable</v>
      </c>
      <c r="X675" s="117">
        <f t="shared" si="45"/>
        <v>1.3</v>
      </c>
      <c r="Y675" s="157" t="e">
        <f t="array" aca="1" ref="Y675" ca="1">LOOKUP(ABS(MAX(Z675 + MIN(ABS(INDIRECT("Class Jobs!B"&amp;MATCH(E675,'Class Jobs'!$A$1:$A1000,0)&amp;":"&amp;"AF"&amp;MATCH(E675,'Class Jobs'!$A$1:$A1000,0)&amp;"")-$Z675)) * SUM(IF(MIN(ABS(INDIRECT("Class Jobs!B"&amp;MATCH(E675,'Class Jobs'!$A$1:$A1000,0)&amp;":"&amp;"AF"&amp;MATCH(E675,'Class Jobs'!$A$1:$A1000,0)&amp;"")-$Z675))=ABS(INDIRECT("Class Jobs!B"&amp;MATCH(E675,'Class Jobs'!$A$1:$A1000,0)&amp;":"&amp;"AF"&amp;MATCH(E675,'Class Jobs'!$A$1:$A1000,0)&amp;"")-$Z675),SIGN(INDIRECT("Class Jobs!B"&amp;MATCH(E675,'Class Jobs'!$A$1:A1000,0)&amp;":"&amp;"AF"&amp;MATCH(E675,'Class Jobs'!$A$1:$A1000,0)&amp;"")-$Z675),0)),0)),INDIRECT("Class Jobs!B"&amp;MATCH(E675,'Class Jobs'!$A$1:$A1000,0)&amp;":"&amp;"AF"&amp;MATCH(E675,'Class Jobs'!$A$1:$A1000,1)&amp;""),'Class Jobs'!$B$1:$AF$1)</f>
        <v>#REF!</v>
      </c>
      <c r="Z675" s="158">
        <f t="shared" si="41"/>
        <v>0.53</v>
      </c>
      <c r="AA675" s="16" t="str">
        <f t="array" ref="AA675">INDEX(NPCGender,TRUNC(1+(COUNTA(NPCGender))*(TRUNC(MOD(($B675*1103515245 +12345)/ 65536, 32768),0)/32768),0))</f>
        <v>Female</v>
      </c>
      <c r="AB675" s="16" t="str">
        <f t="array" ref="AB675">INDEX(NPCRace,TRUNC(1+(COUNTA(NPCRace))*(TRUNC(MOD(($B675*1103515245 +12345)/ 65536, 32768),0)/32768),0))</f>
        <v>Half-Orc</v>
      </c>
      <c r="AC675" s="16" t="str">
        <f t="array" ref="AC675">INDEX(NPCAL,TRUNC(1+(COUNTA(NPCAL))*(TRUNC(MOD(($B675*1103515245 +12345)/ 65536, 32768),0)/32768),0))</f>
        <v>NN</v>
      </c>
      <c r="AD675" s="72" t="str">
        <f ca="1">IFERROR(__xludf.DUMMYFUNCTION("if(V675&lt;15,QUERY(NPCVar!C:D,""Select D WHERE C = '""&amp;D675&amp;""'""),if((TRUNC(1+10)*(TRUNC(MOD((ROW(H675)*1103515245 +12345)/ 65536, 32768),0)/32768)/10) &gt; 0.85,INDEX(NPCFaction,TRUNC(1+(counta(NPCFaction)-1)*(TRUNC(MOD(($B675*1103515245 +12345)/ 65536, 3276"&amp;"8),0)/32768),0)),QUERY(NPCVar!C:D,""Select D WHERE C = '""&amp;D675&amp;""'"")))"),"Thieves Guild")</f>
        <v>Thieves Guild</v>
      </c>
      <c r="AE675" s="108" t="e">
        <f t="shared" ca="1" si="42"/>
        <v>#NAME?</v>
      </c>
      <c r="AF675" s="159">
        <f ca="1">IFERROR(__xludf.DUMMYFUNCTION("AE675*(V675 / QUERY(NPCVar!$K$2:$N$12, ""Select N WHERE K='""&amp;AB675&amp;""'""))*TRUNC(1+10)*(TRUNC(MOD(($B675*1103515245 +12345)/ 65536, 32768),0)/32768)"),3.81632995605468)</f>
        <v>3.81632995605468</v>
      </c>
      <c r="AG675" s="16"/>
      <c r="AH675" s="77"/>
      <c r="AI675" s="114"/>
    </row>
    <row r="676" spans="1:35" ht="16.2">
      <c r="A676" s="53">
        <v>675</v>
      </c>
      <c r="B676" s="118">
        <f t="shared" si="47"/>
        <v>3.2890000000000003E-2</v>
      </c>
      <c r="C676" s="72" t="str">
        <f t="array" ref="C676">INDEX(NPCFName,TRUNC(1+(COUNTA(NPCFName))*(TRUNC(MOD(($B676*1103515245 +12345)/ 65536, 32768),0)/32768),0))</f>
        <v>Asen</v>
      </c>
      <c r="D676" s="16" t="str">
        <f t="array" ref="D676">INDEX(NPCLName,TRUNC(1+(COUNTA(NPCLName))*(TRUNC(MOD(($B676*1103515245 +12345)/ 65536, 32768),0)/32768),0))</f>
        <v>Stagfang</v>
      </c>
      <c r="E676" s="16" t="str">
        <f t="array" ref="E676">INDEX(NPCClass,TRUNC(1+(COUNTA(NPCClass))*(TRUNC(MOD(($B676*1103515245 +12345)/ 65536, 32768),0)/32768),0))</f>
        <v>Barbarian</v>
      </c>
      <c r="F676" s="76">
        <v>1</v>
      </c>
      <c r="G676" s="153">
        <f ca="1">VLOOKUP($AB$2,'RF Mod'!$A$2:$G$12,2,FALSE)+VLOOKUP($AD$2,'RF Mod'!$I$2:$O$11,2,FALSE)+(TRUNC(6+(24-6)*(TRUNC(MOD(($Z676*1103515245 +12345)/ 65536, 32768),0)/32768),0))</f>
        <v>4</v>
      </c>
      <c r="H676" s="16">
        <f t="shared" ca="1" si="33"/>
        <v>-3</v>
      </c>
      <c r="I676" s="153">
        <f ca="1">VLOOKUP($AB$2,'RF Mod'!$A$2:$G$12,3,FALSE)+VLOOKUP($AD$2,'RF Mod'!$I$2:$O$11,3,FALSE)+(TRUNC(6+(24-6)*(TRUNC(MOD(($Z676*1103515245 +12345)/ 65536, 32768),0)/32768),0))</f>
        <v>8</v>
      </c>
      <c r="J676" s="16">
        <f t="shared" ca="1" si="34"/>
        <v>-1</v>
      </c>
      <c r="K676" s="153">
        <f ca="1">VLOOKUP($AB$2,'RF Mod'!$A$2:$G$12,3,FALSE)+VLOOKUP($AD$2,'RF Mod'!$I$2:$O$11,3,FALSE)+(TRUNC(6+(24-6)*(TRUNC(MOD(($Z676*1103515245 +12345)/ 65536, 32768),0)/32768),0))</f>
        <v>8</v>
      </c>
      <c r="L676" s="16">
        <f t="shared" ca="1" si="35"/>
        <v>-1</v>
      </c>
      <c r="M676" s="153">
        <f ca="1">VLOOKUP($AB$2,'RF Mod'!$A$2:$G$12,4,FALSE)+VLOOKUP($AD$2,'RF Mod'!$I$2:$O$11,4,FALSE)+(TRUNC(6+(24-6)*(TRUNC(MOD(($Z676*1103515245 +12345)/ 65536, 32768),0)/32768),0))</f>
        <v>7</v>
      </c>
      <c r="N676" s="16">
        <f t="shared" ca="1" si="36"/>
        <v>-2</v>
      </c>
      <c r="O676" s="153">
        <f ca="1">VLOOKUP($AB$2,'RF Mod'!$A$2:$G$12,5,FALSE)+VLOOKUP($AD$2,'RF Mod'!$I$2:$O$11,5,FALSE)+(TRUNC(6+(24-6)*(TRUNC(MOD(($Z676*1103515245 +12345)/ 65536, 32768),0)/32768),0))</f>
        <v>10</v>
      </c>
      <c r="P676" s="16" t="e">
        <f t="shared" ca="1" si="37"/>
        <v>#NAME?</v>
      </c>
      <c r="Q676" s="153">
        <f ca="1">VLOOKUP($AB$2,'RF Mod'!$A$2:$G$12,6,FALSE)+VLOOKUP($AD$2,'RF Mod'!$I$2:$O$11,6,FALSE)+(TRUNC(6+(24-6)*(TRUNC(MOD(($Z676*1103515245 +12345)/ 65536, 32768),0)/32768),0))</f>
        <v>8</v>
      </c>
      <c r="R676" s="16">
        <f t="shared" ca="1" si="38"/>
        <v>-1</v>
      </c>
      <c r="S676" s="154">
        <f t="shared" ca="1" si="43"/>
        <v>10</v>
      </c>
      <c r="T676" s="154">
        <f t="shared" ca="1" si="39"/>
        <v>10</v>
      </c>
      <c r="U676" s="16" t="str">
        <f t="shared" ca="1" si="40"/>
        <v>Unconscious</v>
      </c>
      <c r="V676" s="155">
        <f ca="1">IFERROR(__xludf.DUMMYFUNCTION("if(W676=""Middle Age"",QUERY(NPCVar!$K$2:$N1000, ""Select L where K = '""&amp;AB676&amp;""'""),if(W676=""Old"",QUERY(NPCVar!$K$2:$N1000, ""Select M where K = '""&amp;AB676&amp;""'""),if(W676=""Venerable"",QUERY(NPCVar!$K$2:$N1000, ""Select N where K = '""&amp;AB676&amp;""'""),fa"&amp;"lse)))*X676"),2)</f>
        <v>2</v>
      </c>
      <c r="W676" s="156" t="str">
        <f t="array" ref="W676">INDEX(NPCAgeType,TRUNC(1+(4-1)*(TRUNC(MOD((X676*1103515245 +12345)/ 65536, 32768),0)/32768),0))</f>
        <v>Middle Age</v>
      </c>
      <c r="X676" s="117">
        <f t="shared" si="45"/>
        <v>0.1</v>
      </c>
      <c r="Y676" s="157" t="e">
        <f t="array" aca="1" ref="Y676" ca="1">LOOKUP(ABS(MAX(Z676 + MIN(ABS(INDIRECT("Class Jobs!B"&amp;MATCH(E676,'Class Jobs'!$A$1:$A1000,0)&amp;":"&amp;"AF"&amp;MATCH(E676,'Class Jobs'!$A$1:$A1000,0)&amp;"")-$Z676)) * SUM(IF(MIN(ABS(INDIRECT("Class Jobs!B"&amp;MATCH(E676,'Class Jobs'!$A$1:$A1000,0)&amp;":"&amp;"AF"&amp;MATCH(E676,'Class Jobs'!$A$1:$A1000,0)&amp;"")-$Z676))=ABS(INDIRECT("Class Jobs!B"&amp;MATCH(E676,'Class Jobs'!$A$1:$A1000,0)&amp;":"&amp;"AF"&amp;MATCH(E676,'Class Jobs'!$A$1:$A1000,0)&amp;"")-$Z676),SIGN(INDIRECT("Class Jobs!B"&amp;MATCH(E676,'Class Jobs'!$A$1:A1000,0)&amp;":"&amp;"AF"&amp;MATCH(E676,'Class Jobs'!$A$1:$A1000,0)&amp;"")-$Z676),0)),0)),INDIRECT("Class Jobs!B"&amp;MATCH(E676,'Class Jobs'!$A$1:$A1000,0)&amp;":"&amp;"AF"&amp;MATCH(E676,'Class Jobs'!$A$1:$A1000,1)&amp;""),'Class Jobs'!$B$1:$AF$1)</f>
        <v>#REF!</v>
      </c>
      <c r="Z676" s="158">
        <f t="shared" si="41"/>
        <v>0.02</v>
      </c>
      <c r="AA676" s="16" t="str">
        <f t="array" ref="AA676">INDEX(NPCGender,TRUNC(1+(COUNTA(NPCGender))*(TRUNC(MOD(($B676*1103515245 +12345)/ 65536, 32768),0)/32768),0))</f>
        <v>Male</v>
      </c>
      <c r="AB676" s="16" t="str">
        <f t="array" ref="AB676">INDEX(NPCRace,TRUNC(1+(COUNTA(NPCRace))*(TRUNC(MOD(($B676*1103515245 +12345)/ 65536, 32768),0)/32768),0))</f>
        <v>Dragonborn</v>
      </c>
      <c r="AC676" s="16" t="str">
        <f t="array" ref="AC676">INDEX(NPCAL,TRUNC(1+(COUNTA(NPCAL))*(TRUNC(MOD(($B676*1103515245 +12345)/ 65536, 32768),0)/32768),0))</f>
        <v>CN</v>
      </c>
      <c r="AD676" s="72" t="str">
        <f ca="1">IFERROR(__xludf.DUMMYFUNCTION("if(V676&lt;15,QUERY(NPCVar!C:D,""Select D WHERE C = '""&amp;D676&amp;""'""),if((TRUNC(1+10)*(TRUNC(MOD((ROW(H676)*1103515245 +12345)/ 65536, 32768),0)/32768)/10) &gt; 0.85,INDEX(NPCFaction,TRUNC(1+(counta(NPCFaction)-1)*(TRUNC(MOD(($B676*1103515245 +12345)/ 65536, 3276"&amp;"8),0)/32768),0)),QUERY(NPCVar!C:D,""Select D WHERE C = '""&amp;D676&amp;""'"")))"),"Royalty")</f>
        <v>Royalty</v>
      </c>
      <c r="AE676" s="108" t="e">
        <f t="shared" ca="1" si="42"/>
        <v>#NAME?</v>
      </c>
      <c r="AF676" s="159">
        <f ca="1">IFERROR(__xludf.DUMMYFUNCTION("AE676*(V676 / QUERY(NPCVar!$K$2:$N$12, ""Select N WHERE K='""&amp;AB676&amp;""'""))*TRUNC(1+10)*(TRUNC(MOD(($B676*1103515245 +12345)/ 65536, 32768),0)/32768)"),0.00232467651367187)</f>
        <v>2.3246765136718701E-3</v>
      </c>
      <c r="AG676" s="16"/>
      <c r="AH676" s="77"/>
      <c r="AI676" s="114"/>
    </row>
    <row r="677" spans="1:35" ht="16.2">
      <c r="A677" s="53">
        <v>676</v>
      </c>
      <c r="B677" s="118">
        <f t="shared" si="47"/>
        <v>1.52702</v>
      </c>
      <c r="C677" s="72" t="str">
        <f t="array" ref="C677">INDEX(NPCFName,TRUNC(1+(COUNTA(NPCFName))*(TRUNC(MOD(($B677*1103515245 +12345)/ 65536, 32768),0)/32768),0))</f>
        <v>Gemedes</v>
      </c>
      <c r="D677" s="16" t="str">
        <f t="array" ref="D677">INDEX(NPCLName,TRUNC(1+(COUNTA(NPCLName))*(TRUNC(MOD(($B677*1103515245 +12345)/ 65536, 32768),0)/32768),0))</f>
        <v>Truthdoom</v>
      </c>
      <c r="E677" s="16" t="str">
        <f t="array" ref="E677">INDEX(NPCClass,TRUNC(1+(COUNTA(NPCClass))*(TRUNC(MOD(($B677*1103515245 +12345)/ 65536, 32768),0)/32768),0))</f>
        <v>Cleric</v>
      </c>
      <c r="F677" s="76">
        <v>8</v>
      </c>
      <c r="G677" s="153">
        <f ca="1">VLOOKUP($AB$2,'RF Mod'!$A$2:$G$12,2,FALSE)+VLOOKUP($AD$2,'RF Mod'!$I$2:$O$11,2,FALSE)+(TRUNC(6+(24-6)*(TRUNC(MOD(($Z677*1103515245 +12345)/ 65536, 32768),0)/32768),0))</f>
        <v>11</v>
      </c>
      <c r="H677" s="16" t="e">
        <f t="shared" ca="1" si="33"/>
        <v>#NAME?</v>
      </c>
      <c r="I677" s="153">
        <f ca="1">VLOOKUP($AB$2,'RF Mod'!$A$2:$G$12,3,FALSE)+VLOOKUP($AD$2,'RF Mod'!$I$2:$O$11,3,FALSE)+(TRUNC(6+(24-6)*(TRUNC(MOD(($Z677*1103515245 +12345)/ 65536, 32768),0)/32768),0))</f>
        <v>15</v>
      </c>
      <c r="J677" s="16" t="e">
        <f t="shared" ca="1" si="34"/>
        <v>#NAME?</v>
      </c>
      <c r="K677" s="153">
        <f ca="1">VLOOKUP($AB$2,'RF Mod'!$A$2:$G$12,3,FALSE)+VLOOKUP($AD$2,'RF Mod'!$I$2:$O$11,3,FALSE)+(TRUNC(6+(24-6)*(TRUNC(MOD(($Z677*1103515245 +12345)/ 65536, 32768),0)/32768),0))</f>
        <v>15</v>
      </c>
      <c r="L677" s="16" t="e">
        <f t="shared" ca="1" si="35"/>
        <v>#NAME?</v>
      </c>
      <c r="M677" s="153">
        <f ca="1">VLOOKUP($AB$2,'RF Mod'!$A$2:$G$12,4,FALSE)+VLOOKUP($AD$2,'RF Mod'!$I$2:$O$11,4,FALSE)+(TRUNC(6+(24-6)*(TRUNC(MOD(($Z677*1103515245 +12345)/ 65536, 32768),0)/32768),0))</f>
        <v>14</v>
      </c>
      <c r="N677" s="16" t="e">
        <f t="shared" ca="1" si="36"/>
        <v>#NAME?</v>
      </c>
      <c r="O677" s="153">
        <f ca="1">VLOOKUP($AB$2,'RF Mod'!$A$2:$G$12,5,FALSE)+VLOOKUP($AD$2,'RF Mod'!$I$2:$O$11,5,FALSE)+(TRUNC(6+(24-6)*(TRUNC(MOD(($Z677*1103515245 +12345)/ 65536, 32768),0)/32768),0))</f>
        <v>17</v>
      </c>
      <c r="P677" s="16" t="e">
        <f t="shared" ca="1" si="37"/>
        <v>#NAME?</v>
      </c>
      <c r="Q677" s="153">
        <f ca="1">VLOOKUP($AB$2,'RF Mod'!$A$2:$G$12,6,FALSE)+VLOOKUP($AD$2,'RF Mod'!$I$2:$O$11,6,FALSE)+(TRUNC(6+(24-6)*(TRUNC(MOD(($Z677*1103515245 +12345)/ 65536, 32768),0)/32768),0))</f>
        <v>15</v>
      </c>
      <c r="R677" s="16" t="e">
        <f t="shared" ca="1" si="38"/>
        <v>#NAME?</v>
      </c>
      <c r="S677" s="154">
        <f t="shared" ca="1" si="43"/>
        <v>152</v>
      </c>
      <c r="T677" s="154">
        <f t="shared" ca="1" si="39"/>
        <v>91</v>
      </c>
      <c r="U677" s="16" t="str">
        <f t="shared" ca="1" si="40"/>
        <v>Bloody</v>
      </c>
      <c r="V677" s="155">
        <f ca="1">IFERROR(__xludf.DUMMYFUNCTION("if(W677=""Middle Age"",QUERY(NPCVar!$K$2:$N1000, ""Select L where K = '""&amp;AB677&amp;""'""),if(W677=""Old"",QUERY(NPCVar!$K$2:$N1000, ""Select M where K = '""&amp;AB677&amp;""'""),if(W677=""Venerable"",QUERY(NPCVar!$K$2:$N1000, ""Select N where K = '""&amp;AB677&amp;""'""),fa"&amp;"lse)))*X677"),190)</f>
        <v>190</v>
      </c>
      <c r="W677" s="156" t="str">
        <f t="array" ref="W677">INDEX(NPCAgeType,TRUNC(1+(4-1)*(TRUNC(MOD((X677*1103515245 +12345)/ 65536, 32768),0)/32768),0))</f>
        <v>Venerable</v>
      </c>
      <c r="X677" s="117">
        <f t="shared" si="45"/>
        <v>1.9</v>
      </c>
      <c r="Y677" s="157" t="e">
        <f t="array" aca="1" ref="Y677" ca="1">LOOKUP(ABS(MAX(Z677 + MIN(ABS(INDIRECT("Class Jobs!B"&amp;MATCH(E677,'Class Jobs'!$A$1:$A1000,0)&amp;":"&amp;"AF"&amp;MATCH(E677,'Class Jobs'!$A$1:$A1000,0)&amp;"")-$Z677)) * SUM(IF(MIN(ABS(INDIRECT("Class Jobs!B"&amp;MATCH(E677,'Class Jobs'!$A$1:$A1000,0)&amp;":"&amp;"AF"&amp;MATCH(E677,'Class Jobs'!$A$1:$A1000,0)&amp;"")-$Z677))=ABS(INDIRECT("Class Jobs!B"&amp;MATCH(E677,'Class Jobs'!$A$1:$A1000,0)&amp;":"&amp;"AF"&amp;MATCH(E677,'Class Jobs'!$A$1:$A1000,0)&amp;"")-$Z677),SIGN(INDIRECT("Class Jobs!B"&amp;MATCH(E677,'Class Jobs'!$A$1:A1000,0)&amp;":"&amp;"AF"&amp;MATCH(E677,'Class Jobs'!$A$1:$A1000,0)&amp;"")-$Z677),0)),0)),INDIRECT("Class Jobs!B"&amp;MATCH(E677,'Class Jobs'!$A$1:$A1000,0)&amp;":"&amp;"AF"&amp;MATCH(E677,'Class Jobs'!$A$1:$A1000,1)&amp;""),'Class Jobs'!$B$1:$AF$1)</f>
        <v>#REF!</v>
      </c>
      <c r="Z677" s="158">
        <f t="shared" si="41"/>
        <v>0.78</v>
      </c>
      <c r="AA677" s="16" t="str">
        <f t="array" ref="AA677">INDEX(NPCGender,TRUNC(1+(COUNTA(NPCGender))*(TRUNC(MOD(($B677*1103515245 +12345)/ 65536, 32768),0)/32768),0))</f>
        <v>Neutral</v>
      </c>
      <c r="AB677" s="16" t="str">
        <f t="array" ref="AB677">INDEX(NPCRace,TRUNC(1+(COUNTA(NPCRace))*(TRUNC(MOD(($B677*1103515245 +12345)/ 65536, 32768),0)/32768),0))</f>
        <v>Tiefling</v>
      </c>
      <c r="AC677" s="16" t="str">
        <f t="array" ref="AC677">INDEX(NPCAL,TRUNC(1+(COUNTA(NPCAL))*(TRUNC(MOD(($B677*1103515245 +12345)/ 65536, 32768),0)/32768),0))</f>
        <v>LN</v>
      </c>
      <c r="AD677" s="72" t="str">
        <f ca="1">IFERROR(__xludf.DUMMYFUNCTION("if(V677&lt;15,QUERY(NPCVar!C:D,""Select D WHERE C = '""&amp;D677&amp;""'""),if((TRUNC(1+10)*(TRUNC(MOD((ROW(H677)*1103515245 +12345)/ 65536, 32768),0)/32768)/10) &gt; 0.85,INDEX(NPCFaction,TRUNC(1+(counta(NPCFaction)-1)*(TRUNC(MOD(($B677*1103515245 +12345)/ 65536, 3276"&amp;"8),0)/32768),0)),QUERY(NPCVar!C:D,""Select D WHERE C = '""&amp;D677&amp;""'"")))"),"Farmers Guild")</f>
        <v>Farmers Guild</v>
      </c>
      <c r="AE677" s="108" t="e">
        <f t="shared" ca="1" si="42"/>
        <v>#NAME?</v>
      </c>
      <c r="AF677" s="159">
        <f ca="1">IFERROR(__xludf.DUMMYFUNCTION("AE677*(V677 / QUERY(NPCVar!$K$2:$N$12, ""Select N WHERE K='""&amp;AB677&amp;""'""))*TRUNC(1+10)*(TRUNC(MOD(($B677*1103515245 +12345)/ 65536, 32768),0)/32768)"),8.19978027343749)</f>
        <v>8.1997802734374901</v>
      </c>
      <c r="AG677" s="16"/>
      <c r="AH677" s="77"/>
      <c r="AI677" s="114"/>
    </row>
    <row r="678" spans="1:35" ht="16.2">
      <c r="A678" s="53">
        <v>677</v>
      </c>
      <c r="B678" s="118">
        <f t="shared" si="47"/>
        <v>0.52109000000000005</v>
      </c>
      <c r="C678" s="72" t="str">
        <f t="array" ref="C678">INDEX(NPCFName,TRUNC(1+(COUNTA(NPCFName))*(TRUNC(MOD(($B678*1103515245 +12345)/ 65536, 32768),0)/32768),0))</f>
        <v>Shillen</v>
      </c>
      <c r="D678" s="16" t="str">
        <f t="array" ref="D678">INDEX(NPCLName,TRUNC(1+(COUNTA(NPCLName))*(TRUNC(MOD(($B678*1103515245 +12345)/ 65536, 32768),0)/32768),0))</f>
        <v>Commonscream</v>
      </c>
      <c r="E678" s="16" t="str">
        <f t="array" ref="E678">INDEX(NPCClass,TRUNC(1+(COUNTA(NPCClass))*(TRUNC(MOD(($B678*1103515245 +12345)/ 65536, 32768),0)/32768),0))</f>
        <v>Monk</v>
      </c>
      <c r="F678" s="76">
        <v>5</v>
      </c>
      <c r="G678" s="153">
        <f ca="1">VLOOKUP($AB$2,'RF Mod'!$A$2:$G$12,2,FALSE)+VLOOKUP($AD$2,'RF Mod'!$I$2:$O$11,2,FALSE)+(TRUNC(6+(24-6)*(TRUNC(MOD(($Z678*1103515245 +12345)/ 65536, 32768),0)/32768),0))</f>
        <v>6</v>
      </c>
      <c r="H678" s="16">
        <f t="shared" ca="1" si="33"/>
        <v>-2</v>
      </c>
      <c r="I678" s="153">
        <f ca="1">VLOOKUP($AB$2,'RF Mod'!$A$2:$G$12,3,FALSE)+VLOOKUP($AD$2,'RF Mod'!$I$2:$O$11,3,FALSE)+(TRUNC(6+(24-6)*(TRUNC(MOD(($Z678*1103515245 +12345)/ 65536, 32768),0)/32768),0))</f>
        <v>10</v>
      </c>
      <c r="J678" s="16" t="e">
        <f t="shared" ca="1" si="34"/>
        <v>#NAME?</v>
      </c>
      <c r="K678" s="153">
        <f ca="1">VLOOKUP($AB$2,'RF Mod'!$A$2:$G$12,3,FALSE)+VLOOKUP($AD$2,'RF Mod'!$I$2:$O$11,3,FALSE)+(TRUNC(6+(24-6)*(TRUNC(MOD(($Z678*1103515245 +12345)/ 65536, 32768),0)/32768),0))</f>
        <v>10</v>
      </c>
      <c r="L678" s="16" t="e">
        <f t="shared" ca="1" si="35"/>
        <v>#NAME?</v>
      </c>
      <c r="M678" s="153">
        <f ca="1">VLOOKUP($AB$2,'RF Mod'!$A$2:$G$12,4,FALSE)+VLOOKUP($AD$2,'RF Mod'!$I$2:$O$11,4,FALSE)+(TRUNC(6+(24-6)*(TRUNC(MOD(($Z678*1103515245 +12345)/ 65536, 32768),0)/32768),0))</f>
        <v>9</v>
      </c>
      <c r="N678" s="16">
        <f t="shared" ca="1" si="36"/>
        <v>-1</v>
      </c>
      <c r="O678" s="153">
        <f ca="1">VLOOKUP($AB$2,'RF Mod'!$A$2:$G$12,5,FALSE)+VLOOKUP($AD$2,'RF Mod'!$I$2:$O$11,5,FALSE)+(TRUNC(6+(24-6)*(TRUNC(MOD(($Z678*1103515245 +12345)/ 65536, 32768),0)/32768),0))</f>
        <v>12</v>
      </c>
      <c r="P678" s="16" t="e">
        <f t="shared" ca="1" si="37"/>
        <v>#NAME?</v>
      </c>
      <c r="Q678" s="153">
        <f ca="1">VLOOKUP($AB$2,'RF Mod'!$A$2:$G$12,6,FALSE)+VLOOKUP($AD$2,'RF Mod'!$I$2:$O$11,6,FALSE)+(TRUNC(6+(24-6)*(TRUNC(MOD(($Z678*1103515245 +12345)/ 65536, 32768),0)/32768),0))</f>
        <v>10</v>
      </c>
      <c r="R678" s="16" t="e">
        <f t="shared" ca="1" si="38"/>
        <v>#NAME?</v>
      </c>
      <c r="S678" s="154">
        <f t="shared" ca="1" si="43"/>
        <v>80</v>
      </c>
      <c r="T678" s="154">
        <f t="shared" ca="1" si="39"/>
        <v>93</v>
      </c>
      <c r="U678" s="16" t="str">
        <f t="shared" ca="1" si="40"/>
        <v>Dead</v>
      </c>
      <c r="V678" s="155">
        <f ca="1">IFERROR(__xludf.DUMMYFUNCTION("if(W678=""Middle Age"",QUERY(NPCVar!$K$2:$N1000, ""Select L where K = '""&amp;AB678&amp;""'""),if(W678=""Old"",QUERY(NPCVar!$K$2:$N1000, ""Select M where K = '""&amp;AB678&amp;""'""),if(W678=""Venerable"",QUERY(NPCVar!$K$2:$N1000, ""Select N where K = '""&amp;AB678&amp;""'""),fa"&amp;"lse)))*X678"),196.875)</f>
        <v>196.875</v>
      </c>
      <c r="W678" s="156" t="str">
        <f t="array" ref="W678">INDEX(NPCAgeType,TRUNC(1+(4-1)*(TRUNC(MOD((X678*1103515245 +12345)/ 65536, 32768),0)/32768),0))</f>
        <v>Old</v>
      </c>
      <c r="X678" s="117">
        <f t="shared" si="45"/>
        <v>0.7</v>
      </c>
      <c r="Y678" s="157" t="e">
        <f t="array" aca="1" ref="Y678" ca="1">LOOKUP(ABS(MAX(Z678 + MIN(ABS(INDIRECT("Class Jobs!B"&amp;MATCH(E678,'Class Jobs'!$A$1:$A1000,0)&amp;":"&amp;"AF"&amp;MATCH(E678,'Class Jobs'!$A$1:$A1000,0)&amp;"")-$Z678)) * SUM(IF(MIN(ABS(INDIRECT("Class Jobs!B"&amp;MATCH(E678,'Class Jobs'!$A$1:$A1000,0)&amp;":"&amp;"AF"&amp;MATCH(E678,'Class Jobs'!$A$1:$A1000,0)&amp;"")-$Z678))=ABS(INDIRECT("Class Jobs!B"&amp;MATCH(E678,'Class Jobs'!$A$1:$A1000,0)&amp;":"&amp;"AF"&amp;MATCH(E678,'Class Jobs'!$A$1:$A1000,0)&amp;"")-$Z678),SIGN(INDIRECT("Class Jobs!B"&amp;MATCH(E678,'Class Jobs'!$A$1:A1000,0)&amp;":"&amp;"AF"&amp;MATCH(E678,'Class Jobs'!$A$1:$A1000,0)&amp;"")-$Z678),0)),0)),INDIRECT("Class Jobs!B"&amp;MATCH(E678,'Class Jobs'!$A$1:$A1000,0)&amp;":"&amp;"AF"&amp;MATCH(E678,'Class Jobs'!$A$1:$A1000,1)&amp;""),'Class Jobs'!$B$1:$AF$1)</f>
        <v>#REF!</v>
      </c>
      <c r="Z678" s="158">
        <f t="shared" si="41"/>
        <v>0.27</v>
      </c>
      <c r="AA678" s="16" t="str">
        <f t="array" ref="AA678">INDEX(NPCGender,TRUNC(1+(COUNTA(NPCGender))*(TRUNC(MOD(($B678*1103515245 +12345)/ 65536, 32768),0)/32768),0))</f>
        <v>Male</v>
      </c>
      <c r="AB678" s="16" t="str">
        <f t="array" ref="AB678">INDEX(NPCRace,TRUNC(1+(COUNTA(NPCRace))*(TRUNC(MOD(($B678*1103515245 +12345)/ 65536, 32768),0)/32768),0))</f>
        <v>Elf</v>
      </c>
      <c r="AC678" s="16" t="str">
        <f t="array" ref="AC678">INDEX(NPCAL,TRUNC(1+(COUNTA(NPCAL))*(TRUNC(MOD(($B678*1103515245 +12345)/ 65536, 32768),0)/32768),0))</f>
        <v>CG</v>
      </c>
      <c r="AD678" s="72" t="str">
        <f ca="1">IFERROR(__xludf.DUMMYFUNCTION("if(V678&lt;15,QUERY(NPCVar!C:D,""Select D WHERE C = '""&amp;D678&amp;""'""),if((TRUNC(1+10)*(TRUNC(MOD((ROW(H678)*1103515245 +12345)/ 65536, 32768),0)/32768)/10) &gt; 0.85,INDEX(NPCFaction,TRUNC(1+(counta(NPCFaction)-1)*(TRUNC(MOD(($B678*1103515245 +12345)/ 65536, 3276"&amp;"8),0)/32768),0)),QUERY(NPCVar!C:D,""Select D WHERE C = '""&amp;D678&amp;""'"")))"),"Necromancer")</f>
        <v>Necromancer</v>
      </c>
      <c r="AE678" s="108" t="e">
        <f t="shared" ca="1" si="42"/>
        <v>#NAME?</v>
      </c>
      <c r="AF678" s="159">
        <f ca="1">IFERROR(__xludf.DUMMYFUNCTION("AE678*(V678 / QUERY(NPCVar!$K$2:$N$12, ""Select N WHERE K='""&amp;AB678&amp;""'""))*TRUNC(1+10)*(TRUNC(MOD(($B678*1103515245 +12345)/ 65536, 32768),0)/32768)"),0.463896331787109)</f>
        <v>0.46389633178710898</v>
      </c>
      <c r="AG678" s="16"/>
      <c r="AH678" s="77"/>
      <c r="AI678" s="114"/>
    </row>
    <row r="679" spans="1:35" ht="16.2">
      <c r="A679" s="53">
        <v>678</v>
      </c>
      <c r="B679" s="118">
        <f t="shared" si="47"/>
        <v>2.0152299999999999</v>
      </c>
      <c r="C679" s="72" t="str">
        <f t="array" ref="C679">INDEX(NPCFName,TRUNC(1+(COUNTA(NPCFName))*(TRUNC(MOD(($B679*1103515245 +12345)/ 65536, 32768),0)/32768),0))</f>
        <v>Boaldelr</v>
      </c>
      <c r="D679" s="16" t="str">
        <f t="array" ref="D679">INDEX(NPCLName,TRUNC(1+(COUNTA(NPCLName))*(TRUNC(MOD(($B679*1103515245 +12345)/ 65536, 32768),0)/32768),0))</f>
        <v>Crystalgazer</v>
      </c>
      <c r="E679" s="16" t="str">
        <f t="array" ref="E679">INDEX(NPCClass,TRUNC(1+(COUNTA(NPCClass))*(TRUNC(MOD(($B679*1103515245 +12345)/ 65536, 32768),0)/32768),0))</f>
        <v>Barbarian</v>
      </c>
      <c r="F679" s="76">
        <v>1</v>
      </c>
      <c r="G679" s="153">
        <f ca="1">VLOOKUP($AB$2,'RF Mod'!$A$2:$G$12,2,FALSE)+VLOOKUP($AD$2,'RF Mod'!$I$2:$O$11,2,FALSE)+(TRUNC(6+(24-6)*(TRUNC(MOD(($Z679*1103515245 +12345)/ 65536, 32768),0)/32768),0))</f>
        <v>4</v>
      </c>
      <c r="H679" s="16">
        <f t="shared" ca="1" si="33"/>
        <v>-3</v>
      </c>
      <c r="I679" s="153">
        <f ca="1">VLOOKUP($AB$2,'RF Mod'!$A$2:$G$12,3,FALSE)+VLOOKUP($AD$2,'RF Mod'!$I$2:$O$11,3,FALSE)+(TRUNC(6+(24-6)*(TRUNC(MOD(($Z679*1103515245 +12345)/ 65536, 32768),0)/32768),0))</f>
        <v>8</v>
      </c>
      <c r="J679" s="16">
        <f t="shared" ca="1" si="34"/>
        <v>-1</v>
      </c>
      <c r="K679" s="153">
        <f ca="1">VLOOKUP($AB$2,'RF Mod'!$A$2:$G$12,3,FALSE)+VLOOKUP($AD$2,'RF Mod'!$I$2:$O$11,3,FALSE)+(TRUNC(6+(24-6)*(TRUNC(MOD(($Z679*1103515245 +12345)/ 65536, 32768),0)/32768),0))</f>
        <v>8</v>
      </c>
      <c r="L679" s="16">
        <f t="shared" ca="1" si="35"/>
        <v>-1</v>
      </c>
      <c r="M679" s="153">
        <f ca="1">VLOOKUP($AB$2,'RF Mod'!$A$2:$G$12,4,FALSE)+VLOOKUP($AD$2,'RF Mod'!$I$2:$O$11,4,FALSE)+(TRUNC(6+(24-6)*(TRUNC(MOD(($Z679*1103515245 +12345)/ 65536, 32768),0)/32768),0))</f>
        <v>7</v>
      </c>
      <c r="N679" s="16">
        <f t="shared" ca="1" si="36"/>
        <v>-2</v>
      </c>
      <c r="O679" s="153">
        <f ca="1">VLOOKUP($AB$2,'RF Mod'!$A$2:$G$12,5,FALSE)+VLOOKUP($AD$2,'RF Mod'!$I$2:$O$11,5,FALSE)+(TRUNC(6+(24-6)*(TRUNC(MOD(($Z679*1103515245 +12345)/ 65536, 32768),0)/32768),0))</f>
        <v>10</v>
      </c>
      <c r="P679" s="16" t="e">
        <f t="shared" ca="1" si="37"/>
        <v>#NAME?</v>
      </c>
      <c r="Q679" s="153">
        <f ca="1">VLOOKUP($AB$2,'RF Mod'!$A$2:$G$12,6,FALSE)+VLOOKUP($AD$2,'RF Mod'!$I$2:$O$11,6,FALSE)+(TRUNC(6+(24-6)*(TRUNC(MOD(($Z679*1103515245 +12345)/ 65536, 32768),0)/32768),0))</f>
        <v>8</v>
      </c>
      <c r="R679" s="16">
        <f t="shared" ca="1" si="38"/>
        <v>-1</v>
      </c>
      <c r="S679" s="154">
        <f t="shared" ca="1" si="43"/>
        <v>10</v>
      </c>
      <c r="T679" s="154">
        <f t="shared" ca="1" si="39"/>
        <v>1</v>
      </c>
      <c r="U679" s="16" t="str">
        <f t="shared" ca="1" si="40"/>
        <v>Fine</v>
      </c>
      <c r="V679" s="155">
        <f ca="1">IFERROR(__xludf.DUMMYFUNCTION("if(W679=""Middle Age"",QUERY(NPCVar!$K$2:$N1000, ""Select L where K = '""&amp;AB679&amp;""'""),if(W679=""Old"",QUERY(NPCVar!$K$2:$N1000, ""Select M where K = '""&amp;AB679&amp;""'""),if(W679=""Venerable"",QUERY(NPCVar!$K$2:$N1000, ""Select N where K = '""&amp;AB679&amp;""'""),fa"&amp;"lse)))*X679"),2)</f>
        <v>2</v>
      </c>
      <c r="W679" s="156" t="str">
        <f t="array" ref="W679">INDEX(NPCAgeType,TRUNC(1+(4-1)*(TRUNC(MOD((X679*1103515245 +12345)/ 65536, 32768),0)/32768),0))</f>
        <v>Middle Age</v>
      </c>
      <c r="X679" s="117">
        <f t="shared" si="45"/>
        <v>0.1</v>
      </c>
      <c r="Y679" s="157" t="e">
        <f t="array" aca="1" ref="Y679" ca="1">LOOKUP(ABS(MAX(Z679 + MIN(ABS(INDIRECT("Class Jobs!B"&amp;MATCH(E679,'Class Jobs'!$A$1:$A1000,0)&amp;":"&amp;"AF"&amp;MATCH(E679,'Class Jobs'!$A$1:$A1000,0)&amp;"")-$Z679)) * SUM(IF(MIN(ABS(INDIRECT("Class Jobs!B"&amp;MATCH(E679,'Class Jobs'!$A$1:$A1000,0)&amp;":"&amp;"AF"&amp;MATCH(E679,'Class Jobs'!$A$1:$A1000,0)&amp;"")-$Z679))=ABS(INDIRECT("Class Jobs!B"&amp;MATCH(E679,'Class Jobs'!$A$1:$A1000,0)&amp;":"&amp;"AF"&amp;MATCH(E679,'Class Jobs'!$A$1:$A1000,0)&amp;"")-$Z679),SIGN(INDIRECT("Class Jobs!B"&amp;MATCH(E679,'Class Jobs'!$A$1:A1000,0)&amp;":"&amp;"AF"&amp;MATCH(E679,'Class Jobs'!$A$1:$A1000,0)&amp;"")-$Z679),0)),0)),INDIRECT("Class Jobs!B"&amp;MATCH(E679,'Class Jobs'!$A$1:$A1000,0)&amp;":"&amp;"AF"&amp;MATCH(E679,'Class Jobs'!$A$1:$A1000,1)&amp;""),'Class Jobs'!$B$1:$AF$1)</f>
        <v>#REF!</v>
      </c>
      <c r="Z679" s="158">
        <f t="shared" si="41"/>
        <v>0.04</v>
      </c>
      <c r="AA679" s="16" t="str">
        <f t="array" ref="AA679">INDEX(NPCGender,TRUNC(1+(COUNTA(NPCGender))*(TRUNC(MOD(($B679*1103515245 +12345)/ 65536, 32768),0)/32768),0))</f>
        <v>Male</v>
      </c>
      <c r="AB679" s="16" t="str">
        <f t="array" ref="AB679">INDEX(NPCRace,TRUNC(1+(COUNTA(NPCRace))*(TRUNC(MOD(($B679*1103515245 +12345)/ 65536, 32768),0)/32768),0))</f>
        <v>Dragonborn</v>
      </c>
      <c r="AC679" s="16" t="str">
        <f t="array" ref="AC679">INDEX(NPCAL,TRUNC(1+(COUNTA(NPCAL))*(TRUNC(MOD(($B679*1103515245 +12345)/ 65536, 32768),0)/32768),0))</f>
        <v>CN</v>
      </c>
      <c r="AD679" s="72" t="str">
        <f ca="1">IFERROR(__xludf.DUMMYFUNCTION("if(V679&lt;15,QUERY(NPCVar!C:D,""Select D WHERE C = '""&amp;D679&amp;""'""),if((TRUNC(1+10)*(TRUNC(MOD((ROW(H679)*1103515245 +12345)/ 65536, 32768),0)/32768)/10) &gt; 0.85,INDEX(NPCFaction,TRUNC(1+(counta(NPCFaction)-1)*(TRUNC(MOD(($B679*1103515245 +12345)/ 65536, 3276"&amp;"8),0)/32768),0)),QUERY(NPCVar!C:D,""Select D WHERE C = '""&amp;D679&amp;""'"")))"),"Death Guild")</f>
        <v>Death Guild</v>
      </c>
      <c r="AE679" s="108" t="e">
        <f t="shared" ca="1" si="42"/>
        <v>#NAME?</v>
      </c>
      <c r="AF679" s="159">
        <f ca="1">IFERROR(__xludf.DUMMYFUNCTION("AE679*(V679 / QUERY(NPCVar!$K$2:$N$12, ""Select N WHERE K='""&amp;AB679&amp;""'""))*TRUNC(1+10)*(TRUNC(MOD(($B679*1103515245 +12345)/ 65536, 32768),0)/32768)"),0.000977706909179688)</f>
        <v>9.7770690917968798E-4</v>
      </c>
      <c r="AG679" s="16"/>
      <c r="AH679" s="77"/>
      <c r="AI679" s="114"/>
    </row>
    <row r="680" spans="1:35" ht="16.2">
      <c r="A680" s="53">
        <v>679</v>
      </c>
      <c r="B680" s="118">
        <f t="shared" si="47"/>
        <v>1.0093700000000001</v>
      </c>
      <c r="C680" s="72" t="str">
        <f t="array" ref="C680">INDEX(NPCFName,TRUNC(1+(COUNTA(NPCFName))*(TRUNC(MOD(($B680*1103515245 +12345)/ 65536, 32768),0)/32768),0))</f>
        <v>Marklin</v>
      </c>
      <c r="D680" s="16" t="str">
        <f t="array" ref="D680">INDEX(NPCLName,TRUNC(1+(COUNTA(NPCLName))*(TRUNC(MOD(($B680*1103515245 +12345)/ 65536, 32768),0)/32768),0))</f>
        <v>Staghammer</v>
      </c>
      <c r="E680" s="16" t="str">
        <f t="array" ref="E680">INDEX(NPCClass,TRUNC(1+(COUNTA(NPCClass))*(TRUNC(MOD(($B680*1103515245 +12345)/ 65536, 32768),0)/32768),0))</f>
        <v>Sorcerer</v>
      </c>
      <c r="F680" s="76">
        <v>8</v>
      </c>
      <c r="G680" s="153">
        <f ca="1">VLOOKUP($AB$2,'RF Mod'!$A$2:$G$12,2,FALSE)+VLOOKUP($AD$2,'RF Mod'!$I$2:$O$11,2,FALSE)+(TRUNC(6+(24-6)*(TRUNC(MOD(($Z680*1103515245 +12345)/ 65536, 32768),0)/32768),0))</f>
        <v>8</v>
      </c>
      <c r="H680" s="16">
        <f t="shared" ca="1" si="33"/>
        <v>-1</v>
      </c>
      <c r="I680" s="153">
        <f ca="1">VLOOKUP($AB$2,'RF Mod'!$A$2:$G$12,3,FALSE)+VLOOKUP($AD$2,'RF Mod'!$I$2:$O$11,3,FALSE)+(TRUNC(6+(24-6)*(TRUNC(MOD(($Z680*1103515245 +12345)/ 65536, 32768),0)/32768),0))</f>
        <v>12</v>
      </c>
      <c r="J680" s="16" t="e">
        <f t="shared" ca="1" si="34"/>
        <v>#NAME?</v>
      </c>
      <c r="K680" s="153">
        <f ca="1">VLOOKUP($AB$2,'RF Mod'!$A$2:$G$12,3,FALSE)+VLOOKUP($AD$2,'RF Mod'!$I$2:$O$11,3,FALSE)+(TRUNC(6+(24-6)*(TRUNC(MOD(($Z680*1103515245 +12345)/ 65536, 32768),0)/32768),0))</f>
        <v>12</v>
      </c>
      <c r="L680" s="16" t="e">
        <f t="shared" ca="1" si="35"/>
        <v>#NAME?</v>
      </c>
      <c r="M680" s="153">
        <f ca="1">VLOOKUP($AB$2,'RF Mod'!$A$2:$G$12,4,FALSE)+VLOOKUP($AD$2,'RF Mod'!$I$2:$O$11,4,FALSE)+(TRUNC(6+(24-6)*(TRUNC(MOD(($Z680*1103515245 +12345)/ 65536, 32768),0)/32768),0))</f>
        <v>11</v>
      </c>
      <c r="N680" s="16" t="e">
        <f t="shared" ca="1" si="36"/>
        <v>#NAME?</v>
      </c>
      <c r="O680" s="153">
        <f ca="1">VLOOKUP($AB$2,'RF Mod'!$A$2:$G$12,5,FALSE)+VLOOKUP($AD$2,'RF Mod'!$I$2:$O$11,5,FALSE)+(TRUNC(6+(24-6)*(TRUNC(MOD(($Z680*1103515245 +12345)/ 65536, 32768),0)/32768),0))</f>
        <v>14</v>
      </c>
      <c r="P680" s="16" t="e">
        <f t="shared" ca="1" si="37"/>
        <v>#NAME?</v>
      </c>
      <c r="Q680" s="153">
        <f ca="1">VLOOKUP($AB$2,'RF Mod'!$A$2:$G$12,6,FALSE)+VLOOKUP($AD$2,'RF Mod'!$I$2:$O$11,6,FALSE)+(TRUNC(6+(24-6)*(TRUNC(MOD(($Z680*1103515245 +12345)/ 65536, 32768),0)/32768),0))</f>
        <v>12</v>
      </c>
      <c r="R680" s="16" t="e">
        <f t="shared" ca="1" si="38"/>
        <v>#NAME?</v>
      </c>
      <c r="S680" s="154">
        <f t="shared" ca="1" si="43"/>
        <v>224</v>
      </c>
      <c r="T680" s="154">
        <f t="shared" ca="1" si="39"/>
        <v>253</v>
      </c>
      <c r="U680" s="16" t="str">
        <f t="shared" ca="1" si="40"/>
        <v>Dead</v>
      </c>
      <c r="V680" s="155">
        <f ca="1">IFERROR(__xludf.DUMMYFUNCTION("if(W680=""Middle Age"",QUERY(NPCVar!$K$2:$N1000, ""Select L where K = '""&amp;AB680&amp;""'""),if(W680=""Old"",QUERY(NPCVar!$K$2:$N1000, ""Select M where K = '""&amp;AB680&amp;""'""),if(W680=""Venerable"",QUERY(NPCVar!$K$2:$N1000, ""Select N where K = '""&amp;AB680&amp;""'""),fa"&amp;"lse)))*X680"),91)</f>
        <v>91</v>
      </c>
      <c r="W680" s="156" t="str">
        <f t="array" ref="W680">INDEX(NPCAgeType,TRUNC(1+(4-1)*(TRUNC(MOD((X680*1103515245 +12345)/ 65536, 32768),0)/32768),0))</f>
        <v>Venerable</v>
      </c>
      <c r="X680" s="117">
        <f t="shared" si="45"/>
        <v>1.3</v>
      </c>
      <c r="Y680" s="157" t="e">
        <f t="array" aca="1" ref="Y680" ca="1">LOOKUP(ABS(MAX(Z680 + MIN(ABS(INDIRECT("Class Jobs!B"&amp;MATCH(E680,'Class Jobs'!$A$1:$A1000,0)&amp;":"&amp;"AF"&amp;MATCH(E680,'Class Jobs'!$A$1:$A1000,0)&amp;"")-$Z680)) * SUM(IF(MIN(ABS(INDIRECT("Class Jobs!B"&amp;MATCH(E680,'Class Jobs'!$A$1:$A1000,0)&amp;":"&amp;"AF"&amp;MATCH(E680,'Class Jobs'!$A$1:$A1000,0)&amp;"")-$Z680))=ABS(INDIRECT("Class Jobs!B"&amp;MATCH(E680,'Class Jobs'!$A$1:$A1000,0)&amp;":"&amp;"AF"&amp;MATCH(E680,'Class Jobs'!$A$1:$A1000,0)&amp;"")-$Z680),SIGN(INDIRECT("Class Jobs!B"&amp;MATCH(E680,'Class Jobs'!$A$1:A1000,0)&amp;":"&amp;"AF"&amp;MATCH(E680,'Class Jobs'!$A$1:$A1000,0)&amp;"")-$Z680),0)),0)),INDIRECT("Class Jobs!B"&amp;MATCH(E680,'Class Jobs'!$A$1:$A1000,0)&amp;":"&amp;"AF"&amp;MATCH(E680,'Class Jobs'!$A$1:$A1000,1)&amp;""),'Class Jobs'!$B$1:$AF$1)</f>
        <v>#REF!</v>
      </c>
      <c r="Z680" s="158">
        <f t="shared" si="41"/>
        <v>0.52</v>
      </c>
      <c r="AA680" s="16" t="str">
        <f t="array" ref="AA680">INDEX(NPCGender,TRUNC(1+(COUNTA(NPCGender))*(TRUNC(MOD(($B680*1103515245 +12345)/ 65536, 32768),0)/32768),0))</f>
        <v>Female</v>
      </c>
      <c r="AB680" s="16" t="str">
        <f t="array" ref="AB680">INDEX(NPCRace,TRUNC(1+(COUNTA(NPCRace))*(TRUNC(MOD(($B680*1103515245 +12345)/ 65536, 32768),0)/32768),0))</f>
        <v>Half-Orc</v>
      </c>
      <c r="AC680" s="16" t="str">
        <f t="array" ref="AC680">INDEX(NPCAL,TRUNC(1+(COUNTA(NPCAL))*(TRUNC(MOD(($B680*1103515245 +12345)/ 65536, 32768),0)/32768),0))</f>
        <v>NN</v>
      </c>
      <c r="AD680" s="72" t="str">
        <f ca="1">IFERROR(__xludf.DUMMYFUNCTION("if(V680&lt;15,QUERY(NPCVar!C:D,""Select D WHERE C = '""&amp;D680&amp;""'""),if((TRUNC(1+10)*(TRUNC(MOD((ROW(H680)*1103515245 +12345)/ 65536, 32768),0)/32768)/10) &gt; 0.85,INDEX(NPCFaction,TRUNC(1+(counta(NPCFaction)-1)*(TRUNC(MOD(($B680*1103515245 +12345)/ 65536, 3276"&amp;"8),0)/32768),0)),QUERY(NPCVar!C:D,""Select D WHERE C = '""&amp;D680&amp;""'"")))"),"Farmers Guild")</f>
        <v>Farmers Guild</v>
      </c>
      <c r="AE680" s="108" t="e">
        <f t="shared" ca="1" si="42"/>
        <v>#NAME?</v>
      </c>
      <c r="AF680" s="159">
        <f ca="1">IFERROR(__xludf.DUMMYFUNCTION("AE680*(V680 / QUERY(NPCVar!$K$2:$N$12, ""Select N WHERE K='""&amp;AB680&amp;""'""))*TRUNC(1+10)*(TRUNC(MOD(($B680*1103515245 +12345)/ 65536, 32768),0)/32768)"),7.41707763671875)</f>
        <v>7.4170776367187496</v>
      </c>
      <c r="AG680" s="16"/>
      <c r="AH680" s="77"/>
      <c r="AI680" s="114"/>
    </row>
    <row r="681" spans="1:35" ht="16.2">
      <c r="A681" s="53">
        <v>680</v>
      </c>
      <c r="B681" s="118">
        <f t="shared" si="47"/>
        <v>3.5100000000000001E-3</v>
      </c>
      <c r="C681" s="72" t="str">
        <f t="array" ref="C681">INDEX(NPCFName,TRUNC(1+(COUNTA(NPCFName))*(TRUNC(MOD(($B681*1103515245 +12345)/ 65536, 32768),0)/32768),0))</f>
        <v>Acamen</v>
      </c>
      <c r="D681" s="16" t="str">
        <f t="array" ref="D681">INDEX(NPCLName,TRUNC(1+(COUNTA(NPCLName))*(TRUNC(MOD(($B681*1103515245 +12345)/ 65536, 32768),0)/32768),0))</f>
        <v>Stagfang</v>
      </c>
      <c r="E681" s="16" t="str">
        <f t="array" ref="E681">INDEX(NPCClass,TRUNC(1+(COUNTA(NPCClass))*(TRUNC(MOD(($B681*1103515245 +12345)/ 65536, 32768),0)/32768),0))</f>
        <v>Barbarian</v>
      </c>
      <c r="F681" s="76">
        <v>1</v>
      </c>
      <c r="G681" s="153">
        <f ca="1">VLOOKUP($AB$2,'RF Mod'!$A$2:$G$12,2,FALSE)+VLOOKUP($AD$2,'RF Mod'!$I$2:$O$11,2,FALSE)+(TRUNC(6+(24-6)*(TRUNC(MOD(($Z681*1103515245 +12345)/ 65536, 32768),0)/32768),0))</f>
        <v>4</v>
      </c>
      <c r="H681" s="16">
        <f t="shared" ca="1" si="33"/>
        <v>-3</v>
      </c>
      <c r="I681" s="153">
        <f ca="1">VLOOKUP($AB$2,'RF Mod'!$A$2:$G$12,3,FALSE)+VLOOKUP($AD$2,'RF Mod'!$I$2:$O$11,3,FALSE)+(TRUNC(6+(24-6)*(TRUNC(MOD(($Z681*1103515245 +12345)/ 65536, 32768),0)/32768),0))</f>
        <v>8</v>
      </c>
      <c r="J681" s="16">
        <f t="shared" ca="1" si="34"/>
        <v>-1</v>
      </c>
      <c r="K681" s="153">
        <f ca="1">VLOOKUP($AB$2,'RF Mod'!$A$2:$G$12,3,FALSE)+VLOOKUP($AD$2,'RF Mod'!$I$2:$O$11,3,FALSE)+(TRUNC(6+(24-6)*(TRUNC(MOD(($Z681*1103515245 +12345)/ 65536, 32768),0)/32768),0))</f>
        <v>8</v>
      </c>
      <c r="L681" s="16">
        <f t="shared" ca="1" si="35"/>
        <v>-1</v>
      </c>
      <c r="M681" s="153">
        <f ca="1">VLOOKUP($AB$2,'RF Mod'!$A$2:$G$12,4,FALSE)+VLOOKUP($AD$2,'RF Mod'!$I$2:$O$11,4,FALSE)+(TRUNC(6+(24-6)*(TRUNC(MOD(($Z681*1103515245 +12345)/ 65536, 32768),0)/32768),0))</f>
        <v>7</v>
      </c>
      <c r="N681" s="16">
        <f t="shared" ca="1" si="36"/>
        <v>-2</v>
      </c>
      <c r="O681" s="153">
        <f ca="1">VLOOKUP($AB$2,'RF Mod'!$A$2:$G$12,5,FALSE)+VLOOKUP($AD$2,'RF Mod'!$I$2:$O$11,5,FALSE)+(TRUNC(6+(24-6)*(TRUNC(MOD(($Z681*1103515245 +12345)/ 65536, 32768),0)/32768),0))</f>
        <v>10</v>
      </c>
      <c r="P681" s="16" t="e">
        <f t="shared" ca="1" si="37"/>
        <v>#NAME?</v>
      </c>
      <c r="Q681" s="153">
        <f ca="1">VLOOKUP($AB$2,'RF Mod'!$A$2:$G$12,6,FALSE)+VLOOKUP($AD$2,'RF Mod'!$I$2:$O$11,6,FALSE)+(TRUNC(6+(24-6)*(TRUNC(MOD(($Z681*1103515245 +12345)/ 65536, 32768),0)/32768),0))</f>
        <v>8</v>
      </c>
      <c r="R681" s="16">
        <f t="shared" ca="1" si="38"/>
        <v>-1</v>
      </c>
      <c r="S681" s="154">
        <f t="shared" ca="1" si="43"/>
        <v>10</v>
      </c>
      <c r="T681" s="154">
        <f t="shared" ca="1" si="39"/>
        <v>11</v>
      </c>
      <c r="U681" s="16" t="str">
        <f t="shared" ca="1" si="40"/>
        <v>Dead</v>
      </c>
      <c r="V681" s="155">
        <f ca="1">IFERROR(__xludf.DUMMYFUNCTION("if(W681=""Middle Age"",QUERY(NPCVar!$K$2:$N1000, ""Select L where K = '""&amp;AB681&amp;""'""),if(W681=""Old"",QUERY(NPCVar!$K$2:$N1000, ""Select M where K = '""&amp;AB681&amp;""'""),if(W681=""Venerable"",QUERY(NPCVar!$K$2:$N1000, ""Select N where K = '""&amp;AB681&amp;""'""),fa"&amp;"lse)))*X681"),2)</f>
        <v>2</v>
      </c>
      <c r="W681" s="156" t="str">
        <f t="array" ref="W681">INDEX(NPCAgeType,TRUNC(1+(4-1)*(TRUNC(MOD((X681*1103515245 +12345)/ 65536, 32768),0)/32768),0))</f>
        <v>Middle Age</v>
      </c>
      <c r="X681" s="117">
        <f t="shared" si="45"/>
        <v>0.1</v>
      </c>
      <c r="Y681" s="157" t="e">
        <f t="array" aca="1" ref="Y681" ca="1">LOOKUP(ABS(MAX(Z681 + MIN(ABS(INDIRECT("Class Jobs!B"&amp;MATCH(E681,'Class Jobs'!$A$1:$A1000,0)&amp;":"&amp;"AF"&amp;MATCH(E681,'Class Jobs'!$A$1:$A1000,0)&amp;"")-$Z681)) * SUM(IF(MIN(ABS(INDIRECT("Class Jobs!B"&amp;MATCH(E681,'Class Jobs'!$A$1:$A1000,0)&amp;":"&amp;"AF"&amp;MATCH(E681,'Class Jobs'!$A$1:$A1000,0)&amp;"")-$Z681))=ABS(INDIRECT("Class Jobs!B"&amp;MATCH(E681,'Class Jobs'!$A$1:$A1000,0)&amp;":"&amp;"AF"&amp;MATCH(E681,'Class Jobs'!$A$1:$A1000,0)&amp;"")-$Z681),SIGN(INDIRECT("Class Jobs!B"&amp;MATCH(E681,'Class Jobs'!$A$1:A1000,0)&amp;":"&amp;"AF"&amp;MATCH(E681,'Class Jobs'!$A$1:$A1000,0)&amp;"")-$Z681),0)),0)),INDIRECT("Class Jobs!B"&amp;MATCH(E681,'Class Jobs'!$A$1:$A1000,0)&amp;":"&amp;"AF"&amp;MATCH(E681,'Class Jobs'!$A$1:$A1000,1)&amp;""),'Class Jobs'!$B$1:$AF$1)</f>
        <v>#REF!</v>
      </c>
      <c r="Z681" s="158">
        <f t="shared" si="41"/>
        <v>0.01</v>
      </c>
      <c r="AA681" s="16" t="str">
        <f t="array" ref="AA681">INDEX(NPCGender,TRUNC(1+(COUNTA(NPCGender))*(TRUNC(MOD(($B681*1103515245 +12345)/ 65536, 32768),0)/32768),0))</f>
        <v>Male</v>
      </c>
      <c r="AB681" s="16" t="str">
        <f t="array" ref="AB681">INDEX(NPCRace,TRUNC(1+(COUNTA(NPCRace))*(TRUNC(MOD(($B681*1103515245 +12345)/ 65536, 32768),0)/32768),0))</f>
        <v>Dragonborn</v>
      </c>
      <c r="AC681" s="16" t="str">
        <f t="array" ref="AC681">INDEX(NPCAL,TRUNC(1+(COUNTA(NPCAL))*(TRUNC(MOD(($B681*1103515245 +12345)/ 65536, 32768),0)/32768),0))</f>
        <v>CN</v>
      </c>
      <c r="AD681" s="72" t="str">
        <f ca="1">IFERROR(__xludf.DUMMYFUNCTION("if(V681&lt;15,QUERY(NPCVar!C:D,""Select D WHERE C = '""&amp;D681&amp;""'""),if((TRUNC(1+10)*(TRUNC(MOD((ROW(H681)*1103515245 +12345)/ 65536, 32768),0)/32768)/10) &gt; 0.85,INDEX(NPCFaction,TRUNC(1+(counta(NPCFaction)-1)*(TRUNC(MOD(($B681*1103515245 +12345)/ 65536, 3276"&amp;"8),0)/32768),0)),QUERY(NPCVar!C:D,""Select D WHERE C = '""&amp;D681&amp;""'"")))"),"Royalty")</f>
        <v>Royalty</v>
      </c>
      <c r="AE681" s="108" t="e">
        <f t="shared" ca="1" si="42"/>
        <v>#NAME?</v>
      </c>
      <c r="AF681" s="159">
        <f ca="1">IFERROR(__xludf.DUMMYFUNCTION("AE681*(V681 / QUERY(NPCVar!$K$2:$N$12, ""Select N WHERE K='""&amp;AB681&amp;""'""))*TRUNC(1+10)*(TRUNC(MOD(($B681*1103515245 +12345)/ 65536, 32768),0)/32768)"),0.0000495147705078125)</f>
        <v>4.9514770507812502E-5</v>
      </c>
      <c r="AG681" s="16"/>
      <c r="AH681" s="77"/>
      <c r="AI681" s="114"/>
    </row>
    <row r="682" spans="1:35" ht="16.2">
      <c r="A682" s="53">
        <v>681</v>
      </c>
      <c r="B682" s="118">
        <f t="shared" si="47"/>
        <v>1.4976499999999999</v>
      </c>
      <c r="C682" s="72" t="str">
        <f t="array" ref="C682">INDEX(NPCFName,TRUNC(1+(COUNTA(NPCFName))*(TRUNC(MOD(($B682*1103515245 +12345)/ 65536, 32768),0)/32768),0))</f>
        <v>Eythil</v>
      </c>
      <c r="D682" s="16" t="str">
        <f t="array" ref="D682">INDEX(NPCLName,TRUNC(1+(COUNTA(NPCLName))*(TRUNC(MOD(($B682*1103515245 +12345)/ 65536, 32768),0)/32768),0))</f>
        <v>Truthdoom</v>
      </c>
      <c r="E682" s="16" t="str">
        <f t="array" ref="E682">INDEX(NPCClass,TRUNC(1+(COUNTA(NPCClass))*(TRUNC(MOD(($B682*1103515245 +12345)/ 65536, 32768),0)/32768),0))</f>
        <v>Cleric</v>
      </c>
      <c r="F682" s="76">
        <v>8</v>
      </c>
      <c r="G682" s="153">
        <f ca="1">VLOOKUP($AB$2,'RF Mod'!$A$2:$G$12,2,FALSE)+VLOOKUP($AD$2,'RF Mod'!$I$2:$O$11,2,FALSE)+(TRUNC(6+(24-6)*(TRUNC(MOD(($Z682*1103515245 +12345)/ 65536, 32768),0)/32768),0))</f>
        <v>11</v>
      </c>
      <c r="H682" s="16" t="e">
        <f t="shared" ca="1" si="33"/>
        <v>#NAME?</v>
      </c>
      <c r="I682" s="153">
        <f ca="1">VLOOKUP($AB$2,'RF Mod'!$A$2:$G$12,3,FALSE)+VLOOKUP($AD$2,'RF Mod'!$I$2:$O$11,3,FALSE)+(TRUNC(6+(24-6)*(TRUNC(MOD(($Z682*1103515245 +12345)/ 65536, 32768),0)/32768),0))</f>
        <v>15</v>
      </c>
      <c r="J682" s="16" t="e">
        <f t="shared" ca="1" si="34"/>
        <v>#NAME?</v>
      </c>
      <c r="K682" s="153">
        <f ca="1">VLOOKUP($AB$2,'RF Mod'!$A$2:$G$12,3,FALSE)+VLOOKUP($AD$2,'RF Mod'!$I$2:$O$11,3,FALSE)+(TRUNC(6+(24-6)*(TRUNC(MOD(($Z682*1103515245 +12345)/ 65536, 32768),0)/32768),0))</f>
        <v>15</v>
      </c>
      <c r="L682" s="16" t="e">
        <f t="shared" ca="1" si="35"/>
        <v>#NAME?</v>
      </c>
      <c r="M682" s="153">
        <f ca="1">VLOOKUP($AB$2,'RF Mod'!$A$2:$G$12,4,FALSE)+VLOOKUP($AD$2,'RF Mod'!$I$2:$O$11,4,FALSE)+(TRUNC(6+(24-6)*(TRUNC(MOD(($Z682*1103515245 +12345)/ 65536, 32768),0)/32768),0))</f>
        <v>14</v>
      </c>
      <c r="N682" s="16" t="e">
        <f t="shared" ca="1" si="36"/>
        <v>#NAME?</v>
      </c>
      <c r="O682" s="153">
        <f ca="1">VLOOKUP($AB$2,'RF Mod'!$A$2:$G$12,5,FALSE)+VLOOKUP($AD$2,'RF Mod'!$I$2:$O$11,5,FALSE)+(TRUNC(6+(24-6)*(TRUNC(MOD(($Z682*1103515245 +12345)/ 65536, 32768),0)/32768),0))</f>
        <v>17</v>
      </c>
      <c r="P682" s="16" t="e">
        <f t="shared" ca="1" si="37"/>
        <v>#NAME?</v>
      </c>
      <c r="Q682" s="153">
        <f ca="1">VLOOKUP($AB$2,'RF Mod'!$A$2:$G$12,6,FALSE)+VLOOKUP($AD$2,'RF Mod'!$I$2:$O$11,6,FALSE)+(TRUNC(6+(24-6)*(TRUNC(MOD(($Z682*1103515245 +12345)/ 65536, 32768),0)/32768),0))</f>
        <v>15</v>
      </c>
      <c r="R682" s="16" t="e">
        <f t="shared" ca="1" si="38"/>
        <v>#NAME?</v>
      </c>
      <c r="S682" s="154">
        <f t="shared" ca="1" si="43"/>
        <v>168</v>
      </c>
      <c r="T682" s="154">
        <f t="shared" ca="1" si="39"/>
        <v>183</v>
      </c>
      <c r="U682" s="16" t="str">
        <f t="shared" ca="1" si="40"/>
        <v>Dead</v>
      </c>
      <c r="V682" s="155">
        <f ca="1">IFERROR(__xludf.DUMMYFUNCTION("if(W682=""Middle Age"",QUERY(NPCVar!$K$2:$N1000, ""Select L where K = '""&amp;AB682&amp;""'""),if(W682=""Old"",QUERY(NPCVar!$K$2:$N1000, ""Select M where K = '""&amp;AB682&amp;""'""),if(W682=""Venerable"",QUERY(NPCVar!$K$2:$N1000, ""Select N where K = '""&amp;AB682&amp;""'""),fa"&amp;"lse)))*X682"),190)</f>
        <v>190</v>
      </c>
      <c r="W682" s="156" t="str">
        <f t="array" ref="W682">INDEX(NPCAgeType,TRUNC(1+(4-1)*(TRUNC(MOD((X682*1103515245 +12345)/ 65536, 32768),0)/32768),0))</f>
        <v>Venerable</v>
      </c>
      <c r="X682" s="117">
        <f t="shared" si="45"/>
        <v>1.9</v>
      </c>
      <c r="Y682" s="157" t="e">
        <f t="array" aca="1" ref="Y682" ca="1">LOOKUP(ABS(MAX(Z682 + MIN(ABS(INDIRECT("Class Jobs!B"&amp;MATCH(E682,'Class Jobs'!$A$1:$A1000,0)&amp;":"&amp;"AF"&amp;MATCH(E682,'Class Jobs'!$A$1:$A1000,0)&amp;"")-$Z682)) * SUM(IF(MIN(ABS(INDIRECT("Class Jobs!B"&amp;MATCH(E682,'Class Jobs'!$A$1:$A1000,0)&amp;":"&amp;"AF"&amp;MATCH(E682,'Class Jobs'!$A$1:$A1000,0)&amp;"")-$Z682))=ABS(INDIRECT("Class Jobs!B"&amp;MATCH(E682,'Class Jobs'!$A$1:$A1000,0)&amp;":"&amp;"AF"&amp;MATCH(E682,'Class Jobs'!$A$1:$A1000,0)&amp;"")-$Z682),SIGN(INDIRECT("Class Jobs!B"&amp;MATCH(E682,'Class Jobs'!$A$1:A1000,0)&amp;":"&amp;"AF"&amp;MATCH(E682,'Class Jobs'!$A$1:$A1000,0)&amp;"")-$Z682),0)),0)),INDIRECT("Class Jobs!B"&amp;MATCH(E682,'Class Jobs'!$A$1:$A1000,0)&amp;":"&amp;"AF"&amp;MATCH(E682,'Class Jobs'!$A$1:$A1000,1)&amp;""),'Class Jobs'!$B$1:$AF$1)</f>
        <v>#REF!</v>
      </c>
      <c r="Z682" s="158">
        <f t="shared" si="41"/>
        <v>0.77</v>
      </c>
      <c r="AA682" s="16" t="str">
        <f t="array" ref="AA682">INDEX(NPCGender,TRUNC(1+(COUNTA(NPCGender))*(TRUNC(MOD(($B682*1103515245 +12345)/ 65536, 32768),0)/32768),0))</f>
        <v>Neutral</v>
      </c>
      <c r="AB682" s="16" t="str">
        <f t="array" ref="AB682">INDEX(NPCRace,TRUNC(1+(COUNTA(NPCRace))*(TRUNC(MOD(($B682*1103515245 +12345)/ 65536, 32768),0)/32768),0))</f>
        <v>Tiefling</v>
      </c>
      <c r="AC682" s="16" t="str">
        <f t="array" ref="AC682">INDEX(NPCAL,TRUNC(1+(COUNTA(NPCAL))*(TRUNC(MOD(($B682*1103515245 +12345)/ 65536, 32768),0)/32768),0))</f>
        <v>LG</v>
      </c>
      <c r="AD682" s="72" t="str">
        <f ca="1">IFERROR(__xludf.DUMMYFUNCTION("if(V682&lt;15,QUERY(NPCVar!C:D,""Select D WHERE C = '""&amp;D682&amp;""'""),if((TRUNC(1+10)*(TRUNC(MOD((ROW(H682)*1103515245 +12345)/ 65536, 32768),0)/32768)/10) &gt; 0.85,INDEX(NPCFaction,TRUNC(1+(counta(NPCFaction)-1)*(TRUNC(MOD(($B682*1103515245 +12345)/ 65536, 3276"&amp;"8),0)/32768),0)),QUERY(NPCVar!C:D,""Select D WHERE C = '""&amp;D682&amp;""'"")))"),"Traverlers Guild")</f>
        <v>Traverlers Guild</v>
      </c>
      <c r="AE682" s="108" t="e">
        <f t="shared" ca="1" si="42"/>
        <v>#NAME?</v>
      </c>
      <c r="AF682" s="159">
        <f ca="1">IFERROR(__xludf.DUMMYFUNCTION("AE682*(V682 / QUERY(NPCVar!$K$2:$N$12, ""Select N WHERE K='""&amp;AB682&amp;""'""))*TRUNC(1+10)*(TRUNC(MOD(($B682*1103515245 +12345)/ 65536, 32768),0)/32768)"),16.0844787597656)</f>
        <v>16.084478759765599</v>
      </c>
      <c r="AG682" s="16"/>
      <c r="AH682" s="77"/>
      <c r="AI682" s="114"/>
    </row>
    <row r="683" spans="1:35" ht="16.2">
      <c r="A683" s="53">
        <v>682</v>
      </c>
      <c r="B683" s="118">
        <f t="shared" si="47"/>
        <v>0.49179</v>
      </c>
      <c r="C683" s="72" t="str">
        <f t="array" ref="C683">INDEX(NPCFName,TRUNC(1+(COUNTA(NPCFName))*(TRUNC(MOD(($B683*1103515245 +12345)/ 65536, 32768),0)/32768),0))</f>
        <v>Ryodan</v>
      </c>
      <c r="D683" s="16" t="str">
        <f t="array" ref="D683">INDEX(NPCLName,TRUNC(1+(COUNTA(NPCLName))*(TRUNC(MOD(($B683*1103515245 +12345)/ 65536, 32768),0)/32768),0))</f>
        <v>Tuskleaf</v>
      </c>
      <c r="E683" s="16" t="str">
        <f t="array" ref="E683">INDEX(NPCClass,TRUNC(1+(COUNTA(NPCClass))*(TRUNC(MOD(($B683*1103515245 +12345)/ 65536, 32768),0)/32768),0))</f>
        <v>Monk</v>
      </c>
      <c r="F683" s="76">
        <v>1</v>
      </c>
      <c r="G683" s="153">
        <f ca="1">VLOOKUP($AB$2,'RF Mod'!$A$2:$G$12,2,FALSE)+VLOOKUP($AD$2,'RF Mod'!$I$2:$O$11,2,FALSE)+(TRUNC(6+(24-6)*(TRUNC(MOD(($Z683*1103515245 +12345)/ 65536, 32768),0)/32768),0))</f>
        <v>6</v>
      </c>
      <c r="H683" s="16">
        <f t="shared" ca="1" si="33"/>
        <v>-2</v>
      </c>
      <c r="I683" s="153">
        <f ca="1">VLOOKUP($AB$2,'RF Mod'!$A$2:$G$12,3,FALSE)+VLOOKUP($AD$2,'RF Mod'!$I$2:$O$11,3,FALSE)+(TRUNC(6+(24-6)*(TRUNC(MOD(($Z683*1103515245 +12345)/ 65536, 32768),0)/32768),0))</f>
        <v>10</v>
      </c>
      <c r="J683" s="16" t="e">
        <f t="shared" ca="1" si="34"/>
        <v>#NAME?</v>
      </c>
      <c r="K683" s="153">
        <f ca="1">VLOOKUP($AB$2,'RF Mod'!$A$2:$G$12,3,FALSE)+VLOOKUP($AD$2,'RF Mod'!$I$2:$O$11,3,FALSE)+(TRUNC(6+(24-6)*(TRUNC(MOD(($Z683*1103515245 +12345)/ 65536, 32768),0)/32768),0))</f>
        <v>10</v>
      </c>
      <c r="L683" s="16" t="e">
        <f t="shared" ca="1" si="35"/>
        <v>#NAME?</v>
      </c>
      <c r="M683" s="153">
        <f ca="1">VLOOKUP($AB$2,'RF Mod'!$A$2:$G$12,4,FALSE)+VLOOKUP($AD$2,'RF Mod'!$I$2:$O$11,4,FALSE)+(TRUNC(6+(24-6)*(TRUNC(MOD(($Z683*1103515245 +12345)/ 65536, 32768),0)/32768),0))</f>
        <v>9</v>
      </c>
      <c r="N683" s="16">
        <f t="shared" ca="1" si="36"/>
        <v>-1</v>
      </c>
      <c r="O683" s="153">
        <f ca="1">VLOOKUP($AB$2,'RF Mod'!$A$2:$G$12,5,FALSE)+VLOOKUP($AD$2,'RF Mod'!$I$2:$O$11,5,FALSE)+(TRUNC(6+(24-6)*(TRUNC(MOD(($Z683*1103515245 +12345)/ 65536, 32768),0)/32768),0))</f>
        <v>12</v>
      </c>
      <c r="P683" s="16" t="e">
        <f t="shared" ca="1" si="37"/>
        <v>#NAME?</v>
      </c>
      <c r="Q683" s="153">
        <f ca="1">VLOOKUP($AB$2,'RF Mod'!$A$2:$G$12,6,FALSE)+VLOOKUP($AD$2,'RF Mod'!$I$2:$O$11,6,FALSE)+(TRUNC(6+(24-6)*(TRUNC(MOD(($Z683*1103515245 +12345)/ 65536, 32768),0)/32768),0))</f>
        <v>10</v>
      </c>
      <c r="R683" s="16" t="e">
        <f t="shared" ca="1" si="38"/>
        <v>#NAME?</v>
      </c>
      <c r="S683" s="154">
        <f t="shared" ca="1" si="43"/>
        <v>14</v>
      </c>
      <c r="T683" s="154">
        <f t="shared" ca="1" si="39"/>
        <v>4</v>
      </c>
      <c r="U683" s="16" t="str">
        <f t="shared" ca="1" si="40"/>
        <v>Fine</v>
      </c>
      <c r="V683" s="155">
        <f ca="1">IFERROR(__xludf.DUMMYFUNCTION("if(W683=""Middle Age"",QUERY(NPCVar!$K$2:$N1000, ""Select L where K = '""&amp;AB683&amp;""'""),if(W683=""Old"",QUERY(NPCVar!$K$2:$N1000, ""Select M where K = '""&amp;AB683&amp;""'""),if(W683=""Venerable"",QUERY(NPCVar!$K$2:$N1000, ""Select N where K = '""&amp;AB683&amp;""'""),fa"&amp;"lse)))*X683"),196.875)</f>
        <v>196.875</v>
      </c>
      <c r="W683" s="156" t="str">
        <f t="array" ref="W683">INDEX(NPCAgeType,TRUNC(1+(4-1)*(TRUNC(MOD((X683*1103515245 +12345)/ 65536, 32768),0)/32768),0))</f>
        <v>Old</v>
      </c>
      <c r="X683" s="117">
        <f t="shared" si="45"/>
        <v>0.7</v>
      </c>
      <c r="Y683" s="157" t="e">
        <f t="array" aca="1" ref="Y683" ca="1">LOOKUP(ABS(MAX(Z683 + MIN(ABS(INDIRECT("Class Jobs!B"&amp;MATCH(E683,'Class Jobs'!$A$1:$A1000,0)&amp;":"&amp;"AF"&amp;MATCH(E683,'Class Jobs'!$A$1:$A1000,0)&amp;"")-$Z683)) * SUM(IF(MIN(ABS(INDIRECT("Class Jobs!B"&amp;MATCH(E683,'Class Jobs'!$A$1:$A1000,0)&amp;":"&amp;"AF"&amp;MATCH(E683,'Class Jobs'!$A$1:$A1000,0)&amp;"")-$Z683))=ABS(INDIRECT("Class Jobs!B"&amp;MATCH(E683,'Class Jobs'!$A$1:$A1000,0)&amp;":"&amp;"AF"&amp;MATCH(E683,'Class Jobs'!$A$1:$A1000,0)&amp;"")-$Z683),SIGN(INDIRECT("Class Jobs!B"&amp;MATCH(E683,'Class Jobs'!$A$1:A1000,0)&amp;":"&amp;"AF"&amp;MATCH(E683,'Class Jobs'!$A$1:$A1000,0)&amp;"")-$Z683),0)),0)),INDIRECT("Class Jobs!B"&amp;MATCH(E683,'Class Jobs'!$A$1:$A1000,0)&amp;":"&amp;"AF"&amp;MATCH(E683,'Class Jobs'!$A$1:$A1000,1)&amp;""),'Class Jobs'!$B$1:$AF$1)</f>
        <v>#REF!</v>
      </c>
      <c r="Z683" s="158">
        <f t="shared" si="41"/>
        <v>0.26</v>
      </c>
      <c r="AA683" s="16" t="str">
        <f t="array" ref="AA683">INDEX(NPCGender,TRUNC(1+(COUNTA(NPCGender))*(TRUNC(MOD(($B683*1103515245 +12345)/ 65536, 32768),0)/32768),0))</f>
        <v>Male</v>
      </c>
      <c r="AB683" s="16" t="str">
        <f t="array" ref="AB683">INDEX(NPCRace,TRUNC(1+(COUNTA(NPCRace))*(TRUNC(MOD(($B683*1103515245 +12345)/ 65536, 32768),0)/32768),0))</f>
        <v>Elf</v>
      </c>
      <c r="AC683" s="16" t="str">
        <f t="array" ref="AC683">INDEX(NPCAL,TRUNC(1+(COUNTA(NPCAL))*(TRUNC(MOD(($B683*1103515245 +12345)/ 65536, 32768),0)/32768),0))</f>
        <v>CG</v>
      </c>
      <c r="AD683" s="72" t="str">
        <f ca="1">IFERROR(__xludf.DUMMYFUNCTION("if(V683&lt;15,QUERY(NPCVar!C:D,""Select D WHERE C = '""&amp;D683&amp;""'""),if((TRUNC(1+10)*(TRUNC(MOD((ROW(H683)*1103515245 +12345)/ 65536, 32768),0)/32768)/10) &gt; 0.85,INDEX(NPCFaction,TRUNC(1+(counta(NPCFaction)-1)*(TRUNC(MOD(($B683*1103515245 +12345)/ 65536, 3276"&amp;"8),0)/32768),0)),QUERY(NPCVar!C:D,""Select D WHERE C = '""&amp;D683&amp;""'"")))"),"Traders Guild")</f>
        <v>Traders Guild</v>
      </c>
      <c r="AE683" s="108" t="e">
        <f t="shared" ca="1" si="42"/>
        <v>#NAME?</v>
      </c>
      <c r="AF683" s="159">
        <f ca="1">IFERROR(__xludf.DUMMYFUNCTION("AE683*(V683 / QUERY(NPCVar!$K$2:$N$12, ""Select N WHERE K='""&amp;AB683&amp;""'""))*TRUNC(1+10)*(TRUNC(MOD(($B683*1103515245 +12345)/ 65536, 32768),0)/32768)"),0.218915290832519)</f>
        <v>0.21891529083251901</v>
      </c>
      <c r="AG683" s="16"/>
      <c r="AH683" s="77"/>
      <c r="AI683" s="114"/>
    </row>
    <row r="684" spans="1:35" ht="16.2">
      <c r="A684" s="53">
        <v>683</v>
      </c>
      <c r="B684" s="118">
        <f t="shared" si="47"/>
        <v>1.98593</v>
      </c>
      <c r="C684" s="72" t="str">
        <f t="array" ref="C684">INDEX(NPCFName,TRUNC(1+(COUNTA(NPCFName))*(TRUNC(MOD(($B684*1103515245 +12345)/ 65536, 32768),0)/32768),0))</f>
        <v>Auden</v>
      </c>
      <c r="D684" s="16" t="str">
        <f t="array" ref="D684">INDEX(NPCLName,TRUNC(1+(COUNTA(NPCLName))*(TRUNC(MOD(($B684*1103515245 +12345)/ 65536, 32768),0)/32768),0))</f>
        <v>Stagfang</v>
      </c>
      <c r="E684" s="16" t="str">
        <f t="array" ref="E684">INDEX(NPCClass,TRUNC(1+(COUNTA(NPCClass))*(TRUNC(MOD(($B684*1103515245 +12345)/ 65536, 32768),0)/32768),0))</f>
        <v>Barbarian</v>
      </c>
      <c r="F684" s="76">
        <v>1</v>
      </c>
      <c r="G684" s="153">
        <f ca="1">VLOOKUP($AB$2,'RF Mod'!$A$2:$G$12,2,FALSE)+VLOOKUP($AD$2,'RF Mod'!$I$2:$O$11,2,FALSE)+(TRUNC(6+(24-6)*(TRUNC(MOD(($Z684*1103515245 +12345)/ 65536, 32768),0)/32768),0))</f>
        <v>4</v>
      </c>
      <c r="H684" s="16">
        <f t="shared" ca="1" si="33"/>
        <v>-3</v>
      </c>
      <c r="I684" s="153">
        <f ca="1">VLOOKUP($AB$2,'RF Mod'!$A$2:$G$12,3,FALSE)+VLOOKUP($AD$2,'RF Mod'!$I$2:$O$11,3,FALSE)+(TRUNC(6+(24-6)*(TRUNC(MOD(($Z684*1103515245 +12345)/ 65536, 32768),0)/32768),0))</f>
        <v>8</v>
      </c>
      <c r="J684" s="16">
        <f t="shared" ca="1" si="34"/>
        <v>-1</v>
      </c>
      <c r="K684" s="153">
        <f ca="1">VLOOKUP($AB$2,'RF Mod'!$A$2:$G$12,3,FALSE)+VLOOKUP($AD$2,'RF Mod'!$I$2:$O$11,3,FALSE)+(TRUNC(6+(24-6)*(TRUNC(MOD(($Z684*1103515245 +12345)/ 65536, 32768),0)/32768),0))</f>
        <v>8</v>
      </c>
      <c r="L684" s="16">
        <f t="shared" ca="1" si="35"/>
        <v>-1</v>
      </c>
      <c r="M684" s="153">
        <f ca="1">VLOOKUP($AB$2,'RF Mod'!$A$2:$G$12,4,FALSE)+VLOOKUP($AD$2,'RF Mod'!$I$2:$O$11,4,FALSE)+(TRUNC(6+(24-6)*(TRUNC(MOD(($Z684*1103515245 +12345)/ 65536, 32768),0)/32768),0))</f>
        <v>7</v>
      </c>
      <c r="N684" s="16">
        <f t="shared" ca="1" si="36"/>
        <v>-2</v>
      </c>
      <c r="O684" s="153">
        <f ca="1">VLOOKUP($AB$2,'RF Mod'!$A$2:$G$12,5,FALSE)+VLOOKUP($AD$2,'RF Mod'!$I$2:$O$11,5,FALSE)+(TRUNC(6+(24-6)*(TRUNC(MOD(($Z684*1103515245 +12345)/ 65536, 32768),0)/32768),0))</f>
        <v>10</v>
      </c>
      <c r="P684" s="16" t="e">
        <f t="shared" ca="1" si="37"/>
        <v>#NAME?</v>
      </c>
      <c r="Q684" s="153">
        <f ca="1">VLOOKUP($AB$2,'RF Mod'!$A$2:$G$12,6,FALSE)+VLOOKUP($AD$2,'RF Mod'!$I$2:$O$11,6,FALSE)+(TRUNC(6+(24-6)*(TRUNC(MOD(($Z684*1103515245 +12345)/ 65536, 32768),0)/32768),0))</f>
        <v>8</v>
      </c>
      <c r="R684" s="16">
        <f t="shared" ca="1" si="38"/>
        <v>-1</v>
      </c>
      <c r="S684" s="154">
        <f t="shared" ca="1" si="43"/>
        <v>10</v>
      </c>
      <c r="T684" s="154">
        <f t="shared" ca="1" si="39"/>
        <v>12</v>
      </c>
      <c r="U684" s="16" t="str">
        <f t="shared" ca="1" si="40"/>
        <v>Dead</v>
      </c>
      <c r="V684" s="155">
        <f ca="1">IFERROR(__xludf.DUMMYFUNCTION("if(W684=""Middle Age"",QUERY(NPCVar!$K$2:$N1000, ""Select L where K = '""&amp;AB684&amp;""'""),if(W684=""Old"",QUERY(NPCVar!$K$2:$N1000, ""Select M where K = '""&amp;AB684&amp;""'""),if(W684=""Venerable"",QUERY(NPCVar!$K$2:$N1000, ""Select N where K = '""&amp;AB684&amp;""'""),fa"&amp;"lse)))*X684"),2)</f>
        <v>2</v>
      </c>
      <c r="W684" s="156" t="str">
        <f t="array" ref="W684">INDEX(NPCAgeType,TRUNC(1+(4-1)*(TRUNC(MOD((X684*1103515245 +12345)/ 65536, 32768),0)/32768),0))</f>
        <v>Middle Age</v>
      </c>
      <c r="X684" s="117">
        <f t="shared" si="45"/>
        <v>0.1</v>
      </c>
      <c r="Y684" s="157" t="e">
        <f t="array" aca="1" ref="Y684" ca="1">LOOKUP(ABS(MAX(Z684 + MIN(ABS(INDIRECT("Class Jobs!B"&amp;MATCH(E684,'Class Jobs'!$A$1:$A1000,0)&amp;":"&amp;"AF"&amp;MATCH(E684,'Class Jobs'!$A$1:$A1000,0)&amp;"")-$Z684)) * SUM(IF(MIN(ABS(INDIRECT("Class Jobs!B"&amp;MATCH(E684,'Class Jobs'!$A$1:$A1000,0)&amp;":"&amp;"AF"&amp;MATCH(E684,'Class Jobs'!$A$1:$A1000,0)&amp;"")-$Z684))=ABS(INDIRECT("Class Jobs!B"&amp;MATCH(E684,'Class Jobs'!$A$1:$A1000,0)&amp;":"&amp;"AF"&amp;MATCH(E684,'Class Jobs'!$A$1:$A1000,0)&amp;"")-$Z684),SIGN(INDIRECT("Class Jobs!B"&amp;MATCH(E684,'Class Jobs'!$A$1:A1000,0)&amp;":"&amp;"AF"&amp;MATCH(E684,'Class Jobs'!$A$1:$A1000,0)&amp;"")-$Z684),0)),0)),INDIRECT("Class Jobs!B"&amp;MATCH(E684,'Class Jobs'!$A$1:$A1000,0)&amp;":"&amp;"AF"&amp;MATCH(E684,'Class Jobs'!$A$1:$A1000,1)&amp;""),'Class Jobs'!$B$1:$AF$1)</f>
        <v>#REF!</v>
      </c>
      <c r="Z684" s="158">
        <f t="shared" si="41"/>
        <v>0.03</v>
      </c>
      <c r="AA684" s="16" t="str">
        <f t="array" ref="AA684">INDEX(NPCGender,TRUNC(1+(COUNTA(NPCGender))*(TRUNC(MOD(($B684*1103515245 +12345)/ 65536, 32768),0)/32768),0))</f>
        <v>Male</v>
      </c>
      <c r="AB684" s="16" t="str">
        <f t="array" ref="AB684">INDEX(NPCRace,TRUNC(1+(COUNTA(NPCRace))*(TRUNC(MOD(($B684*1103515245 +12345)/ 65536, 32768),0)/32768),0))</f>
        <v>Dragonborn</v>
      </c>
      <c r="AC684" s="16" t="str">
        <f t="array" ref="AC684">INDEX(NPCAL,TRUNC(1+(COUNTA(NPCAL))*(TRUNC(MOD(($B684*1103515245 +12345)/ 65536, 32768),0)/32768),0))</f>
        <v>CN</v>
      </c>
      <c r="AD684" s="72" t="str">
        <f ca="1">IFERROR(__xludf.DUMMYFUNCTION("if(V684&lt;15,QUERY(NPCVar!C:D,""Select D WHERE C = '""&amp;D684&amp;""'""),if((TRUNC(1+10)*(TRUNC(MOD((ROW(H684)*1103515245 +12345)/ 65536, 32768),0)/32768)/10) &gt; 0.85,INDEX(NPCFaction,TRUNC(1+(counta(NPCFaction)-1)*(TRUNC(MOD(($B684*1103515245 +12345)/ 65536, 3276"&amp;"8),0)/32768),0)),QUERY(NPCVar!C:D,""Select D WHERE C = '""&amp;D684&amp;""'"")))"),"Royalty")</f>
        <v>Royalty</v>
      </c>
      <c r="AE684" s="108" t="e">
        <f t="shared" ca="1" si="42"/>
        <v>#NAME?</v>
      </c>
      <c r="AF684" s="159">
        <f ca="1">IFERROR(__xludf.DUMMYFUNCTION("AE684*(V684 / QUERY(NPCVar!$K$2:$N$12, ""Select N WHERE K='""&amp;AB684&amp;""'""))*TRUNC(1+10)*(TRUNC(MOD(($B684*1103515245 +12345)/ 65536, 32768),0)/32768)"),0.00337875366210937)</f>
        <v>3.3787536621093699E-3</v>
      </c>
      <c r="AG684" s="16"/>
      <c r="AH684" s="77"/>
      <c r="AI684" s="114"/>
    </row>
    <row r="685" spans="1:35" ht="16.2">
      <c r="A685" s="53">
        <v>684</v>
      </c>
      <c r="B685" s="118">
        <f t="shared" si="47"/>
        <v>0.98007</v>
      </c>
      <c r="C685" s="72" t="str">
        <f t="array" ref="C685">INDEX(NPCFName,TRUNC(1+(COUNTA(NPCFName))*(TRUNC(MOD(($B685*1103515245 +12345)/ 65536, 32768),0)/32768),0))</f>
        <v>Lahorn</v>
      </c>
      <c r="D685" s="16" t="str">
        <f t="array" ref="D685">INDEX(NPCLName,TRUNC(1+(COUNTA(NPCLName))*(TRUNC(MOD(($B685*1103515245 +12345)/ 65536, 32768),0)/32768),0))</f>
        <v>Staghammer</v>
      </c>
      <c r="E685" s="16" t="str">
        <f t="array" ref="E685">INDEX(NPCClass,TRUNC(1+(COUNTA(NPCClass))*(TRUNC(MOD(($B685*1103515245 +12345)/ 65536, 32768),0)/32768),0))</f>
        <v>Sorcerer</v>
      </c>
      <c r="F685" s="76">
        <v>8</v>
      </c>
      <c r="G685" s="153">
        <f ca="1">VLOOKUP($AB$2,'RF Mod'!$A$2:$G$12,2,FALSE)+VLOOKUP($AD$2,'RF Mod'!$I$2:$O$11,2,FALSE)+(TRUNC(6+(24-6)*(TRUNC(MOD(($Z685*1103515245 +12345)/ 65536, 32768),0)/32768),0))</f>
        <v>8</v>
      </c>
      <c r="H685" s="16">
        <f t="shared" ca="1" si="33"/>
        <v>-1</v>
      </c>
      <c r="I685" s="153">
        <f ca="1">VLOOKUP($AB$2,'RF Mod'!$A$2:$G$12,3,FALSE)+VLOOKUP($AD$2,'RF Mod'!$I$2:$O$11,3,FALSE)+(TRUNC(6+(24-6)*(TRUNC(MOD(($Z685*1103515245 +12345)/ 65536, 32768),0)/32768),0))</f>
        <v>12</v>
      </c>
      <c r="J685" s="16" t="e">
        <f t="shared" ca="1" si="34"/>
        <v>#NAME?</v>
      </c>
      <c r="K685" s="153">
        <f ca="1">VLOOKUP($AB$2,'RF Mod'!$A$2:$G$12,3,FALSE)+VLOOKUP($AD$2,'RF Mod'!$I$2:$O$11,3,FALSE)+(TRUNC(6+(24-6)*(TRUNC(MOD(($Z685*1103515245 +12345)/ 65536, 32768),0)/32768),0))</f>
        <v>12</v>
      </c>
      <c r="L685" s="16" t="e">
        <f t="shared" ca="1" si="35"/>
        <v>#NAME?</v>
      </c>
      <c r="M685" s="153">
        <f ca="1">VLOOKUP($AB$2,'RF Mod'!$A$2:$G$12,4,FALSE)+VLOOKUP($AD$2,'RF Mod'!$I$2:$O$11,4,FALSE)+(TRUNC(6+(24-6)*(TRUNC(MOD(($Z685*1103515245 +12345)/ 65536, 32768),0)/32768),0))</f>
        <v>11</v>
      </c>
      <c r="N685" s="16" t="e">
        <f t="shared" ca="1" si="36"/>
        <v>#NAME?</v>
      </c>
      <c r="O685" s="153">
        <f ca="1">VLOOKUP($AB$2,'RF Mod'!$A$2:$G$12,5,FALSE)+VLOOKUP($AD$2,'RF Mod'!$I$2:$O$11,5,FALSE)+(TRUNC(6+(24-6)*(TRUNC(MOD(($Z685*1103515245 +12345)/ 65536, 32768),0)/32768),0))</f>
        <v>14</v>
      </c>
      <c r="P685" s="16" t="e">
        <f t="shared" ca="1" si="37"/>
        <v>#NAME?</v>
      </c>
      <c r="Q685" s="153">
        <f ca="1">VLOOKUP($AB$2,'RF Mod'!$A$2:$G$12,6,FALSE)+VLOOKUP($AD$2,'RF Mod'!$I$2:$O$11,6,FALSE)+(TRUNC(6+(24-6)*(TRUNC(MOD(($Z685*1103515245 +12345)/ 65536, 32768),0)/32768),0))</f>
        <v>12</v>
      </c>
      <c r="R685" s="16" t="e">
        <f t="shared" ca="1" si="38"/>
        <v>#NAME?</v>
      </c>
      <c r="S685" s="154">
        <f t="shared" ca="1" si="43"/>
        <v>128</v>
      </c>
      <c r="T685" s="154">
        <f t="shared" ca="1" si="39"/>
        <v>45</v>
      </c>
      <c r="U685" s="16" t="str">
        <f t="shared" ca="1" si="40"/>
        <v>Fine</v>
      </c>
      <c r="V685" s="155">
        <f ca="1">IFERROR(__xludf.DUMMYFUNCTION("if(W685=""Middle Age"",QUERY(NPCVar!$K$2:$N1000, ""Select L where K = '""&amp;AB685&amp;""'""),if(W685=""Old"",QUERY(NPCVar!$K$2:$N1000, ""Select M where K = '""&amp;AB685&amp;""'""),if(W685=""Venerable"",QUERY(NPCVar!$K$2:$N1000, ""Select N where K = '""&amp;AB685&amp;""'""),fa"&amp;"lse)))*X685"),91)</f>
        <v>91</v>
      </c>
      <c r="W685" s="156" t="str">
        <f t="array" ref="W685">INDEX(NPCAgeType,TRUNC(1+(4-1)*(TRUNC(MOD((X685*1103515245 +12345)/ 65536, 32768),0)/32768),0))</f>
        <v>Venerable</v>
      </c>
      <c r="X685" s="117">
        <f t="shared" si="45"/>
        <v>1.3</v>
      </c>
      <c r="Y685" s="157" t="e">
        <f t="array" aca="1" ref="Y685" ca="1">LOOKUP(ABS(MAX(Z685 + MIN(ABS(INDIRECT("Class Jobs!B"&amp;MATCH(E685,'Class Jobs'!$A$1:$A1000,0)&amp;":"&amp;"AF"&amp;MATCH(E685,'Class Jobs'!$A$1:$A1000,0)&amp;"")-$Z685)) * SUM(IF(MIN(ABS(INDIRECT("Class Jobs!B"&amp;MATCH(E685,'Class Jobs'!$A$1:$A1000,0)&amp;":"&amp;"AF"&amp;MATCH(E685,'Class Jobs'!$A$1:$A1000,0)&amp;"")-$Z685))=ABS(INDIRECT("Class Jobs!B"&amp;MATCH(E685,'Class Jobs'!$A$1:$A1000,0)&amp;":"&amp;"AF"&amp;MATCH(E685,'Class Jobs'!$A$1:$A1000,0)&amp;"")-$Z685),SIGN(INDIRECT("Class Jobs!B"&amp;MATCH(E685,'Class Jobs'!$A$1:A1000,0)&amp;":"&amp;"AF"&amp;MATCH(E685,'Class Jobs'!$A$1:$A1000,0)&amp;"")-$Z685),0)),0)),INDIRECT("Class Jobs!B"&amp;MATCH(E685,'Class Jobs'!$A$1:$A1000,0)&amp;":"&amp;"AF"&amp;MATCH(E685,'Class Jobs'!$A$1:$A1000,1)&amp;""),'Class Jobs'!$B$1:$AF$1)</f>
        <v>#REF!</v>
      </c>
      <c r="Z685" s="158">
        <f t="shared" si="41"/>
        <v>0.5</v>
      </c>
      <c r="AA685" s="16" t="str">
        <f t="array" ref="AA685">INDEX(NPCGender,TRUNC(1+(COUNTA(NPCGender))*(TRUNC(MOD(($B685*1103515245 +12345)/ 65536, 32768),0)/32768),0))</f>
        <v>Female</v>
      </c>
      <c r="AB685" s="16" t="str">
        <f t="array" ref="AB685">INDEX(NPCRace,TRUNC(1+(COUNTA(NPCRace))*(TRUNC(MOD(($B685*1103515245 +12345)/ 65536, 32768),0)/32768),0))</f>
        <v>Half-Orc</v>
      </c>
      <c r="AC685" s="16" t="str">
        <f t="array" ref="AC685">INDEX(NPCAL,TRUNC(1+(COUNTA(NPCAL))*(TRUNC(MOD(($B685*1103515245 +12345)/ 65536, 32768),0)/32768),0))</f>
        <v>NN</v>
      </c>
      <c r="AD685" s="72" t="str">
        <f ca="1">IFERROR(__xludf.DUMMYFUNCTION("if(V685&lt;15,QUERY(NPCVar!C:D,""Select D WHERE C = '""&amp;D685&amp;""'""),if((TRUNC(1+10)*(TRUNC(MOD((ROW(H685)*1103515245 +12345)/ 65536, 32768),0)/32768)/10) &gt; 0.85,INDEX(NPCFaction,TRUNC(1+(counta(NPCFaction)-1)*(TRUNC(MOD(($B685*1103515245 +12345)/ 65536, 3276"&amp;"8),0)/32768),0)),QUERY(NPCVar!C:D,""Select D WHERE C = '""&amp;D685&amp;""'"")))"),"Thieves Guild")</f>
        <v>Thieves Guild</v>
      </c>
      <c r="AE685" s="108" t="e">
        <f t="shared" ca="1" si="42"/>
        <v>#NAME?</v>
      </c>
      <c r="AF685" s="159">
        <f ca="1">IFERROR(__xludf.DUMMYFUNCTION("AE685*(V685 / QUERY(NPCVar!$K$2:$N$12, ""Select N WHERE K='""&amp;AB685&amp;""'""))*TRUNC(1+10)*(TRUNC(MOD(($B685*1103515245 +12345)/ 65536, 32768),0)/32768)"),4.32089721679687)</f>
        <v>4.3208972167968698</v>
      </c>
      <c r="AG685" s="16"/>
      <c r="AH685" s="77"/>
      <c r="AI685" s="114"/>
    </row>
    <row r="686" spans="1:35" ht="16.2">
      <c r="A686" s="53">
        <v>685</v>
      </c>
      <c r="B686" s="118">
        <f t="shared" si="47"/>
        <v>2.4741300000000002</v>
      </c>
      <c r="C686" s="72" t="str">
        <f t="array" ref="C686">INDEX(NPCFName,TRUNC(1+(COUNTA(NPCFName))*(TRUNC(MOD(($B686*1103515245 +12345)/ 65536, 32768),0)/32768),0))</f>
        <v>Soderman</v>
      </c>
      <c r="D686" s="16" t="str">
        <f t="array" ref="D686">INDEX(NPCLName,TRUNC(1+(COUNTA(NPCLName))*(TRUNC(MOD(($B686*1103515245 +12345)/ 65536, 32768),0)/32768),0))</f>
        <v>Commonscream</v>
      </c>
      <c r="E686" s="16" t="str">
        <f t="array" ref="E686">INDEX(NPCClass,TRUNC(1+(COUNTA(NPCClass))*(TRUNC(MOD(($B686*1103515245 +12345)/ 65536, 32768),0)/32768),0))</f>
        <v>Monk</v>
      </c>
      <c r="F686" s="76">
        <v>4</v>
      </c>
      <c r="G686" s="153">
        <f ca="1">VLOOKUP($AB$2,'RF Mod'!$A$2:$G$12,2,FALSE)+VLOOKUP($AD$2,'RF Mod'!$I$2:$O$11,2,FALSE)+(TRUNC(6+(24-6)*(TRUNC(MOD(($Z686*1103515245 +12345)/ 65536, 32768),0)/32768),0))</f>
        <v>6</v>
      </c>
      <c r="H686" s="16">
        <f t="shared" ca="1" si="33"/>
        <v>-2</v>
      </c>
      <c r="I686" s="153">
        <f ca="1">VLOOKUP($AB$2,'RF Mod'!$A$2:$G$12,3,FALSE)+VLOOKUP($AD$2,'RF Mod'!$I$2:$O$11,3,FALSE)+(TRUNC(6+(24-6)*(TRUNC(MOD(($Z686*1103515245 +12345)/ 65536, 32768),0)/32768),0))</f>
        <v>10</v>
      </c>
      <c r="J686" s="16" t="e">
        <f t="shared" ca="1" si="34"/>
        <v>#NAME?</v>
      </c>
      <c r="K686" s="153">
        <f ca="1">VLOOKUP($AB$2,'RF Mod'!$A$2:$G$12,3,FALSE)+VLOOKUP($AD$2,'RF Mod'!$I$2:$O$11,3,FALSE)+(TRUNC(6+(24-6)*(TRUNC(MOD(($Z686*1103515245 +12345)/ 65536, 32768),0)/32768),0))</f>
        <v>10</v>
      </c>
      <c r="L686" s="16" t="e">
        <f t="shared" ca="1" si="35"/>
        <v>#NAME?</v>
      </c>
      <c r="M686" s="153">
        <f ca="1">VLOOKUP($AB$2,'RF Mod'!$A$2:$G$12,4,FALSE)+VLOOKUP($AD$2,'RF Mod'!$I$2:$O$11,4,FALSE)+(TRUNC(6+(24-6)*(TRUNC(MOD(($Z686*1103515245 +12345)/ 65536, 32768),0)/32768),0))</f>
        <v>9</v>
      </c>
      <c r="N686" s="16">
        <f t="shared" ca="1" si="36"/>
        <v>-1</v>
      </c>
      <c r="O686" s="153">
        <f ca="1">VLOOKUP($AB$2,'RF Mod'!$A$2:$G$12,5,FALSE)+VLOOKUP($AD$2,'RF Mod'!$I$2:$O$11,5,FALSE)+(TRUNC(6+(24-6)*(TRUNC(MOD(($Z686*1103515245 +12345)/ 65536, 32768),0)/32768),0))</f>
        <v>12</v>
      </c>
      <c r="P686" s="16" t="e">
        <f t="shared" ca="1" si="37"/>
        <v>#NAME?</v>
      </c>
      <c r="Q686" s="153">
        <f ca="1">VLOOKUP($AB$2,'RF Mod'!$A$2:$G$12,6,FALSE)+VLOOKUP($AD$2,'RF Mod'!$I$2:$O$11,6,FALSE)+(TRUNC(6+(24-6)*(TRUNC(MOD(($Z686*1103515245 +12345)/ 65536, 32768),0)/32768),0))</f>
        <v>10</v>
      </c>
      <c r="R686" s="16" t="e">
        <f t="shared" ca="1" si="38"/>
        <v>#NAME?</v>
      </c>
      <c r="S686" s="154">
        <f t="shared" ca="1" si="43"/>
        <v>64</v>
      </c>
      <c r="T686" s="154">
        <f t="shared" ca="1" si="39"/>
        <v>66</v>
      </c>
      <c r="U686" s="16" t="str">
        <f t="shared" ca="1" si="40"/>
        <v>Dead</v>
      </c>
      <c r="V686" s="155">
        <f ca="1">IFERROR(__xludf.DUMMYFUNCTION("if(W686=""Middle Age"",QUERY(NPCVar!$K$2:$N1000, ""Select L where K = '""&amp;AB686&amp;""'""),if(W686=""Old"",QUERY(NPCVar!$K$2:$N1000, ""Select M where K = '""&amp;AB686&amp;""'""),if(W686=""Venerable"",QUERY(NPCVar!$K$2:$N1000, ""Select N where K = '""&amp;AB686&amp;""'""),fa"&amp;"lse)))*X686"),196.875)</f>
        <v>196.875</v>
      </c>
      <c r="W686" s="156" t="str">
        <f t="array" ref="W686">INDEX(NPCAgeType,TRUNC(1+(4-1)*(TRUNC(MOD((X686*1103515245 +12345)/ 65536, 32768),0)/32768),0))</f>
        <v>Old</v>
      </c>
      <c r="X686" s="117">
        <f t="shared" si="45"/>
        <v>0.7</v>
      </c>
      <c r="Y686" s="157" t="e">
        <f t="array" aca="1" ref="Y686" ca="1">LOOKUP(ABS(MAX(Z686 + MIN(ABS(INDIRECT("Class Jobs!B"&amp;MATCH(E686,'Class Jobs'!$A$1:$A1000,0)&amp;":"&amp;"AF"&amp;MATCH(E686,'Class Jobs'!$A$1:$A1000,0)&amp;"")-$Z686)) * SUM(IF(MIN(ABS(INDIRECT("Class Jobs!B"&amp;MATCH(E686,'Class Jobs'!$A$1:$A1000,0)&amp;":"&amp;"AF"&amp;MATCH(E686,'Class Jobs'!$A$1:$A1000,0)&amp;"")-$Z686))=ABS(INDIRECT("Class Jobs!B"&amp;MATCH(E686,'Class Jobs'!$A$1:$A1000,0)&amp;":"&amp;"AF"&amp;MATCH(E686,'Class Jobs'!$A$1:$A1000,0)&amp;"")-$Z686),SIGN(INDIRECT("Class Jobs!B"&amp;MATCH(E686,'Class Jobs'!$A$1:A1000,0)&amp;":"&amp;"AF"&amp;MATCH(E686,'Class Jobs'!$A$1:$A1000,0)&amp;"")-$Z686),0)),0)),INDIRECT("Class Jobs!B"&amp;MATCH(E686,'Class Jobs'!$A$1:$A1000,0)&amp;":"&amp;"AF"&amp;MATCH(E686,'Class Jobs'!$A$1:$A1000,1)&amp;""),'Class Jobs'!$B$1:$AF$1)</f>
        <v>#REF!</v>
      </c>
      <c r="Z686" s="158">
        <f t="shared" si="41"/>
        <v>0.27</v>
      </c>
      <c r="AA686" s="16" t="str">
        <f t="array" ref="AA686">INDEX(NPCGender,TRUNC(1+(COUNTA(NPCGender))*(TRUNC(MOD(($B686*1103515245 +12345)/ 65536, 32768),0)/32768),0))</f>
        <v>Male</v>
      </c>
      <c r="AB686" s="16" t="str">
        <f t="array" ref="AB686">INDEX(NPCRace,TRUNC(1+(COUNTA(NPCRace))*(TRUNC(MOD(($B686*1103515245 +12345)/ 65536, 32768),0)/32768),0))</f>
        <v>Elf</v>
      </c>
      <c r="AC686" s="16" t="str">
        <f t="array" ref="AC686">INDEX(NPCAL,TRUNC(1+(COUNTA(NPCAL))*(TRUNC(MOD(($B686*1103515245 +12345)/ 65536, 32768),0)/32768),0))</f>
        <v>CG</v>
      </c>
      <c r="AD686" s="72" t="str">
        <f ca="1">IFERROR(__xludf.DUMMYFUNCTION("if(V686&lt;15,QUERY(NPCVar!C:D,""Select D WHERE C = '""&amp;D686&amp;""'""),if((TRUNC(1+10)*(TRUNC(MOD((ROW(H686)*1103515245 +12345)/ 65536, 32768),0)/32768)/10) &gt; 0.85,INDEX(NPCFaction,TRUNC(1+(counta(NPCFaction)-1)*(TRUNC(MOD(($B686*1103515245 +12345)/ 65536, 3276"&amp;"8),0)/32768),0)),QUERY(NPCVar!C:D,""Select D WHERE C = '""&amp;D686&amp;""'"")))"),"Necromancer")</f>
        <v>Necromancer</v>
      </c>
      <c r="AE686" s="108" t="e">
        <f t="shared" ca="1" si="42"/>
        <v>#NAME?</v>
      </c>
      <c r="AF686" s="159">
        <f ca="1">IFERROR(__xludf.DUMMYFUNCTION("AE686*(V686 / QUERY(NPCVar!$K$2:$N$12, ""Select N WHERE K='""&amp;AB686&amp;""'""))*TRUNC(1+10)*(TRUNC(MOD(($B686*1103515245 +12345)/ 65536, 32768),0)/32768)"),0.548491058349609)</f>
        <v>0.54849105834960898</v>
      </c>
      <c r="AG686" s="16"/>
      <c r="AH686" s="77"/>
      <c r="AI686" s="114"/>
    </row>
    <row r="687" spans="1:35" ht="16.2">
      <c r="A687" s="53">
        <v>686</v>
      </c>
      <c r="B687" s="118">
        <f t="shared" si="47"/>
        <v>1.46828</v>
      </c>
      <c r="C687" s="72" t="str">
        <f t="array" ref="C687">INDEX(NPCFName,TRUNC(1+(COUNTA(NPCFName))*(TRUNC(MOD(($B687*1103515245 +12345)/ 65536, 32768),0)/32768),0))</f>
        <v>Efamar</v>
      </c>
      <c r="D687" s="16" t="str">
        <f t="array" ref="D687">INDEX(NPCLName,TRUNC(1+(COUNTA(NPCLName))*(TRUNC(MOD(($B687*1103515245 +12345)/ 65536, 32768),0)/32768),0))</f>
        <v>Sacredgloom</v>
      </c>
      <c r="E687" s="16" t="str">
        <f t="array" ref="E687">INDEX(NPCClass,TRUNC(1+(COUNTA(NPCClass))*(TRUNC(MOD(($B687*1103515245 +12345)/ 65536, 32768),0)/32768),0))</f>
        <v>Cleric</v>
      </c>
      <c r="F687" s="76">
        <v>8</v>
      </c>
      <c r="G687" s="153">
        <f ca="1">VLOOKUP($AB$2,'RF Mod'!$A$2:$G$12,2,FALSE)+VLOOKUP($AD$2,'RF Mod'!$I$2:$O$11,2,FALSE)+(TRUNC(6+(24-6)*(TRUNC(MOD(($Z687*1103515245 +12345)/ 65536, 32768),0)/32768),0))</f>
        <v>10</v>
      </c>
      <c r="H687" s="16" t="e">
        <f t="shared" ca="1" si="33"/>
        <v>#NAME?</v>
      </c>
      <c r="I687" s="153">
        <f ca="1">VLOOKUP($AB$2,'RF Mod'!$A$2:$G$12,3,FALSE)+VLOOKUP($AD$2,'RF Mod'!$I$2:$O$11,3,FALSE)+(TRUNC(6+(24-6)*(TRUNC(MOD(($Z687*1103515245 +12345)/ 65536, 32768),0)/32768),0))</f>
        <v>14</v>
      </c>
      <c r="J687" s="16" t="e">
        <f t="shared" ca="1" si="34"/>
        <v>#NAME?</v>
      </c>
      <c r="K687" s="153">
        <f ca="1">VLOOKUP($AB$2,'RF Mod'!$A$2:$G$12,3,FALSE)+VLOOKUP($AD$2,'RF Mod'!$I$2:$O$11,3,FALSE)+(TRUNC(6+(24-6)*(TRUNC(MOD(($Z687*1103515245 +12345)/ 65536, 32768),0)/32768),0))</f>
        <v>14</v>
      </c>
      <c r="L687" s="16" t="e">
        <f t="shared" ca="1" si="35"/>
        <v>#NAME?</v>
      </c>
      <c r="M687" s="153">
        <f ca="1">VLOOKUP($AB$2,'RF Mod'!$A$2:$G$12,4,FALSE)+VLOOKUP($AD$2,'RF Mod'!$I$2:$O$11,4,FALSE)+(TRUNC(6+(24-6)*(TRUNC(MOD(($Z687*1103515245 +12345)/ 65536, 32768),0)/32768),0))</f>
        <v>13</v>
      </c>
      <c r="N687" s="16" t="e">
        <f t="shared" ca="1" si="36"/>
        <v>#NAME?</v>
      </c>
      <c r="O687" s="153">
        <f ca="1">VLOOKUP($AB$2,'RF Mod'!$A$2:$G$12,5,FALSE)+VLOOKUP($AD$2,'RF Mod'!$I$2:$O$11,5,FALSE)+(TRUNC(6+(24-6)*(TRUNC(MOD(($Z687*1103515245 +12345)/ 65536, 32768),0)/32768),0))</f>
        <v>16</v>
      </c>
      <c r="P687" s="16" t="e">
        <f t="shared" ca="1" si="37"/>
        <v>#NAME?</v>
      </c>
      <c r="Q687" s="153">
        <f ca="1">VLOOKUP($AB$2,'RF Mod'!$A$2:$G$12,6,FALSE)+VLOOKUP($AD$2,'RF Mod'!$I$2:$O$11,6,FALSE)+(TRUNC(6+(24-6)*(TRUNC(MOD(($Z687*1103515245 +12345)/ 65536, 32768),0)/32768),0))</f>
        <v>14</v>
      </c>
      <c r="R687" s="16" t="e">
        <f t="shared" ca="1" si="38"/>
        <v>#NAME?</v>
      </c>
      <c r="S687" s="154">
        <f t="shared" ca="1" si="43"/>
        <v>240</v>
      </c>
      <c r="T687" s="154">
        <f t="shared" ca="1" si="39"/>
        <v>161</v>
      </c>
      <c r="U687" s="16" t="str">
        <f t="shared" ca="1" si="40"/>
        <v>Bloody</v>
      </c>
      <c r="V687" s="155">
        <f ca="1">IFERROR(__xludf.DUMMYFUNCTION("if(W687=""Middle Age"",QUERY(NPCVar!$K$2:$N1000, ""Select L where K = '""&amp;AB687&amp;""'""),if(W687=""Old"",QUERY(NPCVar!$K$2:$N1000, ""Select M where K = '""&amp;AB687&amp;""'""),if(W687=""Venerable"",QUERY(NPCVar!$K$2:$N1000, ""Select N where K = '""&amp;AB687&amp;""'""),fa"&amp;"lse)))*X687"),190)</f>
        <v>190</v>
      </c>
      <c r="W687" s="156" t="str">
        <f t="array" ref="W687">INDEX(NPCAgeType,TRUNC(1+(4-1)*(TRUNC(MOD((X687*1103515245 +12345)/ 65536, 32768),0)/32768),0))</f>
        <v>Venerable</v>
      </c>
      <c r="X687" s="117">
        <f t="shared" si="45"/>
        <v>1.9</v>
      </c>
      <c r="Y687" s="157" t="e">
        <f t="array" aca="1" ref="Y687" ca="1">LOOKUP(ABS(MAX(Z687 + MIN(ABS(INDIRECT("Class Jobs!B"&amp;MATCH(E687,'Class Jobs'!$A$1:$A1000,0)&amp;":"&amp;"AF"&amp;MATCH(E687,'Class Jobs'!$A$1:$A1000,0)&amp;"")-$Z687)) * SUM(IF(MIN(ABS(INDIRECT("Class Jobs!B"&amp;MATCH(E687,'Class Jobs'!$A$1:$A1000,0)&amp;":"&amp;"AF"&amp;MATCH(E687,'Class Jobs'!$A$1:$A1000,0)&amp;"")-$Z687))=ABS(INDIRECT("Class Jobs!B"&amp;MATCH(E687,'Class Jobs'!$A$1:$A1000,0)&amp;":"&amp;"AF"&amp;MATCH(E687,'Class Jobs'!$A$1:$A1000,0)&amp;"")-$Z687),SIGN(INDIRECT("Class Jobs!B"&amp;MATCH(E687,'Class Jobs'!$A$1:A1000,0)&amp;":"&amp;"AF"&amp;MATCH(E687,'Class Jobs'!$A$1:$A1000,0)&amp;"")-$Z687),0)),0)),INDIRECT("Class Jobs!B"&amp;MATCH(E687,'Class Jobs'!$A$1:$A1000,0)&amp;":"&amp;"AF"&amp;MATCH(E687,'Class Jobs'!$A$1:$A1000,1)&amp;""),'Class Jobs'!$B$1:$AF$1)</f>
        <v>#REF!</v>
      </c>
      <c r="Z687" s="158">
        <f t="shared" si="41"/>
        <v>0.75</v>
      </c>
      <c r="AA687" s="16" t="str">
        <f t="array" ref="AA687">INDEX(NPCGender,TRUNC(1+(COUNTA(NPCGender))*(TRUNC(MOD(($B687*1103515245 +12345)/ 65536, 32768),0)/32768),0))</f>
        <v>Neutral</v>
      </c>
      <c r="AB687" s="16" t="str">
        <f t="array" ref="AB687">INDEX(NPCRace,TRUNC(1+(COUNTA(NPCRace))*(TRUNC(MOD(($B687*1103515245 +12345)/ 65536, 32768),0)/32768),0))</f>
        <v>Tiefling</v>
      </c>
      <c r="AC687" s="16" t="str">
        <f t="array" ref="AC687">INDEX(NPCAL,TRUNC(1+(COUNTA(NPCAL))*(TRUNC(MOD(($B687*1103515245 +12345)/ 65536, 32768),0)/32768),0))</f>
        <v>LG</v>
      </c>
      <c r="AD687" s="72" t="str">
        <f ca="1">IFERROR(__xludf.DUMMYFUNCTION("if(V687&lt;15,QUERY(NPCVar!C:D,""Select D WHERE C = '""&amp;D687&amp;""'""),if((TRUNC(1+10)*(TRUNC(MOD((ROW(H687)*1103515245 +12345)/ 65536, 32768),0)/32768)/10) &gt; 0.85,INDEX(NPCFaction,TRUNC(1+(counta(NPCFaction)-1)*(TRUNC(MOD(($B687*1103515245 +12345)/ 65536, 3276"&amp;"8),0)/32768),0)),QUERY(NPCVar!C:D,""Select D WHERE C = '""&amp;D687&amp;""'"")))"),"Adventures Guild")</f>
        <v>Adventures Guild</v>
      </c>
      <c r="AE687" s="108" t="e">
        <f t="shared" ca="1" si="42"/>
        <v>#NAME?</v>
      </c>
      <c r="AF687" s="159">
        <f ca="1">IFERROR(__xludf.DUMMYFUNCTION("AE687*(V687 / QUERY(NPCVar!$K$2:$N$12, ""Select N WHERE K='""&amp;AB687&amp;""'""))*TRUNC(1+10)*(TRUNC(MOD(($B687*1103515245 +12345)/ 65536, 32768),0)/32768)"),9.46125549316406)</f>
        <v>9.4612554931640602</v>
      </c>
      <c r="AG687" s="16"/>
      <c r="AH687" s="77"/>
      <c r="AI687" s="114"/>
    </row>
    <row r="688" spans="1:35" ht="16.2">
      <c r="A688" s="53">
        <v>687</v>
      </c>
      <c r="B688" s="118">
        <f t="shared" si="47"/>
        <v>0.46242</v>
      </c>
      <c r="C688" s="72" t="str">
        <f t="array" ref="C688">INDEX(NPCFName,TRUNC(1+(COUNTA(NPCFName))*(TRUNC(MOD(($B688*1103515245 +12345)/ 65536, 32768),0)/32768),0))</f>
        <v>Qysan</v>
      </c>
      <c r="D688" s="16" t="str">
        <f t="array" ref="D688">INDEX(NPCLName,TRUNC(1+(COUNTA(NPCLName))*(TRUNC(MOD(($B688*1103515245 +12345)/ 65536, 32768),0)/32768),0))</f>
        <v>Tuskleaf</v>
      </c>
      <c r="E688" s="16" t="str">
        <f t="array" ref="E688">INDEX(NPCClass,TRUNC(1+(COUNTA(NPCClass))*(TRUNC(MOD(($B688*1103515245 +12345)/ 65536, 32768),0)/32768),0))</f>
        <v>Druid</v>
      </c>
      <c r="F688" s="76">
        <v>3</v>
      </c>
      <c r="G688" s="153">
        <f ca="1">VLOOKUP($AB$2,'RF Mod'!$A$2:$G$12,2,FALSE)+VLOOKUP($AD$2,'RF Mod'!$I$2:$O$11,2,FALSE)+(TRUNC(6+(24-6)*(TRUNC(MOD(($Z688*1103515245 +12345)/ 65536, 32768),0)/32768),0))</f>
        <v>6</v>
      </c>
      <c r="H688" s="16">
        <f t="shared" ca="1" si="33"/>
        <v>-2</v>
      </c>
      <c r="I688" s="153">
        <f ca="1">VLOOKUP($AB$2,'RF Mod'!$A$2:$G$12,3,FALSE)+VLOOKUP($AD$2,'RF Mod'!$I$2:$O$11,3,FALSE)+(TRUNC(6+(24-6)*(TRUNC(MOD(($Z688*1103515245 +12345)/ 65536, 32768),0)/32768),0))</f>
        <v>10</v>
      </c>
      <c r="J688" s="16" t="e">
        <f t="shared" ca="1" si="34"/>
        <v>#NAME?</v>
      </c>
      <c r="K688" s="153">
        <f ca="1">VLOOKUP($AB$2,'RF Mod'!$A$2:$G$12,3,FALSE)+VLOOKUP($AD$2,'RF Mod'!$I$2:$O$11,3,FALSE)+(TRUNC(6+(24-6)*(TRUNC(MOD(($Z688*1103515245 +12345)/ 65536, 32768),0)/32768),0))</f>
        <v>10</v>
      </c>
      <c r="L688" s="16" t="e">
        <f t="shared" ca="1" si="35"/>
        <v>#NAME?</v>
      </c>
      <c r="M688" s="153">
        <f ca="1">VLOOKUP($AB$2,'RF Mod'!$A$2:$G$12,4,FALSE)+VLOOKUP($AD$2,'RF Mod'!$I$2:$O$11,4,FALSE)+(TRUNC(6+(24-6)*(TRUNC(MOD(($Z688*1103515245 +12345)/ 65536, 32768),0)/32768),0))</f>
        <v>9</v>
      </c>
      <c r="N688" s="16">
        <f t="shared" ca="1" si="36"/>
        <v>-1</v>
      </c>
      <c r="O688" s="153">
        <f ca="1">VLOOKUP($AB$2,'RF Mod'!$A$2:$G$12,5,FALSE)+VLOOKUP($AD$2,'RF Mod'!$I$2:$O$11,5,FALSE)+(TRUNC(6+(24-6)*(TRUNC(MOD(($Z688*1103515245 +12345)/ 65536, 32768),0)/32768),0))</f>
        <v>12</v>
      </c>
      <c r="P688" s="16" t="e">
        <f t="shared" ca="1" si="37"/>
        <v>#NAME?</v>
      </c>
      <c r="Q688" s="153">
        <f ca="1">VLOOKUP($AB$2,'RF Mod'!$A$2:$G$12,6,FALSE)+VLOOKUP($AD$2,'RF Mod'!$I$2:$O$11,6,FALSE)+(TRUNC(6+(24-6)*(TRUNC(MOD(($Z688*1103515245 +12345)/ 65536, 32768),0)/32768),0))</f>
        <v>10</v>
      </c>
      <c r="R688" s="16" t="e">
        <f t="shared" ca="1" si="38"/>
        <v>#NAME?</v>
      </c>
      <c r="S688" s="154">
        <f t="shared" ca="1" si="43"/>
        <v>84</v>
      </c>
      <c r="T688" s="154">
        <f t="shared" ca="1" si="39"/>
        <v>61</v>
      </c>
      <c r="U688" s="16" t="str">
        <f t="shared" ca="1" si="40"/>
        <v>Bloody</v>
      </c>
      <c r="V688" s="155">
        <f ca="1">IFERROR(__xludf.DUMMYFUNCTION("if(W688=""Middle Age"",QUERY(NPCVar!$K$2:$N1000, ""Select L where K = '""&amp;AB688&amp;""'""),if(W688=""Old"",QUERY(NPCVar!$K$2:$N1000, ""Select M where K = '""&amp;AB688&amp;""'""),if(W688=""Venerable"",QUERY(NPCVar!$K$2:$N1000, ""Select N where K = '""&amp;AB688&amp;""'""),fa"&amp;"lse)))*X688"),112.5)</f>
        <v>112.5</v>
      </c>
      <c r="W688" s="156" t="str">
        <f t="array" ref="W688">INDEX(NPCAgeType,TRUNC(1+(4-1)*(TRUNC(MOD((X688*1103515245 +12345)/ 65536, 32768),0)/32768),0))</f>
        <v>Middle Age</v>
      </c>
      <c r="X688" s="117">
        <f t="shared" si="45"/>
        <v>0.6</v>
      </c>
      <c r="Y688" s="157" t="e">
        <f t="array" aca="1" ref="Y688" ca="1">LOOKUP(ABS(MAX(Z688 + MIN(ABS(INDIRECT("Class Jobs!B"&amp;MATCH(E688,'Class Jobs'!$A$1:$A1000,0)&amp;":"&amp;"AF"&amp;MATCH(E688,'Class Jobs'!$A$1:$A1000,0)&amp;"")-$Z688)) * SUM(IF(MIN(ABS(INDIRECT("Class Jobs!B"&amp;MATCH(E688,'Class Jobs'!$A$1:$A1000,0)&amp;":"&amp;"AF"&amp;MATCH(E688,'Class Jobs'!$A$1:$A1000,0)&amp;"")-$Z688))=ABS(INDIRECT("Class Jobs!B"&amp;MATCH(E688,'Class Jobs'!$A$1:$A1000,0)&amp;":"&amp;"AF"&amp;MATCH(E688,'Class Jobs'!$A$1:$A1000,0)&amp;"")-$Z688),SIGN(INDIRECT("Class Jobs!B"&amp;MATCH(E688,'Class Jobs'!$A$1:A1000,0)&amp;":"&amp;"AF"&amp;MATCH(E688,'Class Jobs'!$A$1:$A1000,0)&amp;"")-$Z688),0)),0)),INDIRECT("Class Jobs!B"&amp;MATCH(E688,'Class Jobs'!$A$1:$A1000,0)&amp;":"&amp;"AF"&amp;MATCH(E688,'Class Jobs'!$A$1:$A1000,1)&amp;""),'Class Jobs'!$B$1:$AF$1)</f>
        <v>#REF!</v>
      </c>
      <c r="Z688" s="158">
        <f t="shared" si="41"/>
        <v>0.24</v>
      </c>
      <c r="AA688" s="16" t="str">
        <f t="array" ref="AA688">INDEX(NPCGender,TRUNC(1+(COUNTA(NPCGender))*(TRUNC(MOD(($B688*1103515245 +12345)/ 65536, 32768),0)/32768),0))</f>
        <v>Male</v>
      </c>
      <c r="AB688" s="16" t="str">
        <f t="array" ref="AB688">INDEX(NPCRace,TRUNC(1+(COUNTA(NPCRace))*(TRUNC(MOD(($B688*1103515245 +12345)/ 65536, 32768),0)/32768),0))</f>
        <v>Elf</v>
      </c>
      <c r="AC688" s="16" t="str">
        <f t="array" ref="AC688">INDEX(NPCAL,TRUNC(1+(COUNTA(NPCAL))*(TRUNC(MOD(($B688*1103515245 +12345)/ 65536, 32768),0)/32768),0))</f>
        <v>CG</v>
      </c>
      <c r="AD688" s="72" t="str">
        <f ca="1">IFERROR(__xludf.DUMMYFUNCTION("if(V688&lt;15,QUERY(NPCVar!C:D,""Select D WHERE C = '""&amp;D688&amp;""'""),if((TRUNC(1+10)*(TRUNC(MOD((ROW(H688)*1103515245 +12345)/ 65536, 32768),0)/32768)/10) &gt; 0.85,INDEX(NPCFaction,TRUNC(1+(counta(NPCFaction)-1)*(TRUNC(MOD(($B688*1103515245 +12345)/ 65536, 3276"&amp;"8),0)/32768),0)),QUERY(NPCVar!C:D,""Select D WHERE C = '""&amp;D688&amp;""'"")))"),"Magic Guild")</f>
        <v>Magic Guild</v>
      </c>
      <c r="AE688" s="108" t="e">
        <f t="shared" ca="1" si="42"/>
        <v>#NAME?</v>
      </c>
      <c r="AF688" s="159">
        <f ca="1">IFERROR(__xludf.DUMMYFUNCTION("AE688*(V688 / QUERY(NPCVar!$K$2:$N$12, ""Select N WHERE K='""&amp;AB688&amp;""'""))*TRUNC(1+10)*(TRUNC(MOD(($B688*1103515245 +12345)/ 65536, 32768),0)/32768)"),-0.0392056274414062)</f>
        <v>-3.9205627441406203E-2</v>
      </c>
      <c r="AG688" s="16"/>
      <c r="AH688" s="77"/>
      <c r="AI688" s="114"/>
    </row>
    <row r="689" spans="1:35" ht="16.2">
      <c r="A689" s="53">
        <v>688</v>
      </c>
      <c r="B689" s="118">
        <f t="shared" si="47"/>
        <v>1.9565600000000001</v>
      </c>
      <c r="C689" s="72" t="str">
        <f t="array" ref="C689">INDEX(NPCFName,TRUNC(1+(COUNTA(NPCFName))*(TRUNC(MOD(($B689*1103515245 +12345)/ 65536, 32768),0)/32768),0))</f>
        <v>Aghon</v>
      </c>
      <c r="D689" s="16" t="str">
        <f t="array" ref="D689">INDEX(NPCLName,TRUNC(1+(COUNTA(NPCLName))*(TRUNC(MOD(($B689*1103515245 +12345)/ 65536, 32768),0)/32768),0))</f>
        <v>Stagfang</v>
      </c>
      <c r="E689" s="16" t="str">
        <f t="array" ref="E689">INDEX(NPCClass,TRUNC(1+(COUNTA(NPCClass))*(TRUNC(MOD(($B689*1103515245 +12345)/ 65536, 32768),0)/32768),0))</f>
        <v>Barbarian</v>
      </c>
      <c r="F689" s="76">
        <v>1</v>
      </c>
      <c r="G689" s="153">
        <f ca="1">VLOOKUP($AB$2,'RF Mod'!$A$2:$G$12,2,FALSE)+VLOOKUP($AD$2,'RF Mod'!$I$2:$O$11,2,FALSE)+(TRUNC(6+(24-6)*(TRUNC(MOD(($Z689*1103515245 +12345)/ 65536, 32768),0)/32768),0))</f>
        <v>4</v>
      </c>
      <c r="H689" s="16">
        <f t="shared" ca="1" si="33"/>
        <v>-3</v>
      </c>
      <c r="I689" s="153">
        <f ca="1">VLOOKUP($AB$2,'RF Mod'!$A$2:$G$12,3,FALSE)+VLOOKUP($AD$2,'RF Mod'!$I$2:$O$11,3,FALSE)+(TRUNC(6+(24-6)*(TRUNC(MOD(($Z689*1103515245 +12345)/ 65536, 32768),0)/32768),0))</f>
        <v>8</v>
      </c>
      <c r="J689" s="16">
        <f t="shared" ca="1" si="34"/>
        <v>-1</v>
      </c>
      <c r="K689" s="153">
        <f ca="1">VLOOKUP($AB$2,'RF Mod'!$A$2:$G$12,3,FALSE)+VLOOKUP($AD$2,'RF Mod'!$I$2:$O$11,3,FALSE)+(TRUNC(6+(24-6)*(TRUNC(MOD(($Z689*1103515245 +12345)/ 65536, 32768),0)/32768),0))</f>
        <v>8</v>
      </c>
      <c r="L689" s="16">
        <f t="shared" ca="1" si="35"/>
        <v>-1</v>
      </c>
      <c r="M689" s="153">
        <f ca="1">VLOOKUP($AB$2,'RF Mod'!$A$2:$G$12,4,FALSE)+VLOOKUP($AD$2,'RF Mod'!$I$2:$O$11,4,FALSE)+(TRUNC(6+(24-6)*(TRUNC(MOD(($Z689*1103515245 +12345)/ 65536, 32768),0)/32768),0))</f>
        <v>7</v>
      </c>
      <c r="N689" s="16">
        <f t="shared" ca="1" si="36"/>
        <v>-2</v>
      </c>
      <c r="O689" s="153">
        <f ca="1">VLOOKUP($AB$2,'RF Mod'!$A$2:$G$12,5,FALSE)+VLOOKUP($AD$2,'RF Mod'!$I$2:$O$11,5,FALSE)+(TRUNC(6+(24-6)*(TRUNC(MOD(($Z689*1103515245 +12345)/ 65536, 32768),0)/32768),0))</f>
        <v>10</v>
      </c>
      <c r="P689" s="16" t="e">
        <f t="shared" ca="1" si="37"/>
        <v>#NAME?</v>
      </c>
      <c r="Q689" s="153">
        <f ca="1">VLOOKUP($AB$2,'RF Mod'!$A$2:$G$12,6,FALSE)+VLOOKUP($AD$2,'RF Mod'!$I$2:$O$11,6,FALSE)+(TRUNC(6+(24-6)*(TRUNC(MOD(($Z689*1103515245 +12345)/ 65536, 32768),0)/32768),0))</f>
        <v>8</v>
      </c>
      <c r="R689" s="16">
        <f t="shared" ca="1" si="38"/>
        <v>-1</v>
      </c>
      <c r="S689" s="154">
        <f t="shared" ca="1" si="43"/>
        <v>10</v>
      </c>
      <c r="T689" s="154">
        <f t="shared" ca="1" si="39"/>
        <v>9</v>
      </c>
      <c r="U689" s="16" t="str">
        <f t="shared" ca="1" si="40"/>
        <v>Bloody</v>
      </c>
      <c r="V689" s="155">
        <f ca="1">IFERROR(__xludf.DUMMYFUNCTION("if(W689=""Middle Age"",QUERY(NPCVar!$K$2:$N1000, ""Select L where K = '""&amp;AB689&amp;""'""),if(W689=""Old"",QUERY(NPCVar!$K$2:$N1000, ""Select M where K = '""&amp;AB689&amp;""'""),if(W689=""Venerable"",QUERY(NPCVar!$K$2:$N1000, ""Select N where K = '""&amp;AB689&amp;""'""),fa"&amp;"lse)))*X689"),2)</f>
        <v>2</v>
      </c>
      <c r="W689" s="156" t="str">
        <f t="array" ref="W689">INDEX(NPCAgeType,TRUNC(1+(4-1)*(TRUNC(MOD((X689*1103515245 +12345)/ 65536, 32768),0)/32768),0))</f>
        <v>Middle Age</v>
      </c>
      <c r="X689" s="117">
        <f t="shared" si="45"/>
        <v>0.1</v>
      </c>
      <c r="Y689" s="157" t="e">
        <f t="array" aca="1" ref="Y689" ca="1">LOOKUP(ABS(MAX(Z689 + MIN(ABS(INDIRECT("Class Jobs!B"&amp;MATCH(E689,'Class Jobs'!$A$1:$A1000,0)&amp;":"&amp;"AF"&amp;MATCH(E689,'Class Jobs'!$A$1:$A1000,0)&amp;"")-$Z689)) * SUM(IF(MIN(ABS(INDIRECT("Class Jobs!B"&amp;MATCH(E689,'Class Jobs'!$A$1:$A1000,0)&amp;":"&amp;"AF"&amp;MATCH(E689,'Class Jobs'!$A$1:$A1000,0)&amp;"")-$Z689))=ABS(INDIRECT("Class Jobs!B"&amp;MATCH(E689,'Class Jobs'!$A$1:$A1000,0)&amp;":"&amp;"AF"&amp;MATCH(E689,'Class Jobs'!$A$1:$A1000,0)&amp;"")-$Z689),SIGN(INDIRECT("Class Jobs!B"&amp;MATCH(E689,'Class Jobs'!$A$1:A1000,0)&amp;":"&amp;"AF"&amp;MATCH(E689,'Class Jobs'!$A$1:$A1000,0)&amp;"")-$Z689),0)),0)),INDIRECT("Class Jobs!B"&amp;MATCH(E689,'Class Jobs'!$A$1:$A1000,0)&amp;":"&amp;"AF"&amp;MATCH(E689,'Class Jobs'!$A$1:$A1000,1)&amp;""),'Class Jobs'!$B$1:$AF$1)</f>
        <v>#REF!</v>
      </c>
      <c r="Z689" s="158">
        <f t="shared" si="41"/>
        <v>0.01</v>
      </c>
      <c r="AA689" s="16" t="str">
        <f t="array" ref="AA689">INDEX(NPCGender,TRUNC(1+(COUNTA(NPCGender))*(TRUNC(MOD(($B689*1103515245 +12345)/ 65536, 32768),0)/32768),0))</f>
        <v>Male</v>
      </c>
      <c r="AB689" s="16" t="str">
        <f t="array" ref="AB689">INDEX(NPCRace,TRUNC(1+(COUNTA(NPCRace))*(TRUNC(MOD(($B689*1103515245 +12345)/ 65536, 32768),0)/32768),0))</f>
        <v>Dragonborn</v>
      </c>
      <c r="AC689" s="16" t="str">
        <f t="array" ref="AC689">INDEX(NPCAL,TRUNC(1+(COUNTA(NPCAL))*(TRUNC(MOD(($B689*1103515245 +12345)/ 65536, 32768),0)/32768),0))</f>
        <v>CN</v>
      </c>
      <c r="AD689" s="72" t="str">
        <f ca="1">IFERROR(__xludf.DUMMYFUNCTION("if(V689&lt;15,QUERY(NPCVar!C:D,""Select D WHERE C = '""&amp;D689&amp;""'""),if((TRUNC(1+10)*(TRUNC(MOD((ROW(H689)*1103515245 +12345)/ 65536, 32768),0)/32768)/10) &gt; 0.85,INDEX(NPCFaction,TRUNC(1+(counta(NPCFaction)-1)*(TRUNC(MOD(($B689*1103515245 +12345)/ 65536, 3276"&amp;"8),0)/32768),0)),QUERY(NPCVar!C:D,""Select D WHERE C = '""&amp;D689&amp;""'"")))"),"Royalty")</f>
        <v>Royalty</v>
      </c>
      <c r="AE689" s="108" t="e">
        <f t="shared" ca="1" si="42"/>
        <v>#NAME?</v>
      </c>
      <c r="AF689" s="159">
        <f ca="1">IFERROR(__xludf.DUMMYFUNCTION("AE689*(V689 / QUERY(NPCVar!$K$2:$N$12, ""Select N WHERE K='""&amp;AB689&amp;""'""))*TRUNC(1+10)*(TRUNC(MOD(($B689*1103515245 +12345)/ 65536, 32768),0)/32768)"),0.000297088623046875)</f>
        <v>2.9708862304687498E-4</v>
      </c>
      <c r="AG689" s="16"/>
      <c r="AH689" s="77"/>
      <c r="AI689" s="114"/>
    </row>
    <row r="690" spans="1:35" ht="16.2">
      <c r="A690" s="53">
        <v>689</v>
      </c>
      <c r="B690" s="118">
        <f t="shared" si="47"/>
        <v>0.95069999999999999</v>
      </c>
      <c r="C690" s="72" t="str">
        <f t="array" ref="C690">INDEX(NPCFName,TRUNC(1+(COUNTA(NPCFName))*(TRUNC(MOD(($B690*1103515245 +12345)/ 65536, 32768),0)/32768),0))</f>
        <v>Justal</v>
      </c>
      <c r="D690" s="16" t="str">
        <f t="array" ref="D690">INDEX(NPCLName,TRUNC(1+(COUNTA(NPCLName))*(TRUNC(MOD(($B690*1103515245 +12345)/ 65536, 32768),0)/32768),0))</f>
        <v>Autumnglow</v>
      </c>
      <c r="E690" s="16" t="str">
        <f t="array" ref="E690">INDEX(NPCClass,TRUNC(1+(COUNTA(NPCClass))*(TRUNC(MOD(($B690*1103515245 +12345)/ 65536, 32768),0)/32768),0))</f>
        <v>Ranger</v>
      </c>
      <c r="F690" s="76">
        <v>8</v>
      </c>
      <c r="G690" s="153">
        <f ca="1">VLOOKUP($AB$2,'RF Mod'!$A$2:$G$12,2,FALSE)+VLOOKUP($AD$2,'RF Mod'!$I$2:$O$11,2,FALSE)+(TRUNC(6+(24-6)*(TRUNC(MOD(($Z690*1103515245 +12345)/ 65536, 32768),0)/32768),0))</f>
        <v>8</v>
      </c>
      <c r="H690" s="16">
        <f t="shared" ca="1" si="33"/>
        <v>-1</v>
      </c>
      <c r="I690" s="153">
        <f ca="1">VLOOKUP($AB$2,'RF Mod'!$A$2:$G$12,3,FALSE)+VLOOKUP($AD$2,'RF Mod'!$I$2:$O$11,3,FALSE)+(TRUNC(6+(24-6)*(TRUNC(MOD(($Z690*1103515245 +12345)/ 65536, 32768),0)/32768),0))</f>
        <v>12</v>
      </c>
      <c r="J690" s="16" t="e">
        <f t="shared" ca="1" si="34"/>
        <v>#NAME?</v>
      </c>
      <c r="K690" s="153">
        <f ca="1">VLOOKUP($AB$2,'RF Mod'!$A$2:$G$12,3,FALSE)+VLOOKUP($AD$2,'RF Mod'!$I$2:$O$11,3,FALSE)+(TRUNC(6+(24-6)*(TRUNC(MOD(($Z690*1103515245 +12345)/ 65536, 32768),0)/32768),0))</f>
        <v>12</v>
      </c>
      <c r="L690" s="16" t="e">
        <f t="shared" ca="1" si="35"/>
        <v>#NAME?</v>
      </c>
      <c r="M690" s="153">
        <f ca="1">VLOOKUP($AB$2,'RF Mod'!$A$2:$G$12,4,FALSE)+VLOOKUP($AD$2,'RF Mod'!$I$2:$O$11,4,FALSE)+(TRUNC(6+(24-6)*(TRUNC(MOD(($Z690*1103515245 +12345)/ 65536, 32768),0)/32768),0))</f>
        <v>11</v>
      </c>
      <c r="N690" s="16" t="e">
        <f t="shared" ca="1" si="36"/>
        <v>#NAME?</v>
      </c>
      <c r="O690" s="153">
        <f ca="1">VLOOKUP($AB$2,'RF Mod'!$A$2:$G$12,5,FALSE)+VLOOKUP($AD$2,'RF Mod'!$I$2:$O$11,5,FALSE)+(TRUNC(6+(24-6)*(TRUNC(MOD(($Z690*1103515245 +12345)/ 65536, 32768),0)/32768),0))</f>
        <v>14</v>
      </c>
      <c r="P690" s="16" t="e">
        <f t="shared" ca="1" si="37"/>
        <v>#NAME?</v>
      </c>
      <c r="Q690" s="153">
        <f ca="1">VLOOKUP($AB$2,'RF Mod'!$A$2:$G$12,6,FALSE)+VLOOKUP($AD$2,'RF Mod'!$I$2:$O$11,6,FALSE)+(TRUNC(6+(24-6)*(TRUNC(MOD(($Z690*1103515245 +12345)/ 65536, 32768),0)/32768),0))</f>
        <v>12</v>
      </c>
      <c r="R690" s="16" t="e">
        <f t="shared" ca="1" si="38"/>
        <v>#NAME?</v>
      </c>
      <c r="S690" s="154">
        <f t="shared" ca="1" si="43"/>
        <v>144</v>
      </c>
      <c r="T690" s="154">
        <f t="shared" ca="1" si="39"/>
        <v>42</v>
      </c>
      <c r="U690" s="16" t="str">
        <f t="shared" ca="1" si="40"/>
        <v>Fine</v>
      </c>
      <c r="V690" s="155">
        <f ca="1">IFERROR(__xludf.DUMMYFUNCTION("if(W690=""Middle Age"",QUERY(NPCVar!$K$2:$N1000, ""Select L where K = '""&amp;AB690&amp;""'""),if(W690=""Old"",QUERY(NPCVar!$K$2:$N1000, ""Select M where K = '""&amp;AB690&amp;""'""),if(W690=""Venerable"",QUERY(NPCVar!$K$2:$N1000, ""Select N where K = '""&amp;AB690&amp;""'""),fa"&amp;"lse)))*X690"),31.5)</f>
        <v>31.5</v>
      </c>
      <c r="W690" s="156" t="str">
        <f t="array" ref="W690">INDEX(NPCAgeType,TRUNC(1+(4-1)*(TRUNC(MOD((X690*1103515245 +12345)/ 65536, 32768),0)/32768),0))</f>
        <v>Old</v>
      </c>
      <c r="X690" s="117">
        <f t="shared" si="45"/>
        <v>1.2</v>
      </c>
      <c r="Y690" s="157" t="e">
        <f t="array" aca="1" ref="Y690" ca="1">LOOKUP(ABS(MAX(Z690 + MIN(ABS(INDIRECT("Class Jobs!B"&amp;MATCH(E690,'Class Jobs'!$A$1:$A1000,0)&amp;":"&amp;"AF"&amp;MATCH(E690,'Class Jobs'!$A$1:$A1000,0)&amp;"")-$Z690)) * SUM(IF(MIN(ABS(INDIRECT("Class Jobs!B"&amp;MATCH(E690,'Class Jobs'!$A$1:$A1000,0)&amp;":"&amp;"AF"&amp;MATCH(E690,'Class Jobs'!$A$1:$A1000,0)&amp;"")-$Z690))=ABS(INDIRECT("Class Jobs!B"&amp;MATCH(E690,'Class Jobs'!$A$1:$A1000,0)&amp;":"&amp;"AF"&amp;MATCH(E690,'Class Jobs'!$A$1:$A1000,0)&amp;"")-$Z690),SIGN(INDIRECT("Class Jobs!B"&amp;MATCH(E690,'Class Jobs'!$A$1:A1000,0)&amp;":"&amp;"AF"&amp;MATCH(E690,'Class Jobs'!$A$1:$A1000,0)&amp;"")-$Z690),0)),0)),INDIRECT("Class Jobs!B"&amp;MATCH(E690,'Class Jobs'!$A$1:$A1000,0)&amp;":"&amp;"AF"&amp;MATCH(E690,'Class Jobs'!$A$1:$A1000,1)&amp;""),'Class Jobs'!$B$1:$AF$1)</f>
        <v>#REF!</v>
      </c>
      <c r="Z690" s="158">
        <f t="shared" si="41"/>
        <v>0.49</v>
      </c>
      <c r="AA690" s="16" t="str">
        <f t="array" ref="AA690">INDEX(NPCGender,TRUNC(1+(COUNTA(NPCGender))*(TRUNC(MOD(($B690*1103515245 +12345)/ 65536, 32768),0)/32768),0))</f>
        <v>Female</v>
      </c>
      <c r="AB690" s="16" t="str">
        <f t="array" ref="AB690">INDEX(NPCRace,TRUNC(1+(COUNTA(NPCRace))*(TRUNC(MOD(($B690*1103515245 +12345)/ 65536, 32768),0)/32768),0))</f>
        <v>Half-Orc</v>
      </c>
      <c r="AC690" s="16" t="str">
        <f t="array" ref="AC690">INDEX(NPCAL,TRUNC(1+(COUNTA(NPCAL))*(TRUNC(MOD(($B690*1103515245 +12345)/ 65536, 32768),0)/32768),0))</f>
        <v>NN</v>
      </c>
      <c r="AD690" s="72" t="str">
        <f ca="1">IFERROR(__xludf.DUMMYFUNCTION("if(V690&lt;15,QUERY(NPCVar!C:D,""Select D WHERE C = '""&amp;D690&amp;""'""),if((TRUNC(1+10)*(TRUNC(MOD((ROW(H690)*1103515245 +12345)/ 65536, 32768),0)/32768)/10) &gt; 0.85,INDEX(NPCFaction,TRUNC(1+(counta(NPCFaction)-1)*(TRUNC(MOD(($B690*1103515245 +12345)/ 65536, 3276"&amp;"8),0)/32768),0)),QUERY(NPCVar!C:D,""Select D WHERE C = '""&amp;D690&amp;""'"")))"),"Traders Guild")</f>
        <v>Traders Guild</v>
      </c>
      <c r="AE690" s="108" t="e">
        <f t="shared" ca="1" si="42"/>
        <v>#NAME?</v>
      </c>
      <c r="AF690" s="159">
        <f ca="1">IFERROR(__xludf.DUMMYFUNCTION("AE690*(V690 / QUERY(NPCVar!$K$2:$N$12, ""Select N WHERE K='""&amp;AB690&amp;""'""))*TRUNC(1+10)*(TRUNC(MOD(($B690*1103515245 +12345)/ 65536, 32768),0)/32768)"),0.48364013671875)</f>
        <v>0.48364013671875</v>
      </c>
      <c r="AG690" s="16"/>
      <c r="AH690" s="77"/>
      <c r="AI690" s="114"/>
    </row>
    <row r="691" spans="1:35" ht="16.2">
      <c r="A691" s="53">
        <v>690</v>
      </c>
      <c r="B691" s="118">
        <f t="shared" si="47"/>
        <v>2.4448300000000001</v>
      </c>
      <c r="C691" s="72" t="str">
        <f t="array" ref="C691">INDEX(NPCFName,TRUNC(1+(COUNTA(NPCFName))*(TRUNC(MOD(($B691*1103515245 +12345)/ 65536, 32768),0)/32768),0))</f>
        <v>Samon</v>
      </c>
      <c r="D691" s="16" t="str">
        <f t="array" ref="D691">INDEX(NPCLName,TRUNC(1+(COUNTA(NPCLName))*(TRUNC(MOD(($B691*1103515245 +12345)/ 65536, 32768),0)/32768),0))</f>
        <v>Tuskleaf</v>
      </c>
      <c r="E691" s="16" t="str">
        <f t="array" ref="E691">INDEX(NPCClass,TRUNC(1+(COUNTA(NPCClass))*(TRUNC(MOD(($B691*1103515245 +12345)/ 65536, 32768),0)/32768),0))</f>
        <v>Monk</v>
      </c>
      <c r="F691" s="76">
        <v>1</v>
      </c>
      <c r="G691" s="153">
        <f ca="1">VLOOKUP($AB$2,'RF Mod'!$A$2:$G$12,2,FALSE)+VLOOKUP($AD$2,'RF Mod'!$I$2:$O$11,2,FALSE)+(TRUNC(6+(24-6)*(TRUNC(MOD(($Z691*1103515245 +12345)/ 65536, 32768),0)/32768),0))</f>
        <v>6</v>
      </c>
      <c r="H691" s="16">
        <f t="shared" ca="1" si="33"/>
        <v>-2</v>
      </c>
      <c r="I691" s="153">
        <f ca="1">VLOOKUP($AB$2,'RF Mod'!$A$2:$G$12,3,FALSE)+VLOOKUP($AD$2,'RF Mod'!$I$2:$O$11,3,FALSE)+(TRUNC(6+(24-6)*(TRUNC(MOD(($Z691*1103515245 +12345)/ 65536, 32768),0)/32768),0))</f>
        <v>10</v>
      </c>
      <c r="J691" s="16" t="e">
        <f t="shared" ca="1" si="34"/>
        <v>#NAME?</v>
      </c>
      <c r="K691" s="153">
        <f ca="1">VLOOKUP($AB$2,'RF Mod'!$A$2:$G$12,3,FALSE)+VLOOKUP($AD$2,'RF Mod'!$I$2:$O$11,3,FALSE)+(TRUNC(6+(24-6)*(TRUNC(MOD(($Z691*1103515245 +12345)/ 65536, 32768),0)/32768),0))</f>
        <v>10</v>
      </c>
      <c r="L691" s="16" t="e">
        <f t="shared" ca="1" si="35"/>
        <v>#NAME?</v>
      </c>
      <c r="M691" s="153">
        <f ca="1">VLOOKUP($AB$2,'RF Mod'!$A$2:$G$12,4,FALSE)+VLOOKUP($AD$2,'RF Mod'!$I$2:$O$11,4,FALSE)+(TRUNC(6+(24-6)*(TRUNC(MOD(($Z691*1103515245 +12345)/ 65536, 32768),0)/32768),0))</f>
        <v>9</v>
      </c>
      <c r="N691" s="16">
        <f t="shared" ca="1" si="36"/>
        <v>-1</v>
      </c>
      <c r="O691" s="153">
        <f ca="1">VLOOKUP($AB$2,'RF Mod'!$A$2:$G$12,5,FALSE)+VLOOKUP($AD$2,'RF Mod'!$I$2:$O$11,5,FALSE)+(TRUNC(6+(24-6)*(TRUNC(MOD(($Z691*1103515245 +12345)/ 65536, 32768),0)/32768),0))</f>
        <v>12</v>
      </c>
      <c r="P691" s="16" t="e">
        <f t="shared" ca="1" si="37"/>
        <v>#NAME?</v>
      </c>
      <c r="Q691" s="153">
        <f ca="1">VLOOKUP($AB$2,'RF Mod'!$A$2:$G$12,6,FALSE)+VLOOKUP($AD$2,'RF Mod'!$I$2:$O$11,6,FALSE)+(TRUNC(6+(24-6)*(TRUNC(MOD(($Z691*1103515245 +12345)/ 65536, 32768),0)/32768),0))</f>
        <v>10</v>
      </c>
      <c r="R691" s="16" t="e">
        <f t="shared" ca="1" si="38"/>
        <v>#NAME?</v>
      </c>
      <c r="S691" s="154">
        <f t="shared" ca="1" si="43"/>
        <v>14</v>
      </c>
      <c r="T691" s="154">
        <f t="shared" ca="1" si="39"/>
        <v>14</v>
      </c>
      <c r="U691" s="16" t="str">
        <f t="shared" ca="1" si="40"/>
        <v>Unconscious</v>
      </c>
      <c r="V691" s="155">
        <f ca="1">IFERROR(__xludf.DUMMYFUNCTION("if(W691=""Middle Age"",QUERY(NPCVar!$K$2:$N1000, ""Select L where K = '""&amp;AB691&amp;""'""),if(W691=""Old"",QUERY(NPCVar!$K$2:$N1000, ""Select M where K = '""&amp;AB691&amp;""'""),if(W691=""Venerable"",QUERY(NPCVar!$K$2:$N1000, ""Select N where K = '""&amp;AB691&amp;""'""),fa"&amp;"lse)))*X691"),196.875)</f>
        <v>196.875</v>
      </c>
      <c r="W691" s="156" t="str">
        <f t="array" ref="W691">INDEX(NPCAgeType,TRUNC(1+(4-1)*(TRUNC(MOD((X691*1103515245 +12345)/ 65536, 32768),0)/32768),0))</f>
        <v>Old</v>
      </c>
      <c r="X691" s="117">
        <f t="shared" si="45"/>
        <v>0.7</v>
      </c>
      <c r="Y691" s="157" t="e">
        <f t="array" aca="1" ref="Y691" ca="1">LOOKUP(ABS(MAX(Z691 + MIN(ABS(INDIRECT("Class Jobs!B"&amp;MATCH(E691,'Class Jobs'!$A$1:$A1000,0)&amp;":"&amp;"AF"&amp;MATCH(E691,'Class Jobs'!$A$1:$A1000,0)&amp;"")-$Z691)) * SUM(IF(MIN(ABS(INDIRECT("Class Jobs!B"&amp;MATCH(E691,'Class Jobs'!$A$1:$A1000,0)&amp;":"&amp;"AF"&amp;MATCH(E691,'Class Jobs'!$A$1:$A1000,0)&amp;"")-$Z691))=ABS(INDIRECT("Class Jobs!B"&amp;MATCH(E691,'Class Jobs'!$A$1:$A1000,0)&amp;":"&amp;"AF"&amp;MATCH(E691,'Class Jobs'!$A$1:$A1000,0)&amp;"")-$Z691),SIGN(INDIRECT("Class Jobs!B"&amp;MATCH(E691,'Class Jobs'!$A$1:A1000,0)&amp;":"&amp;"AF"&amp;MATCH(E691,'Class Jobs'!$A$1:$A1000,0)&amp;"")-$Z691),0)),0)),INDIRECT("Class Jobs!B"&amp;MATCH(E691,'Class Jobs'!$A$1:$A1000,0)&amp;":"&amp;"AF"&amp;MATCH(E691,'Class Jobs'!$A$1:$A1000,1)&amp;""),'Class Jobs'!$B$1:$AF$1)</f>
        <v>#REF!</v>
      </c>
      <c r="Z691" s="158">
        <f t="shared" si="41"/>
        <v>0.26</v>
      </c>
      <c r="AA691" s="16" t="str">
        <f t="array" ref="AA691">INDEX(NPCGender,TRUNC(1+(COUNTA(NPCGender))*(TRUNC(MOD(($B691*1103515245 +12345)/ 65536, 32768),0)/32768),0))</f>
        <v>Male</v>
      </c>
      <c r="AB691" s="16" t="str">
        <f t="array" ref="AB691">INDEX(NPCRace,TRUNC(1+(COUNTA(NPCRace))*(TRUNC(MOD(($B691*1103515245 +12345)/ 65536, 32768),0)/32768),0))</f>
        <v>Elf</v>
      </c>
      <c r="AC691" s="16" t="str">
        <f t="array" ref="AC691">INDEX(NPCAL,TRUNC(1+(COUNTA(NPCAL))*(TRUNC(MOD(($B691*1103515245 +12345)/ 65536, 32768),0)/32768),0))</f>
        <v>CG</v>
      </c>
      <c r="AD691" s="72" t="str">
        <f ca="1">IFERROR(__xludf.DUMMYFUNCTION("if(V691&lt;15,QUERY(NPCVar!C:D,""Select D WHERE C = '""&amp;D691&amp;""'""),if((TRUNC(1+10)*(TRUNC(MOD((ROW(H691)*1103515245 +12345)/ 65536, 32768),0)/32768)/10) &gt; 0.85,INDEX(NPCFaction,TRUNC(1+(counta(NPCFaction)-1)*(TRUNC(MOD(($B691*1103515245 +12345)/ 65536, 3276"&amp;"8),0)/32768),0)),QUERY(NPCVar!C:D,""Select D WHERE C = '""&amp;D691&amp;""'"")))"),"Magic Guild")</f>
        <v>Magic Guild</v>
      </c>
      <c r="AE691" s="108" t="e">
        <f t="shared" ca="1" si="42"/>
        <v>#NAME?</v>
      </c>
      <c r="AF691" s="159">
        <f ca="1">IFERROR(__xludf.DUMMYFUNCTION("AE691*(V691 / QUERY(NPCVar!$K$2:$N$12, ""Select N WHERE K='""&amp;AB691&amp;""'""))*TRUNC(1+10)*(TRUNC(MOD(($B691*1103515245 +12345)/ 65536, 32768),0)/32768)"),0.296011047363281)</f>
        <v>0.29601104736328099</v>
      </c>
      <c r="AG691" s="16"/>
      <c r="AH691" s="77"/>
      <c r="AI691" s="114"/>
    </row>
    <row r="692" spans="1:35" ht="16.2">
      <c r="A692" s="53">
        <v>691</v>
      </c>
      <c r="B692" s="118">
        <f t="shared" si="47"/>
        <v>1.4389799999999999</v>
      </c>
      <c r="C692" s="72" t="str">
        <f t="array" ref="C692">INDEX(NPCFName,TRUNC(1+(COUNTA(NPCFName))*(TRUNC(MOD(($B692*1103515245 +12345)/ 65536, 32768),0)/32768),0))</f>
        <v>Desil</v>
      </c>
      <c r="D692" s="16" t="str">
        <f t="array" ref="D692">INDEX(NPCLName,TRUNC(1+(COUNTA(NPCLName))*(TRUNC(MOD(($B692*1103515245 +12345)/ 65536, 32768),0)/32768),0))</f>
        <v>Sacredgloom</v>
      </c>
      <c r="E692" s="16" t="str">
        <f t="array" ref="E692">INDEX(NPCClass,TRUNC(1+(COUNTA(NPCClass))*(TRUNC(MOD(($B692*1103515245 +12345)/ 65536, 32768),0)/32768),0))</f>
        <v>None</v>
      </c>
      <c r="F692" s="76">
        <v>8</v>
      </c>
      <c r="G692" s="153">
        <f ca="1">VLOOKUP($AB$2,'RF Mod'!$A$2:$G$12,2,FALSE)+VLOOKUP($AD$2,'RF Mod'!$I$2:$O$11,2,FALSE)+(TRUNC(6+(24-6)*(TRUNC(MOD(($Z692*1103515245 +12345)/ 65536, 32768),0)/32768),0))</f>
        <v>10</v>
      </c>
      <c r="H692" s="16" t="e">
        <f t="shared" ca="1" si="33"/>
        <v>#NAME?</v>
      </c>
      <c r="I692" s="153">
        <f ca="1">VLOOKUP($AB$2,'RF Mod'!$A$2:$G$12,3,FALSE)+VLOOKUP($AD$2,'RF Mod'!$I$2:$O$11,3,FALSE)+(TRUNC(6+(24-6)*(TRUNC(MOD(($Z692*1103515245 +12345)/ 65536, 32768),0)/32768),0))</f>
        <v>14</v>
      </c>
      <c r="J692" s="16" t="e">
        <f t="shared" ca="1" si="34"/>
        <v>#NAME?</v>
      </c>
      <c r="K692" s="153">
        <f ca="1">VLOOKUP($AB$2,'RF Mod'!$A$2:$G$12,3,FALSE)+VLOOKUP($AD$2,'RF Mod'!$I$2:$O$11,3,FALSE)+(TRUNC(6+(24-6)*(TRUNC(MOD(($Z692*1103515245 +12345)/ 65536, 32768),0)/32768),0))</f>
        <v>14</v>
      </c>
      <c r="L692" s="16" t="e">
        <f t="shared" ca="1" si="35"/>
        <v>#NAME?</v>
      </c>
      <c r="M692" s="153">
        <f ca="1">VLOOKUP($AB$2,'RF Mod'!$A$2:$G$12,4,FALSE)+VLOOKUP($AD$2,'RF Mod'!$I$2:$O$11,4,FALSE)+(TRUNC(6+(24-6)*(TRUNC(MOD(($Z692*1103515245 +12345)/ 65536, 32768),0)/32768),0))</f>
        <v>13</v>
      </c>
      <c r="N692" s="16" t="e">
        <f t="shared" ca="1" si="36"/>
        <v>#NAME?</v>
      </c>
      <c r="O692" s="153">
        <f ca="1">VLOOKUP($AB$2,'RF Mod'!$A$2:$G$12,5,FALSE)+VLOOKUP($AD$2,'RF Mod'!$I$2:$O$11,5,FALSE)+(TRUNC(6+(24-6)*(TRUNC(MOD(($Z692*1103515245 +12345)/ 65536, 32768),0)/32768),0))</f>
        <v>16</v>
      </c>
      <c r="P692" s="16" t="e">
        <f t="shared" ca="1" si="37"/>
        <v>#NAME?</v>
      </c>
      <c r="Q692" s="153">
        <f ca="1">VLOOKUP($AB$2,'RF Mod'!$A$2:$G$12,6,FALSE)+VLOOKUP($AD$2,'RF Mod'!$I$2:$O$11,6,FALSE)+(TRUNC(6+(24-6)*(TRUNC(MOD(($Z692*1103515245 +12345)/ 65536, 32768),0)/32768),0))</f>
        <v>14</v>
      </c>
      <c r="R692" s="16" t="e">
        <f t="shared" ca="1" si="38"/>
        <v>#NAME?</v>
      </c>
      <c r="S692" s="154">
        <f t="shared" ca="1" si="43"/>
        <v>192</v>
      </c>
      <c r="T692" s="154">
        <f t="shared" ca="1" si="39"/>
        <v>47</v>
      </c>
      <c r="U692" s="16" t="str">
        <f t="shared" ca="1" si="40"/>
        <v>Fine</v>
      </c>
      <c r="V692" s="155">
        <f ca="1">IFERROR(__xludf.DUMMYFUNCTION("if(W692=""Middle Age"",QUERY(NPCVar!$K$2:$N1000, ""Select L where K = '""&amp;AB692&amp;""'""),if(W692=""Old"",QUERY(NPCVar!$K$2:$N1000, ""Select M where K = '""&amp;AB692&amp;""'""),if(W692=""Venerable"",QUERY(NPCVar!$K$2:$N1000, ""Select N where K = '""&amp;AB692&amp;""'""),fa"&amp;"lse)))*X692"),180)</f>
        <v>180</v>
      </c>
      <c r="W692" s="156" t="str">
        <f t="array" ref="W692">INDEX(NPCAgeType,TRUNC(1+(4-1)*(TRUNC(MOD((X692*1103515245 +12345)/ 65536, 32768),0)/32768),0))</f>
        <v>Venerable</v>
      </c>
      <c r="X692" s="117">
        <f t="shared" si="45"/>
        <v>1.8</v>
      </c>
      <c r="Y692" s="157" t="e">
        <f t="array" aca="1" ref="Y692" ca="1">LOOKUP(ABS(MAX(Z692 + MIN(ABS(INDIRECT("Class Jobs!B"&amp;MATCH(E692,'Class Jobs'!$A$1:$A1000,0)&amp;":"&amp;"AF"&amp;MATCH(E692,'Class Jobs'!$A$1:$A1000,0)&amp;"")-$Z692)) * SUM(IF(MIN(ABS(INDIRECT("Class Jobs!B"&amp;MATCH(E692,'Class Jobs'!$A$1:$A1000,0)&amp;":"&amp;"AF"&amp;MATCH(E692,'Class Jobs'!$A$1:$A1000,0)&amp;"")-$Z692))=ABS(INDIRECT("Class Jobs!B"&amp;MATCH(E692,'Class Jobs'!$A$1:$A1000,0)&amp;":"&amp;"AF"&amp;MATCH(E692,'Class Jobs'!$A$1:$A1000,0)&amp;"")-$Z692),SIGN(INDIRECT("Class Jobs!B"&amp;MATCH(E692,'Class Jobs'!$A$1:A1000,0)&amp;":"&amp;"AF"&amp;MATCH(E692,'Class Jobs'!$A$1:$A1000,0)&amp;"")-$Z692),0)),0)),INDIRECT("Class Jobs!B"&amp;MATCH(E692,'Class Jobs'!$A$1:$A1000,0)&amp;":"&amp;"AF"&amp;MATCH(E692,'Class Jobs'!$A$1:$A1000,1)&amp;""),'Class Jobs'!$B$1:$AF$1)</f>
        <v>#REF!</v>
      </c>
      <c r="Z692" s="158">
        <f t="shared" si="41"/>
        <v>0.74</v>
      </c>
      <c r="AA692" s="16" t="str">
        <f t="array" ref="AA692">INDEX(NPCGender,TRUNC(1+(COUNTA(NPCGender))*(TRUNC(MOD(($B692*1103515245 +12345)/ 65536, 32768),0)/32768),0))</f>
        <v>Neutral</v>
      </c>
      <c r="AB692" s="16" t="str">
        <f t="array" ref="AB692">INDEX(NPCRace,TRUNC(1+(COUNTA(NPCRace))*(TRUNC(MOD(($B692*1103515245 +12345)/ 65536, 32768),0)/32768),0))</f>
        <v>Tiefling</v>
      </c>
      <c r="AC692" s="16" t="str">
        <f t="array" ref="AC692">INDEX(NPCAL,TRUNC(1+(COUNTA(NPCAL))*(TRUNC(MOD(($B692*1103515245 +12345)/ 65536, 32768),0)/32768),0))</f>
        <v>LG</v>
      </c>
      <c r="AD692" s="72" t="str">
        <f ca="1">IFERROR(__xludf.DUMMYFUNCTION("if(V692&lt;15,QUERY(NPCVar!C:D,""Select D WHERE C = '""&amp;D692&amp;""'""),if((TRUNC(1+10)*(TRUNC(MOD((ROW(H692)*1103515245 +12345)/ 65536, 32768),0)/32768)/10) &gt; 0.85,INDEX(NPCFaction,TRUNC(1+(counta(NPCFaction)-1)*(TRUNC(MOD(($B692*1103515245 +12345)/ 65536, 3276"&amp;"8),0)/32768),0)),QUERY(NPCVar!C:D,""Select D WHERE C = '""&amp;D692&amp;""'"")))"),"Adventures Guild")</f>
        <v>Adventures Guild</v>
      </c>
      <c r="AE692" s="108" t="e">
        <f t="shared" ca="1" si="42"/>
        <v>#NAME?</v>
      </c>
      <c r="AF692" s="159">
        <f ca="1">IFERROR(__xludf.DUMMYFUNCTION("AE692*(V692 / QUERY(NPCVar!$K$2:$N$12, ""Select N WHERE K='""&amp;AB692&amp;""'""))*TRUNC(1+10)*(TRUNC(MOD(($B692*1103515245 +12345)/ 65536, 32768),0)/32768)"),2.92818603515625)</f>
        <v>2.9281860351562501</v>
      </c>
      <c r="AG692" s="16"/>
      <c r="AH692" s="77"/>
      <c r="AI692" s="114"/>
    </row>
    <row r="693" spans="1:35" ht="16.2">
      <c r="A693" s="53">
        <v>692</v>
      </c>
      <c r="B693" s="118">
        <f t="shared" si="47"/>
        <v>0.43312</v>
      </c>
      <c r="C693" s="72" t="str">
        <f t="array" ref="C693">INDEX(NPCFName,TRUNC(1+(COUNTA(NPCFName))*(TRUNC(MOD(($B693*1103515245 +12345)/ 65536, 32768),0)/32768),0))</f>
        <v>Peitar</v>
      </c>
      <c r="D693" s="16" t="str">
        <f t="array" ref="D693">INDEX(NPCLName,TRUNC(1+(COUNTA(NPCLName))*(TRUNC(MOD(($B693*1103515245 +12345)/ 65536, 32768),0)/32768),0))</f>
        <v>Stillsun</v>
      </c>
      <c r="E693" s="16" t="str">
        <f t="array" ref="E693">INDEX(NPCClass,TRUNC(1+(COUNTA(NPCClass))*(TRUNC(MOD(($B693*1103515245 +12345)/ 65536, 32768),0)/32768),0))</f>
        <v>Druid</v>
      </c>
      <c r="F693" s="76">
        <v>1</v>
      </c>
      <c r="G693" s="153">
        <f ca="1">VLOOKUP($AB$2,'RF Mod'!$A$2:$G$12,2,FALSE)+VLOOKUP($AD$2,'RF Mod'!$I$2:$O$11,2,FALSE)+(TRUNC(6+(24-6)*(TRUNC(MOD(($Z693*1103515245 +12345)/ 65536, 32768),0)/32768),0))</f>
        <v>6</v>
      </c>
      <c r="H693" s="16">
        <f t="shared" ca="1" si="33"/>
        <v>-2</v>
      </c>
      <c r="I693" s="153">
        <f ca="1">VLOOKUP($AB$2,'RF Mod'!$A$2:$G$12,3,FALSE)+VLOOKUP($AD$2,'RF Mod'!$I$2:$O$11,3,FALSE)+(TRUNC(6+(24-6)*(TRUNC(MOD(($Z693*1103515245 +12345)/ 65536, 32768),0)/32768),0))</f>
        <v>10</v>
      </c>
      <c r="J693" s="16" t="e">
        <f t="shared" ca="1" si="34"/>
        <v>#NAME?</v>
      </c>
      <c r="K693" s="153">
        <f ca="1">VLOOKUP($AB$2,'RF Mod'!$A$2:$G$12,3,FALSE)+VLOOKUP($AD$2,'RF Mod'!$I$2:$O$11,3,FALSE)+(TRUNC(6+(24-6)*(TRUNC(MOD(($Z693*1103515245 +12345)/ 65536, 32768),0)/32768),0))</f>
        <v>10</v>
      </c>
      <c r="L693" s="16" t="e">
        <f t="shared" ca="1" si="35"/>
        <v>#NAME?</v>
      </c>
      <c r="M693" s="153">
        <f ca="1">VLOOKUP($AB$2,'RF Mod'!$A$2:$G$12,4,FALSE)+VLOOKUP($AD$2,'RF Mod'!$I$2:$O$11,4,FALSE)+(TRUNC(6+(24-6)*(TRUNC(MOD(($Z693*1103515245 +12345)/ 65536, 32768),0)/32768),0))</f>
        <v>9</v>
      </c>
      <c r="N693" s="16">
        <f t="shared" ca="1" si="36"/>
        <v>-1</v>
      </c>
      <c r="O693" s="153">
        <f ca="1">VLOOKUP($AB$2,'RF Mod'!$A$2:$G$12,5,FALSE)+VLOOKUP($AD$2,'RF Mod'!$I$2:$O$11,5,FALSE)+(TRUNC(6+(24-6)*(TRUNC(MOD(($Z693*1103515245 +12345)/ 65536, 32768),0)/32768),0))</f>
        <v>12</v>
      </c>
      <c r="P693" s="16" t="e">
        <f t="shared" ca="1" si="37"/>
        <v>#NAME?</v>
      </c>
      <c r="Q693" s="153">
        <f ca="1">VLOOKUP($AB$2,'RF Mod'!$A$2:$G$12,6,FALSE)+VLOOKUP($AD$2,'RF Mod'!$I$2:$O$11,6,FALSE)+(TRUNC(6+(24-6)*(TRUNC(MOD(($Z693*1103515245 +12345)/ 65536, 32768),0)/32768),0))</f>
        <v>10</v>
      </c>
      <c r="R693" s="16" t="e">
        <f t="shared" ca="1" si="38"/>
        <v>#NAME?</v>
      </c>
      <c r="S693" s="154">
        <f t="shared" ca="1" si="43"/>
        <v>12</v>
      </c>
      <c r="T693" s="154">
        <f t="shared" ca="1" si="39"/>
        <v>10</v>
      </c>
      <c r="U693" s="16" t="str">
        <f t="shared" ca="1" si="40"/>
        <v>Bloody</v>
      </c>
      <c r="V693" s="155">
        <f ca="1">IFERROR(__xludf.DUMMYFUNCTION("if(W693=""Middle Age"",QUERY(NPCVar!$K$2:$N1000, ""Select L where K = '""&amp;AB693&amp;""'""),if(W693=""Old"",QUERY(NPCVar!$K$2:$N1000, ""Select M where K = '""&amp;AB693&amp;""'""),if(W693=""Venerable"",QUERY(NPCVar!$K$2:$N1000, ""Select N where K = '""&amp;AB693&amp;""'""),fa"&amp;"lse)))*X693"),112.5)</f>
        <v>112.5</v>
      </c>
      <c r="W693" s="156" t="str">
        <f t="array" ref="W693">INDEX(NPCAgeType,TRUNC(1+(4-1)*(TRUNC(MOD((X693*1103515245 +12345)/ 65536, 32768),0)/32768),0))</f>
        <v>Middle Age</v>
      </c>
      <c r="X693" s="117">
        <f t="shared" si="45"/>
        <v>0.6</v>
      </c>
      <c r="Y693" s="157" t="e">
        <f t="array" aca="1" ref="Y693" ca="1">LOOKUP(ABS(MAX(Z693 + MIN(ABS(INDIRECT("Class Jobs!B"&amp;MATCH(E693,'Class Jobs'!$A$1:$A1000,0)&amp;":"&amp;"AF"&amp;MATCH(E693,'Class Jobs'!$A$1:$A1000,0)&amp;"")-$Z693)) * SUM(IF(MIN(ABS(INDIRECT("Class Jobs!B"&amp;MATCH(E693,'Class Jobs'!$A$1:$A1000,0)&amp;":"&amp;"AF"&amp;MATCH(E693,'Class Jobs'!$A$1:$A1000,0)&amp;"")-$Z693))=ABS(INDIRECT("Class Jobs!B"&amp;MATCH(E693,'Class Jobs'!$A$1:$A1000,0)&amp;":"&amp;"AF"&amp;MATCH(E693,'Class Jobs'!$A$1:$A1000,0)&amp;"")-$Z693),SIGN(INDIRECT("Class Jobs!B"&amp;MATCH(E693,'Class Jobs'!$A$1:A1000,0)&amp;":"&amp;"AF"&amp;MATCH(E693,'Class Jobs'!$A$1:$A1000,0)&amp;"")-$Z693),0)),0)),INDIRECT("Class Jobs!B"&amp;MATCH(E693,'Class Jobs'!$A$1:$A1000,0)&amp;":"&amp;"AF"&amp;MATCH(E693,'Class Jobs'!$A$1:$A1000,1)&amp;""),'Class Jobs'!$B$1:$AF$1)</f>
        <v>#REF!</v>
      </c>
      <c r="Z693" s="158">
        <f t="shared" si="41"/>
        <v>0.23</v>
      </c>
      <c r="AA693" s="16" t="str">
        <f t="array" ref="AA693">INDEX(NPCGender,TRUNC(1+(COUNTA(NPCGender))*(TRUNC(MOD(($B693*1103515245 +12345)/ 65536, 32768),0)/32768),0))</f>
        <v>Male</v>
      </c>
      <c r="AB693" s="16" t="str">
        <f t="array" ref="AB693">INDEX(NPCRace,TRUNC(1+(COUNTA(NPCRace))*(TRUNC(MOD(($B693*1103515245 +12345)/ 65536, 32768),0)/32768),0))</f>
        <v>Elf</v>
      </c>
      <c r="AC693" s="16" t="str">
        <f t="array" ref="AC693">INDEX(NPCAL,TRUNC(1+(COUNTA(NPCAL))*(TRUNC(MOD(($B693*1103515245 +12345)/ 65536, 32768),0)/32768),0))</f>
        <v>CG</v>
      </c>
      <c r="AD693" s="72" t="str">
        <f ca="1">IFERROR(__xludf.DUMMYFUNCTION("if(V693&lt;15,QUERY(NPCVar!C:D,""Select D WHERE C = '""&amp;D693&amp;""'""),if((TRUNC(1+10)*(TRUNC(MOD((ROW(H693)*1103515245 +12345)/ 65536, 32768),0)/32768)/10) &gt; 0.85,INDEX(NPCFaction,TRUNC(1+(counta(NPCFaction)-1)*(TRUNC(MOD(($B693*1103515245 +12345)/ 65536, 3276"&amp;"8),0)/32768),0)),QUERY(NPCVar!C:D,""Select D WHERE C = '""&amp;D693&amp;""'"")))"),"Necromancer")</f>
        <v>Necromancer</v>
      </c>
      <c r="AE693" s="108" t="e">
        <f t="shared" ca="1" si="42"/>
        <v>#NAME?</v>
      </c>
      <c r="AF693" s="159">
        <f ca="1">IFERROR(__xludf.DUMMYFUNCTION("AE693*(V693 / QUERY(NPCVar!$K$2:$N$12, ""Select N WHERE K='""&amp;AB693&amp;""'""))*TRUNC(1+10)*(TRUNC(MOD(($B693*1103515245 +12345)/ 65536, 32768),0)/32768)"),0.146892700195312)</f>
        <v>0.146892700195312</v>
      </c>
      <c r="AG693" s="16"/>
      <c r="AH693" s="77"/>
      <c r="AI693" s="114"/>
    </row>
    <row r="694" spans="1:35" ht="16.2">
      <c r="A694" s="53">
        <v>693</v>
      </c>
      <c r="B694" s="118">
        <f t="shared" si="47"/>
        <v>1.92726</v>
      </c>
      <c r="C694" s="72" t="str">
        <f t="array" ref="C694">INDEX(NPCFName,TRUNC(1+(COUNTA(NPCFName))*(TRUNC(MOD(($B694*1103515245 +12345)/ 65536, 32768),0)/32768),0))</f>
        <v>Yssith</v>
      </c>
      <c r="D694" s="16" t="str">
        <f t="array" ref="D694">INDEX(NPCLName,TRUNC(1+(COUNTA(NPCLName))*(TRUNC(MOD(($B694*1103515245 +12345)/ 65536, 32768),0)/32768),0))</f>
        <v>Stillspell</v>
      </c>
      <c r="E694" s="16" t="str">
        <f t="array" ref="E694">INDEX(NPCClass,TRUNC(1+(COUNTA(NPCClass))*(TRUNC(MOD(($B694*1103515245 +12345)/ 65536, 32768),0)/32768),0))</f>
        <v>Wizard</v>
      </c>
      <c r="F694" s="76">
        <v>8</v>
      </c>
      <c r="G694" s="153">
        <f ca="1">VLOOKUP($AB$2,'RF Mod'!$A$2:$G$12,2,FALSE)+VLOOKUP($AD$2,'RF Mod'!$I$2:$O$11,2,FALSE)+(TRUNC(6+(24-6)*(TRUNC(MOD(($Z694*1103515245 +12345)/ 65536, 32768),0)/32768),0))</f>
        <v>13</v>
      </c>
      <c r="H694" s="16" t="e">
        <f t="shared" ca="1" si="33"/>
        <v>#NAME?</v>
      </c>
      <c r="I694" s="153">
        <f ca="1">VLOOKUP($AB$2,'RF Mod'!$A$2:$G$12,3,FALSE)+VLOOKUP($AD$2,'RF Mod'!$I$2:$O$11,3,FALSE)+(TRUNC(6+(24-6)*(TRUNC(MOD(($Z694*1103515245 +12345)/ 65536, 32768),0)/32768),0))</f>
        <v>17</v>
      </c>
      <c r="J694" s="16" t="e">
        <f t="shared" ca="1" si="34"/>
        <v>#NAME?</v>
      </c>
      <c r="K694" s="153">
        <f ca="1">VLOOKUP($AB$2,'RF Mod'!$A$2:$G$12,3,FALSE)+VLOOKUP($AD$2,'RF Mod'!$I$2:$O$11,3,FALSE)+(TRUNC(6+(24-6)*(TRUNC(MOD(($Z694*1103515245 +12345)/ 65536, 32768),0)/32768),0))</f>
        <v>17</v>
      </c>
      <c r="L694" s="16" t="e">
        <f t="shared" ca="1" si="35"/>
        <v>#NAME?</v>
      </c>
      <c r="M694" s="153">
        <f ca="1">VLOOKUP($AB$2,'RF Mod'!$A$2:$G$12,4,FALSE)+VLOOKUP($AD$2,'RF Mod'!$I$2:$O$11,4,FALSE)+(TRUNC(6+(24-6)*(TRUNC(MOD(($Z694*1103515245 +12345)/ 65536, 32768),0)/32768),0))</f>
        <v>16</v>
      </c>
      <c r="N694" s="16" t="e">
        <f t="shared" ca="1" si="36"/>
        <v>#NAME?</v>
      </c>
      <c r="O694" s="153">
        <f ca="1">VLOOKUP($AB$2,'RF Mod'!$A$2:$G$12,5,FALSE)+VLOOKUP($AD$2,'RF Mod'!$I$2:$O$11,5,FALSE)+(TRUNC(6+(24-6)*(TRUNC(MOD(($Z694*1103515245 +12345)/ 65536, 32768),0)/32768),0))</f>
        <v>19</v>
      </c>
      <c r="P694" s="16" t="e">
        <f t="shared" ca="1" si="37"/>
        <v>#NAME?</v>
      </c>
      <c r="Q694" s="153">
        <f ca="1">VLOOKUP($AB$2,'RF Mod'!$A$2:$G$12,6,FALSE)+VLOOKUP($AD$2,'RF Mod'!$I$2:$O$11,6,FALSE)+(TRUNC(6+(24-6)*(TRUNC(MOD(($Z694*1103515245 +12345)/ 65536, 32768),0)/32768),0))</f>
        <v>17</v>
      </c>
      <c r="R694" s="16" t="e">
        <f t="shared" ca="1" si="38"/>
        <v>#NAME?</v>
      </c>
      <c r="S694" s="154">
        <f t="shared" ca="1" si="43"/>
        <v>248</v>
      </c>
      <c r="T694" s="154">
        <f t="shared" ca="1" si="39"/>
        <v>133</v>
      </c>
      <c r="U694" s="16" t="str">
        <f t="shared" ca="1" si="40"/>
        <v>Bloody</v>
      </c>
      <c r="V694" s="155">
        <f ca="1">IFERROR(__xludf.DUMMYFUNCTION("if(W694=""Middle Age"",QUERY(NPCVar!$K$2:$N1000, ""Select L where K = '""&amp;AB694&amp;""'""),if(W694=""Old"",QUERY(NPCVar!$K$2:$N1000, ""Select M where K = '""&amp;AB694&amp;""'""),if(W694=""Venerable"",QUERY(NPCVar!$K$2:$N1000, ""Select N where K = '""&amp;AB694&amp;""'""),fa"&amp;"lse)))*X694"),72)</f>
        <v>72</v>
      </c>
      <c r="W694" s="156" t="str">
        <f t="array" ref="W694">INDEX(NPCAgeType,TRUNC(1+(4-1)*(TRUNC(MOD((X694*1103515245 +12345)/ 65536, 32768),0)/32768),0))</f>
        <v>Middle Age</v>
      </c>
      <c r="X694" s="117">
        <f t="shared" si="45"/>
        <v>2.4</v>
      </c>
      <c r="Y694" s="157" t="e">
        <f t="array" aca="1" ref="Y694" ca="1">LOOKUP(ABS(MAX(Z694 + MIN(ABS(INDIRECT("Class Jobs!B"&amp;MATCH(E694,'Class Jobs'!$A$1:$A1000,0)&amp;":"&amp;"AF"&amp;MATCH(E694,'Class Jobs'!$A$1:$A1000,0)&amp;"")-$Z694)) * SUM(IF(MIN(ABS(INDIRECT("Class Jobs!B"&amp;MATCH(E694,'Class Jobs'!$A$1:$A1000,0)&amp;":"&amp;"AF"&amp;MATCH(E694,'Class Jobs'!$A$1:$A1000,0)&amp;"")-$Z694))=ABS(INDIRECT("Class Jobs!B"&amp;MATCH(E694,'Class Jobs'!$A$1:$A1000,0)&amp;":"&amp;"AF"&amp;MATCH(E694,'Class Jobs'!$A$1:$A1000,0)&amp;"")-$Z694),SIGN(INDIRECT("Class Jobs!B"&amp;MATCH(E694,'Class Jobs'!$A$1:A1000,0)&amp;":"&amp;"AF"&amp;MATCH(E694,'Class Jobs'!$A$1:$A1000,0)&amp;"")-$Z694),0)),0)),INDIRECT("Class Jobs!B"&amp;MATCH(E694,'Class Jobs'!$A$1:$A1000,0)&amp;":"&amp;"AF"&amp;MATCH(E694,'Class Jobs'!$A$1:$A1000,1)&amp;""),'Class Jobs'!$B$1:$AF$1)</f>
        <v>#REF!</v>
      </c>
      <c r="Z694" s="158">
        <f t="shared" si="41"/>
        <v>0.99</v>
      </c>
      <c r="AA694" s="16" t="str">
        <f t="array" ref="AA694">INDEX(NPCGender,TRUNC(1+(COUNTA(NPCGender))*(TRUNC(MOD(($B694*1103515245 +12345)/ 65536, 32768),0)/32768),0))</f>
        <v>Neutral</v>
      </c>
      <c r="AB694" s="16" t="str">
        <f t="array" ref="AB694">INDEX(NPCRace,TRUNC(1+(COUNTA(NPCRace))*(TRUNC(MOD(($B694*1103515245 +12345)/ 65536, 32768),0)/32768),0))</f>
        <v>Goliath</v>
      </c>
      <c r="AC694" s="16" t="str">
        <f t="array" ref="AC694">INDEX(NPCAL,TRUNC(1+(COUNTA(NPCAL))*(TRUNC(MOD(($B694*1103515245 +12345)/ 65536, 32768),0)/32768),0))</f>
        <v>LE</v>
      </c>
      <c r="AD694" s="72" t="str">
        <f ca="1">IFERROR(__xludf.DUMMYFUNCTION("if(V694&lt;15,QUERY(NPCVar!C:D,""Select D WHERE C = '""&amp;D694&amp;""'""),if((TRUNC(1+10)*(TRUNC(MOD((ROW(H694)*1103515245 +12345)/ 65536, 32768),0)/32768)/10) &gt; 0.85,INDEX(NPCFaction,TRUNC(1+(counta(NPCFaction)-1)*(TRUNC(MOD(($B694*1103515245 +12345)/ 65536, 3276"&amp;"8),0)/32768),0)),QUERY(NPCVar!C:D,""Select D WHERE C = '""&amp;D694&amp;""'"")))"),"Followers of Isis")</f>
        <v>Followers of Isis</v>
      </c>
      <c r="AE694" s="108" t="e">
        <f t="shared" ca="1" si="42"/>
        <v>#NAME?</v>
      </c>
      <c r="AF694" s="159">
        <f ca="1">IFERROR(__xludf.DUMMYFUNCTION("AE694*(V694 / QUERY(NPCVar!$K$2:$N$12, ""Select N WHERE K='""&amp;AB694&amp;""'""))*TRUNC(1+10)*(TRUNC(MOD(($B694*1103515245 +12345)/ 65536, 32768),0)/32768)"),1.30723022460937)</f>
        <v>1.3072302246093701</v>
      </c>
      <c r="AG694" s="16"/>
      <c r="AH694" s="77"/>
      <c r="AI694" s="114"/>
    </row>
    <row r="695" spans="1:35" ht="16.2">
      <c r="A695" s="53">
        <v>694</v>
      </c>
      <c r="B695" s="118">
        <f t="shared" si="47"/>
        <v>0.92132999999999998</v>
      </c>
      <c r="C695" s="72" t="str">
        <f t="array" ref="C695">INDEX(NPCFName,TRUNC(1+(COUNTA(NPCFName))*(TRUNC(MOD(($B695*1103515245 +12345)/ 65536, 32768),0)/32768),0))</f>
        <v>Ikar</v>
      </c>
      <c r="D695" s="16" t="str">
        <f t="array" ref="D695">INDEX(NPCLName,TRUNC(1+(COUNTA(NPCLName))*(TRUNC(MOD(($B695*1103515245 +12345)/ 65536, 32768),0)/32768),0))</f>
        <v>Autumnglow</v>
      </c>
      <c r="E695" s="16" t="str">
        <f t="array" ref="E695">INDEX(NPCClass,TRUNC(1+(COUNTA(NPCClass))*(TRUNC(MOD(($B695*1103515245 +12345)/ 65536, 32768),0)/32768),0))</f>
        <v>Ranger</v>
      </c>
      <c r="F695" s="76">
        <v>6</v>
      </c>
      <c r="G695" s="153">
        <f ca="1">VLOOKUP($AB$2,'RF Mod'!$A$2:$G$12,2,FALSE)+VLOOKUP($AD$2,'RF Mod'!$I$2:$O$11,2,FALSE)+(TRUNC(6+(24-6)*(TRUNC(MOD(($Z695*1103515245 +12345)/ 65536, 32768),0)/32768),0))</f>
        <v>8</v>
      </c>
      <c r="H695" s="16">
        <f t="shared" ca="1" si="33"/>
        <v>-1</v>
      </c>
      <c r="I695" s="153">
        <f ca="1">VLOOKUP($AB$2,'RF Mod'!$A$2:$G$12,3,FALSE)+VLOOKUP($AD$2,'RF Mod'!$I$2:$O$11,3,FALSE)+(TRUNC(6+(24-6)*(TRUNC(MOD(($Z695*1103515245 +12345)/ 65536, 32768),0)/32768),0))</f>
        <v>12</v>
      </c>
      <c r="J695" s="16" t="e">
        <f t="shared" ca="1" si="34"/>
        <v>#NAME?</v>
      </c>
      <c r="K695" s="153">
        <f ca="1">VLOOKUP($AB$2,'RF Mod'!$A$2:$G$12,3,FALSE)+VLOOKUP($AD$2,'RF Mod'!$I$2:$O$11,3,FALSE)+(TRUNC(6+(24-6)*(TRUNC(MOD(($Z695*1103515245 +12345)/ 65536, 32768),0)/32768),0))</f>
        <v>12</v>
      </c>
      <c r="L695" s="16" t="e">
        <f t="shared" ca="1" si="35"/>
        <v>#NAME?</v>
      </c>
      <c r="M695" s="153">
        <f ca="1">VLOOKUP($AB$2,'RF Mod'!$A$2:$G$12,4,FALSE)+VLOOKUP($AD$2,'RF Mod'!$I$2:$O$11,4,FALSE)+(TRUNC(6+(24-6)*(TRUNC(MOD(($Z695*1103515245 +12345)/ 65536, 32768),0)/32768),0))</f>
        <v>11</v>
      </c>
      <c r="N695" s="16" t="e">
        <f t="shared" ca="1" si="36"/>
        <v>#NAME?</v>
      </c>
      <c r="O695" s="153">
        <f ca="1">VLOOKUP($AB$2,'RF Mod'!$A$2:$G$12,5,FALSE)+VLOOKUP($AD$2,'RF Mod'!$I$2:$O$11,5,FALSE)+(TRUNC(6+(24-6)*(TRUNC(MOD(($Z695*1103515245 +12345)/ 65536, 32768),0)/32768),0))</f>
        <v>14</v>
      </c>
      <c r="P695" s="16" t="e">
        <f t="shared" ca="1" si="37"/>
        <v>#NAME?</v>
      </c>
      <c r="Q695" s="153">
        <f ca="1">VLOOKUP($AB$2,'RF Mod'!$A$2:$G$12,6,FALSE)+VLOOKUP($AD$2,'RF Mod'!$I$2:$O$11,6,FALSE)+(TRUNC(6+(24-6)*(TRUNC(MOD(($Z695*1103515245 +12345)/ 65536, 32768),0)/32768),0))</f>
        <v>12</v>
      </c>
      <c r="R695" s="16" t="e">
        <f t="shared" ca="1" si="38"/>
        <v>#NAME?</v>
      </c>
      <c r="S695" s="154">
        <f t="shared" ca="1" si="43"/>
        <v>168</v>
      </c>
      <c r="T695" s="154">
        <f t="shared" ca="1" si="39"/>
        <v>67</v>
      </c>
      <c r="U695" s="16" t="str">
        <f t="shared" ca="1" si="40"/>
        <v>Fine</v>
      </c>
      <c r="V695" s="155">
        <f ca="1">IFERROR(__xludf.DUMMYFUNCTION("if(W695=""Middle Age"",QUERY(NPCVar!$K$2:$N1000, ""Select L where K = '""&amp;AB695&amp;""'""),if(W695=""Old"",QUERY(NPCVar!$K$2:$N1000, ""Select M where K = '""&amp;AB695&amp;""'""),if(W695=""Venerable"",QUERY(NPCVar!$K$2:$N1000, ""Select N where K = '""&amp;AB695&amp;""'""),fa"&amp;"lse)))*X695"),31.5)</f>
        <v>31.5</v>
      </c>
      <c r="W695" s="156" t="str">
        <f t="array" ref="W695">INDEX(NPCAgeType,TRUNC(1+(4-1)*(TRUNC(MOD((X695*1103515245 +12345)/ 65536, 32768),0)/32768),0))</f>
        <v>Old</v>
      </c>
      <c r="X695" s="117">
        <f t="shared" si="45"/>
        <v>1.2</v>
      </c>
      <c r="Y695" s="157" t="e">
        <f t="array" aca="1" ref="Y695" ca="1">LOOKUP(ABS(MAX(Z695 + MIN(ABS(INDIRECT("Class Jobs!B"&amp;MATCH(E695,'Class Jobs'!$A$1:$A1000,0)&amp;":"&amp;"AF"&amp;MATCH(E695,'Class Jobs'!$A$1:$A1000,0)&amp;"")-$Z695)) * SUM(IF(MIN(ABS(INDIRECT("Class Jobs!B"&amp;MATCH(E695,'Class Jobs'!$A$1:$A1000,0)&amp;":"&amp;"AF"&amp;MATCH(E695,'Class Jobs'!$A$1:$A1000,0)&amp;"")-$Z695))=ABS(INDIRECT("Class Jobs!B"&amp;MATCH(E695,'Class Jobs'!$A$1:$A1000,0)&amp;":"&amp;"AF"&amp;MATCH(E695,'Class Jobs'!$A$1:$A1000,0)&amp;"")-$Z695),SIGN(INDIRECT("Class Jobs!B"&amp;MATCH(E695,'Class Jobs'!$A$1:A1000,0)&amp;":"&amp;"AF"&amp;MATCH(E695,'Class Jobs'!$A$1:$A1000,0)&amp;"")-$Z695),0)),0)),INDIRECT("Class Jobs!B"&amp;MATCH(E695,'Class Jobs'!$A$1:$A1000,0)&amp;":"&amp;"AF"&amp;MATCH(E695,'Class Jobs'!$A$1:$A1000,1)&amp;""),'Class Jobs'!$B$1:$AF$1)</f>
        <v>#REF!</v>
      </c>
      <c r="Z695" s="158">
        <f t="shared" si="41"/>
        <v>0.47</v>
      </c>
      <c r="AA695" s="16" t="str">
        <f t="array" ref="AA695">INDEX(NPCGender,TRUNC(1+(COUNTA(NPCGender))*(TRUNC(MOD(($B695*1103515245 +12345)/ 65536, 32768),0)/32768),0))</f>
        <v>Female</v>
      </c>
      <c r="AB695" s="16" t="str">
        <f t="array" ref="AB695">INDEX(NPCRace,TRUNC(1+(COUNTA(NPCRace))*(TRUNC(MOD(($B695*1103515245 +12345)/ 65536, 32768),0)/32768),0))</f>
        <v>Half-Orc</v>
      </c>
      <c r="AC695" s="16" t="str">
        <f t="array" ref="AC695">INDEX(NPCAL,TRUNC(1+(COUNTA(NPCAL))*(TRUNC(MOD(($B695*1103515245 +12345)/ 65536, 32768),0)/32768),0))</f>
        <v>NN</v>
      </c>
      <c r="AD695" s="72" t="str">
        <f ca="1">IFERROR(__xludf.DUMMYFUNCTION("if(V695&lt;15,QUERY(NPCVar!C:D,""Select D WHERE C = '""&amp;D695&amp;""'""),if((TRUNC(1+10)*(TRUNC(MOD((ROW(H695)*1103515245 +12345)/ 65536, 32768),0)/32768)/10) &gt; 0.85,INDEX(NPCFaction,TRUNC(1+(counta(NPCFaction)-1)*(TRUNC(MOD(($B695*1103515245 +12345)/ 65536, 3276"&amp;"8),0)/32768),0)),QUERY(NPCVar!C:D,""Select D WHERE C = '""&amp;D695&amp;""'"")))"),"Traders Guild")</f>
        <v>Traders Guild</v>
      </c>
      <c r="AE695" s="108" t="e">
        <f t="shared" ca="1" si="42"/>
        <v>#NAME?</v>
      </c>
      <c r="AF695" s="159">
        <f ca="1">IFERROR(__xludf.DUMMYFUNCTION("AE695*(V695 / QUERY(NPCVar!$K$2:$N$12, ""Select N WHERE K='""&amp;AB695&amp;""'""))*TRUNC(1+10)*(TRUNC(MOD(($B695*1103515245 +12345)/ 65536, 32768),0)/32768)"),1.64039749145507)</f>
        <v>1.6403974914550701</v>
      </c>
      <c r="AG695" s="16"/>
      <c r="AH695" s="77"/>
      <c r="AI695" s="114"/>
    </row>
    <row r="696" spans="1:35" ht="16.2">
      <c r="A696" s="53">
        <v>695</v>
      </c>
      <c r="B696" s="118">
        <f t="shared" si="47"/>
        <v>2.4154599999999999</v>
      </c>
      <c r="C696" s="72" t="str">
        <f t="array" ref="C696">INDEX(NPCFName,TRUNC(1+(COUNTA(NPCFName))*(TRUNC(MOD(($B696*1103515245 +12345)/ 65536, 32768),0)/32768),0))</f>
        <v>Rayth</v>
      </c>
      <c r="D696" s="16" t="str">
        <f t="array" ref="D696">INDEX(NPCLName,TRUNC(1+(COUNTA(NPCLName))*(TRUNC(MOD(($B696*1103515245 +12345)/ 65536, 32768),0)/32768),0))</f>
        <v>Tuskleaf</v>
      </c>
      <c r="E696" s="16" t="str">
        <f t="array" ref="E696">INDEX(NPCClass,TRUNC(1+(COUNTA(NPCClass))*(TRUNC(MOD(($B696*1103515245 +12345)/ 65536, 32768),0)/32768),0))</f>
        <v>Druid</v>
      </c>
      <c r="F696" s="76">
        <v>2</v>
      </c>
      <c r="G696" s="153">
        <f ca="1">VLOOKUP($AB$2,'RF Mod'!$A$2:$G$12,2,FALSE)+VLOOKUP($AD$2,'RF Mod'!$I$2:$O$11,2,FALSE)+(TRUNC(6+(24-6)*(TRUNC(MOD(($Z696*1103515245 +12345)/ 65536, 32768),0)/32768),0))</f>
        <v>6</v>
      </c>
      <c r="H696" s="16">
        <f t="shared" ca="1" si="33"/>
        <v>-2</v>
      </c>
      <c r="I696" s="153">
        <f ca="1">VLOOKUP($AB$2,'RF Mod'!$A$2:$G$12,3,FALSE)+VLOOKUP($AD$2,'RF Mod'!$I$2:$O$11,3,FALSE)+(TRUNC(6+(24-6)*(TRUNC(MOD(($Z696*1103515245 +12345)/ 65536, 32768),0)/32768),0))</f>
        <v>10</v>
      </c>
      <c r="J696" s="16" t="e">
        <f t="shared" ca="1" si="34"/>
        <v>#NAME?</v>
      </c>
      <c r="K696" s="153">
        <f ca="1">VLOOKUP($AB$2,'RF Mod'!$A$2:$G$12,3,FALSE)+VLOOKUP($AD$2,'RF Mod'!$I$2:$O$11,3,FALSE)+(TRUNC(6+(24-6)*(TRUNC(MOD(($Z696*1103515245 +12345)/ 65536, 32768),0)/32768),0))</f>
        <v>10</v>
      </c>
      <c r="L696" s="16" t="e">
        <f t="shared" ca="1" si="35"/>
        <v>#NAME?</v>
      </c>
      <c r="M696" s="153">
        <f ca="1">VLOOKUP($AB$2,'RF Mod'!$A$2:$G$12,4,FALSE)+VLOOKUP($AD$2,'RF Mod'!$I$2:$O$11,4,FALSE)+(TRUNC(6+(24-6)*(TRUNC(MOD(($Z696*1103515245 +12345)/ 65536, 32768),0)/32768),0))</f>
        <v>9</v>
      </c>
      <c r="N696" s="16">
        <f t="shared" ca="1" si="36"/>
        <v>-1</v>
      </c>
      <c r="O696" s="153">
        <f ca="1">VLOOKUP($AB$2,'RF Mod'!$A$2:$G$12,5,FALSE)+VLOOKUP($AD$2,'RF Mod'!$I$2:$O$11,5,FALSE)+(TRUNC(6+(24-6)*(TRUNC(MOD(($Z696*1103515245 +12345)/ 65536, 32768),0)/32768),0))</f>
        <v>12</v>
      </c>
      <c r="P696" s="16" t="e">
        <f t="shared" ca="1" si="37"/>
        <v>#NAME?</v>
      </c>
      <c r="Q696" s="153">
        <f ca="1">VLOOKUP($AB$2,'RF Mod'!$A$2:$G$12,6,FALSE)+VLOOKUP($AD$2,'RF Mod'!$I$2:$O$11,6,FALSE)+(TRUNC(6+(24-6)*(TRUNC(MOD(($Z696*1103515245 +12345)/ 65536, 32768),0)/32768),0))</f>
        <v>10</v>
      </c>
      <c r="R696" s="16" t="e">
        <f t="shared" ca="1" si="38"/>
        <v>#NAME?</v>
      </c>
      <c r="S696" s="154">
        <f t="shared" ca="1" si="43"/>
        <v>24</v>
      </c>
      <c r="T696" s="154">
        <f t="shared" ca="1" si="39"/>
        <v>23</v>
      </c>
      <c r="U696" s="16" t="str">
        <f t="shared" ca="1" si="40"/>
        <v>Bloody</v>
      </c>
      <c r="V696" s="155">
        <f ca="1">IFERROR(__xludf.DUMMYFUNCTION("if(W696=""Middle Age"",QUERY(NPCVar!$K$2:$N1000, ""Select L where K = '""&amp;AB696&amp;""'""),if(W696=""Old"",QUERY(NPCVar!$K$2:$N1000, ""Select M where K = '""&amp;AB696&amp;""'""),if(W696=""Venerable"",QUERY(NPCVar!$K$2:$N1000, ""Select N where K = '""&amp;AB696&amp;""'""),fa"&amp;"lse)))*X696"),112.5)</f>
        <v>112.5</v>
      </c>
      <c r="W696" s="156" t="str">
        <f t="array" ref="W696">INDEX(NPCAgeType,TRUNC(1+(4-1)*(TRUNC(MOD((X696*1103515245 +12345)/ 65536, 32768),0)/32768),0))</f>
        <v>Middle Age</v>
      </c>
      <c r="X696" s="117">
        <f t="shared" si="45"/>
        <v>0.6</v>
      </c>
      <c r="Y696" s="157" t="e">
        <f t="array" aca="1" ref="Y696" ca="1">LOOKUP(ABS(MAX(Z696 + MIN(ABS(INDIRECT("Class Jobs!B"&amp;MATCH(E696,'Class Jobs'!$A$1:$A1000,0)&amp;":"&amp;"AF"&amp;MATCH(E696,'Class Jobs'!$A$1:$A1000,0)&amp;"")-$Z696)) * SUM(IF(MIN(ABS(INDIRECT("Class Jobs!B"&amp;MATCH(E696,'Class Jobs'!$A$1:$A1000,0)&amp;":"&amp;"AF"&amp;MATCH(E696,'Class Jobs'!$A$1:$A1000,0)&amp;"")-$Z696))=ABS(INDIRECT("Class Jobs!B"&amp;MATCH(E696,'Class Jobs'!$A$1:$A1000,0)&amp;":"&amp;"AF"&amp;MATCH(E696,'Class Jobs'!$A$1:$A1000,0)&amp;"")-$Z696),SIGN(INDIRECT("Class Jobs!B"&amp;MATCH(E696,'Class Jobs'!$A$1:A1000,0)&amp;":"&amp;"AF"&amp;MATCH(E696,'Class Jobs'!$A$1:$A1000,0)&amp;"")-$Z696),0)),0)),INDIRECT("Class Jobs!B"&amp;MATCH(E696,'Class Jobs'!$A$1:$A1000,0)&amp;":"&amp;"AF"&amp;MATCH(E696,'Class Jobs'!$A$1:$A1000,1)&amp;""),'Class Jobs'!$B$1:$AF$1)</f>
        <v>#REF!</v>
      </c>
      <c r="Z696" s="158">
        <f t="shared" si="41"/>
        <v>0.24</v>
      </c>
      <c r="AA696" s="16" t="str">
        <f t="array" ref="AA696">INDEX(NPCGender,TRUNC(1+(COUNTA(NPCGender))*(TRUNC(MOD(($B696*1103515245 +12345)/ 65536, 32768),0)/32768),0))</f>
        <v>Male</v>
      </c>
      <c r="AB696" s="16" t="str">
        <f t="array" ref="AB696">INDEX(NPCRace,TRUNC(1+(COUNTA(NPCRace))*(TRUNC(MOD(($B696*1103515245 +12345)/ 65536, 32768),0)/32768),0))</f>
        <v>Elf</v>
      </c>
      <c r="AC696" s="16" t="str">
        <f t="array" ref="AC696">INDEX(NPCAL,TRUNC(1+(COUNTA(NPCAL))*(TRUNC(MOD(($B696*1103515245 +12345)/ 65536, 32768),0)/32768),0))</f>
        <v>CG</v>
      </c>
      <c r="AD696" s="72" t="str">
        <f ca="1">IFERROR(__xludf.DUMMYFUNCTION("if(V696&lt;15,QUERY(NPCVar!C:D,""Select D WHERE C = '""&amp;D696&amp;""'""),if((TRUNC(1+10)*(TRUNC(MOD((ROW(H696)*1103515245 +12345)/ 65536, 32768),0)/32768)/10) &gt; 0.85,INDEX(NPCFaction,TRUNC(1+(counta(NPCFaction)-1)*(TRUNC(MOD(($B696*1103515245 +12345)/ 65536, 3276"&amp;"8),0)/32768),0)),QUERY(NPCVar!C:D,""Select D WHERE C = '""&amp;D696&amp;""'"")))"),"Magic Guild")</f>
        <v>Magic Guild</v>
      </c>
      <c r="AE696" s="108" t="e">
        <f t="shared" ca="1" si="42"/>
        <v>#NAME?</v>
      </c>
      <c r="AF696" s="159">
        <f ca="1">IFERROR(__xludf.DUMMYFUNCTION("AE696*(V696 / QUERY(NPCVar!$K$2:$N$12, ""Select N WHERE K='""&amp;AB696&amp;""'""))*TRUNC(1+10)*(TRUNC(MOD(($B696*1103515245 +12345)/ 65536, 32768),0)/32768)"),0)</f>
        <v>0</v>
      </c>
      <c r="AG696" s="16"/>
      <c r="AH696" s="77"/>
      <c r="AI696" s="114"/>
    </row>
    <row r="697" spans="1:35" ht="16.2">
      <c r="A697" s="53">
        <v>696</v>
      </c>
      <c r="B697" s="118">
        <f t="shared" si="47"/>
        <v>1.40961</v>
      </c>
      <c r="C697" s="72" t="str">
        <f t="array" ref="C697">INDEX(NPCFName,TRUNC(1+(COUNTA(NPCFName))*(TRUNC(MOD(($B697*1103515245 +12345)/ 65536, 32768),0)/32768),0))</f>
        <v>Cusmirk</v>
      </c>
      <c r="D697" s="16" t="str">
        <f t="array" ref="D697">INDEX(NPCLName,TRUNC(1+(COUNTA(NPCLName))*(TRUNC(MOD(($B697*1103515245 +12345)/ 65536, 32768),0)/32768),0))</f>
        <v>Rockspell</v>
      </c>
      <c r="E697" s="16" t="str">
        <f t="array" ref="E697">INDEX(NPCClass,TRUNC(1+(COUNTA(NPCClass))*(TRUNC(MOD(($B697*1103515245 +12345)/ 65536, 32768),0)/32768),0))</f>
        <v>None</v>
      </c>
      <c r="F697" s="76">
        <v>8</v>
      </c>
      <c r="G697" s="153">
        <f ca="1">VLOOKUP($AB$2,'RF Mod'!$A$2:$G$12,2,FALSE)+VLOOKUP($AD$2,'RF Mod'!$I$2:$O$11,2,FALSE)+(TRUNC(6+(24-6)*(TRUNC(MOD(($Z697*1103515245 +12345)/ 65536, 32768),0)/32768),0))</f>
        <v>10</v>
      </c>
      <c r="H697" s="16" t="e">
        <f t="shared" ca="1" si="33"/>
        <v>#NAME?</v>
      </c>
      <c r="I697" s="153">
        <f ca="1">VLOOKUP($AB$2,'RF Mod'!$A$2:$G$12,3,FALSE)+VLOOKUP($AD$2,'RF Mod'!$I$2:$O$11,3,FALSE)+(TRUNC(6+(24-6)*(TRUNC(MOD(($Z697*1103515245 +12345)/ 65536, 32768),0)/32768),0))</f>
        <v>14</v>
      </c>
      <c r="J697" s="16" t="e">
        <f t="shared" ca="1" si="34"/>
        <v>#NAME?</v>
      </c>
      <c r="K697" s="153">
        <f ca="1">VLOOKUP($AB$2,'RF Mod'!$A$2:$G$12,3,FALSE)+VLOOKUP($AD$2,'RF Mod'!$I$2:$O$11,3,FALSE)+(TRUNC(6+(24-6)*(TRUNC(MOD(($Z697*1103515245 +12345)/ 65536, 32768),0)/32768),0))</f>
        <v>14</v>
      </c>
      <c r="L697" s="16" t="e">
        <f t="shared" ca="1" si="35"/>
        <v>#NAME?</v>
      </c>
      <c r="M697" s="153">
        <f ca="1">VLOOKUP($AB$2,'RF Mod'!$A$2:$G$12,4,FALSE)+VLOOKUP($AD$2,'RF Mod'!$I$2:$O$11,4,FALSE)+(TRUNC(6+(24-6)*(TRUNC(MOD(($Z697*1103515245 +12345)/ 65536, 32768),0)/32768),0))</f>
        <v>13</v>
      </c>
      <c r="N697" s="16" t="e">
        <f t="shared" ca="1" si="36"/>
        <v>#NAME?</v>
      </c>
      <c r="O697" s="153">
        <f ca="1">VLOOKUP($AB$2,'RF Mod'!$A$2:$G$12,5,FALSE)+VLOOKUP($AD$2,'RF Mod'!$I$2:$O$11,5,FALSE)+(TRUNC(6+(24-6)*(TRUNC(MOD(($Z697*1103515245 +12345)/ 65536, 32768),0)/32768),0))</f>
        <v>16</v>
      </c>
      <c r="P697" s="16" t="e">
        <f t="shared" ca="1" si="37"/>
        <v>#NAME?</v>
      </c>
      <c r="Q697" s="153">
        <f ca="1">VLOOKUP($AB$2,'RF Mod'!$A$2:$G$12,6,FALSE)+VLOOKUP($AD$2,'RF Mod'!$I$2:$O$11,6,FALSE)+(TRUNC(6+(24-6)*(TRUNC(MOD(($Z697*1103515245 +12345)/ 65536, 32768),0)/32768),0))</f>
        <v>14</v>
      </c>
      <c r="R697" s="16" t="e">
        <f t="shared" ca="1" si="38"/>
        <v>#NAME?</v>
      </c>
      <c r="S697" s="154">
        <f t="shared" ca="1" si="43"/>
        <v>144</v>
      </c>
      <c r="T697" s="154">
        <f t="shared" ca="1" si="39"/>
        <v>91</v>
      </c>
      <c r="U697" s="16" t="str">
        <f t="shared" ca="1" si="40"/>
        <v>Bloody</v>
      </c>
      <c r="V697" s="155">
        <f ca="1">IFERROR(__xludf.DUMMYFUNCTION("if(W697=""Middle Age"",QUERY(NPCVar!$K$2:$N1000, ""Select L where K = '""&amp;AB697&amp;""'""),if(W697=""Old"",QUERY(NPCVar!$K$2:$N1000, ""Select M where K = '""&amp;AB697&amp;""'""),if(W697=""Venerable"",QUERY(NPCVar!$K$2:$N1000, ""Select N where K = '""&amp;AB697&amp;""'""),fa"&amp;"lse)))*X697"),162)</f>
        <v>162</v>
      </c>
      <c r="W697" s="156" t="str">
        <f t="array" ref="W697">INDEX(NPCAgeType,TRUNC(1+(4-1)*(TRUNC(MOD((X697*1103515245 +12345)/ 65536, 32768),0)/32768),0))</f>
        <v>Venerable</v>
      </c>
      <c r="X697" s="117">
        <f t="shared" si="45"/>
        <v>1.8</v>
      </c>
      <c r="Y697" s="157" t="e">
        <f t="array" aca="1" ref="Y697" ca="1">LOOKUP(ABS(MAX(Z697 + MIN(ABS(INDIRECT("Class Jobs!B"&amp;MATCH(E697,'Class Jobs'!$A$1:$A1000,0)&amp;":"&amp;"AF"&amp;MATCH(E697,'Class Jobs'!$A$1:$A1000,0)&amp;"")-$Z697)) * SUM(IF(MIN(ABS(INDIRECT("Class Jobs!B"&amp;MATCH(E697,'Class Jobs'!$A$1:$A1000,0)&amp;":"&amp;"AF"&amp;MATCH(E697,'Class Jobs'!$A$1:$A1000,0)&amp;"")-$Z697))=ABS(INDIRECT("Class Jobs!B"&amp;MATCH(E697,'Class Jobs'!$A$1:$A1000,0)&amp;":"&amp;"AF"&amp;MATCH(E697,'Class Jobs'!$A$1:$A1000,0)&amp;"")-$Z697),SIGN(INDIRECT("Class Jobs!B"&amp;MATCH(E697,'Class Jobs'!$A$1:A1000,0)&amp;":"&amp;"AF"&amp;MATCH(E697,'Class Jobs'!$A$1:$A1000,0)&amp;"")-$Z697),0)),0)),INDIRECT("Class Jobs!B"&amp;MATCH(E697,'Class Jobs'!$A$1:$A1000,0)&amp;":"&amp;"AF"&amp;MATCH(E697,'Class Jobs'!$A$1:$A1000,1)&amp;""),'Class Jobs'!$B$1:$AF$1)</f>
        <v>#REF!</v>
      </c>
      <c r="Z697" s="158">
        <f t="shared" si="41"/>
        <v>0.72</v>
      </c>
      <c r="AA697" s="16" t="str">
        <f t="array" ref="AA697">INDEX(NPCGender,TRUNC(1+(COUNTA(NPCGender))*(TRUNC(MOD(($B697*1103515245 +12345)/ 65536, 32768),0)/32768),0))</f>
        <v>Neutral</v>
      </c>
      <c r="AB697" s="16" t="str">
        <f t="array" ref="AB697">INDEX(NPCRace,TRUNC(1+(COUNTA(NPCRace))*(TRUNC(MOD(($B697*1103515245 +12345)/ 65536, 32768),0)/32768),0))</f>
        <v>Human</v>
      </c>
      <c r="AC697" s="16" t="str">
        <f t="array" ref="AC697">INDEX(NPCAL,TRUNC(1+(COUNTA(NPCAL))*(TRUNC(MOD(($B697*1103515245 +12345)/ 65536, 32768),0)/32768),0))</f>
        <v>LG</v>
      </c>
      <c r="AD697" s="72" t="str">
        <f ca="1">IFERROR(__xludf.DUMMYFUNCTION("if(V697&lt;15,QUERY(NPCVar!C:D,""Select D WHERE C = '""&amp;D697&amp;""'""),if((TRUNC(1+10)*(TRUNC(MOD((ROW(H697)*1103515245 +12345)/ 65536, 32768),0)/32768)/10) &gt; 0.85,INDEX(NPCFaction,TRUNC(1+(counta(NPCFaction)-1)*(TRUNC(MOD(($B697*1103515245 +12345)/ 65536, 3276"&amp;"8),0)/32768),0)),QUERY(NPCVar!C:D,""Select D WHERE C = '""&amp;D697&amp;""'"")))"),"Traverlers Guild")</f>
        <v>Traverlers Guild</v>
      </c>
      <c r="AE697" s="108" t="e">
        <f t="shared" ca="1" si="42"/>
        <v>#NAME?</v>
      </c>
      <c r="AF697" s="159">
        <f ca="1">IFERROR(__xludf.DUMMYFUNCTION("AE697*(V697 / QUERY(NPCVar!$K$2:$N$12, ""Select N WHERE K='""&amp;AB697&amp;""'""))*TRUNC(1+10)*(TRUNC(MOD(($B697*1103515245 +12345)/ 65536, 32768),0)/32768)"),10.0392791748046)</f>
        <v>10.0392791748046</v>
      </c>
      <c r="AG697" s="16"/>
      <c r="AH697" s="77"/>
      <c r="AI697" s="114"/>
    </row>
    <row r="698" spans="1:35" ht="16.2">
      <c r="A698" s="53">
        <v>697</v>
      </c>
      <c r="B698" s="118">
        <f t="shared" si="47"/>
        <v>0.40375</v>
      </c>
      <c r="C698" s="72" t="str">
        <f t="array" ref="C698">INDEX(NPCFName,TRUNC(1+(COUNTA(NPCFName))*(TRUNC(MOD(($B698*1103515245 +12345)/ 65536, 32768),0)/32768),0))</f>
        <v>Niro</v>
      </c>
      <c r="D698" s="16" t="str">
        <f t="array" ref="D698">INDEX(NPCLName,TRUNC(1+(COUNTA(NPCLName))*(TRUNC(MOD(($B698*1103515245 +12345)/ 65536, 32768),0)/32768),0))</f>
        <v>Stillsun</v>
      </c>
      <c r="E698" s="16" t="str">
        <f t="array" ref="E698">INDEX(NPCClass,TRUNC(1+(COUNTA(NPCClass))*(TRUNC(MOD(($B698*1103515245 +12345)/ 65536, 32768),0)/32768),0))</f>
        <v>Druid</v>
      </c>
      <c r="F698" s="76">
        <v>1</v>
      </c>
      <c r="G698" s="153">
        <f ca="1">VLOOKUP($AB$2,'RF Mod'!$A$2:$G$12,2,FALSE)+VLOOKUP($AD$2,'RF Mod'!$I$2:$O$11,2,FALSE)+(TRUNC(6+(24-6)*(TRUNC(MOD(($Z698*1103515245 +12345)/ 65536, 32768),0)/32768),0))</f>
        <v>5</v>
      </c>
      <c r="H698" s="16">
        <f t="shared" ca="1" si="33"/>
        <v>-3</v>
      </c>
      <c r="I698" s="153">
        <f ca="1">VLOOKUP($AB$2,'RF Mod'!$A$2:$G$12,3,FALSE)+VLOOKUP($AD$2,'RF Mod'!$I$2:$O$11,3,FALSE)+(TRUNC(6+(24-6)*(TRUNC(MOD(($Z698*1103515245 +12345)/ 65536, 32768),0)/32768),0))</f>
        <v>9</v>
      </c>
      <c r="J698" s="16">
        <f t="shared" ca="1" si="34"/>
        <v>-1</v>
      </c>
      <c r="K698" s="153">
        <f ca="1">VLOOKUP($AB$2,'RF Mod'!$A$2:$G$12,3,FALSE)+VLOOKUP($AD$2,'RF Mod'!$I$2:$O$11,3,FALSE)+(TRUNC(6+(24-6)*(TRUNC(MOD(($Z698*1103515245 +12345)/ 65536, 32768),0)/32768),0))</f>
        <v>9</v>
      </c>
      <c r="L698" s="16">
        <f t="shared" ca="1" si="35"/>
        <v>-1</v>
      </c>
      <c r="M698" s="153">
        <f ca="1">VLOOKUP($AB$2,'RF Mod'!$A$2:$G$12,4,FALSE)+VLOOKUP($AD$2,'RF Mod'!$I$2:$O$11,4,FALSE)+(TRUNC(6+(24-6)*(TRUNC(MOD(($Z698*1103515245 +12345)/ 65536, 32768),0)/32768),0))</f>
        <v>8</v>
      </c>
      <c r="N698" s="16">
        <f t="shared" ca="1" si="36"/>
        <v>-1</v>
      </c>
      <c r="O698" s="153">
        <f ca="1">VLOOKUP($AB$2,'RF Mod'!$A$2:$G$12,5,FALSE)+VLOOKUP($AD$2,'RF Mod'!$I$2:$O$11,5,FALSE)+(TRUNC(6+(24-6)*(TRUNC(MOD(($Z698*1103515245 +12345)/ 65536, 32768),0)/32768),0))</f>
        <v>11</v>
      </c>
      <c r="P698" s="16" t="e">
        <f t="shared" ca="1" si="37"/>
        <v>#NAME?</v>
      </c>
      <c r="Q698" s="153">
        <f ca="1">VLOOKUP($AB$2,'RF Mod'!$A$2:$G$12,6,FALSE)+VLOOKUP($AD$2,'RF Mod'!$I$2:$O$11,6,FALSE)+(TRUNC(6+(24-6)*(TRUNC(MOD(($Z698*1103515245 +12345)/ 65536, 32768),0)/32768),0))</f>
        <v>9</v>
      </c>
      <c r="R698" s="16">
        <f t="shared" ca="1" si="38"/>
        <v>-1</v>
      </c>
      <c r="S698" s="154">
        <f t="shared" ca="1" si="43"/>
        <v>27</v>
      </c>
      <c r="T698" s="154">
        <f t="shared" ca="1" si="39"/>
        <v>19</v>
      </c>
      <c r="U698" s="16" t="str">
        <f t="shared" ca="1" si="40"/>
        <v>Bloody</v>
      </c>
      <c r="V698" s="155">
        <f ca="1">IFERROR(__xludf.DUMMYFUNCTION("if(W698=""Middle Age"",QUERY(NPCVar!$K$2:$N1000, ""Select L where K = '""&amp;AB698&amp;""'""),if(W698=""Old"",QUERY(NPCVar!$K$2:$N1000, ""Select M where K = '""&amp;AB698&amp;""'""),if(W698=""Venerable"",QUERY(NPCVar!$K$2:$N1000, ""Select N where K = '""&amp;AB698&amp;""'""),fa"&amp;"lse)))*X698"),93.75)</f>
        <v>93.75</v>
      </c>
      <c r="W698" s="156" t="str">
        <f t="array" ref="W698">INDEX(NPCAgeType,TRUNC(1+(4-1)*(TRUNC(MOD((X698*1103515245 +12345)/ 65536, 32768),0)/32768),0))</f>
        <v>Middle Age</v>
      </c>
      <c r="X698" s="117">
        <f t="shared" si="45"/>
        <v>0.5</v>
      </c>
      <c r="Y698" s="157" t="e">
        <f t="array" aca="1" ref="Y698" ca="1">LOOKUP(ABS(MAX(Z698 + MIN(ABS(INDIRECT("Class Jobs!B"&amp;MATCH(E698,'Class Jobs'!$A$1:$A1000,0)&amp;":"&amp;"AF"&amp;MATCH(E698,'Class Jobs'!$A$1:$A1000,0)&amp;"")-$Z698)) * SUM(IF(MIN(ABS(INDIRECT("Class Jobs!B"&amp;MATCH(E698,'Class Jobs'!$A$1:$A1000,0)&amp;":"&amp;"AF"&amp;MATCH(E698,'Class Jobs'!$A$1:$A1000,0)&amp;"")-$Z698))=ABS(INDIRECT("Class Jobs!B"&amp;MATCH(E698,'Class Jobs'!$A$1:$A1000,0)&amp;":"&amp;"AF"&amp;MATCH(E698,'Class Jobs'!$A$1:$A1000,0)&amp;"")-$Z698),SIGN(INDIRECT("Class Jobs!B"&amp;MATCH(E698,'Class Jobs'!$A$1:A1000,0)&amp;":"&amp;"AF"&amp;MATCH(E698,'Class Jobs'!$A$1:$A1000,0)&amp;"")-$Z698),0)),0)),INDIRECT("Class Jobs!B"&amp;MATCH(E698,'Class Jobs'!$A$1:$A1000,0)&amp;":"&amp;"AF"&amp;MATCH(E698,'Class Jobs'!$A$1:$A1000,1)&amp;""),'Class Jobs'!$B$1:$AF$1)</f>
        <v>#REF!</v>
      </c>
      <c r="Z698" s="158">
        <f t="shared" si="41"/>
        <v>0.21</v>
      </c>
      <c r="AA698" s="16" t="str">
        <f t="array" ref="AA698">INDEX(NPCGender,TRUNC(1+(COUNTA(NPCGender))*(TRUNC(MOD(($B698*1103515245 +12345)/ 65536, 32768),0)/32768),0))</f>
        <v>Male</v>
      </c>
      <c r="AB698" s="16" t="str">
        <f t="array" ref="AB698">INDEX(NPCRace,TRUNC(1+(COUNTA(NPCRace))*(TRUNC(MOD(($B698*1103515245 +12345)/ 65536, 32768),0)/32768),0))</f>
        <v>Elf</v>
      </c>
      <c r="AC698" s="16" t="str">
        <f t="array" ref="AC698">INDEX(NPCAL,TRUNC(1+(COUNTA(NPCAL))*(TRUNC(MOD(($B698*1103515245 +12345)/ 65536, 32768),0)/32768),0))</f>
        <v>CE</v>
      </c>
      <c r="AD698" s="72" t="str">
        <f ca="1">IFERROR(__xludf.DUMMYFUNCTION("if(V698&lt;15,QUERY(NPCVar!C:D,""Select D WHERE C = '""&amp;D698&amp;""'""),if((TRUNC(1+10)*(TRUNC(MOD((ROW(H698)*1103515245 +12345)/ 65536, 32768),0)/32768)/10) &gt; 0.85,INDEX(NPCFaction,TRUNC(1+(counta(NPCFaction)-1)*(TRUNC(MOD(($B698*1103515245 +12345)/ 65536, 3276"&amp;"8),0)/32768),0)),QUERY(NPCVar!C:D,""Select D WHERE C = '""&amp;D698&amp;""'"")))"),"Necromancer")</f>
        <v>Necromancer</v>
      </c>
      <c r="AE698" s="108" t="e">
        <f t="shared" ca="1" si="42"/>
        <v>#NAME?</v>
      </c>
      <c r="AF698" s="159">
        <f ca="1">IFERROR(__xludf.DUMMYFUNCTION("AE698*(V698 / QUERY(NPCVar!$K$2:$N$12, ""Select N WHERE K='""&amp;AB698&amp;""'""))*TRUNC(1+10)*(TRUNC(MOD(($B698*1103515245 +12345)/ 65536, 32768),0)/32768)"),-0.0285255432128906)</f>
        <v>-2.8525543212890601E-2</v>
      </c>
      <c r="AG698" s="16"/>
      <c r="AH698" s="77"/>
      <c r="AI698" s="114"/>
    </row>
    <row r="699" spans="1:35" ht="16.2">
      <c r="A699" s="53">
        <v>698</v>
      </c>
      <c r="B699" s="118">
        <f t="shared" si="47"/>
        <v>1.8978900000000001</v>
      </c>
      <c r="C699" s="72" t="str">
        <f t="array" ref="C699">INDEX(NPCFName,TRUNC(1+(COUNTA(NPCFName))*(TRUNC(MOD(($B699*1103515245 +12345)/ 65536, 32768),0)/32768),0))</f>
        <v>Vythethi</v>
      </c>
      <c r="D699" s="16" t="str">
        <f t="array" ref="D699">INDEX(NPCLName,TRUNC(1+(COUNTA(NPCLName))*(TRUNC(MOD(($B699*1103515245 +12345)/ 65536, 32768),0)/32768),0))</f>
        <v>Stillspell</v>
      </c>
      <c r="E699" s="16" t="str">
        <f t="array" ref="E699">INDEX(NPCClass,TRUNC(1+(COUNTA(NPCClass))*(TRUNC(MOD(($B699*1103515245 +12345)/ 65536, 32768),0)/32768),0))</f>
        <v>Wizard</v>
      </c>
      <c r="F699" s="76">
        <v>8</v>
      </c>
      <c r="G699" s="153">
        <f ca="1">VLOOKUP($AB$2,'RF Mod'!$A$2:$G$12,2,FALSE)+VLOOKUP($AD$2,'RF Mod'!$I$2:$O$11,2,FALSE)+(TRUNC(6+(24-6)*(TRUNC(MOD(($Z699*1103515245 +12345)/ 65536, 32768),0)/32768),0))</f>
        <v>12</v>
      </c>
      <c r="H699" s="16" t="e">
        <f t="shared" ca="1" si="33"/>
        <v>#NAME?</v>
      </c>
      <c r="I699" s="153">
        <f ca="1">VLOOKUP($AB$2,'RF Mod'!$A$2:$G$12,3,FALSE)+VLOOKUP($AD$2,'RF Mod'!$I$2:$O$11,3,FALSE)+(TRUNC(6+(24-6)*(TRUNC(MOD(($Z699*1103515245 +12345)/ 65536, 32768),0)/32768),0))</f>
        <v>16</v>
      </c>
      <c r="J699" s="16" t="e">
        <f t="shared" ca="1" si="34"/>
        <v>#NAME?</v>
      </c>
      <c r="K699" s="153">
        <f ca="1">VLOOKUP($AB$2,'RF Mod'!$A$2:$G$12,3,FALSE)+VLOOKUP($AD$2,'RF Mod'!$I$2:$O$11,3,FALSE)+(TRUNC(6+(24-6)*(TRUNC(MOD(($Z699*1103515245 +12345)/ 65536, 32768),0)/32768),0))</f>
        <v>16</v>
      </c>
      <c r="L699" s="16" t="e">
        <f t="shared" ca="1" si="35"/>
        <v>#NAME?</v>
      </c>
      <c r="M699" s="153">
        <f ca="1">VLOOKUP($AB$2,'RF Mod'!$A$2:$G$12,4,FALSE)+VLOOKUP($AD$2,'RF Mod'!$I$2:$O$11,4,FALSE)+(TRUNC(6+(24-6)*(TRUNC(MOD(($Z699*1103515245 +12345)/ 65536, 32768),0)/32768),0))</f>
        <v>15</v>
      </c>
      <c r="N699" s="16" t="e">
        <f t="shared" ca="1" si="36"/>
        <v>#NAME?</v>
      </c>
      <c r="O699" s="153">
        <f ca="1">VLOOKUP($AB$2,'RF Mod'!$A$2:$G$12,5,FALSE)+VLOOKUP($AD$2,'RF Mod'!$I$2:$O$11,5,FALSE)+(TRUNC(6+(24-6)*(TRUNC(MOD(($Z699*1103515245 +12345)/ 65536, 32768),0)/32768),0))</f>
        <v>18</v>
      </c>
      <c r="P699" s="16" t="e">
        <f t="shared" ca="1" si="37"/>
        <v>#NAME?</v>
      </c>
      <c r="Q699" s="153">
        <f ca="1">VLOOKUP($AB$2,'RF Mod'!$A$2:$G$12,6,FALSE)+VLOOKUP($AD$2,'RF Mod'!$I$2:$O$11,6,FALSE)+(TRUNC(6+(24-6)*(TRUNC(MOD(($Z699*1103515245 +12345)/ 65536, 32768),0)/32768),0))</f>
        <v>16</v>
      </c>
      <c r="R699" s="16" t="e">
        <f t="shared" ca="1" si="38"/>
        <v>#NAME?</v>
      </c>
      <c r="S699" s="154">
        <f t="shared" ca="1" si="43"/>
        <v>224</v>
      </c>
      <c r="T699" s="154">
        <f t="shared" ca="1" si="39"/>
        <v>243</v>
      </c>
      <c r="U699" s="16" t="str">
        <f t="shared" ca="1" si="40"/>
        <v>Dead</v>
      </c>
      <c r="V699" s="155">
        <f ca="1">IFERROR(__xludf.DUMMYFUNCTION("if(W699=""Middle Age"",QUERY(NPCVar!$K$2:$N1000, ""Select L where K = '""&amp;AB699&amp;""'""),if(W699=""Old"",QUERY(NPCVar!$K$2:$N1000, ""Select M where K = '""&amp;AB699&amp;""'""),if(W699=""Venerable"",QUERY(NPCVar!$K$2:$N1000, ""Select N where K = '""&amp;AB699&amp;""'""),fa"&amp;"lse)))*X699"),72)</f>
        <v>72</v>
      </c>
      <c r="W699" s="156" t="str">
        <f t="array" ref="W699">INDEX(NPCAgeType,TRUNC(1+(4-1)*(TRUNC(MOD((X699*1103515245 +12345)/ 65536, 32768),0)/32768),0))</f>
        <v>Middle Age</v>
      </c>
      <c r="X699" s="117">
        <f t="shared" si="45"/>
        <v>2.4</v>
      </c>
      <c r="Y699" s="157" t="e">
        <f t="array" aca="1" ref="Y699" ca="1">LOOKUP(ABS(MAX(Z699 + MIN(ABS(INDIRECT("Class Jobs!B"&amp;MATCH(E699,'Class Jobs'!$A$1:$A1000,0)&amp;":"&amp;"AF"&amp;MATCH(E699,'Class Jobs'!$A$1:$A1000,0)&amp;"")-$Z699)) * SUM(IF(MIN(ABS(INDIRECT("Class Jobs!B"&amp;MATCH(E699,'Class Jobs'!$A$1:$A1000,0)&amp;":"&amp;"AF"&amp;MATCH(E699,'Class Jobs'!$A$1:$A1000,0)&amp;"")-$Z699))=ABS(INDIRECT("Class Jobs!B"&amp;MATCH(E699,'Class Jobs'!$A$1:$A1000,0)&amp;":"&amp;"AF"&amp;MATCH(E699,'Class Jobs'!$A$1:$A1000,0)&amp;"")-$Z699),SIGN(INDIRECT("Class Jobs!B"&amp;MATCH(E699,'Class Jobs'!$A$1:A1000,0)&amp;":"&amp;"AF"&amp;MATCH(E699,'Class Jobs'!$A$1:$A1000,0)&amp;"")-$Z699),0)),0)),INDIRECT("Class Jobs!B"&amp;MATCH(E699,'Class Jobs'!$A$1:$A1000,0)&amp;":"&amp;"AF"&amp;MATCH(E699,'Class Jobs'!$A$1:$A1000,1)&amp;""),'Class Jobs'!$B$1:$AF$1)</f>
        <v>#REF!</v>
      </c>
      <c r="Z699" s="158">
        <f t="shared" si="41"/>
        <v>0.97</v>
      </c>
      <c r="AA699" s="16" t="str">
        <f t="array" ref="AA699">INDEX(NPCGender,TRUNC(1+(COUNTA(NPCGender))*(TRUNC(MOD(($B699*1103515245 +12345)/ 65536, 32768),0)/32768),0))</f>
        <v>Neutral</v>
      </c>
      <c r="AB699" s="16" t="str">
        <f t="array" ref="AB699">INDEX(NPCRace,TRUNC(1+(COUNTA(NPCRace))*(TRUNC(MOD(($B699*1103515245 +12345)/ 65536, 32768),0)/32768),0))</f>
        <v>Goliath</v>
      </c>
      <c r="AC699" s="16" t="str">
        <f t="array" ref="AC699">INDEX(NPCAL,TRUNC(1+(COUNTA(NPCAL))*(TRUNC(MOD(($B699*1103515245 +12345)/ 65536, 32768),0)/32768),0))</f>
        <v>LE</v>
      </c>
      <c r="AD699" s="72" t="str">
        <f ca="1">IFERROR(__xludf.DUMMYFUNCTION("if(V699&lt;15,QUERY(NPCVar!C:D,""Select D WHERE C = '""&amp;D699&amp;""'""),if((TRUNC(1+10)*(TRUNC(MOD((ROW(H699)*1103515245 +12345)/ 65536, 32768),0)/32768)/10) &gt; 0.85,INDEX(NPCFaction,TRUNC(1+(counta(NPCFaction)-1)*(TRUNC(MOD(($B699*1103515245 +12345)/ 65536, 3276"&amp;"8),0)/32768),0)),QUERY(NPCVar!C:D,""Select D WHERE C = '""&amp;D699&amp;""'"")))"),"Followers of Isis")</f>
        <v>Followers of Isis</v>
      </c>
      <c r="AE699" s="108" t="e">
        <f t="shared" ca="1" si="42"/>
        <v>#NAME?</v>
      </c>
      <c r="AF699" s="159">
        <f ca="1">IFERROR(__xludf.DUMMYFUNCTION("AE699*(V699 / QUERY(NPCVar!$K$2:$N$12, ""Select N WHERE K='""&amp;AB699&amp;""'""))*TRUNC(1+10)*(TRUNC(MOD(($B699*1103515245 +12345)/ 65536, 32768),0)/32768)"),5.1493212890625)</f>
        <v>5.1493212890624998</v>
      </c>
      <c r="AG699" s="16"/>
      <c r="AH699" s="77"/>
      <c r="AI699" s="114"/>
    </row>
    <row r="700" spans="1:35" ht="16.2">
      <c r="A700" s="53">
        <v>699</v>
      </c>
      <c r="B700" s="118">
        <f t="shared" si="47"/>
        <v>0.89202999999999999</v>
      </c>
      <c r="C700" s="72" t="str">
        <f t="array" ref="C700">INDEX(NPCFName,TRUNC(1+(COUNTA(NPCFName))*(TRUNC(MOD(($B700*1103515245 +12345)/ 65536, 32768),0)/32768),0))</f>
        <v>Gundir</v>
      </c>
      <c r="D700" s="16" t="str">
        <f t="array" ref="D700">INDEX(NPCLName,TRUNC(1+(COUNTA(NPCLName))*(TRUNC(MOD(($B700*1103515245 +12345)/ 65536, 32768),0)/32768),0))</f>
        <v>Saurflame</v>
      </c>
      <c r="E700" s="16" t="str">
        <f t="array" ref="E700">INDEX(NPCClass,TRUNC(1+(COUNTA(NPCClass))*(TRUNC(MOD(($B700*1103515245 +12345)/ 65536, 32768),0)/32768),0))</f>
        <v>Ranger</v>
      </c>
      <c r="F700" s="76">
        <v>8</v>
      </c>
      <c r="G700" s="153">
        <f ca="1">VLOOKUP($AB$2,'RF Mod'!$A$2:$G$12,2,FALSE)+VLOOKUP($AD$2,'RF Mod'!$I$2:$O$11,2,FALSE)+(TRUNC(6+(24-6)*(TRUNC(MOD(($Z700*1103515245 +12345)/ 65536, 32768),0)/32768),0))</f>
        <v>8</v>
      </c>
      <c r="H700" s="16">
        <f t="shared" ca="1" si="33"/>
        <v>-1</v>
      </c>
      <c r="I700" s="153">
        <f ca="1">VLOOKUP($AB$2,'RF Mod'!$A$2:$G$12,3,FALSE)+VLOOKUP($AD$2,'RF Mod'!$I$2:$O$11,3,FALSE)+(TRUNC(6+(24-6)*(TRUNC(MOD(($Z700*1103515245 +12345)/ 65536, 32768),0)/32768),0))</f>
        <v>12</v>
      </c>
      <c r="J700" s="16" t="e">
        <f t="shared" ca="1" si="34"/>
        <v>#NAME?</v>
      </c>
      <c r="K700" s="153">
        <f ca="1">VLOOKUP($AB$2,'RF Mod'!$A$2:$G$12,3,FALSE)+VLOOKUP($AD$2,'RF Mod'!$I$2:$O$11,3,FALSE)+(TRUNC(6+(24-6)*(TRUNC(MOD(($Z700*1103515245 +12345)/ 65536, 32768),0)/32768),0))</f>
        <v>12</v>
      </c>
      <c r="L700" s="16" t="e">
        <f t="shared" ca="1" si="35"/>
        <v>#NAME?</v>
      </c>
      <c r="M700" s="153">
        <f ca="1">VLOOKUP($AB$2,'RF Mod'!$A$2:$G$12,4,FALSE)+VLOOKUP($AD$2,'RF Mod'!$I$2:$O$11,4,FALSE)+(TRUNC(6+(24-6)*(TRUNC(MOD(($Z700*1103515245 +12345)/ 65536, 32768),0)/32768),0))</f>
        <v>11</v>
      </c>
      <c r="N700" s="16" t="e">
        <f t="shared" ca="1" si="36"/>
        <v>#NAME?</v>
      </c>
      <c r="O700" s="153">
        <f ca="1">VLOOKUP($AB$2,'RF Mod'!$A$2:$G$12,5,FALSE)+VLOOKUP($AD$2,'RF Mod'!$I$2:$O$11,5,FALSE)+(TRUNC(6+(24-6)*(TRUNC(MOD(($Z700*1103515245 +12345)/ 65536, 32768),0)/32768),0))</f>
        <v>14</v>
      </c>
      <c r="P700" s="16" t="e">
        <f t="shared" ca="1" si="37"/>
        <v>#NAME?</v>
      </c>
      <c r="Q700" s="153">
        <f ca="1">VLOOKUP($AB$2,'RF Mod'!$A$2:$G$12,6,FALSE)+VLOOKUP($AD$2,'RF Mod'!$I$2:$O$11,6,FALSE)+(TRUNC(6+(24-6)*(TRUNC(MOD(($Z700*1103515245 +12345)/ 65536, 32768),0)/32768),0))</f>
        <v>12</v>
      </c>
      <c r="R700" s="16" t="e">
        <f t="shared" ca="1" si="38"/>
        <v>#NAME?</v>
      </c>
      <c r="S700" s="154">
        <f t="shared" ca="1" si="43"/>
        <v>160</v>
      </c>
      <c r="T700" s="154">
        <f t="shared" ca="1" si="39"/>
        <v>14</v>
      </c>
      <c r="U700" s="16" t="str">
        <f t="shared" ca="1" si="40"/>
        <v>Fine</v>
      </c>
      <c r="V700" s="155">
        <f ca="1">IFERROR(__xludf.DUMMYFUNCTION("if(W700=""Middle Age"",QUERY(NPCVar!$K$2:$N1000, ""Select L where K = '""&amp;AB700&amp;""'""),if(W700=""Old"",QUERY(NPCVar!$K$2:$N1000, ""Select M where K = '""&amp;AB700&amp;""'""),if(W700=""Venerable"",QUERY(NPCVar!$K$2:$N1000, ""Select N where K = '""&amp;AB700&amp;""'""),fa"&amp;"lse)))*X700"),31.5)</f>
        <v>31.5</v>
      </c>
      <c r="W700" s="156" t="str">
        <f t="array" ref="W700">INDEX(NPCAgeType,TRUNC(1+(4-1)*(TRUNC(MOD((X700*1103515245 +12345)/ 65536, 32768),0)/32768),0))</f>
        <v>Old</v>
      </c>
      <c r="X700" s="117">
        <f t="shared" si="45"/>
        <v>1.2</v>
      </c>
      <c r="Y700" s="157" t="e">
        <f t="array" aca="1" ref="Y700" ca="1">LOOKUP(ABS(MAX(Z700 + MIN(ABS(INDIRECT("Class Jobs!B"&amp;MATCH(E700,'Class Jobs'!$A$1:$A1000,0)&amp;":"&amp;"AF"&amp;MATCH(E700,'Class Jobs'!$A$1:$A1000,0)&amp;"")-$Z700)) * SUM(IF(MIN(ABS(INDIRECT("Class Jobs!B"&amp;MATCH(E700,'Class Jobs'!$A$1:$A1000,0)&amp;":"&amp;"AF"&amp;MATCH(E700,'Class Jobs'!$A$1:$A1000,0)&amp;"")-$Z700))=ABS(INDIRECT("Class Jobs!B"&amp;MATCH(E700,'Class Jobs'!$A$1:$A1000,0)&amp;":"&amp;"AF"&amp;MATCH(E700,'Class Jobs'!$A$1:$A1000,0)&amp;"")-$Z700),SIGN(INDIRECT("Class Jobs!B"&amp;MATCH(E700,'Class Jobs'!$A$1:A1000,0)&amp;":"&amp;"AF"&amp;MATCH(E700,'Class Jobs'!$A$1:$A1000,0)&amp;"")-$Z700),0)),0)),INDIRECT("Class Jobs!B"&amp;MATCH(E700,'Class Jobs'!$A$1:$A1000,0)&amp;":"&amp;"AF"&amp;MATCH(E700,'Class Jobs'!$A$1:$A1000,1)&amp;""),'Class Jobs'!$B$1:$AF$1)</f>
        <v>#REF!</v>
      </c>
      <c r="Z700" s="158">
        <f t="shared" si="41"/>
        <v>0.46</v>
      </c>
      <c r="AA700" s="16" t="str">
        <f t="array" ref="AA700">INDEX(NPCGender,TRUNC(1+(COUNTA(NPCGender))*(TRUNC(MOD(($B700*1103515245 +12345)/ 65536, 32768),0)/32768),0))</f>
        <v>Female</v>
      </c>
      <c r="AB700" s="16" t="str">
        <f t="array" ref="AB700">INDEX(NPCRace,TRUNC(1+(COUNTA(NPCRace))*(TRUNC(MOD(($B700*1103515245 +12345)/ 65536, 32768),0)/32768),0))</f>
        <v>Half-Orc</v>
      </c>
      <c r="AC700" s="16" t="str">
        <f t="array" ref="AC700">INDEX(NPCAL,TRUNC(1+(COUNTA(NPCAL))*(TRUNC(MOD(($B700*1103515245 +12345)/ 65536, 32768),0)/32768),0))</f>
        <v>NN</v>
      </c>
      <c r="AD700" s="72" t="str">
        <f ca="1">IFERROR(__xludf.DUMMYFUNCTION("if(V700&lt;15,QUERY(NPCVar!C:D,""Select D WHERE C = '""&amp;D700&amp;""'""),if((TRUNC(1+10)*(TRUNC(MOD((ROW(H700)*1103515245 +12345)/ 65536, 32768),0)/32768)/10) &gt; 0.85,INDEX(NPCFaction,TRUNC(1+(counta(NPCFaction)-1)*(TRUNC(MOD(($B700*1103515245 +12345)/ 65536, 3276"&amp;"8),0)/32768),0)),QUERY(NPCVar!C:D,""Select D WHERE C = '""&amp;D700&amp;""'"")))"),"Farmers Guild")</f>
        <v>Farmers Guild</v>
      </c>
      <c r="AE700" s="108" t="e">
        <f t="shared" ca="1" si="42"/>
        <v>#NAME?</v>
      </c>
      <c r="AF700" s="159">
        <f ca="1">IFERROR(__xludf.DUMMYFUNCTION("AE700*(V700 / QUERY(NPCVar!$K$2:$N$12, ""Select N WHERE K='""&amp;AB700&amp;""'""))*TRUNC(1+10)*(TRUNC(MOD(($B700*1103515245 +12345)/ 65536, 32768),0)/32768)"),0.680685424804687)</f>
        <v>0.68068542480468697</v>
      </c>
      <c r="AG700" s="16"/>
      <c r="AH700" s="77"/>
      <c r="AI700" s="114"/>
    </row>
    <row r="701" spans="1:35" ht="16.2">
      <c r="A701" s="53">
        <v>700</v>
      </c>
      <c r="B701" s="118">
        <f t="shared" si="47"/>
        <v>2.3861599999999998</v>
      </c>
      <c r="C701" s="72" t="str">
        <f t="array" ref="C701">INDEX(NPCFName,TRUNC(1+(COUNTA(NPCFName))*(TRUNC(MOD(($B701*1103515245 +12345)/ 65536, 32768),0)/32768),0))</f>
        <v>Phairdon</v>
      </c>
      <c r="D701" s="16" t="str">
        <f t="array" ref="D701">INDEX(NPCLName,TRUNC(1+(COUNTA(NPCLName))*(TRUNC(MOD(($B701*1103515245 +12345)/ 65536, 32768),0)/32768),0))</f>
        <v>Stillsun</v>
      </c>
      <c r="E701" s="16" t="str">
        <f t="array" ref="E701">INDEX(NPCClass,TRUNC(1+(COUNTA(NPCClass))*(TRUNC(MOD(($B701*1103515245 +12345)/ 65536, 32768),0)/32768),0))</f>
        <v>Druid</v>
      </c>
      <c r="F701" s="76">
        <v>1</v>
      </c>
      <c r="G701" s="153">
        <f ca="1">VLOOKUP($AB$2,'RF Mod'!$A$2:$G$12,2,FALSE)+VLOOKUP($AD$2,'RF Mod'!$I$2:$O$11,2,FALSE)+(TRUNC(6+(24-6)*(TRUNC(MOD(($Z701*1103515245 +12345)/ 65536, 32768),0)/32768),0))</f>
        <v>6</v>
      </c>
      <c r="H701" s="16">
        <f t="shared" ca="1" si="33"/>
        <v>-2</v>
      </c>
      <c r="I701" s="153">
        <f ca="1">VLOOKUP($AB$2,'RF Mod'!$A$2:$G$12,3,FALSE)+VLOOKUP($AD$2,'RF Mod'!$I$2:$O$11,3,FALSE)+(TRUNC(6+(24-6)*(TRUNC(MOD(($Z701*1103515245 +12345)/ 65536, 32768),0)/32768),0))</f>
        <v>10</v>
      </c>
      <c r="J701" s="16" t="e">
        <f t="shared" ca="1" si="34"/>
        <v>#NAME?</v>
      </c>
      <c r="K701" s="153">
        <f ca="1">VLOOKUP($AB$2,'RF Mod'!$A$2:$G$12,3,FALSE)+VLOOKUP($AD$2,'RF Mod'!$I$2:$O$11,3,FALSE)+(TRUNC(6+(24-6)*(TRUNC(MOD(($Z701*1103515245 +12345)/ 65536, 32768),0)/32768),0))</f>
        <v>10</v>
      </c>
      <c r="L701" s="16" t="e">
        <f t="shared" ca="1" si="35"/>
        <v>#NAME?</v>
      </c>
      <c r="M701" s="153">
        <f ca="1">VLOOKUP($AB$2,'RF Mod'!$A$2:$G$12,4,FALSE)+VLOOKUP($AD$2,'RF Mod'!$I$2:$O$11,4,FALSE)+(TRUNC(6+(24-6)*(TRUNC(MOD(($Z701*1103515245 +12345)/ 65536, 32768),0)/32768),0))</f>
        <v>9</v>
      </c>
      <c r="N701" s="16">
        <f t="shared" ca="1" si="36"/>
        <v>-1</v>
      </c>
      <c r="O701" s="153">
        <f ca="1">VLOOKUP($AB$2,'RF Mod'!$A$2:$G$12,5,FALSE)+VLOOKUP($AD$2,'RF Mod'!$I$2:$O$11,5,FALSE)+(TRUNC(6+(24-6)*(TRUNC(MOD(($Z701*1103515245 +12345)/ 65536, 32768),0)/32768),0))</f>
        <v>12</v>
      </c>
      <c r="P701" s="16" t="e">
        <f t="shared" ca="1" si="37"/>
        <v>#NAME?</v>
      </c>
      <c r="Q701" s="153">
        <f ca="1">VLOOKUP($AB$2,'RF Mod'!$A$2:$G$12,6,FALSE)+VLOOKUP($AD$2,'RF Mod'!$I$2:$O$11,6,FALSE)+(TRUNC(6+(24-6)*(TRUNC(MOD(($Z701*1103515245 +12345)/ 65536, 32768),0)/32768),0))</f>
        <v>10</v>
      </c>
      <c r="R701" s="16" t="e">
        <f t="shared" ca="1" si="38"/>
        <v>#NAME?</v>
      </c>
      <c r="S701" s="154">
        <f t="shared" ca="1" si="43"/>
        <v>12</v>
      </c>
      <c r="T701" s="154">
        <f t="shared" ca="1" si="39"/>
        <v>5</v>
      </c>
      <c r="U701" s="16" t="str">
        <f t="shared" ca="1" si="40"/>
        <v>Fine</v>
      </c>
      <c r="V701" s="155">
        <f ca="1">IFERROR(__xludf.DUMMYFUNCTION("if(W701=""Middle Age"",QUERY(NPCVar!$K$2:$N1000, ""Select L where K = '""&amp;AB701&amp;""'""),if(W701=""Old"",QUERY(NPCVar!$K$2:$N1000, ""Select M where K = '""&amp;AB701&amp;""'""),if(W701=""Venerable"",QUERY(NPCVar!$K$2:$N1000, ""Select N where K = '""&amp;AB701&amp;""'""),fa"&amp;"lse)))*X701"),112.5)</f>
        <v>112.5</v>
      </c>
      <c r="W701" s="156" t="str">
        <f t="array" ref="W701">INDEX(NPCAgeType,TRUNC(1+(4-1)*(TRUNC(MOD((X701*1103515245 +12345)/ 65536, 32768),0)/32768),0))</f>
        <v>Middle Age</v>
      </c>
      <c r="X701" s="117">
        <f t="shared" si="45"/>
        <v>0.6</v>
      </c>
      <c r="Y701" s="157" t="e">
        <f t="array" aca="1" ref="Y701" ca="1">LOOKUP(ABS(MAX(Z701 + MIN(ABS(INDIRECT("Class Jobs!B"&amp;MATCH(E701,'Class Jobs'!$A$1:$A1000,0)&amp;":"&amp;"AF"&amp;MATCH(E701,'Class Jobs'!$A$1:$A1000,0)&amp;"")-$Z701)) * SUM(IF(MIN(ABS(INDIRECT("Class Jobs!B"&amp;MATCH(E701,'Class Jobs'!$A$1:$A1000,0)&amp;":"&amp;"AF"&amp;MATCH(E701,'Class Jobs'!$A$1:$A1000,0)&amp;"")-$Z701))=ABS(INDIRECT("Class Jobs!B"&amp;MATCH(E701,'Class Jobs'!$A$1:$A1000,0)&amp;":"&amp;"AF"&amp;MATCH(E701,'Class Jobs'!$A$1:$A1000,0)&amp;"")-$Z701),SIGN(INDIRECT("Class Jobs!B"&amp;MATCH(E701,'Class Jobs'!$A$1:A1000,0)&amp;":"&amp;"AF"&amp;MATCH(E701,'Class Jobs'!$A$1:$A1000,0)&amp;"")-$Z701),0)),0)),INDIRECT("Class Jobs!B"&amp;MATCH(E701,'Class Jobs'!$A$1:$A1000,0)&amp;":"&amp;"AF"&amp;MATCH(E701,'Class Jobs'!$A$1:$A1000,1)&amp;""),'Class Jobs'!$B$1:$AF$1)</f>
        <v>#REF!</v>
      </c>
      <c r="Z701" s="158">
        <f t="shared" si="41"/>
        <v>0.23</v>
      </c>
      <c r="AA701" s="16" t="str">
        <f t="array" ref="AA701">INDEX(NPCGender,TRUNC(1+(COUNTA(NPCGender))*(TRUNC(MOD(($B701*1103515245 +12345)/ 65536, 32768),0)/32768),0))</f>
        <v>Male</v>
      </c>
      <c r="AB701" s="16" t="str">
        <f t="array" ref="AB701">INDEX(NPCRace,TRUNC(1+(COUNTA(NPCRace))*(TRUNC(MOD(($B701*1103515245 +12345)/ 65536, 32768),0)/32768),0))</f>
        <v>Elf</v>
      </c>
      <c r="AC701" s="16" t="str">
        <f t="array" ref="AC701">INDEX(NPCAL,TRUNC(1+(COUNTA(NPCAL))*(TRUNC(MOD(($B701*1103515245 +12345)/ 65536, 32768),0)/32768),0))</f>
        <v>CG</v>
      </c>
      <c r="AD701" s="72" t="str">
        <f ca="1">IFERROR(__xludf.DUMMYFUNCTION("if(V701&lt;15,QUERY(NPCVar!C:D,""Select D WHERE C = '""&amp;D701&amp;""'""),if((TRUNC(1+10)*(TRUNC(MOD((ROW(H701)*1103515245 +12345)/ 65536, 32768),0)/32768)/10) &gt; 0.85,INDEX(NPCFaction,TRUNC(1+(counta(NPCFaction)-1)*(TRUNC(MOD(($B701*1103515245 +12345)/ 65536, 3276"&amp;"8),0)/32768),0)),QUERY(NPCVar!C:D,""Select D WHERE C = '""&amp;D701&amp;""'"")))"),"Necromancer")</f>
        <v>Necromancer</v>
      </c>
      <c r="AE701" s="108" t="e">
        <f t="shared" ca="1" si="42"/>
        <v>#NAME?</v>
      </c>
      <c r="AF701" s="159">
        <f ca="1">IFERROR(__xludf.DUMMYFUNCTION("AE701*(V701 / QUERY(NPCVar!$K$2:$N$12, ""Select N WHERE K='""&amp;AB701&amp;""'""))*TRUNC(1+10)*(TRUNC(MOD(($B701*1103515245 +12345)/ 65536, 32768),0)/32768)"),0.186586761474609)</f>
        <v>0.18658676147460901</v>
      </c>
      <c r="AG701" s="16"/>
      <c r="AH701" s="77"/>
      <c r="AI701" s="114"/>
    </row>
    <row r="702" spans="1:35" ht="16.2">
      <c r="A702" s="53">
        <v>701</v>
      </c>
      <c r="B702" s="118">
        <f t="shared" si="47"/>
        <v>1.3803099999999999</v>
      </c>
      <c r="C702" s="72" t="str">
        <f t="array" ref="C702">INDEX(NPCFName,TRUNC(1+(COUNTA(NPCFName))*(TRUNC(MOD(($B702*1103515245 +12345)/ 65536, 32768),0)/32768),0))</f>
        <v>Bydern</v>
      </c>
      <c r="D702" s="16" t="str">
        <f t="array" ref="D702">INDEX(NPCLName,TRUNC(1+(COUNTA(NPCLName))*(TRUNC(MOD(($B702*1103515245 +12345)/ 65536, 32768),0)/32768),0))</f>
        <v>Rockspell</v>
      </c>
      <c r="E702" s="16" t="str">
        <f t="array" ref="E702">INDEX(NPCClass,TRUNC(1+(COUNTA(NPCClass))*(TRUNC(MOD(($B702*1103515245 +12345)/ 65536, 32768),0)/32768),0))</f>
        <v>None</v>
      </c>
      <c r="F702" s="76">
        <v>8</v>
      </c>
      <c r="G702" s="153">
        <f ca="1">VLOOKUP($AB$2,'RF Mod'!$A$2:$G$12,2,FALSE)+VLOOKUP($AD$2,'RF Mod'!$I$2:$O$11,2,FALSE)+(TRUNC(6+(24-6)*(TRUNC(MOD(($Z702*1103515245 +12345)/ 65536, 32768),0)/32768),0))</f>
        <v>10</v>
      </c>
      <c r="H702" s="16" t="e">
        <f t="shared" ca="1" si="33"/>
        <v>#NAME?</v>
      </c>
      <c r="I702" s="153">
        <f ca="1">VLOOKUP($AB$2,'RF Mod'!$A$2:$G$12,3,FALSE)+VLOOKUP($AD$2,'RF Mod'!$I$2:$O$11,3,FALSE)+(TRUNC(6+(24-6)*(TRUNC(MOD(($Z702*1103515245 +12345)/ 65536, 32768),0)/32768),0))</f>
        <v>14</v>
      </c>
      <c r="J702" s="16" t="e">
        <f t="shared" ca="1" si="34"/>
        <v>#NAME?</v>
      </c>
      <c r="K702" s="153">
        <f ca="1">VLOOKUP($AB$2,'RF Mod'!$A$2:$G$12,3,FALSE)+VLOOKUP($AD$2,'RF Mod'!$I$2:$O$11,3,FALSE)+(TRUNC(6+(24-6)*(TRUNC(MOD(($Z702*1103515245 +12345)/ 65536, 32768),0)/32768),0))</f>
        <v>14</v>
      </c>
      <c r="L702" s="16" t="e">
        <f t="shared" ca="1" si="35"/>
        <v>#NAME?</v>
      </c>
      <c r="M702" s="153">
        <f ca="1">VLOOKUP($AB$2,'RF Mod'!$A$2:$G$12,4,FALSE)+VLOOKUP($AD$2,'RF Mod'!$I$2:$O$11,4,FALSE)+(TRUNC(6+(24-6)*(TRUNC(MOD(($Z702*1103515245 +12345)/ 65536, 32768),0)/32768),0))</f>
        <v>13</v>
      </c>
      <c r="N702" s="16" t="e">
        <f t="shared" ca="1" si="36"/>
        <v>#NAME?</v>
      </c>
      <c r="O702" s="153">
        <f ca="1">VLOOKUP($AB$2,'RF Mod'!$A$2:$G$12,5,FALSE)+VLOOKUP($AD$2,'RF Mod'!$I$2:$O$11,5,FALSE)+(TRUNC(6+(24-6)*(TRUNC(MOD(($Z702*1103515245 +12345)/ 65536, 32768),0)/32768),0))</f>
        <v>16</v>
      </c>
      <c r="P702" s="16" t="e">
        <f t="shared" ca="1" si="37"/>
        <v>#NAME?</v>
      </c>
      <c r="Q702" s="153">
        <f ca="1">VLOOKUP($AB$2,'RF Mod'!$A$2:$G$12,6,FALSE)+VLOOKUP($AD$2,'RF Mod'!$I$2:$O$11,6,FALSE)+(TRUNC(6+(24-6)*(TRUNC(MOD(($Z702*1103515245 +12345)/ 65536, 32768),0)/32768),0))</f>
        <v>14</v>
      </c>
      <c r="R702" s="16" t="e">
        <f t="shared" ca="1" si="38"/>
        <v>#NAME?</v>
      </c>
      <c r="S702" s="154">
        <f t="shared" ca="1" si="43"/>
        <v>144</v>
      </c>
      <c r="T702" s="154">
        <f t="shared" ca="1" si="39"/>
        <v>47</v>
      </c>
      <c r="U702" s="16" t="str">
        <f t="shared" ca="1" si="40"/>
        <v>Fine</v>
      </c>
      <c r="V702" s="155">
        <f ca="1">IFERROR(__xludf.DUMMYFUNCTION("if(W702=""Middle Age"",QUERY(NPCVar!$K$2:$N1000, ""Select L where K = '""&amp;AB702&amp;""'""),if(W702=""Old"",QUERY(NPCVar!$K$2:$N1000, ""Select M where K = '""&amp;AB702&amp;""'""),if(W702=""Venerable"",QUERY(NPCVar!$K$2:$N1000, ""Select N where K = '""&amp;AB702&amp;""'""),fa"&amp;"lse)))*X702"),162)</f>
        <v>162</v>
      </c>
      <c r="W702" s="156" t="str">
        <f t="array" ref="W702">INDEX(NPCAgeType,TRUNC(1+(4-1)*(TRUNC(MOD((X702*1103515245 +12345)/ 65536, 32768),0)/32768),0))</f>
        <v>Venerable</v>
      </c>
      <c r="X702" s="117">
        <f t="shared" si="45"/>
        <v>1.8</v>
      </c>
      <c r="Y702" s="157" t="e">
        <f t="array" aca="1" ref="Y702" ca="1">LOOKUP(ABS(MAX(Z702 + MIN(ABS(INDIRECT("Class Jobs!B"&amp;MATCH(E702,'Class Jobs'!$A$1:$A1000,0)&amp;":"&amp;"AF"&amp;MATCH(E702,'Class Jobs'!$A$1:$A1000,0)&amp;"")-$Z702)) * SUM(IF(MIN(ABS(INDIRECT("Class Jobs!B"&amp;MATCH(E702,'Class Jobs'!$A$1:$A1000,0)&amp;":"&amp;"AF"&amp;MATCH(E702,'Class Jobs'!$A$1:$A1000,0)&amp;"")-$Z702))=ABS(INDIRECT("Class Jobs!B"&amp;MATCH(E702,'Class Jobs'!$A$1:$A1000,0)&amp;":"&amp;"AF"&amp;MATCH(E702,'Class Jobs'!$A$1:$A1000,0)&amp;"")-$Z702),SIGN(INDIRECT("Class Jobs!B"&amp;MATCH(E702,'Class Jobs'!$A$1:A1000,0)&amp;":"&amp;"AF"&amp;MATCH(E702,'Class Jobs'!$A$1:$A1000,0)&amp;"")-$Z702),0)),0)),INDIRECT("Class Jobs!B"&amp;MATCH(E702,'Class Jobs'!$A$1:$A1000,0)&amp;":"&amp;"AF"&amp;MATCH(E702,'Class Jobs'!$A$1:$A1000,1)&amp;""),'Class Jobs'!$B$1:$AF$1)</f>
        <v>#REF!</v>
      </c>
      <c r="Z702" s="158">
        <f t="shared" si="41"/>
        <v>0.71</v>
      </c>
      <c r="AA702" s="16" t="str">
        <f t="array" ref="AA702">INDEX(NPCGender,TRUNC(1+(COUNTA(NPCGender))*(TRUNC(MOD(($B702*1103515245 +12345)/ 65536, 32768),0)/32768),0))</f>
        <v>Neutral</v>
      </c>
      <c r="AB702" s="16" t="str">
        <f t="array" ref="AB702">INDEX(NPCRace,TRUNC(1+(COUNTA(NPCRace))*(TRUNC(MOD(($B702*1103515245 +12345)/ 65536, 32768),0)/32768),0))</f>
        <v>Human</v>
      </c>
      <c r="AC702" s="16" t="str">
        <f t="array" ref="AC702">INDEX(NPCAL,TRUNC(1+(COUNTA(NPCAL))*(TRUNC(MOD(($B702*1103515245 +12345)/ 65536, 32768),0)/32768),0))</f>
        <v>LG</v>
      </c>
      <c r="AD702" s="72" t="str">
        <f ca="1">IFERROR(__xludf.DUMMYFUNCTION("if(V702&lt;15,QUERY(NPCVar!C:D,""Select D WHERE C = '""&amp;D702&amp;""'""),if((TRUNC(1+10)*(TRUNC(MOD((ROW(H702)*1103515245 +12345)/ 65536, 32768),0)/32768)/10) &gt; 0.85,INDEX(NPCFaction,TRUNC(1+(counta(NPCFaction)-1)*(TRUNC(MOD(($B702*1103515245 +12345)/ 65536, 3276"&amp;"8),0)/32768),0)),QUERY(NPCVar!C:D,""Select D WHERE C = '""&amp;D702&amp;""'"")))"),"Traverlers Guild")</f>
        <v>Traverlers Guild</v>
      </c>
      <c r="AE702" s="108" t="e">
        <f t="shared" ca="1" si="42"/>
        <v>#NAME?</v>
      </c>
      <c r="AF702" s="159">
        <f ca="1">IFERROR(__xludf.DUMMYFUNCTION("AE702*(V702 / QUERY(NPCVar!$K$2:$N$12, ""Select N WHERE K='""&amp;AB702&amp;""'""))*TRUNC(1+10)*(TRUNC(MOD(($B702*1103515245 +12345)/ 65536, 32768),0)/32768)"),4.21317993164062)</f>
        <v>4.21317993164062</v>
      </c>
      <c r="AG702" s="16"/>
      <c r="AH702" s="77"/>
      <c r="AI702" s="114"/>
    </row>
    <row r="703" spans="1:35" ht="16.2">
      <c r="A703" s="53">
        <v>702</v>
      </c>
      <c r="B703" s="118">
        <f t="shared" si="47"/>
        <v>0.37437999999999999</v>
      </c>
      <c r="C703" s="72" t="str">
        <f t="array" ref="C703">INDEX(NPCFName,TRUNC(1+(COUNTA(NPCFName))*(TRUNC(MOD(($B703*1103515245 +12345)/ 65536, 32768),0)/32768),0))</f>
        <v>Mezo</v>
      </c>
      <c r="D703" s="16" t="str">
        <f t="array" ref="D703">INDEX(NPCLName,TRUNC(1+(COUNTA(NPCLName))*(TRUNC(MOD(($B703*1103515245 +12345)/ 65536, 32768),0)/32768),0))</f>
        <v>Ashcloud</v>
      </c>
      <c r="E703" s="16" t="str">
        <f t="array" ref="E703">INDEX(NPCClass,TRUNC(1+(COUNTA(NPCClass))*(TRUNC(MOD(($B703*1103515245 +12345)/ 65536, 32768),0)/32768),0))</f>
        <v>Druid</v>
      </c>
      <c r="F703" s="76">
        <v>1</v>
      </c>
      <c r="G703" s="153">
        <f ca="1">VLOOKUP($AB$2,'RF Mod'!$A$2:$G$12,2,FALSE)+VLOOKUP($AD$2,'RF Mod'!$I$2:$O$11,2,FALSE)+(TRUNC(6+(24-6)*(TRUNC(MOD(($Z703*1103515245 +12345)/ 65536, 32768),0)/32768),0))</f>
        <v>5</v>
      </c>
      <c r="H703" s="16">
        <f t="shared" ca="1" si="33"/>
        <v>-3</v>
      </c>
      <c r="I703" s="153">
        <f ca="1">VLOOKUP($AB$2,'RF Mod'!$A$2:$G$12,3,FALSE)+VLOOKUP($AD$2,'RF Mod'!$I$2:$O$11,3,FALSE)+(TRUNC(6+(24-6)*(TRUNC(MOD(($Z703*1103515245 +12345)/ 65536, 32768),0)/32768),0))</f>
        <v>9</v>
      </c>
      <c r="J703" s="16">
        <f t="shared" ca="1" si="34"/>
        <v>-1</v>
      </c>
      <c r="K703" s="153">
        <f ca="1">VLOOKUP($AB$2,'RF Mod'!$A$2:$G$12,3,FALSE)+VLOOKUP($AD$2,'RF Mod'!$I$2:$O$11,3,FALSE)+(TRUNC(6+(24-6)*(TRUNC(MOD(($Z703*1103515245 +12345)/ 65536, 32768),0)/32768),0))</f>
        <v>9</v>
      </c>
      <c r="L703" s="16">
        <f t="shared" ca="1" si="35"/>
        <v>-1</v>
      </c>
      <c r="M703" s="153">
        <f ca="1">VLOOKUP($AB$2,'RF Mod'!$A$2:$G$12,4,FALSE)+VLOOKUP($AD$2,'RF Mod'!$I$2:$O$11,4,FALSE)+(TRUNC(6+(24-6)*(TRUNC(MOD(($Z703*1103515245 +12345)/ 65536, 32768),0)/32768),0))</f>
        <v>8</v>
      </c>
      <c r="N703" s="16">
        <f t="shared" ca="1" si="36"/>
        <v>-1</v>
      </c>
      <c r="O703" s="153">
        <f ca="1">VLOOKUP($AB$2,'RF Mod'!$A$2:$G$12,5,FALSE)+VLOOKUP($AD$2,'RF Mod'!$I$2:$O$11,5,FALSE)+(TRUNC(6+(24-6)*(TRUNC(MOD(($Z703*1103515245 +12345)/ 65536, 32768),0)/32768),0))</f>
        <v>11</v>
      </c>
      <c r="P703" s="16" t="e">
        <f t="shared" ca="1" si="37"/>
        <v>#NAME?</v>
      </c>
      <c r="Q703" s="153">
        <f ca="1">VLOOKUP($AB$2,'RF Mod'!$A$2:$G$12,6,FALSE)+VLOOKUP($AD$2,'RF Mod'!$I$2:$O$11,6,FALSE)+(TRUNC(6+(24-6)*(TRUNC(MOD(($Z703*1103515245 +12345)/ 65536, 32768),0)/32768),0))</f>
        <v>9</v>
      </c>
      <c r="R703" s="16">
        <f t="shared" ca="1" si="38"/>
        <v>-1</v>
      </c>
      <c r="S703" s="154">
        <f t="shared" ca="1" si="43"/>
        <v>11</v>
      </c>
      <c r="T703" s="154">
        <f t="shared" ca="1" si="39"/>
        <v>8</v>
      </c>
      <c r="U703" s="16" t="str">
        <f t="shared" ca="1" si="40"/>
        <v>Bloody</v>
      </c>
      <c r="V703" s="155">
        <f ca="1">IFERROR(__xludf.DUMMYFUNCTION("if(W703=""Middle Age"",QUERY(NPCVar!$K$2:$N1000, ""Select L where K = '""&amp;AB703&amp;""'""),if(W703=""Old"",QUERY(NPCVar!$K$2:$N1000, ""Select M where K = '""&amp;AB703&amp;""'""),if(W703=""Venerable"",QUERY(NPCVar!$K$2:$N1000, ""Select N where K = '""&amp;AB703&amp;""'""),fa"&amp;"lse)))*X703"),93.75)</f>
        <v>93.75</v>
      </c>
      <c r="W703" s="156" t="str">
        <f t="array" ref="W703">INDEX(NPCAgeType,TRUNC(1+(4-1)*(TRUNC(MOD((X703*1103515245 +12345)/ 65536, 32768),0)/32768),0))</f>
        <v>Middle Age</v>
      </c>
      <c r="X703" s="117">
        <f t="shared" si="45"/>
        <v>0.5</v>
      </c>
      <c r="Y703" s="157" t="e">
        <f t="array" aca="1" ref="Y703" ca="1">LOOKUP(ABS(MAX(Z703 + MIN(ABS(INDIRECT("Class Jobs!B"&amp;MATCH(E703,'Class Jobs'!$A$1:$A1000,0)&amp;":"&amp;"AF"&amp;MATCH(E703,'Class Jobs'!$A$1:$A1000,0)&amp;"")-$Z703)) * SUM(IF(MIN(ABS(INDIRECT("Class Jobs!B"&amp;MATCH(E703,'Class Jobs'!$A$1:$A1000,0)&amp;":"&amp;"AF"&amp;MATCH(E703,'Class Jobs'!$A$1:$A1000,0)&amp;"")-$Z703))=ABS(INDIRECT("Class Jobs!B"&amp;MATCH(E703,'Class Jobs'!$A$1:$A1000,0)&amp;":"&amp;"AF"&amp;MATCH(E703,'Class Jobs'!$A$1:$A1000,0)&amp;"")-$Z703),SIGN(INDIRECT("Class Jobs!B"&amp;MATCH(E703,'Class Jobs'!$A$1:A1000,0)&amp;":"&amp;"AF"&amp;MATCH(E703,'Class Jobs'!$A$1:$A1000,0)&amp;"")-$Z703),0)),0)),INDIRECT("Class Jobs!B"&amp;MATCH(E703,'Class Jobs'!$A$1:$A1000,0)&amp;":"&amp;"AF"&amp;MATCH(E703,'Class Jobs'!$A$1:$A1000,1)&amp;""),'Class Jobs'!$B$1:$AF$1)</f>
        <v>#REF!</v>
      </c>
      <c r="Z703" s="158">
        <f t="shared" si="41"/>
        <v>0.2</v>
      </c>
      <c r="AA703" s="16" t="str">
        <f t="array" ref="AA703">INDEX(NPCGender,TRUNC(1+(COUNTA(NPCGender))*(TRUNC(MOD(($B703*1103515245 +12345)/ 65536, 32768),0)/32768),0))</f>
        <v>Male</v>
      </c>
      <c r="AB703" s="16" t="str">
        <f t="array" ref="AB703">INDEX(NPCRace,TRUNC(1+(COUNTA(NPCRace))*(TRUNC(MOD(($B703*1103515245 +12345)/ 65536, 32768),0)/32768),0))</f>
        <v>Elf</v>
      </c>
      <c r="AC703" s="16" t="str">
        <f t="array" ref="AC703">INDEX(NPCAL,TRUNC(1+(COUNTA(NPCAL))*(TRUNC(MOD(($B703*1103515245 +12345)/ 65536, 32768),0)/32768),0))</f>
        <v>CE</v>
      </c>
      <c r="AD703" s="72" t="str">
        <f ca="1">IFERROR(__xludf.DUMMYFUNCTION("if(V703&lt;15,QUERY(NPCVar!C:D,""Select D WHERE C = '""&amp;D703&amp;""'""),if((TRUNC(1+10)*(TRUNC(MOD((ROW(H703)*1103515245 +12345)/ 65536, 32768),0)/32768)/10) &gt; 0.85,INDEX(NPCFaction,TRUNC(1+(counta(NPCFaction)-1)*(TRUNC(MOD(($B703*1103515245 +12345)/ 65536, 3276"&amp;"8),0)/32768),0)),QUERY(NPCVar!C:D,""Select D WHERE C = '""&amp;D703&amp;""'"")))"),"Magic Guild")</f>
        <v>Magic Guild</v>
      </c>
      <c r="AE703" s="108" t="e">
        <f t="shared" ca="1" si="42"/>
        <v>#NAME?</v>
      </c>
      <c r="AF703" s="159">
        <f ca="1">IFERROR(__xludf.DUMMYFUNCTION("AE703*(V703 / QUERY(NPCVar!$K$2:$N$12, ""Select N WHERE K='""&amp;AB703&amp;""'""))*TRUNC(1+10)*(TRUNC(MOD(($B703*1103515245 +12345)/ 65536, 32768),0)/32768)"),0.105810546874999)</f>
        <v>0.105810546874999</v>
      </c>
      <c r="AG703" s="16"/>
      <c r="AH703" s="77"/>
      <c r="AI703" s="114"/>
    </row>
    <row r="704" spans="1:35" ht="16.2">
      <c r="A704" s="53">
        <v>703</v>
      </c>
      <c r="B704" s="118">
        <f t="shared" si="47"/>
        <v>1.8685099999999999</v>
      </c>
      <c r="C704" s="72" t="str">
        <f t="array" ref="C704">INDEX(NPCFName,TRUNC(1+(COUNTA(NPCFName))*(TRUNC(MOD(($B704*1103515245 +12345)/ 65536, 32768),0)/32768),0))</f>
        <v>Tyden</v>
      </c>
      <c r="D704" s="16" t="str">
        <f t="array" ref="D704">INDEX(NPCLName,TRUNC(1+(COUNTA(NPCLName))*(TRUNC(MOD(($B704*1103515245 +12345)/ 65536, 32768),0)/32768),0))</f>
        <v>Marblearm</v>
      </c>
      <c r="E704" s="16" t="str">
        <f t="array" ref="E704">INDEX(NPCClass,TRUNC(1+(COUNTA(NPCClass))*(TRUNC(MOD(($B704*1103515245 +12345)/ 65536, 32768),0)/32768),0))</f>
        <v>Wizard</v>
      </c>
      <c r="F704" s="76">
        <v>8</v>
      </c>
      <c r="G704" s="153">
        <f ca="1">VLOOKUP($AB$2,'RF Mod'!$A$2:$G$12,2,FALSE)+VLOOKUP($AD$2,'RF Mod'!$I$2:$O$11,2,FALSE)+(TRUNC(6+(24-6)*(TRUNC(MOD(($Z704*1103515245 +12345)/ 65536, 32768),0)/32768),0))</f>
        <v>12</v>
      </c>
      <c r="H704" s="16" t="e">
        <f t="shared" ca="1" si="33"/>
        <v>#NAME?</v>
      </c>
      <c r="I704" s="153">
        <f ca="1">VLOOKUP($AB$2,'RF Mod'!$A$2:$G$12,3,FALSE)+VLOOKUP($AD$2,'RF Mod'!$I$2:$O$11,3,FALSE)+(TRUNC(6+(24-6)*(TRUNC(MOD(($Z704*1103515245 +12345)/ 65536, 32768),0)/32768),0))</f>
        <v>16</v>
      </c>
      <c r="J704" s="16" t="e">
        <f t="shared" ca="1" si="34"/>
        <v>#NAME?</v>
      </c>
      <c r="K704" s="153">
        <f ca="1">VLOOKUP($AB$2,'RF Mod'!$A$2:$G$12,3,FALSE)+VLOOKUP($AD$2,'RF Mod'!$I$2:$O$11,3,FALSE)+(TRUNC(6+(24-6)*(TRUNC(MOD(($Z704*1103515245 +12345)/ 65536, 32768),0)/32768),0))</f>
        <v>16</v>
      </c>
      <c r="L704" s="16" t="e">
        <f t="shared" ca="1" si="35"/>
        <v>#NAME?</v>
      </c>
      <c r="M704" s="153">
        <f ca="1">VLOOKUP($AB$2,'RF Mod'!$A$2:$G$12,4,FALSE)+VLOOKUP($AD$2,'RF Mod'!$I$2:$O$11,4,FALSE)+(TRUNC(6+(24-6)*(TRUNC(MOD(($Z704*1103515245 +12345)/ 65536, 32768),0)/32768),0))</f>
        <v>15</v>
      </c>
      <c r="N704" s="16" t="e">
        <f t="shared" ca="1" si="36"/>
        <v>#NAME?</v>
      </c>
      <c r="O704" s="153">
        <f ca="1">VLOOKUP($AB$2,'RF Mod'!$A$2:$G$12,5,FALSE)+VLOOKUP($AD$2,'RF Mod'!$I$2:$O$11,5,FALSE)+(TRUNC(6+(24-6)*(TRUNC(MOD(($Z704*1103515245 +12345)/ 65536, 32768),0)/32768),0))</f>
        <v>18</v>
      </c>
      <c r="P704" s="16" t="e">
        <f t="shared" ca="1" si="37"/>
        <v>#NAME?</v>
      </c>
      <c r="Q704" s="153">
        <f ca="1">VLOOKUP($AB$2,'RF Mod'!$A$2:$G$12,6,FALSE)+VLOOKUP($AD$2,'RF Mod'!$I$2:$O$11,6,FALSE)+(TRUNC(6+(24-6)*(TRUNC(MOD(($Z704*1103515245 +12345)/ 65536, 32768),0)/32768),0))</f>
        <v>16</v>
      </c>
      <c r="R704" s="16" t="e">
        <f t="shared" ca="1" si="38"/>
        <v>#NAME?</v>
      </c>
      <c r="S704" s="154">
        <f t="shared" ca="1" si="43"/>
        <v>176</v>
      </c>
      <c r="T704" s="154">
        <f t="shared" ca="1" si="39"/>
        <v>64</v>
      </c>
      <c r="U704" s="16" t="str">
        <f t="shared" ca="1" si="40"/>
        <v>Fine</v>
      </c>
      <c r="V704" s="155">
        <f ca="1">IFERROR(__xludf.DUMMYFUNCTION("if(W704=""Middle Age"",QUERY(NPCVar!$K$2:$N1000, ""Select L where K = '""&amp;AB704&amp;""'""),if(W704=""Old"",QUERY(NPCVar!$K$2:$N1000, ""Select M where K = '""&amp;AB704&amp;""'""),if(W704=""Venerable"",QUERY(NPCVar!$K$2:$N1000, ""Select N where K = '""&amp;AB704&amp;""'""),fa"&amp;"lse)))*X704"),72)</f>
        <v>72</v>
      </c>
      <c r="W704" s="156" t="str">
        <f t="array" ref="W704">INDEX(NPCAgeType,TRUNC(1+(4-1)*(TRUNC(MOD((X704*1103515245 +12345)/ 65536, 32768),0)/32768),0))</f>
        <v>Middle Age</v>
      </c>
      <c r="X704" s="117">
        <f t="shared" si="45"/>
        <v>2.4</v>
      </c>
      <c r="Y704" s="157" t="e">
        <f t="array" aca="1" ref="Y704" ca="1">LOOKUP(ABS(MAX(Z704 + MIN(ABS(INDIRECT("Class Jobs!B"&amp;MATCH(E704,'Class Jobs'!$A$1:$A1000,0)&amp;":"&amp;"AF"&amp;MATCH(E704,'Class Jobs'!$A$1:$A1000,0)&amp;"")-$Z704)) * SUM(IF(MIN(ABS(INDIRECT("Class Jobs!B"&amp;MATCH(E704,'Class Jobs'!$A$1:$A1000,0)&amp;":"&amp;"AF"&amp;MATCH(E704,'Class Jobs'!$A$1:$A1000,0)&amp;"")-$Z704))=ABS(INDIRECT("Class Jobs!B"&amp;MATCH(E704,'Class Jobs'!$A$1:$A1000,0)&amp;":"&amp;"AF"&amp;MATCH(E704,'Class Jobs'!$A$1:$A1000,0)&amp;"")-$Z704),SIGN(INDIRECT("Class Jobs!B"&amp;MATCH(E704,'Class Jobs'!$A$1:A1000,0)&amp;":"&amp;"AF"&amp;MATCH(E704,'Class Jobs'!$A$1:$A1000,0)&amp;"")-$Z704),0)),0)),INDIRECT("Class Jobs!B"&amp;MATCH(E704,'Class Jobs'!$A$1:$A1000,0)&amp;":"&amp;"AF"&amp;MATCH(E704,'Class Jobs'!$A$1:$A1000,1)&amp;""),'Class Jobs'!$B$1:$AF$1)</f>
        <v>#REF!</v>
      </c>
      <c r="Z704" s="158">
        <f t="shared" si="41"/>
        <v>0.96</v>
      </c>
      <c r="AA704" s="16" t="str">
        <f t="array" ref="AA704">INDEX(NPCGender,TRUNC(1+(COUNTA(NPCGender))*(TRUNC(MOD(($B704*1103515245 +12345)/ 65536, 32768),0)/32768),0))</f>
        <v>Neutral</v>
      </c>
      <c r="AB704" s="16" t="str">
        <f t="array" ref="AB704">INDEX(NPCRace,TRUNC(1+(COUNTA(NPCRace))*(TRUNC(MOD(($B704*1103515245 +12345)/ 65536, 32768),0)/32768),0))</f>
        <v>Goliath</v>
      </c>
      <c r="AC704" s="16" t="str">
        <f t="array" ref="AC704">INDEX(NPCAL,TRUNC(1+(COUNTA(NPCAL))*(TRUNC(MOD(($B704*1103515245 +12345)/ 65536, 32768),0)/32768),0))</f>
        <v>LE</v>
      </c>
      <c r="AD704" s="72" t="str">
        <f ca="1">IFERROR(__xludf.DUMMYFUNCTION("if(V704&lt;15,QUERY(NPCVar!C:D,""Select D WHERE C = '""&amp;D704&amp;""'""),if((TRUNC(1+10)*(TRUNC(MOD((ROW(H704)*1103515245 +12345)/ 65536, 32768),0)/32768)/10) &gt; 0.85,INDEX(NPCFaction,TRUNC(1+(counta(NPCFaction)-1)*(TRUNC(MOD(($B704*1103515245 +12345)/ 65536, 3276"&amp;"8),0)/32768),0)),QUERY(NPCVar!C:D,""Select D WHERE C = '""&amp;D704&amp;""'"")))"),"Thieves Guild")</f>
        <v>Thieves Guild</v>
      </c>
      <c r="AE704" s="108" t="e">
        <f t="shared" ca="1" si="42"/>
        <v>#NAME?</v>
      </c>
      <c r="AF704" s="159">
        <f ca="1">IFERROR(__xludf.DUMMYFUNCTION("AE704*(V704 / QUERY(NPCVar!$K$2:$N$12, ""Select N WHERE K='""&amp;AB704&amp;""'""))*TRUNC(1+10)*(TRUNC(MOD(($B704*1103515245 +12345)/ 65536, 32768),0)/32768)"),2.5347802734375)</f>
        <v>2.5347802734374998</v>
      </c>
      <c r="AG704" s="16"/>
      <c r="AH704" s="77"/>
      <c r="AI704" s="114"/>
    </row>
    <row r="705" spans="1:35" ht="16.2">
      <c r="A705" s="53">
        <v>704</v>
      </c>
      <c r="B705" s="118">
        <f t="shared" si="47"/>
        <v>0.86265999999999998</v>
      </c>
      <c r="C705" s="72" t="str">
        <f t="array" ref="C705">INDEX(NPCFName,TRUNC(1+(COUNTA(NPCFName))*(TRUNC(MOD(($B705*1103515245 +12345)/ 65536, 32768),0)/32768),0))</f>
        <v>Firiro</v>
      </c>
      <c r="D705" s="16" t="str">
        <f t="array" ref="D705">INDEX(NPCLName,TRUNC(1+(COUNTA(NPCLName))*(TRUNC(MOD(($B705*1103515245 +12345)/ 65536, 32768),0)/32768),0))</f>
        <v>Saurflame</v>
      </c>
      <c r="E705" s="16" t="str">
        <f t="array" ref="E705">INDEX(NPCClass,TRUNC(1+(COUNTA(NPCClass))*(TRUNC(MOD(($B705*1103515245 +12345)/ 65536, 32768),0)/32768),0))</f>
        <v>Ranger</v>
      </c>
      <c r="F705" s="76">
        <v>4</v>
      </c>
      <c r="G705" s="153">
        <f ca="1">VLOOKUP($AB$2,'RF Mod'!$A$2:$G$12,2,FALSE)+VLOOKUP($AD$2,'RF Mod'!$I$2:$O$11,2,FALSE)+(TRUNC(6+(24-6)*(TRUNC(MOD(($Z705*1103515245 +12345)/ 65536, 32768),0)/32768),0))</f>
        <v>8</v>
      </c>
      <c r="H705" s="16">
        <f t="shared" ca="1" si="33"/>
        <v>-1</v>
      </c>
      <c r="I705" s="153">
        <f ca="1">VLOOKUP($AB$2,'RF Mod'!$A$2:$G$12,3,FALSE)+VLOOKUP($AD$2,'RF Mod'!$I$2:$O$11,3,FALSE)+(TRUNC(6+(24-6)*(TRUNC(MOD(($Z705*1103515245 +12345)/ 65536, 32768),0)/32768),0))</f>
        <v>12</v>
      </c>
      <c r="J705" s="16" t="e">
        <f t="shared" ca="1" si="34"/>
        <v>#NAME?</v>
      </c>
      <c r="K705" s="153">
        <f ca="1">VLOOKUP($AB$2,'RF Mod'!$A$2:$G$12,3,FALSE)+VLOOKUP($AD$2,'RF Mod'!$I$2:$O$11,3,FALSE)+(TRUNC(6+(24-6)*(TRUNC(MOD(($Z705*1103515245 +12345)/ 65536, 32768),0)/32768),0))</f>
        <v>12</v>
      </c>
      <c r="L705" s="16" t="e">
        <f t="shared" ca="1" si="35"/>
        <v>#NAME?</v>
      </c>
      <c r="M705" s="153">
        <f ca="1">VLOOKUP($AB$2,'RF Mod'!$A$2:$G$12,4,FALSE)+VLOOKUP($AD$2,'RF Mod'!$I$2:$O$11,4,FALSE)+(TRUNC(6+(24-6)*(TRUNC(MOD(($Z705*1103515245 +12345)/ 65536, 32768),0)/32768),0))</f>
        <v>11</v>
      </c>
      <c r="N705" s="16" t="e">
        <f t="shared" ca="1" si="36"/>
        <v>#NAME?</v>
      </c>
      <c r="O705" s="153">
        <f ca="1">VLOOKUP($AB$2,'RF Mod'!$A$2:$G$12,5,FALSE)+VLOOKUP($AD$2,'RF Mod'!$I$2:$O$11,5,FALSE)+(TRUNC(6+(24-6)*(TRUNC(MOD(($Z705*1103515245 +12345)/ 65536, 32768),0)/32768),0))</f>
        <v>14</v>
      </c>
      <c r="P705" s="16" t="e">
        <f t="shared" ca="1" si="37"/>
        <v>#NAME?</v>
      </c>
      <c r="Q705" s="153">
        <f ca="1">VLOOKUP($AB$2,'RF Mod'!$A$2:$G$12,6,FALSE)+VLOOKUP($AD$2,'RF Mod'!$I$2:$O$11,6,FALSE)+(TRUNC(6+(24-6)*(TRUNC(MOD(($Z705*1103515245 +12345)/ 65536, 32768),0)/32768),0))</f>
        <v>12</v>
      </c>
      <c r="R705" s="16" t="e">
        <f t="shared" ca="1" si="38"/>
        <v>#NAME?</v>
      </c>
      <c r="S705" s="154">
        <f t="shared" ca="1" si="43"/>
        <v>112</v>
      </c>
      <c r="T705" s="154">
        <f t="shared" ca="1" si="39"/>
        <v>26</v>
      </c>
      <c r="U705" s="16" t="str">
        <f t="shared" ca="1" si="40"/>
        <v>Fine</v>
      </c>
      <c r="V705" s="155">
        <f ca="1">IFERROR(__xludf.DUMMYFUNCTION("if(W705=""Middle Age"",QUERY(NPCVar!$K$2:$N1000, ""Select L where K = '""&amp;AB705&amp;""'""),if(W705=""Old"",QUERY(NPCVar!$K$2:$N1000, ""Select M where K = '""&amp;AB705&amp;""'""),if(W705=""Venerable"",QUERY(NPCVar!$K$2:$N1000, ""Select N where K = '""&amp;AB705&amp;""'""),fa"&amp;"lse)))*X705"),74.25)</f>
        <v>74.25</v>
      </c>
      <c r="W705" s="156" t="str">
        <f t="array" ref="W705">INDEX(NPCAgeType,TRUNC(1+(4-1)*(TRUNC(MOD((X705*1103515245 +12345)/ 65536, 32768),0)/32768),0))</f>
        <v>Old</v>
      </c>
      <c r="X705" s="117">
        <f t="shared" si="45"/>
        <v>1.1000000000000001</v>
      </c>
      <c r="Y705" s="157" t="e">
        <f t="array" aca="1" ref="Y705" ca="1">LOOKUP(ABS(MAX(Z705 + MIN(ABS(INDIRECT("Class Jobs!B"&amp;MATCH(E705,'Class Jobs'!$A$1:$A1000,0)&amp;":"&amp;"AF"&amp;MATCH(E705,'Class Jobs'!$A$1:$A1000,0)&amp;"")-$Z705)) * SUM(IF(MIN(ABS(INDIRECT("Class Jobs!B"&amp;MATCH(E705,'Class Jobs'!$A$1:$A1000,0)&amp;":"&amp;"AF"&amp;MATCH(E705,'Class Jobs'!$A$1:$A1000,0)&amp;"")-$Z705))=ABS(INDIRECT("Class Jobs!B"&amp;MATCH(E705,'Class Jobs'!$A$1:$A1000,0)&amp;":"&amp;"AF"&amp;MATCH(E705,'Class Jobs'!$A$1:$A1000,0)&amp;"")-$Z705),SIGN(INDIRECT("Class Jobs!B"&amp;MATCH(E705,'Class Jobs'!$A$1:A1000,0)&amp;":"&amp;"AF"&amp;MATCH(E705,'Class Jobs'!$A$1:$A1000,0)&amp;"")-$Z705),0)),0)),INDIRECT("Class Jobs!B"&amp;MATCH(E705,'Class Jobs'!$A$1:$A1000,0)&amp;":"&amp;"AF"&amp;MATCH(E705,'Class Jobs'!$A$1:$A1000,1)&amp;""),'Class Jobs'!$B$1:$AF$1)</f>
        <v>#REF!</v>
      </c>
      <c r="Z705" s="158">
        <f t="shared" si="41"/>
        <v>0.44</v>
      </c>
      <c r="AA705" s="16" t="str">
        <f t="array" ref="AA705">INDEX(NPCGender,TRUNC(1+(COUNTA(NPCGender))*(TRUNC(MOD(($B705*1103515245 +12345)/ 65536, 32768),0)/32768),0))</f>
        <v>Female</v>
      </c>
      <c r="AB705" s="16" t="str">
        <f t="array" ref="AB705">INDEX(NPCRace,TRUNC(1+(COUNTA(NPCRace))*(TRUNC(MOD(($B705*1103515245 +12345)/ 65536, 32768),0)/32768),0))</f>
        <v>Half-Elf</v>
      </c>
      <c r="AC705" s="16" t="str">
        <f t="array" ref="AC705">INDEX(NPCAL,TRUNC(1+(COUNTA(NPCAL))*(TRUNC(MOD(($B705*1103515245 +12345)/ 65536, 32768),0)/32768),0))</f>
        <v>NG</v>
      </c>
      <c r="AD705" s="72" t="str">
        <f ca="1">IFERROR(__xludf.DUMMYFUNCTION("if(V705&lt;15,QUERY(NPCVar!C:D,""Select D WHERE C = '""&amp;D705&amp;""'""),if((TRUNC(1+10)*(TRUNC(MOD((ROW(H705)*1103515245 +12345)/ 65536, 32768),0)/32768)/10) &gt; 0.85,INDEX(NPCFaction,TRUNC(1+(counta(NPCFaction)-1)*(TRUNC(MOD(($B705*1103515245 +12345)/ 65536, 3276"&amp;"8),0)/32768),0)),QUERY(NPCVar!C:D,""Select D WHERE C = '""&amp;D705&amp;""'"")))"),"Farmers Guild")</f>
        <v>Farmers Guild</v>
      </c>
      <c r="AE705" s="108" t="e">
        <f t="shared" ca="1" si="42"/>
        <v>#NAME?</v>
      </c>
      <c r="AF705" s="159">
        <f ca="1">IFERROR(__xludf.DUMMYFUNCTION("AE705*(V705 / QUERY(NPCVar!$K$2:$N$12, ""Select N WHERE K='""&amp;AB705&amp;""'""))*TRUNC(1+10)*(TRUNC(MOD(($B705*1103515245 +12345)/ 65536, 32768),0)/32768)"),1.60906219482421)</f>
        <v>1.6090621948242101</v>
      </c>
      <c r="AG705" s="16"/>
      <c r="AH705" s="77"/>
      <c r="AI705" s="114"/>
    </row>
    <row r="706" spans="1:35" ht="16.2">
      <c r="A706" s="53">
        <v>705</v>
      </c>
      <c r="B706" s="118">
        <f t="shared" ref="B706:B769" si="48">(TRUNC(1+(250000-1)*(TRUNC(MOD(((Seed*ROW())*1103515245 +12345)/ 65536, 32768),0)/32768),0))/100000</f>
        <v>2.3567900000000002</v>
      </c>
      <c r="C706" s="72" t="str">
        <f t="array" ref="C706">INDEX(NPCFName,TRUNC(1+(COUNTA(NPCFName))*(TRUNC(MOD(($B706*1103515245 +12345)/ 65536, 32768),0)/32768),0))</f>
        <v>Nythil</v>
      </c>
      <c r="D706" s="16" t="str">
        <f t="array" ref="D706">INDEX(NPCLName,TRUNC(1+(COUNTA(NPCLName))*(TRUNC(MOD(($B706*1103515245 +12345)/ 65536, 32768),0)/32768),0))</f>
        <v>Stillsun</v>
      </c>
      <c r="E706" s="16" t="str">
        <f t="array" ref="E706">INDEX(NPCClass,TRUNC(1+(COUNTA(NPCClass))*(TRUNC(MOD(($B706*1103515245 +12345)/ 65536, 32768),0)/32768),0))</f>
        <v>Druid</v>
      </c>
      <c r="F706" s="76">
        <v>1</v>
      </c>
      <c r="G706" s="153">
        <f ca="1">VLOOKUP($AB$2,'RF Mod'!$A$2:$G$12,2,FALSE)+VLOOKUP($AD$2,'RF Mod'!$I$2:$O$11,2,FALSE)+(TRUNC(6+(24-6)*(TRUNC(MOD(($Z706*1103515245 +12345)/ 65536, 32768),0)/32768),0))</f>
        <v>5</v>
      </c>
      <c r="H706" s="16">
        <f t="shared" ca="1" si="33"/>
        <v>-3</v>
      </c>
      <c r="I706" s="153">
        <f ca="1">VLOOKUP($AB$2,'RF Mod'!$A$2:$G$12,3,FALSE)+VLOOKUP($AD$2,'RF Mod'!$I$2:$O$11,3,FALSE)+(TRUNC(6+(24-6)*(TRUNC(MOD(($Z706*1103515245 +12345)/ 65536, 32768),0)/32768),0))</f>
        <v>9</v>
      </c>
      <c r="J706" s="16">
        <f t="shared" ca="1" si="34"/>
        <v>-1</v>
      </c>
      <c r="K706" s="153">
        <f ca="1">VLOOKUP($AB$2,'RF Mod'!$A$2:$G$12,3,FALSE)+VLOOKUP($AD$2,'RF Mod'!$I$2:$O$11,3,FALSE)+(TRUNC(6+(24-6)*(TRUNC(MOD(($Z706*1103515245 +12345)/ 65536, 32768),0)/32768),0))</f>
        <v>9</v>
      </c>
      <c r="L706" s="16">
        <f t="shared" ca="1" si="35"/>
        <v>-1</v>
      </c>
      <c r="M706" s="153">
        <f ca="1">VLOOKUP($AB$2,'RF Mod'!$A$2:$G$12,4,FALSE)+VLOOKUP($AD$2,'RF Mod'!$I$2:$O$11,4,FALSE)+(TRUNC(6+(24-6)*(TRUNC(MOD(($Z706*1103515245 +12345)/ 65536, 32768),0)/32768),0))</f>
        <v>8</v>
      </c>
      <c r="N706" s="16">
        <f t="shared" ca="1" si="36"/>
        <v>-1</v>
      </c>
      <c r="O706" s="153">
        <f ca="1">VLOOKUP($AB$2,'RF Mod'!$A$2:$G$12,5,FALSE)+VLOOKUP($AD$2,'RF Mod'!$I$2:$O$11,5,FALSE)+(TRUNC(6+(24-6)*(TRUNC(MOD(($Z706*1103515245 +12345)/ 65536, 32768),0)/32768),0))</f>
        <v>11</v>
      </c>
      <c r="P706" s="16" t="e">
        <f t="shared" ca="1" si="37"/>
        <v>#NAME?</v>
      </c>
      <c r="Q706" s="153">
        <f ca="1">VLOOKUP($AB$2,'RF Mod'!$A$2:$G$12,6,FALSE)+VLOOKUP($AD$2,'RF Mod'!$I$2:$O$11,6,FALSE)+(TRUNC(6+(24-6)*(TRUNC(MOD(($Z706*1103515245 +12345)/ 65536, 32768),0)/32768),0))</f>
        <v>9</v>
      </c>
      <c r="R706" s="16">
        <f t="shared" ca="1" si="38"/>
        <v>-1</v>
      </c>
      <c r="S706" s="154">
        <f t="shared" ca="1" si="43"/>
        <v>11</v>
      </c>
      <c r="T706" s="154">
        <f t="shared" ca="1" si="39"/>
        <v>8</v>
      </c>
      <c r="U706" s="16" t="str">
        <f t="shared" ca="1" si="40"/>
        <v>Bloody</v>
      </c>
      <c r="V706" s="155">
        <f ca="1">IFERROR(__xludf.DUMMYFUNCTION("if(W706=""Middle Age"",QUERY(NPCVar!$K$2:$N1000, ""Select L where K = '""&amp;AB706&amp;""'""),if(W706=""Old"",QUERY(NPCVar!$K$2:$N1000, ""Select M where K = '""&amp;AB706&amp;""'""),if(W706=""Venerable"",QUERY(NPCVar!$K$2:$N1000, ""Select N where K = '""&amp;AB706&amp;""'""),fa"&amp;"lse)))*X706"),112.5)</f>
        <v>112.5</v>
      </c>
      <c r="W706" s="156" t="str">
        <f t="array" ref="W706">INDEX(NPCAgeType,TRUNC(1+(4-1)*(TRUNC(MOD((X706*1103515245 +12345)/ 65536, 32768),0)/32768),0))</f>
        <v>Middle Age</v>
      </c>
      <c r="X706" s="117">
        <f t="shared" si="45"/>
        <v>0.6</v>
      </c>
      <c r="Y706" s="157" t="e">
        <f t="array" aca="1" ref="Y706" ca="1">LOOKUP(ABS(MAX(Z706 + MIN(ABS(INDIRECT("Class Jobs!B"&amp;MATCH(E706,'Class Jobs'!$A$1:$A1000,0)&amp;":"&amp;"AF"&amp;MATCH(E706,'Class Jobs'!$A$1:$A1000,0)&amp;"")-$Z706)) * SUM(IF(MIN(ABS(INDIRECT("Class Jobs!B"&amp;MATCH(E706,'Class Jobs'!$A$1:$A1000,0)&amp;":"&amp;"AF"&amp;MATCH(E706,'Class Jobs'!$A$1:$A1000,0)&amp;"")-$Z706))=ABS(INDIRECT("Class Jobs!B"&amp;MATCH(E706,'Class Jobs'!$A$1:$A1000,0)&amp;":"&amp;"AF"&amp;MATCH(E706,'Class Jobs'!$A$1:$A1000,0)&amp;"")-$Z706),SIGN(INDIRECT("Class Jobs!B"&amp;MATCH(E706,'Class Jobs'!$A$1:A1000,0)&amp;":"&amp;"AF"&amp;MATCH(E706,'Class Jobs'!$A$1:$A1000,0)&amp;"")-$Z706),0)),0)),INDIRECT("Class Jobs!B"&amp;MATCH(E706,'Class Jobs'!$A$1:$A1000,0)&amp;":"&amp;"AF"&amp;MATCH(E706,'Class Jobs'!$A$1:$A1000,1)&amp;""),'Class Jobs'!$B$1:$AF$1)</f>
        <v>#REF!</v>
      </c>
      <c r="Z706" s="158">
        <f t="shared" si="41"/>
        <v>0.21</v>
      </c>
      <c r="AA706" s="16" t="str">
        <f t="array" ref="AA706">INDEX(NPCGender,TRUNC(1+(COUNTA(NPCGender))*(TRUNC(MOD(($B706*1103515245 +12345)/ 65536, 32768),0)/32768),0))</f>
        <v>Male</v>
      </c>
      <c r="AB706" s="16" t="str">
        <f t="array" ref="AB706">INDEX(NPCRace,TRUNC(1+(COUNTA(NPCRace))*(TRUNC(MOD(($B706*1103515245 +12345)/ 65536, 32768),0)/32768),0))</f>
        <v>Elf</v>
      </c>
      <c r="AC706" s="16" t="str">
        <f t="array" ref="AC706">INDEX(NPCAL,TRUNC(1+(COUNTA(NPCAL))*(TRUNC(MOD(($B706*1103515245 +12345)/ 65536, 32768),0)/32768),0))</f>
        <v>CE</v>
      </c>
      <c r="AD706" s="72" t="str">
        <f ca="1">IFERROR(__xludf.DUMMYFUNCTION("if(V706&lt;15,QUERY(NPCVar!C:D,""Select D WHERE C = '""&amp;D706&amp;""'""),if((TRUNC(1+10)*(TRUNC(MOD((ROW(H706)*1103515245 +12345)/ 65536, 32768),0)/32768)/10) &gt; 0.85,INDEX(NPCFaction,TRUNC(1+(counta(NPCFaction)-1)*(TRUNC(MOD(($B706*1103515245 +12345)/ 65536, 3276"&amp;"8),0)/32768),0)),QUERY(NPCVar!C:D,""Select D WHERE C = '""&amp;D706&amp;""'"")))"),"Necromancer")</f>
        <v>Necromancer</v>
      </c>
      <c r="AE706" s="108" t="e">
        <f t="shared" ca="1" si="42"/>
        <v>#NAME?</v>
      </c>
      <c r="AF706" s="159">
        <f ca="1">IFERROR(__xludf.DUMMYFUNCTION("AE706*(V706 / QUERY(NPCVar!$K$2:$N$12, ""Select N WHERE K='""&amp;AB706&amp;""'""))*TRUNC(1+10)*(TRUNC(MOD(($B706*1103515245 +12345)/ 65536, 32768),0)/32768)"),0)</f>
        <v>0</v>
      </c>
      <c r="AG706" s="16"/>
      <c r="AH706" s="77"/>
      <c r="AI706" s="114"/>
    </row>
    <row r="707" spans="1:35" ht="16.2">
      <c r="A707" s="53">
        <v>706</v>
      </c>
      <c r="B707" s="118">
        <f t="shared" si="48"/>
        <v>1.35094</v>
      </c>
      <c r="C707" s="72" t="str">
        <f t="array" ref="C707">INDEX(NPCFName,TRUNC(1+(COUNTA(NPCFName))*(TRUNC(MOD(($B707*1103515245 +12345)/ 65536, 32768),0)/32768),0))</f>
        <v>Beck</v>
      </c>
      <c r="D707" s="16" t="str">
        <f t="array" ref="D707">INDEX(NPCLName,TRUNC(1+(COUNTA(NPCLName))*(TRUNC(MOD(($B707*1103515245 +12345)/ 65536, 32768),0)/32768),0))</f>
        <v>Emberhell</v>
      </c>
      <c r="E707" s="16" t="str">
        <f t="array" ref="E707">INDEX(NPCClass,TRUNC(1+(COUNTA(NPCClass))*(TRUNC(MOD(($B707*1103515245 +12345)/ 65536, 32768),0)/32768),0))</f>
        <v>None</v>
      </c>
      <c r="F707" s="76">
        <v>8</v>
      </c>
      <c r="G707" s="153">
        <f ca="1">VLOOKUP($AB$2,'RF Mod'!$A$2:$G$12,2,FALSE)+VLOOKUP($AD$2,'RF Mod'!$I$2:$O$11,2,FALSE)+(TRUNC(6+(24-6)*(TRUNC(MOD(($Z707*1103515245 +12345)/ 65536, 32768),0)/32768),0))</f>
        <v>10</v>
      </c>
      <c r="H707" s="16" t="e">
        <f t="shared" ca="1" si="33"/>
        <v>#NAME?</v>
      </c>
      <c r="I707" s="153">
        <f ca="1">VLOOKUP($AB$2,'RF Mod'!$A$2:$G$12,3,FALSE)+VLOOKUP($AD$2,'RF Mod'!$I$2:$O$11,3,FALSE)+(TRUNC(6+(24-6)*(TRUNC(MOD(($Z707*1103515245 +12345)/ 65536, 32768),0)/32768),0))</f>
        <v>14</v>
      </c>
      <c r="J707" s="16" t="e">
        <f t="shared" ca="1" si="34"/>
        <v>#NAME?</v>
      </c>
      <c r="K707" s="153">
        <f ca="1">VLOOKUP($AB$2,'RF Mod'!$A$2:$G$12,3,FALSE)+VLOOKUP($AD$2,'RF Mod'!$I$2:$O$11,3,FALSE)+(TRUNC(6+(24-6)*(TRUNC(MOD(($Z707*1103515245 +12345)/ 65536, 32768),0)/32768),0))</f>
        <v>14</v>
      </c>
      <c r="L707" s="16" t="e">
        <f t="shared" ca="1" si="35"/>
        <v>#NAME?</v>
      </c>
      <c r="M707" s="153">
        <f ca="1">VLOOKUP($AB$2,'RF Mod'!$A$2:$G$12,4,FALSE)+VLOOKUP($AD$2,'RF Mod'!$I$2:$O$11,4,FALSE)+(TRUNC(6+(24-6)*(TRUNC(MOD(($Z707*1103515245 +12345)/ 65536, 32768),0)/32768),0))</f>
        <v>13</v>
      </c>
      <c r="N707" s="16" t="e">
        <f t="shared" ca="1" si="36"/>
        <v>#NAME?</v>
      </c>
      <c r="O707" s="153">
        <f ca="1">VLOOKUP($AB$2,'RF Mod'!$A$2:$G$12,5,FALSE)+VLOOKUP($AD$2,'RF Mod'!$I$2:$O$11,5,FALSE)+(TRUNC(6+(24-6)*(TRUNC(MOD(($Z707*1103515245 +12345)/ 65536, 32768),0)/32768),0))</f>
        <v>16</v>
      </c>
      <c r="P707" s="16" t="e">
        <f t="shared" ca="1" si="37"/>
        <v>#NAME?</v>
      </c>
      <c r="Q707" s="153">
        <f ca="1">VLOOKUP($AB$2,'RF Mod'!$A$2:$G$12,6,FALSE)+VLOOKUP($AD$2,'RF Mod'!$I$2:$O$11,6,FALSE)+(TRUNC(6+(24-6)*(TRUNC(MOD(($Z707*1103515245 +12345)/ 65536, 32768),0)/32768),0))</f>
        <v>14</v>
      </c>
      <c r="R707" s="16" t="e">
        <f t="shared" ca="1" si="38"/>
        <v>#NAME?</v>
      </c>
      <c r="S707" s="154">
        <f t="shared" ca="1" si="43"/>
        <v>128</v>
      </c>
      <c r="T707" s="154">
        <f t="shared" ca="1" si="39"/>
        <v>46</v>
      </c>
      <c r="U707" s="16" t="str">
        <f t="shared" ca="1" si="40"/>
        <v>Fine</v>
      </c>
      <c r="V707" s="155">
        <f ca="1">IFERROR(__xludf.DUMMYFUNCTION("if(W707=""Middle Age"",QUERY(NPCVar!$K$2:$N1000, ""Select L where K = '""&amp;AB707&amp;""'""),if(W707=""Old"",QUERY(NPCVar!$K$2:$N1000, ""Select M where K = '""&amp;AB707&amp;""'""),if(W707=""Venerable"",QUERY(NPCVar!$K$2:$N1000, ""Select N where K = '""&amp;AB707&amp;""'""),fa"&amp;"lse)))*X707"),153)</f>
        <v>153</v>
      </c>
      <c r="W707" s="156" t="str">
        <f t="array" ref="W707">INDEX(NPCAgeType,TRUNC(1+(4-1)*(TRUNC(MOD((X707*1103515245 +12345)/ 65536, 32768),0)/32768),0))</f>
        <v>Venerable</v>
      </c>
      <c r="X707" s="117">
        <f t="shared" si="45"/>
        <v>1.7</v>
      </c>
      <c r="Y707" s="157" t="e">
        <f t="array" aca="1" ref="Y707" ca="1">LOOKUP(ABS(MAX(Z707 + MIN(ABS(INDIRECT("Class Jobs!B"&amp;MATCH(E707,'Class Jobs'!$A$1:$A1000,0)&amp;":"&amp;"AF"&amp;MATCH(E707,'Class Jobs'!$A$1:$A1000,0)&amp;"")-$Z707)) * SUM(IF(MIN(ABS(INDIRECT("Class Jobs!B"&amp;MATCH(E707,'Class Jobs'!$A$1:$A1000,0)&amp;":"&amp;"AF"&amp;MATCH(E707,'Class Jobs'!$A$1:$A1000,0)&amp;"")-$Z707))=ABS(INDIRECT("Class Jobs!B"&amp;MATCH(E707,'Class Jobs'!$A$1:$A1000,0)&amp;":"&amp;"AF"&amp;MATCH(E707,'Class Jobs'!$A$1:$A1000,0)&amp;"")-$Z707),SIGN(INDIRECT("Class Jobs!B"&amp;MATCH(E707,'Class Jobs'!$A$1:A1000,0)&amp;":"&amp;"AF"&amp;MATCH(E707,'Class Jobs'!$A$1:$A1000,0)&amp;"")-$Z707),0)),0)),INDIRECT("Class Jobs!B"&amp;MATCH(E707,'Class Jobs'!$A$1:$A1000,0)&amp;":"&amp;"AF"&amp;MATCH(E707,'Class Jobs'!$A$1:$A1000,1)&amp;""),'Class Jobs'!$B$1:$AF$1)</f>
        <v>#REF!</v>
      </c>
      <c r="Z707" s="158">
        <f t="shared" si="41"/>
        <v>0.69</v>
      </c>
      <c r="AA707" s="16" t="str">
        <f t="array" ref="AA707">INDEX(NPCGender,TRUNC(1+(COUNTA(NPCGender))*(TRUNC(MOD(($B707*1103515245 +12345)/ 65536, 32768),0)/32768),0))</f>
        <v>Neutral</v>
      </c>
      <c r="AB707" s="16" t="str">
        <f t="array" ref="AB707">INDEX(NPCRace,TRUNC(1+(COUNTA(NPCRace))*(TRUNC(MOD(($B707*1103515245 +12345)/ 65536, 32768),0)/32768),0))</f>
        <v>Human</v>
      </c>
      <c r="AC707" s="16" t="str">
        <f t="array" ref="AC707">INDEX(NPCAL,TRUNC(1+(COUNTA(NPCAL))*(TRUNC(MOD(($B707*1103515245 +12345)/ 65536, 32768),0)/32768),0))</f>
        <v>LG</v>
      </c>
      <c r="AD707" s="72" t="str">
        <f ca="1">IFERROR(__xludf.DUMMYFUNCTION("if(V707&lt;15,QUERY(NPCVar!C:D,""Select D WHERE C = '""&amp;D707&amp;""'""),if((TRUNC(1+10)*(TRUNC(MOD((ROW(H707)*1103515245 +12345)/ 65536, 32768),0)/32768)/10) &gt; 0.85,INDEX(NPCFaction,TRUNC(1+(counta(NPCFaction)-1)*(TRUNC(MOD(($B707*1103515245 +12345)/ 65536, 3276"&amp;"8),0)/32768),0)),QUERY(NPCVar!C:D,""Select D WHERE C = '""&amp;D707&amp;""'"")))"),"Adventures Guild")</f>
        <v>Adventures Guild</v>
      </c>
      <c r="AE707" s="108" t="e">
        <f t="shared" ca="1" si="42"/>
        <v>#NAME?</v>
      </c>
      <c r="AF707" s="159">
        <f ca="1">IFERROR(__xludf.DUMMYFUNCTION("AE707*(V707 / QUERY(NPCVar!$K$2:$N$12, ""Select N WHERE K='""&amp;AB707&amp;""'""))*TRUNC(1+10)*(TRUNC(MOD(($B707*1103515245 +12345)/ 65536, 32768),0)/32768)"),11.6831057739257)</f>
        <v>11.6831057739257</v>
      </c>
      <c r="AG707" s="16"/>
      <c r="AH707" s="77"/>
      <c r="AI707" s="114"/>
    </row>
    <row r="708" spans="1:35" ht="16.2">
      <c r="A708" s="53">
        <v>707</v>
      </c>
      <c r="B708" s="118">
        <f t="shared" si="48"/>
        <v>0.34508</v>
      </c>
      <c r="C708" s="72" t="str">
        <f t="array" ref="C708">INDEX(NPCFName,TRUNC(1+(COUNTA(NPCFName))*(TRUNC(MOD(($B708*1103515245 +12345)/ 65536, 32768),0)/32768),0))</f>
        <v>Liphanes</v>
      </c>
      <c r="D708" s="16" t="str">
        <f t="array" ref="D708">INDEX(NPCLName,TRUNC(1+(COUNTA(NPCLName))*(TRUNC(MOD(($B708*1103515245 +12345)/ 65536, 32768),0)/32768),0))</f>
        <v>Ashcloud</v>
      </c>
      <c r="E708" s="16" t="str">
        <f t="array" ref="E708">INDEX(NPCClass,TRUNC(1+(COUNTA(NPCClass))*(TRUNC(MOD(($B708*1103515245 +12345)/ 65536, 32768),0)/32768),0))</f>
        <v>Druid</v>
      </c>
      <c r="F708" s="76">
        <v>1</v>
      </c>
      <c r="G708" s="153">
        <f ca="1">VLOOKUP($AB$2,'RF Mod'!$A$2:$G$12,2,FALSE)+VLOOKUP($AD$2,'RF Mod'!$I$2:$O$11,2,FALSE)+(TRUNC(6+(24-6)*(TRUNC(MOD(($Z708*1103515245 +12345)/ 65536, 32768),0)/32768),0))</f>
        <v>5</v>
      </c>
      <c r="H708" s="16">
        <f t="shared" ca="1" si="33"/>
        <v>-3</v>
      </c>
      <c r="I708" s="153">
        <f ca="1">VLOOKUP($AB$2,'RF Mod'!$A$2:$G$12,3,FALSE)+VLOOKUP($AD$2,'RF Mod'!$I$2:$O$11,3,FALSE)+(TRUNC(6+(24-6)*(TRUNC(MOD(($Z708*1103515245 +12345)/ 65536, 32768),0)/32768),0))</f>
        <v>9</v>
      </c>
      <c r="J708" s="16">
        <f t="shared" ca="1" si="34"/>
        <v>-1</v>
      </c>
      <c r="K708" s="153">
        <f ca="1">VLOOKUP($AB$2,'RF Mod'!$A$2:$G$12,3,FALSE)+VLOOKUP($AD$2,'RF Mod'!$I$2:$O$11,3,FALSE)+(TRUNC(6+(24-6)*(TRUNC(MOD(($Z708*1103515245 +12345)/ 65536, 32768),0)/32768),0))</f>
        <v>9</v>
      </c>
      <c r="L708" s="16">
        <f t="shared" ca="1" si="35"/>
        <v>-1</v>
      </c>
      <c r="M708" s="153">
        <f ca="1">VLOOKUP($AB$2,'RF Mod'!$A$2:$G$12,4,FALSE)+VLOOKUP($AD$2,'RF Mod'!$I$2:$O$11,4,FALSE)+(TRUNC(6+(24-6)*(TRUNC(MOD(($Z708*1103515245 +12345)/ 65536, 32768),0)/32768),0))</f>
        <v>8</v>
      </c>
      <c r="N708" s="16">
        <f t="shared" ca="1" si="36"/>
        <v>-1</v>
      </c>
      <c r="O708" s="153">
        <f ca="1">VLOOKUP($AB$2,'RF Mod'!$A$2:$G$12,5,FALSE)+VLOOKUP($AD$2,'RF Mod'!$I$2:$O$11,5,FALSE)+(TRUNC(6+(24-6)*(TRUNC(MOD(($Z708*1103515245 +12345)/ 65536, 32768),0)/32768),0))</f>
        <v>11</v>
      </c>
      <c r="P708" s="16" t="e">
        <f t="shared" ca="1" si="37"/>
        <v>#NAME?</v>
      </c>
      <c r="Q708" s="153">
        <f ca="1">VLOOKUP($AB$2,'RF Mod'!$A$2:$G$12,6,FALSE)+VLOOKUP($AD$2,'RF Mod'!$I$2:$O$11,6,FALSE)+(TRUNC(6+(24-6)*(TRUNC(MOD(($Z708*1103515245 +12345)/ 65536, 32768),0)/32768),0))</f>
        <v>9</v>
      </c>
      <c r="R708" s="16">
        <f t="shared" ca="1" si="38"/>
        <v>-1</v>
      </c>
      <c r="S708" s="154">
        <f t="shared" ca="1" si="43"/>
        <v>11</v>
      </c>
      <c r="T708" s="154">
        <f t="shared" ca="1" si="39"/>
        <v>3</v>
      </c>
      <c r="U708" s="16" t="str">
        <f t="shared" ca="1" si="40"/>
        <v>Fine</v>
      </c>
      <c r="V708" s="155">
        <f ca="1">IFERROR(__xludf.DUMMYFUNCTION("if(W708=""Middle Age"",QUERY(NPCVar!$K$2:$N1000, ""Select L where K = '""&amp;AB708&amp;""'""),if(W708=""Old"",QUERY(NPCVar!$K$2:$N1000, ""Select M where K = '""&amp;AB708&amp;""'""),if(W708=""Venerable"",QUERY(NPCVar!$K$2:$N1000, ""Select N where K = '""&amp;AB708&amp;""'""),fa"&amp;"lse)))*X708"),40)</f>
        <v>40</v>
      </c>
      <c r="W708" s="156" t="str">
        <f t="array" ref="W708">INDEX(NPCAgeType,TRUNC(1+(4-1)*(TRUNC(MOD((X708*1103515245 +12345)/ 65536, 32768),0)/32768),0))</f>
        <v>Middle Age</v>
      </c>
      <c r="X708" s="117">
        <f t="shared" si="45"/>
        <v>0.5</v>
      </c>
      <c r="Y708" s="157" t="e">
        <f t="array" aca="1" ref="Y708" ca="1">LOOKUP(ABS(MAX(Z708 + MIN(ABS(INDIRECT("Class Jobs!B"&amp;MATCH(E708,'Class Jobs'!$A$1:$A1000,0)&amp;":"&amp;"AF"&amp;MATCH(E708,'Class Jobs'!$A$1:$A1000,0)&amp;"")-$Z708)) * SUM(IF(MIN(ABS(INDIRECT("Class Jobs!B"&amp;MATCH(E708,'Class Jobs'!$A$1:$A1000,0)&amp;":"&amp;"AF"&amp;MATCH(E708,'Class Jobs'!$A$1:$A1000,0)&amp;"")-$Z708))=ABS(INDIRECT("Class Jobs!B"&amp;MATCH(E708,'Class Jobs'!$A$1:$A1000,0)&amp;":"&amp;"AF"&amp;MATCH(E708,'Class Jobs'!$A$1:$A1000,0)&amp;"")-$Z708),SIGN(INDIRECT("Class Jobs!B"&amp;MATCH(E708,'Class Jobs'!$A$1:A1000,0)&amp;":"&amp;"AF"&amp;MATCH(E708,'Class Jobs'!$A$1:$A1000,0)&amp;"")-$Z708),0)),0)),INDIRECT("Class Jobs!B"&amp;MATCH(E708,'Class Jobs'!$A$1:$A1000,0)&amp;":"&amp;"AF"&amp;MATCH(E708,'Class Jobs'!$A$1:$A1000,1)&amp;""),'Class Jobs'!$B$1:$AF$1)</f>
        <v>#REF!</v>
      </c>
      <c r="Z708" s="158">
        <f t="shared" si="41"/>
        <v>0.18</v>
      </c>
      <c r="AA708" s="16" t="str">
        <f t="array" ref="AA708">INDEX(NPCGender,TRUNC(1+(COUNTA(NPCGender))*(TRUNC(MOD(($B708*1103515245 +12345)/ 65536, 32768),0)/32768),0))</f>
        <v>Male</v>
      </c>
      <c r="AB708" s="16" t="str">
        <f t="array" ref="AB708">INDEX(NPCRace,TRUNC(1+(COUNTA(NPCRace))*(TRUNC(MOD(($B708*1103515245 +12345)/ 65536, 32768),0)/32768),0))</f>
        <v>Dwarf</v>
      </c>
      <c r="AC708" s="16" t="str">
        <f t="array" ref="AC708">INDEX(NPCAL,TRUNC(1+(COUNTA(NPCAL))*(TRUNC(MOD(($B708*1103515245 +12345)/ 65536, 32768),0)/32768),0))</f>
        <v>CE</v>
      </c>
      <c r="AD708" s="72" t="str">
        <f ca="1">IFERROR(__xludf.DUMMYFUNCTION("if(V708&lt;15,QUERY(NPCVar!C:D,""Select D WHERE C = '""&amp;D708&amp;""'""),if((TRUNC(1+10)*(TRUNC(MOD((ROW(H708)*1103515245 +12345)/ 65536, 32768),0)/32768)/10) &gt; 0.85,INDEX(NPCFaction,TRUNC(1+(counta(NPCFaction)-1)*(TRUNC(MOD(($B708*1103515245 +12345)/ 65536, 3276"&amp;"8),0)/32768),0)),QUERY(NPCVar!C:D,""Select D WHERE C = '""&amp;D708&amp;""'"")))"),"Necromancer")</f>
        <v>Necromancer</v>
      </c>
      <c r="AE708" s="108" t="e">
        <f t="shared" ca="1" si="42"/>
        <v>#NAME?</v>
      </c>
      <c r="AF708" s="159">
        <f ca="1">IFERROR(__xludf.DUMMYFUNCTION("AE708*(V708 / QUERY(NPCVar!$K$2:$N$12, ""Select N WHERE K='""&amp;AB708&amp;""'""))*TRUNC(1+10)*(TRUNC(MOD(($B708*1103515245 +12345)/ 65536, 32768),0)/32768)"),0)</f>
        <v>0</v>
      </c>
      <c r="AG708" s="16"/>
      <c r="AH708" s="77"/>
      <c r="AI708" s="114"/>
    </row>
    <row r="709" spans="1:35" ht="16.2">
      <c r="A709" s="53">
        <v>708</v>
      </c>
      <c r="B709" s="118">
        <f t="shared" si="48"/>
        <v>1.8392200000000001</v>
      </c>
      <c r="C709" s="72" t="str">
        <f t="array" ref="C709">INDEX(NPCFName,TRUNC(1+(COUNTA(NPCFName))*(TRUNC(MOD(($B709*1103515245 +12345)/ 65536, 32768),0)/32768),0))</f>
        <v>Temil</v>
      </c>
      <c r="D709" s="16" t="str">
        <f t="array" ref="D709">INDEX(NPCLName,TRUNC(1+(COUNTA(NPCLName))*(TRUNC(MOD(($B709*1103515245 +12345)/ 65536, 32768),0)/32768),0))</f>
        <v>Marblearm</v>
      </c>
      <c r="E709" s="16" t="str">
        <f t="array" ref="E709">INDEX(NPCClass,TRUNC(1+(COUNTA(NPCClass))*(TRUNC(MOD(($B709*1103515245 +12345)/ 65536, 32768),0)/32768),0))</f>
        <v>Wizard</v>
      </c>
      <c r="F709" s="76">
        <v>8</v>
      </c>
      <c r="G709" s="153">
        <f ca="1">VLOOKUP($AB$2,'RF Mod'!$A$2:$G$12,2,FALSE)+VLOOKUP($AD$2,'RF Mod'!$I$2:$O$11,2,FALSE)+(TRUNC(6+(24-6)*(TRUNC(MOD(($Z709*1103515245 +12345)/ 65536, 32768),0)/32768),0))</f>
        <v>12</v>
      </c>
      <c r="H709" s="16" t="e">
        <f t="shared" ca="1" si="33"/>
        <v>#NAME?</v>
      </c>
      <c r="I709" s="153">
        <f ca="1">VLOOKUP($AB$2,'RF Mod'!$A$2:$G$12,3,FALSE)+VLOOKUP($AD$2,'RF Mod'!$I$2:$O$11,3,FALSE)+(TRUNC(6+(24-6)*(TRUNC(MOD(($Z709*1103515245 +12345)/ 65536, 32768),0)/32768),0))</f>
        <v>16</v>
      </c>
      <c r="J709" s="16" t="e">
        <f t="shared" ca="1" si="34"/>
        <v>#NAME?</v>
      </c>
      <c r="K709" s="153">
        <f ca="1">VLOOKUP($AB$2,'RF Mod'!$A$2:$G$12,3,FALSE)+VLOOKUP($AD$2,'RF Mod'!$I$2:$O$11,3,FALSE)+(TRUNC(6+(24-6)*(TRUNC(MOD(($Z709*1103515245 +12345)/ 65536, 32768),0)/32768),0))</f>
        <v>16</v>
      </c>
      <c r="L709" s="16" t="e">
        <f t="shared" ca="1" si="35"/>
        <v>#NAME?</v>
      </c>
      <c r="M709" s="153">
        <f ca="1">VLOOKUP($AB$2,'RF Mod'!$A$2:$G$12,4,FALSE)+VLOOKUP($AD$2,'RF Mod'!$I$2:$O$11,4,FALSE)+(TRUNC(6+(24-6)*(TRUNC(MOD(($Z709*1103515245 +12345)/ 65536, 32768),0)/32768),0))</f>
        <v>15</v>
      </c>
      <c r="N709" s="16" t="e">
        <f t="shared" ca="1" si="36"/>
        <v>#NAME?</v>
      </c>
      <c r="O709" s="153">
        <f ca="1">VLOOKUP($AB$2,'RF Mod'!$A$2:$G$12,5,FALSE)+VLOOKUP($AD$2,'RF Mod'!$I$2:$O$11,5,FALSE)+(TRUNC(6+(24-6)*(TRUNC(MOD(($Z709*1103515245 +12345)/ 65536, 32768),0)/32768),0))</f>
        <v>18</v>
      </c>
      <c r="P709" s="16" t="e">
        <f t="shared" ca="1" si="37"/>
        <v>#NAME?</v>
      </c>
      <c r="Q709" s="153">
        <f ca="1">VLOOKUP($AB$2,'RF Mod'!$A$2:$G$12,6,FALSE)+VLOOKUP($AD$2,'RF Mod'!$I$2:$O$11,6,FALSE)+(TRUNC(6+(24-6)*(TRUNC(MOD(($Z709*1103515245 +12345)/ 65536, 32768),0)/32768),0))</f>
        <v>16</v>
      </c>
      <c r="R709" s="16" t="e">
        <f t="shared" ca="1" si="38"/>
        <v>#NAME?</v>
      </c>
      <c r="S709" s="154">
        <f t="shared" ca="1" si="43"/>
        <v>240</v>
      </c>
      <c r="T709" s="154">
        <f t="shared" ca="1" si="39"/>
        <v>80</v>
      </c>
      <c r="U709" s="16" t="str">
        <f t="shared" ca="1" si="40"/>
        <v>Fine</v>
      </c>
      <c r="V709" s="155">
        <f ca="1">IFERROR(__xludf.DUMMYFUNCTION("if(W709=""Middle Age"",QUERY(NPCVar!$K$2:$N1000, ""Select L where K = '""&amp;AB709&amp;""'""),if(W709=""Old"",QUERY(NPCVar!$K$2:$N1000, ""Select M where K = '""&amp;AB709&amp;""'""),if(W709=""Venerable"",QUERY(NPCVar!$K$2:$N1000, ""Select N where K = '""&amp;AB709&amp;""'""),fa"&amp;"lse)))*X709"),69)</f>
        <v>69</v>
      </c>
      <c r="W709" s="156" t="str">
        <f t="array" ref="W709">INDEX(NPCAgeType,TRUNC(1+(4-1)*(TRUNC(MOD((X709*1103515245 +12345)/ 65536, 32768),0)/32768),0))</f>
        <v>Middle Age</v>
      </c>
      <c r="X709" s="117">
        <f t="shared" si="45"/>
        <v>2.2999999999999998</v>
      </c>
      <c r="Y709" s="157" t="e">
        <f t="array" aca="1" ref="Y709" ca="1">LOOKUP(ABS(MAX(Z709 + MIN(ABS(INDIRECT("Class Jobs!B"&amp;MATCH(E709,'Class Jobs'!$A$1:$A1000,0)&amp;":"&amp;"AF"&amp;MATCH(E709,'Class Jobs'!$A$1:$A1000,0)&amp;"")-$Z709)) * SUM(IF(MIN(ABS(INDIRECT("Class Jobs!B"&amp;MATCH(E709,'Class Jobs'!$A$1:$A1000,0)&amp;":"&amp;"AF"&amp;MATCH(E709,'Class Jobs'!$A$1:$A1000,0)&amp;"")-$Z709))=ABS(INDIRECT("Class Jobs!B"&amp;MATCH(E709,'Class Jobs'!$A$1:$A1000,0)&amp;":"&amp;"AF"&amp;MATCH(E709,'Class Jobs'!$A$1:$A1000,0)&amp;"")-$Z709),SIGN(INDIRECT("Class Jobs!B"&amp;MATCH(E709,'Class Jobs'!$A$1:A1000,0)&amp;":"&amp;"AF"&amp;MATCH(E709,'Class Jobs'!$A$1:$A1000,0)&amp;"")-$Z709),0)),0)),INDIRECT("Class Jobs!B"&amp;MATCH(E709,'Class Jobs'!$A$1:$A1000,0)&amp;":"&amp;"AF"&amp;MATCH(E709,'Class Jobs'!$A$1:$A1000,1)&amp;""),'Class Jobs'!$B$1:$AF$1)</f>
        <v>#REF!</v>
      </c>
      <c r="Z709" s="158">
        <f t="shared" si="41"/>
        <v>0.94</v>
      </c>
      <c r="AA709" s="16" t="str">
        <f t="array" ref="AA709">INDEX(NPCGender,TRUNC(1+(COUNTA(NPCGender))*(TRUNC(MOD(($B709*1103515245 +12345)/ 65536, 32768),0)/32768),0))</f>
        <v>Neutral</v>
      </c>
      <c r="AB709" s="16" t="str">
        <f t="array" ref="AB709">INDEX(NPCRace,TRUNC(1+(COUNTA(NPCRace))*(TRUNC(MOD(($B709*1103515245 +12345)/ 65536, 32768),0)/32768),0))</f>
        <v>Goliath</v>
      </c>
      <c r="AC709" s="16" t="str">
        <f t="array" ref="AC709">INDEX(NPCAL,TRUNC(1+(COUNTA(NPCAL))*(TRUNC(MOD(($B709*1103515245 +12345)/ 65536, 32768),0)/32768),0))</f>
        <v>LE</v>
      </c>
      <c r="AD709" s="72" t="str">
        <f ca="1">IFERROR(__xludf.DUMMYFUNCTION("if(V709&lt;15,QUERY(NPCVar!C:D,""Select D WHERE C = '""&amp;D709&amp;""'""),if((TRUNC(1+10)*(TRUNC(MOD((ROW(H709)*1103515245 +12345)/ 65536, 32768),0)/32768)/10) &gt; 0.85,INDEX(NPCFaction,TRUNC(1+(counta(NPCFaction)-1)*(TRUNC(MOD(($B709*1103515245 +12345)/ 65536, 3276"&amp;"8),0)/32768),0)),QUERY(NPCVar!C:D,""Select D WHERE C = '""&amp;D709&amp;""'"")))"),"Thieves Guild")</f>
        <v>Thieves Guild</v>
      </c>
      <c r="AE709" s="108" t="e">
        <f t="shared" ca="1" si="42"/>
        <v>#NAME?</v>
      </c>
      <c r="AF709" s="159">
        <f ca="1">IFERROR(__xludf.DUMMYFUNCTION("AE709*(V709 / QUERY(NPCVar!$K$2:$N$12, ""Select N WHERE K='""&amp;AB709&amp;""'""))*TRUNC(1+10)*(TRUNC(MOD(($B709*1103515245 +12345)/ 65536, 32768),0)/32768)"),5.37997535705566)</f>
        <v>5.3799753570556597</v>
      </c>
      <c r="AG709" s="16"/>
      <c r="AH709" s="77"/>
      <c r="AI709" s="114"/>
    </row>
    <row r="710" spans="1:35" ht="16.2">
      <c r="A710" s="53">
        <v>709</v>
      </c>
      <c r="B710" s="118">
        <f t="shared" si="48"/>
        <v>0.83335999999999999</v>
      </c>
      <c r="C710" s="72" t="str">
        <f t="array" ref="C710">INDEX(NPCFName,TRUNC(1+(COUNTA(NPCFName))*(TRUNC(MOD(($B710*1103515245 +12345)/ 65536, 32768),0)/32768),0))</f>
        <v>Enidin</v>
      </c>
      <c r="D710" s="16" t="str">
        <f t="array" ref="D710">INDEX(NPCLName,TRUNC(1+(COUNTA(NPCLName))*(TRUNC(MOD(($B710*1103515245 +12345)/ 65536, 32768),0)/32768),0))</f>
        <v>Windshade</v>
      </c>
      <c r="E710" s="16" t="str">
        <f t="array" ref="E710">INDEX(NPCClass,TRUNC(1+(COUNTA(NPCClass))*(TRUNC(MOD(($B710*1103515245 +12345)/ 65536, 32768),0)/32768),0))</f>
        <v>Ranger</v>
      </c>
      <c r="F710" s="76">
        <v>6</v>
      </c>
      <c r="G710" s="153">
        <f ca="1">VLOOKUP($AB$2,'RF Mod'!$A$2:$G$12,2,FALSE)+VLOOKUP($AD$2,'RF Mod'!$I$2:$O$11,2,FALSE)+(TRUNC(6+(24-6)*(TRUNC(MOD(($Z710*1103515245 +12345)/ 65536, 32768),0)/32768),0))</f>
        <v>7</v>
      </c>
      <c r="H710" s="16">
        <f t="shared" ca="1" si="33"/>
        <v>-2</v>
      </c>
      <c r="I710" s="153">
        <f ca="1">VLOOKUP($AB$2,'RF Mod'!$A$2:$G$12,3,FALSE)+VLOOKUP($AD$2,'RF Mod'!$I$2:$O$11,3,FALSE)+(TRUNC(6+(24-6)*(TRUNC(MOD(($Z710*1103515245 +12345)/ 65536, 32768),0)/32768),0))</f>
        <v>11</v>
      </c>
      <c r="J710" s="16" t="e">
        <f t="shared" ca="1" si="34"/>
        <v>#NAME?</v>
      </c>
      <c r="K710" s="153">
        <f ca="1">VLOOKUP($AB$2,'RF Mod'!$A$2:$G$12,3,FALSE)+VLOOKUP($AD$2,'RF Mod'!$I$2:$O$11,3,FALSE)+(TRUNC(6+(24-6)*(TRUNC(MOD(($Z710*1103515245 +12345)/ 65536, 32768),0)/32768),0))</f>
        <v>11</v>
      </c>
      <c r="L710" s="16" t="e">
        <f t="shared" ca="1" si="35"/>
        <v>#NAME?</v>
      </c>
      <c r="M710" s="153">
        <f ca="1">VLOOKUP($AB$2,'RF Mod'!$A$2:$G$12,4,FALSE)+VLOOKUP($AD$2,'RF Mod'!$I$2:$O$11,4,FALSE)+(TRUNC(6+(24-6)*(TRUNC(MOD(($Z710*1103515245 +12345)/ 65536, 32768),0)/32768),0))</f>
        <v>10</v>
      </c>
      <c r="N710" s="16" t="e">
        <f t="shared" ca="1" si="36"/>
        <v>#NAME?</v>
      </c>
      <c r="O710" s="153">
        <f ca="1">VLOOKUP($AB$2,'RF Mod'!$A$2:$G$12,5,FALSE)+VLOOKUP($AD$2,'RF Mod'!$I$2:$O$11,5,FALSE)+(TRUNC(6+(24-6)*(TRUNC(MOD(($Z710*1103515245 +12345)/ 65536, 32768),0)/32768),0))</f>
        <v>13</v>
      </c>
      <c r="P710" s="16" t="e">
        <f t="shared" ca="1" si="37"/>
        <v>#NAME?</v>
      </c>
      <c r="Q710" s="153">
        <f ca="1">VLOOKUP($AB$2,'RF Mod'!$A$2:$G$12,6,FALSE)+VLOOKUP($AD$2,'RF Mod'!$I$2:$O$11,6,FALSE)+(TRUNC(6+(24-6)*(TRUNC(MOD(($Z710*1103515245 +12345)/ 65536, 32768),0)/32768),0))</f>
        <v>11</v>
      </c>
      <c r="R710" s="16" t="e">
        <f t="shared" ca="1" si="38"/>
        <v>#NAME?</v>
      </c>
      <c r="S710" s="154">
        <f t="shared" ca="1" si="43"/>
        <v>90</v>
      </c>
      <c r="T710" s="154">
        <f t="shared" ca="1" si="39"/>
        <v>79</v>
      </c>
      <c r="U710" s="16" t="str">
        <f t="shared" ca="1" si="40"/>
        <v>Bloody</v>
      </c>
      <c r="V710" s="155">
        <f ca="1">IFERROR(__xludf.DUMMYFUNCTION("if(W710=""Middle Age"",QUERY(NPCVar!$K$2:$N1000, ""Select L where K = '""&amp;AB710&amp;""'""),if(W710=""Old"",QUERY(NPCVar!$K$2:$N1000, ""Select M where K = '""&amp;AB710&amp;""'""),if(W710=""Venerable"",QUERY(NPCVar!$K$2:$N1000, ""Select N where K = '""&amp;AB710&amp;""'""),fa"&amp;"lse)))*X710"),74.25)</f>
        <v>74.25</v>
      </c>
      <c r="W710" s="156" t="str">
        <f t="array" ref="W710">INDEX(NPCAgeType,TRUNC(1+(4-1)*(TRUNC(MOD((X710*1103515245 +12345)/ 65536, 32768),0)/32768),0))</f>
        <v>Old</v>
      </c>
      <c r="X710" s="117">
        <f t="shared" si="45"/>
        <v>1.1000000000000001</v>
      </c>
      <c r="Y710" s="157" t="e">
        <f t="array" aca="1" ref="Y710" ca="1">LOOKUP(ABS(MAX(Z710 + MIN(ABS(INDIRECT("Class Jobs!B"&amp;MATCH(E710,'Class Jobs'!$A$1:$A1000,0)&amp;":"&amp;"AF"&amp;MATCH(E710,'Class Jobs'!$A$1:$A1000,0)&amp;"")-$Z710)) * SUM(IF(MIN(ABS(INDIRECT("Class Jobs!B"&amp;MATCH(E710,'Class Jobs'!$A$1:$A1000,0)&amp;":"&amp;"AF"&amp;MATCH(E710,'Class Jobs'!$A$1:$A1000,0)&amp;"")-$Z710))=ABS(INDIRECT("Class Jobs!B"&amp;MATCH(E710,'Class Jobs'!$A$1:$A1000,0)&amp;":"&amp;"AF"&amp;MATCH(E710,'Class Jobs'!$A$1:$A1000,0)&amp;"")-$Z710),SIGN(INDIRECT("Class Jobs!B"&amp;MATCH(E710,'Class Jobs'!$A$1:A1000,0)&amp;":"&amp;"AF"&amp;MATCH(E710,'Class Jobs'!$A$1:$A1000,0)&amp;"")-$Z710),0)),0)),INDIRECT("Class Jobs!B"&amp;MATCH(E710,'Class Jobs'!$A$1:$A1000,0)&amp;":"&amp;"AF"&amp;MATCH(E710,'Class Jobs'!$A$1:$A1000,1)&amp;""),'Class Jobs'!$B$1:$AF$1)</f>
        <v>#REF!</v>
      </c>
      <c r="Z710" s="158">
        <f t="shared" si="41"/>
        <v>0.43</v>
      </c>
      <c r="AA710" s="16" t="str">
        <f t="array" ref="AA710">INDEX(NPCGender,TRUNC(1+(COUNTA(NPCGender))*(TRUNC(MOD(($B710*1103515245 +12345)/ 65536, 32768),0)/32768),0))</f>
        <v>Female</v>
      </c>
      <c r="AB710" s="16" t="str">
        <f t="array" ref="AB710">INDEX(NPCRace,TRUNC(1+(COUNTA(NPCRace))*(TRUNC(MOD(($B710*1103515245 +12345)/ 65536, 32768),0)/32768),0))</f>
        <v>Half-Elf</v>
      </c>
      <c r="AC710" s="16" t="str">
        <f t="array" ref="AC710">INDEX(NPCAL,TRUNC(1+(COUNTA(NPCAL))*(TRUNC(MOD(($B710*1103515245 +12345)/ 65536, 32768),0)/32768),0))</f>
        <v>NG</v>
      </c>
      <c r="AD710" s="72" t="str">
        <f ca="1">IFERROR(__xludf.DUMMYFUNCTION("if(V710&lt;15,QUERY(NPCVar!C:D,""Select D WHERE C = '""&amp;D710&amp;""'""),if((TRUNC(1+10)*(TRUNC(MOD((ROW(H710)*1103515245 +12345)/ 65536, 32768),0)/32768)/10) &gt; 0.85,INDEX(NPCFaction,TRUNC(1+(counta(NPCFaction)-1)*(TRUNC(MOD(($B710*1103515245 +12345)/ 65536, 3276"&amp;"8),0)/32768),0)),QUERY(NPCVar!C:D,""Select D WHERE C = '""&amp;D710&amp;""'"")))"),"Adventures Guild")</f>
        <v>Adventures Guild</v>
      </c>
      <c r="AE710" s="108" t="e">
        <f t="shared" ca="1" si="42"/>
        <v>#NAME?</v>
      </c>
      <c r="AF710" s="159">
        <f ca="1">IFERROR(__xludf.DUMMYFUNCTION("AE710*(V710 / QUERY(NPCVar!$K$2:$N$12, ""Select N WHERE K='""&amp;AB710&amp;""'""))*TRUNC(1+10)*(TRUNC(MOD(($B710*1103515245 +12345)/ 65536, 32768),0)/32768)"),0.388612060546874)</f>
        <v>0.38861206054687403</v>
      </c>
      <c r="AG710" s="16"/>
      <c r="AH710" s="77"/>
      <c r="AI710" s="114"/>
    </row>
    <row r="711" spans="1:35" ht="16.2">
      <c r="A711" s="53">
        <v>710</v>
      </c>
      <c r="B711" s="118">
        <f t="shared" si="48"/>
        <v>2.3275000000000001</v>
      </c>
      <c r="C711" s="72" t="str">
        <f t="array" ref="C711">INDEX(NPCFName,TRUNC(1+(COUNTA(NPCFName))*(TRUNC(MOD(($B711*1103515245 +12345)/ 65536, 32768),0)/32768),0))</f>
        <v>Miphates</v>
      </c>
      <c r="D711" s="16" t="str">
        <f t="array" ref="D711">INDEX(NPCLName,TRUNC(1+(COUNTA(NPCLName))*(TRUNC(MOD(($B711*1103515245 +12345)/ 65536, 32768),0)/32768),0))</f>
        <v>Ashcloud</v>
      </c>
      <c r="E711" s="16" t="str">
        <f t="array" ref="E711">INDEX(NPCClass,TRUNC(1+(COUNTA(NPCClass))*(TRUNC(MOD(($B711*1103515245 +12345)/ 65536, 32768),0)/32768),0))</f>
        <v>Druid</v>
      </c>
      <c r="F711" s="76">
        <v>1</v>
      </c>
      <c r="G711" s="153">
        <f ca="1">VLOOKUP($AB$2,'RF Mod'!$A$2:$G$12,2,FALSE)+VLOOKUP($AD$2,'RF Mod'!$I$2:$O$11,2,FALSE)+(TRUNC(6+(24-6)*(TRUNC(MOD(($Z711*1103515245 +12345)/ 65536, 32768),0)/32768),0))</f>
        <v>5</v>
      </c>
      <c r="H711" s="16">
        <f t="shared" ca="1" si="33"/>
        <v>-3</v>
      </c>
      <c r="I711" s="153">
        <f ca="1">VLOOKUP($AB$2,'RF Mod'!$A$2:$G$12,3,FALSE)+VLOOKUP($AD$2,'RF Mod'!$I$2:$O$11,3,FALSE)+(TRUNC(6+(24-6)*(TRUNC(MOD(($Z711*1103515245 +12345)/ 65536, 32768),0)/32768),0))</f>
        <v>9</v>
      </c>
      <c r="J711" s="16">
        <f t="shared" ca="1" si="34"/>
        <v>-1</v>
      </c>
      <c r="K711" s="153">
        <f ca="1">VLOOKUP($AB$2,'RF Mod'!$A$2:$G$12,3,FALSE)+VLOOKUP($AD$2,'RF Mod'!$I$2:$O$11,3,FALSE)+(TRUNC(6+(24-6)*(TRUNC(MOD(($Z711*1103515245 +12345)/ 65536, 32768),0)/32768),0))</f>
        <v>9</v>
      </c>
      <c r="L711" s="16">
        <f t="shared" ca="1" si="35"/>
        <v>-1</v>
      </c>
      <c r="M711" s="153">
        <f ca="1">VLOOKUP($AB$2,'RF Mod'!$A$2:$G$12,4,FALSE)+VLOOKUP($AD$2,'RF Mod'!$I$2:$O$11,4,FALSE)+(TRUNC(6+(24-6)*(TRUNC(MOD(($Z711*1103515245 +12345)/ 65536, 32768),0)/32768),0))</f>
        <v>8</v>
      </c>
      <c r="N711" s="16">
        <f t="shared" ca="1" si="36"/>
        <v>-1</v>
      </c>
      <c r="O711" s="153">
        <f ca="1">VLOOKUP($AB$2,'RF Mod'!$A$2:$G$12,5,FALSE)+VLOOKUP($AD$2,'RF Mod'!$I$2:$O$11,5,FALSE)+(TRUNC(6+(24-6)*(TRUNC(MOD(($Z711*1103515245 +12345)/ 65536, 32768),0)/32768),0))</f>
        <v>11</v>
      </c>
      <c r="P711" s="16" t="e">
        <f t="shared" ca="1" si="37"/>
        <v>#NAME?</v>
      </c>
      <c r="Q711" s="153">
        <f ca="1">VLOOKUP($AB$2,'RF Mod'!$A$2:$G$12,6,FALSE)+VLOOKUP($AD$2,'RF Mod'!$I$2:$O$11,6,FALSE)+(TRUNC(6+(24-6)*(TRUNC(MOD(($Z711*1103515245 +12345)/ 65536, 32768),0)/32768),0))</f>
        <v>9</v>
      </c>
      <c r="R711" s="16">
        <f t="shared" ca="1" si="38"/>
        <v>-1</v>
      </c>
      <c r="S711" s="154">
        <f t="shared" ca="1" si="43"/>
        <v>11</v>
      </c>
      <c r="T711" s="154">
        <f t="shared" ca="1" si="39"/>
        <v>8</v>
      </c>
      <c r="U711" s="16" t="str">
        <f t="shared" ca="1" si="40"/>
        <v>Bloody</v>
      </c>
      <c r="V711" s="155">
        <f ca="1">IFERROR(__xludf.DUMMYFUNCTION("if(W711=""Middle Age"",QUERY(NPCVar!$K$2:$N1000, ""Select L where K = '""&amp;AB711&amp;""'""),if(W711=""Old"",QUERY(NPCVar!$K$2:$N1000, ""Select M where K = '""&amp;AB711&amp;""'""),if(W711=""Venerable"",QUERY(NPCVar!$K$2:$N1000, ""Select N where K = '""&amp;AB711&amp;""'""),fa"&amp;"lse)))*X711"),93.75)</f>
        <v>93.75</v>
      </c>
      <c r="W711" s="156" t="str">
        <f t="array" ref="W711">INDEX(NPCAgeType,TRUNC(1+(4-1)*(TRUNC(MOD((X711*1103515245 +12345)/ 65536, 32768),0)/32768),0))</f>
        <v>Middle Age</v>
      </c>
      <c r="X711" s="117">
        <f t="shared" si="45"/>
        <v>0.5</v>
      </c>
      <c r="Y711" s="157" t="e">
        <f t="array" aca="1" ref="Y711" ca="1">LOOKUP(ABS(MAX(Z711 + MIN(ABS(INDIRECT("Class Jobs!B"&amp;MATCH(E711,'Class Jobs'!$A$1:$A1000,0)&amp;":"&amp;"AF"&amp;MATCH(E711,'Class Jobs'!$A$1:$A1000,0)&amp;"")-$Z711)) * SUM(IF(MIN(ABS(INDIRECT("Class Jobs!B"&amp;MATCH(E711,'Class Jobs'!$A$1:$A1000,0)&amp;":"&amp;"AF"&amp;MATCH(E711,'Class Jobs'!$A$1:$A1000,0)&amp;"")-$Z711))=ABS(INDIRECT("Class Jobs!B"&amp;MATCH(E711,'Class Jobs'!$A$1:$A1000,0)&amp;":"&amp;"AF"&amp;MATCH(E711,'Class Jobs'!$A$1:$A1000,0)&amp;"")-$Z711),SIGN(INDIRECT("Class Jobs!B"&amp;MATCH(E711,'Class Jobs'!$A$1:A1000,0)&amp;":"&amp;"AF"&amp;MATCH(E711,'Class Jobs'!$A$1:$A1000,0)&amp;"")-$Z711),0)),0)),INDIRECT("Class Jobs!B"&amp;MATCH(E711,'Class Jobs'!$A$1:$A1000,0)&amp;":"&amp;"AF"&amp;MATCH(E711,'Class Jobs'!$A$1:$A1000,1)&amp;""),'Class Jobs'!$B$1:$AF$1)</f>
        <v>#REF!</v>
      </c>
      <c r="Z711" s="158">
        <f t="shared" si="41"/>
        <v>0.2</v>
      </c>
      <c r="AA711" s="16" t="str">
        <f t="array" ref="AA711">INDEX(NPCGender,TRUNC(1+(COUNTA(NPCGender))*(TRUNC(MOD(($B711*1103515245 +12345)/ 65536, 32768),0)/32768),0))</f>
        <v>Male</v>
      </c>
      <c r="AB711" s="16" t="str">
        <f t="array" ref="AB711">INDEX(NPCRace,TRUNC(1+(COUNTA(NPCRace))*(TRUNC(MOD(($B711*1103515245 +12345)/ 65536, 32768),0)/32768),0))</f>
        <v>Elf</v>
      </c>
      <c r="AC711" s="16" t="str">
        <f t="array" ref="AC711">INDEX(NPCAL,TRUNC(1+(COUNTA(NPCAL))*(TRUNC(MOD(($B711*1103515245 +12345)/ 65536, 32768),0)/32768),0))</f>
        <v>CE</v>
      </c>
      <c r="AD711" s="72" t="str">
        <f ca="1">IFERROR(__xludf.DUMMYFUNCTION("if(V711&lt;15,QUERY(NPCVar!C:D,""Select D WHERE C = '""&amp;D711&amp;""'""),if((TRUNC(1+10)*(TRUNC(MOD((ROW(H711)*1103515245 +12345)/ 65536, 32768),0)/32768)/10) &gt; 0.85,INDEX(NPCFaction,TRUNC(1+(counta(NPCFaction)-1)*(TRUNC(MOD(($B711*1103515245 +12345)/ 65536, 3276"&amp;"8),0)/32768),0)),QUERY(NPCVar!C:D,""Select D WHERE C = '""&amp;D711&amp;""'"")))"),"Magic Guild")</f>
        <v>Magic Guild</v>
      </c>
      <c r="AE711" s="108" t="e">
        <f t="shared" ca="1" si="42"/>
        <v>#NAME?</v>
      </c>
      <c r="AF711" s="159">
        <f ca="1">IFERROR(__xludf.DUMMYFUNCTION("AE711*(V711 / QUERY(NPCVar!$K$2:$N$12, ""Select N WHERE K='""&amp;AB711&amp;""'""))*TRUNC(1+10)*(TRUNC(MOD(($B711*1103515245 +12345)/ 65536, 32768),0)/32768)"),0.134759902954101)</f>
        <v>0.13475990295410101</v>
      </c>
      <c r="AG711" s="16"/>
      <c r="AH711" s="77"/>
      <c r="AI711" s="114"/>
    </row>
    <row r="712" spans="1:35" ht="16.2">
      <c r="A712" s="53">
        <v>711</v>
      </c>
      <c r="B712" s="118">
        <f t="shared" si="48"/>
        <v>1.3215600000000001</v>
      </c>
      <c r="C712" s="72" t="str">
        <f t="array" ref="C712">INDEX(NPCFName,TRUNC(1+(COUNTA(NPCFName))*(TRUNC(MOD(($B712*1103515245 +12345)/ 65536, 32768),0)/32768),0))</f>
        <v>Amerdan</v>
      </c>
      <c r="D712" s="16" t="str">
        <f t="array" ref="D712">INDEX(NPCLName,TRUNC(1+(COUNTA(NPCLName))*(TRUNC(MOD(($B712*1103515245 +12345)/ 65536, 32768),0)/32768),0))</f>
        <v>Emberhell</v>
      </c>
      <c r="E712" s="16" t="str">
        <f t="array" ref="E712">INDEX(NPCClass,TRUNC(1+(COUNTA(NPCClass))*(TRUNC(MOD(($B712*1103515245 +12345)/ 65536, 32768),0)/32768),0))</f>
        <v>None</v>
      </c>
      <c r="F712" s="76">
        <v>8</v>
      </c>
      <c r="G712" s="153">
        <f ca="1">VLOOKUP($AB$2,'RF Mod'!$A$2:$G$12,2,FALSE)+VLOOKUP($AD$2,'RF Mod'!$I$2:$O$11,2,FALSE)+(TRUNC(6+(24-6)*(TRUNC(MOD(($Z712*1103515245 +12345)/ 65536, 32768),0)/32768),0))</f>
        <v>10</v>
      </c>
      <c r="H712" s="16" t="e">
        <f t="shared" ca="1" si="33"/>
        <v>#NAME?</v>
      </c>
      <c r="I712" s="153">
        <f ca="1">VLOOKUP($AB$2,'RF Mod'!$A$2:$G$12,3,FALSE)+VLOOKUP($AD$2,'RF Mod'!$I$2:$O$11,3,FALSE)+(TRUNC(6+(24-6)*(TRUNC(MOD(($Z712*1103515245 +12345)/ 65536, 32768),0)/32768),0))</f>
        <v>14</v>
      </c>
      <c r="J712" s="16" t="e">
        <f t="shared" ca="1" si="34"/>
        <v>#NAME?</v>
      </c>
      <c r="K712" s="153">
        <f ca="1">VLOOKUP($AB$2,'RF Mod'!$A$2:$G$12,3,FALSE)+VLOOKUP($AD$2,'RF Mod'!$I$2:$O$11,3,FALSE)+(TRUNC(6+(24-6)*(TRUNC(MOD(($Z712*1103515245 +12345)/ 65536, 32768),0)/32768),0))</f>
        <v>14</v>
      </c>
      <c r="L712" s="16" t="e">
        <f t="shared" ca="1" si="35"/>
        <v>#NAME?</v>
      </c>
      <c r="M712" s="153">
        <f ca="1">VLOOKUP($AB$2,'RF Mod'!$A$2:$G$12,4,FALSE)+VLOOKUP($AD$2,'RF Mod'!$I$2:$O$11,4,FALSE)+(TRUNC(6+(24-6)*(TRUNC(MOD(($Z712*1103515245 +12345)/ 65536, 32768),0)/32768),0))</f>
        <v>13</v>
      </c>
      <c r="N712" s="16" t="e">
        <f t="shared" ca="1" si="36"/>
        <v>#NAME?</v>
      </c>
      <c r="O712" s="153">
        <f ca="1">VLOOKUP($AB$2,'RF Mod'!$A$2:$G$12,5,FALSE)+VLOOKUP($AD$2,'RF Mod'!$I$2:$O$11,5,FALSE)+(TRUNC(6+(24-6)*(TRUNC(MOD(($Z712*1103515245 +12345)/ 65536, 32768),0)/32768),0))</f>
        <v>16</v>
      </c>
      <c r="P712" s="16" t="e">
        <f t="shared" ca="1" si="37"/>
        <v>#NAME?</v>
      </c>
      <c r="Q712" s="153">
        <f ca="1">VLOOKUP($AB$2,'RF Mod'!$A$2:$G$12,6,FALSE)+VLOOKUP($AD$2,'RF Mod'!$I$2:$O$11,6,FALSE)+(TRUNC(6+(24-6)*(TRUNC(MOD(($Z712*1103515245 +12345)/ 65536, 32768),0)/32768),0))</f>
        <v>14</v>
      </c>
      <c r="R712" s="16" t="e">
        <f t="shared" ca="1" si="38"/>
        <v>#NAME?</v>
      </c>
      <c r="S712" s="154">
        <f t="shared" ca="1" si="43"/>
        <v>160</v>
      </c>
      <c r="T712" s="154">
        <f t="shared" ca="1" si="39"/>
        <v>72</v>
      </c>
      <c r="U712" s="16" t="str">
        <f t="shared" ca="1" si="40"/>
        <v>Fine</v>
      </c>
      <c r="V712" s="155">
        <f ca="1">IFERROR(__xludf.DUMMYFUNCTION("if(W712=""Middle Age"",QUERY(NPCVar!$K$2:$N1000, ""Select L where K = '""&amp;AB712&amp;""'""),if(W712=""Old"",QUERY(NPCVar!$K$2:$N1000, ""Select M where K = '""&amp;AB712&amp;""'""),if(W712=""Venerable"",QUERY(NPCVar!$K$2:$N1000, ""Select N where K = '""&amp;AB712&amp;""'""),fa"&amp;"lse)))*X712"),153)</f>
        <v>153</v>
      </c>
      <c r="W712" s="156" t="str">
        <f t="array" ref="W712">INDEX(NPCAgeType,TRUNC(1+(4-1)*(TRUNC(MOD((X712*1103515245 +12345)/ 65536, 32768),0)/32768),0))</f>
        <v>Venerable</v>
      </c>
      <c r="X712" s="117">
        <f t="shared" si="45"/>
        <v>1.7</v>
      </c>
      <c r="Y712" s="157" t="e">
        <f t="array" aca="1" ref="Y712" ca="1">LOOKUP(ABS(MAX(Z712 + MIN(ABS(INDIRECT("Class Jobs!B"&amp;MATCH(E712,'Class Jobs'!$A$1:$A1000,0)&amp;":"&amp;"AF"&amp;MATCH(E712,'Class Jobs'!$A$1:$A1000,0)&amp;"")-$Z712)) * SUM(IF(MIN(ABS(INDIRECT("Class Jobs!B"&amp;MATCH(E712,'Class Jobs'!$A$1:$A1000,0)&amp;":"&amp;"AF"&amp;MATCH(E712,'Class Jobs'!$A$1:$A1000,0)&amp;"")-$Z712))=ABS(INDIRECT("Class Jobs!B"&amp;MATCH(E712,'Class Jobs'!$A$1:$A1000,0)&amp;":"&amp;"AF"&amp;MATCH(E712,'Class Jobs'!$A$1:$A1000,0)&amp;"")-$Z712),SIGN(INDIRECT("Class Jobs!B"&amp;MATCH(E712,'Class Jobs'!$A$1:A1000,0)&amp;":"&amp;"AF"&amp;MATCH(E712,'Class Jobs'!$A$1:$A1000,0)&amp;"")-$Z712),0)),0)),INDIRECT("Class Jobs!B"&amp;MATCH(E712,'Class Jobs'!$A$1:$A1000,0)&amp;":"&amp;"AF"&amp;MATCH(E712,'Class Jobs'!$A$1:$A1000,1)&amp;""),'Class Jobs'!$B$1:$AF$1)</f>
        <v>#REF!</v>
      </c>
      <c r="Z712" s="158">
        <f t="shared" si="41"/>
        <v>0.68</v>
      </c>
      <c r="AA712" s="16" t="str">
        <f t="array" ref="AA712">INDEX(NPCGender,TRUNC(1+(COUNTA(NPCGender))*(TRUNC(MOD(($B712*1103515245 +12345)/ 65536, 32768),0)/32768),0))</f>
        <v>Neutral</v>
      </c>
      <c r="AB712" s="16" t="str">
        <f t="array" ref="AB712">INDEX(NPCRace,TRUNC(1+(COUNTA(NPCRace))*(TRUNC(MOD(($B712*1103515245 +12345)/ 65536, 32768),0)/32768),0))</f>
        <v>Human</v>
      </c>
      <c r="AC712" s="16" t="str">
        <f t="array" ref="AC712">INDEX(NPCAL,TRUNC(1+(COUNTA(NPCAL))*(TRUNC(MOD(($B712*1103515245 +12345)/ 65536, 32768),0)/32768),0))</f>
        <v>LG</v>
      </c>
      <c r="AD712" s="72" t="str">
        <f ca="1">IFERROR(__xludf.DUMMYFUNCTION("if(V712&lt;15,QUERY(NPCVar!C:D,""Select D WHERE C = '""&amp;D712&amp;""'""),if((TRUNC(1+10)*(TRUNC(MOD((ROW(H712)*1103515245 +12345)/ 65536, 32768),0)/32768)/10) &gt; 0.85,INDEX(NPCFaction,TRUNC(1+(counta(NPCFaction)-1)*(TRUNC(MOD(($B712*1103515245 +12345)/ 65536, 3276"&amp;"8),0)/32768),0)),QUERY(NPCVar!C:D,""Select D WHERE C = '""&amp;D712&amp;""'"")))"),"Magic Guild")</f>
        <v>Magic Guild</v>
      </c>
      <c r="AE712" s="108" t="e">
        <f t="shared" ca="1" si="42"/>
        <v>#NAME?</v>
      </c>
      <c r="AF712" s="159">
        <f ca="1">IFERROR(__xludf.DUMMYFUNCTION("AE712*(V712 / QUERY(NPCVar!$K$2:$N$12, ""Select N WHERE K='""&amp;AB712&amp;""'""))*TRUNC(1+10)*(TRUNC(MOD(($B712*1103515245 +12345)/ 65536, 32768),0)/32768)"),6.34965667724609)</f>
        <v>6.3496566772460898</v>
      </c>
      <c r="AG712" s="16"/>
      <c r="AH712" s="77"/>
      <c r="AI712" s="114"/>
    </row>
    <row r="713" spans="1:35" ht="16.2">
      <c r="A713" s="53">
        <v>712</v>
      </c>
      <c r="B713" s="118">
        <f t="shared" si="48"/>
        <v>0.31570999999999999</v>
      </c>
      <c r="C713" s="72" t="str">
        <f t="array" ref="C713">INDEX(NPCFName,TRUNC(1+(COUNTA(NPCFName))*(TRUNC(MOD(($B713*1103515245 +12345)/ 65536, 32768),0)/32768),0))</f>
        <v>Kiden</v>
      </c>
      <c r="D713" s="16" t="str">
        <f t="array" ref="D713">INDEX(NPCLName,TRUNC(1+(COUNTA(NPCLName))*(TRUNC(MOD(($B713*1103515245 +12345)/ 65536, 32768),0)/32768),0))</f>
        <v>Fistwing</v>
      </c>
      <c r="E713" s="16" t="str">
        <f t="array" ref="E713">INDEX(NPCClass,TRUNC(1+(COUNTA(NPCClass))*(TRUNC(MOD(($B713*1103515245 +12345)/ 65536, 32768),0)/32768),0))</f>
        <v>Bard</v>
      </c>
      <c r="F713" s="76">
        <v>1</v>
      </c>
      <c r="G713" s="153">
        <f ca="1">VLOOKUP($AB$2,'RF Mod'!$A$2:$G$12,2,FALSE)+VLOOKUP($AD$2,'RF Mod'!$I$2:$O$11,2,FALSE)+(TRUNC(6+(24-6)*(TRUNC(MOD(($Z713*1103515245 +12345)/ 65536, 32768),0)/32768),0))</f>
        <v>5</v>
      </c>
      <c r="H713" s="16">
        <f t="shared" ca="1" si="33"/>
        <v>-3</v>
      </c>
      <c r="I713" s="153">
        <f ca="1">VLOOKUP($AB$2,'RF Mod'!$A$2:$G$12,3,FALSE)+VLOOKUP($AD$2,'RF Mod'!$I$2:$O$11,3,FALSE)+(TRUNC(6+(24-6)*(TRUNC(MOD(($Z713*1103515245 +12345)/ 65536, 32768),0)/32768),0))</f>
        <v>9</v>
      </c>
      <c r="J713" s="16">
        <f t="shared" ca="1" si="34"/>
        <v>-1</v>
      </c>
      <c r="K713" s="153">
        <f ca="1">VLOOKUP($AB$2,'RF Mod'!$A$2:$G$12,3,FALSE)+VLOOKUP($AD$2,'RF Mod'!$I$2:$O$11,3,FALSE)+(TRUNC(6+(24-6)*(TRUNC(MOD(($Z713*1103515245 +12345)/ 65536, 32768),0)/32768),0))</f>
        <v>9</v>
      </c>
      <c r="L713" s="16">
        <f t="shared" ca="1" si="35"/>
        <v>-1</v>
      </c>
      <c r="M713" s="153">
        <f ca="1">VLOOKUP($AB$2,'RF Mod'!$A$2:$G$12,4,FALSE)+VLOOKUP($AD$2,'RF Mod'!$I$2:$O$11,4,FALSE)+(TRUNC(6+(24-6)*(TRUNC(MOD(($Z713*1103515245 +12345)/ 65536, 32768),0)/32768),0))</f>
        <v>8</v>
      </c>
      <c r="N713" s="16">
        <f t="shared" ca="1" si="36"/>
        <v>-1</v>
      </c>
      <c r="O713" s="153">
        <f ca="1">VLOOKUP($AB$2,'RF Mod'!$A$2:$G$12,5,FALSE)+VLOOKUP($AD$2,'RF Mod'!$I$2:$O$11,5,FALSE)+(TRUNC(6+(24-6)*(TRUNC(MOD(($Z713*1103515245 +12345)/ 65536, 32768),0)/32768),0))</f>
        <v>11</v>
      </c>
      <c r="P713" s="16" t="e">
        <f t="shared" ca="1" si="37"/>
        <v>#NAME?</v>
      </c>
      <c r="Q713" s="153">
        <f ca="1">VLOOKUP($AB$2,'RF Mod'!$A$2:$G$12,6,FALSE)+VLOOKUP($AD$2,'RF Mod'!$I$2:$O$11,6,FALSE)+(TRUNC(6+(24-6)*(TRUNC(MOD(($Z713*1103515245 +12345)/ 65536, 32768),0)/32768),0))</f>
        <v>9</v>
      </c>
      <c r="R713" s="16">
        <f t="shared" ca="1" si="38"/>
        <v>-1</v>
      </c>
      <c r="S713" s="154">
        <f t="shared" ca="1" si="43"/>
        <v>11</v>
      </c>
      <c r="T713" s="154">
        <f t="shared" ca="1" si="39"/>
        <v>13</v>
      </c>
      <c r="U713" s="16" t="str">
        <f t="shared" ca="1" si="40"/>
        <v>Dead</v>
      </c>
      <c r="V713" s="155">
        <f ca="1">IFERROR(__xludf.DUMMYFUNCTION("if(W713=""Middle Age"",QUERY(NPCVar!$K$2:$N1000, ""Select L where K = '""&amp;AB713&amp;""'""),if(W713=""Old"",QUERY(NPCVar!$K$2:$N1000, ""Select M where K = '""&amp;AB713&amp;""'""),if(W713=""Venerable"",QUERY(NPCVar!$K$2:$N1000, ""Select N where K = '""&amp;AB713&amp;""'""),fa"&amp;"lse)))*X713"),32)</f>
        <v>32</v>
      </c>
      <c r="W713" s="156" t="str">
        <f t="array" ref="W713">INDEX(NPCAgeType,TRUNC(1+(4-1)*(TRUNC(MOD((X713*1103515245 +12345)/ 65536, 32768),0)/32768),0))</f>
        <v>Middle Age</v>
      </c>
      <c r="X713" s="117">
        <f t="shared" si="45"/>
        <v>0.4</v>
      </c>
      <c r="Y713" s="157" t="e">
        <f t="array" aca="1" ref="Y713" ca="1">LOOKUP(ABS(MAX(Z713 + MIN(ABS(INDIRECT("Class Jobs!B"&amp;MATCH(E713,'Class Jobs'!$A$1:$A1000,0)&amp;":"&amp;"AF"&amp;MATCH(E713,'Class Jobs'!$A$1:$A1000,0)&amp;"")-$Z713)) * SUM(IF(MIN(ABS(INDIRECT("Class Jobs!B"&amp;MATCH(E713,'Class Jobs'!$A$1:$A1000,0)&amp;":"&amp;"AF"&amp;MATCH(E713,'Class Jobs'!$A$1:$A1000,0)&amp;"")-$Z713))=ABS(INDIRECT("Class Jobs!B"&amp;MATCH(E713,'Class Jobs'!$A$1:$A1000,0)&amp;":"&amp;"AF"&amp;MATCH(E713,'Class Jobs'!$A$1:$A1000,0)&amp;"")-$Z713),SIGN(INDIRECT("Class Jobs!B"&amp;MATCH(E713,'Class Jobs'!$A$1:A1000,0)&amp;":"&amp;"AF"&amp;MATCH(E713,'Class Jobs'!$A$1:$A1000,0)&amp;"")-$Z713),0)),0)),INDIRECT("Class Jobs!B"&amp;MATCH(E713,'Class Jobs'!$A$1:$A1000,0)&amp;":"&amp;"AF"&amp;MATCH(E713,'Class Jobs'!$A$1:$A1000,1)&amp;""),'Class Jobs'!$B$1:$AF$1)</f>
        <v>#REF!</v>
      </c>
      <c r="Z713" s="158">
        <f t="shared" si="41"/>
        <v>0.17</v>
      </c>
      <c r="AA713" s="16" t="str">
        <f t="array" ref="AA713">INDEX(NPCGender,TRUNC(1+(COUNTA(NPCGender))*(TRUNC(MOD(($B713*1103515245 +12345)/ 65536, 32768),0)/32768),0))</f>
        <v>Male</v>
      </c>
      <c r="AB713" s="16" t="str">
        <f t="array" ref="AB713">INDEX(NPCRace,TRUNC(1+(COUNTA(NPCRace))*(TRUNC(MOD(($B713*1103515245 +12345)/ 65536, 32768),0)/32768),0))</f>
        <v>Dwarf</v>
      </c>
      <c r="AC713" s="16" t="str">
        <f t="array" ref="AC713">INDEX(NPCAL,TRUNC(1+(COUNTA(NPCAL))*(TRUNC(MOD(($B713*1103515245 +12345)/ 65536, 32768),0)/32768),0))</f>
        <v>CE</v>
      </c>
      <c r="AD713" s="72" t="str">
        <f ca="1">IFERROR(__xludf.DUMMYFUNCTION("if(V713&lt;15,QUERY(NPCVar!C:D,""Select D WHERE C = '""&amp;D713&amp;""'""),if((TRUNC(1+10)*(TRUNC(MOD((ROW(H713)*1103515245 +12345)/ 65536, 32768),0)/32768)/10) &gt; 0.85,INDEX(NPCFaction,TRUNC(1+(counta(NPCFaction)-1)*(TRUNC(MOD(($B713*1103515245 +12345)/ 65536, 3276"&amp;"8),0)/32768),0)),QUERY(NPCVar!C:D,""Select D WHERE C = '""&amp;D713&amp;""'"")))"),"Royalty")</f>
        <v>Royalty</v>
      </c>
      <c r="AE713" s="108" t="e">
        <f t="shared" ca="1" si="42"/>
        <v>#NAME?</v>
      </c>
      <c r="AF713" s="159">
        <f ca="1">IFERROR(__xludf.DUMMYFUNCTION("AE713*(V713 / QUERY(NPCVar!$K$2:$N$12, ""Select N WHERE K='""&amp;AB713&amp;""'""))*TRUNC(1+10)*(TRUNC(MOD(($B713*1103515245 +12345)/ 65536, 32768),0)/32768)"),0.089227294921875)</f>
        <v>8.9227294921875006E-2</v>
      </c>
      <c r="AG713" s="16"/>
      <c r="AH713" s="77"/>
      <c r="AI713" s="114"/>
    </row>
    <row r="714" spans="1:35" ht="16.2">
      <c r="A714" s="53">
        <v>713</v>
      </c>
      <c r="B714" s="118">
        <f t="shared" si="48"/>
        <v>1.8098399999999999</v>
      </c>
      <c r="C714" s="72" t="str">
        <f t="array" ref="C714">INDEX(NPCFName,TRUNC(1+(COUNTA(NPCFName))*(TRUNC(MOD(($B714*1103515245 +12345)/ 65536, 32768),0)/32768),0))</f>
        <v>Seth</v>
      </c>
      <c r="D714" s="16" t="str">
        <f t="array" ref="D714">INDEX(NPCLName,TRUNC(1+(COUNTA(NPCLName))*(TRUNC(MOD(($B714*1103515245 +12345)/ 65536, 32768),0)/32768),0))</f>
        <v>Stormwolf</v>
      </c>
      <c r="E714" s="16" t="str">
        <f t="array" ref="E714">INDEX(NPCClass,TRUNC(1+(COUNTA(NPCClass))*(TRUNC(MOD(($B714*1103515245 +12345)/ 65536, 32768),0)/32768),0))</f>
        <v>Wizard</v>
      </c>
      <c r="F714" s="76">
        <v>8</v>
      </c>
      <c r="G714" s="153">
        <f ca="1">VLOOKUP($AB$2,'RF Mod'!$A$2:$G$12,2,FALSE)+VLOOKUP($AD$2,'RF Mod'!$I$2:$O$11,2,FALSE)+(TRUNC(6+(24-6)*(TRUNC(MOD(($Z714*1103515245 +12345)/ 65536, 32768),0)/32768),0))</f>
        <v>12</v>
      </c>
      <c r="H714" s="16" t="e">
        <f t="shared" ca="1" si="33"/>
        <v>#NAME?</v>
      </c>
      <c r="I714" s="153">
        <f ca="1">VLOOKUP($AB$2,'RF Mod'!$A$2:$G$12,3,FALSE)+VLOOKUP($AD$2,'RF Mod'!$I$2:$O$11,3,FALSE)+(TRUNC(6+(24-6)*(TRUNC(MOD(($Z714*1103515245 +12345)/ 65536, 32768),0)/32768),0))</f>
        <v>16</v>
      </c>
      <c r="J714" s="16" t="e">
        <f t="shared" ca="1" si="34"/>
        <v>#NAME?</v>
      </c>
      <c r="K714" s="153">
        <f ca="1">VLOOKUP($AB$2,'RF Mod'!$A$2:$G$12,3,FALSE)+VLOOKUP($AD$2,'RF Mod'!$I$2:$O$11,3,FALSE)+(TRUNC(6+(24-6)*(TRUNC(MOD(($Z714*1103515245 +12345)/ 65536, 32768),0)/32768),0))</f>
        <v>16</v>
      </c>
      <c r="L714" s="16" t="e">
        <f t="shared" ca="1" si="35"/>
        <v>#NAME?</v>
      </c>
      <c r="M714" s="153">
        <f ca="1">VLOOKUP($AB$2,'RF Mod'!$A$2:$G$12,4,FALSE)+VLOOKUP($AD$2,'RF Mod'!$I$2:$O$11,4,FALSE)+(TRUNC(6+(24-6)*(TRUNC(MOD(($Z714*1103515245 +12345)/ 65536, 32768),0)/32768),0))</f>
        <v>15</v>
      </c>
      <c r="N714" s="16" t="e">
        <f t="shared" ca="1" si="36"/>
        <v>#NAME?</v>
      </c>
      <c r="O714" s="153">
        <f ca="1">VLOOKUP($AB$2,'RF Mod'!$A$2:$G$12,5,FALSE)+VLOOKUP($AD$2,'RF Mod'!$I$2:$O$11,5,FALSE)+(TRUNC(6+(24-6)*(TRUNC(MOD(($Z714*1103515245 +12345)/ 65536, 32768),0)/32768),0))</f>
        <v>18</v>
      </c>
      <c r="P714" s="16" t="e">
        <f t="shared" ca="1" si="37"/>
        <v>#NAME?</v>
      </c>
      <c r="Q714" s="153">
        <f ca="1">VLOOKUP($AB$2,'RF Mod'!$A$2:$G$12,6,FALSE)+VLOOKUP($AD$2,'RF Mod'!$I$2:$O$11,6,FALSE)+(TRUNC(6+(24-6)*(TRUNC(MOD(($Z714*1103515245 +12345)/ 65536, 32768),0)/32768),0))</f>
        <v>16</v>
      </c>
      <c r="R714" s="16" t="e">
        <f t="shared" ca="1" si="38"/>
        <v>#NAME?</v>
      </c>
      <c r="S714" s="154">
        <f t="shared" ca="1" si="43"/>
        <v>208</v>
      </c>
      <c r="T714" s="154">
        <f t="shared" ca="1" si="39"/>
        <v>127</v>
      </c>
      <c r="U714" s="16" t="str">
        <f t="shared" ca="1" si="40"/>
        <v>Bloody</v>
      </c>
      <c r="V714" s="155">
        <f ca="1">IFERROR(__xludf.DUMMYFUNCTION("if(W714=""Middle Age"",QUERY(NPCVar!$K$2:$N1000, ""Select L where K = '""&amp;AB714&amp;""'""),if(W714=""Old"",QUERY(NPCVar!$K$2:$N1000, ""Select M where K = '""&amp;AB714&amp;""'""),if(W714=""Venerable"",QUERY(NPCVar!$K$2:$N1000, ""Select N where K = '""&amp;AB714&amp;""'""),fa"&amp;"lse)))*X714"),69)</f>
        <v>69</v>
      </c>
      <c r="W714" s="156" t="str">
        <f t="array" ref="W714">INDEX(NPCAgeType,TRUNC(1+(4-1)*(TRUNC(MOD((X714*1103515245 +12345)/ 65536, 32768),0)/32768),0))</f>
        <v>Middle Age</v>
      </c>
      <c r="X714" s="117">
        <f t="shared" si="45"/>
        <v>2.2999999999999998</v>
      </c>
      <c r="Y714" s="157" t="e">
        <f t="array" aca="1" ref="Y714" ca="1">LOOKUP(ABS(MAX(Z714 + MIN(ABS(INDIRECT("Class Jobs!B"&amp;MATCH(E714,'Class Jobs'!$A$1:$A1000,0)&amp;":"&amp;"AF"&amp;MATCH(E714,'Class Jobs'!$A$1:$A1000,0)&amp;"")-$Z714)) * SUM(IF(MIN(ABS(INDIRECT("Class Jobs!B"&amp;MATCH(E714,'Class Jobs'!$A$1:$A1000,0)&amp;":"&amp;"AF"&amp;MATCH(E714,'Class Jobs'!$A$1:$A1000,0)&amp;"")-$Z714))=ABS(INDIRECT("Class Jobs!B"&amp;MATCH(E714,'Class Jobs'!$A$1:$A1000,0)&amp;":"&amp;"AF"&amp;MATCH(E714,'Class Jobs'!$A$1:$A1000,0)&amp;"")-$Z714),SIGN(INDIRECT("Class Jobs!B"&amp;MATCH(E714,'Class Jobs'!$A$1:A1000,0)&amp;":"&amp;"AF"&amp;MATCH(E714,'Class Jobs'!$A$1:$A1000,0)&amp;"")-$Z714),0)),0)),INDIRECT("Class Jobs!B"&amp;MATCH(E714,'Class Jobs'!$A$1:$A1000,0)&amp;":"&amp;"AF"&amp;MATCH(E714,'Class Jobs'!$A$1:$A1000,1)&amp;""),'Class Jobs'!$B$1:$AF$1)</f>
        <v>#REF!</v>
      </c>
      <c r="Z714" s="158">
        <f t="shared" si="41"/>
        <v>0.93</v>
      </c>
      <c r="AA714" s="16" t="str">
        <f t="array" ref="AA714">INDEX(NPCGender,TRUNC(1+(COUNTA(NPCGender))*(TRUNC(MOD(($B714*1103515245 +12345)/ 65536, 32768),0)/32768),0))</f>
        <v>Neutral</v>
      </c>
      <c r="AB714" s="16" t="str">
        <f t="array" ref="AB714">INDEX(NPCRace,TRUNC(1+(COUNTA(NPCRace))*(TRUNC(MOD(($B714*1103515245 +12345)/ 65536, 32768),0)/32768),0))</f>
        <v>Goliath</v>
      </c>
      <c r="AC714" s="16" t="str">
        <f t="array" ref="AC714">INDEX(NPCAL,TRUNC(1+(COUNTA(NPCAL))*(TRUNC(MOD(($B714*1103515245 +12345)/ 65536, 32768),0)/32768),0))</f>
        <v>LE</v>
      </c>
      <c r="AD714" s="72" t="str">
        <f ca="1">IFERROR(__xludf.DUMMYFUNCTION("if(V714&lt;15,QUERY(NPCVar!C:D,""Select D WHERE C = '""&amp;D714&amp;""'""),if((TRUNC(1+10)*(TRUNC(MOD((ROW(H714)*1103515245 +12345)/ 65536, 32768),0)/32768)/10) &gt; 0.85,INDEX(NPCFaction,TRUNC(1+(counta(NPCFaction)-1)*(TRUNC(MOD(($B714*1103515245 +12345)/ 65536, 3276"&amp;"8),0)/32768),0)),QUERY(NPCVar!C:D,""Select D WHERE C = '""&amp;D714&amp;""'"")))"),"Traverlers Guild")</f>
        <v>Traverlers Guild</v>
      </c>
      <c r="AE714" s="108" t="e">
        <f t="shared" ca="1" si="42"/>
        <v>#NAME?</v>
      </c>
      <c r="AF714" s="159">
        <f ca="1">IFERROR(__xludf.DUMMYFUNCTION("AE714*(V714 / QUERY(NPCVar!$K$2:$N$12, ""Select N WHERE K='""&amp;AB714&amp;""'""))*TRUNC(1+10)*(TRUNC(MOD(($B714*1103515245 +12345)/ 65536, 32768),0)/32768)"),2.9411018371582)</f>
        <v>2.9411018371581998</v>
      </c>
      <c r="AG714" s="16"/>
      <c r="AH714" s="77"/>
      <c r="AI714" s="114"/>
    </row>
    <row r="715" spans="1:35" ht="16.2">
      <c r="A715" s="53">
        <v>714</v>
      </c>
      <c r="B715" s="118">
        <f t="shared" si="48"/>
        <v>0.80398999999999998</v>
      </c>
      <c r="C715" s="72" t="str">
        <f t="array" ref="C715">INDEX(NPCFName,TRUNC(1+(COUNTA(NPCFName))*(TRUNC(MOD(($B715*1103515245 +12345)/ 65536, 32768),0)/32768),0))</f>
        <v>Drandon</v>
      </c>
      <c r="D715" s="16" t="str">
        <f t="array" ref="D715">INDEX(NPCLName,TRUNC(1+(COUNTA(NPCLName))*(TRUNC(MOD(($B715*1103515245 +12345)/ 65536, 32768),0)/32768),0))</f>
        <v>Windshade</v>
      </c>
      <c r="E715" s="16" t="str">
        <f t="array" ref="E715">INDEX(NPCClass,TRUNC(1+(COUNTA(NPCClass))*(TRUNC(MOD(($B715*1103515245 +12345)/ 65536, 32768),0)/32768),0))</f>
        <v>Paladin</v>
      </c>
      <c r="F715" s="76">
        <v>6</v>
      </c>
      <c r="G715" s="153">
        <f ca="1">VLOOKUP($AB$2,'RF Mod'!$A$2:$G$12,2,FALSE)+VLOOKUP($AD$2,'RF Mod'!$I$2:$O$11,2,FALSE)+(TRUNC(6+(24-6)*(TRUNC(MOD(($Z715*1103515245 +12345)/ 65536, 32768),0)/32768),0))</f>
        <v>7</v>
      </c>
      <c r="H715" s="16">
        <f t="shared" ca="1" si="33"/>
        <v>-2</v>
      </c>
      <c r="I715" s="153">
        <f ca="1">VLOOKUP($AB$2,'RF Mod'!$A$2:$G$12,3,FALSE)+VLOOKUP($AD$2,'RF Mod'!$I$2:$O$11,3,FALSE)+(TRUNC(6+(24-6)*(TRUNC(MOD(($Z715*1103515245 +12345)/ 65536, 32768),0)/32768),0))</f>
        <v>11</v>
      </c>
      <c r="J715" s="16" t="e">
        <f t="shared" ca="1" si="34"/>
        <v>#NAME?</v>
      </c>
      <c r="K715" s="153">
        <f ca="1">VLOOKUP($AB$2,'RF Mod'!$A$2:$G$12,3,FALSE)+VLOOKUP($AD$2,'RF Mod'!$I$2:$O$11,3,FALSE)+(TRUNC(6+(24-6)*(TRUNC(MOD(($Z715*1103515245 +12345)/ 65536, 32768),0)/32768),0))</f>
        <v>11</v>
      </c>
      <c r="L715" s="16" t="e">
        <f t="shared" ca="1" si="35"/>
        <v>#NAME?</v>
      </c>
      <c r="M715" s="153">
        <f ca="1">VLOOKUP($AB$2,'RF Mod'!$A$2:$G$12,4,FALSE)+VLOOKUP($AD$2,'RF Mod'!$I$2:$O$11,4,FALSE)+(TRUNC(6+(24-6)*(TRUNC(MOD(($Z715*1103515245 +12345)/ 65536, 32768),0)/32768),0))</f>
        <v>10</v>
      </c>
      <c r="N715" s="16" t="e">
        <f t="shared" ca="1" si="36"/>
        <v>#NAME?</v>
      </c>
      <c r="O715" s="153">
        <f ca="1">VLOOKUP($AB$2,'RF Mod'!$A$2:$G$12,5,FALSE)+VLOOKUP($AD$2,'RF Mod'!$I$2:$O$11,5,FALSE)+(TRUNC(6+(24-6)*(TRUNC(MOD(($Z715*1103515245 +12345)/ 65536, 32768),0)/32768),0))</f>
        <v>13</v>
      </c>
      <c r="P715" s="16" t="e">
        <f t="shared" ca="1" si="37"/>
        <v>#NAME?</v>
      </c>
      <c r="Q715" s="153">
        <f ca="1">VLOOKUP($AB$2,'RF Mod'!$A$2:$G$12,6,FALSE)+VLOOKUP($AD$2,'RF Mod'!$I$2:$O$11,6,FALSE)+(TRUNC(6+(24-6)*(TRUNC(MOD(($Z715*1103515245 +12345)/ 65536, 32768),0)/32768),0))</f>
        <v>11</v>
      </c>
      <c r="R715" s="16" t="e">
        <f t="shared" ca="1" si="38"/>
        <v>#NAME?</v>
      </c>
      <c r="S715" s="154">
        <f t="shared" ca="1" si="43"/>
        <v>150</v>
      </c>
      <c r="T715" s="154">
        <f t="shared" ca="1" si="39"/>
        <v>25</v>
      </c>
      <c r="U715" s="16" t="str">
        <f t="shared" ca="1" si="40"/>
        <v>Fine</v>
      </c>
      <c r="V715" s="155">
        <f ca="1">IFERROR(__xludf.DUMMYFUNCTION("if(W715=""Middle Age"",QUERY(NPCVar!$K$2:$N1000, ""Select L where K = '""&amp;AB715&amp;""'""),if(W715=""Old"",QUERY(NPCVar!$K$2:$N1000, ""Select M where K = '""&amp;AB715&amp;""'""),if(W715=""Venerable"",QUERY(NPCVar!$K$2:$N1000, ""Select N where K = '""&amp;AB715&amp;""'""),fa"&amp;"lse)))*X715"),67.5)</f>
        <v>67.5</v>
      </c>
      <c r="W715" s="156" t="str">
        <f t="array" ref="W715">INDEX(NPCAgeType,TRUNC(1+(4-1)*(TRUNC(MOD((X715*1103515245 +12345)/ 65536, 32768),0)/32768),0))</f>
        <v>Old</v>
      </c>
      <c r="X715" s="117">
        <f t="shared" si="45"/>
        <v>1</v>
      </c>
      <c r="Y715" s="157" t="e">
        <f t="array" aca="1" ref="Y715" ca="1">LOOKUP(ABS(MAX(Z715 + MIN(ABS(INDIRECT("Class Jobs!B"&amp;MATCH(E715,'Class Jobs'!$A$1:$A1000,0)&amp;":"&amp;"AF"&amp;MATCH(E715,'Class Jobs'!$A$1:$A1000,0)&amp;"")-$Z715)) * SUM(IF(MIN(ABS(INDIRECT("Class Jobs!B"&amp;MATCH(E715,'Class Jobs'!$A$1:$A1000,0)&amp;":"&amp;"AF"&amp;MATCH(E715,'Class Jobs'!$A$1:$A1000,0)&amp;"")-$Z715))=ABS(INDIRECT("Class Jobs!B"&amp;MATCH(E715,'Class Jobs'!$A$1:$A1000,0)&amp;":"&amp;"AF"&amp;MATCH(E715,'Class Jobs'!$A$1:$A1000,0)&amp;"")-$Z715),SIGN(INDIRECT("Class Jobs!B"&amp;MATCH(E715,'Class Jobs'!$A$1:A1000,0)&amp;":"&amp;"AF"&amp;MATCH(E715,'Class Jobs'!$A$1:$A1000,0)&amp;"")-$Z715),0)),0)),INDIRECT("Class Jobs!B"&amp;MATCH(E715,'Class Jobs'!$A$1:$A1000,0)&amp;":"&amp;"AF"&amp;MATCH(E715,'Class Jobs'!$A$1:$A1000,1)&amp;""),'Class Jobs'!$B$1:$AF$1)</f>
        <v>#REF!</v>
      </c>
      <c r="Z715" s="158">
        <f t="shared" si="41"/>
        <v>0.41</v>
      </c>
      <c r="AA715" s="16" t="str">
        <f t="array" ref="AA715">INDEX(NPCGender,TRUNC(1+(COUNTA(NPCGender))*(TRUNC(MOD(($B715*1103515245 +12345)/ 65536, 32768),0)/32768),0))</f>
        <v>Female</v>
      </c>
      <c r="AB715" s="16" t="str">
        <f t="array" ref="AB715">INDEX(NPCRace,TRUNC(1+(COUNTA(NPCRace))*(TRUNC(MOD(($B715*1103515245 +12345)/ 65536, 32768),0)/32768),0))</f>
        <v>Half-Elf</v>
      </c>
      <c r="AC715" s="16" t="str">
        <f t="array" ref="AC715">INDEX(NPCAL,TRUNC(1+(COUNTA(NPCAL))*(TRUNC(MOD(($B715*1103515245 +12345)/ 65536, 32768),0)/32768),0))</f>
        <v>NG</v>
      </c>
      <c r="AD715" s="72" t="str">
        <f ca="1">IFERROR(__xludf.DUMMYFUNCTION("if(V715&lt;15,QUERY(NPCVar!C:D,""Select D WHERE C = '""&amp;D715&amp;""'""),if((TRUNC(1+10)*(TRUNC(MOD((ROW(H715)*1103515245 +12345)/ 65536, 32768),0)/32768)/10) &gt; 0.85,INDEX(NPCFaction,TRUNC(1+(counta(NPCFaction)-1)*(TRUNC(MOD(($B715*1103515245 +12345)/ 65536, 3276"&amp;"8),0)/32768),0)),QUERY(NPCVar!C:D,""Select D WHERE C = '""&amp;D715&amp;""'"")))"),"Traders Guild")</f>
        <v>Traders Guild</v>
      </c>
      <c r="AE715" s="108" t="e">
        <f t="shared" ca="1" si="42"/>
        <v>#NAME?</v>
      </c>
      <c r="AF715" s="159">
        <f ca="1">IFERROR(__xludf.DUMMYFUNCTION("AE715*(V715 / QUERY(NPCVar!$K$2:$N$12, ""Select N WHERE K='""&amp;AB715&amp;""'""))*TRUNC(1+10)*(TRUNC(MOD(($B715*1103515245 +12345)/ 65536, 32768),0)/32768)"),1.36338500976562)</f>
        <v>1.3633850097656199</v>
      </c>
      <c r="AG715" s="16"/>
      <c r="AH715" s="77"/>
      <c r="AI715" s="114"/>
    </row>
    <row r="716" spans="1:35" ht="16.2">
      <c r="A716" s="53">
        <v>715</v>
      </c>
      <c r="B716" s="118">
        <f t="shared" si="48"/>
        <v>2.2981199999999999</v>
      </c>
      <c r="C716" s="72" t="str">
        <f t="array" ref="C716">INDEX(NPCFName,TRUNC(1+(COUNTA(NPCFName))*(TRUNC(MOD(($B716*1103515245 +12345)/ 65536, 32768),0)/32768),0))</f>
        <v>Ma</v>
      </c>
      <c r="D716" s="16" t="str">
        <f t="array" ref="D716">INDEX(NPCLName,TRUNC(1+(COUNTA(NPCLName))*(TRUNC(MOD(($B716*1103515245 +12345)/ 65536, 32768),0)/32768),0))</f>
        <v>Ashcloud</v>
      </c>
      <c r="E716" s="16" t="str">
        <f t="array" ref="E716">INDEX(NPCClass,TRUNC(1+(COUNTA(NPCClass))*(TRUNC(MOD(($B716*1103515245 +12345)/ 65536, 32768),0)/32768),0))</f>
        <v>Druid</v>
      </c>
      <c r="F716" s="76">
        <v>1</v>
      </c>
      <c r="G716" s="153">
        <f ca="1">VLOOKUP($AB$2,'RF Mod'!$A$2:$G$12,2,FALSE)+VLOOKUP($AD$2,'RF Mod'!$I$2:$O$11,2,FALSE)+(TRUNC(6+(24-6)*(TRUNC(MOD(($Z716*1103515245 +12345)/ 65536, 32768),0)/32768),0))</f>
        <v>5</v>
      </c>
      <c r="H716" s="16">
        <f t="shared" ca="1" si="33"/>
        <v>-3</v>
      </c>
      <c r="I716" s="153">
        <f ca="1">VLOOKUP($AB$2,'RF Mod'!$A$2:$G$12,3,FALSE)+VLOOKUP($AD$2,'RF Mod'!$I$2:$O$11,3,FALSE)+(TRUNC(6+(24-6)*(TRUNC(MOD(($Z716*1103515245 +12345)/ 65536, 32768),0)/32768),0))</f>
        <v>9</v>
      </c>
      <c r="J716" s="16">
        <f t="shared" ca="1" si="34"/>
        <v>-1</v>
      </c>
      <c r="K716" s="153">
        <f ca="1">VLOOKUP($AB$2,'RF Mod'!$A$2:$G$12,3,FALSE)+VLOOKUP($AD$2,'RF Mod'!$I$2:$O$11,3,FALSE)+(TRUNC(6+(24-6)*(TRUNC(MOD(($Z716*1103515245 +12345)/ 65536, 32768),0)/32768),0))</f>
        <v>9</v>
      </c>
      <c r="L716" s="16">
        <f t="shared" ca="1" si="35"/>
        <v>-1</v>
      </c>
      <c r="M716" s="153">
        <f ca="1">VLOOKUP($AB$2,'RF Mod'!$A$2:$G$12,4,FALSE)+VLOOKUP($AD$2,'RF Mod'!$I$2:$O$11,4,FALSE)+(TRUNC(6+(24-6)*(TRUNC(MOD(($Z716*1103515245 +12345)/ 65536, 32768),0)/32768),0))</f>
        <v>8</v>
      </c>
      <c r="N716" s="16">
        <f t="shared" ca="1" si="36"/>
        <v>-1</v>
      </c>
      <c r="O716" s="153">
        <f ca="1">VLOOKUP($AB$2,'RF Mod'!$A$2:$G$12,5,FALSE)+VLOOKUP($AD$2,'RF Mod'!$I$2:$O$11,5,FALSE)+(TRUNC(6+(24-6)*(TRUNC(MOD(($Z716*1103515245 +12345)/ 65536, 32768),0)/32768),0))</f>
        <v>11</v>
      </c>
      <c r="P716" s="16" t="e">
        <f t="shared" ca="1" si="37"/>
        <v>#NAME?</v>
      </c>
      <c r="Q716" s="153">
        <f ca="1">VLOOKUP($AB$2,'RF Mod'!$A$2:$G$12,6,FALSE)+VLOOKUP($AD$2,'RF Mod'!$I$2:$O$11,6,FALSE)+(TRUNC(6+(24-6)*(TRUNC(MOD(($Z716*1103515245 +12345)/ 65536, 32768),0)/32768),0))</f>
        <v>9</v>
      </c>
      <c r="R716" s="16">
        <f t="shared" ca="1" si="38"/>
        <v>-1</v>
      </c>
      <c r="S716" s="154">
        <f t="shared" ca="1" si="43"/>
        <v>11</v>
      </c>
      <c r="T716" s="154">
        <f t="shared" ca="1" si="39"/>
        <v>1</v>
      </c>
      <c r="U716" s="16" t="str">
        <f t="shared" ca="1" si="40"/>
        <v>Fine</v>
      </c>
      <c r="V716" s="155">
        <f ca="1">IFERROR(__xludf.DUMMYFUNCTION("if(W716=""Middle Age"",QUERY(NPCVar!$K$2:$N1000, ""Select L where K = '""&amp;AB716&amp;""'""),if(W716=""Old"",QUERY(NPCVar!$K$2:$N1000, ""Select M where K = '""&amp;AB716&amp;""'""),if(W716=""Venerable"",QUERY(NPCVar!$K$2:$N1000, ""Select N where K = '""&amp;AB716&amp;""'""),fa"&amp;"lse)))*X716"),40)</f>
        <v>40</v>
      </c>
      <c r="W716" s="156" t="str">
        <f t="array" ref="W716">INDEX(NPCAgeType,TRUNC(1+(4-1)*(TRUNC(MOD((X716*1103515245 +12345)/ 65536, 32768),0)/32768),0))</f>
        <v>Middle Age</v>
      </c>
      <c r="X716" s="117">
        <f t="shared" si="45"/>
        <v>0.5</v>
      </c>
      <c r="Y716" s="157" t="e">
        <f t="array" aca="1" ref="Y716" ca="1">LOOKUP(ABS(MAX(Z716 + MIN(ABS(INDIRECT("Class Jobs!B"&amp;MATCH(E716,'Class Jobs'!$A$1:$A1000,0)&amp;":"&amp;"AF"&amp;MATCH(E716,'Class Jobs'!$A$1:$A1000,0)&amp;"")-$Z716)) * SUM(IF(MIN(ABS(INDIRECT("Class Jobs!B"&amp;MATCH(E716,'Class Jobs'!$A$1:$A1000,0)&amp;":"&amp;"AF"&amp;MATCH(E716,'Class Jobs'!$A$1:$A1000,0)&amp;"")-$Z716))=ABS(INDIRECT("Class Jobs!B"&amp;MATCH(E716,'Class Jobs'!$A$1:$A1000,0)&amp;":"&amp;"AF"&amp;MATCH(E716,'Class Jobs'!$A$1:$A1000,0)&amp;"")-$Z716),SIGN(INDIRECT("Class Jobs!B"&amp;MATCH(E716,'Class Jobs'!$A$1:A1000,0)&amp;":"&amp;"AF"&amp;MATCH(E716,'Class Jobs'!$A$1:$A1000,0)&amp;"")-$Z716),0)),0)),INDIRECT("Class Jobs!B"&amp;MATCH(E716,'Class Jobs'!$A$1:$A1000,0)&amp;":"&amp;"AF"&amp;MATCH(E716,'Class Jobs'!$A$1:$A1000,1)&amp;""),'Class Jobs'!$B$1:$AF$1)</f>
        <v>#REF!</v>
      </c>
      <c r="Z716" s="158">
        <f t="shared" si="41"/>
        <v>0.18</v>
      </c>
      <c r="AA716" s="16" t="str">
        <f t="array" ref="AA716">INDEX(NPCGender,TRUNC(1+(COUNTA(NPCGender))*(TRUNC(MOD(($B716*1103515245 +12345)/ 65536, 32768),0)/32768),0))</f>
        <v>Male</v>
      </c>
      <c r="AB716" s="16" t="str">
        <f t="array" ref="AB716">INDEX(NPCRace,TRUNC(1+(COUNTA(NPCRace))*(TRUNC(MOD(($B716*1103515245 +12345)/ 65536, 32768),0)/32768),0))</f>
        <v>Dwarf</v>
      </c>
      <c r="AC716" s="16" t="str">
        <f t="array" ref="AC716">INDEX(NPCAL,TRUNC(1+(COUNTA(NPCAL))*(TRUNC(MOD(($B716*1103515245 +12345)/ 65536, 32768),0)/32768),0))</f>
        <v>CE</v>
      </c>
      <c r="AD716" s="72" t="str">
        <f ca="1">IFERROR(__xludf.DUMMYFUNCTION("if(V716&lt;15,QUERY(NPCVar!C:D,""Select D WHERE C = '""&amp;D716&amp;""'""),if((TRUNC(1+10)*(TRUNC(MOD((ROW(H716)*1103515245 +12345)/ 65536, 32768),0)/32768)/10) &gt; 0.85,INDEX(NPCFaction,TRUNC(1+(counta(NPCFaction)-1)*(TRUNC(MOD(($B716*1103515245 +12345)/ 65536, 3276"&amp;"8),0)/32768),0)),QUERY(NPCVar!C:D,""Select D WHERE C = '""&amp;D716&amp;""'"")))"),"Necromancer")</f>
        <v>Necromancer</v>
      </c>
      <c r="AE716" s="108" t="e">
        <f t="shared" ca="1" si="42"/>
        <v>#NAME?</v>
      </c>
      <c r="AF716" s="159">
        <f ca="1">IFERROR(__xludf.DUMMYFUNCTION("AE716*(V716 / QUERY(NPCVar!$K$2:$N$12, ""Select N WHERE K='""&amp;AB716&amp;""'""))*TRUNC(1+10)*(TRUNC(MOD(($B716*1103515245 +12345)/ 65536, 32768),0)/32768)"),0.0248748779296875)</f>
        <v>2.4874877929687501E-2</v>
      </c>
      <c r="AG716" s="16"/>
      <c r="AH716" s="77"/>
      <c r="AI716" s="114"/>
    </row>
    <row r="717" spans="1:35" ht="16.2">
      <c r="A717" s="53">
        <v>716</v>
      </c>
      <c r="B717" s="118">
        <f t="shared" si="48"/>
        <v>1.29227</v>
      </c>
      <c r="C717" s="72" t="str">
        <f t="array" ref="C717">INDEX(NPCFName,TRUNC(1+(COUNTA(NPCFName))*(TRUNC(MOD(($B717*1103515245 +12345)/ 65536, 32768),0)/32768),0))</f>
        <v>Zio</v>
      </c>
      <c r="D717" s="16" t="str">
        <f t="array" ref="D717">INDEX(NPCLName,TRUNC(1+(COUNTA(NPCLName))*(TRUNC(MOD(($B717*1103515245 +12345)/ 65536, 32768),0)/32768),0))</f>
        <v>Mourninglash</v>
      </c>
      <c r="E717" s="16" t="str">
        <f t="array" ref="E717">INDEX(NPCClass,TRUNC(1+(COUNTA(NPCClass))*(TRUNC(MOD(($B717*1103515245 +12345)/ 65536, 32768),0)/32768),0))</f>
        <v>Warlock</v>
      </c>
      <c r="F717" s="76">
        <v>8</v>
      </c>
      <c r="G717" s="153">
        <f ca="1">VLOOKUP($AB$2,'RF Mod'!$A$2:$G$12,2,FALSE)+VLOOKUP($AD$2,'RF Mod'!$I$2:$O$11,2,FALSE)+(TRUNC(6+(24-6)*(TRUNC(MOD(($Z717*1103515245 +12345)/ 65536, 32768),0)/32768),0))</f>
        <v>10</v>
      </c>
      <c r="H717" s="16" t="e">
        <f t="shared" ca="1" si="33"/>
        <v>#NAME?</v>
      </c>
      <c r="I717" s="153">
        <f ca="1">VLOOKUP($AB$2,'RF Mod'!$A$2:$G$12,3,FALSE)+VLOOKUP($AD$2,'RF Mod'!$I$2:$O$11,3,FALSE)+(TRUNC(6+(24-6)*(TRUNC(MOD(($Z717*1103515245 +12345)/ 65536, 32768),0)/32768),0))</f>
        <v>14</v>
      </c>
      <c r="J717" s="16" t="e">
        <f t="shared" ca="1" si="34"/>
        <v>#NAME?</v>
      </c>
      <c r="K717" s="153">
        <f ca="1">VLOOKUP($AB$2,'RF Mod'!$A$2:$G$12,3,FALSE)+VLOOKUP($AD$2,'RF Mod'!$I$2:$O$11,3,FALSE)+(TRUNC(6+(24-6)*(TRUNC(MOD(($Z717*1103515245 +12345)/ 65536, 32768),0)/32768),0))</f>
        <v>14</v>
      </c>
      <c r="L717" s="16" t="e">
        <f t="shared" ca="1" si="35"/>
        <v>#NAME?</v>
      </c>
      <c r="M717" s="153">
        <f ca="1">VLOOKUP($AB$2,'RF Mod'!$A$2:$G$12,4,FALSE)+VLOOKUP($AD$2,'RF Mod'!$I$2:$O$11,4,FALSE)+(TRUNC(6+(24-6)*(TRUNC(MOD(($Z717*1103515245 +12345)/ 65536, 32768),0)/32768),0))</f>
        <v>13</v>
      </c>
      <c r="N717" s="16" t="e">
        <f t="shared" ca="1" si="36"/>
        <v>#NAME?</v>
      </c>
      <c r="O717" s="153">
        <f ca="1">VLOOKUP($AB$2,'RF Mod'!$A$2:$G$12,5,FALSE)+VLOOKUP($AD$2,'RF Mod'!$I$2:$O$11,5,FALSE)+(TRUNC(6+(24-6)*(TRUNC(MOD(($Z717*1103515245 +12345)/ 65536, 32768),0)/32768),0))</f>
        <v>16</v>
      </c>
      <c r="P717" s="16" t="e">
        <f t="shared" ca="1" si="37"/>
        <v>#NAME?</v>
      </c>
      <c r="Q717" s="153">
        <f ca="1">VLOOKUP($AB$2,'RF Mod'!$A$2:$G$12,6,FALSE)+VLOOKUP($AD$2,'RF Mod'!$I$2:$O$11,6,FALSE)+(TRUNC(6+(24-6)*(TRUNC(MOD(($Z717*1103515245 +12345)/ 65536, 32768),0)/32768),0))</f>
        <v>14</v>
      </c>
      <c r="R717" s="16" t="e">
        <f t="shared" ca="1" si="38"/>
        <v>#NAME?</v>
      </c>
      <c r="S717" s="154">
        <f t="shared" ca="1" si="43"/>
        <v>128</v>
      </c>
      <c r="T717" s="154">
        <f t="shared" ca="1" si="39"/>
        <v>47</v>
      </c>
      <c r="U717" s="16" t="str">
        <f t="shared" ca="1" si="40"/>
        <v>Fine</v>
      </c>
      <c r="V717" s="155">
        <f ca="1">IFERROR(__xludf.DUMMYFUNCTION("if(W717=""Middle Age"",QUERY(NPCVar!$K$2:$N1000, ""Select L where K = '""&amp;AB717&amp;""'""),if(W717=""Old"",QUERY(NPCVar!$K$2:$N1000, ""Select M where K = '""&amp;AB717&amp;""'""),if(W717=""Venerable"",QUERY(NPCVar!$K$2:$N1000, ""Select N where K = '""&amp;AB717&amp;""'""),fa"&amp;"lse)))*X717"),144)</f>
        <v>144</v>
      </c>
      <c r="W717" s="156" t="str">
        <f t="array" ref="W717">INDEX(NPCAgeType,TRUNC(1+(4-1)*(TRUNC(MOD((X717*1103515245 +12345)/ 65536, 32768),0)/32768),0))</f>
        <v>Venerable</v>
      </c>
      <c r="X717" s="117">
        <f t="shared" si="45"/>
        <v>1.6</v>
      </c>
      <c r="Y717" s="157" t="e">
        <f t="array" aca="1" ref="Y717" ca="1">LOOKUP(ABS(MAX(Z717 + MIN(ABS(INDIRECT("Class Jobs!B"&amp;MATCH(E717,'Class Jobs'!$A$1:$A1000,0)&amp;":"&amp;"AF"&amp;MATCH(E717,'Class Jobs'!$A$1:$A1000,0)&amp;"")-$Z717)) * SUM(IF(MIN(ABS(INDIRECT("Class Jobs!B"&amp;MATCH(E717,'Class Jobs'!$A$1:$A1000,0)&amp;":"&amp;"AF"&amp;MATCH(E717,'Class Jobs'!$A$1:$A1000,0)&amp;"")-$Z717))=ABS(INDIRECT("Class Jobs!B"&amp;MATCH(E717,'Class Jobs'!$A$1:$A1000,0)&amp;":"&amp;"AF"&amp;MATCH(E717,'Class Jobs'!$A$1:$A1000,0)&amp;"")-$Z717),SIGN(INDIRECT("Class Jobs!B"&amp;MATCH(E717,'Class Jobs'!$A$1:A1000,0)&amp;":"&amp;"AF"&amp;MATCH(E717,'Class Jobs'!$A$1:$A1000,0)&amp;"")-$Z717),0)),0)),INDIRECT("Class Jobs!B"&amp;MATCH(E717,'Class Jobs'!$A$1:$A1000,0)&amp;":"&amp;"AF"&amp;MATCH(E717,'Class Jobs'!$A$1:$A1000,1)&amp;""),'Class Jobs'!$B$1:$AF$1)</f>
        <v>#REF!</v>
      </c>
      <c r="Z717" s="158">
        <f t="shared" si="41"/>
        <v>0.66</v>
      </c>
      <c r="AA717" s="16" t="str">
        <f t="array" ref="AA717">INDEX(NPCGender,TRUNC(1+(COUNTA(NPCGender))*(TRUNC(MOD(($B717*1103515245 +12345)/ 65536, 32768),0)/32768),0))</f>
        <v>Female</v>
      </c>
      <c r="AB717" s="16" t="str">
        <f t="array" ref="AB717">INDEX(NPCRace,TRUNC(1+(COUNTA(NPCRace))*(TRUNC(MOD(($B717*1103515245 +12345)/ 65536, 32768),0)/32768),0))</f>
        <v>Human</v>
      </c>
      <c r="AC717" s="16" t="str">
        <f t="array" ref="AC717">INDEX(NPCAL,TRUNC(1+(COUNTA(NPCAL))*(TRUNC(MOD(($B717*1103515245 +12345)/ 65536, 32768),0)/32768),0))</f>
        <v>NE</v>
      </c>
      <c r="AD717" s="72" t="str">
        <f ca="1">IFERROR(__xludf.DUMMYFUNCTION("if(V717&lt;15,QUERY(NPCVar!C:D,""Select D WHERE C = '""&amp;D717&amp;""'""),if((TRUNC(1+10)*(TRUNC(MOD((ROW(H717)*1103515245 +12345)/ 65536, 32768),0)/32768)/10) &gt; 0.85,INDEX(NPCFaction,TRUNC(1+(counta(NPCFaction)-1)*(TRUNC(MOD(($B717*1103515245 +12345)/ 65536, 3276"&amp;"8),0)/32768),0)),QUERY(NPCVar!C:D,""Select D WHERE C = '""&amp;D717&amp;""'"")))"),"Traverlers Guild")</f>
        <v>Traverlers Guild</v>
      </c>
      <c r="AE717" s="108" t="e">
        <f t="shared" ca="1" si="42"/>
        <v>#NAME?</v>
      </c>
      <c r="AF717" s="159">
        <f ca="1">IFERROR(__xludf.DUMMYFUNCTION("AE717*(V717 / QUERY(NPCVar!$K$2:$N$12, ""Select N WHERE K='""&amp;AB717&amp;""'""))*TRUNC(1+10)*(TRUNC(MOD(($B717*1103515245 +12345)/ 65536, 32768),0)/32768)"),11.686962890625)</f>
        <v>11.686962890625001</v>
      </c>
      <c r="AG717" s="16"/>
      <c r="AH717" s="77"/>
      <c r="AI717" s="114"/>
    </row>
    <row r="718" spans="1:35" ht="16.2">
      <c r="A718" s="53">
        <v>717</v>
      </c>
      <c r="B718" s="118">
        <f t="shared" si="48"/>
        <v>0.28641</v>
      </c>
      <c r="C718" s="72" t="str">
        <f t="array" ref="C718">INDEX(NPCFName,TRUNC(1+(COUNTA(NPCFName))*(TRUNC(MOD(($B718*1103515245 +12345)/ 65536, 32768),0)/32768),0))</f>
        <v>Jackson</v>
      </c>
      <c r="D718" s="16" t="str">
        <f t="array" ref="D718">INDEX(NPCLName,TRUNC(1+(COUNTA(NPCLName))*(TRUNC(MOD(($B718*1103515245 +12345)/ 65536, 32768),0)/32768),0))</f>
        <v>Fistwing</v>
      </c>
      <c r="E718" s="16" t="str">
        <f t="array" ref="E718">INDEX(NPCClass,TRUNC(1+(COUNTA(NPCClass))*(TRUNC(MOD(($B718*1103515245 +12345)/ 65536, 32768),0)/32768),0))</f>
        <v>Bard</v>
      </c>
      <c r="F718" s="76">
        <v>1</v>
      </c>
      <c r="G718" s="153">
        <f ca="1">VLOOKUP($AB$2,'RF Mod'!$A$2:$G$12,2,FALSE)+VLOOKUP($AD$2,'RF Mod'!$I$2:$O$11,2,FALSE)+(TRUNC(6+(24-6)*(TRUNC(MOD(($Z718*1103515245 +12345)/ 65536, 32768),0)/32768),0))</f>
        <v>5</v>
      </c>
      <c r="H718" s="16">
        <f t="shared" ca="1" si="33"/>
        <v>-3</v>
      </c>
      <c r="I718" s="153">
        <f ca="1">VLOOKUP($AB$2,'RF Mod'!$A$2:$G$12,3,FALSE)+VLOOKUP($AD$2,'RF Mod'!$I$2:$O$11,3,FALSE)+(TRUNC(6+(24-6)*(TRUNC(MOD(($Z718*1103515245 +12345)/ 65536, 32768),0)/32768),0))</f>
        <v>9</v>
      </c>
      <c r="J718" s="16">
        <f t="shared" ca="1" si="34"/>
        <v>-1</v>
      </c>
      <c r="K718" s="153">
        <f ca="1">VLOOKUP($AB$2,'RF Mod'!$A$2:$G$12,3,FALSE)+VLOOKUP($AD$2,'RF Mod'!$I$2:$O$11,3,FALSE)+(TRUNC(6+(24-6)*(TRUNC(MOD(($Z718*1103515245 +12345)/ 65536, 32768),0)/32768),0))</f>
        <v>9</v>
      </c>
      <c r="L718" s="16">
        <f t="shared" ca="1" si="35"/>
        <v>-1</v>
      </c>
      <c r="M718" s="153">
        <f ca="1">VLOOKUP($AB$2,'RF Mod'!$A$2:$G$12,4,FALSE)+VLOOKUP($AD$2,'RF Mod'!$I$2:$O$11,4,FALSE)+(TRUNC(6+(24-6)*(TRUNC(MOD(($Z718*1103515245 +12345)/ 65536, 32768),0)/32768),0))</f>
        <v>8</v>
      </c>
      <c r="N718" s="16">
        <f t="shared" ca="1" si="36"/>
        <v>-1</v>
      </c>
      <c r="O718" s="153">
        <f ca="1">VLOOKUP($AB$2,'RF Mod'!$A$2:$G$12,5,FALSE)+VLOOKUP($AD$2,'RF Mod'!$I$2:$O$11,5,FALSE)+(TRUNC(6+(24-6)*(TRUNC(MOD(($Z718*1103515245 +12345)/ 65536, 32768),0)/32768),0))</f>
        <v>11</v>
      </c>
      <c r="P718" s="16" t="e">
        <f t="shared" ca="1" si="37"/>
        <v>#NAME?</v>
      </c>
      <c r="Q718" s="153">
        <f ca="1">VLOOKUP($AB$2,'RF Mod'!$A$2:$G$12,6,FALSE)+VLOOKUP($AD$2,'RF Mod'!$I$2:$O$11,6,FALSE)+(TRUNC(6+(24-6)*(TRUNC(MOD(($Z718*1103515245 +12345)/ 65536, 32768),0)/32768),0))</f>
        <v>9</v>
      </c>
      <c r="R718" s="16">
        <f t="shared" ca="1" si="38"/>
        <v>-1</v>
      </c>
      <c r="S718" s="154">
        <f t="shared" ca="1" si="43"/>
        <v>11</v>
      </c>
      <c r="T718" s="154">
        <f t="shared" ca="1" si="39"/>
        <v>5</v>
      </c>
      <c r="U718" s="16" t="str">
        <f t="shared" ca="1" si="40"/>
        <v>Fine</v>
      </c>
      <c r="V718" s="155">
        <f ca="1">IFERROR(__xludf.DUMMYFUNCTION("if(W718=""Middle Age"",QUERY(NPCVar!$K$2:$N1000, ""Select L where K = '""&amp;AB718&amp;""'""),if(W718=""Old"",QUERY(NPCVar!$K$2:$N1000, ""Select M where K = '""&amp;AB718&amp;""'""),if(W718=""Venerable"",QUERY(NPCVar!$K$2:$N1000, ""Select N where K = '""&amp;AB718&amp;""'""),fa"&amp;"lse)))*X718"),32)</f>
        <v>32</v>
      </c>
      <c r="W718" s="156" t="str">
        <f t="array" ref="W718">INDEX(NPCAgeType,TRUNC(1+(4-1)*(TRUNC(MOD((X718*1103515245 +12345)/ 65536, 32768),0)/32768),0))</f>
        <v>Middle Age</v>
      </c>
      <c r="X718" s="117">
        <f t="shared" si="45"/>
        <v>0.4</v>
      </c>
      <c r="Y718" s="157" t="e">
        <f t="array" aca="1" ref="Y718" ca="1">LOOKUP(ABS(MAX(Z718 + MIN(ABS(INDIRECT("Class Jobs!B"&amp;MATCH(E718,'Class Jobs'!$A$1:$A1000,0)&amp;":"&amp;"AF"&amp;MATCH(E718,'Class Jobs'!$A$1:$A1000,0)&amp;"")-$Z718)) * SUM(IF(MIN(ABS(INDIRECT("Class Jobs!B"&amp;MATCH(E718,'Class Jobs'!$A$1:$A1000,0)&amp;":"&amp;"AF"&amp;MATCH(E718,'Class Jobs'!$A$1:$A1000,0)&amp;"")-$Z718))=ABS(INDIRECT("Class Jobs!B"&amp;MATCH(E718,'Class Jobs'!$A$1:$A1000,0)&amp;":"&amp;"AF"&amp;MATCH(E718,'Class Jobs'!$A$1:$A1000,0)&amp;"")-$Z718),SIGN(INDIRECT("Class Jobs!B"&amp;MATCH(E718,'Class Jobs'!$A$1:A1000,0)&amp;":"&amp;"AF"&amp;MATCH(E718,'Class Jobs'!$A$1:$A1000,0)&amp;"")-$Z718),0)),0)),INDIRECT("Class Jobs!B"&amp;MATCH(E718,'Class Jobs'!$A$1:$A1000,0)&amp;":"&amp;"AF"&amp;MATCH(E718,'Class Jobs'!$A$1:$A1000,1)&amp;""),'Class Jobs'!$B$1:$AF$1)</f>
        <v>#REF!</v>
      </c>
      <c r="Z718" s="158">
        <f t="shared" si="41"/>
        <v>0.15</v>
      </c>
      <c r="AA718" s="16" t="str">
        <f t="array" ref="AA718">INDEX(NPCGender,TRUNC(1+(COUNTA(NPCGender))*(TRUNC(MOD(($B718*1103515245 +12345)/ 65536, 32768),0)/32768),0))</f>
        <v>Male</v>
      </c>
      <c r="AB718" s="16" t="str">
        <f t="array" ref="AB718">INDEX(NPCRace,TRUNC(1+(COUNTA(NPCRace))*(TRUNC(MOD(($B718*1103515245 +12345)/ 65536, 32768),0)/32768),0))</f>
        <v>Dwarf</v>
      </c>
      <c r="AC718" s="16" t="str">
        <f t="array" ref="AC718">INDEX(NPCAL,TRUNC(1+(COUNTA(NPCAL))*(TRUNC(MOD(($B718*1103515245 +12345)/ 65536, 32768),0)/32768),0))</f>
        <v>CE</v>
      </c>
      <c r="AD718" s="72" t="str">
        <f ca="1">IFERROR(__xludf.DUMMYFUNCTION("if(V718&lt;15,QUERY(NPCVar!C:D,""Select D WHERE C = '""&amp;D718&amp;""'""),if((TRUNC(1+10)*(TRUNC(MOD((ROW(H718)*1103515245 +12345)/ 65536, 32768),0)/32768)/10) &gt; 0.85,INDEX(NPCFaction,TRUNC(1+(counta(NPCFaction)-1)*(TRUNC(MOD(($B718*1103515245 +12345)/ 65536, 3276"&amp;"8),0)/32768),0)),QUERY(NPCVar!C:D,""Select D WHERE C = '""&amp;D718&amp;""'"")))"),"Necromancer")</f>
        <v>Necromancer</v>
      </c>
      <c r="AE718" s="108" t="e">
        <f t="shared" ca="1" si="42"/>
        <v>#NAME?</v>
      </c>
      <c r="AF718" s="159">
        <f ca="1">IFERROR(__xludf.DUMMYFUNCTION("AE718*(V718 / QUERY(NPCVar!$K$2:$N$12, ""Select N WHERE K='""&amp;AB718&amp;""'""))*TRUNC(1+10)*(TRUNC(MOD(($B718*1103515245 +12345)/ 65536, 32768),0)/32768)"),0.0161871337890625)</f>
        <v>1.6187133789062499E-2</v>
      </c>
      <c r="AG718" s="16"/>
      <c r="AH718" s="77"/>
      <c r="AI718" s="114"/>
    </row>
    <row r="719" spans="1:35" ht="16.2">
      <c r="A719" s="53">
        <v>718</v>
      </c>
      <c r="B719" s="118">
        <f t="shared" si="48"/>
        <v>1.7805500000000001</v>
      </c>
      <c r="C719" s="72" t="str">
        <f t="array" ref="C719">INDEX(NPCFName,TRUNC(1+(COUNTA(NPCFName))*(TRUNC(MOD(($B719*1103515245 +12345)/ 65536, 32768),0)/32768),0))</f>
        <v>Rulrindale</v>
      </c>
      <c r="D719" s="16" t="str">
        <f t="array" ref="D719">INDEX(NPCLName,TRUNC(1+(COUNTA(NPCLName))*(TRUNC(MOD(($B719*1103515245 +12345)/ 65536, 32768),0)/32768),0))</f>
        <v>Stormwolf</v>
      </c>
      <c r="E719" s="16" t="str">
        <f t="array" ref="E719">INDEX(NPCClass,TRUNC(1+(COUNTA(NPCClass))*(TRUNC(MOD(($B719*1103515245 +12345)/ 65536, 32768),0)/32768),0))</f>
        <v>Fighter</v>
      </c>
      <c r="F719" s="76">
        <v>8</v>
      </c>
      <c r="G719" s="153">
        <f ca="1">VLOOKUP($AB$2,'RF Mod'!$A$2:$G$12,2,FALSE)+VLOOKUP($AD$2,'RF Mod'!$I$2:$O$11,2,FALSE)+(TRUNC(6+(24-6)*(TRUNC(MOD(($Z719*1103515245 +12345)/ 65536, 32768),0)/32768),0))</f>
        <v>12</v>
      </c>
      <c r="H719" s="16" t="e">
        <f t="shared" ca="1" si="33"/>
        <v>#NAME?</v>
      </c>
      <c r="I719" s="153">
        <f ca="1">VLOOKUP($AB$2,'RF Mod'!$A$2:$G$12,3,FALSE)+VLOOKUP($AD$2,'RF Mod'!$I$2:$O$11,3,FALSE)+(TRUNC(6+(24-6)*(TRUNC(MOD(($Z719*1103515245 +12345)/ 65536, 32768),0)/32768),0))</f>
        <v>16</v>
      </c>
      <c r="J719" s="16" t="e">
        <f t="shared" ca="1" si="34"/>
        <v>#NAME?</v>
      </c>
      <c r="K719" s="153">
        <f ca="1">VLOOKUP($AB$2,'RF Mod'!$A$2:$G$12,3,FALSE)+VLOOKUP($AD$2,'RF Mod'!$I$2:$O$11,3,FALSE)+(TRUNC(6+(24-6)*(TRUNC(MOD(($Z719*1103515245 +12345)/ 65536, 32768),0)/32768),0))</f>
        <v>16</v>
      </c>
      <c r="L719" s="16" t="e">
        <f t="shared" ca="1" si="35"/>
        <v>#NAME?</v>
      </c>
      <c r="M719" s="153">
        <f ca="1">VLOOKUP($AB$2,'RF Mod'!$A$2:$G$12,4,FALSE)+VLOOKUP($AD$2,'RF Mod'!$I$2:$O$11,4,FALSE)+(TRUNC(6+(24-6)*(TRUNC(MOD(($Z719*1103515245 +12345)/ 65536, 32768),0)/32768),0))</f>
        <v>15</v>
      </c>
      <c r="N719" s="16" t="e">
        <f t="shared" ca="1" si="36"/>
        <v>#NAME?</v>
      </c>
      <c r="O719" s="153">
        <f ca="1">VLOOKUP($AB$2,'RF Mod'!$A$2:$G$12,5,FALSE)+VLOOKUP($AD$2,'RF Mod'!$I$2:$O$11,5,FALSE)+(TRUNC(6+(24-6)*(TRUNC(MOD(($Z719*1103515245 +12345)/ 65536, 32768),0)/32768),0))</f>
        <v>18</v>
      </c>
      <c r="P719" s="16" t="e">
        <f t="shared" ca="1" si="37"/>
        <v>#NAME?</v>
      </c>
      <c r="Q719" s="153">
        <f ca="1">VLOOKUP($AB$2,'RF Mod'!$A$2:$G$12,6,FALSE)+VLOOKUP($AD$2,'RF Mod'!$I$2:$O$11,6,FALSE)+(TRUNC(6+(24-6)*(TRUNC(MOD(($Z719*1103515245 +12345)/ 65536, 32768),0)/32768),0))</f>
        <v>16</v>
      </c>
      <c r="R719" s="16" t="e">
        <f t="shared" ca="1" si="38"/>
        <v>#NAME?</v>
      </c>
      <c r="S719" s="154">
        <f t="shared" ca="1" si="43"/>
        <v>256</v>
      </c>
      <c r="T719" s="154">
        <f t="shared" ca="1" si="39"/>
        <v>92</v>
      </c>
      <c r="U719" s="16" t="str">
        <f t="shared" ca="1" si="40"/>
        <v>Fine</v>
      </c>
      <c r="V719" s="155">
        <f ca="1">IFERROR(__xludf.DUMMYFUNCTION("if(W719=""Middle Age"",QUERY(NPCVar!$K$2:$N1000, ""Select L where K = '""&amp;AB719&amp;""'""),if(W719=""Old"",QUERY(NPCVar!$K$2:$N1000, ""Select M where K = '""&amp;AB719&amp;""'""),if(W719=""Venerable"",QUERY(NPCVar!$K$2:$N1000, ""Select N where K = '""&amp;AB719&amp;""'""),fa"&amp;"lse)))*X719"),66)</f>
        <v>66</v>
      </c>
      <c r="W719" s="156" t="str">
        <f t="array" ref="W719">INDEX(NPCAgeType,TRUNC(1+(4-1)*(TRUNC(MOD((X719*1103515245 +12345)/ 65536, 32768),0)/32768),0))</f>
        <v>Middle Age</v>
      </c>
      <c r="X719" s="117">
        <f t="shared" si="45"/>
        <v>2.2000000000000002</v>
      </c>
      <c r="Y719" s="157" t="e">
        <f t="array" aca="1" ref="Y719" ca="1">LOOKUP(ABS(MAX(Z719 + MIN(ABS(INDIRECT("Class Jobs!B"&amp;MATCH(E719,'Class Jobs'!$A$1:$A1000,0)&amp;":"&amp;"AF"&amp;MATCH(E719,'Class Jobs'!$A$1:$A1000,0)&amp;"")-$Z719)) * SUM(IF(MIN(ABS(INDIRECT("Class Jobs!B"&amp;MATCH(E719,'Class Jobs'!$A$1:$A1000,0)&amp;":"&amp;"AF"&amp;MATCH(E719,'Class Jobs'!$A$1:$A1000,0)&amp;"")-$Z719))=ABS(INDIRECT("Class Jobs!B"&amp;MATCH(E719,'Class Jobs'!$A$1:$A1000,0)&amp;":"&amp;"AF"&amp;MATCH(E719,'Class Jobs'!$A$1:$A1000,0)&amp;"")-$Z719),SIGN(INDIRECT("Class Jobs!B"&amp;MATCH(E719,'Class Jobs'!$A$1:A1000,0)&amp;":"&amp;"AF"&amp;MATCH(E719,'Class Jobs'!$A$1:$A1000,0)&amp;"")-$Z719),0)),0)),INDIRECT("Class Jobs!B"&amp;MATCH(E719,'Class Jobs'!$A$1:$A1000,0)&amp;":"&amp;"AF"&amp;MATCH(E719,'Class Jobs'!$A$1:$A1000,1)&amp;""),'Class Jobs'!$B$1:$AF$1)</f>
        <v>#REF!</v>
      </c>
      <c r="Z719" s="158">
        <f t="shared" si="41"/>
        <v>0.91</v>
      </c>
      <c r="AA719" s="16" t="str">
        <f t="array" ref="AA719">INDEX(NPCGender,TRUNC(1+(COUNTA(NPCGender))*(TRUNC(MOD(($B719*1103515245 +12345)/ 65536, 32768),0)/32768),0))</f>
        <v>Neutral</v>
      </c>
      <c r="AB719" s="16" t="str">
        <f t="array" ref="AB719">INDEX(NPCRace,TRUNC(1+(COUNTA(NPCRace))*(TRUNC(MOD(($B719*1103515245 +12345)/ 65536, 32768),0)/32768),0))</f>
        <v>Goliath</v>
      </c>
      <c r="AC719" s="16" t="str">
        <f t="array" ref="AC719">INDEX(NPCAL,TRUNC(1+(COUNTA(NPCAL))*(TRUNC(MOD(($B719*1103515245 +12345)/ 65536, 32768),0)/32768),0))</f>
        <v>LE</v>
      </c>
      <c r="AD719" s="72" t="str">
        <f ca="1">IFERROR(__xludf.DUMMYFUNCTION("if(V719&lt;15,QUERY(NPCVar!C:D,""Select D WHERE C = '""&amp;D719&amp;""'""),if((TRUNC(1+10)*(TRUNC(MOD((ROW(H719)*1103515245 +12345)/ 65536, 32768),0)/32768)/10) &gt; 0.85,INDEX(NPCFaction,TRUNC(1+(counta(NPCFaction)-1)*(TRUNC(MOD(($B719*1103515245 +12345)/ 65536, 3276"&amp;"8),0)/32768),0)),QUERY(NPCVar!C:D,""Select D WHERE C = '""&amp;D719&amp;""'"")))"),"Followers of Isis")</f>
        <v>Followers of Isis</v>
      </c>
      <c r="AE719" s="108" t="e">
        <f t="shared" ca="1" si="42"/>
        <v>#NAME?</v>
      </c>
      <c r="AF719" s="159">
        <f ca="1">IFERROR(__xludf.DUMMYFUNCTION("AE719*(V719 / QUERY(NPCVar!$K$2:$N$12, ""Select N WHERE K='""&amp;AB719&amp;""'""))*TRUNC(1+10)*(TRUNC(MOD(($B719*1103515245 +12345)/ 65536, 32768),0)/32768)"),5.53543243408203)</f>
        <v>5.53543243408203</v>
      </c>
      <c r="AG719" s="16"/>
      <c r="AH719" s="77"/>
      <c r="AI719" s="114"/>
    </row>
    <row r="720" spans="1:35" ht="16.2">
      <c r="A720" s="53">
        <v>719</v>
      </c>
      <c r="B720" s="118">
        <f t="shared" si="48"/>
        <v>0.77461000000000002</v>
      </c>
      <c r="C720" s="72" t="str">
        <f t="array" ref="C720">INDEX(NPCFName,TRUNC(1+(COUNTA(NPCFName))*(TRUNC(MOD(($B720*1103515245 +12345)/ 65536, 32768),0)/32768),0))</f>
        <v>Dakkone</v>
      </c>
      <c r="D720" s="16" t="str">
        <f t="array" ref="D720">INDEX(NPCLName,TRUNC(1+(COUNTA(NPCLName))*(TRUNC(MOD(($B720*1103515245 +12345)/ 65536, 32768),0)/32768),0))</f>
        <v>Fistroot</v>
      </c>
      <c r="E720" s="16" t="str">
        <f t="array" ref="E720">INDEX(NPCClass,TRUNC(1+(COUNTA(NPCClass))*(TRUNC(MOD(($B720*1103515245 +12345)/ 65536, 32768),0)/32768),0))</f>
        <v>Paladin</v>
      </c>
      <c r="F720" s="76">
        <v>3</v>
      </c>
      <c r="G720" s="153">
        <f ca="1">VLOOKUP($AB$2,'RF Mod'!$A$2:$G$12,2,FALSE)+VLOOKUP($AD$2,'RF Mod'!$I$2:$O$11,2,FALSE)+(TRUNC(6+(24-6)*(TRUNC(MOD(($Z720*1103515245 +12345)/ 65536, 32768),0)/32768),0))</f>
        <v>7</v>
      </c>
      <c r="H720" s="16">
        <f t="shared" ca="1" si="33"/>
        <v>-2</v>
      </c>
      <c r="I720" s="153">
        <f ca="1">VLOOKUP($AB$2,'RF Mod'!$A$2:$G$12,3,FALSE)+VLOOKUP($AD$2,'RF Mod'!$I$2:$O$11,3,FALSE)+(TRUNC(6+(24-6)*(TRUNC(MOD(($Z720*1103515245 +12345)/ 65536, 32768),0)/32768),0))</f>
        <v>11</v>
      </c>
      <c r="J720" s="16" t="e">
        <f t="shared" ca="1" si="34"/>
        <v>#NAME?</v>
      </c>
      <c r="K720" s="153">
        <f ca="1">VLOOKUP($AB$2,'RF Mod'!$A$2:$G$12,3,FALSE)+VLOOKUP($AD$2,'RF Mod'!$I$2:$O$11,3,FALSE)+(TRUNC(6+(24-6)*(TRUNC(MOD(($Z720*1103515245 +12345)/ 65536, 32768),0)/32768),0))</f>
        <v>11</v>
      </c>
      <c r="L720" s="16" t="e">
        <f t="shared" ca="1" si="35"/>
        <v>#NAME?</v>
      </c>
      <c r="M720" s="153">
        <f ca="1">VLOOKUP($AB$2,'RF Mod'!$A$2:$G$12,4,FALSE)+VLOOKUP($AD$2,'RF Mod'!$I$2:$O$11,4,FALSE)+(TRUNC(6+(24-6)*(TRUNC(MOD(($Z720*1103515245 +12345)/ 65536, 32768),0)/32768),0))</f>
        <v>10</v>
      </c>
      <c r="N720" s="16" t="e">
        <f t="shared" ca="1" si="36"/>
        <v>#NAME?</v>
      </c>
      <c r="O720" s="153">
        <f ca="1">VLOOKUP($AB$2,'RF Mod'!$A$2:$G$12,5,FALSE)+VLOOKUP($AD$2,'RF Mod'!$I$2:$O$11,5,FALSE)+(TRUNC(6+(24-6)*(TRUNC(MOD(($Z720*1103515245 +12345)/ 65536, 32768),0)/32768),0))</f>
        <v>13</v>
      </c>
      <c r="P720" s="16" t="e">
        <f t="shared" ca="1" si="37"/>
        <v>#NAME?</v>
      </c>
      <c r="Q720" s="153">
        <f ca="1">VLOOKUP($AB$2,'RF Mod'!$A$2:$G$12,6,FALSE)+VLOOKUP($AD$2,'RF Mod'!$I$2:$O$11,6,FALSE)+(TRUNC(6+(24-6)*(TRUNC(MOD(($Z720*1103515245 +12345)/ 65536, 32768),0)/32768),0))</f>
        <v>11</v>
      </c>
      <c r="R720" s="16" t="e">
        <f t="shared" ca="1" si="38"/>
        <v>#NAME?</v>
      </c>
      <c r="S720" s="154">
        <f t="shared" ca="1" si="43"/>
        <v>57</v>
      </c>
      <c r="T720" s="154">
        <f t="shared" ca="1" si="39"/>
        <v>62</v>
      </c>
      <c r="U720" s="16" t="str">
        <f t="shared" ca="1" si="40"/>
        <v>Dead</v>
      </c>
      <c r="V720" s="155">
        <f ca="1">IFERROR(__xludf.DUMMYFUNCTION("if(W720=""Middle Age"",QUERY(NPCVar!$K$2:$N1000, ""Select L where K = '""&amp;AB720&amp;""'""),if(W720=""Old"",QUERY(NPCVar!$K$2:$N1000, ""Select M where K = '""&amp;AB720&amp;""'""),if(W720=""Venerable"",QUERY(NPCVar!$K$2:$N1000, ""Select N where K = '""&amp;AB720&amp;""'""),fa"&amp;"lse)))*X720"),67.5)</f>
        <v>67.5</v>
      </c>
      <c r="W720" s="156" t="str">
        <f t="array" ref="W720">INDEX(NPCAgeType,TRUNC(1+(4-1)*(TRUNC(MOD((X720*1103515245 +12345)/ 65536, 32768),0)/32768),0))</f>
        <v>Old</v>
      </c>
      <c r="X720" s="117">
        <f t="shared" si="45"/>
        <v>1</v>
      </c>
      <c r="Y720" s="157" t="e">
        <f t="array" aca="1" ref="Y720" ca="1">LOOKUP(ABS(MAX(Z720 + MIN(ABS(INDIRECT("Class Jobs!B"&amp;MATCH(E720,'Class Jobs'!$A$1:$A1000,0)&amp;":"&amp;"AF"&amp;MATCH(E720,'Class Jobs'!$A$1:$A1000,0)&amp;"")-$Z720)) * SUM(IF(MIN(ABS(INDIRECT("Class Jobs!B"&amp;MATCH(E720,'Class Jobs'!$A$1:$A1000,0)&amp;":"&amp;"AF"&amp;MATCH(E720,'Class Jobs'!$A$1:$A1000,0)&amp;"")-$Z720))=ABS(INDIRECT("Class Jobs!B"&amp;MATCH(E720,'Class Jobs'!$A$1:$A1000,0)&amp;":"&amp;"AF"&amp;MATCH(E720,'Class Jobs'!$A$1:$A1000,0)&amp;"")-$Z720),SIGN(INDIRECT("Class Jobs!B"&amp;MATCH(E720,'Class Jobs'!$A$1:A1000,0)&amp;":"&amp;"AF"&amp;MATCH(E720,'Class Jobs'!$A$1:$A1000,0)&amp;"")-$Z720),0)),0)),INDIRECT("Class Jobs!B"&amp;MATCH(E720,'Class Jobs'!$A$1:$A1000,0)&amp;":"&amp;"AF"&amp;MATCH(E720,'Class Jobs'!$A$1:$A1000,1)&amp;""),'Class Jobs'!$B$1:$AF$1)</f>
        <v>#REF!</v>
      </c>
      <c r="Z720" s="158">
        <f t="shared" si="41"/>
        <v>0.4</v>
      </c>
      <c r="AA720" s="16" t="str">
        <f t="array" ref="AA720">INDEX(NPCGender,TRUNC(1+(COUNTA(NPCGender))*(TRUNC(MOD(($B720*1103515245 +12345)/ 65536, 32768),0)/32768),0))</f>
        <v>Female</v>
      </c>
      <c r="AB720" s="16" t="str">
        <f t="array" ref="AB720">INDEX(NPCRace,TRUNC(1+(COUNTA(NPCRace))*(TRUNC(MOD(($B720*1103515245 +12345)/ 65536, 32768),0)/32768),0))</f>
        <v>Half-Elf</v>
      </c>
      <c r="AC720" s="16" t="str">
        <f t="array" ref="AC720">INDEX(NPCAL,TRUNC(1+(COUNTA(NPCAL))*(TRUNC(MOD(($B720*1103515245 +12345)/ 65536, 32768),0)/32768),0))</f>
        <v>NG</v>
      </c>
      <c r="AD720" s="72" t="str">
        <f ca="1">IFERROR(__xludf.DUMMYFUNCTION("if(V720&lt;15,QUERY(NPCVar!C:D,""Select D WHERE C = '""&amp;D720&amp;""'""),if((TRUNC(1+10)*(TRUNC(MOD((ROW(H720)*1103515245 +12345)/ 65536, 32768),0)/32768)/10) &gt; 0.85,INDEX(NPCFaction,TRUNC(1+(counta(NPCFaction)-1)*(TRUNC(MOD(($B720*1103515245 +12345)/ 65536, 3276"&amp;"8),0)/32768),0)),QUERY(NPCVar!C:D,""Select D WHERE C = '""&amp;D720&amp;""'"")))"),"Adventures Guild")</f>
        <v>Adventures Guild</v>
      </c>
      <c r="AE720" s="108" t="e">
        <f t="shared" ca="1" si="42"/>
        <v>#NAME?</v>
      </c>
      <c r="AF720" s="159">
        <f ca="1">IFERROR(__xludf.DUMMYFUNCTION("AE720*(V720 / QUERY(NPCVar!$K$2:$N$12, ""Select N WHERE K='""&amp;AB720&amp;""'""))*TRUNC(1+10)*(TRUNC(MOD(($B720*1103515245 +12345)/ 65536, 32768),0)/32768)"),0.656767272949218)</f>
        <v>0.656767272949218</v>
      </c>
      <c r="AG720" s="16"/>
      <c r="AH720" s="77"/>
      <c r="AI720" s="114"/>
    </row>
    <row r="721" spans="1:35" ht="16.2">
      <c r="A721" s="53">
        <v>720</v>
      </c>
      <c r="B721" s="118">
        <f t="shared" si="48"/>
        <v>2.2687499999999998</v>
      </c>
      <c r="C721" s="72" t="str">
        <f t="array" ref="C721">INDEX(NPCFName,TRUNC(1+(COUNTA(NPCFName))*(TRUNC(MOD(($B721*1103515245 +12345)/ 65536, 32768),0)/32768),0))</f>
        <v>Kip</v>
      </c>
      <c r="D721" s="16" t="str">
        <f t="array" ref="D721">INDEX(NPCLName,TRUNC(1+(COUNTA(NPCLName))*(TRUNC(MOD(($B721*1103515245 +12345)/ 65536, 32768),0)/32768),0))</f>
        <v>Fistwing</v>
      </c>
      <c r="E721" s="16" t="str">
        <f t="array" ref="E721">INDEX(NPCClass,TRUNC(1+(COUNTA(NPCClass))*(TRUNC(MOD(($B721*1103515245 +12345)/ 65536, 32768),0)/32768),0))</f>
        <v>Bard</v>
      </c>
      <c r="F721" s="76">
        <v>1</v>
      </c>
      <c r="G721" s="153">
        <f ca="1">VLOOKUP($AB$2,'RF Mod'!$A$2:$G$12,2,FALSE)+VLOOKUP($AD$2,'RF Mod'!$I$2:$O$11,2,FALSE)+(TRUNC(6+(24-6)*(TRUNC(MOD(($Z721*1103515245 +12345)/ 65536, 32768),0)/32768),0))</f>
        <v>5</v>
      </c>
      <c r="H721" s="16">
        <f t="shared" ca="1" si="33"/>
        <v>-3</v>
      </c>
      <c r="I721" s="153">
        <f ca="1">VLOOKUP($AB$2,'RF Mod'!$A$2:$G$12,3,FALSE)+VLOOKUP($AD$2,'RF Mod'!$I$2:$O$11,3,FALSE)+(TRUNC(6+(24-6)*(TRUNC(MOD(($Z721*1103515245 +12345)/ 65536, 32768),0)/32768),0))</f>
        <v>9</v>
      </c>
      <c r="J721" s="16">
        <f t="shared" ca="1" si="34"/>
        <v>-1</v>
      </c>
      <c r="K721" s="153">
        <f ca="1">VLOOKUP($AB$2,'RF Mod'!$A$2:$G$12,3,FALSE)+VLOOKUP($AD$2,'RF Mod'!$I$2:$O$11,3,FALSE)+(TRUNC(6+(24-6)*(TRUNC(MOD(($Z721*1103515245 +12345)/ 65536, 32768),0)/32768),0))</f>
        <v>9</v>
      </c>
      <c r="L721" s="16">
        <f t="shared" ca="1" si="35"/>
        <v>-1</v>
      </c>
      <c r="M721" s="153">
        <f ca="1">VLOOKUP($AB$2,'RF Mod'!$A$2:$G$12,4,FALSE)+VLOOKUP($AD$2,'RF Mod'!$I$2:$O$11,4,FALSE)+(TRUNC(6+(24-6)*(TRUNC(MOD(($Z721*1103515245 +12345)/ 65536, 32768),0)/32768),0))</f>
        <v>8</v>
      </c>
      <c r="N721" s="16">
        <f t="shared" ca="1" si="36"/>
        <v>-1</v>
      </c>
      <c r="O721" s="153">
        <f ca="1">VLOOKUP($AB$2,'RF Mod'!$A$2:$G$12,5,FALSE)+VLOOKUP($AD$2,'RF Mod'!$I$2:$O$11,5,FALSE)+(TRUNC(6+(24-6)*(TRUNC(MOD(($Z721*1103515245 +12345)/ 65536, 32768),0)/32768),0))</f>
        <v>11</v>
      </c>
      <c r="P721" s="16" t="e">
        <f t="shared" ca="1" si="37"/>
        <v>#NAME?</v>
      </c>
      <c r="Q721" s="153">
        <f ca="1">VLOOKUP($AB$2,'RF Mod'!$A$2:$G$12,6,FALSE)+VLOOKUP($AD$2,'RF Mod'!$I$2:$O$11,6,FALSE)+(TRUNC(6+(24-6)*(TRUNC(MOD(($Z721*1103515245 +12345)/ 65536, 32768),0)/32768),0))</f>
        <v>9</v>
      </c>
      <c r="R721" s="16">
        <f t="shared" ca="1" si="38"/>
        <v>-1</v>
      </c>
      <c r="S721" s="154">
        <f t="shared" ca="1" si="43"/>
        <v>11</v>
      </c>
      <c r="T721" s="154">
        <f t="shared" ca="1" si="39"/>
        <v>7</v>
      </c>
      <c r="U721" s="16" t="str">
        <f t="shared" ca="1" si="40"/>
        <v>Bloody</v>
      </c>
      <c r="V721" s="155">
        <f ca="1">IFERROR(__xludf.DUMMYFUNCTION("if(W721=""Middle Age"",QUERY(NPCVar!$K$2:$N1000, ""Select L where K = '""&amp;AB721&amp;""'""),if(W721=""Old"",QUERY(NPCVar!$K$2:$N1000, ""Select M where K = '""&amp;AB721&amp;""'""),if(W721=""Venerable"",QUERY(NPCVar!$K$2:$N1000, ""Select N where K = '""&amp;AB721&amp;""'""),fa"&amp;"lse)))*X721"),32)</f>
        <v>32</v>
      </c>
      <c r="W721" s="156" t="str">
        <f t="array" ref="W721">INDEX(NPCAgeType,TRUNC(1+(4-1)*(TRUNC(MOD((X721*1103515245 +12345)/ 65536, 32768),0)/32768),0))</f>
        <v>Middle Age</v>
      </c>
      <c r="X721" s="117">
        <f t="shared" si="45"/>
        <v>0.4</v>
      </c>
      <c r="Y721" s="157" t="e">
        <f t="array" aca="1" ref="Y721" ca="1">LOOKUP(ABS(MAX(Z721 + MIN(ABS(INDIRECT("Class Jobs!B"&amp;MATCH(E721,'Class Jobs'!$A$1:$A1000,0)&amp;":"&amp;"AF"&amp;MATCH(E721,'Class Jobs'!$A$1:$A1000,0)&amp;"")-$Z721)) * SUM(IF(MIN(ABS(INDIRECT("Class Jobs!B"&amp;MATCH(E721,'Class Jobs'!$A$1:$A1000,0)&amp;":"&amp;"AF"&amp;MATCH(E721,'Class Jobs'!$A$1:$A1000,0)&amp;"")-$Z721))=ABS(INDIRECT("Class Jobs!B"&amp;MATCH(E721,'Class Jobs'!$A$1:$A1000,0)&amp;":"&amp;"AF"&amp;MATCH(E721,'Class Jobs'!$A$1:$A1000,0)&amp;"")-$Z721),SIGN(INDIRECT("Class Jobs!B"&amp;MATCH(E721,'Class Jobs'!$A$1:A1000,0)&amp;":"&amp;"AF"&amp;MATCH(E721,'Class Jobs'!$A$1:$A1000,0)&amp;"")-$Z721),0)),0)),INDIRECT("Class Jobs!B"&amp;MATCH(E721,'Class Jobs'!$A$1:$A1000,0)&amp;":"&amp;"AF"&amp;MATCH(E721,'Class Jobs'!$A$1:$A1000,1)&amp;""),'Class Jobs'!$B$1:$AF$1)</f>
        <v>#REF!</v>
      </c>
      <c r="Z721" s="158">
        <f t="shared" si="41"/>
        <v>0.17</v>
      </c>
      <c r="AA721" s="16" t="str">
        <f t="array" ref="AA721">INDEX(NPCGender,TRUNC(1+(COUNTA(NPCGender))*(TRUNC(MOD(($B721*1103515245 +12345)/ 65536, 32768),0)/32768),0))</f>
        <v>Male</v>
      </c>
      <c r="AB721" s="16" t="str">
        <f t="array" ref="AB721">INDEX(NPCRace,TRUNC(1+(COUNTA(NPCRace))*(TRUNC(MOD(($B721*1103515245 +12345)/ 65536, 32768),0)/32768),0))</f>
        <v>Dwarf</v>
      </c>
      <c r="AC721" s="16" t="str">
        <f t="array" ref="AC721">INDEX(NPCAL,TRUNC(1+(COUNTA(NPCAL))*(TRUNC(MOD(($B721*1103515245 +12345)/ 65536, 32768),0)/32768),0))</f>
        <v>CE</v>
      </c>
      <c r="AD721" s="72" t="str">
        <f ca="1">IFERROR(__xludf.DUMMYFUNCTION("if(V721&lt;15,QUERY(NPCVar!C:D,""Select D WHERE C = '""&amp;D721&amp;""'""),if((TRUNC(1+10)*(TRUNC(MOD((ROW(H721)*1103515245 +12345)/ 65536, 32768),0)/32768)/10) &gt; 0.85,INDEX(NPCFaction,TRUNC(1+(counta(NPCFaction)-1)*(TRUNC(MOD(($B721*1103515245 +12345)/ 65536, 3276"&amp;"8),0)/32768),0)),QUERY(NPCVar!C:D,""Select D WHERE C = '""&amp;D721&amp;""'"")))"),"Royalty")</f>
        <v>Royalty</v>
      </c>
      <c r="AE721" s="108" t="e">
        <f t="shared" ca="1" si="42"/>
        <v>#NAME?</v>
      </c>
      <c r="AF721" s="159">
        <f ca="1">IFERROR(__xludf.DUMMYFUNCTION("AE721*(V721 / QUERY(NPCVar!$K$2:$N$12, ""Select N WHERE K='""&amp;AB721&amp;""'""))*TRUNC(1+10)*(TRUNC(MOD(($B721*1103515245 +12345)/ 65536, 32768),0)/32768)"),0.109449462890625)</f>
        <v>0.109449462890625</v>
      </c>
      <c r="AG721" s="16"/>
      <c r="AH721" s="77"/>
      <c r="AI721" s="114"/>
    </row>
    <row r="722" spans="1:35" ht="16.2">
      <c r="A722" s="53">
        <v>721</v>
      </c>
      <c r="B722" s="118">
        <f t="shared" si="48"/>
        <v>1.2628900000000001</v>
      </c>
      <c r="C722" s="72" t="str">
        <f t="array" ref="C722">INDEX(NPCFName,TRUNC(1+(COUNTA(NPCFName))*(TRUNC(MOD(($B722*1103515245 +12345)/ 65536, 32768),0)/32768),0))</f>
        <v>Wraythe</v>
      </c>
      <c r="D722" s="16" t="str">
        <f t="array" ref="D722">INDEX(NPCLName,TRUNC(1+(COUNTA(NPCLName))*(TRUNC(MOD(($B722*1103515245 +12345)/ 65536, 32768),0)/32768),0))</f>
        <v>Mourninglash</v>
      </c>
      <c r="E722" s="16" t="str">
        <f t="array" ref="E722">INDEX(NPCClass,TRUNC(1+(COUNTA(NPCClass))*(TRUNC(MOD(($B722*1103515245 +12345)/ 65536, 32768),0)/32768),0))</f>
        <v>Warlock</v>
      </c>
      <c r="F722" s="76">
        <v>8</v>
      </c>
      <c r="G722" s="153">
        <f ca="1">VLOOKUP($AB$2,'RF Mod'!$A$2:$G$12,2,FALSE)+VLOOKUP($AD$2,'RF Mod'!$I$2:$O$11,2,FALSE)+(TRUNC(6+(24-6)*(TRUNC(MOD(($Z722*1103515245 +12345)/ 65536, 32768),0)/32768),0))</f>
        <v>10</v>
      </c>
      <c r="H722" s="16" t="e">
        <f t="shared" ca="1" si="33"/>
        <v>#NAME?</v>
      </c>
      <c r="I722" s="153">
        <f ca="1">VLOOKUP($AB$2,'RF Mod'!$A$2:$G$12,3,FALSE)+VLOOKUP($AD$2,'RF Mod'!$I$2:$O$11,3,FALSE)+(TRUNC(6+(24-6)*(TRUNC(MOD(($Z722*1103515245 +12345)/ 65536, 32768),0)/32768),0))</f>
        <v>14</v>
      </c>
      <c r="J722" s="16" t="e">
        <f t="shared" ca="1" si="34"/>
        <v>#NAME?</v>
      </c>
      <c r="K722" s="153">
        <f ca="1">VLOOKUP($AB$2,'RF Mod'!$A$2:$G$12,3,FALSE)+VLOOKUP($AD$2,'RF Mod'!$I$2:$O$11,3,FALSE)+(TRUNC(6+(24-6)*(TRUNC(MOD(($Z722*1103515245 +12345)/ 65536, 32768),0)/32768),0))</f>
        <v>14</v>
      </c>
      <c r="L722" s="16" t="e">
        <f t="shared" ca="1" si="35"/>
        <v>#NAME?</v>
      </c>
      <c r="M722" s="153">
        <f ca="1">VLOOKUP($AB$2,'RF Mod'!$A$2:$G$12,4,FALSE)+VLOOKUP($AD$2,'RF Mod'!$I$2:$O$11,4,FALSE)+(TRUNC(6+(24-6)*(TRUNC(MOD(($Z722*1103515245 +12345)/ 65536, 32768),0)/32768),0))</f>
        <v>13</v>
      </c>
      <c r="N722" s="16" t="e">
        <f t="shared" ca="1" si="36"/>
        <v>#NAME?</v>
      </c>
      <c r="O722" s="153">
        <f ca="1">VLOOKUP($AB$2,'RF Mod'!$A$2:$G$12,5,FALSE)+VLOOKUP($AD$2,'RF Mod'!$I$2:$O$11,5,FALSE)+(TRUNC(6+(24-6)*(TRUNC(MOD(($Z722*1103515245 +12345)/ 65536, 32768),0)/32768),0))</f>
        <v>16</v>
      </c>
      <c r="P722" s="16" t="e">
        <f t="shared" ca="1" si="37"/>
        <v>#NAME?</v>
      </c>
      <c r="Q722" s="153">
        <f ca="1">VLOOKUP($AB$2,'RF Mod'!$A$2:$G$12,6,FALSE)+VLOOKUP($AD$2,'RF Mod'!$I$2:$O$11,6,FALSE)+(TRUNC(6+(24-6)*(TRUNC(MOD(($Z722*1103515245 +12345)/ 65536, 32768),0)/32768),0))</f>
        <v>14</v>
      </c>
      <c r="R722" s="16" t="e">
        <f t="shared" ca="1" si="38"/>
        <v>#NAME?</v>
      </c>
      <c r="S722" s="154">
        <f t="shared" ca="1" si="43"/>
        <v>192</v>
      </c>
      <c r="T722" s="154">
        <f t="shared" ca="1" si="39"/>
        <v>14</v>
      </c>
      <c r="U722" s="16" t="str">
        <f t="shared" ca="1" si="40"/>
        <v>Fine</v>
      </c>
      <c r="V722" s="155">
        <f ca="1">IFERROR(__xludf.DUMMYFUNCTION("if(W722=""Middle Age"",QUERY(NPCVar!$K$2:$N1000, ""Select L where K = '""&amp;AB722&amp;""'""),if(W722=""Old"",QUERY(NPCVar!$K$2:$N1000, ""Select M where K = '""&amp;AB722&amp;""'""),if(W722=""Venerable"",QUERY(NPCVar!$K$2:$N1000, ""Select N where K = '""&amp;AB722&amp;""'""),fa"&amp;"lse)))*X722"),144)</f>
        <v>144</v>
      </c>
      <c r="W722" s="156" t="str">
        <f t="array" ref="W722">INDEX(NPCAgeType,TRUNC(1+(4-1)*(TRUNC(MOD((X722*1103515245 +12345)/ 65536, 32768),0)/32768),0))</f>
        <v>Venerable</v>
      </c>
      <c r="X722" s="117">
        <f t="shared" si="45"/>
        <v>1.6</v>
      </c>
      <c r="Y722" s="157" t="e">
        <f t="array" aca="1" ref="Y722" ca="1">LOOKUP(ABS(MAX(Z722 + MIN(ABS(INDIRECT("Class Jobs!B"&amp;MATCH(E722,'Class Jobs'!$A$1:$A1000,0)&amp;":"&amp;"AF"&amp;MATCH(E722,'Class Jobs'!$A$1:$A1000,0)&amp;"")-$Z722)) * SUM(IF(MIN(ABS(INDIRECT("Class Jobs!B"&amp;MATCH(E722,'Class Jobs'!$A$1:$A1000,0)&amp;":"&amp;"AF"&amp;MATCH(E722,'Class Jobs'!$A$1:$A1000,0)&amp;"")-$Z722))=ABS(INDIRECT("Class Jobs!B"&amp;MATCH(E722,'Class Jobs'!$A$1:$A1000,0)&amp;":"&amp;"AF"&amp;MATCH(E722,'Class Jobs'!$A$1:$A1000,0)&amp;"")-$Z722),SIGN(INDIRECT("Class Jobs!B"&amp;MATCH(E722,'Class Jobs'!$A$1:A1000,0)&amp;":"&amp;"AF"&amp;MATCH(E722,'Class Jobs'!$A$1:$A1000,0)&amp;"")-$Z722),0)),0)),INDIRECT("Class Jobs!B"&amp;MATCH(E722,'Class Jobs'!$A$1:$A1000,0)&amp;":"&amp;"AF"&amp;MATCH(E722,'Class Jobs'!$A$1:$A1000,1)&amp;""),'Class Jobs'!$B$1:$AF$1)</f>
        <v>#REF!</v>
      </c>
      <c r="Z722" s="158">
        <f t="shared" si="41"/>
        <v>0.65</v>
      </c>
      <c r="AA722" s="16" t="str">
        <f t="array" ref="AA722">INDEX(NPCGender,TRUNC(1+(COUNTA(NPCGender))*(TRUNC(MOD(($B722*1103515245 +12345)/ 65536, 32768),0)/32768),0))</f>
        <v>Female</v>
      </c>
      <c r="AB722" s="16" t="str">
        <f t="array" ref="AB722">INDEX(NPCRace,TRUNC(1+(COUNTA(NPCRace))*(TRUNC(MOD(($B722*1103515245 +12345)/ 65536, 32768),0)/32768),0))</f>
        <v>Human</v>
      </c>
      <c r="AC722" s="16" t="str">
        <f t="array" ref="AC722">INDEX(NPCAL,TRUNC(1+(COUNTA(NPCAL))*(TRUNC(MOD(($B722*1103515245 +12345)/ 65536, 32768),0)/32768),0))</f>
        <v>NE</v>
      </c>
      <c r="AD722" s="72" t="str">
        <f ca="1">IFERROR(__xludf.DUMMYFUNCTION("if(V722&lt;15,QUERY(NPCVar!C:D,""Select D WHERE C = '""&amp;D722&amp;""'""),if((TRUNC(1+10)*(TRUNC(MOD((ROW(H722)*1103515245 +12345)/ 65536, 32768),0)/32768)/10) &gt; 0.85,INDEX(NPCFaction,TRUNC(1+(counta(NPCFaction)-1)*(TRUNC(MOD(($B722*1103515245 +12345)/ 65536, 3276"&amp;"8),0)/32768),0)),QUERY(NPCVar!C:D,""Select D WHERE C = '""&amp;D722&amp;""'"")))"),"Traverlers Guild")</f>
        <v>Traverlers Guild</v>
      </c>
      <c r="AE722" s="108" t="e">
        <f t="shared" ca="1" si="42"/>
        <v>#NAME?</v>
      </c>
      <c r="AF722" s="159">
        <f ca="1">IFERROR(__xludf.DUMMYFUNCTION("AE722*(V722 / QUERY(NPCVar!$K$2:$N$12, ""Select N WHERE K='""&amp;AB722&amp;""'""))*TRUNC(1+10)*(TRUNC(MOD(($B722*1103515245 +12345)/ 65536, 32768),0)/32768)"),6.85297851562499)</f>
        <v>6.8529785156249901</v>
      </c>
      <c r="AG722" s="16"/>
      <c r="AH722" s="77"/>
      <c r="AI722" s="114"/>
    </row>
    <row r="723" spans="1:35" ht="16.2">
      <c r="A723" s="53">
        <v>722</v>
      </c>
      <c r="B723" s="118">
        <f t="shared" si="48"/>
        <v>0.25703999999999999</v>
      </c>
      <c r="C723" s="72" t="str">
        <f t="array" ref="C723">INDEX(NPCFName,TRUNC(1+(COUNTA(NPCFName))*(TRUNC(MOD(($B723*1103515245 +12345)/ 65536, 32768),0)/32768),0))</f>
        <v>Hectar</v>
      </c>
      <c r="D723" s="16" t="str">
        <f t="array" ref="D723">INDEX(NPCLName,TRUNC(1+(COUNTA(NPCLName))*(TRUNC(MOD(($B723*1103515245 +12345)/ 65536, 32768),0)/32768),0))</f>
        <v>Distantlash</v>
      </c>
      <c r="E723" s="16" t="str">
        <f t="array" ref="E723">INDEX(NPCClass,TRUNC(1+(COUNTA(NPCClass))*(TRUNC(MOD(($B723*1103515245 +12345)/ 65536, 32768),0)/32768),0))</f>
        <v>Bard</v>
      </c>
      <c r="F723" s="76">
        <v>1</v>
      </c>
      <c r="G723" s="153">
        <f ca="1">VLOOKUP($AB$2,'RF Mod'!$A$2:$G$12,2,FALSE)+VLOOKUP($AD$2,'RF Mod'!$I$2:$O$11,2,FALSE)+(TRUNC(6+(24-6)*(TRUNC(MOD(($Z723*1103515245 +12345)/ 65536, 32768),0)/32768),0))</f>
        <v>5</v>
      </c>
      <c r="H723" s="16">
        <f t="shared" ca="1" si="33"/>
        <v>-3</v>
      </c>
      <c r="I723" s="153">
        <f ca="1">VLOOKUP($AB$2,'RF Mod'!$A$2:$G$12,3,FALSE)+VLOOKUP($AD$2,'RF Mod'!$I$2:$O$11,3,FALSE)+(TRUNC(6+(24-6)*(TRUNC(MOD(($Z723*1103515245 +12345)/ 65536, 32768),0)/32768),0))</f>
        <v>9</v>
      </c>
      <c r="J723" s="16">
        <f t="shared" ca="1" si="34"/>
        <v>-1</v>
      </c>
      <c r="K723" s="153">
        <f ca="1">VLOOKUP($AB$2,'RF Mod'!$A$2:$G$12,3,FALSE)+VLOOKUP($AD$2,'RF Mod'!$I$2:$O$11,3,FALSE)+(TRUNC(6+(24-6)*(TRUNC(MOD(($Z723*1103515245 +12345)/ 65536, 32768),0)/32768),0))</f>
        <v>9</v>
      </c>
      <c r="L723" s="16">
        <f t="shared" ca="1" si="35"/>
        <v>-1</v>
      </c>
      <c r="M723" s="153">
        <f ca="1">VLOOKUP($AB$2,'RF Mod'!$A$2:$G$12,4,FALSE)+VLOOKUP($AD$2,'RF Mod'!$I$2:$O$11,4,FALSE)+(TRUNC(6+(24-6)*(TRUNC(MOD(($Z723*1103515245 +12345)/ 65536, 32768),0)/32768),0))</f>
        <v>8</v>
      </c>
      <c r="N723" s="16">
        <f t="shared" ca="1" si="36"/>
        <v>-1</v>
      </c>
      <c r="O723" s="153">
        <f ca="1">VLOOKUP($AB$2,'RF Mod'!$A$2:$G$12,5,FALSE)+VLOOKUP($AD$2,'RF Mod'!$I$2:$O$11,5,FALSE)+(TRUNC(6+(24-6)*(TRUNC(MOD(($Z723*1103515245 +12345)/ 65536, 32768),0)/32768),0))</f>
        <v>11</v>
      </c>
      <c r="P723" s="16" t="e">
        <f t="shared" ca="1" si="37"/>
        <v>#NAME?</v>
      </c>
      <c r="Q723" s="153">
        <f ca="1">VLOOKUP($AB$2,'RF Mod'!$A$2:$G$12,6,FALSE)+VLOOKUP($AD$2,'RF Mod'!$I$2:$O$11,6,FALSE)+(TRUNC(6+(24-6)*(TRUNC(MOD(($Z723*1103515245 +12345)/ 65536, 32768),0)/32768),0))</f>
        <v>9</v>
      </c>
      <c r="R723" s="16">
        <f t="shared" ca="1" si="38"/>
        <v>-1</v>
      </c>
      <c r="S723" s="154">
        <f t="shared" ca="1" si="43"/>
        <v>27</v>
      </c>
      <c r="T723" s="154">
        <f t="shared" ca="1" si="39"/>
        <v>22</v>
      </c>
      <c r="U723" s="16" t="str">
        <f t="shared" ca="1" si="40"/>
        <v>Bloody</v>
      </c>
      <c r="V723" s="155">
        <f ca="1">IFERROR(__xludf.DUMMYFUNCTION("if(W723=""Middle Age"",QUERY(NPCVar!$K$2:$N1000, ""Select L where K = '""&amp;AB723&amp;""'""),if(W723=""Old"",QUERY(NPCVar!$K$2:$N1000, ""Select M where K = '""&amp;AB723&amp;""'""),if(W723=""Venerable"",QUERY(NPCVar!$K$2:$N1000, ""Select N where K = '""&amp;AB723&amp;""'""),fa"&amp;"lse)))*X723"),32)</f>
        <v>32</v>
      </c>
      <c r="W723" s="156" t="str">
        <f t="array" ref="W723">INDEX(NPCAgeType,TRUNC(1+(4-1)*(TRUNC(MOD((X723*1103515245 +12345)/ 65536, 32768),0)/32768),0))</f>
        <v>Middle Age</v>
      </c>
      <c r="X723" s="117">
        <f t="shared" si="45"/>
        <v>0.4</v>
      </c>
      <c r="Y723" s="157" t="e">
        <f t="array" aca="1" ref="Y723" ca="1">LOOKUP(ABS(MAX(Z723 + MIN(ABS(INDIRECT("Class Jobs!B"&amp;MATCH(E723,'Class Jobs'!$A$1:$A1000,0)&amp;":"&amp;"AF"&amp;MATCH(E723,'Class Jobs'!$A$1:$A1000,0)&amp;"")-$Z723)) * SUM(IF(MIN(ABS(INDIRECT("Class Jobs!B"&amp;MATCH(E723,'Class Jobs'!$A$1:$A1000,0)&amp;":"&amp;"AF"&amp;MATCH(E723,'Class Jobs'!$A$1:$A1000,0)&amp;"")-$Z723))=ABS(INDIRECT("Class Jobs!B"&amp;MATCH(E723,'Class Jobs'!$A$1:$A1000,0)&amp;":"&amp;"AF"&amp;MATCH(E723,'Class Jobs'!$A$1:$A1000,0)&amp;"")-$Z723),SIGN(INDIRECT("Class Jobs!B"&amp;MATCH(E723,'Class Jobs'!$A$1:A1000,0)&amp;":"&amp;"AF"&amp;MATCH(E723,'Class Jobs'!$A$1:$A1000,0)&amp;"")-$Z723),0)),0)),INDIRECT("Class Jobs!B"&amp;MATCH(E723,'Class Jobs'!$A$1:$A1000,0)&amp;":"&amp;"AF"&amp;MATCH(E723,'Class Jobs'!$A$1:$A1000,1)&amp;""),'Class Jobs'!$B$1:$AF$1)</f>
        <v>#REF!</v>
      </c>
      <c r="Z723" s="158">
        <f t="shared" si="41"/>
        <v>0.14000000000000001</v>
      </c>
      <c r="AA723" s="16" t="str">
        <f t="array" ref="AA723">INDEX(NPCGender,TRUNC(1+(COUNTA(NPCGender))*(TRUNC(MOD(($B723*1103515245 +12345)/ 65536, 32768),0)/32768),0))</f>
        <v>Male</v>
      </c>
      <c r="AB723" s="16" t="str">
        <f t="array" ref="AB723">INDEX(NPCRace,TRUNC(1+(COUNTA(NPCRace))*(TRUNC(MOD(($B723*1103515245 +12345)/ 65536, 32768),0)/32768),0))</f>
        <v>Dwarf</v>
      </c>
      <c r="AC723" s="16" t="str">
        <f t="array" ref="AC723">INDEX(NPCAL,TRUNC(1+(COUNTA(NPCAL))*(TRUNC(MOD(($B723*1103515245 +12345)/ 65536, 32768),0)/32768),0))</f>
        <v>CE</v>
      </c>
      <c r="AD723" s="72" t="str">
        <f ca="1">IFERROR(__xludf.DUMMYFUNCTION("if(V723&lt;15,QUERY(NPCVar!C:D,""Select D WHERE C = '""&amp;D723&amp;""'""),if((TRUNC(1+10)*(TRUNC(MOD((ROW(H723)*1103515245 +12345)/ 65536, 32768),0)/32768)/10) &gt; 0.85,INDEX(NPCFaction,TRUNC(1+(counta(NPCFaction)-1)*(TRUNC(MOD(($B723*1103515245 +12345)/ 65536, 3276"&amp;"8),0)/32768),0)),QUERY(NPCVar!C:D,""Select D WHERE C = '""&amp;D723&amp;""'"")))"),"Death Guild")</f>
        <v>Death Guild</v>
      </c>
      <c r="AE723" s="108" t="e">
        <f t="shared" ca="1" si="42"/>
        <v>#NAME?</v>
      </c>
      <c r="AF723" s="159">
        <f ca="1">IFERROR(__xludf.DUMMYFUNCTION("AE723*(V723 / QUERY(NPCVar!$K$2:$N$12, ""Select N WHERE K='""&amp;AB723&amp;""'""))*TRUNC(1+10)*(TRUNC(MOD(($B723*1103515245 +12345)/ 65536, 32768),0)/32768)"),-0.0290576171875)</f>
        <v>-2.9057617187499999E-2</v>
      </c>
      <c r="AG723" s="16"/>
      <c r="AH723" s="77"/>
      <c r="AI723" s="114"/>
    </row>
    <row r="724" spans="1:35" ht="16.2">
      <c r="A724" s="53">
        <v>723</v>
      </c>
      <c r="B724" s="118">
        <f t="shared" si="48"/>
        <v>1.7511699999999999</v>
      </c>
      <c r="C724" s="72" t="str">
        <f t="array" ref="C724">INDEX(NPCFName,TRUNC(1+(COUNTA(NPCFName))*(TRUNC(MOD(($B724*1103515245 +12345)/ 65536, 32768),0)/32768),0))</f>
        <v>Quiad</v>
      </c>
      <c r="D724" s="16" t="str">
        <f t="array" ref="D724">INDEX(NPCLName,TRUNC(1+(COUNTA(NPCLName))*(TRUNC(MOD(($B724*1103515245 +12345)/ 65536, 32768),0)/32768),0))</f>
        <v>Forestbluff</v>
      </c>
      <c r="E724" s="16" t="str">
        <f t="array" ref="E724">INDEX(NPCClass,TRUNC(1+(COUNTA(NPCClass))*(TRUNC(MOD(($B724*1103515245 +12345)/ 65536, 32768),0)/32768),0))</f>
        <v>Fighter</v>
      </c>
      <c r="F724" s="76">
        <v>8</v>
      </c>
      <c r="G724" s="153">
        <f ca="1">VLOOKUP($AB$2,'RF Mod'!$A$2:$G$12,2,FALSE)+VLOOKUP($AD$2,'RF Mod'!$I$2:$O$11,2,FALSE)+(TRUNC(6+(24-6)*(TRUNC(MOD(($Z724*1103515245 +12345)/ 65536, 32768),0)/32768),0))</f>
        <v>12</v>
      </c>
      <c r="H724" s="16" t="e">
        <f t="shared" ca="1" si="33"/>
        <v>#NAME?</v>
      </c>
      <c r="I724" s="153">
        <f ca="1">VLOOKUP($AB$2,'RF Mod'!$A$2:$G$12,3,FALSE)+VLOOKUP($AD$2,'RF Mod'!$I$2:$O$11,3,FALSE)+(TRUNC(6+(24-6)*(TRUNC(MOD(($Z724*1103515245 +12345)/ 65536, 32768),0)/32768),0))</f>
        <v>16</v>
      </c>
      <c r="J724" s="16" t="e">
        <f t="shared" ca="1" si="34"/>
        <v>#NAME?</v>
      </c>
      <c r="K724" s="153">
        <f ca="1">VLOOKUP($AB$2,'RF Mod'!$A$2:$G$12,3,FALSE)+VLOOKUP($AD$2,'RF Mod'!$I$2:$O$11,3,FALSE)+(TRUNC(6+(24-6)*(TRUNC(MOD(($Z724*1103515245 +12345)/ 65536, 32768),0)/32768),0))</f>
        <v>16</v>
      </c>
      <c r="L724" s="16" t="e">
        <f t="shared" ca="1" si="35"/>
        <v>#NAME?</v>
      </c>
      <c r="M724" s="153">
        <f ca="1">VLOOKUP($AB$2,'RF Mod'!$A$2:$G$12,4,FALSE)+VLOOKUP($AD$2,'RF Mod'!$I$2:$O$11,4,FALSE)+(TRUNC(6+(24-6)*(TRUNC(MOD(($Z724*1103515245 +12345)/ 65536, 32768),0)/32768),0))</f>
        <v>15</v>
      </c>
      <c r="N724" s="16" t="e">
        <f t="shared" ca="1" si="36"/>
        <v>#NAME?</v>
      </c>
      <c r="O724" s="153">
        <f ca="1">VLOOKUP($AB$2,'RF Mod'!$A$2:$G$12,5,FALSE)+VLOOKUP($AD$2,'RF Mod'!$I$2:$O$11,5,FALSE)+(TRUNC(6+(24-6)*(TRUNC(MOD(($Z724*1103515245 +12345)/ 65536, 32768),0)/32768),0))</f>
        <v>18</v>
      </c>
      <c r="P724" s="16" t="e">
        <f t="shared" ca="1" si="37"/>
        <v>#NAME?</v>
      </c>
      <c r="Q724" s="153">
        <f ca="1">VLOOKUP($AB$2,'RF Mod'!$A$2:$G$12,6,FALSE)+VLOOKUP($AD$2,'RF Mod'!$I$2:$O$11,6,FALSE)+(TRUNC(6+(24-6)*(TRUNC(MOD(($Z724*1103515245 +12345)/ 65536, 32768),0)/32768),0))</f>
        <v>16</v>
      </c>
      <c r="R724" s="16" t="e">
        <f t="shared" ca="1" si="38"/>
        <v>#NAME?</v>
      </c>
      <c r="S724" s="154">
        <f t="shared" ca="1" si="43"/>
        <v>240</v>
      </c>
      <c r="T724" s="154">
        <f t="shared" ca="1" si="39"/>
        <v>140</v>
      </c>
      <c r="U724" s="16" t="str">
        <f t="shared" ca="1" si="40"/>
        <v>Bloody</v>
      </c>
      <c r="V724" s="155">
        <f ca="1">IFERROR(__xludf.DUMMYFUNCTION("if(W724=""Middle Age"",QUERY(NPCVar!$K$2:$N1000, ""Select L where K = '""&amp;AB724&amp;""'""),if(W724=""Old"",QUERY(NPCVar!$K$2:$N1000, ""Select M where K = '""&amp;AB724&amp;""'""),if(W724=""Venerable"",QUERY(NPCVar!$K$2:$N1000, ""Select N where K = '""&amp;AB724&amp;""'""),fa"&amp;"lse)))*X724"),60.5)</f>
        <v>60.5</v>
      </c>
      <c r="W724" s="156" t="str">
        <f t="array" ref="W724">INDEX(NPCAgeType,TRUNC(1+(4-1)*(TRUNC(MOD((X724*1103515245 +12345)/ 65536, 32768),0)/32768),0))</f>
        <v>Middle Age</v>
      </c>
      <c r="X724" s="117">
        <f t="shared" si="45"/>
        <v>2.2000000000000002</v>
      </c>
      <c r="Y724" s="157" t="e">
        <f t="array" aca="1" ref="Y724" ca="1">LOOKUP(ABS(MAX(Z724 + MIN(ABS(INDIRECT("Class Jobs!B"&amp;MATCH(E724,'Class Jobs'!$A$1:$A1000,0)&amp;":"&amp;"AF"&amp;MATCH(E724,'Class Jobs'!$A$1:$A1000,0)&amp;"")-$Z724)) * SUM(IF(MIN(ABS(INDIRECT("Class Jobs!B"&amp;MATCH(E724,'Class Jobs'!$A$1:$A1000,0)&amp;":"&amp;"AF"&amp;MATCH(E724,'Class Jobs'!$A$1:$A1000,0)&amp;"")-$Z724))=ABS(INDIRECT("Class Jobs!B"&amp;MATCH(E724,'Class Jobs'!$A$1:$A1000,0)&amp;":"&amp;"AF"&amp;MATCH(E724,'Class Jobs'!$A$1:$A1000,0)&amp;"")-$Z724),SIGN(INDIRECT("Class Jobs!B"&amp;MATCH(E724,'Class Jobs'!$A$1:A1000,0)&amp;":"&amp;"AF"&amp;MATCH(E724,'Class Jobs'!$A$1:$A1000,0)&amp;"")-$Z724),0)),0)),INDIRECT("Class Jobs!B"&amp;MATCH(E724,'Class Jobs'!$A$1:$A1000,0)&amp;":"&amp;"AF"&amp;MATCH(E724,'Class Jobs'!$A$1:$A1000,1)&amp;""),'Class Jobs'!$B$1:$AF$1)</f>
        <v>#REF!</v>
      </c>
      <c r="Z724" s="158">
        <f t="shared" si="41"/>
        <v>0.9</v>
      </c>
      <c r="AA724" s="16" t="str">
        <f t="array" ref="AA724">INDEX(NPCGender,TRUNC(1+(COUNTA(NPCGender))*(TRUNC(MOD(($B724*1103515245 +12345)/ 65536, 32768),0)/32768),0))</f>
        <v>Neutral</v>
      </c>
      <c r="AB724" s="16" t="str">
        <f t="array" ref="AB724">INDEX(NPCRace,TRUNC(1+(COUNTA(NPCRace))*(TRUNC(MOD(($B724*1103515245 +12345)/ 65536, 32768),0)/32768),0))</f>
        <v>Genasi</v>
      </c>
      <c r="AC724" s="16" t="str">
        <f t="array" ref="AC724">INDEX(NPCAL,TRUNC(1+(COUNTA(NPCAL))*(TRUNC(MOD(($B724*1103515245 +12345)/ 65536, 32768),0)/32768),0))</f>
        <v>LE</v>
      </c>
      <c r="AD724" s="72" t="str">
        <f ca="1">IFERROR(__xludf.DUMMYFUNCTION("if(V724&lt;15,QUERY(NPCVar!C:D,""Select D WHERE C = '""&amp;D724&amp;""'""),if((TRUNC(1+10)*(TRUNC(MOD((ROW(H724)*1103515245 +12345)/ 65536, 32768),0)/32768)/10) &gt; 0.85,INDEX(NPCFaction,TRUNC(1+(counta(NPCFaction)-1)*(TRUNC(MOD(($B724*1103515245 +12345)/ 65536, 3276"&amp;"8),0)/32768),0)),QUERY(NPCVar!C:D,""Select D WHERE C = '""&amp;D724&amp;""'"")))"),"Thieves Guild")</f>
        <v>Thieves Guild</v>
      </c>
      <c r="AE724" s="108" t="e">
        <f t="shared" ca="1" si="42"/>
        <v>#NAME?</v>
      </c>
      <c r="AF724" s="159">
        <f ca="1">IFERROR(__xludf.DUMMYFUNCTION("AE724*(V724 / QUERY(NPCVar!$K$2:$N$12, ""Select N WHERE K='""&amp;AB724&amp;""'""))*TRUNC(1+10)*(TRUNC(MOD(($B724*1103515245 +12345)/ 65536, 32768),0)/32768)"),3.26642395019531)</f>
        <v>3.2664239501953101</v>
      </c>
      <c r="AG724" s="16"/>
      <c r="AH724" s="77"/>
      <c r="AI724" s="114"/>
    </row>
    <row r="725" spans="1:35" ht="16.2">
      <c r="A725" s="53">
        <v>724</v>
      </c>
      <c r="B725" s="118">
        <f t="shared" si="48"/>
        <v>0.74531999999999998</v>
      </c>
      <c r="C725" s="72" t="str">
        <f t="array" ref="C725">INDEX(NPCFName,TRUNC(1+(COUNTA(NPCFName))*(TRUNC(MOD(($B725*1103515245 +12345)/ 65536, 32768),0)/32768),0))</f>
        <v>Cespar</v>
      </c>
      <c r="D725" s="16" t="str">
        <f t="array" ref="D725">INDEX(NPCLName,TRUNC(1+(COUNTA(NPCLName))*(TRUNC(MOD(($B725*1103515245 +12345)/ 65536, 32768),0)/32768),0))</f>
        <v>Fistroot</v>
      </c>
      <c r="E725" s="16" t="str">
        <f t="array" ref="E725">INDEX(NPCClass,TRUNC(1+(COUNTA(NPCClass))*(TRUNC(MOD(($B725*1103515245 +12345)/ 65536, 32768),0)/32768),0))</f>
        <v>Paladin</v>
      </c>
      <c r="F725" s="76">
        <v>6</v>
      </c>
      <c r="G725" s="153">
        <f ca="1">VLOOKUP($AB$2,'RF Mod'!$A$2:$G$12,2,FALSE)+VLOOKUP($AD$2,'RF Mod'!$I$2:$O$11,2,FALSE)+(TRUNC(6+(24-6)*(TRUNC(MOD(($Z725*1103515245 +12345)/ 65536, 32768),0)/32768),0))</f>
        <v>7</v>
      </c>
      <c r="H725" s="16">
        <f t="shared" ca="1" si="33"/>
        <v>-2</v>
      </c>
      <c r="I725" s="153">
        <f ca="1">VLOOKUP($AB$2,'RF Mod'!$A$2:$G$12,3,FALSE)+VLOOKUP($AD$2,'RF Mod'!$I$2:$O$11,3,FALSE)+(TRUNC(6+(24-6)*(TRUNC(MOD(($Z725*1103515245 +12345)/ 65536, 32768),0)/32768),0))</f>
        <v>11</v>
      </c>
      <c r="J725" s="16" t="e">
        <f t="shared" ca="1" si="34"/>
        <v>#NAME?</v>
      </c>
      <c r="K725" s="153">
        <f ca="1">VLOOKUP($AB$2,'RF Mod'!$A$2:$G$12,3,FALSE)+VLOOKUP($AD$2,'RF Mod'!$I$2:$O$11,3,FALSE)+(TRUNC(6+(24-6)*(TRUNC(MOD(($Z725*1103515245 +12345)/ 65536, 32768),0)/32768),0))</f>
        <v>11</v>
      </c>
      <c r="L725" s="16" t="e">
        <f t="shared" ca="1" si="35"/>
        <v>#NAME?</v>
      </c>
      <c r="M725" s="153">
        <f ca="1">VLOOKUP($AB$2,'RF Mod'!$A$2:$G$12,4,FALSE)+VLOOKUP($AD$2,'RF Mod'!$I$2:$O$11,4,FALSE)+(TRUNC(6+(24-6)*(TRUNC(MOD(($Z725*1103515245 +12345)/ 65536, 32768),0)/32768),0))</f>
        <v>10</v>
      </c>
      <c r="N725" s="16" t="e">
        <f t="shared" ca="1" si="36"/>
        <v>#NAME?</v>
      </c>
      <c r="O725" s="153">
        <f ca="1">VLOOKUP($AB$2,'RF Mod'!$A$2:$G$12,5,FALSE)+VLOOKUP($AD$2,'RF Mod'!$I$2:$O$11,5,FALSE)+(TRUNC(6+(24-6)*(TRUNC(MOD(($Z725*1103515245 +12345)/ 65536, 32768),0)/32768),0))</f>
        <v>13</v>
      </c>
      <c r="P725" s="16" t="e">
        <f t="shared" ca="1" si="37"/>
        <v>#NAME?</v>
      </c>
      <c r="Q725" s="153">
        <f ca="1">VLOOKUP($AB$2,'RF Mod'!$A$2:$G$12,6,FALSE)+VLOOKUP($AD$2,'RF Mod'!$I$2:$O$11,6,FALSE)+(TRUNC(6+(24-6)*(TRUNC(MOD(($Z725*1103515245 +12345)/ 65536, 32768),0)/32768),0))</f>
        <v>11</v>
      </c>
      <c r="R725" s="16" t="e">
        <f t="shared" ca="1" si="38"/>
        <v>#NAME?</v>
      </c>
      <c r="S725" s="154">
        <f t="shared" ca="1" si="43"/>
        <v>78</v>
      </c>
      <c r="T725" s="154">
        <f t="shared" ca="1" si="39"/>
        <v>59</v>
      </c>
      <c r="U725" s="16" t="str">
        <f t="shared" ca="1" si="40"/>
        <v>Bloody</v>
      </c>
      <c r="V725" s="155">
        <f ca="1">IFERROR(__xludf.DUMMYFUNCTION("if(W725=""Middle Age"",QUERY(NPCVar!$K$2:$N1000, ""Select L where K = '""&amp;AB725&amp;""'""),if(W725=""Old"",QUERY(NPCVar!$K$2:$N1000, ""Select M where K = '""&amp;AB725&amp;""'""),if(W725=""Venerable"",QUERY(NPCVar!$K$2:$N1000, ""Select N where K = '""&amp;AB725&amp;""'""),fa"&amp;"lse)))*X725"),67.5)</f>
        <v>67.5</v>
      </c>
      <c r="W725" s="156" t="str">
        <f t="array" ref="W725">INDEX(NPCAgeType,TRUNC(1+(4-1)*(TRUNC(MOD((X725*1103515245 +12345)/ 65536, 32768),0)/32768),0))</f>
        <v>Old</v>
      </c>
      <c r="X725" s="117">
        <f t="shared" si="45"/>
        <v>1</v>
      </c>
      <c r="Y725" s="157" t="e">
        <f t="array" aca="1" ref="Y725" ca="1">LOOKUP(ABS(MAX(Z725 + MIN(ABS(INDIRECT("Class Jobs!B"&amp;MATCH(E725,'Class Jobs'!$A$1:$A1000,0)&amp;":"&amp;"AF"&amp;MATCH(E725,'Class Jobs'!$A$1:$A1000,0)&amp;"")-$Z725)) * SUM(IF(MIN(ABS(INDIRECT("Class Jobs!B"&amp;MATCH(E725,'Class Jobs'!$A$1:$A1000,0)&amp;":"&amp;"AF"&amp;MATCH(E725,'Class Jobs'!$A$1:$A1000,0)&amp;"")-$Z725))=ABS(INDIRECT("Class Jobs!B"&amp;MATCH(E725,'Class Jobs'!$A$1:$A1000,0)&amp;":"&amp;"AF"&amp;MATCH(E725,'Class Jobs'!$A$1:$A1000,0)&amp;"")-$Z725),SIGN(INDIRECT("Class Jobs!B"&amp;MATCH(E725,'Class Jobs'!$A$1:A1000,0)&amp;":"&amp;"AF"&amp;MATCH(E725,'Class Jobs'!$A$1:$A1000,0)&amp;"")-$Z725),0)),0)),INDIRECT("Class Jobs!B"&amp;MATCH(E725,'Class Jobs'!$A$1:$A1000,0)&amp;":"&amp;"AF"&amp;MATCH(E725,'Class Jobs'!$A$1:$A1000,1)&amp;""),'Class Jobs'!$B$1:$AF$1)</f>
        <v>#REF!</v>
      </c>
      <c r="Z725" s="158">
        <f t="shared" si="41"/>
        <v>0.38</v>
      </c>
      <c r="AA725" s="16" t="str">
        <f t="array" ref="AA725">INDEX(NPCGender,TRUNC(1+(COUNTA(NPCGender))*(TRUNC(MOD(($B725*1103515245 +12345)/ 65536, 32768),0)/32768),0))</f>
        <v>Female</v>
      </c>
      <c r="AB725" s="16" t="str">
        <f t="array" ref="AB725">INDEX(NPCRace,TRUNC(1+(COUNTA(NPCRace))*(TRUNC(MOD(($B725*1103515245 +12345)/ 65536, 32768),0)/32768),0))</f>
        <v>Half-Elf</v>
      </c>
      <c r="AC725" s="16" t="str">
        <f t="array" ref="AC725">INDEX(NPCAL,TRUNC(1+(COUNTA(NPCAL))*(TRUNC(MOD(($B725*1103515245 +12345)/ 65536, 32768),0)/32768),0))</f>
        <v>NG</v>
      </c>
      <c r="AD725" s="72" t="str">
        <f ca="1">IFERROR(__xludf.DUMMYFUNCTION("if(V725&lt;15,QUERY(NPCVar!C:D,""Select D WHERE C = '""&amp;D725&amp;""'""),if((TRUNC(1+10)*(TRUNC(MOD((ROW(H725)*1103515245 +12345)/ 65536, 32768),0)/32768)/10) &gt; 0.85,INDEX(NPCFaction,TRUNC(1+(counta(NPCFaction)-1)*(TRUNC(MOD(($B725*1103515245 +12345)/ 65536, 3276"&amp;"8),0)/32768),0)),QUERY(NPCVar!C:D,""Select D WHERE C = '""&amp;D725&amp;""'"")))"),"Magic Guild")</f>
        <v>Magic Guild</v>
      </c>
      <c r="AE725" s="108" t="e">
        <f t="shared" ca="1" si="42"/>
        <v>#NAME?</v>
      </c>
      <c r="AF725" s="159">
        <f ca="1">IFERROR(__xludf.DUMMYFUNCTION("AE725*(V725 / QUERY(NPCVar!$K$2:$N$12, ""Select N WHERE K='""&amp;AB725&amp;""'""))*TRUNC(1+10)*(TRUNC(MOD(($B725*1103515245 +12345)/ 65536, 32768),0)/32768)"),0)</f>
        <v>0</v>
      </c>
      <c r="AG725" s="16"/>
      <c r="AH725" s="77"/>
      <c r="AI725" s="114"/>
    </row>
    <row r="726" spans="1:35" ht="16.2">
      <c r="A726" s="53">
        <v>725</v>
      </c>
      <c r="B726" s="118">
        <f t="shared" si="48"/>
        <v>2.2394500000000002</v>
      </c>
      <c r="C726" s="72" t="str">
        <f t="array" ref="C726">INDEX(NPCFName,TRUNC(1+(COUNTA(NPCFName))*(TRUNC(MOD(($B726*1103515245 +12345)/ 65536, 32768),0)/32768),0))</f>
        <v>Jesco</v>
      </c>
      <c r="D726" s="16" t="str">
        <f t="array" ref="D726">INDEX(NPCLName,TRUNC(1+(COUNTA(NPCLName))*(TRUNC(MOD(($B726*1103515245 +12345)/ 65536, 32768),0)/32768),0))</f>
        <v>Fistwing</v>
      </c>
      <c r="E726" s="16" t="str">
        <f t="array" ref="E726">INDEX(NPCClass,TRUNC(1+(COUNTA(NPCClass))*(TRUNC(MOD(($B726*1103515245 +12345)/ 65536, 32768),0)/32768),0))</f>
        <v>Bard</v>
      </c>
      <c r="F726" s="76">
        <v>1</v>
      </c>
      <c r="G726" s="153">
        <f ca="1">VLOOKUP($AB$2,'RF Mod'!$A$2:$G$12,2,FALSE)+VLOOKUP($AD$2,'RF Mod'!$I$2:$O$11,2,FALSE)+(TRUNC(6+(24-6)*(TRUNC(MOD(($Z726*1103515245 +12345)/ 65536, 32768),0)/32768),0))</f>
        <v>5</v>
      </c>
      <c r="H726" s="16">
        <f t="shared" ca="1" si="33"/>
        <v>-3</v>
      </c>
      <c r="I726" s="153">
        <f ca="1">VLOOKUP($AB$2,'RF Mod'!$A$2:$G$12,3,FALSE)+VLOOKUP($AD$2,'RF Mod'!$I$2:$O$11,3,FALSE)+(TRUNC(6+(24-6)*(TRUNC(MOD(($Z726*1103515245 +12345)/ 65536, 32768),0)/32768),0))</f>
        <v>9</v>
      </c>
      <c r="J726" s="16">
        <f t="shared" ca="1" si="34"/>
        <v>-1</v>
      </c>
      <c r="K726" s="153">
        <f ca="1">VLOOKUP($AB$2,'RF Mod'!$A$2:$G$12,3,FALSE)+VLOOKUP($AD$2,'RF Mod'!$I$2:$O$11,3,FALSE)+(TRUNC(6+(24-6)*(TRUNC(MOD(($Z726*1103515245 +12345)/ 65536, 32768),0)/32768),0))</f>
        <v>9</v>
      </c>
      <c r="L726" s="16">
        <f t="shared" ca="1" si="35"/>
        <v>-1</v>
      </c>
      <c r="M726" s="153">
        <f ca="1">VLOOKUP($AB$2,'RF Mod'!$A$2:$G$12,4,FALSE)+VLOOKUP($AD$2,'RF Mod'!$I$2:$O$11,4,FALSE)+(TRUNC(6+(24-6)*(TRUNC(MOD(($Z726*1103515245 +12345)/ 65536, 32768),0)/32768),0))</f>
        <v>8</v>
      </c>
      <c r="N726" s="16">
        <f t="shared" ca="1" si="36"/>
        <v>-1</v>
      </c>
      <c r="O726" s="153">
        <f ca="1">VLOOKUP($AB$2,'RF Mod'!$A$2:$G$12,5,FALSE)+VLOOKUP($AD$2,'RF Mod'!$I$2:$O$11,5,FALSE)+(TRUNC(6+(24-6)*(TRUNC(MOD(($Z726*1103515245 +12345)/ 65536, 32768),0)/32768),0))</f>
        <v>11</v>
      </c>
      <c r="P726" s="16" t="e">
        <f t="shared" ca="1" si="37"/>
        <v>#NAME?</v>
      </c>
      <c r="Q726" s="153">
        <f ca="1">VLOOKUP($AB$2,'RF Mod'!$A$2:$G$12,6,FALSE)+VLOOKUP($AD$2,'RF Mod'!$I$2:$O$11,6,FALSE)+(TRUNC(6+(24-6)*(TRUNC(MOD(($Z726*1103515245 +12345)/ 65536, 32768),0)/32768),0))</f>
        <v>9</v>
      </c>
      <c r="R726" s="16">
        <f t="shared" ca="1" si="38"/>
        <v>-1</v>
      </c>
      <c r="S726" s="154">
        <f t="shared" ca="1" si="43"/>
        <v>11</v>
      </c>
      <c r="T726" s="154">
        <f t="shared" ca="1" si="39"/>
        <v>2</v>
      </c>
      <c r="U726" s="16" t="str">
        <f t="shared" ca="1" si="40"/>
        <v>Fine</v>
      </c>
      <c r="V726" s="155">
        <f ca="1">IFERROR(__xludf.DUMMYFUNCTION("if(W726=""Middle Age"",QUERY(NPCVar!$K$2:$N1000, ""Select L where K = '""&amp;AB726&amp;""'""),if(W726=""Old"",QUERY(NPCVar!$K$2:$N1000, ""Select M where K = '""&amp;AB726&amp;""'""),if(W726=""Venerable"",QUERY(NPCVar!$K$2:$N1000, ""Select N where K = '""&amp;AB726&amp;""'""),fa"&amp;"lse)))*X726"),32)</f>
        <v>32</v>
      </c>
      <c r="W726" s="156" t="str">
        <f t="array" ref="W726">INDEX(NPCAgeType,TRUNC(1+(4-1)*(TRUNC(MOD((X726*1103515245 +12345)/ 65536, 32768),0)/32768),0))</f>
        <v>Middle Age</v>
      </c>
      <c r="X726" s="117">
        <f t="shared" si="45"/>
        <v>0.4</v>
      </c>
      <c r="Y726" s="157" t="e">
        <f t="array" aca="1" ref="Y726" ca="1">LOOKUP(ABS(MAX(Z726 + MIN(ABS(INDIRECT("Class Jobs!B"&amp;MATCH(E726,'Class Jobs'!$A$1:$A1000,0)&amp;":"&amp;"AF"&amp;MATCH(E726,'Class Jobs'!$A$1:$A1000,0)&amp;"")-$Z726)) * SUM(IF(MIN(ABS(INDIRECT("Class Jobs!B"&amp;MATCH(E726,'Class Jobs'!$A$1:$A1000,0)&amp;":"&amp;"AF"&amp;MATCH(E726,'Class Jobs'!$A$1:$A1000,0)&amp;"")-$Z726))=ABS(INDIRECT("Class Jobs!B"&amp;MATCH(E726,'Class Jobs'!$A$1:$A1000,0)&amp;":"&amp;"AF"&amp;MATCH(E726,'Class Jobs'!$A$1:$A1000,0)&amp;"")-$Z726),SIGN(INDIRECT("Class Jobs!B"&amp;MATCH(E726,'Class Jobs'!$A$1:A1000,0)&amp;":"&amp;"AF"&amp;MATCH(E726,'Class Jobs'!$A$1:$A1000,0)&amp;"")-$Z726),0)),0)),INDIRECT("Class Jobs!B"&amp;MATCH(E726,'Class Jobs'!$A$1:$A1000,0)&amp;":"&amp;"AF"&amp;MATCH(E726,'Class Jobs'!$A$1:$A1000,1)&amp;""),'Class Jobs'!$B$1:$AF$1)</f>
        <v>#REF!</v>
      </c>
      <c r="Z726" s="158">
        <f t="shared" si="41"/>
        <v>0.15</v>
      </c>
      <c r="AA726" s="16" t="str">
        <f t="array" ref="AA726">INDEX(NPCGender,TRUNC(1+(COUNTA(NPCGender))*(TRUNC(MOD(($B726*1103515245 +12345)/ 65536, 32768),0)/32768),0))</f>
        <v>Male</v>
      </c>
      <c r="AB726" s="16" t="str">
        <f t="array" ref="AB726">INDEX(NPCRace,TRUNC(1+(COUNTA(NPCRace))*(TRUNC(MOD(($B726*1103515245 +12345)/ 65536, 32768),0)/32768),0))</f>
        <v>Dwarf</v>
      </c>
      <c r="AC726" s="16" t="str">
        <f t="array" ref="AC726">INDEX(NPCAL,TRUNC(1+(COUNTA(NPCAL))*(TRUNC(MOD(($B726*1103515245 +12345)/ 65536, 32768),0)/32768),0))</f>
        <v>CE</v>
      </c>
      <c r="AD726" s="72" t="str">
        <f ca="1">IFERROR(__xludf.DUMMYFUNCTION("if(V726&lt;15,QUERY(NPCVar!C:D,""Select D WHERE C = '""&amp;D726&amp;""'""),if((TRUNC(1+10)*(TRUNC(MOD((ROW(H726)*1103515245 +12345)/ 65536, 32768),0)/32768)/10) &gt; 0.85,INDEX(NPCFaction,TRUNC(1+(counta(NPCFaction)-1)*(TRUNC(MOD(($B726*1103515245 +12345)/ 65536, 3276"&amp;"8),0)/32768),0)),QUERY(NPCVar!C:D,""Select D WHERE C = '""&amp;D726&amp;""'"")))"),"Royalty")</f>
        <v>Royalty</v>
      </c>
      <c r="AE726" s="108" t="e">
        <f t="shared" ca="1" si="42"/>
        <v>#NAME?</v>
      </c>
      <c r="AF726" s="159">
        <f ca="1">IFERROR(__xludf.DUMMYFUNCTION("AE726*(V726 / QUERY(NPCVar!$K$2:$N$12, ""Select N WHERE K='""&amp;AB726&amp;""'""))*TRUNC(1+10)*(TRUNC(MOD(($B726*1103515245 +12345)/ 65536, 32768),0)/32768)"),0.03316650390625)</f>
        <v>3.3166503906249999E-2</v>
      </c>
      <c r="AG726" s="16"/>
      <c r="AH726" s="77"/>
      <c r="AI726" s="114"/>
    </row>
    <row r="727" spans="1:35" ht="16.2">
      <c r="A727" s="53">
        <v>726</v>
      </c>
      <c r="B727" s="118">
        <f t="shared" si="48"/>
        <v>1.2336</v>
      </c>
      <c r="C727" s="72" t="str">
        <f t="array" ref="C727">INDEX(NPCFName,TRUNC(1+(COUNTA(NPCFName))*(TRUNC(MOD(($B727*1103515245 +12345)/ 65536, 32768),0)/32768),0))</f>
        <v>Vethelot</v>
      </c>
      <c r="D727" s="16" t="str">
        <f t="array" ref="D727">INDEX(NPCLName,TRUNC(1+(COUNTA(NPCLName))*(TRUNC(MOD(($B727*1103515245 +12345)/ 65536, 32768),0)/32768),0))</f>
        <v>Mourninglash</v>
      </c>
      <c r="E727" s="16" t="str">
        <f t="array" ref="E727">INDEX(NPCClass,TRUNC(1+(COUNTA(NPCClass))*(TRUNC(MOD(($B727*1103515245 +12345)/ 65536, 32768),0)/32768),0))</f>
        <v>Warlock</v>
      </c>
      <c r="F727" s="76">
        <v>8</v>
      </c>
      <c r="G727" s="153">
        <f ca="1">VLOOKUP($AB$2,'RF Mod'!$A$2:$G$12,2,FALSE)+VLOOKUP($AD$2,'RF Mod'!$I$2:$O$11,2,FALSE)+(TRUNC(6+(24-6)*(TRUNC(MOD(($Z727*1103515245 +12345)/ 65536, 32768),0)/32768),0))</f>
        <v>9</v>
      </c>
      <c r="H727" s="16">
        <f t="shared" ca="1" si="33"/>
        <v>-1</v>
      </c>
      <c r="I727" s="153">
        <f ca="1">VLOOKUP($AB$2,'RF Mod'!$A$2:$G$12,3,FALSE)+VLOOKUP($AD$2,'RF Mod'!$I$2:$O$11,3,FALSE)+(TRUNC(6+(24-6)*(TRUNC(MOD(($Z727*1103515245 +12345)/ 65536, 32768),0)/32768),0))</f>
        <v>13</v>
      </c>
      <c r="J727" s="16" t="e">
        <f t="shared" ca="1" si="34"/>
        <v>#NAME?</v>
      </c>
      <c r="K727" s="153">
        <f ca="1">VLOOKUP($AB$2,'RF Mod'!$A$2:$G$12,3,FALSE)+VLOOKUP($AD$2,'RF Mod'!$I$2:$O$11,3,FALSE)+(TRUNC(6+(24-6)*(TRUNC(MOD(($Z727*1103515245 +12345)/ 65536, 32768),0)/32768),0))</f>
        <v>13</v>
      </c>
      <c r="L727" s="16" t="e">
        <f t="shared" ca="1" si="35"/>
        <v>#NAME?</v>
      </c>
      <c r="M727" s="153">
        <f ca="1">VLOOKUP($AB$2,'RF Mod'!$A$2:$G$12,4,FALSE)+VLOOKUP($AD$2,'RF Mod'!$I$2:$O$11,4,FALSE)+(TRUNC(6+(24-6)*(TRUNC(MOD(($Z727*1103515245 +12345)/ 65536, 32768),0)/32768),0))</f>
        <v>12</v>
      </c>
      <c r="N727" s="16" t="e">
        <f t="shared" ca="1" si="36"/>
        <v>#NAME?</v>
      </c>
      <c r="O727" s="153">
        <f ca="1">VLOOKUP($AB$2,'RF Mod'!$A$2:$G$12,5,FALSE)+VLOOKUP($AD$2,'RF Mod'!$I$2:$O$11,5,FALSE)+(TRUNC(6+(24-6)*(TRUNC(MOD(($Z727*1103515245 +12345)/ 65536, 32768),0)/32768),0))</f>
        <v>15</v>
      </c>
      <c r="P727" s="16" t="e">
        <f t="shared" ca="1" si="37"/>
        <v>#NAME?</v>
      </c>
      <c r="Q727" s="153">
        <f ca="1">VLOOKUP($AB$2,'RF Mod'!$A$2:$G$12,6,FALSE)+VLOOKUP($AD$2,'RF Mod'!$I$2:$O$11,6,FALSE)+(TRUNC(6+(24-6)*(TRUNC(MOD(($Z727*1103515245 +12345)/ 65536, 32768),0)/32768),0))</f>
        <v>13</v>
      </c>
      <c r="R727" s="16" t="e">
        <f t="shared" ca="1" si="38"/>
        <v>#NAME?</v>
      </c>
      <c r="S727" s="154">
        <f t="shared" ca="1" si="43"/>
        <v>136</v>
      </c>
      <c r="T727" s="154">
        <f t="shared" ca="1" si="39"/>
        <v>149</v>
      </c>
      <c r="U727" s="16" t="str">
        <f t="shared" ca="1" si="40"/>
        <v>Dead</v>
      </c>
      <c r="V727" s="155">
        <f ca="1">IFERROR(__xludf.DUMMYFUNCTION("if(W727=""Middle Age"",QUERY(NPCVar!$K$2:$N1000, ""Select L where K = '""&amp;AB727&amp;""'""),if(W727=""Old"",QUERY(NPCVar!$K$2:$N1000, ""Select M where K = '""&amp;AB727&amp;""'""),if(W727=""Venerable"",QUERY(NPCVar!$K$2:$N1000, ""Select N where K = '""&amp;AB727&amp;""'""),fa"&amp;"lse)))*X727"),320)</f>
        <v>320</v>
      </c>
      <c r="W727" s="156" t="str">
        <f t="array" ref="W727">INDEX(NPCAgeType,TRUNC(1+(4-1)*(TRUNC(MOD((X727*1103515245 +12345)/ 65536, 32768),0)/32768),0))</f>
        <v>Venerable</v>
      </c>
      <c r="X727" s="117">
        <f t="shared" si="45"/>
        <v>1.6</v>
      </c>
      <c r="Y727" s="157" t="e">
        <f t="array" aca="1" ref="Y727" ca="1">LOOKUP(ABS(MAX(Z727 + MIN(ABS(INDIRECT("Class Jobs!B"&amp;MATCH(E727,'Class Jobs'!$A$1:$A1000,0)&amp;":"&amp;"AF"&amp;MATCH(E727,'Class Jobs'!$A$1:$A1000,0)&amp;"")-$Z727)) * SUM(IF(MIN(ABS(INDIRECT("Class Jobs!B"&amp;MATCH(E727,'Class Jobs'!$A$1:$A1000,0)&amp;":"&amp;"AF"&amp;MATCH(E727,'Class Jobs'!$A$1:$A1000,0)&amp;"")-$Z727))=ABS(INDIRECT("Class Jobs!B"&amp;MATCH(E727,'Class Jobs'!$A$1:$A1000,0)&amp;":"&amp;"AF"&amp;MATCH(E727,'Class Jobs'!$A$1:$A1000,0)&amp;"")-$Z727),SIGN(INDIRECT("Class Jobs!B"&amp;MATCH(E727,'Class Jobs'!$A$1:A1000,0)&amp;":"&amp;"AF"&amp;MATCH(E727,'Class Jobs'!$A$1:$A1000,0)&amp;"")-$Z727),0)),0)),INDIRECT("Class Jobs!B"&amp;MATCH(E727,'Class Jobs'!$A$1:$A1000,0)&amp;":"&amp;"AF"&amp;MATCH(E727,'Class Jobs'!$A$1:$A1000,1)&amp;""),'Class Jobs'!$B$1:$AF$1)</f>
        <v>#REF!</v>
      </c>
      <c r="Z727" s="158">
        <f t="shared" si="41"/>
        <v>0.63</v>
      </c>
      <c r="AA727" s="16" t="str">
        <f t="array" ref="AA727">INDEX(NPCGender,TRUNC(1+(COUNTA(NPCGender))*(TRUNC(MOD(($B727*1103515245 +12345)/ 65536, 32768),0)/32768),0))</f>
        <v>Female</v>
      </c>
      <c r="AB727" s="16" t="str">
        <f t="array" ref="AB727">INDEX(NPCRace,TRUNC(1+(COUNTA(NPCRace))*(TRUNC(MOD(($B727*1103515245 +12345)/ 65536, 32768),0)/32768),0))</f>
        <v>Halfling</v>
      </c>
      <c r="AC727" s="16" t="str">
        <f t="array" ref="AC727">INDEX(NPCAL,TRUNC(1+(COUNTA(NPCAL))*(TRUNC(MOD(($B727*1103515245 +12345)/ 65536, 32768),0)/32768),0))</f>
        <v>NE</v>
      </c>
      <c r="AD727" s="72" t="str">
        <f ca="1">IFERROR(__xludf.DUMMYFUNCTION("if(V727&lt;15,QUERY(NPCVar!C:D,""Select D WHERE C = '""&amp;D727&amp;""'""),if((TRUNC(1+10)*(TRUNC(MOD((ROW(H727)*1103515245 +12345)/ 65536, 32768),0)/32768)/10) &gt; 0.85,INDEX(NPCFaction,TRUNC(1+(counta(NPCFaction)-1)*(TRUNC(MOD(($B727*1103515245 +12345)/ 65536, 3276"&amp;"8),0)/32768),0)),QUERY(NPCVar!C:D,""Select D WHERE C = '""&amp;D727&amp;""'"")))"),"Traverlers Guild")</f>
        <v>Traverlers Guild</v>
      </c>
      <c r="AE727" s="108" t="e">
        <f t="shared" ca="1" si="42"/>
        <v>#NAME?</v>
      </c>
      <c r="AF727" s="159">
        <f ca="1">IFERROR(__xludf.DUMMYFUNCTION("AE727*(V727 / QUERY(NPCVar!$K$2:$N$12, ""Select N WHERE K='""&amp;AB727&amp;""'""))*TRUNC(1+10)*(TRUNC(MOD(($B727*1103515245 +12345)/ 65536, 32768),0)/32768)"),2.231259765625)</f>
        <v>2.2312597656249999</v>
      </c>
      <c r="AG727" s="16"/>
      <c r="AH727" s="77"/>
      <c r="AI727" s="114"/>
    </row>
    <row r="728" spans="1:35" ht="16.2">
      <c r="A728" s="53">
        <v>727</v>
      </c>
      <c r="B728" s="118">
        <f t="shared" si="48"/>
        <v>0.22767000000000001</v>
      </c>
      <c r="C728" s="72" t="str">
        <f t="array" ref="C728">INDEX(NPCFName,TRUNC(1+(COUNTA(NPCFName))*(TRUNC(MOD(($B728*1103515245 +12345)/ 65536, 32768),0)/32768),0))</f>
        <v>Gemardt</v>
      </c>
      <c r="D728" s="16" t="str">
        <f t="array" ref="D728">INDEX(NPCLName,TRUNC(1+(COUNTA(NPCLName))*(TRUNC(MOD(($B728*1103515245 +12345)/ 65536, 32768),0)/32768),0))</f>
        <v>Distantlash</v>
      </c>
      <c r="E728" s="16" t="str">
        <f t="array" ref="E728">INDEX(NPCClass,TRUNC(1+(COUNTA(NPCClass))*(TRUNC(MOD(($B728*1103515245 +12345)/ 65536, 32768),0)/32768),0))</f>
        <v>Bard</v>
      </c>
      <c r="F728" s="76">
        <v>1</v>
      </c>
      <c r="G728" s="153">
        <f ca="1">VLOOKUP($AB$2,'RF Mod'!$A$2:$G$12,2,FALSE)+VLOOKUP($AD$2,'RF Mod'!$I$2:$O$11,2,FALSE)+(TRUNC(6+(24-6)*(TRUNC(MOD(($Z728*1103515245 +12345)/ 65536, 32768),0)/32768),0))</f>
        <v>5</v>
      </c>
      <c r="H728" s="16">
        <f t="shared" ca="1" si="33"/>
        <v>-3</v>
      </c>
      <c r="I728" s="153">
        <f ca="1">VLOOKUP($AB$2,'RF Mod'!$A$2:$G$12,3,FALSE)+VLOOKUP($AD$2,'RF Mod'!$I$2:$O$11,3,FALSE)+(TRUNC(6+(24-6)*(TRUNC(MOD(($Z728*1103515245 +12345)/ 65536, 32768),0)/32768),0))</f>
        <v>9</v>
      </c>
      <c r="J728" s="16">
        <f t="shared" ca="1" si="34"/>
        <v>-1</v>
      </c>
      <c r="K728" s="153">
        <f ca="1">VLOOKUP($AB$2,'RF Mod'!$A$2:$G$12,3,FALSE)+VLOOKUP($AD$2,'RF Mod'!$I$2:$O$11,3,FALSE)+(TRUNC(6+(24-6)*(TRUNC(MOD(($Z728*1103515245 +12345)/ 65536, 32768),0)/32768),0))</f>
        <v>9</v>
      </c>
      <c r="L728" s="16">
        <f t="shared" ca="1" si="35"/>
        <v>-1</v>
      </c>
      <c r="M728" s="153">
        <f ca="1">VLOOKUP($AB$2,'RF Mod'!$A$2:$G$12,4,FALSE)+VLOOKUP($AD$2,'RF Mod'!$I$2:$O$11,4,FALSE)+(TRUNC(6+(24-6)*(TRUNC(MOD(($Z728*1103515245 +12345)/ 65536, 32768),0)/32768),0))</f>
        <v>8</v>
      </c>
      <c r="N728" s="16">
        <f t="shared" ca="1" si="36"/>
        <v>-1</v>
      </c>
      <c r="O728" s="153">
        <f ca="1">VLOOKUP($AB$2,'RF Mod'!$A$2:$G$12,5,FALSE)+VLOOKUP($AD$2,'RF Mod'!$I$2:$O$11,5,FALSE)+(TRUNC(6+(24-6)*(TRUNC(MOD(($Z728*1103515245 +12345)/ 65536, 32768),0)/32768),0))</f>
        <v>11</v>
      </c>
      <c r="P728" s="16" t="e">
        <f t="shared" ca="1" si="37"/>
        <v>#NAME?</v>
      </c>
      <c r="Q728" s="153">
        <f ca="1">VLOOKUP($AB$2,'RF Mod'!$A$2:$G$12,6,FALSE)+VLOOKUP($AD$2,'RF Mod'!$I$2:$O$11,6,FALSE)+(TRUNC(6+(24-6)*(TRUNC(MOD(($Z728*1103515245 +12345)/ 65536, 32768),0)/32768),0))</f>
        <v>9</v>
      </c>
      <c r="R728" s="16">
        <f t="shared" ca="1" si="38"/>
        <v>-1</v>
      </c>
      <c r="S728" s="154">
        <f t="shared" ca="1" si="43"/>
        <v>11</v>
      </c>
      <c r="T728" s="154">
        <f t="shared" ca="1" si="39"/>
        <v>7</v>
      </c>
      <c r="U728" s="16" t="str">
        <f t="shared" ca="1" si="40"/>
        <v>Bloody</v>
      </c>
      <c r="V728" s="155">
        <f ca="1">IFERROR(__xludf.DUMMYFUNCTION("if(W728=""Middle Age"",QUERY(NPCVar!$K$2:$N1000, ""Select L where K = '""&amp;AB728&amp;""'""),if(W728=""Old"",QUERY(NPCVar!$K$2:$N1000, ""Select M where K = '""&amp;AB728&amp;""'""),if(W728=""Venerable"",QUERY(NPCVar!$K$2:$N1000, ""Select N where K = '""&amp;AB728&amp;""'""),fa"&amp;"lse)))*X728"),24)</f>
        <v>24</v>
      </c>
      <c r="W728" s="156" t="str">
        <f t="array" ref="W728">INDEX(NPCAgeType,TRUNC(1+(4-1)*(TRUNC(MOD((X728*1103515245 +12345)/ 65536, 32768),0)/32768),0))</f>
        <v>Middle Age</v>
      </c>
      <c r="X728" s="117">
        <f t="shared" si="45"/>
        <v>0.3</v>
      </c>
      <c r="Y728" s="157" t="e">
        <f t="array" aca="1" ref="Y728" ca="1">LOOKUP(ABS(MAX(Z728 + MIN(ABS(INDIRECT("Class Jobs!B"&amp;MATCH(E728,'Class Jobs'!$A$1:$A1000,0)&amp;":"&amp;"AF"&amp;MATCH(E728,'Class Jobs'!$A$1:$A1000,0)&amp;"")-$Z728)) * SUM(IF(MIN(ABS(INDIRECT("Class Jobs!B"&amp;MATCH(E728,'Class Jobs'!$A$1:$A1000,0)&amp;":"&amp;"AF"&amp;MATCH(E728,'Class Jobs'!$A$1:$A1000,0)&amp;"")-$Z728))=ABS(INDIRECT("Class Jobs!B"&amp;MATCH(E728,'Class Jobs'!$A$1:$A1000,0)&amp;":"&amp;"AF"&amp;MATCH(E728,'Class Jobs'!$A$1:$A1000,0)&amp;"")-$Z728),SIGN(INDIRECT("Class Jobs!B"&amp;MATCH(E728,'Class Jobs'!$A$1:A1000,0)&amp;":"&amp;"AF"&amp;MATCH(E728,'Class Jobs'!$A$1:$A1000,0)&amp;"")-$Z728),0)),0)),INDIRECT("Class Jobs!B"&amp;MATCH(E728,'Class Jobs'!$A$1:$A1000,0)&amp;":"&amp;"AF"&amp;MATCH(E728,'Class Jobs'!$A$1:$A1000,1)&amp;""),'Class Jobs'!$B$1:$AF$1)</f>
        <v>#REF!</v>
      </c>
      <c r="Z728" s="158">
        <f t="shared" si="41"/>
        <v>0.12</v>
      </c>
      <c r="AA728" s="16" t="str">
        <f t="array" ref="AA728">INDEX(NPCGender,TRUNC(1+(COUNTA(NPCGender))*(TRUNC(MOD(($B728*1103515245 +12345)/ 65536, 32768),0)/32768),0))</f>
        <v>Male</v>
      </c>
      <c r="AB728" s="16" t="str">
        <f t="array" ref="AB728">INDEX(NPCRace,TRUNC(1+(COUNTA(NPCRace))*(TRUNC(MOD(($B728*1103515245 +12345)/ 65536, 32768),0)/32768),0))</f>
        <v>Dwarf</v>
      </c>
      <c r="AC728" s="16" t="str">
        <f t="array" ref="AC728">INDEX(NPCAL,TRUNC(1+(COUNTA(NPCAL))*(TRUNC(MOD(($B728*1103515245 +12345)/ 65536, 32768),0)/32768),0))</f>
        <v>CE</v>
      </c>
      <c r="AD728" s="72" t="str">
        <f ca="1">IFERROR(__xludf.DUMMYFUNCTION("if(V728&lt;15,QUERY(NPCVar!C:D,""Select D WHERE C = '""&amp;D728&amp;""'""),if((TRUNC(1+10)*(TRUNC(MOD((ROW(H728)*1103515245 +12345)/ 65536, 32768),0)/32768)/10) &gt; 0.85,INDEX(NPCFaction,TRUNC(1+(counta(NPCFaction)-1)*(TRUNC(MOD(($B728*1103515245 +12345)/ 65536, 3276"&amp;"8),0)/32768),0)),QUERY(NPCVar!C:D,""Select D WHERE C = '""&amp;D728&amp;""'"")))"),"Death Guild")</f>
        <v>Death Guild</v>
      </c>
      <c r="AE728" s="108" t="e">
        <f t="shared" ca="1" si="42"/>
        <v>#NAME?</v>
      </c>
      <c r="AF728" s="159">
        <f ca="1">IFERROR(__xludf.DUMMYFUNCTION("AE728*(V728 / QUERY(NPCVar!$K$2:$N$12, ""Select N WHERE K='""&amp;AB728&amp;""'""))*TRUNC(1+10)*(TRUNC(MOD(($B728*1103515245 +12345)/ 65536, 32768),0)/32768)"),0.0289510345458984)</f>
        <v>2.89510345458984E-2</v>
      </c>
      <c r="AG728" s="16"/>
      <c r="AH728" s="77"/>
      <c r="AI728" s="114"/>
    </row>
    <row r="729" spans="1:35" ht="16.2">
      <c r="A729" s="53">
        <v>728</v>
      </c>
      <c r="B729" s="118">
        <f t="shared" si="48"/>
        <v>1.7218</v>
      </c>
      <c r="C729" s="72" t="str">
        <f t="array" ref="C729">INDEX(NPCFName,TRUNC(1+(COUNTA(NPCFName))*(TRUNC(MOD(($B729*1103515245 +12345)/ 65536, 32768),0)/32768),0))</f>
        <v>Ospar</v>
      </c>
      <c r="D729" s="16" t="str">
        <f t="array" ref="D729">INDEX(NPCLName,TRUNC(1+(COUNTA(NPCLName))*(TRUNC(MOD(($B729*1103515245 +12345)/ 65536, 32768),0)/32768),0))</f>
        <v>Forestbluff</v>
      </c>
      <c r="E729" s="16" t="str">
        <f t="array" ref="E729">INDEX(NPCClass,TRUNC(1+(COUNTA(NPCClass))*(TRUNC(MOD(($B729*1103515245 +12345)/ 65536, 32768),0)/32768),0))</f>
        <v>Fighter</v>
      </c>
      <c r="F729" s="76">
        <v>8</v>
      </c>
      <c r="G729" s="153">
        <f ca="1">VLOOKUP($AB$2,'RF Mod'!$A$2:$G$12,2,FALSE)+VLOOKUP($AD$2,'RF Mod'!$I$2:$O$11,2,FALSE)+(TRUNC(6+(24-6)*(TRUNC(MOD(($Z729*1103515245 +12345)/ 65536, 32768),0)/32768),0))</f>
        <v>12</v>
      </c>
      <c r="H729" s="16" t="e">
        <f t="shared" ca="1" si="33"/>
        <v>#NAME?</v>
      </c>
      <c r="I729" s="153">
        <f ca="1">VLOOKUP($AB$2,'RF Mod'!$A$2:$G$12,3,FALSE)+VLOOKUP($AD$2,'RF Mod'!$I$2:$O$11,3,FALSE)+(TRUNC(6+(24-6)*(TRUNC(MOD(($Z729*1103515245 +12345)/ 65536, 32768),0)/32768),0))</f>
        <v>16</v>
      </c>
      <c r="J729" s="16" t="e">
        <f t="shared" ca="1" si="34"/>
        <v>#NAME?</v>
      </c>
      <c r="K729" s="153">
        <f ca="1">VLOOKUP($AB$2,'RF Mod'!$A$2:$G$12,3,FALSE)+VLOOKUP($AD$2,'RF Mod'!$I$2:$O$11,3,FALSE)+(TRUNC(6+(24-6)*(TRUNC(MOD(($Z729*1103515245 +12345)/ 65536, 32768),0)/32768),0))</f>
        <v>16</v>
      </c>
      <c r="L729" s="16" t="e">
        <f t="shared" ca="1" si="35"/>
        <v>#NAME?</v>
      </c>
      <c r="M729" s="153">
        <f ca="1">VLOOKUP($AB$2,'RF Mod'!$A$2:$G$12,4,FALSE)+VLOOKUP($AD$2,'RF Mod'!$I$2:$O$11,4,FALSE)+(TRUNC(6+(24-6)*(TRUNC(MOD(($Z729*1103515245 +12345)/ 65536, 32768),0)/32768),0))</f>
        <v>15</v>
      </c>
      <c r="N729" s="16" t="e">
        <f t="shared" ca="1" si="36"/>
        <v>#NAME?</v>
      </c>
      <c r="O729" s="153">
        <f ca="1">VLOOKUP($AB$2,'RF Mod'!$A$2:$G$12,5,FALSE)+VLOOKUP($AD$2,'RF Mod'!$I$2:$O$11,5,FALSE)+(TRUNC(6+(24-6)*(TRUNC(MOD(($Z729*1103515245 +12345)/ 65536, 32768),0)/32768),0))</f>
        <v>18</v>
      </c>
      <c r="P729" s="16" t="e">
        <f t="shared" ca="1" si="37"/>
        <v>#NAME?</v>
      </c>
      <c r="Q729" s="153">
        <f ca="1">VLOOKUP($AB$2,'RF Mod'!$A$2:$G$12,6,FALSE)+VLOOKUP($AD$2,'RF Mod'!$I$2:$O$11,6,FALSE)+(TRUNC(6+(24-6)*(TRUNC(MOD(($Z729*1103515245 +12345)/ 65536, 32768),0)/32768),0))</f>
        <v>16</v>
      </c>
      <c r="R729" s="16" t="e">
        <f t="shared" ca="1" si="38"/>
        <v>#NAME?</v>
      </c>
      <c r="S729" s="154">
        <f t="shared" ca="1" si="43"/>
        <v>208</v>
      </c>
      <c r="T729" s="154">
        <f t="shared" ca="1" si="39"/>
        <v>124</v>
      </c>
      <c r="U729" s="16" t="str">
        <f t="shared" ca="1" si="40"/>
        <v>Bloody</v>
      </c>
      <c r="V729" s="155">
        <f ca="1">IFERROR(__xludf.DUMMYFUNCTION("if(W729=""Middle Age"",QUERY(NPCVar!$K$2:$N1000, ""Select L where K = '""&amp;AB729&amp;""'""),if(W729=""Old"",QUERY(NPCVar!$K$2:$N1000, ""Select M where K = '""&amp;AB729&amp;""'""),if(W729=""Venerable"",QUERY(NPCVar!$K$2:$N1000, ""Select N where K = '""&amp;AB729&amp;""'""),fa"&amp;"lse)))*X729"),60.5)</f>
        <v>60.5</v>
      </c>
      <c r="W729" s="156" t="str">
        <f t="array" ref="W729">INDEX(NPCAgeType,TRUNC(1+(4-1)*(TRUNC(MOD((X729*1103515245 +12345)/ 65536, 32768),0)/32768),0))</f>
        <v>Middle Age</v>
      </c>
      <c r="X729" s="117">
        <f t="shared" si="45"/>
        <v>2.2000000000000002</v>
      </c>
      <c r="Y729" s="157" t="e">
        <f t="array" aca="1" ref="Y729" ca="1">LOOKUP(ABS(MAX(Z729 + MIN(ABS(INDIRECT("Class Jobs!B"&amp;MATCH(E729,'Class Jobs'!$A$1:$A1000,0)&amp;":"&amp;"AF"&amp;MATCH(E729,'Class Jobs'!$A$1:$A1000,0)&amp;"")-$Z729)) * SUM(IF(MIN(ABS(INDIRECT("Class Jobs!B"&amp;MATCH(E729,'Class Jobs'!$A$1:$A1000,0)&amp;":"&amp;"AF"&amp;MATCH(E729,'Class Jobs'!$A$1:$A1000,0)&amp;"")-$Z729))=ABS(INDIRECT("Class Jobs!B"&amp;MATCH(E729,'Class Jobs'!$A$1:$A1000,0)&amp;":"&amp;"AF"&amp;MATCH(E729,'Class Jobs'!$A$1:$A1000,0)&amp;"")-$Z729),SIGN(INDIRECT("Class Jobs!B"&amp;MATCH(E729,'Class Jobs'!$A$1:A1000,0)&amp;":"&amp;"AF"&amp;MATCH(E729,'Class Jobs'!$A$1:$A1000,0)&amp;"")-$Z729),0)),0)),INDIRECT("Class Jobs!B"&amp;MATCH(E729,'Class Jobs'!$A$1:$A1000,0)&amp;":"&amp;"AF"&amp;MATCH(E729,'Class Jobs'!$A$1:$A1000,1)&amp;""),'Class Jobs'!$B$1:$AF$1)</f>
        <v>#REF!</v>
      </c>
      <c r="Z729" s="158">
        <f t="shared" si="41"/>
        <v>0.88</v>
      </c>
      <c r="AA729" s="16" t="str">
        <f t="array" ref="AA729">INDEX(NPCGender,TRUNC(1+(COUNTA(NPCGender))*(TRUNC(MOD(($B729*1103515245 +12345)/ 65536, 32768),0)/32768),0))</f>
        <v>Neutral</v>
      </c>
      <c r="AB729" s="16" t="str">
        <f t="array" ref="AB729">INDEX(NPCRace,TRUNC(1+(COUNTA(NPCRace))*(TRUNC(MOD(($B729*1103515245 +12345)/ 65536, 32768),0)/32768),0))</f>
        <v>Genasi</v>
      </c>
      <c r="AC729" s="16" t="str">
        <f t="array" ref="AC729">INDEX(NPCAL,TRUNC(1+(COUNTA(NPCAL))*(TRUNC(MOD(($B729*1103515245 +12345)/ 65536, 32768),0)/32768),0))</f>
        <v>LN</v>
      </c>
      <c r="AD729" s="72" t="str">
        <f ca="1">IFERROR(__xludf.DUMMYFUNCTION("if(V729&lt;15,QUERY(NPCVar!C:D,""Select D WHERE C = '""&amp;D729&amp;""'""),if((TRUNC(1+10)*(TRUNC(MOD((ROW(H729)*1103515245 +12345)/ 65536, 32768),0)/32768)/10) &gt; 0.85,INDEX(NPCFaction,TRUNC(1+(counta(NPCFaction)-1)*(TRUNC(MOD(($B729*1103515245 +12345)/ 65536, 3276"&amp;"8),0)/32768),0)),QUERY(NPCVar!C:D,""Select D WHERE C = '""&amp;D729&amp;""'"")))"),"Thieves Guild")</f>
        <v>Thieves Guild</v>
      </c>
      <c r="AE729" s="108" t="e">
        <f t="shared" ca="1" si="42"/>
        <v>#NAME?</v>
      </c>
      <c r="AF729" s="159">
        <f ca="1">IFERROR(__xludf.DUMMYFUNCTION("AE729*(V729 / QUERY(NPCVar!$K$2:$N$12, ""Select N WHERE K='""&amp;AB729&amp;""'""))*TRUNC(1+10)*(TRUNC(MOD(($B729*1103515245 +12345)/ 65536, 32768),0)/32768)"),1.07056640625)</f>
        <v>1.07056640625</v>
      </c>
      <c r="AG729" s="16"/>
      <c r="AH729" s="77"/>
      <c r="AI729" s="114"/>
    </row>
    <row r="730" spans="1:35" ht="16.2">
      <c r="A730" s="53">
        <v>729</v>
      </c>
      <c r="B730" s="118">
        <f t="shared" si="48"/>
        <v>0.71594000000000002</v>
      </c>
      <c r="C730" s="72" t="str">
        <f t="array" ref="C730">INDEX(NPCFName,TRUNC(1+(COUNTA(NPCFName))*(TRUNC(MOD(($B730*1103515245 +12345)/ 65536, 32768),0)/32768),0))</f>
        <v>Bolrock</v>
      </c>
      <c r="D730" s="16" t="str">
        <f t="array" ref="D730">INDEX(NPCLName,TRUNC(1+(COUNTA(NPCLName))*(TRUNC(MOD(($B730*1103515245 +12345)/ 65536, 32768),0)/32768),0))</f>
        <v>Fistroot</v>
      </c>
      <c r="E730" s="16" t="str">
        <f t="array" ref="E730">INDEX(NPCClass,TRUNC(1+(COUNTA(NPCClass))*(TRUNC(MOD(($B730*1103515245 +12345)/ 65536, 32768),0)/32768),0))</f>
        <v>Paladin</v>
      </c>
      <c r="F730" s="76">
        <v>1</v>
      </c>
      <c r="G730" s="153">
        <f ca="1">VLOOKUP($AB$2,'RF Mod'!$A$2:$G$12,2,FALSE)+VLOOKUP($AD$2,'RF Mod'!$I$2:$O$11,2,FALSE)+(TRUNC(6+(24-6)*(TRUNC(MOD(($Z730*1103515245 +12345)/ 65536, 32768),0)/32768),0))</f>
        <v>7</v>
      </c>
      <c r="H730" s="16">
        <f t="shared" ca="1" si="33"/>
        <v>-2</v>
      </c>
      <c r="I730" s="153">
        <f ca="1">VLOOKUP($AB$2,'RF Mod'!$A$2:$G$12,3,FALSE)+VLOOKUP($AD$2,'RF Mod'!$I$2:$O$11,3,FALSE)+(TRUNC(6+(24-6)*(TRUNC(MOD(($Z730*1103515245 +12345)/ 65536, 32768),0)/32768),0))</f>
        <v>11</v>
      </c>
      <c r="J730" s="16" t="e">
        <f t="shared" ca="1" si="34"/>
        <v>#NAME?</v>
      </c>
      <c r="K730" s="153">
        <f ca="1">VLOOKUP($AB$2,'RF Mod'!$A$2:$G$12,3,FALSE)+VLOOKUP($AD$2,'RF Mod'!$I$2:$O$11,3,FALSE)+(TRUNC(6+(24-6)*(TRUNC(MOD(($Z730*1103515245 +12345)/ 65536, 32768),0)/32768),0))</f>
        <v>11</v>
      </c>
      <c r="L730" s="16" t="e">
        <f t="shared" ca="1" si="35"/>
        <v>#NAME?</v>
      </c>
      <c r="M730" s="153">
        <f ca="1">VLOOKUP($AB$2,'RF Mod'!$A$2:$G$12,4,FALSE)+VLOOKUP($AD$2,'RF Mod'!$I$2:$O$11,4,FALSE)+(TRUNC(6+(24-6)*(TRUNC(MOD(($Z730*1103515245 +12345)/ 65536, 32768),0)/32768),0))</f>
        <v>10</v>
      </c>
      <c r="N730" s="16" t="e">
        <f t="shared" ca="1" si="36"/>
        <v>#NAME?</v>
      </c>
      <c r="O730" s="153">
        <f ca="1">VLOOKUP($AB$2,'RF Mod'!$A$2:$G$12,5,FALSE)+VLOOKUP($AD$2,'RF Mod'!$I$2:$O$11,5,FALSE)+(TRUNC(6+(24-6)*(TRUNC(MOD(($Z730*1103515245 +12345)/ 65536, 32768),0)/32768),0))</f>
        <v>13</v>
      </c>
      <c r="P730" s="16" t="e">
        <f t="shared" ca="1" si="37"/>
        <v>#NAME?</v>
      </c>
      <c r="Q730" s="153">
        <f ca="1">VLOOKUP($AB$2,'RF Mod'!$A$2:$G$12,6,FALSE)+VLOOKUP($AD$2,'RF Mod'!$I$2:$O$11,6,FALSE)+(TRUNC(6+(24-6)*(TRUNC(MOD(($Z730*1103515245 +12345)/ 65536, 32768),0)/32768),0))</f>
        <v>11</v>
      </c>
      <c r="R730" s="16" t="e">
        <f t="shared" ca="1" si="38"/>
        <v>#NAME?</v>
      </c>
      <c r="S730" s="154">
        <f t="shared" ca="1" si="43"/>
        <v>19</v>
      </c>
      <c r="T730" s="154">
        <f t="shared" ca="1" si="39"/>
        <v>1</v>
      </c>
      <c r="U730" s="16" t="str">
        <f t="shared" ca="1" si="40"/>
        <v>Fine</v>
      </c>
      <c r="V730" s="155">
        <f ca="1">IFERROR(__xludf.DUMMYFUNCTION("if(W730=""Middle Age"",QUERY(NPCVar!$K$2:$N1000, ""Select L where K = '""&amp;AB730&amp;""'""),if(W730=""Old"",QUERY(NPCVar!$K$2:$N1000, ""Select M where K = '""&amp;AB730&amp;""'""),if(W730=""Venerable"",QUERY(NPCVar!$K$2:$N1000, ""Select N where K = '""&amp;AB730&amp;""'""),fa"&amp;"lse)))*X730"),60.75)</f>
        <v>60.75</v>
      </c>
      <c r="W730" s="156" t="str">
        <f t="array" ref="W730">INDEX(NPCAgeType,TRUNC(1+(4-1)*(TRUNC(MOD((X730*1103515245 +12345)/ 65536, 32768),0)/32768),0))</f>
        <v>Old</v>
      </c>
      <c r="X730" s="117">
        <f t="shared" si="45"/>
        <v>0.9</v>
      </c>
      <c r="Y730" s="157" t="e">
        <f t="array" aca="1" ref="Y730" ca="1">LOOKUP(ABS(MAX(Z730 + MIN(ABS(INDIRECT("Class Jobs!B"&amp;MATCH(E730,'Class Jobs'!$A$1:$A1000,0)&amp;":"&amp;"AF"&amp;MATCH(E730,'Class Jobs'!$A$1:$A1000,0)&amp;"")-$Z730)) * SUM(IF(MIN(ABS(INDIRECT("Class Jobs!B"&amp;MATCH(E730,'Class Jobs'!$A$1:$A1000,0)&amp;":"&amp;"AF"&amp;MATCH(E730,'Class Jobs'!$A$1:$A1000,0)&amp;"")-$Z730))=ABS(INDIRECT("Class Jobs!B"&amp;MATCH(E730,'Class Jobs'!$A$1:$A1000,0)&amp;":"&amp;"AF"&amp;MATCH(E730,'Class Jobs'!$A$1:$A1000,0)&amp;"")-$Z730),SIGN(INDIRECT("Class Jobs!B"&amp;MATCH(E730,'Class Jobs'!$A$1:A1000,0)&amp;":"&amp;"AF"&amp;MATCH(E730,'Class Jobs'!$A$1:$A1000,0)&amp;"")-$Z730),0)),0)),INDIRECT("Class Jobs!B"&amp;MATCH(E730,'Class Jobs'!$A$1:$A1000,0)&amp;":"&amp;"AF"&amp;MATCH(E730,'Class Jobs'!$A$1:$A1000,1)&amp;""),'Class Jobs'!$B$1:$AF$1)</f>
        <v>#REF!</v>
      </c>
      <c r="Z730" s="158">
        <f t="shared" si="41"/>
        <v>0.37</v>
      </c>
      <c r="AA730" s="16" t="str">
        <f t="array" ref="AA730">INDEX(NPCGender,TRUNC(1+(COUNTA(NPCGender))*(TRUNC(MOD(($B730*1103515245 +12345)/ 65536, 32768),0)/32768),0))</f>
        <v>Female</v>
      </c>
      <c r="AB730" s="16" t="str">
        <f t="array" ref="AB730">INDEX(NPCRace,TRUNC(1+(COUNTA(NPCRace))*(TRUNC(MOD(($B730*1103515245 +12345)/ 65536, 32768),0)/32768),0))</f>
        <v>Half-Elf</v>
      </c>
      <c r="AC730" s="16" t="str">
        <f t="array" ref="AC730">INDEX(NPCAL,TRUNC(1+(COUNTA(NPCAL))*(TRUNC(MOD(($B730*1103515245 +12345)/ 65536, 32768),0)/32768),0))</f>
        <v>NG</v>
      </c>
      <c r="AD730" s="72" t="str">
        <f ca="1">IFERROR(__xludf.DUMMYFUNCTION("if(V730&lt;15,QUERY(NPCVar!C:D,""Select D WHERE C = '""&amp;D730&amp;""'""),if((TRUNC(1+10)*(TRUNC(MOD((ROW(H730)*1103515245 +12345)/ 65536, 32768),0)/32768)/10) &gt; 0.85,INDEX(NPCFaction,TRUNC(1+(counta(NPCFaction)-1)*(TRUNC(MOD(($B730*1103515245 +12345)/ 65536, 3276"&amp;"8),0)/32768),0)),QUERY(NPCVar!C:D,""Select D WHERE C = '""&amp;D730&amp;""'"")))"),"Magic Guild")</f>
        <v>Magic Guild</v>
      </c>
      <c r="AE730" s="108" t="e">
        <f t="shared" ca="1" si="42"/>
        <v>#NAME?</v>
      </c>
      <c r="AF730" s="159">
        <f ca="1">IFERROR(__xludf.DUMMYFUNCTION("AE730*(V730 / QUERY(NPCVar!$K$2:$N$12, ""Select N WHERE K='""&amp;AB730&amp;""'""))*TRUNC(1+10)*(TRUNC(MOD(($B730*1103515245 +12345)/ 65536, 32768),0)/32768)"),0.682894706726074)</f>
        <v>0.682894706726074</v>
      </c>
      <c r="AG730" s="16"/>
      <c r="AH730" s="77"/>
      <c r="AI730" s="114"/>
    </row>
    <row r="731" spans="1:35" ht="16.2">
      <c r="A731" s="53">
        <v>730</v>
      </c>
      <c r="B731" s="118">
        <f t="shared" si="48"/>
        <v>2.21008</v>
      </c>
      <c r="C731" s="72" t="str">
        <f t="array" ref="C731">INDEX(NPCFName,TRUNC(1+(COUNTA(NPCFName))*(TRUNC(MOD(($B731*1103515245 +12345)/ 65536, 32768),0)/32768),0))</f>
        <v>Hildale</v>
      </c>
      <c r="D731" s="16" t="str">
        <f t="array" ref="D731">INDEX(NPCLName,TRUNC(1+(COUNTA(NPCLName))*(TRUNC(MOD(($B731*1103515245 +12345)/ 65536, 32768),0)/32768),0))</f>
        <v>Fistwing</v>
      </c>
      <c r="E731" s="16" t="str">
        <f t="array" ref="E731">INDEX(NPCClass,TRUNC(1+(COUNTA(NPCClass))*(TRUNC(MOD(($B731*1103515245 +12345)/ 65536, 32768),0)/32768),0))</f>
        <v>Bard</v>
      </c>
      <c r="F731" s="76">
        <v>1</v>
      </c>
      <c r="G731" s="153">
        <f ca="1">VLOOKUP($AB$2,'RF Mod'!$A$2:$G$12,2,FALSE)+VLOOKUP($AD$2,'RF Mod'!$I$2:$O$11,2,FALSE)+(TRUNC(6+(24-6)*(TRUNC(MOD(($Z731*1103515245 +12345)/ 65536, 32768),0)/32768),0))</f>
        <v>5</v>
      </c>
      <c r="H731" s="16">
        <f t="shared" ca="1" si="33"/>
        <v>-3</v>
      </c>
      <c r="I731" s="153">
        <f ca="1">VLOOKUP($AB$2,'RF Mod'!$A$2:$G$12,3,FALSE)+VLOOKUP($AD$2,'RF Mod'!$I$2:$O$11,3,FALSE)+(TRUNC(6+(24-6)*(TRUNC(MOD(($Z731*1103515245 +12345)/ 65536, 32768),0)/32768),0))</f>
        <v>9</v>
      </c>
      <c r="J731" s="16">
        <f t="shared" ca="1" si="34"/>
        <v>-1</v>
      </c>
      <c r="K731" s="153">
        <f ca="1">VLOOKUP($AB$2,'RF Mod'!$A$2:$G$12,3,FALSE)+VLOOKUP($AD$2,'RF Mod'!$I$2:$O$11,3,FALSE)+(TRUNC(6+(24-6)*(TRUNC(MOD(($Z731*1103515245 +12345)/ 65536, 32768),0)/32768),0))</f>
        <v>9</v>
      </c>
      <c r="L731" s="16">
        <f t="shared" ca="1" si="35"/>
        <v>-1</v>
      </c>
      <c r="M731" s="153">
        <f ca="1">VLOOKUP($AB$2,'RF Mod'!$A$2:$G$12,4,FALSE)+VLOOKUP($AD$2,'RF Mod'!$I$2:$O$11,4,FALSE)+(TRUNC(6+(24-6)*(TRUNC(MOD(($Z731*1103515245 +12345)/ 65536, 32768),0)/32768),0))</f>
        <v>8</v>
      </c>
      <c r="N731" s="16">
        <f t="shared" ca="1" si="36"/>
        <v>-1</v>
      </c>
      <c r="O731" s="153">
        <f ca="1">VLOOKUP($AB$2,'RF Mod'!$A$2:$G$12,5,FALSE)+VLOOKUP($AD$2,'RF Mod'!$I$2:$O$11,5,FALSE)+(TRUNC(6+(24-6)*(TRUNC(MOD(($Z731*1103515245 +12345)/ 65536, 32768),0)/32768),0))</f>
        <v>11</v>
      </c>
      <c r="P731" s="16" t="e">
        <f t="shared" ca="1" si="37"/>
        <v>#NAME?</v>
      </c>
      <c r="Q731" s="153">
        <f ca="1">VLOOKUP($AB$2,'RF Mod'!$A$2:$G$12,6,FALSE)+VLOOKUP($AD$2,'RF Mod'!$I$2:$O$11,6,FALSE)+(TRUNC(6+(24-6)*(TRUNC(MOD(($Z731*1103515245 +12345)/ 65536, 32768),0)/32768),0))</f>
        <v>9</v>
      </c>
      <c r="R731" s="16">
        <f t="shared" ca="1" si="38"/>
        <v>-1</v>
      </c>
      <c r="S731" s="154">
        <f t="shared" ca="1" si="43"/>
        <v>27</v>
      </c>
      <c r="T731" s="154">
        <f t="shared" ca="1" si="39"/>
        <v>25</v>
      </c>
      <c r="U731" s="16" t="str">
        <f t="shared" ca="1" si="40"/>
        <v>Bloody</v>
      </c>
      <c r="V731" s="155">
        <f ca="1">IFERROR(__xludf.DUMMYFUNCTION("if(W731=""Middle Age"",QUERY(NPCVar!$K$2:$N1000, ""Select L where K = '""&amp;AB731&amp;""'""),if(W731=""Old"",QUERY(NPCVar!$K$2:$N1000, ""Select M where K = '""&amp;AB731&amp;""'""),if(W731=""Venerable"",QUERY(NPCVar!$K$2:$N1000, ""Select N where K = '""&amp;AB731&amp;""'""),fa"&amp;"lse)))*X731"),32)</f>
        <v>32</v>
      </c>
      <c r="W731" s="156" t="str">
        <f t="array" ref="W731">INDEX(NPCAgeType,TRUNC(1+(4-1)*(TRUNC(MOD((X731*1103515245 +12345)/ 65536, 32768),0)/32768),0))</f>
        <v>Middle Age</v>
      </c>
      <c r="X731" s="117">
        <f t="shared" si="45"/>
        <v>0.4</v>
      </c>
      <c r="Y731" s="157" t="e">
        <f t="array" aca="1" ref="Y731" ca="1">LOOKUP(ABS(MAX(Z731 + MIN(ABS(INDIRECT("Class Jobs!B"&amp;MATCH(E731,'Class Jobs'!$A$1:$A1000,0)&amp;":"&amp;"AF"&amp;MATCH(E731,'Class Jobs'!$A$1:$A1000,0)&amp;"")-$Z731)) * SUM(IF(MIN(ABS(INDIRECT("Class Jobs!B"&amp;MATCH(E731,'Class Jobs'!$A$1:$A1000,0)&amp;":"&amp;"AF"&amp;MATCH(E731,'Class Jobs'!$A$1:$A1000,0)&amp;"")-$Z731))=ABS(INDIRECT("Class Jobs!B"&amp;MATCH(E731,'Class Jobs'!$A$1:$A1000,0)&amp;":"&amp;"AF"&amp;MATCH(E731,'Class Jobs'!$A$1:$A1000,0)&amp;"")-$Z731),SIGN(INDIRECT("Class Jobs!B"&amp;MATCH(E731,'Class Jobs'!$A$1:A1000,0)&amp;":"&amp;"AF"&amp;MATCH(E731,'Class Jobs'!$A$1:$A1000,0)&amp;"")-$Z731),0)),0)),INDIRECT("Class Jobs!B"&amp;MATCH(E731,'Class Jobs'!$A$1:$A1000,0)&amp;":"&amp;"AF"&amp;MATCH(E731,'Class Jobs'!$A$1:$A1000,1)&amp;""),'Class Jobs'!$B$1:$AF$1)</f>
        <v>#REF!</v>
      </c>
      <c r="Z731" s="158">
        <f t="shared" si="41"/>
        <v>0.14000000000000001</v>
      </c>
      <c r="AA731" s="16" t="str">
        <f t="array" ref="AA731">INDEX(NPCGender,TRUNC(1+(COUNTA(NPCGender))*(TRUNC(MOD(($B731*1103515245 +12345)/ 65536, 32768),0)/32768),0))</f>
        <v>Male</v>
      </c>
      <c r="AB731" s="16" t="str">
        <f t="array" ref="AB731">INDEX(NPCRace,TRUNC(1+(COUNTA(NPCRace))*(TRUNC(MOD(($B731*1103515245 +12345)/ 65536, 32768),0)/32768),0))</f>
        <v>Dwarf</v>
      </c>
      <c r="AC731" s="16" t="str">
        <f t="array" ref="AC731">INDEX(NPCAL,TRUNC(1+(COUNTA(NPCAL))*(TRUNC(MOD(($B731*1103515245 +12345)/ 65536, 32768),0)/32768),0))</f>
        <v>CE</v>
      </c>
      <c r="AD731" s="72" t="str">
        <f ca="1">IFERROR(__xludf.DUMMYFUNCTION("if(V731&lt;15,QUERY(NPCVar!C:D,""Select D WHERE C = '""&amp;D731&amp;""'""),if((TRUNC(1+10)*(TRUNC(MOD((ROW(H731)*1103515245 +12345)/ 65536, 32768),0)/32768)/10) &gt; 0.85,INDEX(NPCFaction,TRUNC(1+(counta(NPCFaction)-1)*(TRUNC(MOD(($B731*1103515245 +12345)/ 65536, 3276"&amp;"8),0)/32768),0)),QUERY(NPCVar!C:D,""Select D WHERE C = '""&amp;D731&amp;""'"")))"),"Royalty")</f>
        <v>Royalty</v>
      </c>
      <c r="AE731" s="108" t="e">
        <f t="shared" ca="1" si="42"/>
        <v>#NAME?</v>
      </c>
      <c r="AF731" s="159">
        <f ca="1">IFERROR(__xludf.DUMMYFUNCTION("AE731*(V731 / QUERY(NPCVar!$K$2:$N$12, ""Select N WHERE K='""&amp;AB731&amp;""'""))*TRUNC(1+10)*(TRUNC(MOD(($B731*1103515245 +12345)/ 65536, 32768),0)/32768)"),-0.0149249267578124)</f>
        <v>-1.4924926757812399E-2</v>
      </c>
      <c r="AG731" s="16"/>
      <c r="AH731" s="77"/>
      <c r="AI731" s="114"/>
    </row>
    <row r="732" spans="1:35" ht="16.2">
      <c r="A732" s="53">
        <v>731</v>
      </c>
      <c r="B732" s="118">
        <f t="shared" si="48"/>
        <v>1.2042200000000001</v>
      </c>
      <c r="C732" s="72" t="str">
        <f t="array" ref="C732">INDEX(NPCFName,TRUNC(1+(COUNTA(NPCFName))*(TRUNC(MOD(($B732*1103515245 +12345)/ 65536, 32768),0)/32768),0))</f>
        <v>Ticharol</v>
      </c>
      <c r="D732" s="16" t="str">
        <f t="array" ref="D732">INDEX(NPCLName,TRUNC(1+(COUNTA(NPCLName))*(TRUNC(MOD(($B732*1103515245 +12345)/ 65536, 32768),0)/32768),0))</f>
        <v>Gloomrage</v>
      </c>
      <c r="E732" s="16" t="str">
        <f t="array" ref="E732">INDEX(NPCClass,TRUNC(1+(COUNTA(NPCClass))*(TRUNC(MOD(($B732*1103515245 +12345)/ 65536, 32768),0)/32768),0))</f>
        <v>Warlock</v>
      </c>
      <c r="F732" s="76">
        <v>8</v>
      </c>
      <c r="G732" s="153">
        <f ca="1">VLOOKUP($AB$2,'RF Mod'!$A$2:$G$12,2,FALSE)+VLOOKUP($AD$2,'RF Mod'!$I$2:$O$11,2,FALSE)+(TRUNC(6+(24-6)*(TRUNC(MOD(($Z732*1103515245 +12345)/ 65536, 32768),0)/32768),0))</f>
        <v>9</v>
      </c>
      <c r="H732" s="16">
        <f t="shared" ca="1" si="33"/>
        <v>-1</v>
      </c>
      <c r="I732" s="153">
        <f ca="1">VLOOKUP($AB$2,'RF Mod'!$A$2:$G$12,3,FALSE)+VLOOKUP($AD$2,'RF Mod'!$I$2:$O$11,3,FALSE)+(TRUNC(6+(24-6)*(TRUNC(MOD(($Z732*1103515245 +12345)/ 65536, 32768),0)/32768),0))</f>
        <v>13</v>
      </c>
      <c r="J732" s="16" t="e">
        <f t="shared" ca="1" si="34"/>
        <v>#NAME?</v>
      </c>
      <c r="K732" s="153">
        <f ca="1">VLOOKUP($AB$2,'RF Mod'!$A$2:$G$12,3,FALSE)+VLOOKUP($AD$2,'RF Mod'!$I$2:$O$11,3,FALSE)+(TRUNC(6+(24-6)*(TRUNC(MOD(($Z732*1103515245 +12345)/ 65536, 32768),0)/32768),0))</f>
        <v>13</v>
      </c>
      <c r="L732" s="16" t="e">
        <f t="shared" ca="1" si="35"/>
        <v>#NAME?</v>
      </c>
      <c r="M732" s="153">
        <f ca="1">VLOOKUP($AB$2,'RF Mod'!$A$2:$G$12,4,FALSE)+VLOOKUP($AD$2,'RF Mod'!$I$2:$O$11,4,FALSE)+(TRUNC(6+(24-6)*(TRUNC(MOD(($Z732*1103515245 +12345)/ 65536, 32768),0)/32768),0))</f>
        <v>12</v>
      </c>
      <c r="N732" s="16" t="e">
        <f t="shared" ca="1" si="36"/>
        <v>#NAME?</v>
      </c>
      <c r="O732" s="153">
        <f ca="1">VLOOKUP($AB$2,'RF Mod'!$A$2:$G$12,5,FALSE)+VLOOKUP($AD$2,'RF Mod'!$I$2:$O$11,5,FALSE)+(TRUNC(6+(24-6)*(TRUNC(MOD(($Z732*1103515245 +12345)/ 65536, 32768),0)/32768),0))</f>
        <v>15</v>
      </c>
      <c r="P732" s="16" t="e">
        <f t="shared" ca="1" si="37"/>
        <v>#NAME?</v>
      </c>
      <c r="Q732" s="153">
        <f ca="1">VLOOKUP($AB$2,'RF Mod'!$A$2:$G$12,6,FALSE)+VLOOKUP($AD$2,'RF Mod'!$I$2:$O$11,6,FALSE)+(TRUNC(6+(24-6)*(TRUNC(MOD(($Z732*1103515245 +12345)/ 65536, 32768),0)/32768),0))</f>
        <v>13</v>
      </c>
      <c r="R732" s="16" t="e">
        <f t="shared" ca="1" si="38"/>
        <v>#NAME?</v>
      </c>
      <c r="S732" s="154">
        <f t="shared" ca="1" si="43"/>
        <v>216</v>
      </c>
      <c r="T732" s="154">
        <f t="shared" ca="1" si="39"/>
        <v>256</v>
      </c>
      <c r="U732" s="16" t="str">
        <f t="shared" ca="1" si="40"/>
        <v>Dead</v>
      </c>
      <c r="V732" s="155">
        <f ca="1">IFERROR(__xludf.DUMMYFUNCTION("if(W732=""Middle Age"",QUERY(NPCVar!$K$2:$N1000, ""Select L where K = '""&amp;AB732&amp;""'""),if(W732=""Old"",QUERY(NPCVar!$K$2:$N1000, ""Select M where K = '""&amp;AB732&amp;""'""),if(W732=""Venerable"",QUERY(NPCVar!$K$2:$N1000, ""Select N where K = '""&amp;AB732&amp;""'""),fa"&amp;"lse)))*X732"),300)</f>
        <v>300</v>
      </c>
      <c r="W732" s="156" t="str">
        <f t="array" ref="W732">INDEX(NPCAgeType,TRUNC(1+(4-1)*(TRUNC(MOD((X732*1103515245 +12345)/ 65536, 32768),0)/32768),0))</f>
        <v>Venerable</v>
      </c>
      <c r="X732" s="117">
        <f t="shared" si="45"/>
        <v>1.5</v>
      </c>
      <c r="Y732" s="157" t="e">
        <f t="array" aca="1" ref="Y732" ca="1">LOOKUP(ABS(MAX(Z732 + MIN(ABS(INDIRECT("Class Jobs!B"&amp;MATCH(E732,'Class Jobs'!$A$1:$A1000,0)&amp;":"&amp;"AF"&amp;MATCH(E732,'Class Jobs'!$A$1:$A1000,0)&amp;"")-$Z732)) * SUM(IF(MIN(ABS(INDIRECT("Class Jobs!B"&amp;MATCH(E732,'Class Jobs'!$A$1:$A1000,0)&amp;":"&amp;"AF"&amp;MATCH(E732,'Class Jobs'!$A$1:$A1000,0)&amp;"")-$Z732))=ABS(INDIRECT("Class Jobs!B"&amp;MATCH(E732,'Class Jobs'!$A$1:$A1000,0)&amp;":"&amp;"AF"&amp;MATCH(E732,'Class Jobs'!$A$1:$A1000,0)&amp;"")-$Z732),SIGN(INDIRECT("Class Jobs!B"&amp;MATCH(E732,'Class Jobs'!$A$1:A1000,0)&amp;":"&amp;"AF"&amp;MATCH(E732,'Class Jobs'!$A$1:$A1000,0)&amp;"")-$Z732),0)),0)),INDIRECT("Class Jobs!B"&amp;MATCH(E732,'Class Jobs'!$A$1:$A1000,0)&amp;":"&amp;"AF"&amp;MATCH(E732,'Class Jobs'!$A$1:$A1000,1)&amp;""),'Class Jobs'!$B$1:$AF$1)</f>
        <v>#REF!</v>
      </c>
      <c r="Z732" s="158">
        <f t="shared" si="41"/>
        <v>0.62</v>
      </c>
      <c r="AA732" s="16" t="str">
        <f t="array" ref="AA732">INDEX(NPCGender,TRUNC(1+(COUNTA(NPCGender))*(TRUNC(MOD(($B732*1103515245 +12345)/ 65536, 32768),0)/32768),0))</f>
        <v>Female</v>
      </c>
      <c r="AB732" s="16" t="str">
        <f t="array" ref="AB732">INDEX(NPCRace,TRUNC(1+(COUNTA(NPCRace))*(TRUNC(MOD(($B732*1103515245 +12345)/ 65536, 32768),0)/32768),0))</f>
        <v>Halfling</v>
      </c>
      <c r="AC732" s="16" t="str">
        <f t="array" ref="AC732">INDEX(NPCAL,TRUNC(1+(COUNTA(NPCAL))*(TRUNC(MOD(($B732*1103515245 +12345)/ 65536, 32768),0)/32768),0))</f>
        <v>NE</v>
      </c>
      <c r="AD732" s="72" t="str">
        <f ca="1">IFERROR(__xludf.DUMMYFUNCTION("if(V732&lt;15,QUERY(NPCVar!C:D,""Select D WHERE C = '""&amp;D732&amp;""'""),if((TRUNC(1+10)*(TRUNC(MOD((ROW(H732)*1103515245 +12345)/ 65536, 32768),0)/32768)/10) &gt; 0.85,INDEX(NPCFaction,TRUNC(1+(counta(NPCFaction)-1)*(TRUNC(MOD(($B732*1103515245 +12345)/ 65536, 3276"&amp;"8),0)/32768),0)),QUERY(NPCVar!C:D,""Select D WHERE C = '""&amp;D732&amp;""'"")))"),"Traders Guild")</f>
        <v>Traders Guild</v>
      </c>
      <c r="AE732" s="108" t="e">
        <f t="shared" ca="1" si="42"/>
        <v>#NAME?</v>
      </c>
      <c r="AF732" s="159">
        <f ca="1">IFERROR(__xludf.DUMMYFUNCTION("AE732*(V732 / QUERY(NPCVar!$K$2:$N$12, ""Select N WHERE K='""&amp;AB732&amp;""'""))*TRUNC(1+10)*(TRUNC(MOD(($B732*1103515245 +12345)/ 65536, 32768),0)/32768)"),7.14719696044921)</f>
        <v>7.14719696044921</v>
      </c>
      <c r="AG732" s="16"/>
      <c r="AH732" s="77"/>
      <c r="AI732" s="114"/>
    </row>
    <row r="733" spans="1:35" ht="16.2">
      <c r="A733" s="53">
        <v>732</v>
      </c>
      <c r="B733" s="118">
        <f t="shared" si="48"/>
        <v>0.19836999999999999</v>
      </c>
      <c r="C733" s="72" t="str">
        <f t="array" ref="C733">INDEX(NPCFName,TRUNC(1+(COUNTA(NPCFName))*(TRUNC(MOD(($B733*1103515245 +12345)/ 65536, 32768),0)/32768),0))</f>
        <v>Eythil</v>
      </c>
      <c r="D733" s="16" t="str">
        <f t="array" ref="D733">INDEX(NPCLName,TRUNC(1+(COUNTA(NPCLName))*(TRUNC(MOD(($B733*1103515245 +12345)/ 65536, 32768),0)/32768),0))</f>
        <v>Distantlash</v>
      </c>
      <c r="E733" s="16" t="str">
        <f t="array" ref="E733">INDEX(NPCClass,TRUNC(1+(COUNTA(NPCClass))*(TRUNC(MOD(($B733*1103515245 +12345)/ 65536, 32768),0)/32768),0))</f>
        <v>Bard</v>
      </c>
      <c r="F733" s="76">
        <v>1</v>
      </c>
      <c r="G733" s="153">
        <f ca="1">VLOOKUP($AB$2,'RF Mod'!$A$2:$G$12,2,FALSE)+VLOOKUP($AD$2,'RF Mod'!$I$2:$O$11,2,FALSE)+(TRUNC(6+(24-6)*(TRUNC(MOD(($Z733*1103515245 +12345)/ 65536, 32768),0)/32768),0))</f>
        <v>5</v>
      </c>
      <c r="H733" s="16">
        <f t="shared" ca="1" si="33"/>
        <v>-3</v>
      </c>
      <c r="I733" s="153">
        <f ca="1">VLOOKUP($AB$2,'RF Mod'!$A$2:$G$12,3,FALSE)+VLOOKUP($AD$2,'RF Mod'!$I$2:$O$11,3,FALSE)+(TRUNC(6+(24-6)*(TRUNC(MOD(($Z733*1103515245 +12345)/ 65536, 32768),0)/32768),0))</f>
        <v>9</v>
      </c>
      <c r="J733" s="16">
        <f t="shared" ca="1" si="34"/>
        <v>-1</v>
      </c>
      <c r="K733" s="153">
        <f ca="1">VLOOKUP($AB$2,'RF Mod'!$A$2:$G$12,3,FALSE)+VLOOKUP($AD$2,'RF Mod'!$I$2:$O$11,3,FALSE)+(TRUNC(6+(24-6)*(TRUNC(MOD(($Z733*1103515245 +12345)/ 65536, 32768),0)/32768),0))</f>
        <v>9</v>
      </c>
      <c r="L733" s="16">
        <f t="shared" ca="1" si="35"/>
        <v>-1</v>
      </c>
      <c r="M733" s="153">
        <f ca="1">VLOOKUP($AB$2,'RF Mod'!$A$2:$G$12,4,FALSE)+VLOOKUP($AD$2,'RF Mod'!$I$2:$O$11,4,FALSE)+(TRUNC(6+(24-6)*(TRUNC(MOD(($Z733*1103515245 +12345)/ 65536, 32768),0)/32768),0))</f>
        <v>8</v>
      </c>
      <c r="N733" s="16">
        <f t="shared" ca="1" si="36"/>
        <v>-1</v>
      </c>
      <c r="O733" s="153">
        <f ca="1">VLOOKUP($AB$2,'RF Mod'!$A$2:$G$12,5,FALSE)+VLOOKUP($AD$2,'RF Mod'!$I$2:$O$11,5,FALSE)+(TRUNC(6+(24-6)*(TRUNC(MOD(($Z733*1103515245 +12345)/ 65536, 32768),0)/32768),0))</f>
        <v>11</v>
      </c>
      <c r="P733" s="16" t="e">
        <f t="shared" ca="1" si="37"/>
        <v>#NAME?</v>
      </c>
      <c r="Q733" s="153">
        <f ca="1">VLOOKUP($AB$2,'RF Mod'!$A$2:$G$12,6,FALSE)+VLOOKUP($AD$2,'RF Mod'!$I$2:$O$11,6,FALSE)+(TRUNC(6+(24-6)*(TRUNC(MOD(($Z733*1103515245 +12345)/ 65536, 32768),0)/32768),0))</f>
        <v>9</v>
      </c>
      <c r="R733" s="16">
        <f t="shared" ca="1" si="38"/>
        <v>-1</v>
      </c>
      <c r="S733" s="154">
        <f t="shared" ca="1" si="43"/>
        <v>27</v>
      </c>
      <c r="T733" s="154">
        <f t="shared" ca="1" si="39"/>
        <v>25</v>
      </c>
      <c r="U733" s="16" t="str">
        <f t="shared" ca="1" si="40"/>
        <v>Bloody</v>
      </c>
      <c r="V733" s="155">
        <f ca="1">IFERROR(__xludf.DUMMYFUNCTION("if(W733=""Middle Age"",QUERY(NPCVar!$K$2:$N1000, ""Select L where K = '""&amp;AB733&amp;""'""),if(W733=""Old"",QUERY(NPCVar!$K$2:$N1000, ""Select M where K = '""&amp;AB733&amp;""'""),if(W733=""Venerable"",QUERY(NPCVar!$K$2:$N1000, ""Select N where K = '""&amp;AB733&amp;""'""),fa"&amp;"lse)))*X733"),24)</f>
        <v>24</v>
      </c>
      <c r="W733" s="156" t="str">
        <f t="array" ref="W733">INDEX(NPCAgeType,TRUNC(1+(4-1)*(TRUNC(MOD((X733*1103515245 +12345)/ 65536, 32768),0)/32768),0))</f>
        <v>Middle Age</v>
      </c>
      <c r="X733" s="117">
        <f t="shared" si="45"/>
        <v>0.3</v>
      </c>
      <c r="Y733" s="157" t="e">
        <f t="array" aca="1" ref="Y733" ca="1">LOOKUP(ABS(MAX(Z733 + MIN(ABS(INDIRECT("Class Jobs!B"&amp;MATCH(E733,'Class Jobs'!$A$1:$A1000,0)&amp;":"&amp;"AF"&amp;MATCH(E733,'Class Jobs'!$A$1:$A1000,0)&amp;"")-$Z733)) * SUM(IF(MIN(ABS(INDIRECT("Class Jobs!B"&amp;MATCH(E733,'Class Jobs'!$A$1:$A1000,0)&amp;":"&amp;"AF"&amp;MATCH(E733,'Class Jobs'!$A$1:$A1000,0)&amp;"")-$Z733))=ABS(INDIRECT("Class Jobs!B"&amp;MATCH(E733,'Class Jobs'!$A$1:$A1000,0)&amp;":"&amp;"AF"&amp;MATCH(E733,'Class Jobs'!$A$1:$A1000,0)&amp;"")-$Z733),SIGN(INDIRECT("Class Jobs!B"&amp;MATCH(E733,'Class Jobs'!$A$1:A1000,0)&amp;":"&amp;"AF"&amp;MATCH(E733,'Class Jobs'!$A$1:$A1000,0)&amp;"")-$Z733),0)),0)),INDIRECT("Class Jobs!B"&amp;MATCH(E733,'Class Jobs'!$A$1:$A1000,0)&amp;":"&amp;"AF"&amp;MATCH(E733,'Class Jobs'!$A$1:$A1000,1)&amp;""),'Class Jobs'!$B$1:$AF$1)</f>
        <v>#REF!</v>
      </c>
      <c r="Z733" s="158">
        <f t="shared" si="41"/>
        <v>0.11</v>
      </c>
      <c r="AA733" s="16" t="str">
        <f t="array" ref="AA733">INDEX(NPCGender,TRUNC(1+(COUNTA(NPCGender))*(TRUNC(MOD(($B733*1103515245 +12345)/ 65536, 32768),0)/32768),0))</f>
        <v>Male</v>
      </c>
      <c r="AB733" s="16" t="str">
        <f t="array" ref="AB733">INDEX(NPCRace,TRUNC(1+(COUNTA(NPCRace))*(TRUNC(MOD(($B733*1103515245 +12345)/ 65536, 32768),0)/32768),0))</f>
        <v>Dwarf</v>
      </c>
      <c r="AC733" s="16" t="str">
        <f t="array" ref="AC733">INDEX(NPCAL,TRUNC(1+(COUNTA(NPCAL))*(TRUNC(MOD(($B733*1103515245 +12345)/ 65536, 32768),0)/32768),0))</f>
        <v>CN</v>
      </c>
      <c r="AD733" s="72" t="str">
        <f ca="1">IFERROR(__xludf.DUMMYFUNCTION("if(V733&lt;15,QUERY(NPCVar!C:D,""Select D WHERE C = '""&amp;D733&amp;""'""),if((TRUNC(1+10)*(TRUNC(MOD((ROW(H733)*1103515245 +12345)/ 65536, 32768),0)/32768)/10) &gt; 0.85,INDEX(NPCFaction,TRUNC(1+(counta(NPCFaction)-1)*(TRUNC(MOD(($B733*1103515245 +12345)/ 65536, 3276"&amp;"8),0)/32768),0)),QUERY(NPCVar!C:D,""Select D WHERE C = '""&amp;D733&amp;""'"")))"),"Death Guild")</f>
        <v>Death Guild</v>
      </c>
      <c r="AE733" s="108" t="e">
        <f t="shared" ca="1" si="42"/>
        <v>#NAME?</v>
      </c>
      <c r="AF733" s="159">
        <f ca="1">IFERROR(__xludf.DUMMYFUNCTION("AE733*(V733 / QUERY(NPCVar!$K$2:$N$12, ""Select N WHERE K='""&amp;AB733&amp;""'""))*TRUNC(1+10)*(TRUNC(MOD(($B733*1103515245 +12345)/ 65536, 32768),0)/32768)"),-0.00840911865234374)</f>
        <v>-8.4091186523437399E-3</v>
      </c>
      <c r="AG733" s="16"/>
      <c r="AH733" s="77"/>
      <c r="AI733" s="114"/>
    </row>
    <row r="734" spans="1:35" ht="16.2">
      <c r="A734" s="53">
        <v>733</v>
      </c>
      <c r="B734" s="118">
        <f t="shared" si="48"/>
        <v>1.6924999999999999</v>
      </c>
      <c r="C734" s="72" t="str">
        <f t="array" ref="C734">INDEX(NPCFName,TRUNC(1+(COUNTA(NPCFName))*(TRUNC(MOD(($B734*1103515245 +12345)/ 65536, 32768),0)/32768),0))</f>
        <v>Namorn</v>
      </c>
      <c r="D734" s="16" t="str">
        <f t="array" ref="D734">INDEX(NPCLName,TRUNC(1+(COUNTA(NPCLName))*(TRUNC(MOD(($B734*1103515245 +12345)/ 65536, 32768),0)/32768),0))</f>
        <v>Forestbluff</v>
      </c>
      <c r="E734" s="16" t="str">
        <f t="array" ref="E734">INDEX(NPCClass,TRUNC(1+(COUNTA(NPCClass))*(TRUNC(MOD(($B734*1103515245 +12345)/ 65536, 32768),0)/32768),0))</f>
        <v>Fighter</v>
      </c>
      <c r="F734" s="76">
        <v>8</v>
      </c>
      <c r="G734" s="153">
        <f ca="1">VLOOKUP($AB$2,'RF Mod'!$A$2:$G$12,2,FALSE)+VLOOKUP($AD$2,'RF Mod'!$I$2:$O$11,2,FALSE)+(TRUNC(6+(24-6)*(TRUNC(MOD(($Z734*1103515245 +12345)/ 65536, 32768),0)/32768),0))</f>
        <v>12</v>
      </c>
      <c r="H734" s="16" t="e">
        <f t="shared" ca="1" si="33"/>
        <v>#NAME?</v>
      </c>
      <c r="I734" s="153">
        <f ca="1">VLOOKUP($AB$2,'RF Mod'!$A$2:$G$12,3,FALSE)+VLOOKUP($AD$2,'RF Mod'!$I$2:$O$11,3,FALSE)+(TRUNC(6+(24-6)*(TRUNC(MOD(($Z734*1103515245 +12345)/ 65536, 32768),0)/32768),0))</f>
        <v>16</v>
      </c>
      <c r="J734" s="16" t="e">
        <f t="shared" ca="1" si="34"/>
        <v>#NAME?</v>
      </c>
      <c r="K734" s="153">
        <f ca="1">VLOOKUP($AB$2,'RF Mod'!$A$2:$G$12,3,FALSE)+VLOOKUP($AD$2,'RF Mod'!$I$2:$O$11,3,FALSE)+(TRUNC(6+(24-6)*(TRUNC(MOD(($Z734*1103515245 +12345)/ 65536, 32768),0)/32768),0))</f>
        <v>16</v>
      </c>
      <c r="L734" s="16" t="e">
        <f t="shared" ca="1" si="35"/>
        <v>#NAME?</v>
      </c>
      <c r="M734" s="153">
        <f ca="1">VLOOKUP($AB$2,'RF Mod'!$A$2:$G$12,4,FALSE)+VLOOKUP($AD$2,'RF Mod'!$I$2:$O$11,4,FALSE)+(TRUNC(6+(24-6)*(TRUNC(MOD(($Z734*1103515245 +12345)/ 65536, 32768),0)/32768),0))</f>
        <v>15</v>
      </c>
      <c r="N734" s="16" t="e">
        <f t="shared" ca="1" si="36"/>
        <v>#NAME?</v>
      </c>
      <c r="O734" s="153">
        <f ca="1">VLOOKUP($AB$2,'RF Mod'!$A$2:$G$12,5,FALSE)+VLOOKUP($AD$2,'RF Mod'!$I$2:$O$11,5,FALSE)+(TRUNC(6+(24-6)*(TRUNC(MOD(($Z734*1103515245 +12345)/ 65536, 32768),0)/32768),0))</f>
        <v>18</v>
      </c>
      <c r="P734" s="16" t="e">
        <f t="shared" ca="1" si="37"/>
        <v>#NAME?</v>
      </c>
      <c r="Q734" s="153">
        <f ca="1">VLOOKUP($AB$2,'RF Mod'!$A$2:$G$12,6,FALSE)+VLOOKUP($AD$2,'RF Mod'!$I$2:$O$11,6,FALSE)+(TRUNC(6+(24-6)*(TRUNC(MOD(($Z734*1103515245 +12345)/ 65536, 32768),0)/32768),0))</f>
        <v>16</v>
      </c>
      <c r="R734" s="16" t="e">
        <f t="shared" ca="1" si="38"/>
        <v>#NAME?</v>
      </c>
      <c r="S734" s="154">
        <f t="shared" ca="1" si="43"/>
        <v>256</v>
      </c>
      <c r="T734" s="154">
        <f t="shared" ca="1" si="39"/>
        <v>298</v>
      </c>
      <c r="U734" s="16" t="str">
        <f t="shared" ca="1" si="40"/>
        <v>Dead</v>
      </c>
      <c r="V734" s="155">
        <f ca="1">IFERROR(__xludf.DUMMYFUNCTION("if(W734=""Middle Age"",QUERY(NPCVar!$K$2:$N1000, ""Select L where K = '""&amp;AB734&amp;""'""),if(W734=""Old"",QUERY(NPCVar!$K$2:$N1000, ""Select M where K = '""&amp;AB734&amp;""'""),if(W734=""Venerable"",QUERY(NPCVar!$K$2:$N1000, ""Select N where K = '""&amp;AB734&amp;""'""),fa"&amp;"lse)))*X734"),57.75)</f>
        <v>57.75</v>
      </c>
      <c r="W734" s="156" t="str">
        <f t="array" ref="W734">INDEX(NPCAgeType,TRUNC(1+(4-1)*(TRUNC(MOD((X734*1103515245 +12345)/ 65536, 32768),0)/32768),0))</f>
        <v>Middle Age</v>
      </c>
      <c r="X734" s="117">
        <f t="shared" si="45"/>
        <v>2.1</v>
      </c>
      <c r="Y734" s="157" t="e">
        <f t="array" aca="1" ref="Y734" ca="1">LOOKUP(ABS(MAX(Z734 + MIN(ABS(INDIRECT("Class Jobs!B"&amp;MATCH(E734,'Class Jobs'!$A$1:$A1000,0)&amp;":"&amp;"AF"&amp;MATCH(E734,'Class Jobs'!$A$1:$A1000,0)&amp;"")-$Z734)) * SUM(IF(MIN(ABS(INDIRECT("Class Jobs!B"&amp;MATCH(E734,'Class Jobs'!$A$1:$A1000,0)&amp;":"&amp;"AF"&amp;MATCH(E734,'Class Jobs'!$A$1:$A1000,0)&amp;"")-$Z734))=ABS(INDIRECT("Class Jobs!B"&amp;MATCH(E734,'Class Jobs'!$A$1:$A1000,0)&amp;":"&amp;"AF"&amp;MATCH(E734,'Class Jobs'!$A$1:$A1000,0)&amp;"")-$Z734),SIGN(INDIRECT("Class Jobs!B"&amp;MATCH(E734,'Class Jobs'!$A$1:A1000,0)&amp;":"&amp;"AF"&amp;MATCH(E734,'Class Jobs'!$A$1:$A1000,0)&amp;"")-$Z734),0)),0)),INDIRECT("Class Jobs!B"&amp;MATCH(E734,'Class Jobs'!$A$1:$A1000,0)&amp;":"&amp;"AF"&amp;MATCH(E734,'Class Jobs'!$A$1:$A1000,1)&amp;""),'Class Jobs'!$B$1:$AF$1)</f>
        <v>#REF!</v>
      </c>
      <c r="Z734" s="158">
        <f t="shared" si="41"/>
        <v>0.87</v>
      </c>
      <c r="AA734" s="16" t="str">
        <f t="array" ref="AA734">INDEX(NPCGender,TRUNC(1+(COUNTA(NPCGender))*(TRUNC(MOD(($B734*1103515245 +12345)/ 65536, 32768),0)/32768),0))</f>
        <v>Neutral</v>
      </c>
      <c r="AB734" s="16" t="str">
        <f t="array" ref="AB734">INDEX(NPCRace,TRUNC(1+(COUNTA(NPCRace))*(TRUNC(MOD(($B734*1103515245 +12345)/ 65536, 32768),0)/32768),0))</f>
        <v>Genasi</v>
      </c>
      <c r="AC734" s="16" t="str">
        <f t="array" ref="AC734">INDEX(NPCAL,TRUNC(1+(COUNTA(NPCAL))*(TRUNC(MOD(($B734*1103515245 +12345)/ 65536, 32768),0)/32768),0))</f>
        <v>LN</v>
      </c>
      <c r="AD734" s="72" t="str">
        <f ca="1">IFERROR(__xludf.DUMMYFUNCTION("if(V734&lt;15,QUERY(NPCVar!C:D,""Select D WHERE C = '""&amp;D734&amp;""'""),if((TRUNC(1+10)*(TRUNC(MOD((ROW(H734)*1103515245 +12345)/ 65536, 32768),0)/32768)/10) &gt; 0.85,INDEX(NPCFaction,TRUNC(1+(counta(NPCFaction)-1)*(TRUNC(MOD(($B734*1103515245 +12345)/ 65536, 3276"&amp;"8),0)/32768),0)),QUERY(NPCVar!C:D,""Select D WHERE C = '""&amp;D734&amp;""'"")))"),"Thieves Guild")</f>
        <v>Thieves Guild</v>
      </c>
      <c r="AE734" s="108" t="e">
        <f t="shared" ca="1" si="42"/>
        <v>#NAME?</v>
      </c>
      <c r="AF734" s="159">
        <f ca="1">IFERROR(__xludf.DUMMYFUNCTION("AE734*(V734 / QUERY(NPCVar!$K$2:$N$12, ""Select N WHERE K='""&amp;AB734&amp;""'""))*TRUNC(1+10)*(TRUNC(MOD(($B734*1103515245 +12345)/ 65536, 32768),0)/32768)"),3.51584495544433)</f>
        <v>3.5158449554443298</v>
      </c>
      <c r="AG734" s="16"/>
      <c r="AH734" s="77"/>
      <c r="AI734" s="114"/>
    </row>
    <row r="735" spans="1:35" ht="16.2">
      <c r="A735" s="53">
        <v>734</v>
      </c>
      <c r="B735" s="118">
        <f t="shared" si="48"/>
        <v>0.68664999999999998</v>
      </c>
      <c r="C735" s="72" t="str">
        <f t="array" ref="C735">INDEX(NPCFName,TRUNC(1+(COUNTA(NPCFName))*(TRUNC(MOD(($B735*1103515245 +12345)/ 65536, 32768),0)/32768),0))</f>
        <v>Atlin</v>
      </c>
      <c r="D735" s="16" t="str">
        <f t="array" ref="D735">INDEX(NPCLName,TRUNC(1+(COUNTA(NPCLName))*(TRUNC(MOD(($B735*1103515245 +12345)/ 65536, 32768),0)/32768),0))</f>
        <v>Leafblight</v>
      </c>
      <c r="E735" s="16" t="str">
        <f t="array" ref="E735">INDEX(NPCClass,TRUNC(1+(COUNTA(NPCClass))*(TRUNC(MOD(($B735*1103515245 +12345)/ 65536, 32768),0)/32768),0))</f>
        <v>Paladin</v>
      </c>
      <c r="F735" s="76">
        <v>5</v>
      </c>
      <c r="G735" s="153">
        <f ca="1">VLOOKUP($AB$2,'RF Mod'!$A$2:$G$12,2,FALSE)+VLOOKUP($AD$2,'RF Mod'!$I$2:$O$11,2,FALSE)+(TRUNC(6+(24-6)*(TRUNC(MOD(($Z735*1103515245 +12345)/ 65536, 32768),0)/32768),0))</f>
        <v>7</v>
      </c>
      <c r="H735" s="16">
        <f t="shared" ca="1" si="33"/>
        <v>-2</v>
      </c>
      <c r="I735" s="153">
        <f ca="1">VLOOKUP($AB$2,'RF Mod'!$A$2:$G$12,3,FALSE)+VLOOKUP($AD$2,'RF Mod'!$I$2:$O$11,3,FALSE)+(TRUNC(6+(24-6)*(TRUNC(MOD(($Z735*1103515245 +12345)/ 65536, 32768),0)/32768),0))</f>
        <v>11</v>
      </c>
      <c r="J735" s="16" t="e">
        <f t="shared" ca="1" si="34"/>
        <v>#NAME?</v>
      </c>
      <c r="K735" s="153">
        <f ca="1">VLOOKUP($AB$2,'RF Mod'!$A$2:$G$12,3,FALSE)+VLOOKUP($AD$2,'RF Mod'!$I$2:$O$11,3,FALSE)+(TRUNC(6+(24-6)*(TRUNC(MOD(($Z735*1103515245 +12345)/ 65536, 32768),0)/32768),0))</f>
        <v>11</v>
      </c>
      <c r="L735" s="16" t="e">
        <f t="shared" ca="1" si="35"/>
        <v>#NAME?</v>
      </c>
      <c r="M735" s="153">
        <f ca="1">VLOOKUP($AB$2,'RF Mod'!$A$2:$G$12,4,FALSE)+VLOOKUP($AD$2,'RF Mod'!$I$2:$O$11,4,FALSE)+(TRUNC(6+(24-6)*(TRUNC(MOD(($Z735*1103515245 +12345)/ 65536, 32768),0)/32768),0))</f>
        <v>10</v>
      </c>
      <c r="N735" s="16" t="e">
        <f t="shared" ca="1" si="36"/>
        <v>#NAME?</v>
      </c>
      <c r="O735" s="153">
        <f ca="1">VLOOKUP($AB$2,'RF Mod'!$A$2:$G$12,5,FALSE)+VLOOKUP($AD$2,'RF Mod'!$I$2:$O$11,5,FALSE)+(TRUNC(6+(24-6)*(TRUNC(MOD(($Z735*1103515245 +12345)/ 65536, 32768),0)/32768),0))</f>
        <v>13</v>
      </c>
      <c r="P735" s="16" t="e">
        <f t="shared" ca="1" si="37"/>
        <v>#NAME?</v>
      </c>
      <c r="Q735" s="153">
        <f ca="1">VLOOKUP($AB$2,'RF Mod'!$A$2:$G$12,6,FALSE)+VLOOKUP($AD$2,'RF Mod'!$I$2:$O$11,6,FALSE)+(TRUNC(6+(24-6)*(TRUNC(MOD(($Z735*1103515245 +12345)/ 65536, 32768),0)/32768),0))</f>
        <v>11</v>
      </c>
      <c r="R735" s="16" t="e">
        <f t="shared" ca="1" si="38"/>
        <v>#NAME?</v>
      </c>
      <c r="S735" s="154">
        <f t="shared" ca="1" si="43"/>
        <v>65</v>
      </c>
      <c r="T735" s="154">
        <f t="shared" ca="1" si="39"/>
        <v>73</v>
      </c>
      <c r="U735" s="16" t="str">
        <f t="shared" ca="1" si="40"/>
        <v>Dead</v>
      </c>
      <c r="V735" s="155">
        <f ca="1">IFERROR(__xludf.DUMMYFUNCTION("if(W735=""Middle Age"",QUERY(NPCVar!$K$2:$N1000, ""Select L where K = '""&amp;AB735&amp;""'""),if(W735=""Old"",QUERY(NPCVar!$K$2:$N1000, ""Select M where K = '""&amp;AB735&amp;""'""),if(W735=""Venerable"",QUERY(NPCVar!$K$2:$N1000, ""Select N where K = '""&amp;AB735&amp;""'""),fa"&amp;"lse)))*X735"),151.875)</f>
        <v>151.875</v>
      </c>
      <c r="W735" s="156" t="str">
        <f t="array" ref="W735">INDEX(NPCAgeType,TRUNC(1+(4-1)*(TRUNC(MOD((X735*1103515245 +12345)/ 65536, 32768),0)/32768),0))</f>
        <v>Old</v>
      </c>
      <c r="X735" s="117">
        <f t="shared" si="45"/>
        <v>0.9</v>
      </c>
      <c r="Y735" s="157" t="e">
        <f t="array" aca="1" ref="Y735" ca="1">LOOKUP(ABS(MAX(Z735 + MIN(ABS(INDIRECT("Class Jobs!B"&amp;MATCH(E735,'Class Jobs'!$A$1:$A1000,0)&amp;":"&amp;"AF"&amp;MATCH(E735,'Class Jobs'!$A$1:$A1000,0)&amp;"")-$Z735)) * SUM(IF(MIN(ABS(INDIRECT("Class Jobs!B"&amp;MATCH(E735,'Class Jobs'!$A$1:$A1000,0)&amp;":"&amp;"AF"&amp;MATCH(E735,'Class Jobs'!$A$1:$A1000,0)&amp;"")-$Z735))=ABS(INDIRECT("Class Jobs!B"&amp;MATCH(E735,'Class Jobs'!$A$1:$A1000,0)&amp;":"&amp;"AF"&amp;MATCH(E735,'Class Jobs'!$A$1:$A1000,0)&amp;"")-$Z735),SIGN(INDIRECT("Class Jobs!B"&amp;MATCH(E735,'Class Jobs'!$A$1:A1000,0)&amp;":"&amp;"AF"&amp;MATCH(E735,'Class Jobs'!$A$1:$A1000,0)&amp;"")-$Z735),0)),0)),INDIRECT("Class Jobs!B"&amp;MATCH(E735,'Class Jobs'!$A$1:$A1000,0)&amp;":"&amp;"AF"&amp;MATCH(E735,'Class Jobs'!$A$1:$A1000,1)&amp;""),'Class Jobs'!$B$1:$AF$1)</f>
        <v>#REF!</v>
      </c>
      <c r="Z735" s="158">
        <f t="shared" si="41"/>
        <v>0.35</v>
      </c>
      <c r="AA735" s="16" t="str">
        <f t="array" ref="AA735">INDEX(NPCGender,TRUNC(1+(COUNTA(NPCGender))*(TRUNC(MOD(($B735*1103515245 +12345)/ 65536, 32768),0)/32768),0))</f>
        <v>Female</v>
      </c>
      <c r="AB735" s="16" t="str">
        <f t="array" ref="AB735">INDEX(NPCRace,TRUNC(1+(COUNTA(NPCRace))*(TRUNC(MOD(($B735*1103515245 +12345)/ 65536, 32768),0)/32768),0))</f>
        <v>Gnome</v>
      </c>
      <c r="AC735" s="16" t="str">
        <f t="array" ref="AC735">INDEX(NPCAL,TRUNC(1+(COUNTA(NPCAL))*(TRUNC(MOD(($B735*1103515245 +12345)/ 65536, 32768),0)/32768),0))</f>
        <v>NG</v>
      </c>
      <c r="AD735" s="72" t="str">
        <f ca="1">IFERROR(__xludf.DUMMYFUNCTION("if(V735&lt;15,QUERY(NPCVar!C:D,""Select D WHERE C = '""&amp;D735&amp;""'""),if((TRUNC(1+10)*(TRUNC(MOD((ROW(H735)*1103515245 +12345)/ 65536, 32768),0)/32768)/10) &gt; 0.85,INDEX(NPCFaction,TRUNC(1+(counta(NPCFaction)-1)*(TRUNC(MOD(($B735*1103515245 +12345)/ 65536, 3276"&amp;"8),0)/32768),0)),QUERY(NPCVar!C:D,""Select D WHERE C = '""&amp;D735&amp;""'"")))"),"Necromancer")</f>
        <v>Necromancer</v>
      </c>
      <c r="AE735" s="108" t="e">
        <f t="shared" ca="1" si="42"/>
        <v>#NAME?</v>
      </c>
      <c r="AF735" s="159">
        <f ca="1">IFERROR(__xludf.DUMMYFUNCTION("AE735*(V735 / QUERY(NPCVar!$K$2:$N$12, ""Select N WHERE K='""&amp;AB735&amp;""'""))*TRUNC(1+10)*(TRUNC(MOD(($B735*1103515245 +12345)/ 65536, 32768),0)/32768)"),0.130993423461914)</f>
        <v>0.130993423461914</v>
      </c>
      <c r="AG735" s="16"/>
      <c r="AH735" s="77"/>
      <c r="AI735" s="114"/>
    </row>
    <row r="736" spans="1:35" ht="16.2">
      <c r="A736" s="53">
        <v>735</v>
      </c>
      <c r="B736" s="118">
        <f t="shared" si="48"/>
        <v>2.1807799999999999</v>
      </c>
      <c r="C736" s="72" t="str">
        <f t="array" ref="C736">INDEX(NPCFName,TRUNC(1+(COUNTA(NPCFName))*(TRUNC(MOD(($B736*1103515245 +12345)/ 65536, 32768),0)/32768),0))</f>
        <v>Gibolock</v>
      </c>
      <c r="D736" s="16" t="str">
        <f t="array" ref="D736">INDEX(NPCLName,TRUNC(1+(COUNTA(NPCLName))*(TRUNC(MOD(($B736*1103515245 +12345)/ 65536, 32768),0)/32768),0))</f>
        <v>Distantlash</v>
      </c>
      <c r="E736" s="16" t="str">
        <f t="array" ref="E736">INDEX(NPCClass,TRUNC(1+(COUNTA(NPCClass))*(TRUNC(MOD(($B736*1103515245 +12345)/ 65536, 32768),0)/32768),0))</f>
        <v>Bard</v>
      </c>
      <c r="F736" s="76">
        <v>1</v>
      </c>
      <c r="G736" s="153">
        <f ca="1">VLOOKUP($AB$2,'RF Mod'!$A$2:$G$12,2,FALSE)+VLOOKUP($AD$2,'RF Mod'!$I$2:$O$11,2,FALSE)+(TRUNC(6+(24-6)*(TRUNC(MOD(($Z736*1103515245 +12345)/ 65536, 32768),0)/32768),0))</f>
        <v>5</v>
      </c>
      <c r="H736" s="16">
        <f t="shared" ca="1" si="33"/>
        <v>-3</v>
      </c>
      <c r="I736" s="153">
        <f ca="1">VLOOKUP($AB$2,'RF Mod'!$A$2:$G$12,3,FALSE)+VLOOKUP($AD$2,'RF Mod'!$I$2:$O$11,3,FALSE)+(TRUNC(6+(24-6)*(TRUNC(MOD(($Z736*1103515245 +12345)/ 65536, 32768),0)/32768),0))</f>
        <v>9</v>
      </c>
      <c r="J736" s="16">
        <f t="shared" ca="1" si="34"/>
        <v>-1</v>
      </c>
      <c r="K736" s="153">
        <f ca="1">VLOOKUP($AB$2,'RF Mod'!$A$2:$G$12,3,FALSE)+VLOOKUP($AD$2,'RF Mod'!$I$2:$O$11,3,FALSE)+(TRUNC(6+(24-6)*(TRUNC(MOD(($Z736*1103515245 +12345)/ 65536, 32768),0)/32768),0))</f>
        <v>9</v>
      </c>
      <c r="L736" s="16">
        <f t="shared" ca="1" si="35"/>
        <v>-1</v>
      </c>
      <c r="M736" s="153">
        <f ca="1">VLOOKUP($AB$2,'RF Mod'!$A$2:$G$12,4,FALSE)+VLOOKUP($AD$2,'RF Mod'!$I$2:$O$11,4,FALSE)+(TRUNC(6+(24-6)*(TRUNC(MOD(($Z736*1103515245 +12345)/ 65536, 32768),0)/32768),0))</f>
        <v>8</v>
      </c>
      <c r="N736" s="16">
        <f t="shared" ca="1" si="36"/>
        <v>-1</v>
      </c>
      <c r="O736" s="153">
        <f ca="1">VLOOKUP($AB$2,'RF Mod'!$A$2:$G$12,5,FALSE)+VLOOKUP($AD$2,'RF Mod'!$I$2:$O$11,5,FALSE)+(TRUNC(6+(24-6)*(TRUNC(MOD(($Z736*1103515245 +12345)/ 65536, 32768),0)/32768),0))</f>
        <v>11</v>
      </c>
      <c r="P736" s="16" t="e">
        <f t="shared" ca="1" si="37"/>
        <v>#NAME?</v>
      </c>
      <c r="Q736" s="153">
        <f ca="1">VLOOKUP($AB$2,'RF Mod'!$A$2:$G$12,6,FALSE)+VLOOKUP($AD$2,'RF Mod'!$I$2:$O$11,6,FALSE)+(TRUNC(6+(24-6)*(TRUNC(MOD(($Z736*1103515245 +12345)/ 65536, 32768),0)/32768),0))</f>
        <v>9</v>
      </c>
      <c r="R736" s="16">
        <f t="shared" ca="1" si="38"/>
        <v>-1</v>
      </c>
      <c r="S736" s="154">
        <f t="shared" ca="1" si="43"/>
        <v>11</v>
      </c>
      <c r="T736" s="154">
        <f t="shared" ca="1" si="39"/>
        <v>1</v>
      </c>
      <c r="U736" s="16" t="str">
        <f t="shared" ca="1" si="40"/>
        <v>Fine</v>
      </c>
      <c r="V736" s="155">
        <f ca="1">IFERROR(__xludf.DUMMYFUNCTION("if(W736=""Middle Age"",QUERY(NPCVar!$K$2:$N1000, ""Select L where K = '""&amp;AB736&amp;""'""),if(W736=""Old"",QUERY(NPCVar!$K$2:$N1000, ""Select M where K = '""&amp;AB736&amp;""'""),if(W736=""Venerable"",QUERY(NPCVar!$K$2:$N1000, ""Select N where K = '""&amp;AB736&amp;""'""),fa"&amp;"lse)))*X736"),24)</f>
        <v>24</v>
      </c>
      <c r="W736" s="156" t="str">
        <f t="array" ref="W736">INDEX(NPCAgeType,TRUNC(1+(4-1)*(TRUNC(MOD((X736*1103515245 +12345)/ 65536, 32768),0)/32768),0))</f>
        <v>Middle Age</v>
      </c>
      <c r="X736" s="117">
        <f t="shared" si="45"/>
        <v>0.3</v>
      </c>
      <c r="Y736" s="157" t="e">
        <f t="array" aca="1" ref="Y736" ca="1">LOOKUP(ABS(MAX(Z736 + MIN(ABS(INDIRECT("Class Jobs!B"&amp;MATCH(E736,'Class Jobs'!$A$1:$A1000,0)&amp;":"&amp;"AF"&amp;MATCH(E736,'Class Jobs'!$A$1:$A1000,0)&amp;"")-$Z736)) * SUM(IF(MIN(ABS(INDIRECT("Class Jobs!B"&amp;MATCH(E736,'Class Jobs'!$A$1:$A1000,0)&amp;":"&amp;"AF"&amp;MATCH(E736,'Class Jobs'!$A$1:$A1000,0)&amp;"")-$Z736))=ABS(INDIRECT("Class Jobs!B"&amp;MATCH(E736,'Class Jobs'!$A$1:$A1000,0)&amp;":"&amp;"AF"&amp;MATCH(E736,'Class Jobs'!$A$1:$A1000,0)&amp;"")-$Z736),SIGN(INDIRECT("Class Jobs!B"&amp;MATCH(E736,'Class Jobs'!$A$1:A1000,0)&amp;":"&amp;"AF"&amp;MATCH(E736,'Class Jobs'!$A$1:$A1000,0)&amp;"")-$Z736),0)),0)),INDIRECT("Class Jobs!B"&amp;MATCH(E736,'Class Jobs'!$A$1:$A1000,0)&amp;":"&amp;"AF"&amp;MATCH(E736,'Class Jobs'!$A$1:$A1000,1)&amp;""),'Class Jobs'!$B$1:$AF$1)</f>
        <v>#REF!</v>
      </c>
      <c r="Z736" s="158">
        <f t="shared" si="41"/>
        <v>0.12</v>
      </c>
      <c r="AA736" s="16" t="str">
        <f t="array" ref="AA736">INDEX(NPCGender,TRUNC(1+(COUNTA(NPCGender))*(TRUNC(MOD(($B736*1103515245 +12345)/ 65536, 32768),0)/32768),0))</f>
        <v>Male</v>
      </c>
      <c r="AB736" s="16" t="str">
        <f t="array" ref="AB736">INDEX(NPCRace,TRUNC(1+(COUNTA(NPCRace))*(TRUNC(MOD(($B736*1103515245 +12345)/ 65536, 32768),0)/32768),0))</f>
        <v>Dwarf</v>
      </c>
      <c r="AC736" s="16" t="str">
        <f t="array" ref="AC736">INDEX(NPCAL,TRUNC(1+(COUNTA(NPCAL))*(TRUNC(MOD(($B736*1103515245 +12345)/ 65536, 32768),0)/32768),0))</f>
        <v>CE</v>
      </c>
      <c r="AD736" s="72" t="str">
        <f ca="1">IFERROR(__xludf.DUMMYFUNCTION("if(V736&lt;15,QUERY(NPCVar!C:D,""Select D WHERE C = '""&amp;D736&amp;""'""),if((TRUNC(1+10)*(TRUNC(MOD((ROW(H736)*1103515245 +12345)/ 65536, 32768),0)/32768)/10) &gt; 0.85,INDEX(NPCFaction,TRUNC(1+(counta(NPCFaction)-1)*(TRUNC(MOD(($B736*1103515245 +12345)/ 65536, 3276"&amp;"8),0)/32768),0)),QUERY(NPCVar!C:D,""Select D WHERE C = '""&amp;D736&amp;""'"")))"),"Death Guild")</f>
        <v>Death Guild</v>
      </c>
      <c r="AE736" s="108" t="e">
        <f t="shared" ca="1" si="42"/>
        <v>#NAME?</v>
      </c>
      <c r="AF736" s="159">
        <f ca="1">IFERROR(__xludf.DUMMYFUNCTION("AE736*(V736 / QUERY(NPCVar!$K$2:$N$12, ""Select N WHERE K='""&amp;AB736&amp;""'""))*TRUNC(1+10)*(TRUNC(MOD(($B736*1103515245 +12345)/ 65536, 32768),0)/32768)"),0.0397998046874999)</f>
        <v>3.9799804687499898E-2</v>
      </c>
      <c r="AG736" s="16"/>
      <c r="AH736" s="77"/>
      <c r="AI736" s="114"/>
    </row>
    <row r="737" spans="1:35" ht="16.2">
      <c r="A737" s="53">
        <v>736</v>
      </c>
      <c r="B737" s="118">
        <f t="shared" si="48"/>
        <v>1.1748499999999999</v>
      </c>
      <c r="C737" s="72" t="str">
        <f t="array" ref="C737">INDEX(NPCFName,TRUNC(1+(COUNTA(NPCFName))*(TRUNC(MOD(($B737*1103515245 +12345)/ 65536, 32768),0)/32768),0))</f>
        <v>Silpal</v>
      </c>
      <c r="D737" s="16" t="str">
        <f t="array" ref="D737">INDEX(NPCLName,TRUNC(1+(COUNTA(NPCLName))*(TRUNC(MOD(($B737*1103515245 +12345)/ 65536, 32768),0)/32768),0))</f>
        <v>Gloomrage</v>
      </c>
      <c r="E737" s="16" t="str">
        <f t="array" ref="E737">INDEX(NPCClass,TRUNC(1+(COUNTA(NPCClass))*(TRUNC(MOD(($B737*1103515245 +12345)/ 65536, 32768),0)/32768),0))</f>
        <v>Warlock</v>
      </c>
      <c r="F737" s="76">
        <v>8</v>
      </c>
      <c r="G737" s="153">
        <f ca="1">VLOOKUP($AB$2,'RF Mod'!$A$2:$G$12,2,FALSE)+VLOOKUP($AD$2,'RF Mod'!$I$2:$O$11,2,FALSE)+(TRUNC(6+(24-6)*(TRUNC(MOD(($Z737*1103515245 +12345)/ 65536, 32768),0)/32768),0))</f>
        <v>9</v>
      </c>
      <c r="H737" s="16">
        <f t="shared" ca="1" si="33"/>
        <v>-1</v>
      </c>
      <c r="I737" s="153">
        <f ca="1">VLOOKUP($AB$2,'RF Mod'!$A$2:$G$12,3,FALSE)+VLOOKUP($AD$2,'RF Mod'!$I$2:$O$11,3,FALSE)+(TRUNC(6+(24-6)*(TRUNC(MOD(($Z737*1103515245 +12345)/ 65536, 32768),0)/32768),0))</f>
        <v>13</v>
      </c>
      <c r="J737" s="16" t="e">
        <f t="shared" ca="1" si="34"/>
        <v>#NAME?</v>
      </c>
      <c r="K737" s="153">
        <f ca="1">VLOOKUP($AB$2,'RF Mod'!$A$2:$G$12,3,FALSE)+VLOOKUP($AD$2,'RF Mod'!$I$2:$O$11,3,FALSE)+(TRUNC(6+(24-6)*(TRUNC(MOD(($Z737*1103515245 +12345)/ 65536, 32768),0)/32768),0))</f>
        <v>13</v>
      </c>
      <c r="L737" s="16" t="e">
        <f t="shared" ca="1" si="35"/>
        <v>#NAME?</v>
      </c>
      <c r="M737" s="153">
        <f ca="1">VLOOKUP($AB$2,'RF Mod'!$A$2:$G$12,4,FALSE)+VLOOKUP($AD$2,'RF Mod'!$I$2:$O$11,4,FALSE)+(TRUNC(6+(24-6)*(TRUNC(MOD(($Z737*1103515245 +12345)/ 65536, 32768),0)/32768),0))</f>
        <v>12</v>
      </c>
      <c r="N737" s="16" t="e">
        <f t="shared" ca="1" si="36"/>
        <v>#NAME?</v>
      </c>
      <c r="O737" s="153">
        <f ca="1">VLOOKUP($AB$2,'RF Mod'!$A$2:$G$12,5,FALSE)+VLOOKUP($AD$2,'RF Mod'!$I$2:$O$11,5,FALSE)+(TRUNC(6+(24-6)*(TRUNC(MOD(($Z737*1103515245 +12345)/ 65536, 32768),0)/32768),0))</f>
        <v>15</v>
      </c>
      <c r="P737" s="16" t="e">
        <f t="shared" ca="1" si="37"/>
        <v>#NAME?</v>
      </c>
      <c r="Q737" s="153">
        <f ca="1">VLOOKUP($AB$2,'RF Mod'!$A$2:$G$12,6,FALSE)+VLOOKUP($AD$2,'RF Mod'!$I$2:$O$11,6,FALSE)+(TRUNC(6+(24-6)*(TRUNC(MOD(($Z737*1103515245 +12345)/ 65536, 32768),0)/32768),0))</f>
        <v>13</v>
      </c>
      <c r="R737" s="16" t="e">
        <f t="shared" ca="1" si="38"/>
        <v>#NAME?</v>
      </c>
      <c r="S737" s="154">
        <f t="shared" ca="1" si="43"/>
        <v>184</v>
      </c>
      <c r="T737" s="154">
        <f t="shared" ca="1" si="39"/>
        <v>83</v>
      </c>
      <c r="U737" s="16" t="str">
        <f t="shared" ca="1" si="40"/>
        <v>Fine</v>
      </c>
      <c r="V737" s="155">
        <f ca="1">IFERROR(__xludf.DUMMYFUNCTION("if(W737=""Middle Age"",QUERY(NPCVar!$K$2:$N1000, ""Select L where K = '""&amp;AB737&amp;""'""),if(W737=""Old"",QUERY(NPCVar!$K$2:$N1000, ""Select M where K = '""&amp;AB737&amp;""'""),if(W737=""Venerable"",QUERY(NPCVar!$K$2:$N1000, ""Select N where K = '""&amp;AB737&amp;""'""),fa"&amp;"lse)))*X737"),300)</f>
        <v>300</v>
      </c>
      <c r="W737" s="156" t="str">
        <f t="array" ref="W737">INDEX(NPCAgeType,TRUNC(1+(4-1)*(TRUNC(MOD((X737*1103515245 +12345)/ 65536, 32768),0)/32768),0))</f>
        <v>Venerable</v>
      </c>
      <c r="X737" s="117">
        <f t="shared" si="45"/>
        <v>1.5</v>
      </c>
      <c r="Y737" s="157" t="e">
        <f t="array" aca="1" ref="Y737" ca="1">LOOKUP(ABS(MAX(Z737 + MIN(ABS(INDIRECT("Class Jobs!B"&amp;MATCH(E737,'Class Jobs'!$A$1:$A1000,0)&amp;":"&amp;"AF"&amp;MATCH(E737,'Class Jobs'!$A$1:$A1000,0)&amp;"")-$Z737)) * SUM(IF(MIN(ABS(INDIRECT("Class Jobs!B"&amp;MATCH(E737,'Class Jobs'!$A$1:$A1000,0)&amp;":"&amp;"AF"&amp;MATCH(E737,'Class Jobs'!$A$1:$A1000,0)&amp;"")-$Z737))=ABS(INDIRECT("Class Jobs!B"&amp;MATCH(E737,'Class Jobs'!$A$1:$A1000,0)&amp;":"&amp;"AF"&amp;MATCH(E737,'Class Jobs'!$A$1:$A1000,0)&amp;"")-$Z737),SIGN(INDIRECT("Class Jobs!B"&amp;MATCH(E737,'Class Jobs'!$A$1:A1000,0)&amp;":"&amp;"AF"&amp;MATCH(E737,'Class Jobs'!$A$1:$A1000,0)&amp;"")-$Z737),0)),0)),INDIRECT("Class Jobs!B"&amp;MATCH(E737,'Class Jobs'!$A$1:$A1000,0)&amp;":"&amp;"AF"&amp;MATCH(E737,'Class Jobs'!$A$1:$A1000,1)&amp;""),'Class Jobs'!$B$1:$AF$1)</f>
        <v>#REF!</v>
      </c>
      <c r="Z737" s="158">
        <f t="shared" si="41"/>
        <v>0.6</v>
      </c>
      <c r="AA737" s="16" t="str">
        <f t="array" ref="AA737">INDEX(NPCGender,TRUNC(1+(COUNTA(NPCGender))*(TRUNC(MOD(($B737*1103515245 +12345)/ 65536, 32768),0)/32768),0))</f>
        <v>Female</v>
      </c>
      <c r="AB737" s="16" t="str">
        <f t="array" ref="AB737">INDEX(NPCRace,TRUNC(1+(COUNTA(NPCRace))*(TRUNC(MOD(($B737*1103515245 +12345)/ 65536, 32768),0)/32768),0))</f>
        <v>Halfling</v>
      </c>
      <c r="AC737" s="16" t="str">
        <f t="array" ref="AC737">INDEX(NPCAL,TRUNC(1+(COUNTA(NPCAL))*(TRUNC(MOD(($B737*1103515245 +12345)/ 65536, 32768),0)/32768),0))</f>
        <v>NE</v>
      </c>
      <c r="AD737" s="72" t="str">
        <f ca="1">IFERROR(__xludf.DUMMYFUNCTION("if(V737&lt;15,QUERY(NPCVar!C:D,""Select D WHERE C = '""&amp;D737&amp;""'""),if((TRUNC(1+10)*(TRUNC(MOD((ROW(H737)*1103515245 +12345)/ 65536, 32768),0)/32768)/10) &gt; 0.85,INDEX(NPCFaction,TRUNC(1+(counta(NPCFaction)-1)*(TRUNC(MOD(($B737*1103515245 +12345)/ 65536, 3276"&amp;"8),0)/32768),0)),QUERY(NPCVar!C:D,""Select D WHERE C = '""&amp;D737&amp;""'"")))"),"Traders Guild")</f>
        <v>Traders Guild</v>
      </c>
      <c r="AE737" s="108" t="e">
        <f t="shared" ca="1" si="42"/>
        <v>#NAME?</v>
      </c>
      <c r="AF737" s="159">
        <f ca="1">IFERROR(__xludf.DUMMYFUNCTION("AE737*(V737 / QUERY(NPCVar!$K$2:$N$12, ""Select N WHERE K='""&amp;AB737&amp;""'""))*TRUNC(1+10)*(TRUNC(MOD(($B737*1103515245 +12345)/ 65536, 32768),0)/32768)"),2.98830871582031)</f>
        <v>2.9883087158203101</v>
      </c>
      <c r="AG737" s="16"/>
      <c r="AH737" s="77"/>
      <c r="AI737" s="114"/>
    </row>
    <row r="738" spans="1:35" ht="16.2">
      <c r="A738" s="53">
        <v>737</v>
      </c>
      <c r="B738" s="118">
        <f t="shared" si="48"/>
        <v>0.16900000000000001</v>
      </c>
      <c r="C738" s="72" t="str">
        <f t="array" ref="C738">INDEX(NPCFName,TRUNC(1+(COUNTA(NPCFName))*(TRUNC(MOD(($B738*1103515245 +12345)/ 65536, 32768),0)/32768),0))</f>
        <v>Dyfar</v>
      </c>
      <c r="D738" s="16" t="str">
        <f t="array" ref="D738">INDEX(NPCLName,TRUNC(1+(COUNTA(NPCLName))*(TRUNC(MOD(($B738*1103515245 +12345)/ 65536, 32768),0)/32768),0))</f>
        <v>Autumnorb</v>
      </c>
      <c r="E738" s="16" t="str">
        <f t="array" ref="E738">INDEX(NPCClass,TRUNC(1+(COUNTA(NPCClass))*(TRUNC(MOD(($B738*1103515245 +12345)/ 65536, 32768),0)/32768),0))</f>
        <v>Bard</v>
      </c>
      <c r="F738" s="76">
        <v>1</v>
      </c>
      <c r="G738" s="153">
        <f ca="1">VLOOKUP($AB$2,'RF Mod'!$A$2:$G$12,2,FALSE)+VLOOKUP($AD$2,'RF Mod'!$I$2:$O$11,2,FALSE)+(TRUNC(6+(24-6)*(TRUNC(MOD(($Z738*1103515245 +12345)/ 65536, 32768),0)/32768),0))</f>
        <v>4</v>
      </c>
      <c r="H738" s="16">
        <f t="shared" ca="1" si="33"/>
        <v>-3</v>
      </c>
      <c r="I738" s="153">
        <f ca="1">VLOOKUP($AB$2,'RF Mod'!$A$2:$G$12,3,FALSE)+VLOOKUP($AD$2,'RF Mod'!$I$2:$O$11,3,FALSE)+(TRUNC(6+(24-6)*(TRUNC(MOD(($Z738*1103515245 +12345)/ 65536, 32768),0)/32768),0))</f>
        <v>8</v>
      </c>
      <c r="J738" s="16">
        <f t="shared" ca="1" si="34"/>
        <v>-1</v>
      </c>
      <c r="K738" s="153">
        <f ca="1">VLOOKUP($AB$2,'RF Mod'!$A$2:$G$12,3,FALSE)+VLOOKUP($AD$2,'RF Mod'!$I$2:$O$11,3,FALSE)+(TRUNC(6+(24-6)*(TRUNC(MOD(($Z738*1103515245 +12345)/ 65536, 32768),0)/32768),0))</f>
        <v>8</v>
      </c>
      <c r="L738" s="16">
        <f t="shared" ca="1" si="35"/>
        <v>-1</v>
      </c>
      <c r="M738" s="153">
        <f ca="1">VLOOKUP($AB$2,'RF Mod'!$A$2:$G$12,4,FALSE)+VLOOKUP($AD$2,'RF Mod'!$I$2:$O$11,4,FALSE)+(TRUNC(6+(24-6)*(TRUNC(MOD(($Z738*1103515245 +12345)/ 65536, 32768),0)/32768),0))</f>
        <v>7</v>
      </c>
      <c r="N738" s="16">
        <f t="shared" ca="1" si="36"/>
        <v>-2</v>
      </c>
      <c r="O738" s="153">
        <f ca="1">VLOOKUP($AB$2,'RF Mod'!$A$2:$G$12,5,FALSE)+VLOOKUP($AD$2,'RF Mod'!$I$2:$O$11,5,FALSE)+(TRUNC(6+(24-6)*(TRUNC(MOD(($Z738*1103515245 +12345)/ 65536, 32768),0)/32768),0))</f>
        <v>10</v>
      </c>
      <c r="P738" s="16" t="e">
        <f t="shared" ca="1" si="37"/>
        <v>#NAME?</v>
      </c>
      <c r="Q738" s="153">
        <f ca="1">VLOOKUP($AB$2,'RF Mod'!$A$2:$G$12,6,FALSE)+VLOOKUP($AD$2,'RF Mod'!$I$2:$O$11,6,FALSE)+(TRUNC(6+(24-6)*(TRUNC(MOD(($Z738*1103515245 +12345)/ 65536, 32768),0)/32768),0))</f>
        <v>8</v>
      </c>
      <c r="R738" s="16">
        <f t="shared" ca="1" si="38"/>
        <v>-1</v>
      </c>
      <c r="S738" s="154">
        <f t="shared" ca="1" si="43"/>
        <v>10</v>
      </c>
      <c r="T738" s="154">
        <f t="shared" ca="1" si="39"/>
        <v>8</v>
      </c>
      <c r="U738" s="16" t="str">
        <f t="shared" ca="1" si="40"/>
        <v>Bloody</v>
      </c>
      <c r="V738" s="155">
        <f ca="1">IFERROR(__xludf.DUMMYFUNCTION("if(W738=""Middle Age"",QUERY(NPCVar!$K$2:$N1000, ""Select L where K = '""&amp;AB738&amp;""'""),if(W738=""Old"",QUERY(NPCVar!$K$2:$N1000, ""Select M where K = '""&amp;AB738&amp;""'""),if(W738=""Venerable"",QUERY(NPCVar!$K$2:$N1000, ""Select N where K = '""&amp;AB738&amp;""'""),fa"&amp;"lse)))*X738"),6)</f>
        <v>6</v>
      </c>
      <c r="W738" s="156" t="str">
        <f t="array" ref="W738">INDEX(NPCAgeType,TRUNC(1+(4-1)*(TRUNC(MOD((X738*1103515245 +12345)/ 65536, 32768),0)/32768),0))</f>
        <v>Middle Age</v>
      </c>
      <c r="X738" s="117">
        <f t="shared" si="45"/>
        <v>0.3</v>
      </c>
      <c r="Y738" s="157" t="e">
        <f t="array" aca="1" ref="Y738" ca="1">LOOKUP(ABS(MAX(Z738 + MIN(ABS(INDIRECT("Class Jobs!B"&amp;MATCH(E738,'Class Jobs'!$A$1:$A1000,0)&amp;":"&amp;"AF"&amp;MATCH(E738,'Class Jobs'!$A$1:$A1000,0)&amp;"")-$Z738)) * SUM(IF(MIN(ABS(INDIRECT("Class Jobs!B"&amp;MATCH(E738,'Class Jobs'!$A$1:$A1000,0)&amp;":"&amp;"AF"&amp;MATCH(E738,'Class Jobs'!$A$1:$A1000,0)&amp;"")-$Z738))=ABS(INDIRECT("Class Jobs!B"&amp;MATCH(E738,'Class Jobs'!$A$1:$A1000,0)&amp;":"&amp;"AF"&amp;MATCH(E738,'Class Jobs'!$A$1:$A1000,0)&amp;"")-$Z738),SIGN(INDIRECT("Class Jobs!B"&amp;MATCH(E738,'Class Jobs'!$A$1:A1000,0)&amp;":"&amp;"AF"&amp;MATCH(E738,'Class Jobs'!$A$1:$A1000,0)&amp;"")-$Z738),0)),0)),INDIRECT("Class Jobs!B"&amp;MATCH(E738,'Class Jobs'!$A$1:$A1000,0)&amp;":"&amp;"AF"&amp;MATCH(E738,'Class Jobs'!$A$1:$A1000,1)&amp;""),'Class Jobs'!$B$1:$AF$1)</f>
        <v>#REF!</v>
      </c>
      <c r="Z738" s="158">
        <f t="shared" si="41"/>
        <v>0.09</v>
      </c>
      <c r="AA738" s="16" t="str">
        <f t="array" ref="AA738">INDEX(NPCGender,TRUNC(1+(COUNTA(NPCGender))*(TRUNC(MOD(($B738*1103515245 +12345)/ 65536, 32768),0)/32768),0))</f>
        <v>Male</v>
      </c>
      <c r="AB738" s="16" t="str">
        <f t="array" ref="AB738">INDEX(NPCRace,TRUNC(1+(COUNTA(NPCRace))*(TRUNC(MOD(($B738*1103515245 +12345)/ 65536, 32768),0)/32768),0))</f>
        <v>Dragonborn</v>
      </c>
      <c r="AC738" s="16" t="str">
        <f t="array" ref="AC738">INDEX(NPCAL,TRUNC(1+(COUNTA(NPCAL))*(TRUNC(MOD(($B738*1103515245 +12345)/ 65536, 32768),0)/32768),0))</f>
        <v>CN</v>
      </c>
      <c r="AD738" s="72" t="str">
        <f ca="1">IFERROR(__xludf.DUMMYFUNCTION("if(V738&lt;15,QUERY(NPCVar!C:D,""Select D WHERE C = '""&amp;D738&amp;""'""),if((TRUNC(1+10)*(TRUNC(MOD((ROW(H738)*1103515245 +12345)/ 65536, 32768),0)/32768)/10) &gt; 0.85,INDEX(NPCFaction,TRUNC(1+(counta(NPCFaction)-1)*(TRUNC(MOD(($B738*1103515245 +12345)/ 65536, 3276"&amp;"8),0)/32768),0)),QUERY(NPCVar!C:D,""Select D WHERE C = '""&amp;D738&amp;""'"")))"),"Royalty")</f>
        <v>Royalty</v>
      </c>
      <c r="AE738" s="108" t="e">
        <f t="shared" ca="1" si="42"/>
        <v>#NAME?</v>
      </c>
      <c r="AF738" s="159">
        <f ca="1">IFERROR(__xludf.DUMMYFUNCTION("AE738*(V738 / QUERY(NPCVar!$K$2:$N$12, ""Select N WHERE K='""&amp;AB738&amp;""'""))*TRUNC(1+10)*(TRUNC(MOD(($B738*1103515245 +12345)/ 65536, 32768),0)/32768)"),0.0286514282226562)</f>
        <v>2.8651428222656199E-2</v>
      </c>
      <c r="AG738" s="16"/>
      <c r="AH738" s="77"/>
      <c r="AI738" s="114"/>
    </row>
    <row r="739" spans="1:35" ht="16.2">
      <c r="A739" s="53">
        <v>738</v>
      </c>
      <c r="B739" s="118">
        <f t="shared" si="48"/>
        <v>1.66313</v>
      </c>
      <c r="C739" s="72" t="str">
        <f t="array" ref="C739">INDEX(NPCFName,TRUNC(1+(COUNTA(NPCFName))*(TRUNC(MOD(($B739*1103515245 +12345)/ 65536, 32768),0)/32768),0))</f>
        <v>Merdon</v>
      </c>
      <c r="D739" s="16" t="str">
        <f t="array" ref="D739">INDEX(NPCLName,TRUNC(1+(COUNTA(NPCLName))*(TRUNC(MOD(($B739*1103515245 +12345)/ 65536, 32768),0)/32768),0))</f>
        <v>Springgust</v>
      </c>
      <c r="E739" s="16" t="str">
        <f t="array" ref="E739">INDEX(NPCClass,TRUNC(1+(COUNTA(NPCClass))*(TRUNC(MOD(($B739*1103515245 +12345)/ 65536, 32768),0)/32768),0))</f>
        <v>Fighter</v>
      </c>
      <c r="F739" s="76">
        <v>8</v>
      </c>
      <c r="G739" s="153">
        <f ca="1">VLOOKUP($AB$2,'RF Mod'!$A$2:$G$12,2,FALSE)+VLOOKUP($AD$2,'RF Mod'!$I$2:$O$11,2,FALSE)+(TRUNC(6+(24-6)*(TRUNC(MOD(($Z739*1103515245 +12345)/ 65536, 32768),0)/32768),0))</f>
        <v>11</v>
      </c>
      <c r="H739" s="16" t="e">
        <f t="shared" ca="1" si="33"/>
        <v>#NAME?</v>
      </c>
      <c r="I739" s="153">
        <f ca="1">VLOOKUP($AB$2,'RF Mod'!$A$2:$G$12,3,FALSE)+VLOOKUP($AD$2,'RF Mod'!$I$2:$O$11,3,FALSE)+(TRUNC(6+(24-6)*(TRUNC(MOD(($Z739*1103515245 +12345)/ 65536, 32768),0)/32768),0))</f>
        <v>15</v>
      </c>
      <c r="J739" s="16" t="e">
        <f t="shared" ca="1" si="34"/>
        <v>#NAME?</v>
      </c>
      <c r="K739" s="153">
        <f ca="1">VLOOKUP($AB$2,'RF Mod'!$A$2:$G$12,3,FALSE)+VLOOKUP($AD$2,'RF Mod'!$I$2:$O$11,3,FALSE)+(TRUNC(6+(24-6)*(TRUNC(MOD(($Z739*1103515245 +12345)/ 65536, 32768),0)/32768),0))</f>
        <v>15</v>
      </c>
      <c r="L739" s="16" t="e">
        <f t="shared" ca="1" si="35"/>
        <v>#NAME?</v>
      </c>
      <c r="M739" s="153">
        <f ca="1">VLOOKUP($AB$2,'RF Mod'!$A$2:$G$12,4,FALSE)+VLOOKUP($AD$2,'RF Mod'!$I$2:$O$11,4,FALSE)+(TRUNC(6+(24-6)*(TRUNC(MOD(($Z739*1103515245 +12345)/ 65536, 32768),0)/32768),0))</f>
        <v>14</v>
      </c>
      <c r="N739" s="16" t="e">
        <f t="shared" ca="1" si="36"/>
        <v>#NAME?</v>
      </c>
      <c r="O739" s="153">
        <f ca="1">VLOOKUP($AB$2,'RF Mod'!$A$2:$G$12,5,FALSE)+VLOOKUP($AD$2,'RF Mod'!$I$2:$O$11,5,FALSE)+(TRUNC(6+(24-6)*(TRUNC(MOD(($Z739*1103515245 +12345)/ 65536, 32768),0)/32768),0))</f>
        <v>17</v>
      </c>
      <c r="P739" s="16" t="e">
        <f t="shared" ca="1" si="37"/>
        <v>#NAME?</v>
      </c>
      <c r="Q739" s="153">
        <f ca="1">VLOOKUP($AB$2,'RF Mod'!$A$2:$G$12,6,FALSE)+VLOOKUP($AD$2,'RF Mod'!$I$2:$O$11,6,FALSE)+(TRUNC(6+(24-6)*(TRUNC(MOD(($Z739*1103515245 +12345)/ 65536, 32768),0)/32768),0))</f>
        <v>15</v>
      </c>
      <c r="R739" s="16" t="e">
        <f t="shared" ca="1" si="38"/>
        <v>#NAME?</v>
      </c>
      <c r="S739" s="154">
        <f t="shared" ca="1" si="43"/>
        <v>136</v>
      </c>
      <c r="T739" s="154">
        <f t="shared" ca="1" si="39"/>
        <v>153</v>
      </c>
      <c r="U739" s="16" t="str">
        <f t="shared" ca="1" si="40"/>
        <v>Dead</v>
      </c>
      <c r="V739" s="155">
        <f ca="1">IFERROR(__xludf.DUMMYFUNCTION("if(W739=""Middle Age"",QUERY(NPCVar!$K$2:$N1000, ""Select L where K = '""&amp;AB739&amp;""'""),if(W739=""Old"",QUERY(NPCVar!$K$2:$N1000, ""Select M where K = '""&amp;AB739&amp;""'""),if(W739=""Venerable"",QUERY(NPCVar!$K$2:$N1000, ""Select N where K = '""&amp;AB739&amp;""'""),fa"&amp;"lse)))*X739"),57.75)</f>
        <v>57.75</v>
      </c>
      <c r="W739" s="156" t="str">
        <f t="array" ref="W739">INDEX(NPCAgeType,TRUNC(1+(4-1)*(TRUNC(MOD((X739*1103515245 +12345)/ 65536, 32768),0)/32768),0))</f>
        <v>Middle Age</v>
      </c>
      <c r="X739" s="117">
        <f t="shared" si="45"/>
        <v>2.1</v>
      </c>
      <c r="Y739" s="157" t="e">
        <f t="array" aca="1" ref="Y739" ca="1">LOOKUP(ABS(MAX(Z739 + MIN(ABS(INDIRECT("Class Jobs!B"&amp;MATCH(E739,'Class Jobs'!$A$1:$A1000,0)&amp;":"&amp;"AF"&amp;MATCH(E739,'Class Jobs'!$A$1:$A1000,0)&amp;"")-$Z739)) * SUM(IF(MIN(ABS(INDIRECT("Class Jobs!B"&amp;MATCH(E739,'Class Jobs'!$A$1:$A1000,0)&amp;":"&amp;"AF"&amp;MATCH(E739,'Class Jobs'!$A$1:$A1000,0)&amp;"")-$Z739))=ABS(INDIRECT("Class Jobs!B"&amp;MATCH(E739,'Class Jobs'!$A$1:$A1000,0)&amp;":"&amp;"AF"&amp;MATCH(E739,'Class Jobs'!$A$1:$A1000,0)&amp;"")-$Z739),SIGN(INDIRECT("Class Jobs!B"&amp;MATCH(E739,'Class Jobs'!$A$1:A1000,0)&amp;":"&amp;"AF"&amp;MATCH(E739,'Class Jobs'!$A$1:$A1000,0)&amp;"")-$Z739),0)),0)),INDIRECT("Class Jobs!B"&amp;MATCH(E739,'Class Jobs'!$A$1:$A1000,0)&amp;":"&amp;"AF"&amp;MATCH(E739,'Class Jobs'!$A$1:$A1000,1)&amp;""),'Class Jobs'!$B$1:$AF$1)</f>
        <v>#REF!</v>
      </c>
      <c r="Z739" s="158">
        <f t="shared" si="41"/>
        <v>0.85</v>
      </c>
      <c r="AA739" s="16" t="str">
        <f t="array" ref="AA739">INDEX(NPCGender,TRUNC(1+(COUNTA(NPCGender))*(TRUNC(MOD(($B739*1103515245 +12345)/ 65536, 32768),0)/32768),0))</f>
        <v>Neutral</v>
      </c>
      <c r="AB739" s="16" t="str">
        <f t="array" ref="AB739">INDEX(NPCRace,TRUNC(1+(COUNTA(NPCRace))*(TRUNC(MOD(($B739*1103515245 +12345)/ 65536, 32768),0)/32768),0))</f>
        <v>Genasi</v>
      </c>
      <c r="AC739" s="16" t="str">
        <f t="array" ref="AC739">INDEX(NPCAL,TRUNC(1+(COUNTA(NPCAL))*(TRUNC(MOD(($B739*1103515245 +12345)/ 65536, 32768),0)/32768),0))</f>
        <v>LN</v>
      </c>
      <c r="AD739" s="72" t="str">
        <f ca="1">IFERROR(__xludf.DUMMYFUNCTION("if(V739&lt;15,QUERY(NPCVar!C:D,""Select D WHERE C = '""&amp;D739&amp;""'""),if((TRUNC(1+10)*(TRUNC(MOD((ROW(H739)*1103515245 +12345)/ 65536, 32768),0)/32768)/10) &gt; 0.85,INDEX(NPCFaction,TRUNC(1+(counta(NPCFaction)-1)*(TRUNC(MOD(($B739*1103515245 +12345)/ 65536, 3276"&amp;"8),0)/32768),0)),QUERY(NPCVar!C:D,""Select D WHERE C = '""&amp;D739&amp;""'"")))"),"Traverlers Guild")</f>
        <v>Traverlers Guild</v>
      </c>
      <c r="AE739" s="108" t="e">
        <f t="shared" ca="1" si="42"/>
        <v>#NAME?</v>
      </c>
      <c r="AF739" s="159">
        <f ca="1">IFERROR(__xludf.DUMMYFUNCTION("AE739*(V739 / QUERY(NPCVar!$K$2:$N$12, ""Select N WHERE K='""&amp;AB739&amp;""'""))*TRUNC(1+10)*(TRUNC(MOD(($B739*1103515245 +12345)/ 65536, 32768),0)/32768)"),1.97415893554687)</f>
        <v>1.9741589355468701</v>
      </c>
      <c r="AG739" s="16"/>
      <c r="AH739" s="77"/>
      <c r="AI739" s="114"/>
    </row>
    <row r="740" spans="1:35" ht="16.2">
      <c r="A740" s="53">
        <v>739</v>
      </c>
      <c r="B740" s="118">
        <f t="shared" si="48"/>
        <v>0.65727000000000002</v>
      </c>
      <c r="C740" s="72" t="str">
        <f t="array" ref="C740">INDEX(NPCFName,TRUNC(1+(COUNTA(NPCFName))*(TRUNC(MOD(($B740*1103515245 +12345)/ 65536, 32768),0)/32768),0))</f>
        <v>Aerden</v>
      </c>
      <c r="D740" s="16" t="str">
        <f t="array" ref="D740">INDEX(NPCLName,TRUNC(1+(COUNTA(NPCLName))*(TRUNC(MOD(($B740*1103515245 +12345)/ 65536, 32768),0)/32768),0))</f>
        <v>Leafblight</v>
      </c>
      <c r="E740" s="16" t="str">
        <f t="array" ref="E740">INDEX(NPCClass,TRUNC(1+(COUNTA(NPCClass))*(TRUNC(MOD(($B740*1103515245 +12345)/ 65536, 32768),0)/32768),0))</f>
        <v>Paladin</v>
      </c>
      <c r="F740" s="76">
        <v>1</v>
      </c>
      <c r="G740" s="153">
        <f ca="1">VLOOKUP($AB$2,'RF Mod'!$A$2:$G$12,2,FALSE)+VLOOKUP($AD$2,'RF Mod'!$I$2:$O$11,2,FALSE)+(TRUNC(6+(24-6)*(TRUNC(MOD(($Z740*1103515245 +12345)/ 65536, 32768),0)/32768),0))</f>
        <v>7</v>
      </c>
      <c r="H740" s="16">
        <f t="shared" ca="1" si="33"/>
        <v>-2</v>
      </c>
      <c r="I740" s="153">
        <f ca="1">VLOOKUP($AB$2,'RF Mod'!$A$2:$G$12,3,FALSE)+VLOOKUP($AD$2,'RF Mod'!$I$2:$O$11,3,FALSE)+(TRUNC(6+(24-6)*(TRUNC(MOD(($Z740*1103515245 +12345)/ 65536, 32768),0)/32768),0))</f>
        <v>11</v>
      </c>
      <c r="J740" s="16" t="e">
        <f t="shared" ca="1" si="34"/>
        <v>#NAME?</v>
      </c>
      <c r="K740" s="153">
        <f ca="1">VLOOKUP($AB$2,'RF Mod'!$A$2:$G$12,3,FALSE)+VLOOKUP($AD$2,'RF Mod'!$I$2:$O$11,3,FALSE)+(TRUNC(6+(24-6)*(TRUNC(MOD(($Z740*1103515245 +12345)/ 65536, 32768),0)/32768),0))</f>
        <v>11</v>
      </c>
      <c r="L740" s="16" t="e">
        <f t="shared" ca="1" si="35"/>
        <v>#NAME?</v>
      </c>
      <c r="M740" s="153">
        <f ca="1">VLOOKUP($AB$2,'RF Mod'!$A$2:$G$12,4,FALSE)+VLOOKUP($AD$2,'RF Mod'!$I$2:$O$11,4,FALSE)+(TRUNC(6+(24-6)*(TRUNC(MOD(($Z740*1103515245 +12345)/ 65536, 32768),0)/32768),0))</f>
        <v>10</v>
      </c>
      <c r="N740" s="16" t="e">
        <f t="shared" ca="1" si="36"/>
        <v>#NAME?</v>
      </c>
      <c r="O740" s="153">
        <f ca="1">VLOOKUP($AB$2,'RF Mod'!$A$2:$G$12,5,FALSE)+VLOOKUP($AD$2,'RF Mod'!$I$2:$O$11,5,FALSE)+(TRUNC(6+(24-6)*(TRUNC(MOD(($Z740*1103515245 +12345)/ 65536, 32768),0)/32768),0))</f>
        <v>13</v>
      </c>
      <c r="P740" s="16" t="e">
        <f t="shared" ca="1" si="37"/>
        <v>#NAME?</v>
      </c>
      <c r="Q740" s="153">
        <f ca="1">VLOOKUP($AB$2,'RF Mod'!$A$2:$G$12,6,FALSE)+VLOOKUP($AD$2,'RF Mod'!$I$2:$O$11,6,FALSE)+(TRUNC(6+(24-6)*(TRUNC(MOD(($Z740*1103515245 +12345)/ 65536, 32768),0)/32768),0))</f>
        <v>11</v>
      </c>
      <c r="R740" s="16" t="e">
        <f t="shared" ca="1" si="38"/>
        <v>#NAME?</v>
      </c>
      <c r="S740" s="154">
        <f t="shared" ca="1" si="43"/>
        <v>19</v>
      </c>
      <c r="T740" s="154">
        <f t="shared" ca="1" si="39"/>
        <v>6</v>
      </c>
      <c r="U740" s="16" t="str">
        <f t="shared" ca="1" si="40"/>
        <v>Fine</v>
      </c>
      <c r="V740" s="155">
        <f ca="1">IFERROR(__xludf.DUMMYFUNCTION("if(W740=""Middle Age"",QUERY(NPCVar!$K$2:$N1000, ""Select L where K = '""&amp;AB740&amp;""'""),if(W740=""Old"",QUERY(NPCVar!$K$2:$N1000, ""Select M where K = '""&amp;AB740&amp;""'""),if(W740=""Venerable"",QUERY(NPCVar!$K$2:$N1000, ""Select N where K = '""&amp;AB740&amp;""'""),fa"&amp;"lse)))*X740"),151.875)</f>
        <v>151.875</v>
      </c>
      <c r="W740" s="156" t="str">
        <f t="array" ref="W740">INDEX(NPCAgeType,TRUNC(1+(4-1)*(TRUNC(MOD((X740*1103515245 +12345)/ 65536, 32768),0)/32768),0))</f>
        <v>Old</v>
      </c>
      <c r="X740" s="117">
        <f t="shared" si="45"/>
        <v>0.9</v>
      </c>
      <c r="Y740" s="157" t="e">
        <f t="array" aca="1" ref="Y740" ca="1">LOOKUP(ABS(MAX(Z740 + MIN(ABS(INDIRECT("Class Jobs!B"&amp;MATCH(E740,'Class Jobs'!$A$1:$A1000,0)&amp;":"&amp;"AF"&amp;MATCH(E740,'Class Jobs'!$A$1:$A1000,0)&amp;"")-$Z740)) * SUM(IF(MIN(ABS(INDIRECT("Class Jobs!B"&amp;MATCH(E740,'Class Jobs'!$A$1:$A1000,0)&amp;":"&amp;"AF"&amp;MATCH(E740,'Class Jobs'!$A$1:$A1000,0)&amp;"")-$Z740))=ABS(INDIRECT("Class Jobs!B"&amp;MATCH(E740,'Class Jobs'!$A$1:$A1000,0)&amp;":"&amp;"AF"&amp;MATCH(E740,'Class Jobs'!$A$1:$A1000,0)&amp;"")-$Z740),SIGN(INDIRECT("Class Jobs!B"&amp;MATCH(E740,'Class Jobs'!$A$1:A1000,0)&amp;":"&amp;"AF"&amp;MATCH(E740,'Class Jobs'!$A$1:$A1000,0)&amp;"")-$Z740),0)),0)),INDIRECT("Class Jobs!B"&amp;MATCH(E740,'Class Jobs'!$A$1:$A1000,0)&amp;":"&amp;"AF"&amp;MATCH(E740,'Class Jobs'!$A$1:$A1000,1)&amp;""),'Class Jobs'!$B$1:$AF$1)</f>
        <v>#REF!</v>
      </c>
      <c r="Z740" s="158">
        <f t="shared" si="41"/>
        <v>0.34</v>
      </c>
      <c r="AA740" s="16" t="str">
        <f t="array" ref="AA740">INDEX(NPCGender,TRUNC(1+(COUNTA(NPCGender))*(TRUNC(MOD(($B740*1103515245 +12345)/ 65536, 32768),0)/32768),0))</f>
        <v>Female</v>
      </c>
      <c r="AB740" s="16" t="str">
        <f t="array" ref="AB740">INDEX(NPCRace,TRUNC(1+(COUNTA(NPCRace))*(TRUNC(MOD(($B740*1103515245 +12345)/ 65536, 32768),0)/32768),0))</f>
        <v>Gnome</v>
      </c>
      <c r="AC740" s="16" t="str">
        <f t="array" ref="AC740">INDEX(NPCAL,TRUNC(1+(COUNTA(NPCAL))*(TRUNC(MOD(($B740*1103515245 +12345)/ 65536, 32768),0)/32768),0))</f>
        <v>NG</v>
      </c>
      <c r="AD740" s="72" t="str">
        <f ca="1">IFERROR(__xludf.DUMMYFUNCTION("if(V740&lt;15,QUERY(NPCVar!C:D,""Select D WHERE C = '""&amp;D740&amp;""'""),if((TRUNC(1+10)*(TRUNC(MOD((ROW(H740)*1103515245 +12345)/ 65536, 32768),0)/32768)/10) &gt; 0.85,INDEX(NPCFaction,TRUNC(1+(counta(NPCFaction)-1)*(TRUNC(MOD(($B740*1103515245 +12345)/ 65536, 3276"&amp;"8),0)/32768),0)),QUERY(NPCVar!C:D,""Select D WHERE C = '""&amp;D740&amp;""'"")))"),"Necromancer")</f>
        <v>Necromancer</v>
      </c>
      <c r="AE740" s="108" t="e">
        <f t="shared" ca="1" si="42"/>
        <v>#NAME?</v>
      </c>
      <c r="AF740" s="159">
        <f ca="1">IFERROR(__xludf.DUMMYFUNCTION("AE740*(V740 / QUERY(NPCVar!$K$2:$N$12, ""Select N WHERE K='""&amp;AB740&amp;""'""))*TRUNC(1+10)*(TRUNC(MOD(($B740*1103515245 +12345)/ 65536, 32768),0)/32768)"),0.752311477661132)</f>
        <v>0.75231147766113204</v>
      </c>
      <c r="AG740" s="16"/>
      <c r="AH740" s="77"/>
      <c r="AI740" s="114"/>
    </row>
    <row r="741" spans="1:35" ht="16.2">
      <c r="A741" s="53">
        <v>740</v>
      </c>
      <c r="B741" s="118">
        <f t="shared" si="48"/>
        <v>2.1514099999999998</v>
      </c>
      <c r="C741" s="72" t="str">
        <f t="array" ref="C741">INDEX(NPCFName,TRUNC(1+(COUNTA(NPCFName))*(TRUNC(MOD(($B741*1103515245 +12345)/ 65536, 32768),0)/32768),0))</f>
        <v>Fenrirr</v>
      </c>
      <c r="D741" s="16" t="str">
        <f t="array" ref="D741">INDEX(NPCLName,TRUNC(1+(COUNTA(NPCLName))*(TRUNC(MOD(($B741*1103515245 +12345)/ 65536, 32768),0)/32768),0))</f>
        <v>Distantlash</v>
      </c>
      <c r="E741" s="16" t="str">
        <f t="array" ref="E741">INDEX(NPCClass,TRUNC(1+(COUNTA(NPCClass))*(TRUNC(MOD(($B741*1103515245 +12345)/ 65536, 32768),0)/32768),0))</f>
        <v>Bard</v>
      </c>
      <c r="F741" s="76">
        <v>1</v>
      </c>
      <c r="G741" s="153">
        <f ca="1">VLOOKUP($AB$2,'RF Mod'!$A$2:$G$12,2,FALSE)+VLOOKUP($AD$2,'RF Mod'!$I$2:$O$11,2,FALSE)+(TRUNC(6+(24-6)*(TRUNC(MOD(($Z741*1103515245 +12345)/ 65536, 32768),0)/32768),0))</f>
        <v>5</v>
      </c>
      <c r="H741" s="16">
        <f t="shared" ca="1" si="33"/>
        <v>-3</v>
      </c>
      <c r="I741" s="153">
        <f ca="1">VLOOKUP($AB$2,'RF Mod'!$A$2:$G$12,3,FALSE)+VLOOKUP($AD$2,'RF Mod'!$I$2:$O$11,3,FALSE)+(TRUNC(6+(24-6)*(TRUNC(MOD(($Z741*1103515245 +12345)/ 65536, 32768),0)/32768),0))</f>
        <v>9</v>
      </c>
      <c r="J741" s="16">
        <f t="shared" ca="1" si="34"/>
        <v>-1</v>
      </c>
      <c r="K741" s="153">
        <f ca="1">VLOOKUP($AB$2,'RF Mod'!$A$2:$G$12,3,FALSE)+VLOOKUP($AD$2,'RF Mod'!$I$2:$O$11,3,FALSE)+(TRUNC(6+(24-6)*(TRUNC(MOD(($Z741*1103515245 +12345)/ 65536, 32768),0)/32768),0))</f>
        <v>9</v>
      </c>
      <c r="L741" s="16">
        <f t="shared" ca="1" si="35"/>
        <v>-1</v>
      </c>
      <c r="M741" s="153">
        <f ca="1">VLOOKUP($AB$2,'RF Mod'!$A$2:$G$12,4,FALSE)+VLOOKUP($AD$2,'RF Mod'!$I$2:$O$11,4,FALSE)+(TRUNC(6+(24-6)*(TRUNC(MOD(($Z741*1103515245 +12345)/ 65536, 32768),0)/32768),0))</f>
        <v>8</v>
      </c>
      <c r="N741" s="16">
        <f t="shared" ca="1" si="36"/>
        <v>-1</v>
      </c>
      <c r="O741" s="153">
        <f ca="1">VLOOKUP($AB$2,'RF Mod'!$A$2:$G$12,5,FALSE)+VLOOKUP($AD$2,'RF Mod'!$I$2:$O$11,5,FALSE)+(TRUNC(6+(24-6)*(TRUNC(MOD(($Z741*1103515245 +12345)/ 65536, 32768),0)/32768),0))</f>
        <v>11</v>
      </c>
      <c r="P741" s="16" t="e">
        <f t="shared" ca="1" si="37"/>
        <v>#NAME?</v>
      </c>
      <c r="Q741" s="153">
        <f ca="1">VLOOKUP($AB$2,'RF Mod'!$A$2:$G$12,6,FALSE)+VLOOKUP($AD$2,'RF Mod'!$I$2:$O$11,6,FALSE)+(TRUNC(6+(24-6)*(TRUNC(MOD(($Z741*1103515245 +12345)/ 65536, 32768),0)/32768),0))</f>
        <v>9</v>
      </c>
      <c r="R741" s="16">
        <f t="shared" ca="1" si="38"/>
        <v>-1</v>
      </c>
      <c r="S741" s="154">
        <f t="shared" ca="1" si="43"/>
        <v>11</v>
      </c>
      <c r="T741" s="154">
        <f t="shared" ca="1" si="39"/>
        <v>11</v>
      </c>
      <c r="U741" s="16" t="str">
        <f t="shared" ca="1" si="40"/>
        <v>Unconscious</v>
      </c>
      <c r="V741" s="155">
        <f ca="1">IFERROR(__xludf.DUMMYFUNCTION("if(W741=""Middle Age"",QUERY(NPCVar!$K$2:$N1000, ""Select L where K = '""&amp;AB741&amp;""'""),if(W741=""Old"",QUERY(NPCVar!$K$2:$N1000, ""Select M where K = '""&amp;AB741&amp;""'""),if(W741=""Venerable"",QUERY(NPCVar!$K$2:$N1000, ""Select N where K = '""&amp;AB741&amp;""'""),fa"&amp;"lse)))*X741"),24)</f>
        <v>24</v>
      </c>
      <c r="W741" s="156" t="str">
        <f t="array" ref="W741">INDEX(NPCAgeType,TRUNC(1+(4-1)*(TRUNC(MOD((X741*1103515245 +12345)/ 65536, 32768),0)/32768),0))</f>
        <v>Middle Age</v>
      </c>
      <c r="X741" s="117">
        <f t="shared" si="45"/>
        <v>0.3</v>
      </c>
      <c r="Y741" s="157" t="e">
        <f t="array" aca="1" ref="Y741" ca="1">LOOKUP(ABS(MAX(Z741 + MIN(ABS(INDIRECT("Class Jobs!B"&amp;MATCH(E741,'Class Jobs'!$A$1:$A1000,0)&amp;":"&amp;"AF"&amp;MATCH(E741,'Class Jobs'!$A$1:$A1000,0)&amp;"")-$Z741)) * SUM(IF(MIN(ABS(INDIRECT("Class Jobs!B"&amp;MATCH(E741,'Class Jobs'!$A$1:$A1000,0)&amp;":"&amp;"AF"&amp;MATCH(E741,'Class Jobs'!$A$1:$A1000,0)&amp;"")-$Z741))=ABS(INDIRECT("Class Jobs!B"&amp;MATCH(E741,'Class Jobs'!$A$1:$A1000,0)&amp;":"&amp;"AF"&amp;MATCH(E741,'Class Jobs'!$A$1:$A1000,0)&amp;"")-$Z741),SIGN(INDIRECT("Class Jobs!B"&amp;MATCH(E741,'Class Jobs'!$A$1:A1000,0)&amp;":"&amp;"AF"&amp;MATCH(E741,'Class Jobs'!$A$1:$A1000,0)&amp;"")-$Z741),0)),0)),INDIRECT("Class Jobs!B"&amp;MATCH(E741,'Class Jobs'!$A$1:$A1000,0)&amp;":"&amp;"AF"&amp;MATCH(E741,'Class Jobs'!$A$1:$A1000,1)&amp;""),'Class Jobs'!$B$1:$AF$1)</f>
        <v>#REF!</v>
      </c>
      <c r="Z741" s="158">
        <f t="shared" si="41"/>
        <v>0.11</v>
      </c>
      <c r="AA741" s="16" t="str">
        <f t="array" ref="AA741">INDEX(NPCGender,TRUNC(1+(COUNTA(NPCGender))*(TRUNC(MOD(($B741*1103515245 +12345)/ 65536, 32768),0)/32768),0))</f>
        <v>Male</v>
      </c>
      <c r="AB741" s="16" t="str">
        <f t="array" ref="AB741">INDEX(NPCRace,TRUNC(1+(COUNTA(NPCRace))*(TRUNC(MOD(($B741*1103515245 +12345)/ 65536, 32768),0)/32768),0))</f>
        <v>Dwarf</v>
      </c>
      <c r="AC741" s="16" t="str">
        <f t="array" ref="AC741">INDEX(NPCAL,TRUNC(1+(COUNTA(NPCAL))*(TRUNC(MOD(($B741*1103515245 +12345)/ 65536, 32768),0)/32768),0))</f>
        <v>CN</v>
      </c>
      <c r="AD741" s="72" t="str">
        <f ca="1">IFERROR(__xludf.DUMMYFUNCTION("if(V741&lt;15,QUERY(NPCVar!C:D,""Select D WHERE C = '""&amp;D741&amp;""'""),if((TRUNC(1+10)*(TRUNC(MOD((ROW(H741)*1103515245 +12345)/ 65536, 32768),0)/32768)/10) &gt; 0.85,INDEX(NPCFaction,TRUNC(1+(counta(NPCFaction)-1)*(TRUNC(MOD(($B741*1103515245 +12345)/ 65536, 3276"&amp;"8),0)/32768),0)),QUERY(NPCVar!C:D,""Select D WHERE C = '""&amp;D741&amp;""'"")))"),"Royalty")</f>
        <v>Royalty</v>
      </c>
      <c r="AE741" s="108" t="e">
        <f t="shared" ca="1" si="42"/>
        <v>#NAME?</v>
      </c>
      <c r="AF741" s="159">
        <f ca="1">IFERROR(__xludf.DUMMYFUNCTION("AE741*(V741 / QUERY(NPCVar!$K$2:$N$12, ""Select N WHERE K='""&amp;AB741&amp;""'""))*TRUNC(1+10)*(TRUNC(MOD(($B741*1103515245 +12345)/ 65536, 32768),0)/32768)"),0)</f>
        <v>0</v>
      </c>
      <c r="AG741" s="16"/>
      <c r="AH741" s="77"/>
      <c r="AI741" s="114"/>
    </row>
    <row r="742" spans="1:35" ht="16.2">
      <c r="A742" s="53">
        <v>741</v>
      </c>
      <c r="B742" s="118">
        <f t="shared" si="48"/>
        <v>1.1455500000000001</v>
      </c>
      <c r="C742" s="72" t="str">
        <f t="array" ref="C742">INDEX(NPCFName,TRUNC(1+(COUNTA(NPCFName))*(TRUNC(MOD(($B742*1103515245 +12345)/ 65536, 32768),0)/32768),0))</f>
        <v>Sadareen</v>
      </c>
      <c r="D742" s="16" t="str">
        <f t="array" ref="D742">INDEX(NPCLName,TRUNC(1+(COUNTA(NPCLName))*(TRUNC(MOD(($B742*1103515245 +12345)/ 65536, 32768),0)/32768),0))</f>
        <v>Chestaxe</v>
      </c>
      <c r="E742" s="16" t="str">
        <f t="array" ref="E742">INDEX(NPCClass,TRUNC(1+(COUNTA(NPCClass))*(TRUNC(MOD(($B742*1103515245 +12345)/ 65536, 32768),0)/32768),0))</f>
        <v>Warlock</v>
      </c>
      <c r="F742" s="76">
        <v>7</v>
      </c>
      <c r="G742" s="153">
        <f ca="1">VLOOKUP($AB$2,'RF Mod'!$A$2:$G$12,2,FALSE)+VLOOKUP($AD$2,'RF Mod'!$I$2:$O$11,2,FALSE)+(TRUNC(6+(24-6)*(TRUNC(MOD(($Z742*1103515245 +12345)/ 65536, 32768),0)/32768),0))</f>
        <v>9</v>
      </c>
      <c r="H742" s="16">
        <f t="shared" ca="1" si="33"/>
        <v>-1</v>
      </c>
      <c r="I742" s="153">
        <f ca="1">VLOOKUP($AB$2,'RF Mod'!$A$2:$G$12,3,FALSE)+VLOOKUP($AD$2,'RF Mod'!$I$2:$O$11,3,FALSE)+(TRUNC(6+(24-6)*(TRUNC(MOD(($Z742*1103515245 +12345)/ 65536, 32768),0)/32768),0))</f>
        <v>13</v>
      </c>
      <c r="J742" s="16" t="e">
        <f t="shared" ca="1" si="34"/>
        <v>#NAME?</v>
      </c>
      <c r="K742" s="153">
        <f ca="1">VLOOKUP($AB$2,'RF Mod'!$A$2:$G$12,3,FALSE)+VLOOKUP($AD$2,'RF Mod'!$I$2:$O$11,3,FALSE)+(TRUNC(6+(24-6)*(TRUNC(MOD(($Z742*1103515245 +12345)/ 65536, 32768),0)/32768),0))</f>
        <v>13</v>
      </c>
      <c r="L742" s="16" t="e">
        <f t="shared" ca="1" si="35"/>
        <v>#NAME?</v>
      </c>
      <c r="M742" s="153">
        <f ca="1">VLOOKUP($AB$2,'RF Mod'!$A$2:$G$12,4,FALSE)+VLOOKUP($AD$2,'RF Mod'!$I$2:$O$11,4,FALSE)+(TRUNC(6+(24-6)*(TRUNC(MOD(($Z742*1103515245 +12345)/ 65536, 32768),0)/32768),0))</f>
        <v>12</v>
      </c>
      <c r="N742" s="16" t="e">
        <f t="shared" ca="1" si="36"/>
        <v>#NAME?</v>
      </c>
      <c r="O742" s="153">
        <f ca="1">VLOOKUP($AB$2,'RF Mod'!$A$2:$G$12,5,FALSE)+VLOOKUP($AD$2,'RF Mod'!$I$2:$O$11,5,FALSE)+(TRUNC(6+(24-6)*(TRUNC(MOD(($Z742*1103515245 +12345)/ 65536, 32768),0)/32768),0))</f>
        <v>15</v>
      </c>
      <c r="P742" s="16" t="e">
        <f t="shared" ca="1" si="37"/>
        <v>#NAME?</v>
      </c>
      <c r="Q742" s="153">
        <f ca="1">VLOOKUP($AB$2,'RF Mod'!$A$2:$G$12,6,FALSE)+VLOOKUP($AD$2,'RF Mod'!$I$2:$O$11,6,FALSE)+(TRUNC(6+(24-6)*(TRUNC(MOD(($Z742*1103515245 +12345)/ 65536, 32768),0)/32768),0))</f>
        <v>13</v>
      </c>
      <c r="R742" s="16" t="e">
        <f t="shared" ca="1" si="38"/>
        <v>#NAME?</v>
      </c>
      <c r="S742" s="154">
        <f t="shared" ca="1" si="43"/>
        <v>217</v>
      </c>
      <c r="T742" s="154">
        <f t="shared" ca="1" si="39"/>
        <v>60</v>
      </c>
      <c r="U742" s="16" t="str">
        <f t="shared" ca="1" si="40"/>
        <v>Fine</v>
      </c>
      <c r="V742" s="155">
        <f ca="1">IFERROR(__xludf.DUMMYFUNCTION("if(W742=""Middle Age"",QUERY(NPCVar!$K$2:$N1000, ""Select L where K = '""&amp;AB742&amp;""'""),if(W742=""Old"",QUERY(NPCVar!$K$2:$N1000, ""Select M where K = '""&amp;AB742&amp;""'""),if(W742=""Venerable"",QUERY(NPCVar!$K$2:$N1000, ""Select N where K = '""&amp;AB742&amp;""'""),fa"&amp;"lse)))*X742"),300)</f>
        <v>300</v>
      </c>
      <c r="W742" s="156" t="str">
        <f t="array" ref="W742">INDEX(NPCAgeType,TRUNC(1+(4-1)*(TRUNC(MOD((X742*1103515245 +12345)/ 65536, 32768),0)/32768),0))</f>
        <v>Venerable</v>
      </c>
      <c r="X742" s="117">
        <f t="shared" si="45"/>
        <v>1.5</v>
      </c>
      <c r="Y742" s="157" t="e">
        <f t="array" aca="1" ref="Y742" ca="1">LOOKUP(ABS(MAX(Z742 + MIN(ABS(INDIRECT("Class Jobs!B"&amp;MATCH(E742,'Class Jobs'!$A$1:$A1000,0)&amp;":"&amp;"AF"&amp;MATCH(E742,'Class Jobs'!$A$1:$A1000,0)&amp;"")-$Z742)) * SUM(IF(MIN(ABS(INDIRECT("Class Jobs!B"&amp;MATCH(E742,'Class Jobs'!$A$1:$A1000,0)&amp;":"&amp;"AF"&amp;MATCH(E742,'Class Jobs'!$A$1:$A1000,0)&amp;"")-$Z742))=ABS(INDIRECT("Class Jobs!B"&amp;MATCH(E742,'Class Jobs'!$A$1:$A1000,0)&amp;":"&amp;"AF"&amp;MATCH(E742,'Class Jobs'!$A$1:$A1000,0)&amp;"")-$Z742),SIGN(INDIRECT("Class Jobs!B"&amp;MATCH(E742,'Class Jobs'!$A$1:A1000,0)&amp;":"&amp;"AF"&amp;MATCH(E742,'Class Jobs'!$A$1:$A1000,0)&amp;"")-$Z742),0)),0)),INDIRECT("Class Jobs!B"&amp;MATCH(E742,'Class Jobs'!$A$1:$A1000,0)&amp;":"&amp;"AF"&amp;MATCH(E742,'Class Jobs'!$A$1:$A1000,1)&amp;""),'Class Jobs'!$B$1:$AF$1)</f>
        <v>#REF!</v>
      </c>
      <c r="Z742" s="158">
        <f t="shared" si="41"/>
        <v>0.59</v>
      </c>
      <c r="AA742" s="16" t="str">
        <f t="array" ref="AA742">INDEX(NPCGender,TRUNC(1+(COUNTA(NPCGender))*(TRUNC(MOD(($B742*1103515245 +12345)/ 65536, 32768),0)/32768),0))</f>
        <v>Female</v>
      </c>
      <c r="AB742" s="16" t="str">
        <f t="array" ref="AB742">INDEX(NPCRace,TRUNC(1+(COUNTA(NPCRace))*(TRUNC(MOD(($B742*1103515245 +12345)/ 65536, 32768),0)/32768),0))</f>
        <v>Halfling</v>
      </c>
      <c r="AC742" s="16" t="str">
        <f t="array" ref="AC742">INDEX(NPCAL,TRUNC(1+(COUNTA(NPCAL))*(TRUNC(MOD(($B742*1103515245 +12345)/ 65536, 32768),0)/32768),0))</f>
        <v>NE</v>
      </c>
      <c r="AD742" s="72" t="str">
        <f ca="1">IFERROR(__xludf.DUMMYFUNCTION("if(V742&lt;15,QUERY(NPCVar!C:D,""Select D WHERE C = '""&amp;D742&amp;""'""),if((TRUNC(1+10)*(TRUNC(MOD((ROW(H742)*1103515245 +12345)/ 65536, 32768),0)/32768)/10) &gt; 0.85,INDEX(NPCFaction,TRUNC(1+(counta(NPCFaction)-1)*(TRUNC(MOD(($B742*1103515245 +12345)/ 65536, 3276"&amp;"8),0)/32768),0)),QUERY(NPCVar!C:D,""Select D WHERE C = '""&amp;D742&amp;""'"")))"),"Farmers Guild")</f>
        <v>Farmers Guild</v>
      </c>
      <c r="AE742" s="108" t="e">
        <f t="shared" ca="1" si="42"/>
        <v>#NAME?</v>
      </c>
      <c r="AF742" s="159">
        <f ca="1">IFERROR(__xludf.DUMMYFUNCTION("AE742*(V742 / QUERY(NPCVar!$K$2:$N$12, ""Select N WHERE K='""&amp;AB742&amp;""'""))*TRUNC(1+10)*(TRUNC(MOD(($B742*1103515245 +12345)/ 65536, 32768),0)/32768)"),7.77022705078125)</f>
        <v>7.7702270507812496</v>
      </c>
      <c r="AG742" s="16"/>
      <c r="AH742" s="77"/>
      <c r="AI742" s="114"/>
    </row>
    <row r="743" spans="1:35" ht="16.2">
      <c r="A743" s="53">
        <v>742</v>
      </c>
      <c r="B743" s="118">
        <f t="shared" si="48"/>
        <v>0.13969999999999999</v>
      </c>
      <c r="C743" s="72" t="str">
        <f t="array" ref="C743">INDEX(NPCFName,TRUNC(1+(COUNTA(NPCFName))*(TRUNC(MOD(($B743*1103515245 +12345)/ 65536, 32768),0)/32768),0))</f>
        <v>Dask</v>
      </c>
      <c r="D743" s="16" t="str">
        <f t="array" ref="D743">INDEX(NPCLName,TRUNC(1+(COUNTA(NPCLName))*(TRUNC(MOD(($B743*1103515245 +12345)/ 65536, 32768),0)/32768),0))</f>
        <v>Autumnorb</v>
      </c>
      <c r="E743" s="16" t="str">
        <f t="array" ref="E743">INDEX(NPCClass,TRUNC(1+(COUNTA(NPCClass))*(TRUNC(MOD(($B743*1103515245 +12345)/ 65536, 32768),0)/32768),0))</f>
        <v>Barbarian</v>
      </c>
      <c r="F743" s="76">
        <v>1</v>
      </c>
      <c r="G743" s="153">
        <f ca="1">VLOOKUP($AB$2,'RF Mod'!$A$2:$G$12,2,FALSE)+VLOOKUP($AD$2,'RF Mod'!$I$2:$O$11,2,FALSE)+(TRUNC(6+(24-6)*(TRUNC(MOD(($Z743*1103515245 +12345)/ 65536, 32768),0)/32768),0))</f>
        <v>4</v>
      </c>
      <c r="H743" s="16">
        <f t="shared" ca="1" si="33"/>
        <v>-3</v>
      </c>
      <c r="I743" s="153">
        <f ca="1">VLOOKUP($AB$2,'RF Mod'!$A$2:$G$12,3,FALSE)+VLOOKUP($AD$2,'RF Mod'!$I$2:$O$11,3,FALSE)+(TRUNC(6+(24-6)*(TRUNC(MOD(($Z743*1103515245 +12345)/ 65536, 32768),0)/32768),0))</f>
        <v>8</v>
      </c>
      <c r="J743" s="16">
        <f t="shared" ca="1" si="34"/>
        <v>-1</v>
      </c>
      <c r="K743" s="153">
        <f ca="1">VLOOKUP($AB$2,'RF Mod'!$A$2:$G$12,3,FALSE)+VLOOKUP($AD$2,'RF Mod'!$I$2:$O$11,3,FALSE)+(TRUNC(6+(24-6)*(TRUNC(MOD(($Z743*1103515245 +12345)/ 65536, 32768),0)/32768),0))</f>
        <v>8</v>
      </c>
      <c r="L743" s="16">
        <f t="shared" ca="1" si="35"/>
        <v>-1</v>
      </c>
      <c r="M743" s="153">
        <f ca="1">VLOOKUP($AB$2,'RF Mod'!$A$2:$G$12,4,FALSE)+VLOOKUP($AD$2,'RF Mod'!$I$2:$O$11,4,FALSE)+(TRUNC(6+(24-6)*(TRUNC(MOD(($Z743*1103515245 +12345)/ 65536, 32768),0)/32768),0))</f>
        <v>7</v>
      </c>
      <c r="N743" s="16">
        <f t="shared" ca="1" si="36"/>
        <v>-2</v>
      </c>
      <c r="O743" s="153">
        <f ca="1">VLOOKUP($AB$2,'RF Mod'!$A$2:$G$12,5,FALSE)+VLOOKUP($AD$2,'RF Mod'!$I$2:$O$11,5,FALSE)+(TRUNC(6+(24-6)*(TRUNC(MOD(($Z743*1103515245 +12345)/ 65536, 32768),0)/32768),0))</f>
        <v>10</v>
      </c>
      <c r="P743" s="16" t="e">
        <f t="shared" ca="1" si="37"/>
        <v>#NAME?</v>
      </c>
      <c r="Q743" s="153">
        <f ca="1">VLOOKUP($AB$2,'RF Mod'!$A$2:$G$12,6,FALSE)+VLOOKUP($AD$2,'RF Mod'!$I$2:$O$11,6,FALSE)+(TRUNC(6+(24-6)*(TRUNC(MOD(($Z743*1103515245 +12345)/ 65536, 32768),0)/32768),0))</f>
        <v>8</v>
      </c>
      <c r="R743" s="16">
        <f t="shared" ca="1" si="38"/>
        <v>-1</v>
      </c>
      <c r="S743" s="154">
        <f t="shared" ca="1" si="43"/>
        <v>10</v>
      </c>
      <c r="T743" s="154">
        <f t="shared" ca="1" si="39"/>
        <v>1</v>
      </c>
      <c r="U743" s="16" t="str">
        <f t="shared" ca="1" si="40"/>
        <v>Fine</v>
      </c>
      <c r="V743" s="155">
        <f ca="1">IFERROR(__xludf.DUMMYFUNCTION("if(W743=""Middle Age"",QUERY(NPCVar!$K$2:$N1000, ""Select L where K = '""&amp;AB743&amp;""'""),if(W743=""Old"",QUERY(NPCVar!$K$2:$N1000, ""Select M where K = '""&amp;AB743&amp;""'""),if(W743=""Venerable"",QUERY(NPCVar!$K$2:$N1000, ""Select N where K = '""&amp;AB743&amp;""'""),fa"&amp;"lse)))*X743"),4)</f>
        <v>4</v>
      </c>
      <c r="W743" s="156" t="str">
        <f t="array" ref="W743">INDEX(NPCAgeType,TRUNC(1+(4-1)*(TRUNC(MOD((X743*1103515245 +12345)/ 65536, 32768),0)/32768),0))</f>
        <v>Middle Age</v>
      </c>
      <c r="X743" s="117">
        <f t="shared" si="45"/>
        <v>0.2</v>
      </c>
      <c r="Y743" s="157" t="e">
        <f t="array" aca="1" ref="Y743" ca="1">LOOKUP(ABS(MAX(Z743 + MIN(ABS(INDIRECT("Class Jobs!B"&amp;MATCH(E743,'Class Jobs'!$A$1:$A1000,0)&amp;":"&amp;"AF"&amp;MATCH(E743,'Class Jobs'!$A$1:$A1000,0)&amp;"")-$Z743)) * SUM(IF(MIN(ABS(INDIRECT("Class Jobs!B"&amp;MATCH(E743,'Class Jobs'!$A$1:$A1000,0)&amp;":"&amp;"AF"&amp;MATCH(E743,'Class Jobs'!$A$1:$A1000,0)&amp;"")-$Z743))=ABS(INDIRECT("Class Jobs!B"&amp;MATCH(E743,'Class Jobs'!$A$1:$A1000,0)&amp;":"&amp;"AF"&amp;MATCH(E743,'Class Jobs'!$A$1:$A1000,0)&amp;"")-$Z743),SIGN(INDIRECT("Class Jobs!B"&amp;MATCH(E743,'Class Jobs'!$A$1:A1000,0)&amp;":"&amp;"AF"&amp;MATCH(E743,'Class Jobs'!$A$1:$A1000,0)&amp;"")-$Z743),0)),0)),INDIRECT("Class Jobs!B"&amp;MATCH(E743,'Class Jobs'!$A$1:$A1000,0)&amp;":"&amp;"AF"&amp;MATCH(E743,'Class Jobs'!$A$1:$A1000,1)&amp;""),'Class Jobs'!$B$1:$AF$1)</f>
        <v>#REF!</v>
      </c>
      <c r="Z743" s="158">
        <f t="shared" si="41"/>
        <v>0.08</v>
      </c>
      <c r="AA743" s="16" t="str">
        <f t="array" ref="AA743">INDEX(NPCGender,TRUNC(1+(COUNTA(NPCGender))*(TRUNC(MOD(($B743*1103515245 +12345)/ 65536, 32768),0)/32768),0))</f>
        <v>Male</v>
      </c>
      <c r="AB743" s="16" t="str">
        <f t="array" ref="AB743">INDEX(NPCRace,TRUNC(1+(COUNTA(NPCRace))*(TRUNC(MOD(($B743*1103515245 +12345)/ 65536, 32768),0)/32768),0))</f>
        <v>Dragonborn</v>
      </c>
      <c r="AC743" s="16" t="str">
        <f t="array" ref="AC743">INDEX(NPCAL,TRUNC(1+(COUNTA(NPCAL))*(TRUNC(MOD(($B743*1103515245 +12345)/ 65536, 32768),0)/32768),0))</f>
        <v>CN</v>
      </c>
      <c r="AD743" s="72" t="str">
        <f ca="1">IFERROR(__xludf.DUMMYFUNCTION("if(V743&lt;15,QUERY(NPCVar!C:D,""Select D WHERE C = '""&amp;D743&amp;""'""),if((TRUNC(1+10)*(TRUNC(MOD((ROW(H743)*1103515245 +12345)/ 65536, 32768),0)/32768)/10) &gt; 0.85,INDEX(NPCFaction,TRUNC(1+(counta(NPCFaction)-1)*(TRUNC(MOD(($B743*1103515245 +12345)/ 65536, 3276"&amp;"8),0)/32768),0)),QUERY(NPCVar!C:D,""Select D WHERE C = '""&amp;D743&amp;""'"")))"),"Royalty")</f>
        <v>Royalty</v>
      </c>
      <c r="AE743" s="108" t="e">
        <f t="shared" ca="1" si="42"/>
        <v>#NAME?</v>
      </c>
      <c r="AF743" s="159">
        <f ca="1">IFERROR(__xludf.DUMMYFUNCTION("AE743*(V743 / QUERY(NPCVar!$K$2:$N$12, ""Select N WHERE K='""&amp;AB743&amp;""'""))*TRUNC(1+10)*(TRUNC(MOD(($B743*1103515245 +12345)/ 65536, 32768),0)/32768)"),0)</f>
        <v>0</v>
      </c>
      <c r="AG743" s="16"/>
      <c r="AH743" s="77"/>
      <c r="AI743" s="114"/>
    </row>
    <row r="744" spans="1:35" ht="16.2">
      <c r="A744" s="53">
        <v>743</v>
      </c>
      <c r="B744" s="118">
        <f t="shared" si="48"/>
        <v>1.6338299999999999</v>
      </c>
      <c r="C744" s="72" t="str">
        <f t="array" ref="C744">INDEX(NPCFName,TRUNC(1+(COUNTA(NPCFName))*(TRUNC(MOD(($B744*1103515245 +12345)/ 65536, 32768),0)/32768),0))</f>
        <v>Lesphares</v>
      </c>
      <c r="D744" s="16" t="str">
        <f t="array" ref="D744">INDEX(NPCLName,TRUNC(1+(COUNTA(NPCLName))*(TRUNC(MOD(($B744*1103515245 +12345)/ 65536, 32768),0)/32768),0))</f>
        <v>Springgust</v>
      </c>
      <c r="E744" s="16" t="str">
        <f t="array" ref="E744">INDEX(NPCClass,TRUNC(1+(COUNTA(NPCClass))*(TRUNC(MOD(($B744*1103515245 +12345)/ 65536, 32768),0)/32768),0))</f>
        <v>Fighter</v>
      </c>
      <c r="F744" s="76">
        <v>8</v>
      </c>
      <c r="G744" s="153">
        <f ca="1">VLOOKUP($AB$2,'RF Mod'!$A$2:$G$12,2,FALSE)+VLOOKUP($AD$2,'RF Mod'!$I$2:$O$11,2,FALSE)+(TRUNC(6+(24-6)*(TRUNC(MOD(($Z744*1103515245 +12345)/ 65536, 32768),0)/32768),0))</f>
        <v>11</v>
      </c>
      <c r="H744" s="16" t="e">
        <f t="shared" ca="1" si="33"/>
        <v>#NAME?</v>
      </c>
      <c r="I744" s="153">
        <f ca="1">VLOOKUP($AB$2,'RF Mod'!$A$2:$G$12,3,FALSE)+VLOOKUP($AD$2,'RF Mod'!$I$2:$O$11,3,FALSE)+(TRUNC(6+(24-6)*(TRUNC(MOD(($Z744*1103515245 +12345)/ 65536, 32768),0)/32768),0))</f>
        <v>15</v>
      </c>
      <c r="J744" s="16" t="e">
        <f t="shared" ca="1" si="34"/>
        <v>#NAME?</v>
      </c>
      <c r="K744" s="153">
        <f ca="1">VLOOKUP($AB$2,'RF Mod'!$A$2:$G$12,3,FALSE)+VLOOKUP($AD$2,'RF Mod'!$I$2:$O$11,3,FALSE)+(TRUNC(6+(24-6)*(TRUNC(MOD(($Z744*1103515245 +12345)/ 65536, 32768),0)/32768),0))</f>
        <v>15</v>
      </c>
      <c r="L744" s="16" t="e">
        <f t="shared" ca="1" si="35"/>
        <v>#NAME?</v>
      </c>
      <c r="M744" s="153">
        <f ca="1">VLOOKUP($AB$2,'RF Mod'!$A$2:$G$12,4,FALSE)+VLOOKUP($AD$2,'RF Mod'!$I$2:$O$11,4,FALSE)+(TRUNC(6+(24-6)*(TRUNC(MOD(($Z744*1103515245 +12345)/ 65536, 32768),0)/32768),0))</f>
        <v>14</v>
      </c>
      <c r="N744" s="16" t="e">
        <f t="shared" ca="1" si="36"/>
        <v>#NAME?</v>
      </c>
      <c r="O744" s="153">
        <f ca="1">VLOOKUP($AB$2,'RF Mod'!$A$2:$G$12,5,FALSE)+VLOOKUP($AD$2,'RF Mod'!$I$2:$O$11,5,FALSE)+(TRUNC(6+(24-6)*(TRUNC(MOD(($Z744*1103515245 +12345)/ 65536, 32768),0)/32768),0))</f>
        <v>17</v>
      </c>
      <c r="P744" s="16" t="e">
        <f t="shared" ca="1" si="37"/>
        <v>#NAME?</v>
      </c>
      <c r="Q744" s="153">
        <f ca="1">VLOOKUP($AB$2,'RF Mod'!$A$2:$G$12,6,FALSE)+VLOOKUP($AD$2,'RF Mod'!$I$2:$O$11,6,FALSE)+(TRUNC(6+(24-6)*(TRUNC(MOD(($Z744*1103515245 +12345)/ 65536, 32768),0)/32768),0))</f>
        <v>15</v>
      </c>
      <c r="R744" s="16" t="e">
        <f t="shared" ca="1" si="38"/>
        <v>#NAME?</v>
      </c>
      <c r="S744" s="154">
        <f t="shared" ca="1" si="43"/>
        <v>168</v>
      </c>
      <c r="T744" s="154">
        <f t="shared" ca="1" si="39"/>
        <v>123</v>
      </c>
      <c r="U744" s="16" t="str">
        <f t="shared" ca="1" si="40"/>
        <v>Bloody</v>
      </c>
      <c r="V744" s="155">
        <f ca="1">IFERROR(__xludf.DUMMYFUNCTION("if(W744=""Middle Age"",QUERY(NPCVar!$K$2:$N1000, ""Select L where K = '""&amp;AB744&amp;""'""),if(W744=""Old"",QUERY(NPCVar!$K$2:$N1000, ""Select M where K = '""&amp;AB744&amp;""'""),if(W744=""Venerable"",QUERY(NPCVar!$K$2:$N1000, ""Select N where K = '""&amp;AB744&amp;""'""),fa"&amp;"lse)))*X744"),57.75)</f>
        <v>57.75</v>
      </c>
      <c r="W744" s="156" t="str">
        <f t="array" ref="W744">INDEX(NPCAgeType,TRUNC(1+(4-1)*(TRUNC(MOD((X744*1103515245 +12345)/ 65536, 32768),0)/32768),0))</f>
        <v>Middle Age</v>
      </c>
      <c r="X744" s="117">
        <f t="shared" si="45"/>
        <v>2.1</v>
      </c>
      <c r="Y744" s="157" t="e">
        <f t="array" aca="1" ref="Y744" ca="1">LOOKUP(ABS(MAX(Z744 + MIN(ABS(INDIRECT("Class Jobs!B"&amp;MATCH(E744,'Class Jobs'!$A$1:$A1000,0)&amp;":"&amp;"AF"&amp;MATCH(E744,'Class Jobs'!$A$1:$A1000,0)&amp;"")-$Z744)) * SUM(IF(MIN(ABS(INDIRECT("Class Jobs!B"&amp;MATCH(E744,'Class Jobs'!$A$1:$A1000,0)&amp;":"&amp;"AF"&amp;MATCH(E744,'Class Jobs'!$A$1:$A1000,0)&amp;"")-$Z744))=ABS(INDIRECT("Class Jobs!B"&amp;MATCH(E744,'Class Jobs'!$A$1:$A1000,0)&amp;":"&amp;"AF"&amp;MATCH(E744,'Class Jobs'!$A$1:$A1000,0)&amp;"")-$Z744),SIGN(INDIRECT("Class Jobs!B"&amp;MATCH(E744,'Class Jobs'!$A$1:A1000,0)&amp;":"&amp;"AF"&amp;MATCH(E744,'Class Jobs'!$A$1:$A1000,0)&amp;"")-$Z744),0)),0)),INDIRECT("Class Jobs!B"&amp;MATCH(E744,'Class Jobs'!$A$1:$A1000,0)&amp;":"&amp;"AF"&amp;MATCH(E744,'Class Jobs'!$A$1:$A1000,1)&amp;""),'Class Jobs'!$B$1:$AF$1)</f>
        <v>#REF!</v>
      </c>
      <c r="Z744" s="158">
        <f t="shared" si="41"/>
        <v>0.84</v>
      </c>
      <c r="AA744" s="16" t="str">
        <f t="array" ref="AA744">INDEX(NPCGender,TRUNC(1+(COUNTA(NPCGender))*(TRUNC(MOD(($B744*1103515245 +12345)/ 65536, 32768),0)/32768),0))</f>
        <v>Neutral</v>
      </c>
      <c r="AB744" s="16" t="str">
        <f t="array" ref="AB744">INDEX(NPCRace,TRUNC(1+(COUNTA(NPCRace))*(TRUNC(MOD(($B744*1103515245 +12345)/ 65536, 32768),0)/32768),0))</f>
        <v>Genasi</v>
      </c>
      <c r="AC744" s="16" t="str">
        <f t="array" ref="AC744">INDEX(NPCAL,TRUNC(1+(COUNTA(NPCAL))*(TRUNC(MOD(($B744*1103515245 +12345)/ 65536, 32768),0)/32768),0))</f>
        <v>LN</v>
      </c>
      <c r="AD744" s="72" t="str">
        <f ca="1">IFERROR(__xludf.DUMMYFUNCTION("if(V744&lt;15,QUERY(NPCVar!C:D,""Select D WHERE C = '""&amp;D744&amp;""'""),if((TRUNC(1+10)*(TRUNC(MOD((ROW(H744)*1103515245 +12345)/ 65536, 32768),0)/32768)/10) &gt; 0.85,INDEX(NPCFaction,TRUNC(1+(counta(NPCFaction)-1)*(TRUNC(MOD(($B744*1103515245 +12345)/ 65536, 3276"&amp;"8),0)/32768),0)),QUERY(NPCVar!C:D,""Select D WHERE C = '""&amp;D744&amp;""'"")))"),"Traverlers Guild")</f>
        <v>Traverlers Guild</v>
      </c>
      <c r="AE744" s="108" t="e">
        <f t="shared" ca="1" si="42"/>
        <v>#NAME?</v>
      </c>
      <c r="AF744" s="159">
        <f ca="1">IFERROR(__xludf.DUMMYFUNCTION("AE744*(V744 / QUERY(NPCVar!$K$2:$N$12, ""Select N WHERE K='""&amp;AB744&amp;""'""))*TRUNC(1+10)*(TRUNC(MOD(($B744*1103515245 +12345)/ 65536, 32768),0)/32768)"),4.36366035461425)</f>
        <v>4.3636603546142503</v>
      </c>
      <c r="AG744" s="16"/>
      <c r="AH744" s="77"/>
      <c r="AI744" s="114"/>
    </row>
    <row r="745" spans="1:35" ht="16.2">
      <c r="A745" s="53">
        <v>744</v>
      </c>
      <c r="B745" s="118">
        <f t="shared" si="48"/>
        <v>0.62790000000000001</v>
      </c>
      <c r="C745" s="72" t="str">
        <f t="array" ref="C745">INDEX(NPCFName,TRUNC(1+(COUNTA(NPCFName))*(TRUNC(MOD(($B745*1103515245 +12345)/ 65536, 32768),0)/32768),0))</f>
        <v>Y’reth</v>
      </c>
      <c r="D745" s="16" t="str">
        <f t="array" ref="D745">INDEX(NPCLName,TRUNC(1+(COUNTA(NPCLName))*(TRUNC(MOD(($B745*1103515245 +12345)/ 65536, 32768),0)/32768),0))</f>
        <v>Stormdew</v>
      </c>
      <c r="E745" s="16" t="str">
        <f t="array" ref="E745">INDEX(NPCClass,TRUNC(1+(COUNTA(NPCClass))*(TRUNC(MOD(($B745*1103515245 +12345)/ 65536, 32768),0)/32768),0))</f>
        <v>Monk</v>
      </c>
      <c r="F745" s="76">
        <v>2</v>
      </c>
      <c r="G745" s="153">
        <f ca="1">VLOOKUP($AB$2,'RF Mod'!$A$2:$G$12,2,FALSE)+VLOOKUP($AD$2,'RF Mod'!$I$2:$O$11,2,FALSE)+(TRUNC(6+(24-6)*(TRUNC(MOD(($Z745*1103515245 +12345)/ 65536, 32768),0)/32768),0))</f>
        <v>6</v>
      </c>
      <c r="H745" s="16">
        <f t="shared" ca="1" si="33"/>
        <v>-2</v>
      </c>
      <c r="I745" s="153">
        <f ca="1">VLOOKUP($AB$2,'RF Mod'!$A$2:$G$12,3,FALSE)+VLOOKUP($AD$2,'RF Mod'!$I$2:$O$11,3,FALSE)+(TRUNC(6+(24-6)*(TRUNC(MOD(($Z745*1103515245 +12345)/ 65536, 32768),0)/32768),0))</f>
        <v>10</v>
      </c>
      <c r="J745" s="16" t="e">
        <f t="shared" ca="1" si="34"/>
        <v>#NAME?</v>
      </c>
      <c r="K745" s="153">
        <f ca="1">VLOOKUP($AB$2,'RF Mod'!$A$2:$G$12,3,FALSE)+VLOOKUP($AD$2,'RF Mod'!$I$2:$O$11,3,FALSE)+(TRUNC(6+(24-6)*(TRUNC(MOD(($Z745*1103515245 +12345)/ 65536, 32768),0)/32768),0))</f>
        <v>10</v>
      </c>
      <c r="L745" s="16" t="e">
        <f t="shared" ca="1" si="35"/>
        <v>#NAME?</v>
      </c>
      <c r="M745" s="153">
        <f ca="1">VLOOKUP($AB$2,'RF Mod'!$A$2:$G$12,4,FALSE)+VLOOKUP($AD$2,'RF Mod'!$I$2:$O$11,4,FALSE)+(TRUNC(6+(24-6)*(TRUNC(MOD(($Z745*1103515245 +12345)/ 65536, 32768),0)/32768),0))</f>
        <v>9</v>
      </c>
      <c r="N745" s="16">
        <f t="shared" ca="1" si="36"/>
        <v>-1</v>
      </c>
      <c r="O745" s="153">
        <f ca="1">VLOOKUP($AB$2,'RF Mod'!$A$2:$G$12,5,FALSE)+VLOOKUP($AD$2,'RF Mod'!$I$2:$O$11,5,FALSE)+(TRUNC(6+(24-6)*(TRUNC(MOD(($Z745*1103515245 +12345)/ 65536, 32768),0)/32768),0))</f>
        <v>12</v>
      </c>
      <c r="P745" s="16" t="e">
        <f t="shared" ca="1" si="37"/>
        <v>#NAME?</v>
      </c>
      <c r="Q745" s="153">
        <f ca="1">VLOOKUP($AB$2,'RF Mod'!$A$2:$G$12,6,FALSE)+VLOOKUP($AD$2,'RF Mod'!$I$2:$O$11,6,FALSE)+(TRUNC(6+(24-6)*(TRUNC(MOD(($Z745*1103515245 +12345)/ 65536, 32768),0)/32768),0))</f>
        <v>10</v>
      </c>
      <c r="R745" s="16" t="e">
        <f t="shared" ca="1" si="38"/>
        <v>#NAME?</v>
      </c>
      <c r="S745" s="154">
        <f t="shared" ca="1" si="43"/>
        <v>24</v>
      </c>
      <c r="T745" s="154">
        <f t="shared" ca="1" si="39"/>
        <v>12</v>
      </c>
      <c r="U745" s="16" t="str">
        <f t="shared" ca="1" si="40"/>
        <v>Fine</v>
      </c>
      <c r="V745" s="155">
        <f ca="1">IFERROR(__xludf.DUMMYFUNCTION("if(W745=""Middle Age"",QUERY(NPCVar!$K$2:$N1000, ""Select L where K = '""&amp;AB745&amp;""'""),if(W745=""Old"",QUERY(NPCVar!$K$2:$N1000, ""Select M where K = '""&amp;AB745&amp;""'""),if(W745=""Venerable"",QUERY(NPCVar!$K$2:$N1000, ""Select N where K = '""&amp;AB745&amp;""'""),fa"&amp;"lse)))*X745"),135)</f>
        <v>135</v>
      </c>
      <c r="W745" s="156" t="str">
        <f t="array" ref="W745">INDEX(NPCAgeType,TRUNC(1+(4-1)*(TRUNC(MOD((X745*1103515245 +12345)/ 65536, 32768),0)/32768),0))</f>
        <v>Old</v>
      </c>
      <c r="X745" s="117">
        <f t="shared" si="45"/>
        <v>0.8</v>
      </c>
      <c r="Y745" s="157" t="e">
        <f t="array" aca="1" ref="Y745" ca="1">LOOKUP(ABS(MAX(Z745 + MIN(ABS(INDIRECT("Class Jobs!B"&amp;MATCH(E745,'Class Jobs'!$A$1:$A1000,0)&amp;":"&amp;"AF"&amp;MATCH(E745,'Class Jobs'!$A$1:$A1000,0)&amp;"")-$Z745)) * SUM(IF(MIN(ABS(INDIRECT("Class Jobs!B"&amp;MATCH(E745,'Class Jobs'!$A$1:$A1000,0)&amp;":"&amp;"AF"&amp;MATCH(E745,'Class Jobs'!$A$1:$A1000,0)&amp;"")-$Z745))=ABS(INDIRECT("Class Jobs!B"&amp;MATCH(E745,'Class Jobs'!$A$1:$A1000,0)&amp;":"&amp;"AF"&amp;MATCH(E745,'Class Jobs'!$A$1:$A1000,0)&amp;"")-$Z745),SIGN(INDIRECT("Class Jobs!B"&amp;MATCH(E745,'Class Jobs'!$A$1:A1000,0)&amp;":"&amp;"AF"&amp;MATCH(E745,'Class Jobs'!$A$1:$A1000,0)&amp;"")-$Z745),0)),0)),INDIRECT("Class Jobs!B"&amp;MATCH(E745,'Class Jobs'!$A$1:$A1000,0)&amp;":"&amp;"AF"&amp;MATCH(E745,'Class Jobs'!$A$1:$A1000,1)&amp;""),'Class Jobs'!$B$1:$AF$1)</f>
        <v>#REF!</v>
      </c>
      <c r="Z745" s="158">
        <f t="shared" si="41"/>
        <v>0.32</v>
      </c>
      <c r="AA745" s="16" t="str">
        <f t="array" ref="AA745">INDEX(NPCGender,TRUNC(1+(COUNTA(NPCGender))*(TRUNC(MOD(($B745*1103515245 +12345)/ 65536, 32768),0)/32768),0))</f>
        <v>Male</v>
      </c>
      <c r="AB745" s="16" t="str">
        <f t="array" ref="AB745">INDEX(NPCRace,TRUNC(1+(COUNTA(NPCRace))*(TRUNC(MOD(($B745*1103515245 +12345)/ 65536, 32768),0)/32768),0))</f>
        <v>Gnome</v>
      </c>
      <c r="AC745" s="16" t="str">
        <f t="array" ref="AC745">INDEX(NPCAL,TRUNC(1+(COUNTA(NPCAL))*(TRUNC(MOD(($B745*1103515245 +12345)/ 65536, 32768),0)/32768),0))</f>
        <v>CG</v>
      </c>
      <c r="AD745" s="72" t="str">
        <f ca="1">IFERROR(__xludf.DUMMYFUNCTION("if(V745&lt;15,QUERY(NPCVar!C:D,""Select D WHERE C = '""&amp;D745&amp;""'""),if((TRUNC(1+10)*(TRUNC(MOD((ROW(H745)*1103515245 +12345)/ 65536, 32768),0)/32768)/10) &gt; 0.85,INDEX(NPCFaction,TRUNC(1+(counta(NPCFaction)-1)*(TRUNC(MOD(($B745*1103515245 +12345)/ 65536, 3276"&amp;"8),0)/32768),0)),QUERY(NPCVar!C:D,""Select D WHERE C = '""&amp;D745&amp;""'"")))"),"Traders Guild")</f>
        <v>Traders Guild</v>
      </c>
      <c r="AE745" s="108" t="e">
        <f t="shared" ca="1" si="42"/>
        <v>#NAME?</v>
      </c>
      <c r="AF745" s="159">
        <f ca="1">IFERROR(__xludf.DUMMYFUNCTION("AE745*(V745 / QUERY(NPCVar!$K$2:$N$12, ""Select N WHERE K='""&amp;AB745&amp;""'""))*TRUNC(1+10)*(TRUNC(MOD(($B745*1103515245 +12345)/ 65536, 32768),0)/32768)"),0.106468505859374)</f>
        <v>0.10646850585937399</v>
      </c>
      <c r="AG745" s="16"/>
      <c r="AH745" s="77"/>
      <c r="AI745" s="114"/>
    </row>
    <row r="746" spans="1:35" ht="16.2">
      <c r="A746" s="53">
        <v>745</v>
      </c>
      <c r="B746" s="118">
        <f t="shared" si="48"/>
        <v>2.1220400000000001</v>
      </c>
      <c r="C746" s="72" t="str">
        <f t="array" ref="C746">INDEX(NPCFName,TRUNC(1+(COUNTA(NPCFName))*(TRUNC(MOD(($B746*1103515245 +12345)/ 65536, 32768),0)/32768),0))</f>
        <v>Ekgamut</v>
      </c>
      <c r="D746" s="16" t="str">
        <f t="array" ref="D746">INDEX(NPCLName,TRUNC(1+(COUNTA(NPCLName))*(TRUNC(MOD(($B746*1103515245 +12345)/ 65536, 32768),0)/32768),0))</f>
        <v>Autumnorb</v>
      </c>
      <c r="E746" s="16" t="str">
        <f t="array" ref="E746">INDEX(NPCClass,TRUNC(1+(COUNTA(NPCClass))*(TRUNC(MOD(($B746*1103515245 +12345)/ 65536, 32768),0)/32768),0))</f>
        <v>Bard</v>
      </c>
      <c r="F746" s="76">
        <v>1</v>
      </c>
      <c r="G746" s="153">
        <f ca="1">VLOOKUP($AB$2,'RF Mod'!$A$2:$G$12,2,FALSE)+VLOOKUP($AD$2,'RF Mod'!$I$2:$O$11,2,FALSE)+(TRUNC(6+(24-6)*(TRUNC(MOD(($Z746*1103515245 +12345)/ 65536, 32768),0)/32768),0))</f>
        <v>4</v>
      </c>
      <c r="H746" s="16">
        <f t="shared" ca="1" si="33"/>
        <v>-3</v>
      </c>
      <c r="I746" s="153">
        <f ca="1">VLOOKUP($AB$2,'RF Mod'!$A$2:$G$12,3,FALSE)+VLOOKUP($AD$2,'RF Mod'!$I$2:$O$11,3,FALSE)+(TRUNC(6+(24-6)*(TRUNC(MOD(($Z746*1103515245 +12345)/ 65536, 32768),0)/32768),0))</f>
        <v>8</v>
      </c>
      <c r="J746" s="16">
        <f t="shared" ca="1" si="34"/>
        <v>-1</v>
      </c>
      <c r="K746" s="153">
        <f ca="1">VLOOKUP($AB$2,'RF Mod'!$A$2:$G$12,3,FALSE)+VLOOKUP($AD$2,'RF Mod'!$I$2:$O$11,3,FALSE)+(TRUNC(6+(24-6)*(TRUNC(MOD(($Z746*1103515245 +12345)/ 65536, 32768),0)/32768),0))</f>
        <v>8</v>
      </c>
      <c r="L746" s="16">
        <f t="shared" ca="1" si="35"/>
        <v>-1</v>
      </c>
      <c r="M746" s="153">
        <f ca="1">VLOOKUP($AB$2,'RF Mod'!$A$2:$G$12,4,FALSE)+VLOOKUP($AD$2,'RF Mod'!$I$2:$O$11,4,FALSE)+(TRUNC(6+(24-6)*(TRUNC(MOD(($Z746*1103515245 +12345)/ 65536, 32768),0)/32768),0))</f>
        <v>7</v>
      </c>
      <c r="N746" s="16">
        <f t="shared" ca="1" si="36"/>
        <v>-2</v>
      </c>
      <c r="O746" s="153">
        <f ca="1">VLOOKUP($AB$2,'RF Mod'!$A$2:$G$12,5,FALSE)+VLOOKUP($AD$2,'RF Mod'!$I$2:$O$11,5,FALSE)+(TRUNC(6+(24-6)*(TRUNC(MOD(($Z746*1103515245 +12345)/ 65536, 32768),0)/32768),0))</f>
        <v>10</v>
      </c>
      <c r="P746" s="16" t="e">
        <f t="shared" ca="1" si="37"/>
        <v>#NAME?</v>
      </c>
      <c r="Q746" s="153">
        <f ca="1">VLOOKUP($AB$2,'RF Mod'!$A$2:$G$12,6,FALSE)+VLOOKUP($AD$2,'RF Mod'!$I$2:$O$11,6,FALSE)+(TRUNC(6+(24-6)*(TRUNC(MOD(($Z746*1103515245 +12345)/ 65536, 32768),0)/32768),0))</f>
        <v>8</v>
      </c>
      <c r="R746" s="16">
        <f t="shared" ca="1" si="38"/>
        <v>-1</v>
      </c>
      <c r="S746" s="154">
        <f t="shared" ca="1" si="43"/>
        <v>10</v>
      </c>
      <c r="T746" s="154">
        <f t="shared" ca="1" si="39"/>
        <v>10</v>
      </c>
      <c r="U746" s="16" t="str">
        <f t="shared" ca="1" si="40"/>
        <v>Unconscious</v>
      </c>
      <c r="V746" s="155">
        <f ca="1">IFERROR(__xludf.DUMMYFUNCTION("if(W746=""Middle Age"",QUERY(NPCVar!$K$2:$N1000, ""Select L where K = '""&amp;AB746&amp;""'""),if(W746=""Old"",QUERY(NPCVar!$K$2:$N1000, ""Select M where K = '""&amp;AB746&amp;""'""),if(W746=""Venerable"",QUERY(NPCVar!$K$2:$N1000, ""Select N where K = '""&amp;AB746&amp;""'""),fa"&amp;"lse)))*X746"),6)</f>
        <v>6</v>
      </c>
      <c r="W746" s="156" t="str">
        <f t="array" ref="W746">INDEX(NPCAgeType,TRUNC(1+(4-1)*(TRUNC(MOD((X746*1103515245 +12345)/ 65536, 32768),0)/32768),0))</f>
        <v>Middle Age</v>
      </c>
      <c r="X746" s="117">
        <f t="shared" si="45"/>
        <v>0.3</v>
      </c>
      <c r="Y746" s="157" t="e">
        <f t="array" aca="1" ref="Y746" ca="1">LOOKUP(ABS(MAX(Z746 + MIN(ABS(INDIRECT("Class Jobs!B"&amp;MATCH(E746,'Class Jobs'!$A$1:$A1000,0)&amp;":"&amp;"AF"&amp;MATCH(E746,'Class Jobs'!$A$1:$A1000,0)&amp;"")-$Z746)) * SUM(IF(MIN(ABS(INDIRECT("Class Jobs!B"&amp;MATCH(E746,'Class Jobs'!$A$1:$A1000,0)&amp;":"&amp;"AF"&amp;MATCH(E746,'Class Jobs'!$A$1:$A1000,0)&amp;"")-$Z746))=ABS(INDIRECT("Class Jobs!B"&amp;MATCH(E746,'Class Jobs'!$A$1:$A1000,0)&amp;":"&amp;"AF"&amp;MATCH(E746,'Class Jobs'!$A$1:$A1000,0)&amp;"")-$Z746),SIGN(INDIRECT("Class Jobs!B"&amp;MATCH(E746,'Class Jobs'!$A$1:A1000,0)&amp;":"&amp;"AF"&amp;MATCH(E746,'Class Jobs'!$A$1:$A1000,0)&amp;"")-$Z746),0)),0)),INDIRECT("Class Jobs!B"&amp;MATCH(E746,'Class Jobs'!$A$1:$A1000,0)&amp;":"&amp;"AF"&amp;MATCH(E746,'Class Jobs'!$A$1:$A1000,1)&amp;""),'Class Jobs'!$B$1:$AF$1)</f>
        <v>#REF!</v>
      </c>
      <c r="Z746" s="158">
        <f t="shared" si="41"/>
        <v>0.09</v>
      </c>
      <c r="AA746" s="16" t="str">
        <f t="array" ref="AA746">INDEX(NPCGender,TRUNC(1+(COUNTA(NPCGender))*(TRUNC(MOD(($B746*1103515245 +12345)/ 65536, 32768),0)/32768),0))</f>
        <v>Male</v>
      </c>
      <c r="AB746" s="16" t="str">
        <f t="array" ref="AB746">INDEX(NPCRace,TRUNC(1+(COUNTA(NPCRace))*(TRUNC(MOD(($B746*1103515245 +12345)/ 65536, 32768),0)/32768),0))</f>
        <v>Dragonborn</v>
      </c>
      <c r="AC746" s="16" t="str">
        <f t="array" ref="AC746">INDEX(NPCAL,TRUNC(1+(COUNTA(NPCAL))*(TRUNC(MOD(($B746*1103515245 +12345)/ 65536, 32768),0)/32768),0))</f>
        <v>CN</v>
      </c>
      <c r="AD746" s="72" t="str">
        <f ca="1">IFERROR(__xludf.DUMMYFUNCTION("if(V746&lt;15,QUERY(NPCVar!C:D,""Select D WHERE C = '""&amp;D746&amp;""'""),if((TRUNC(1+10)*(TRUNC(MOD((ROW(H746)*1103515245 +12345)/ 65536, 32768),0)/32768)/10) &gt; 0.85,INDEX(NPCFaction,TRUNC(1+(counta(NPCFaction)-1)*(TRUNC(MOD(($B746*1103515245 +12345)/ 65536, 3276"&amp;"8),0)/32768),0)),QUERY(NPCVar!C:D,""Select D WHERE C = '""&amp;D746&amp;""'"")))"),"Royalty")</f>
        <v>Royalty</v>
      </c>
      <c r="AE746" s="108" t="e">
        <f t="shared" ca="1" si="42"/>
        <v>#NAME?</v>
      </c>
      <c r="AF746" s="159">
        <f ca="1">IFERROR(__xludf.DUMMYFUNCTION("AE746*(V746 / QUERY(NPCVar!$K$2:$N$12, ""Select N WHERE K='""&amp;AB746&amp;""'""))*TRUNC(1+10)*(TRUNC(MOD(($B746*1103515245 +12345)/ 65536, 32768),0)/32768)"),0.0372997283935546)</f>
        <v>3.7299728393554603E-2</v>
      </c>
      <c r="AG746" s="16"/>
      <c r="AH746" s="77"/>
      <c r="AI746" s="114"/>
    </row>
    <row r="747" spans="1:35" ht="16.2">
      <c r="A747" s="53">
        <v>746</v>
      </c>
      <c r="B747" s="118">
        <f t="shared" si="48"/>
        <v>1.1161799999999999</v>
      </c>
      <c r="C747" s="72" t="str">
        <f t="array" ref="C747">INDEX(NPCFName,TRUNC(1+(COUNTA(NPCFName))*(TRUNC(MOD(($B747*1103515245 +12345)/ 65536, 32768),0)/32768),0))</f>
        <v>Reaper</v>
      </c>
      <c r="D747" s="16" t="str">
        <f t="array" ref="D747">INDEX(NPCLName,TRUNC(1+(COUNTA(NPCLName))*(TRUNC(MOD(($B747*1103515245 +12345)/ 65536, 32768),0)/32768),0))</f>
        <v>Chestaxe</v>
      </c>
      <c r="E747" s="16" t="str">
        <f t="array" ref="E747">INDEX(NPCClass,TRUNC(1+(COUNTA(NPCClass))*(TRUNC(MOD(($B747*1103515245 +12345)/ 65536, 32768),0)/32768),0))</f>
        <v>Sorcerer</v>
      </c>
      <c r="F747" s="76">
        <v>8</v>
      </c>
      <c r="G747" s="153">
        <f ca="1">VLOOKUP($AB$2,'RF Mod'!$A$2:$G$12,2,FALSE)+VLOOKUP($AD$2,'RF Mod'!$I$2:$O$11,2,FALSE)+(TRUNC(6+(24-6)*(TRUNC(MOD(($Z747*1103515245 +12345)/ 65536, 32768),0)/32768),0))</f>
        <v>9</v>
      </c>
      <c r="H747" s="16">
        <f t="shared" ca="1" si="33"/>
        <v>-1</v>
      </c>
      <c r="I747" s="153">
        <f ca="1">VLOOKUP($AB$2,'RF Mod'!$A$2:$G$12,3,FALSE)+VLOOKUP($AD$2,'RF Mod'!$I$2:$O$11,3,FALSE)+(TRUNC(6+(24-6)*(TRUNC(MOD(($Z747*1103515245 +12345)/ 65536, 32768),0)/32768),0))</f>
        <v>13</v>
      </c>
      <c r="J747" s="16" t="e">
        <f t="shared" ca="1" si="34"/>
        <v>#NAME?</v>
      </c>
      <c r="K747" s="153">
        <f ca="1">VLOOKUP($AB$2,'RF Mod'!$A$2:$G$12,3,FALSE)+VLOOKUP($AD$2,'RF Mod'!$I$2:$O$11,3,FALSE)+(TRUNC(6+(24-6)*(TRUNC(MOD(($Z747*1103515245 +12345)/ 65536, 32768),0)/32768),0))</f>
        <v>13</v>
      </c>
      <c r="L747" s="16" t="e">
        <f t="shared" ca="1" si="35"/>
        <v>#NAME?</v>
      </c>
      <c r="M747" s="153">
        <f ca="1">VLOOKUP($AB$2,'RF Mod'!$A$2:$G$12,4,FALSE)+VLOOKUP($AD$2,'RF Mod'!$I$2:$O$11,4,FALSE)+(TRUNC(6+(24-6)*(TRUNC(MOD(($Z747*1103515245 +12345)/ 65536, 32768),0)/32768),0))</f>
        <v>12</v>
      </c>
      <c r="N747" s="16" t="e">
        <f t="shared" ca="1" si="36"/>
        <v>#NAME?</v>
      </c>
      <c r="O747" s="153">
        <f ca="1">VLOOKUP($AB$2,'RF Mod'!$A$2:$G$12,5,FALSE)+VLOOKUP($AD$2,'RF Mod'!$I$2:$O$11,5,FALSE)+(TRUNC(6+(24-6)*(TRUNC(MOD(($Z747*1103515245 +12345)/ 65536, 32768),0)/32768),0))</f>
        <v>15</v>
      </c>
      <c r="P747" s="16" t="e">
        <f t="shared" ca="1" si="37"/>
        <v>#NAME?</v>
      </c>
      <c r="Q747" s="153">
        <f ca="1">VLOOKUP($AB$2,'RF Mod'!$A$2:$G$12,6,FALSE)+VLOOKUP($AD$2,'RF Mod'!$I$2:$O$11,6,FALSE)+(TRUNC(6+(24-6)*(TRUNC(MOD(($Z747*1103515245 +12345)/ 65536, 32768),0)/32768),0))</f>
        <v>13</v>
      </c>
      <c r="R747" s="16" t="e">
        <f t="shared" ca="1" si="38"/>
        <v>#NAME?</v>
      </c>
      <c r="S747" s="154">
        <f t="shared" ca="1" si="43"/>
        <v>152</v>
      </c>
      <c r="T747" s="154">
        <f t="shared" ca="1" si="39"/>
        <v>142</v>
      </c>
      <c r="U747" s="16" t="str">
        <f t="shared" ca="1" si="40"/>
        <v>Bloody</v>
      </c>
      <c r="V747" s="155">
        <f ca="1">IFERROR(__xludf.DUMMYFUNCTION("if(W747=""Middle Age"",QUERY(NPCVar!$K$2:$N1000, ""Select L where K = '""&amp;AB747&amp;""'""),if(W747=""Old"",QUERY(NPCVar!$K$2:$N1000, ""Select M where K = '""&amp;AB747&amp;""'""),if(W747=""Venerable"",QUERY(NPCVar!$K$2:$N1000, ""Select N where K = '""&amp;AB747&amp;""'""),fa"&amp;"lse)))*X747"),280)</f>
        <v>280</v>
      </c>
      <c r="W747" s="156" t="str">
        <f t="array" ref="W747">INDEX(NPCAgeType,TRUNC(1+(4-1)*(TRUNC(MOD((X747*1103515245 +12345)/ 65536, 32768),0)/32768),0))</f>
        <v>Venerable</v>
      </c>
      <c r="X747" s="117">
        <f t="shared" si="45"/>
        <v>1.4</v>
      </c>
      <c r="Y747" s="157" t="e">
        <f t="array" aca="1" ref="Y747" ca="1">LOOKUP(ABS(MAX(Z747 + MIN(ABS(INDIRECT("Class Jobs!B"&amp;MATCH(E747,'Class Jobs'!$A$1:$A1000,0)&amp;":"&amp;"AF"&amp;MATCH(E747,'Class Jobs'!$A$1:$A1000,0)&amp;"")-$Z747)) * SUM(IF(MIN(ABS(INDIRECT("Class Jobs!B"&amp;MATCH(E747,'Class Jobs'!$A$1:$A1000,0)&amp;":"&amp;"AF"&amp;MATCH(E747,'Class Jobs'!$A$1:$A1000,0)&amp;"")-$Z747))=ABS(INDIRECT("Class Jobs!B"&amp;MATCH(E747,'Class Jobs'!$A$1:$A1000,0)&amp;":"&amp;"AF"&amp;MATCH(E747,'Class Jobs'!$A$1:$A1000,0)&amp;"")-$Z747),SIGN(INDIRECT("Class Jobs!B"&amp;MATCH(E747,'Class Jobs'!$A$1:A1000,0)&amp;":"&amp;"AF"&amp;MATCH(E747,'Class Jobs'!$A$1:$A1000,0)&amp;"")-$Z747),0)),0)),INDIRECT("Class Jobs!B"&amp;MATCH(E747,'Class Jobs'!$A$1:$A1000,0)&amp;":"&amp;"AF"&amp;MATCH(E747,'Class Jobs'!$A$1:$A1000,1)&amp;""),'Class Jobs'!$B$1:$AF$1)</f>
        <v>#REF!</v>
      </c>
      <c r="Z747" s="158">
        <f t="shared" si="41"/>
        <v>0.56999999999999995</v>
      </c>
      <c r="AA747" s="16" t="str">
        <f t="array" ref="AA747">INDEX(NPCGender,TRUNC(1+(COUNTA(NPCGender))*(TRUNC(MOD(($B747*1103515245 +12345)/ 65536, 32768),0)/32768),0))</f>
        <v>Female</v>
      </c>
      <c r="AB747" s="16" t="str">
        <f t="array" ref="AB747">INDEX(NPCRace,TRUNC(1+(COUNTA(NPCRace))*(TRUNC(MOD(($B747*1103515245 +12345)/ 65536, 32768),0)/32768),0))</f>
        <v>Halfling</v>
      </c>
      <c r="AC747" s="16" t="str">
        <f t="array" ref="AC747">INDEX(NPCAL,TRUNC(1+(COUNTA(NPCAL))*(TRUNC(MOD(($B747*1103515245 +12345)/ 65536, 32768),0)/32768),0))</f>
        <v>NE</v>
      </c>
      <c r="AD747" s="72" t="str">
        <f ca="1">IFERROR(__xludf.DUMMYFUNCTION("if(V747&lt;15,QUERY(NPCVar!C:D,""Select D WHERE C = '""&amp;D747&amp;""'""),if((TRUNC(1+10)*(TRUNC(MOD((ROW(H747)*1103515245 +12345)/ 65536, 32768),0)/32768)/10) &gt; 0.85,INDEX(NPCFaction,TRUNC(1+(counta(NPCFaction)-1)*(TRUNC(MOD(($B747*1103515245 +12345)/ 65536, 3276"&amp;"8),0)/32768),0)),QUERY(NPCVar!C:D,""Select D WHERE C = '""&amp;D747&amp;""'"")))"),"Death Guild")</f>
        <v>Death Guild</v>
      </c>
      <c r="AE747" s="108" t="e">
        <f t="shared" ca="1" si="42"/>
        <v>#NAME?</v>
      </c>
      <c r="AF747" s="159">
        <f ca="1">IFERROR(__xludf.DUMMYFUNCTION("AE747*(V747 / QUERY(NPCVar!$K$2:$N$12, ""Select N WHERE K='""&amp;AB747&amp;""'""))*TRUNC(1+10)*(TRUNC(MOD(($B747*1103515245 +12345)/ 65536, 32768),0)/32768)"),4.41631469726562)</f>
        <v>4.4163146972656202</v>
      </c>
      <c r="AG747" s="16"/>
      <c r="AH747" s="77"/>
      <c r="AI747" s="114"/>
    </row>
    <row r="748" spans="1:35" ht="16.2">
      <c r="A748" s="53">
        <v>747</v>
      </c>
      <c r="B748" s="118">
        <f t="shared" si="48"/>
        <v>0.11033</v>
      </c>
      <c r="C748" s="72" t="str">
        <f t="array" ref="C748">INDEX(NPCFName,TRUNC(1+(COUNTA(NPCFName))*(TRUNC(MOD(($B748*1103515245 +12345)/ 65536, 32768),0)/32768),0))</f>
        <v>Connell</v>
      </c>
      <c r="D748" s="16" t="str">
        <f t="array" ref="D748">INDEX(NPCLName,TRUNC(1+(COUNTA(NPCLName))*(TRUNC(MOD(($B748*1103515245 +12345)/ 65536, 32768),0)/32768),0))</f>
        <v>Crystalgazer</v>
      </c>
      <c r="E748" s="16" t="str">
        <f t="array" ref="E748">INDEX(NPCClass,TRUNC(1+(COUNTA(NPCClass))*(TRUNC(MOD(($B748*1103515245 +12345)/ 65536, 32768),0)/32768),0))</f>
        <v>Barbarian</v>
      </c>
      <c r="F748" s="76">
        <v>1</v>
      </c>
      <c r="G748" s="153">
        <f ca="1">VLOOKUP($AB$2,'RF Mod'!$A$2:$G$12,2,FALSE)+VLOOKUP($AD$2,'RF Mod'!$I$2:$O$11,2,FALSE)+(TRUNC(6+(24-6)*(TRUNC(MOD(($Z748*1103515245 +12345)/ 65536, 32768),0)/32768),0))</f>
        <v>4</v>
      </c>
      <c r="H748" s="16">
        <f t="shared" ca="1" si="33"/>
        <v>-3</v>
      </c>
      <c r="I748" s="153">
        <f ca="1">VLOOKUP($AB$2,'RF Mod'!$A$2:$G$12,3,FALSE)+VLOOKUP($AD$2,'RF Mod'!$I$2:$O$11,3,FALSE)+(TRUNC(6+(24-6)*(TRUNC(MOD(($Z748*1103515245 +12345)/ 65536, 32768),0)/32768),0))</f>
        <v>8</v>
      </c>
      <c r="J748" s="16">
        <f t="shared" ca="1" si="34"/>
        <v>-1</v>
      </c>
      <c r="K748" s="153">
        <f ca="1">VLOOKUP($AB$2,'RF Mod'!$A$2:$G$12,3,FALSE)+VLOOKUP($AD$2,'RF Mod'!$I$2:$O$11,3,FALSE)+(TRUNC(6+(24-6)*(TRUNC(MOD(($Z748*1103515245 +12345)/ 65536, 32768),0)/32768),0))</f>
        <v>8</v>
      </c>
      <c r="L748" s="16">
        <f t="shared" ca="1" si="35"/>
        <v>-1</v>
      </c>
      <c r="M748" s="153">
        <f ca="1">VLOOKUP($AB$2,'RF Mod'!$A$2:$G$12,4,FALSE)+VLOOKUP($AD$2,'RF Mod'!$I$2:$O$11,4,FALSE)+(TRUNC(6+(24-6)*(TRUNC(MOD(($Z748*1103515245 +12345)/ 65536, 32768),0)/32768),0))</f>
        <v>7</v>
      </c>
      <c r="N748" s="16">
        <f t="shared" ca="1" si="36"/>
        <v>-2</v>
      </c>
      <c r="O748" s="153">
        <f ca="1">VLOOKUP($AB$2,'RF Mod'!$A$2:$G$12,5,FALSE)+VLOOKUP($AD$2,'RF Mod'!$I$2:$O$11,5,FALSE)+(TRUNC(6+(24-6)*(TRUNC(MOD(($Z748*1103515245 +12345)/ 65536, 32768),0)/32768),0))</f>
        <v>10</v>
      </c>
      <c r="P748" s="16" t="e">
        <f t="shared" ca="1" si="37"/>
        <v>#NAME?</v>
      </c>
      <c r="Q748" s="153">
        <f ca="1">VLOOKUP($AB$2,'RF Mod'!$A$2:$G$12,6,FALSE)+VLOOKUP($AD$2,'RF Mod'!$I$2:$O$11,6,FALSE)+(TRUNC(6+(24-6)*(TRUNC(MOD(($Z748*1103515245 +12345)/ 65536, 32768),0)/32768),0))</f>
        <v>8</v>
      </c>
      <c r="R748" s="16">
        <f t="shared" ca="1" si="38"/>
        <v>-1</v>
      </c>
      <c r="S748" s="154">
        <f t="shared" ca="1" si="43"/>
        <v>10</v>
      </c>
      <c r="T748" s="154">
        <f t="shared" ca="1" si="39"/>
        <v>2</v>
      </c>
      <c r="U748" s="16" t="str">
        <f t="shared" ca="1" si="40"/>
        <v>Fine</v>
      </c>
      <c r="V748" s="155">
        <f ca="1">IFERROR(__xludf.DUMMYFUNCTION("if(W748=""Middle Age"",QUERY(NPCVar!$K$2:$N1000, ""Select L where K = '""&amp;AB748&amp;""'""),if(W748=""Old"",QUERY(NPCVar!$K$2:$N1000, ""Select M where K = '""&amp;AB748&amp;""'""),if(W748=""Venerable"",QUERY(NPCVar!$K$2:$N1000, ""Select N where K = '""&amp;AB748&amp;""'""),fa"&amp;"lse)))*X748"),4)</f>
        <v>4</v>
      </c>
      <c r="W748" s="156" t="str">
        <f t="array" ref="W748">INDEX(NPCAgeType,TRUNC(1+(4-1)*(TRUNC(MOD((X748*1103515245 +12345)/ 65536, 32768),0)/32768),0))</f>
        <v>Middle Age</v>
      </c>
      <c r="X748" s="117">
        <f t="shared" si="45"/>
        <v>0.2</v>
      </c>
      <c r="Y748" s="157" t="e">
        <f t="array" aca="1" ref="Y748" ca="1">LOOKUP(ABS(MAX(Z748 + MIN(ABS(INDIRECT("Class Jobs!B"&amp;MATCH(E748,'Class Jobs'!$A$1:$A1000,0)&amp;":"&amp;"AF"&amp;MATCH(E748,'Class Jobs'!$A$1:$A1000,0)&amp;"")-$Z748)) * SUM(IF(MIN(ABS(INDIRECT("Class Jobs!B"&amp;MATCH(E748,'Class Jobs'!$A$1:$A1000,0)&amp;":"&amp;"AF"&amp;MATCH(E748,'Class Jobs'!$A$1:$A1000,0)&amp;"")-$Z748))=ABS(INDIRECT("Class Jobs!B"&amp;MATCH(E748,'Class Jobs'!$A$1:$A1000,0)&amp;":"&amp;"AF"&amp;MATCH(E748,'Class Jobs'!$A$1:$A1000,0)&amp;"")-$Z748),SIGN(INDIRECT("Class Jobs!B"&amp;MATCH(E748,'Class Jobs'!$A$1:A1000,0)&amp;":"&amp;"AF"&amp;MATCH(E748,'Class Jobs'!$A$1:$A1000,0)&amp;"")-$Z748),0)),0)),INDIRECT("Class Jobs!B"&amp;MATCH(E748,'Class Jobs'!$A$1:$A1000,0)&amp;":"&amp;"AF"&amp;MATCH(E748,'Class Jobs'!$A$1:$A1000,1)&amp;""),'Class Jobs'!$B$1:$AF$1)</f>
        <v>#REF!</v>
      </c>
      <c r="Z748" s="158">
        <f t="shared" si="41"/>
        <v>0.06</v>
      </c>
      <c r="AA748" s="16" t="str">
        <f t="array" ref="AA748">INDEX(NPCGender,TRUNC(1+(COUNTA(NPCGender))*(TRUNC(MOD(($B748*1103515245 +12345)/ 65536, 32768),0)/32768),0))</f>
        <v>Male</v>
      </c>
      <c r="AB748" s="16" t="str">
        <f t="array" ref="AB748">INDEX(NPCRace,TRUNC(1+(COUNTA(NPCRace))*(TRUNC(MOD(($B748*1103515245 +12345)/ 65536, 32768),0)/32768),0))</f>
        <v>Dragonborn</v>
      </c>
      <c r="AC748" s="16" t="str">
        <f t="array" ref="AC748">INDEX(NPCAL,TRUNC(1+(COUNTA(NPCAL))*(TRUNC(MOD(($B748*1103515245 +12345)/ 65536, 32768),0)/32768),0))</f>
        <v>CN</v>
      </c>
      <c r="AD748" s="72" t="str">
        <f ca="1">IFERROR(__xludf.DUMMYFUNCTION("if(V748&lt;15,QUERY(NPCVar!C:D,""Select D WHERE C = '""&amp;D748&amp;""'""),if((TRUNC(1+10)*(TRUNC(MOD((ROW(H748)*1103515245 +12345)/ 65536, 32768),0)/32768)/10) &gt; 0.85,INDEX(NPCFaction,TRUNC(1+(counta(NPCFaction)-1)*(TRUNC(MOD(($B748*1103515245 +12345)/ 65536, 3276"&amp;"8),0)/32768),0)),QUERY(NPCVar!C:D,""Select D WHERE C = '""&amp;D748&amp;""'"")))"),"Death Guild")</f>
        <v>Death Guild</v>
      </c>
      <c r="AE748" s="108" t="e">
        <f t="shared" ca="1" si="42"/>
        <v>#NAME?</v>
      </c>
      <c r="AF748" s="159">
        <f ca="1">IFERROR(__xludf.DUMMYFUNCTION("AE748*(V748 / QUERY(NPCVar!$K$2:$N$12, ""Select N WHERE K='""&amp;AB748&amp;""'""))*TRUNC(1+10)*(TRUNC(MOD(($B748*1103515245 +12345)/ 65536, 32768),0)/32768)"),0.0155845642089843)</f>
        <v>1.5584564208984301E-2</v>
      </c>
      <c r="AG748" s="16"/>
      <c r="AH748" s="77"/>
      <c r="AI748" s="114"/>
    </row>
    <row r="749" spans="1:35" ht="16.2">
      <c r="A749" s="53">
        <v>748</v>
      </c>
      <c r="B749" s="118">
        <f t="shared" si="48"/>
        <v>1.60446</v>
      </c>
      <c r="C749" s="72" t="str">
        <f t="array" ref="C749">INDEX(NPCFName,TRUNC(1+(COUNTA(NPCFName))*(TRUNC(MOD(($B749*1103515245 +12345)/ 65536, 32768),0)/32768),0))</f>
        <v>Kesmon</v>
      </c>
      <c r="D749" s="16" t="str">
        <f t="array" ref="D749">INDEX(NPCLName,TRUNC(1+(COUNTA(NPCLName))*(TRUNC(MOD(($B749*1103515245 +12345)/ 65536, 32768),0)/32768),0))</f>
        <v>Deepcrest</v>
      </c>
      <c r="E749" s="16" t="str">
        <f t="array" ref="E749">INDEX(NPCClass,TRUNC(1+(COUNTA(NPCClass))*(TRUNC(MOD(($B749*1103515245 +12345)/ 65536, 32768),0)/32768),0))</f>
        <v>Cleric</v>
      </c>
      <c r="F749" s="76">
        <v>8</v>
      </c>
      <c r="G749" s="153">
        <f ca="1">VLOOKUP($AB$2,'RF Mod'!$A$2:$G$12,2,FALSE)+VLOOKUP($AD$2,'RF Mod'!$I$2:$O$11,2,FALSE)+(TRUNC(6+(24-6)*(TRUNC(MOD(($Z749*1103515245 +12345)/ 65536, 32768),0)/32768),0))</f>
        <v>11</v>
      </c>
      <c r="H749" s="16" t="e">
        <f t="shared" ca="1" si="33"/>
        <v>#NAME?</v>
      </c>
      <c r="I749" s="153">
        <f ca="1">VLOOKUP($AB$2,'RF Mod'!$A$2:$G$12,3,FALSE)+VLOOKUP($AD$2,'RF Mod'!$I$2:$O$11,3,FALSE)+(TRUNC(6+(24-6)*(TRUNC(MOD(($Z749*1103515245 +12345)/ 65536, 32768),0)/32768),0))</f>
        <v>15</v>
      </c>
      <c r="J749" s="16" t="e">
        <f t="shared" ca="1" si="34"/>
        <v>#NAME?</v>
      </c>
      <c r="K749" s="153">
        <f ca="1">VLOOKUP($AB$2,'RF Mod'!$A$2:$G$12,3,FALSE)+VLOOKUP($AD$2,'RF Mod'!$I$2:$O$11,3,FALSE)+(TRUNC(6+(24-6)*(TRUNC(MOD(($Z749*1103515245 +12345)/ 65536, 32768),0)/32768),0))</f>
        <v>15</v>
      </c>
      <c r="L749" s="16" t="e">
        <f t="shared" ca="1" si="35"/>
        <v>#NAME?</v>
      </c>
      <c r="M749" s="153">
        <f ca="1">VLOOKUP($AB$2,'RF Mod'!$A$2:$G$12,4,FALSE)+VLOOKUP($AD$2,'RF Mod'!$I$2:$O$11,4,FALSE)+(TRUNC(6+(24-6)*(TRUNC(MOD(($Z749*1103515245 +12345)/ 65536, 32768),0)/32768),0))</f>
        <v>14</v>
      </c>
      <c r="N749" s="16" t="e">
        <f t="shared" ca="1" si="36"/>
        <v>#NAME?</v>
      </c>
      <c r="O749" s="153">
        <f ca="1">VLOOKUP($AB$2,'RF Mod'!$A$2:$G$12,5,FALSE)+VLOOKUP($AD$2,'RF Mod'!$I$2:$O$11,5,FALSE)+(TRUNC(6+(24-6)*(TRUNC(MOD(($Z749*1103515245 +12345)/ 65536, 32768),0)/32768),0))</f>
        <v>17</v>
      </c>
      <c r="P749" s="16" t="e">
        <f t="shared" ca="1" si="37"/>
        <v>#NAME?</v>
      </c>
      <c r="Q749" s="153">
        <f ca="1">VLOOKUP($AB$2,'RF Mod'!$A$2:$G$12,6,FALSE)+VLOOKUP($AD$2,'RF Mod'!$I$2:$O$11,6,FALSE)+(TRUNC(6+(24-6)*(TRUNC(MOD(($Z749*1103515245 +12345)/ 65536, 32768),0)/32768),0))</f>
        <v>15</v>
      </c>
      <c r="R749" s="16" t="e">
        <f t="shared" ca="1" si="38"/>
        <v>#NAME?</v>
      </c>
      <c r="S749" s="154">
        <f t="shared" ca="1" si="43"/>
        <v>152</v>
      </c>
      <c r="T749" s="154">
        <f t="shared" ca="1" si="39"/>
        <v>10</v>
      </c>
      <c r="U749" s="16" t="str">
        <f t="shared" ca="1" si="40"/>
        <v>Fine</v>
      </c>
      <c r="V749" s="155">
        <f ca="1">IFERROR(__xludf.DUMMYFUNCTION("if(W749=""Middle Age"",QUERY(NPCVar!$K$2:$N1000, ""Select L where K = '""&amp;AB749&amp;""'""),if(W749=""Old"",QUERY(NPCVar!$K$2:$N1000, ""Select M where K = '""&amp;AB749&amp;""'""),if(W749=""Venerable"",QUERY(NPCVar!$K$2:$N1000, ""Select N where K = '""&amp;AB749&amp;""'""),fa"&amp;"lse)))*X749"),55)</f>
        <v>55</v>
      </c>
      <c r="W749" s="156" t="str">
        <f t="array" ref="W749">INDEX(NPCAgeType,TRUNC(1+(4-1)*(TRUNC(MOD((X749*1103515245 +12345)/ 65536, 32768),0)/32768),0))</f>
        <v>Middle Age</v>
      </c>
      <c r="X749" s="117">
        <f t="shared" si="45"/>
        <v>2</v>
      </c>
      <c r="Y749" s="157" t="e">
        <f t="array" aca="1" ref="Y749" ca="1">LOOKUP(ABS(MAX(Z749 + MIN(ABS(INDIRECT("Class Jobs!B"&amp;MATCH(E749,'Class Jobs'!$A$1:$A1000,0)&amp;":"&amp;"AF"&amp;MATCH(E749,'Class Jobs'!$A$1:$A1000,0)&amp;"")-$Z749)) * SUM(IF(MIN(ABS(INDIRECT("Class Jobs!B"&amp;MATCH(E749,'Class Jobs'!$A$1:$A1000,0)&amp;":"&amp;"AF"&amp;MATCH(E749,'Class Jobs'!$A$1:$A1000,0)&amp;"")-$Z749))=ABS(INDIRECT("Class Jobs!B"&amp;MATCH(E749,'Class Jobs'!$A$1:$A1000,0)&amp;":"&amp;"AF"&amp;MATCH(E749,'Class Jobs'!$A$1:$A1000,0)&amp;"")-$Z749),SIGN(INDIRECT("Class Jobs!B"&amp;MATCH(E749,'Class Jobs'!$A$1:A1000,0)&amp;":"&amp;"AF"&amp;MATCH(E749,'Class Jobs'!$A$1:$A1000,0)&amp;"")-$Z749),0)),0)),INDIRECT("Class Jobs!B"&amp;MATCH(E749,'Class Jobs'!$A$1:$A1000,0)&amp;":"&amp;"AF"&amp;MATCH(E749,'Class Jobs'!$A$1:$A1000,1)&amp;""),'Class Jobs'!$B$1:$AF$1)</f>
        <v>#REF!</v>
      </c>
      <c r="Z749" s="158">
        <f t="shared" si="41"/>
        <v>0.82</v>
      </c>
      <c r="AA749" s="16" t="str">
        <f t="array" ref="AA749">INDEX(NPCGender,TRUNC(1+(COUNTA(NPCGender))*(TRUNC(MOD(($B749*1103515245 +12345)/ 65536, 32768),0)/32768),0))</f>
        <v>Neutral</v>
      </c>
      <c r="AB749" s="16" t="str">
        <f t="array" ref="AB749">INDEX(NPCRace,TRUNC(1+(COUNTA(NPCRace))*(TRUNC(MOD(($B749*1103515245 +12345)/ 65536, 32768),0)/32768),0))</f>
        <v>Genasi</v>
      </c>
      <c r="AC749" s="16" t="str">
        <f t="array" ref="AC749">INDEX(NPCAL,TRUNC(1+(COUNTA(NPCAL))*(TRUNC(MOD(($B749*1103515245 +12345)/ 65536, 32768),0)/32768),0))</f>
        <v>LN</v>
      </c>
      <c r="AD749" s="72" t="str">
        <f ca="1">IFERROR(__xludf.DUMMYFUNCTION("if(V749&lt;15,QUERY(NPCVar!C:D,""Select D WHERE C = '""&amp;D749&amp;""'""),if((TRUNC(1+10)*(TRUNC(MOD((ROW(H749)*1103515245 +12345)/ 65536, 32768),0)/32768)/10) &gt; 0.85,INDEX(NPCFaction,TRUNC(1+(counta(NPCFaction)-1)*(TRUNC(MOD(($B749*1103515245 +12345)/ 65536, 3276"&amp;"8),0)/32768),0)),QUERY(NPCVar!C:D,""Select D WHERE C = '""&amp;D749&amp;""'"")))"),"Farmers Guild")</f>
        <v>Farmers Guild</v>
      </c>
      <c r="AE749" s="108" t="e">
        <f t="shared" ca="1" si="42"/>
        <v>#NAME?</v>
      </c>
      <c r="AF749" s="159">
        <f ca="1">IFERROR(__xludf.DUMMYFUNCTION("AE749*(V749 / QUERY(NPCVar!$K$2:$N$12, ""Select N WHERE K='""&amp;AB749&amp;""'""))*TRUNC(1+10)*(TRUNC(MOD(($B749*1103515245 +12345)/ 65536, 32768),0)/32768)"),2.26727294921875)</f>
        <v>2.26727294921875</v>
      </c>
      <c r="AG749" s="16"/>
      <c r="AH749" s="77"/>
      <c r="AI749" s="114"/>
    </row>
    <row r="750" spans="1:35" ht="16.2">
      <c r="A750" s="53">
        <v>749</v>
      </c>
      <c r="B750" s="118">
        <f t="shared" si="48"/>
        <v>0.59860000000000002</v>
      </c>
      <c r="C750" s="72" t="str">
        <f t="array" ref="C750">INDEX(NPCFName,TRUNC(1+(COUNTA(NPCFName))*(TRUNC(MOD(($B750*1103515245 +12345)/ 65536, 32768),0)/32768),0))</f>
        <v>Voudim</v>
      </c>
      <c r="D750" s="16" t="str">
        <f t="array" ref="D750">INDEX(NPCLName,TRUNC(1+(COUNTA(NPCLName))*(TRUNC(MOD(($B750*1103515245 +12345)/ 65536, 32768),0)/32768),0))</f>
        <v>Stormdew</v>
      </c>
      <c r="E750" s="16" t="str">
        <f t="array" ref="E750">INDEX(NPCClass,TRUNC(1+(COUNTA(NPCClass))*(TRUNC(MOD(($B750*1103515245 +12345)/ 65536, 32768),0)/32768),0))</f>
        <v>Monk</v>
      </c>
      <c r="F750" s="76">
        <v>5</v>
      </c>
      <c r="G750" s="153">
        <f ca="1">VLOOKUP($AB$2,'RF Mod'!$A$2:$G$12,2,FALSE)+VLOOKUP($AD$2,'RF Mod'!$I$2:$O$11,2,FALSE)+(TRUNC(6+(24-6)*(TRUNC(MOD(($Z750*1103515245 +12345)/ 65536, 32768),0)/32768),0))</f>
        <v>6</v>
      </c>
      <c r="H750" s="16">
        <f t="shared" ca="1" si="33"/>
        <v>-2</v>
      </c>
      <c r="I750" s="153">
        <f ca="1">VLOOKUP($AB$2,'RF Mod'!$A$2:$G$12,3,FALSE)+VLOOKUP($AD$2,'RF Mod'!$I$2:$O$11,3,FALSE)+(TRUNC(6+(24-6)*(TRUNC(MOD(($Z750*1103515245 +12345)/ 65536, 32768),0)/32768),0))</f>
        <v>10</v>
      </c>
      <c r="J750" s="16" t="e">
        <f t="shared" ca="1" si="34"/>
        <v>#NAME?</v>
      </c>
      <c r="K750" s="153">
        <f ca="1">VLOOKUP($AB$2,'RF Mod'!$A$2:$G$12,3,FALSE)+VLOOKUP($AD$2,'RF Mod'!$I$2:$O$11,3,FALSE)+(TRUNC(6+(24-6)*(TRUNC(MOD(($Z750*1103515245 +12345)/ 65536, 32768),0)/32768),0))</f>
        <v>10</v>
      </c>
      <c r="L750" s="16" t="e">
        <f t="shared" ca="1" si="35"/>
        <v>#NAME?</v>
      </c>
      <c r="M750" s="153">
        <f ca="1">VLOOKUP($AB$2,'RF Mod'!$A$2:$G$12,4,FALSE)+VLOOKUP($AD$2,'RF Mod'!$I$2:$O$11,4,FALSE)+(TRUNC(6+(24-6)*(TRUNC(MOD(($Z750*1103515245 +12345)/ 65536, 32768),0)/32768),0))</f>
        <v>9</v>
      </c>
      <c r="N750" s="16">
        <f t="shared" ca="1" si="36"/>
        <v>-1</v>
      </c>
      <c r="O750" s="153">
        <f ca="1">VLOOKUP($AB$2,'RF Mod'!$A$2:$G$12,5,FALSE)+VLOOKUP($AD$2,'RF Mod'!$I$2:$O$11,5,FALSE)+(TRUNC(6+(24-6)*(TRUNC(MOD(($Z750*1103515245 +12345)/ 65536, 32768),0)/32768),0))</f>
        <v>12</v>
      </c>
      <c r="P750" s="16" t="e">
        <f t="shared" ca="1" si="37"/>
        <v>#NAME?</v>
      </c>
      <c r="Q750" s="153">
        <f ca="1">VLOOKUP($AB$2,'RF Mod'!$A$2:$G$12,6,FALSE)+VLOOKUP($AD$2,'RF Mod'!$I$2:$O$11,6,FALSE)+(TRUNC(6+(24-6)*(TRUNC(MOD(($Z750*1103515245 +12345)/ 65536, 32768),0)/32768),0))</f>
        <v>10</v>
      </c>
      <c r="R750" s="16" t="e">
        <f t="shared" ca="1" si="38"/>
        <v>#NAME?</v>
      </c>
      <c r="S750" s="154">
        <f t="shared" ca="1" si="43"/>
        <v>80</v>
      </c>
      <c r="T750" s="154">
        <f t="shared" ca="1" si="39"/>
        <v>57</v>
      </c>
      <c r="U750" s="16" t="str">
        <f t="shared" ca="1" si="40"/>
        <v>Bloody</v>
      </c>
      <c r="V750" s="155">
        <f ca="1">IFERROR(__xludf.DUMMYFUNCTION("if(W750=""Middle Age"",QUERY(NPCVar!$K$2:$N1000, ""Select L where K = '""&amp;AB750&amp;""'""),if(W750=""Old"",QUERY(NPCVar!$K$2:$N1000, ""Select M where K = '""&amp;AB750&amp;""'""),if(W750=""Venerable"",QUERY(NPCVar!$K$2:$N1000, ""Select N where K = '""&amp;AB750&amp;""'""),fa"&amp;"lse)))*X750"),135)</f>
        <v>135</v>
      </c>
      <c r="W750" s="156" t="str">
        <f t="array" ref="W750">INDEX(NPCAgeType,TRUNC(1+(4-1)*(TRUNC(MOD((X750*1103515245 +12345)/ 65536, 32768),0)/32768),0))</f>
        <v>Old</v>
      </c>
      <c r="X750" s="117">
        <f t="shared" si="45"/>
        <v>0.8</v>
      </c>
      <c r="Y750" s="157" t="e">
        <f t="array" aca="1" ref="Y750" ca="1">LOOKUP(ABS(MAX(Z750 + MIN(ABS(INDIRECT("Class Jobs!B"&amp;MATCH(E750,'Class Jobs'!$A$1:$A1000,0)&amp;":"&amp;"AF"&amp;MATCH(E750,'Class Jobs'!$A$1:$A1000,0)&amp;"")-$Z750)) * SUM(IF(MIN(ABS(INDIRECT("Class Jobs!B"&amp;MATCH(E750,'Class Jobs'!$A$1:$A1000,0)&amp;":"&amp;"AF"&amp;MATCH(E750,'Class Jobs'!$A$1:$A1000,0)&amp;"")-$Z750))=ABS(INDIRECT("Class Jobs!B"&amp;MATCH(E750,'Class Jobs'!$A$1:$A1000,0)&amp;":"&amp;"AF"&amp;MATCH(E750,'Class Jobs'!$A$1:$A1000,0)&amp;"")-$Z750),SIGN(INDIRECT("Class Jobs!B"&amp;MATCH(E750,'Class Jobs'!$A$1:A1000,0)&amp;":"&amp;"AF"&amp;MATCH(E750,'Class Jobs'!$A$1:$A1000,0)&amp;"")-$Z750),0)),0)),INDIRECT("Class Jobs!B"&amp;MATCH(E750,'Class Jobs'!$A$1:$A1000,0)&amp;":"&amp;"AF"&amp;MATCH(E750,'Class Jobs'!$A$1:$A1000,1)&amp;""),'Class Jobs'!$B$1:$AF$1)</f>
        <v>#REF!</v>
      </c>
      <c r="Z750" s="158">
        <f t="shared" si="41"/>
        <v>0.31</v>
      </c>
      <c r="AA750" s="16" t="str">
        <f t="array" ref="AA750">INDEX(NPCGender,TRUNC(1+(COUNTA(NPCGender))*(TRUNC(MOD(($B750*1103515245 +12345)/ 65536, 32768),0)/32768),0))</f>
        <v>Male</v>
      </c>
      <c r="AB750" s="16" t="str">
        <f t="array" ref="AB750">INDEX(NPCRace,TRUNC(1+(COUNTA(NPCRace))*(TRUNC(MOD(($B750*1103515245 +12345)/ 65536, 32768),0)/32768),0))</f>
        <v>Gnome</v>
      </c>
      <c r="AC750" s="16" t="str">
        <f t="array" ref="AC750">INDEX(NPCAL,TRUNC(1+(COUNTA(NPCAL))*(TRUNC(MOD(($B750*1103515245 +12345)/ 65536, 32768),0)/32768),0))</f>
        <v>CG</v>
      </c>
      <c r="AD750" s="72" t="str">
        <f ca="1">IFERROR(__xludf.DUMMYFUNCTION("if(V750&lt;15,QUERY(NPCVar!C:D,""Select D WHERE C = '""&amp;D750&amp;""'""),if((TRUNC(1+10)*(TRUNC(MOD((ROW(H750)*1103515245 +12345)/ 65536, 32768),0)/32768)/10) &gt; 0.85,INDEX(NPCFaction,TRUNC(1+(counta(NPCFaction)-1)*(TRUNC(MOD(($B750*1103515245 +12345)/ 65536, 3276"&amp;"8),0)/32768),0)),QUERY(NPCVar!C:D,""Select D WHERE C = '""&amp;D750&amp;""'"")))"),"Magic Guild")</f>
        <v>Magic Guild</v>
      </c>
      <c r="AE750" s="108" t="e">
        <f t="shared" ca="1" si="42"/>
        <v>#NAME?</v>
      </c>
      <c r="AF750" s="159">
        <f ca="1">IFERROR(__xludf.DUMMYFUNCTION("AE750*(V750 / QUERY(NPCVar!$K$2:$N$12, ""Select N WHERE K='""&amp;AB750&amp;""'""))*TRUNC(1+10)*(TRUNC(MOD(($B750*1103515245 +12345)/ 65536, 32768),0)/32768)"),0.609021606445312)</f>
        <v>0.609021606445312</v>
      </c>
      <c r="AG750" s="16"/>
      <c r="AH750" s="77"/>
      <c r="AI750" s="114"/>
    </row>
    <row r="751" spans="1:35" ht="16.2">
      <c r="A751" s="53">
        <v>750</v>
      </c>
      <c r="B751" s="118">
        <f t="shared" si="48"/>
        <v>2.09274</v>
      </c>
      <c r="C751" s="72" t="str">
        <f t="array" ref="C751">INDEX(NPCFName,TRUNC(1+(COUNTA(NPCFName))*(TRUNC(MOD(($B751*1103515245 +12345)/ 65536, 32768),0)/32768),0))</f>
        <v>Dessfar</v>
      </c>
      <c r="D751" s="16" t="str">
        <f t="array" ref="D751">INDEX(NPCLName,TRUNC(1+(COUNTA(NPCLName))*(TRUNC(MOD(($B751*1103515245 +12345)/ 65536, 32768),0)/32768),0))</f>
        <v>Autumnorb</v>
      </c>
      <c r="E751" s="16" t="str">
        <f t="array" ref="E751">INDEX(NPCClass,TRUNC(1+(COUNTA(NPCClass))*(TRUNC(MOD(($B751*1103515245 +12345)/ 65536, 32768),0)/32768),0))</f>
        <v>Barbarian</v>
      </c>
      <c r="F751" s="76">
        <v>1</v>
      </c>
      <c r="G751" s="153">
        <f ca="1">VLOOKUP($AB$2,'RF Mod'!$A$2:$G$12,2,FALSE)+VLOOKUP($AD$2,'RF Mod'!$I$2:$O$11,2,FALSE)+(TRUNC(6+(24-6)*(TRUNC(MOD(($Z751*1103515245 +12345)/ 65536, 32768),0)/32768),0))</f>
        <v>4</v>
      </c>
      <c r="H751" s="16">
        <f t="shared" ca="1" si="33"/>
        <v>-3</v>
      </c>
      <c r="I751" s="153">
        <f ca="1">VLOOKUP($AB$2,'RF Mod'!$A$2:$G$12,3,FALSE)+VLOOKUP($AD$2,'RF Mod'!$I$2:$O$11,3,FALSE)+(TRUNC(6+(24-6)*(TRUNC(MOD(($Z751*1103515245 +12345)/ 65536, 32768),0)/32768),0))</f>
        <v>8</v>
      </c>
      <c r="J751" s="16">
        <f t="shared" ca="1" si="34"/>
        <v>-1</v>
      </c>
      <c r="K751" s="153">
        <f ca="1">VLOOKUP($AB$2,'RF Mod'!$A$2:$G$12,3,FALSE)+VLOOKUP($AD$2,'RF Mod'!$I$2:$O$11,3,FALSE)+(TRUNC(6+(24-6)*(TRUNC(MOD(($Z751*1103515245 +12345)/ 65536, 32768),0)/32768),0))</f>
        <v>8</v>
      </c>
      <c r="L751" s="16">
        <f t="shared" ca="1" si="35"/>
        <v>-1</v>
      </c>
      <c r="M751" s="153">
        <f ca="1">VLOOKUP($AB$2,'RF Mod'!$A$2:$G$12,4,FALSE)+VLOOKUP($AD$2,'RF Mod'!$I$2:$O$11,4,FALSE)+(TRUNC(6+(24-6)*(TRUNC(MOD(($Z751*1103515245 +12345)/ 65536, 32768),0)/32768),0))</f>
        <v>7</v>
      </c>
      <c r="N751" s="16">
        <f t="shared" ca="1" si="36"/>
        <v>-2</v>
      </c>
      <c r="O751" s="153">
        <f ca="1">VLOOKUP($AB$2,'RF Mod'!$A$2:$G$12,5,FALSE)+VLOOKUP($AD$2,'RF Mod'!$I$2:$O$11,5,FALSE)+(TRUNC(6+(24-6)*(TRUNC(MOD(($Z751*1103515245 +12345)/ 65536, 32768),0)/32768),0))</f>
        <v>10</v>
      </c>
      <c r="P751" s="16" t="e">
        <f t="shared" ca="1" si="37"/>
        <v>#NAME?</v>
      </c>
      <c r="Q751" s="153">
        <f ca="1">VLOOKUP($AB$2,'RF Mod'!$A$2:$G$12,6,FALSE)+VLOOKUP($AD$2,'RF Mod'!$I$2:$O$11,6,FALSE)+(TRUNC(6+(24-6)*(TRUNC(MOD(($Z751*1103515245 +12345)/ 65536, 32768),0)/32768),0))</f>
        <v>8</v>
      </c>
      <c r="R751" s="16">
        <f t="shared" ca="1" si="38"/>
        <v>-1</v>
      </c>
      <c r="S751" s="154">
        <f t="shared" ca="1" si="43"/>
        <v>10</v>
      </c>
      <c r="T751" s="154">
        <f t="shared" ca="1" si="39"/>
        <v>4</v>
      </c>
      <c r="U751" s="16" t="str">
        <f t="shared" ca="1" si="40"/>
        <v>Fine</v>
      </c>
      <c r="V751" s="155">
        <f ca="1">IFERROR(__xludf.DUMMYFUNCTION("if(W751=""Middle Age"",QUERY(NPCVar!$K$2:$N1000, ""Select L where K = '""&amp;AB751&amp;""'""),if(W751=""Old"",QUERY(NPCVar!$K$2:$N1000, ""Select M where K = '""&amp;AB751&amp;""'""),if(W751=""Venerable"",QUERY(NPCVar!$K$2:$N1000, ""Select N where K = '""&amp;AB751&amp;""'""),fa"&amp;"lse)))*X751"),4)</f>
        <v>4</v>
      </c>
      <c r="W751" s="156" t="str">
        <f t="array" ref="W751">INDEX(NPCAgeType,TRUNC(1+(4-1)*(TRUNC(MOD((X751*1103515245 +12345)/ 65536, 32768),0)/32768),0))</f>
        <v>Middle Age</v>
      </c>
      <c r="X751" s="117">
        <f t="shared" si="45"/>
        <v>0.2</v>
      </c>
      <c r="Y751" s="157" t="e">
        <f t="array" aca="1" ref="Y751" ca="1">LOOKUP(ABS(MAX(Z751 + MIN(ABS(INDIRECT("Class Jobs!B"&amp;MATCH(E751,'Class Jobs'!$A$1:$A1000,0)&amp;":"&amp;"AF"&amp;MATCH(E751,'Class Jobs'!$A$1:$A1000,0)&amp;"")-$Z751)) * SUM(IF(MIN(ABS(INDIRECT("Class Jobs!B"&amp;MATCH(E751,'Class Jobs'!$A$1:$A1000,0)&amp;":"&amp;"AF"&amp;MATCH(E751,'Class Jobs'!$A$1:$A1000,0)&amp;"")-$Z751))=ABS(INDIRECT("Class Jobs!B"&amp;MATCH(E751,'Class Jobs'!$A$1:$A1000,0)&amp;":"&amp;"AF"&amp;MATCH(E751,'Class Jobs'!$A$1:$A1000,0)&amp;"")-$Z751),SIGN(INDIRECT("Class Jobs!B"&amp;MATCH(E751,'Class Jobs'!$A$1:A1000,0)&amp;":"&amp;"AF"&amp;MATCH(E751,'Class Jobs'!$A$1:$A1000,0)&amp;"")-$Z751),0)),0)),INDIRECT("Class Jobs!B"&amp;MATCH(E751,'Class Jobs'!$A$1:$A1000,0)&amp;":"&amp;"AF"&amp;MATCH(E751,'Class Jobs'!$A$1:$A1000,1)&amp;""),'Class Jobs'!$B$1:$AF$1)</f>
        <v>#REF!</v>
      </c>
      <c r="Z751" s="158">
        <f t="shared" si="41"/>
        <v>0.08</v>
      </c>
      <c r="AA751" s="16" t="str">
        <f t="array" ref="AA751">INDEX(NPCGender,TRUNC(1+(COUNTA(NPCGender))*(TRUNC(MOD(($B751*1103515245 +12345)/ 65536, 32768),0)/32768),0))</f>
        <v>Male</v>
      </c>
      <c r="AB751" s="16" t="str">
        <f t="array" ref="AB751">INDEX(NPCRace,TRUNC(1+(COUNTA(NPCRace))*(TRUNC(MOD(($B751*1103515245 +12345)/ 65536, 32768),0)/32768),0))</f>
        <v>Dragonborn</v>
      </c>
      <c r="AC751" s="16" t="str">
        <f t="array" ref="AC751">INDEX(NPCAL,TRUNC(1+(COUNTA(NPCAL))*(TRUNC(MOD(($B751*1103515245 +12345)/ 65536, 32768),0)/32768),0))</f>
        <v>CN</v>
      </c>
      <c r="AD751" s="72" t="str">
        <f ca="1">IFERROR(__xludf.DUMMYFUNCTION("if(V751&lt;15,QUERY(NPCVar!C:D,""Select D WHERE C = '""&amp;D751&amp;""'""),if((TRUNC(1+10)*(TRUNC(MOD((ROW(H751)*1103515245 +12345)/ 65536, 32768),0)/32768)/10) &gt; 0.85,INDEX(NPCFaction,TRUNC(1+(counta(NPCFaction)-1)*(TRUNC(MOD(($B751*1103515245 +12345)/ 65536, 3276"&amp;"8),0)/32768),0)),QUERY(NPCVar!C:D,""Select D WHERE C = '""&amp;D751&amp;""'"")))"),"Royalty")</f>
        <v>Royalty</v>
      </c>
      <c r="AE751" s="108" t="e">
        <f t="shared" ca="1" si="42"/>
        <v>#NAME?</v>
      </c>
      <c r="AF751" s="159">
        <f ca="1">IFERROR(__xludf.DUMMYFUNCTION("AE751*(V751 / QUERY(NPCVar!$K$2:$N$12, ""Select N WHERE K='""&amp;AB751&amp;""'""))*TRUNC(1+10)*(TRUNC(MOD(($B751*1103515245 +12345)/ 65536, 32768),0)/32768)"),0.00414581298828125)</f>
        <v>4.1458129882812498E-3</v>
      </c>
      <c r="AG751" s="16"/>
      <c r="AH751" s="77"/>
      <c r="AI751" s="114"/>
    </row>
    <row r="752" spans="1:35" ht="16.2">
      <c r="A752" s="53">
        <v>751</v>
      </c>
      <c r="B752" s="118">
        <f t="shared" si="48"/>
        <v>1.0868800000000001</v>
      </c>
      <c r="C752" s="72" t="str">
        <f t="array" ref="C752">INDEX(NPCFName,TRUNC(1+(COUNTA(NPCFName))*(TRUNC(MOD(($B752*1103515245 +12345)/ 65536, 32768),0)/32768),0))</f>
        <v>Phemedes</v>
      </c>
      <c r="D752" s="16" t="str">
        <f t="array" ref="D752">INDEX(NPCLName,TRUNC(1+(COUNTA(NPCLName))*(TRUNC(MOD(($B752*1103515245 +12345)/ 65536, 32768),0)/32768),0))</f>
        <v>Plainspirit</v>
      </c>
      <c r="E752" s="16" t="str">
        <f t="array" ref="E752">INDEX(NPCClass,TRUNC(1+(COUNTA(NPCClass))*(TRUNC(MOD(($B752*1103515245 +12345)/ 65536, 32768),0)/32768),0))</f>
        <v>Sorcerer</v>
      </c>
      <c r="F752" s="76">
        <v>8</v>
      </c>
      <c r="G752" s="153">
        <f ca="1">VLOOKUP($AB$2,'RF Mod'!$A$2:$G$12,2,FALSE)+VLOOKUP($AD$2,'RF Mod'!$I$2:$O$11,2,FALSE)+(TRUNC(6+(24-6)*(TRUNC(MOD(($Z752*1103515245 +12345)/ 65536, 32768),0)/32768),0))</f>
        <v>9</v>
      </c>
      <c r="H752" s="16">
        <f t="shared" ca="1" si="33"/>
        <v>-1</v>
      </c>
      <c r="I752" s="153">
        <f ca="1">VLOOKUP($AB$2,'RF Mod'!$A$2:$G$12,3,FALSE)+VLOOKUP($AD$2,'RF Mod'!$I$2:$O$11,3,FALSE)+(TRUNC(6+(24-6)*(TRUNC(MOD(($Z752*1103515245 +12345)/ 65536, 32768),0)/32768),0))</f>
        <v>13</v>
      </c>
      <c r="J752" s="16" t="e">
        <f t="shared" ca="1" si="34"/>
        <v>#NAME?</v>
      </c>
      <c r="K752" s="153">
        <f ca="1">VLOOKUP($AB$2,'RF Mod'!$A$2:$G$12,3,FALSE)+VLOOKUP($AD$2,'RF Mod'!$I$2:$O$11,3,FALSE)+(TRUNC(6+(24-6)*(TRUNC(MOD(($Z752*1103515245 +12345)/ 65536, 32768),0)/32768),0))</f>
        <v>13</v>
      </c>
      <c r="L752" s="16" t="e">
        <f t="shared" ca="1" si="35"/>
        <v>#NAME?</v>
      </c>
      <c r="M752" s="153">
        <f ca="1">VLOOKUP($AB$2,'RF Mod'!$A$2:$G$12,4,FALSE)+VLOOKUP($AD$2,'RF Mod'!$I$2:$O$11,4,FALSE)+(TRUNC(6+(24-6)*(TRUNC(MOD(($Z752*1103515245 +12345)/ 65536, 32768),0)/32768),0))</f>
        <v>12</v>
      </c>
      <c r="N752" s="16" t="e">
        <f t="shared" ca="1" si="36"/>
        <v>#NAME?</v>
      </c>
      <c r="O752" s="153">
        <f ca="1">VLOOKUP($AB$2,'RF Mod'!$A$2:$G$12,5,FALSE)+VLOOKUP($AD$2,'RF Mod'!$I$2:$O$11,5,FALSE)+(TRUNC(6+(24-6)*(TRUNC(MOD(($Z752*1103515245 +12345)/ 65536, 32768),0)/32768),0))</f>
        <v>15</v>
      </c>
      <c r="P752" s="16" t="e">
        <f t="shared" ca="1" si="37"/>
        <v>#NAME?</v>
      </c>
      <c r="Q752" s="153">
        <f ca="1">VLOOKUP($AB$2,'RF Mod'!$A$2:$G$12,6,FALSE)+VLOOKUP($AD$2,'RF Mod'!$I$2:$O$11,6,FALSE)+(TRUNC(6+(24-6)*(TRUNC(MOD(($Z752*1103515245 +12345)/ 65536, 32768),0)/32768),0))</f>
        <v>13</v>
      </c>
      <c r="R752" s="16" t="e">
        <f t="shared" ca="1" si="38"/>
        <v>#NAME?</v>
      </c>
      <c r="S752" s="154">
        <f t="shared" ca="1" si="43"/>
        <v>168</v>
      </c>
      <c r="T752" s="154">
        <f t="shared" ca="1" si="39"/>
        <v>142</v>
      </c>
      <c r="U752" s="16" t="str">
        <f t="shared" ca="1" si="40"/>
        <v>Bloody</v>
      </c>
      <c r="V752" s="155">
        <f ca="1">IFERROR(__xludf.DUMMYFUNCTION("if(W752=""Middle Age"",QUERY(NPCVar!$K$2:$N1000, ""Select L where K = '""&amp;AB752&amp;""'""),if(W752=""Old"",QUERY(NPCVar!$K$2:$N1000, ""Select M where K = '""&amp;AB752&amp;""'""),if(W752=""Venerable"",QUERY(NPCVar!$K$2:$N1000, ""Select N where K = '""&amp;AB752&amp;""'""),fa"&amp;"lse)))*X752"),280)</f>
        <v>280</v>
      </c>
      <c r="W752" s="156" t="str">
        <f t="array" ref="W752">INDEX(NPCAgeType,TRUNC(1+(4-1)*(TRUNC(MOD((X752*1103515245 +12345)/ 65536, 32768),0)/32768),0))</f>
        <v>Venerable</v>
      </c>
      <c r="X752" s="117">
        <f t="shared" si="45"/>
        <v>1.4</v>
      </c>
      <c r="Y752" s="157" t="e">
        <f t="array" aca="1" ref="Y752" ca="1">LOOKUP(ABS(MAX(Z752 + MIN(ABS(INDIRECT("Class Jobs!B"&amp;MATCH(E752,'Class Jobs'!$A$1:$A1000,0)&amp;":"&amp;"AF"&amp;MATCH(E752,'Class Jobs'!$A$1:$A1000,0)&amp;"")-$Z752)) * SUM(IF(MIN(ABS(INDIRECT("Class Jobs!B"&amp;MATCH(E752,'Class Jobs'!$A$1:$A1000,0)&amp;":"&amp;"AF"&amp;MATCH(E752,'Class Jobs'!$A$1:$A1000,0)&amp;"")-$Z752))=ABS(INDIRECT("Class Jobs!B"&amp;MATCH(E752,'Class Jobs'!$A$1:$A1000,0)&amp;":"&amp;"AF"&amp;MATCH(E752,'Class Jobs'!$A$1:$A1000,0)&amp;"")-$Z752),SIGN(INDIRECT("Class Jobs!B"&amp;MATCH(E752,'Class Jobs'!$A$1:A1000,0)&amp;":"&amp;"AF"&amp;MATCH(E752,'Class Jobs'!$A$1:$A1000,0)&amp;"")-$Z752),0)),0)),INDIRECT("Class Jobs!B"&amp;MATCH(E752,'Class Jobs'!$A$1:$A1000,0)&amp;":"&amp;"AF"&amp;MATCH(E752,'Class Jobs'!$A$1:$A1000,1)&amp;""),'Class Jobs'!$B$1:$AF$1)</f>
        <v>#REF!</v>
      </c>
      <c r="Z752" s="158">
        <f t="shared" si="41"/>
        <v>0.56000000000000005</v>
      </c>
      <c r="AA752" s="16" t="str">
        <f t="array" ref="AA752">INDEX(NPCGender,TRUNC(1+(COUNTA(NPCGender))*(TRUNC(MOD(($B752*1103515245 +12345)/ 65536, 32768),0)/32768),0))</f>
        <v>Female</v>
      </c>
      <c r="AB752" s="16" t="str">
        <f t="array" ref="AB752">INDEX(NPCRace,TRUNC(1+(COUNTA(NPCRace))*(TRUNC(MOD(($B752*1103515245 +12345)/ 65536, 32768),0)/32768),0))</f>
        <v>Halfling</v>
      </c>
      <c r="AC752" s="16" t="str">
        <f t="array" ref="AC752">INDEX(NPCAL,TRUNC(1+(COUNTA(NPCAL))*(TRUNC(MOD(($B752*1103515245 +12345)/ 65536, 32768),0)/32768),0))</f>
        <v>NE</v>
      </c>
      <c r="AD752" s="72" t="str">
        <f ca="1">IFERROR(__xludf.DUMMYFUNCTION("if(V752&lt;15,QUERY(NPCVar!C:D,""Select D WHERE C = '""&amp;D752&amp;""'""),if((TRUNC(1+10)*(TRUNC(MOD((ROW(H752)*1103515245 +12345)/ 65536, 32768),0)/32768)/10) &gt; 0.85,INDEX(NPCFaction,TRUNC(1+(counta(NPCFaction)-1)*(TRUNC(MOD(($B752*1103515245 +12345)/ 65536, 3276"&amp;"8),0)/32768),0)),QUERY(NPCVar!C:D,""Select D WHERE C = '""&amp;D752&amp;""'"")))"),"Traders Guild")</f>
        <v>Traders Guild</v>
      </c>
      <c r="AE752" s="108" t="e">
        <f t="shared" ca="1" si="42"/>
        <v>#NAME?</v>
      </c>
      <c r="AF752" s="159">
        <f ca="1">IFERROR(__xludf.DUMMYFUNCTION("AE752*(V752 / QUERY(NPCVar!$K$2:$N$12, ""Select N WHERE K='""&amp;AB752&amp;""'""))*TRUNC(1+10)*(TRUNC(MOD(($B752*1103515245 +12345)/ 65536, 32768),0)/32768)"),8.60093383789062)</f>
        <v>8.6009338378906204</v>
      </c>
      <c r="AG752" s="16"/>
      <c r="AH752" s="77"/>
      <c r="AI752" s="114"/>
    </row>
    <row r="753" spans="1:35" ht="16.2">
      <c r="A753" s="53">
        <v>752</v>
      </c>
      <c r="B753" s="118">
        <f t="shared" si="48"/>
        <v>8.0949999999999994E-2</v>
      </c>
      <c r="C753" s="72" t="str">
        <f t="array" ref="C753">INDEX(NPCFName,TRUNC(1+(COUNTA(NPCFName))*(TRUNC(MOD(($B753*1103515245 +12345)/ 65536, 32768),0)/32768),0))</f>
        <v>Busma</v>
      </c>
      <c r="D753" s="16" t="str">
        <f t="array" ref="D753">INDEX(NPCLName,TRUNC(1+(COUNTA(NPCLName))*(TRUNC(MOD(($B753*1103515245 +12345)/ 65536, 32768),0)/32768),0))</f>
        <v>Crystalgazer</v>
      </c>
      <c r="E753" s="16" t="str">
        <f t="array" ref="E753">INDEX(NPCClass,TRUNC(1+(COUNTA(NPCClass))*(TRUNC(MOD(($B753*1103515245 +12345)/ 65536, 32768),0)/32768),0))</f>
        <v>Barbarian</v>
      </c>
      <c r="F753" s="76">
        <v>1</v>
      </c>
      <c r="G753" s="153">
        <f ca="1">VLOOKUP($AB$2,'RF Mod'!$A$2:$G$12,2,FALSE)+VLOOKUP($AD$2,'RF Mod'!$I$2:$O$11,2,FALSE)+(TRUNC(6+(24-6)*(TRUNC(MOD(($Z753*1103515245 +12345)/ 65536, 32768),0)/32768),0))</f>
        <v>4</v>
      </c>
      <c r="H753" s="16">
        <f t="shared" ca="1" si="33"/>
        <v>-3</v>
      </c>
      <c r="I753" s="153">
        <f ca="1">VLOOKUP($AB$2,'RF Mod'!$A$2:$G$12,3,FALSE)+VLOOKUP($AD$2,'RF Mod'!$I$2:$O$11,3,FALSE)+(TRUNC(6+(24-6)*(TRUNC(MOD(($Z753*1103515245 +12345)/ 65536, 32768),0)/32768),0))</f>
        <v>8</v>
      </c>
      <c r="J753" s="16">
        <f t="shared" ca="1" si="34"/>
        <v>-1</v>
      </c>
      <c r="K753" s="153">
        <f ca="1">VLOOKUP($AB$2,'RF Mod'!$A$2:$G$12,3,FALSE)+VLOOKUP($AD$2,'RF Mod'!$I$2:$O$11,3,FALSE)+(TRUNC(6+(24-6)*(TRUNC(MOD(($Z753*1103515245 +12345)/ 65536, 32768),0)/32768),0))</f>
        <v>8</v>
      </c>
      <c r="L753" s="16">
        <f t="shared" ca="1" si="35"/>
        <v>-1</v>
      </c>
      <c r="M753" s="153">
        <f ca="1">VLOOKUP($AB$2,'RF Mod'!$A$2:$G$12,4,FALSE)+VLOOKUP($AD$2,'RF Mod'!$I$2:$O$11,4,FALSE)+(TRUNC(6+(24-6)*(TRUNC(MOD(($Z753*1103515245 +12345)/ 65536, 32768),0)/32768),0))</f>
        <v>7</v>
      </c>
      <c r="N753" s="16">
        <f t="shared" ca="1" si="36"/>
        <v>-2</v>
      </c>
      <c r="O753" s="153">
        <f ca="1">VLOOKUP($AB$2,'RF Mod'!$A$2:$G$12,5,FALSE)+VLOOKUP($AD$2,'RF Mod'!$I$2:$O$11,5,FALSE)+(TRUNC(6+(24-6)*(TRUNC(MOD(($Z753*1103515245 +12345)/ 65536, 32768),0)/32768),0))</f>
        <v>10</v>
      </c>
      <c r="P753" s="16" t="e">
        <f t="shared" ca="1" si="37"/>
        <v>#NAME?</v>
      </c>
      <c r="Q753" s="153">
        <f ca="1">VLOOKUP($AB$2,'RF Mod'!$A$2:$G$12,6,FALSE)+VLOOKUP($AD$2,'RF Mod'!$I$2:$O$11,6,FALSE)+(TRUNC(6+(24-6)*(TRUNC(MOD(($Z753*1103515245 +12345)/ 65536, 32768),0)/32768),0))</f>
        <v>8</v>
      </c>
      <c r="R753" s="16">
        <f t="shared" ca="1" si="38"/>
        <v>-1</v>
      </c>
      <c r="S753" s="154">
        <f t="shared" ca="1" si="43"/>
        <v>10</v>
      </c>
      <c r="T753" s="154">
        <f t="shared" ca="1" si="39"/>
        <v>2</v>
      </c>
      <c r="U753" s="16" t="str">
        <f t="shared" ca="1" si="40"/>
        <v>Fine</v>
      </c>
      <c r="V753" s="155">
        <f ca="1">IFERROR(__xludf.DUMMYFUNCTION("if(W753=""Middle Age"",QUERY(NPCVar!$K$2:$N1000, ""Select L where K = '""&amp;AB753&amp;""'""),if(W753=""Old"",QUERY(NPCVar!$K$2:$N1000, ""Select M where K = '""&amp;AB753&amp;""'""),if(W753=""Venerable"",QUERY(NPCVar!$K$2:$N1000, ""Select N where K = '""&amp;AB753&amp;""'""),fa"&amp;"lse)))*X753"),2)</f>
        <v>2</v>
      </c>
      <c r="W753" s="156" t="str">
        <f t="array" ref="W753">INDEX(NPCAgeType,TRUNC(1+(4-1)*(TRUNC(MOD((X753*1103515245 +12345)/ 65536, 32768),0)/32768),0))</f>
        <v>Middle Age</v>
      </c>
      <c r="X753" s="117">
        <f t="shared" si="45"/>
        <v>0.1</v>
      </c>
      <c r="Y753" s="157" t="e">
        <f t="array" aca="1" ref="Y753" ca="1">LOOKUP(ABS(MAX(Z753 + MIN(ABS(INDIRECT("Class Jobs!B"&amp;MATCH(E753,'Class Jobs'!$A$1:$A1000,0)&amp;":"&amp;"AF"&amp;MATCH(E753,'Class Jobs'!$A$1:$A1000,0)&amp;"")-$Z753)) * SUM(IF(MIN(ABS(INDIRECT("Class Jobs!B"&amp;MATCH(E753,'Class Jobs'!$A$1:$A1000,0)&amp;":"&amp;"AF"&amp;MATCH(E753,'Class Jobs'!$A$1:$A1000,0)&amp;"")-$Z753))=ABS(INDIRECT("Class Jobs!B"&amp;MATCH(E753,'Class Jobs'!$A$1:$A1000,0)&amp;":"&amp;"AF"&amp;MATCH(E753,'Class Jobs'!$A$1:$A1000,0)&amp;"")-$Z753),SIGN(INDIRECT("Class Jobs!B"&amp;MATCH(E753,'Class Jobs'!$A$1:A1000,0)&amp;":"&amp;"AF"&amp;MATCH(E753,'Class Jobs'!$A$1:$A1000,0)&amp;"")-$Z753),0)),0)),INDIRECT("Class Jobs!B"&amp;MATCH(E753,'Class Jobs'!$A$1:$A1000,0)&amp;":"&amp;"AF"&amp;MATCH(E753,'Class Jobs'!$A$1:$A1000,1)&amp;""),'Class Jobs'!$B$1:$AF$1)</f>
        <v>#REF!</v>
      </c>
      <c r="Z753" s="158">
        <f t="shared" si="41"/>
        <v>0.05</v>
      </c>
      <c r="AA753" s="16" t="str">
        <f t="array" ref="AA753">INDEX(NPCGender,TRUNC(1+(COUNTA(NPCGender))*(TRUNC(MOD(($B753*1103515245 +12345)/ 65536, 32768),0)/32768),0))</f>
        <v>Male</v>
      </c>
      <c r="AB753" s="16" t="str">
        <f t="array" ref="AB753">INDEX(NPCRace,TRUNC(1+(COUNTA(NPCRace))*(TRUNC(MOD(($B753*1103515245 +12345)/ 65536, 32768),0)/32768),0))</f>
        <v>Dragonborn</v>
      </c>
      <c r="AC753" s="16" t="str">
        <f t="array" ref="AC753">INDEX(NPCAL,TRUNC(1+(COUNTA(NPCAL))*(TRUNC(MOD(($B753*1103515245 +12345)/ 65536, 32768),0)/32768),0))</f>
        <v>CN</v>
      </c>
      <c r="AD753" s="72" t="str">
        <f ca="1">IFERROR(__xludf.DUMMYFUNCTION("if(V753&lt;15,QUERY(NPCVar!C:D,""Select D WHERE C = '""&amp;D753&amp;""'""),if((TRUNC(1+10)*(TRUNC(MOD((ROW(H753)*1103515245 +12345)/ 65536, 32768),0)/32768)/10) &gt; 0.85,INDEX(NPCFaction,TRUNC(1+(counta(NPCFaction)-1)*(TRUNC(MOD(($B753*1103515245 +12345)/ 65536, 3276"&amp;"8),0)/32768),0)),QUERY(NPCVar!C:D,""Select D WHERE C = '""&amp;D753&amp;""'"")))"),"Death Guild")</f>
        <v>Death Guild</v>
      </c>
      <c r="AE753" s="108" t="e">
        <f t="shared" ca="1" si="42"/>
        <v>#NAME?</v>
      </c>
      <c r="AF753" s="159">
        <f ca="1">IFERROR(__xludf.DUMMYFUNCTION("AE753*(V753 / QUERY(NPCVar!$K$2:$N$12, ""Select N WHERE K='""&amp;AB753&amp;""'""))*TRUNC(1+10)*(TRUNC(MOD(($B753*1103515245 +12345)/ 65536, 32768),0)/32768)"),0.00114387512207031)</f>
        <v>1.1438751220703099E-3</v>
      </c>
      <c r="AG753" s="16"/>
      <c r="AH753" s="77"/>
      <c r="AI753" s="114"/>
    </row>
    <row r="754" spans="1:35" ht="16.2">
      <c r="A754" s="53">
        <v>753</v>
      </c>
      <c r="B754" s="118">
        <f t="shared" si="48"/>
        <v>1.5750900000000001</v>
      </c>
      <c r="C754" s="72" t="str">
        <f t="array" ref="C754">INDEX(NPCFName,TRUNC(1+(COUNTA(NPCFName))*(TRUNC(MOD(($B754*1103515245 +12345)/ 65536, 32768),0)/32768),0))</f>
        <v>Ingel</v>
      </c>
      <c r="D754" s="16" t="str">
        <f t="array" ref="D754">INDEX(NPCLName,TRUNC(1+(COUNTA(NPCLName))*(TRUNC(MOD(($B754*1103515245 +12345)/ 65536, 32768),0)/32768),0))</f>
        <v>Deepcrest</v>
      </c>
      <c r="E754" s="16" t="str">
        <f t="array" ref="E754">INDEX(NPCClass,TRUNC(1+(COUNTA(NPCClass))*(TRUNC(MOD(($B754*1103515245 +12345)/ 65536, 32768),0)/32768),0))</f>
        <v>Cleric</v>
      </c>
      <c r="F754" s="76">
        <v>8</v>
      </c>
      <c r="G754" s="153">
        <f ca="1">VLOOKUP($AB$2,'RF Mod'!$A$2:$G$12,2,FALSE)+VLOOKUP($AD$2,'RF Mod'!$I$2:$O$11,2,FALSE)+(TRUNC(6+(24-6)*(TRUNC(MOD(($Z754*1103515245 +12345)/ 65536, 32768),0)/32768),0))</f>
        <v>11</v>
      </c>
      <c r="H754" s="16" t="e">
        <f t="shared" ca="1" si="33"/>
        <v>#NAME?</v>
      </c>
      <c r="I754" s="153">
        <f ca="1">VLOOKUP($AB$2,'RF Mod'!$A$2:$G$12,3,FALSE)+VLOOKUP($AD$2,'RF Mod'!$I$2:$O$11,3,FALSE)+(TRUNC(6+(24-6)*(TRUNC(MOD(($Z754*1103515245 +12345)/ 65536, 32768),0)/32768),0))</f>
        <v>15</v>
      </c>
      <c r="J754" s="16" t="e">
        <f t="shared" ca="1" si="34"/>
        <v>#NAME?</v>
      </c>
      <c r="K754" s="153">
        <f ca="1">VLOOKUP($AB$2,'RF Mod'!$A$2:$G$12,3,FALSE)+VLOOKUP($AD$2,'RF Mod'!$I$2:$O$11,3,FALSE)+(TRUNC(6+(24-6)*(TRUNC(MOD(($Z754*1103515245 +12345)/ 65536, 32768),0)/32768),0))</f>
        <v>15</v>
      </c>
      <c r="L754" s="16" t="e">
        <f t="shared" ca="1" si="35"/>
        <v>#NAME?</v>
      </c>
      <c r="M754" s="153">
        <f ca="1">VLOOKUP($AB$2,'RF Mod'!$A$2:$G$12,4,FALSE)+VLOOKUP($AD$2,'RF Mod'!$I$2:$O$11,4,FALSE)+(TRUNC(6+(24-6)*(TRUNC(MOD(($Z754*1103515245 +12345)/ 65536, 32768),0)/32768),0))</f>
        <v>14</v>
      </c>
      <c r="N754" s="16" t="e">
        <f t="shared" ca="1" si="36"/>
        <v>#NAME?</v>
      </c>
      <c r="O754" s="153">
        <f ca="1">VLOOKUP($AB$2,'RF Mod'!$A$2:$G$12,5,FALSE)+VLOOKUP($AD$2,'RF Mod'!$I$2:$O$11,5,FALSE)+(TRUNC(6+(24-6)*(TRUNC(MOD(($Z754*1103515245 +12345)/ 65536, 32768),0)/32768),0))</f>
        <v>17</v>
      </c>
      <c r="P754" s="16" t="e">
        <f t="shared" ca="1" si="37"/>
        <v>#NAME?</v>
      </c>
      <c r="Q754" s="153">
        <f ca="1">VLOOKUP($AB$2,'RF Mod'!$A$2:$G$12,6,FALSE)+VLOOKUP($AD$2,'RF Mod'!$I$2:$O$11,6,FALSE)+(TRUNC(6+(24-6)*(TRUNC(MOD(($Z754*1103515245 +12345)/ 65536, 32768),0)/32768),0))</f>
        <v>15</v>
      </c>
      <c r="R754" s="16" t="e">
        <f t="shared" ca="1" si="38"/>
        <v>#NAME?</v>
      </c>
      <c r="S754" s="154">
        <f t="shared" ca="1" si="43"/>
        <v>168</v>
      </c>
      <c r="T754" s="154">
        <f t="shared" ca="1" si="39"/>
        <v>20</v>
      </c>
      <c r="U754" s="16" t="str">
        <f t="shared" ca="1" si="40"/>
        <v>Fine</v>
      </c>
      <c r="V754" s="155">
        <f ca="1">IFERROR(__xludf.DUMMYFUNCTION("if(W754=""Middle Age"",QUERY(NPCVar!$K$2:$N1000, ""Select L where K = '""&amp;AB754&amp;""'""),if(W754=""Old"",QUERY(NPCVar!$K$2:$N1000, ""Select M where K = '""&amp;AB754&amp;""'""),if(W754=""Venerable"",QUERY(NPCVar!$K$2:$N1000, ""Select N where K = '""&amp;AB754&amp;""'""),fa"&amp;"lse)))*X754"),50)</f>
        <v>50</v>
      </c>
      <c r="W754" s="156" t="str">
        <f t="array" ref="W754">INDEX(NPCAgeType,TRUNC(1+(4-1)*(TRUNC(MOD((X754*1103515245 +12345)/ 65536, 32768),0)/32768),0))</f>
        <v>Middle Age</v>
      </c>
      <c r="X754" s="117">
        <f t="shared" si="45"/>
        <v>2</v>
      </c>
      <c r="Y754" s="157" t="e">
        <f t="array" aca="1" ref="Y754" ca="1">LOOKUP(ABS(MAX(Z754 + MIN(ABS(INDIRECT("Class Jobs!B"&amp;MATCH(E754,'Class Jobs'!$A$1:$A1000,0)&amp;":"&amp;"AF"&amp;MATCH(E754,'Class Jobs'!$A$1:$A1000,0)&amp;"")-$Z754)) * SUM(IF(MIN(ABS(INDIRECT("Class Jobs!B"&amp;MATCH(E754,'Class Jobs'!$A$1:$A1000,0)&amp;":"&amp;"AF"&amp;MATCH(E754,'Class Jobs'!$A$1:$A1000,0)&amp;"")-$Z754))=ABS(INDIRECT("Class Jobs!B"&amp;MATCH(E754,'Class Jobs'!$A$1:$A1000,0)&amp;":"&amp;"AF"&amp;MATCH(E754,'Class Jobs'!$A$1:$A1000,0)&amp;"")-$Z754),SIGN(INDIRECT("Class Jobs!B"&amp;MATCH(E754,'Class Jobs'!$A$1:A1000,0)&amp;":"&amp;"AF"&amp;MATCH(E754,'Class Jobs'!$A$1:$A1000,0)&amp;"")-$Z754),0)),0)),INDIRECT("Class Jobs!B"&amp;MATCH(E754,'Class Jobs'!$A$1:$A1000,0)&amp;":"&amp;"AF"&amp;MATCH(E754,'Class Jobs'!$A$1:$A1000,1)&amp;""),'Class Jobs'!$B$1:$AF$1)</f>
        <v>#REF!</v>
      </c>
      <c r="Z754" s="158">
        <f t="shared" si="41"/>
        <v>0.81</v>
      </c>
      <c r="AA754" s="16" t="str">
        <f t="array" ref="AA754">INDEX(NPCGender,TRUNC(1+(COUNTA(NPCGender))*(TRUNC(MOD(($B754*1103515245 +12345)/ 65536, 32768),0)/32768),0))</f>
        <v>Neutral</v>
      </c>
      <c r="AB754" s="16" t="str">
        <f t="array" ref="AB754">INDEX(NPCRace,TRUNC(1+(COUNTA(NPCRace))*(TRUNC(MOD(($B754*1103515245 +12345)/ 65536, 32768),0)/32768),0))</f>
        <v>Tiefling</v>
      </c>
      <c r="AC754" s="16" t="str">
        <f t="array" ref="AC754">INDEX(NPCAL,TRUNC(1+(COUNTA(NPCAL))*(TRUNC(MOD(($B754*1103515245 +12345)/ 65536, 32768),0)/32768),0))</f>
        <v>LN</v>
      </c>
      <c r="AD754" s="72" t="str">
        <f ca="1">IFERROR(__xludf.DUMMYFUNCTION("if(V754&lt;15,QUERY(NPCVar!C:D,""Select D WHERE C = '""&amp;D754&amp;""'""),if((TRUNC(1+10)*(TRUNC(MOD((ROW(H754)*1103515245 +12345)/ 65536, 32768),0)/32768)/10) &gt; 0.85,INDEX(NPCFaction,TRUNC(1+(counta(NPCFaction)-1)*(TRUNC(MOD(($B754*1103515245 +12345)/ 65536, 3276"&amp;"8),0)/32768),0)),QUERY(NPCVar!C:D,""Select D WHERE C = '""&amp;D754&amp;""'"")))"),"Adventures Guild")</f>
        <v>Adventures Guild</v>
      </c>
      <c r="AE754" s="108" t="e">
        <f t="shared" ca="1" si="42"/>
        <v>#NAME?</v>
      </c>
      <c r="AF754" s="159">
        <f ca="1">IFERROR(__xludf.DUMMYFUNCTION("AE754*(V754 / QUERY(NPCVar!$K$2:$N$12, ""Select N WHERE K='""&amp;AB754&amp;""'""))*TRUNC(1+10)*(TRUNC(MOD(($B754*1103515245 +12345)/ 65536, 32768),0)/32768)"),4.45162963867187)</f>
        <v>4.4516296386718697</v>
      </c>
      <c r="AG754" s="16"/>
      <c r="AH754" s="77"/>
      <c r="AI754" s="114"/>
    </row>
    <row r="755" spans="1:35" ht="16.2">
      <c r="A755" s="53">
        <v>754</v>
      </c>
      <c r="B755" s="118">
        <f t="shared" si="48"/>
        <v>0.56923000000000001</v>
      </c>
      <c r="C755" s="72" t="str">
        <f t="array" ref="C755">INDEX(NPCFName,TRUNC(1+(COUNTA(NPCFName))*(TRUNC(MOD(($B755*1103515245 +12345)/ 65536, 32768),0)/32768),0))</f>
        <v>Tyden</v>
      </c>
      <c r="D755" s="16" t="str">
        <f t="array" ref="D755">INDEX(NPCLName,TRUNC(1+(COUNTA(NPCLName))*(TRUNC(MOD(($B755*1103515245 +12345)/ 65536, 32768),0)/32768),0))</f>
        <v>Commonscream</v>
      </c>
      <c r="E755" s="16" t="str">
        <f t="array" ref="E755">INDEX(NPCClass,TRUNC(1+(COUNTA(NPCClass))*(TRUNC(MOD(($B755*1103515245 +12345)/ 65536, 32768),0)/32768),0))</f>
        <v>Monk</v>
      </c>
      <c r="F755" s="76">
        <v>1</v>
      </c>
      <c r="G755" s="153">
        <f ca="1">VLOOKUP($AB$2,'RF Mod'!$A$2:$G$12,2,FALSE)+VLOOKUP($AD$2,'RF Mod'!$I$2:$O$11,2,FALSE)+(TRUNC(6+(24-6)*(TRUNC(MOD(($Z755*1103515245 +12345)/ 65536, 32768),0)/32768),0))</f>
        <v>6</v>
      </c>
      <c r="H755" s="16">
        <f t="shared" ca="1" si="33"/>
        <v>-2</v>
      </c>
      <c r="I755" s="153">
        <f ca="1">VLOOKUP($AB$2,'RF Mod'!$A$2:$G$12,3,FALSE)+VLOOKUP($AD$2,'RF Mod'!$I$2:$O$11,3,FALSE)+(TRUNC(6+(24-6)*(TRUNC(MOD(($Z755*1103515245 +12345)/ 65536, 32768),0)/32768),0))</f>
        <v>10</v>
      </c>
      <c r="J755" s="16" t="e">
        <f t="shared" ca="1" si="34"/>
        <v>#NAME?</v>
      </c>
      <c r="K755" s="153">
        <f ca="1">VLOOKUP($AB$2,'RF Mod'!$A$2:$G$12,3,FALSE)+VLOOKUP($AD$2,'RF Mod'!$I$2:$O$11,3,FALSE)+(TRUNC(6+(24-6)*(TRUNC(MOD(($Z755*1103515245 +12345)/ 65536, 32768),0)/32768),0))</f>
        <v>10</v>
      </c>
      <c r="L755" s="16" t="e">
        <f t="shared" ca="1" si="35"/>
        <v>#NAME?</v>
      </c>
      <c r="M755" s="153">
        <f ca="1">VLOOKUP($AB$2,'RF Mod'!$A$2:$G$12,4,FALSE)+VLOOKUP($AD$2,'RF Mod'!$I$2:$O$11,4,FALSE)+(TRUNC(6+(24-6)*(TRUNC(MOD(($Z755*1103515245 +12345)/ 65536, 32768),0)/32768),0))</f>
        <v>9</v>
      </c>
      <c r="N755" s="16">
        <f t="shared" ca="1" si="36"/>
        <v>-1</v>
      </c>
      <c r="O755" s="153">
        <f ca="1">VLOOKUP($AB$2,'RF Mod'!$A$2:$G$12,5,FALSE)+VLOOKUP($AD$2,'RF Mod'!$I$2:$O$11,5,FALSE)+(TRUNC(6+(24-6)*(TRUNC(MOD(($Z755*1103515245 +12345)/ 65536, 32768),0)/32768),0))</f>
        <v>12</v>
      </c>
      <c r="P755" s="16" t="e">
        <f t="shared" ca="1" si="37"/>
        <v>#NAME?</v>
      </c>
      <c r="Q755" s="153">
        <f ca="1">VLOOKUP($AB$2,'RF Mod'!$A$2:$G$12,6,FALSE)+VLOOKUP($AD$2,'RF Mod'!$I$2:$O$11,6,FALSE)+(TRUNC(6+(24-6)*(TRUNC(MOD(($Z755*1103515245 +12345)/ 65536, 32768),0)/32768),0))</f>
        <v>10</v>
      </c>
      <c r="R755" s="16" t="e">
        <f t="shared" ca="1" si="38"/>
        <v>#NAME?</v>
      </c>
      <c r="S755" s="154">
        <f t="shared" ca="1" si="43"/>
        <v>14</v>
      </c>
      <c r="T755" s="154">
        <f t="shared" ca="1" si="39"/>
        <v>7</v>
      </c>
      <c r="U755" s="16" t="str">
        <f t="shared" ca="1" si="40"/>
        <v>Fine</v>
      </c>
      <c r="V755" s="155">
        <f ca="1">IFERROR(__xludf.DUMMYFUNCTION("if(W755=""Middle Age"",QUERY(NPCVar!$K$2:$N1000, ""Select L where K = '""&amp;AB755&amp;""'""),if(W755=""Old"",QUERY(NPCVar!$K$2:$N1000, ""Select M where K = '""&amp;AB755&amp;""'""),if(W755=""Venerable"",QUERY(NPCVar!$K$2:$N1000, ""Select N where K = '""&amp;AB755&amp;""'""),fa"&amp;"lse)))*X755"),135)</f>
        <v>135</v>
      </c>
      <c r="W755" s="156" t="str">
        <f t="array" ref="W755">INDEX(NPCAgeType,TRUNC(1+(4-1)*(TRUNC(MOD((X755*1103515245 +12345)/ 65536, 32768),0)/32768),0))</f>
        <v>Old</v>
      </c>
      <c r="X755" s="117">
        <f t="shared" si="45"/>
        <v>0.8</v>
      </c>
      <c r="Y755" s="157" t="e">
        <f t="array" aca="1" ref="Y755" ca="1">LOOKUP(ABS(MAX(Z755 + MIN(ABS(INDIRECT("Class Jobs!B"&amp;MATCH(E755,'Class Jobs'!$A$1:$A1000,0)&amp;":"&amp;"AF"&amp;MATCH(E755,'Class Jobs'!$A$1:$A1000,0)&amp;"")-$Z755)) * SUM(IF(MIN(ABS(INDIRECT("Class Jobs!B"&amp;MATCH(E755,'Class Jobs'!$A$1:$A1000,0)&amp;":"&amp;"AF"&amp;MATCH(E755,'Class Jobs'!$A$1:$A1000,0)&amp;"")-$Z755))=ABS(INDIRECT("Class Jobs!B"&amp;MATCH(E755,'Class Jobs'!$A$1:$A1000,0)&amp;":"&amp;"AF"&amp;MATCH(E755,'Class Jobs'!$A$1:$A1000,0)&amp;"")-$Z755),SIGN(INDIRECT("Class Jobs!B"&amp;MATCH(E755,'Class Jobs'!$A$1:A1000,0)&amp;":"&amp;"AF"&amp;MATCH(E755,'Class Jobs'!$A$1:$A1000,0)&amp;"")-$Z755),0)),0)),INDIRECT("Class Jobs!B"&amp;MATCH(E755,'Class Jobs'!$A$1:$A1000,0)&amp;":"&amp;"AF"&amp;MATCH(E755,'Class Jobs'!$A$1:$A1000,1)&amp;""),'Class Jobs'!$B$1:$AF$1)</f>
        <v>#REF!</v>
      </c>
      <c r="Z755" s="158">
        <f t="shared" si="41"/>
        <v>0.28999999999999998</v>
      </c>
      <c r="AA755" s="16" t="str">
        <f t="array" ref="AA755">INDEX(NPCGender,TRUNC(1+(COUNTA(NPCGender))*(TRUNC(MOD(($B755*1103515245 +12345)/ 65536, 32768),0)/32768),0))</f>
        <v>Male</v>
      </c>
      <c r="AB755" s="16" t="str">
        <f t="array" ref="AB755">INDEX(NPCRace,TRUNC(1+(COUNTA(NPCRace))*(TRUNC(MOD(($B755*1103515245 +12345)/ 65536, 32768),0)/32768),0))</f>
        <v>Gnome</v>
      </c>
      <c r="AC755" s="16" t="str">
        <f t="array" ref="AC755">INDEX(NPCAL,TRUNC(1+(COUNTA(NPCAL))*(TRUNC(MOD(($B755*1103515245 +12345)/ 65536, 32768),0)/32768),0))</f>
        <v>CG</v>
      </c>
      <c r="AD755" s="72" t="str">
        <f ca="1">IFERROR(__xludf.DUMMYFUNCTION("if(V755&lt;15,QUERY(NPCVar!C:D,""Select D WHERE C = '""&amp;D755&amp;""'""),if((TRUNC(1+10)*(TRUNC(MOD((ROW(H755)*1103515245 +12345)/ 65536, 32768),0)/32768)/10) &gt; 0.85,INDEX(NPCFaction,TRUNC(1+(counta(NPCFaction)-1)*(TRUNC(MOD(($B755*1103515245 +12345)/ 65536, 3276"&amp;"8),0)/32768),0)),QUERY(NPCVar!C:D,""Select D WHERE C = '""&amp;D755&amp;""'"")))"),"Traders Guild")</f>
        <v>Traders Guild</v>
      </c>
      <c r="AE755" s="108" t="e">
        <f t="shared" ca="1" si="42"/>
        <v>#NAME?</v>
      </c>
      <c r="AF755" s="159">
        <f ca="1">IFERROR(__xludf.DUMMYFUNCTION("AE755*(V755 / QUERY(NPCVar!$K$2:$N$12, ""Select N WHERE K='""&amp;AB755&amp;""'""))*TRUNC(1+10)*(TRUNC(MOD(($B755*1103515245 +12345)/ 65536, 32768),0)/32768)"),0.289585876464843)</f>
        <v>0.28958587646484302</v>
      </c>
      <c r="AG755" s="16"/>
      <c r="AH755" s="77"/>
      <c r="AI755" s="114"/>
    </row>
    <row r="756" spans="1:35" ht="16.2">
      <c r="A756" s="53">
        <v>755</v>
      </c>
      <c r="B756" s="118">
        <f t="shared" si="48"/>
        <v>2.0633699999999999</v>
      </c>
      <c r="C756" s="72" t="str">
        <f t="array" ref="C756">INDEX(NPCFName,TRUNC(1+(COUNTA(NPCFName))*(TRUNC(MOD(($B756*1103515245 +12345)/ 65536, 32768),0)/32768),0))</f>
        <v>Cydare</v>
      </c>
      <c r="D756" s="16" t="str">
        <f t="array" ref="D756">INDEX(NPCLName,TRUNC(1+(COUNTA(NPCLName))*(TRUNC(MOD(($B756*1103515245 +12345)/ 65536, 32768),0)/32768),0))</f>
        <v>Crystalgazer</v>
      </c>
      <c r="E756" s="16" t="str">
        <f t="array" ref="E756">INDEX(NPCClass,TRUNC(1+(COUNTA(NPCClass))*(TRUNC(MOD(($B756*1103515245 +12345)/ 65536, 32768),0)/32768),0))</f>
        <v>Barbarian</v>
      </c>
      <c r="F756" s="76">
        <v>1</v>
      </c>
      <c r="G756" s="153">
        <f ca="1">VLOOKUP($AB$2,'RF Mod'!$A$2:$G$12,2,FALSE)+VLOOKUP($AD$2,'RF Mod'!$I$2:$O$11,2,FALSE)+(TRUNC(6+(24-6)*(TRUNC(MOD(($Z756*1103515245 +12345)/ 65536, 32768),0)/32768),0))</f>
        <v>4</v>
      </c>
      <c r="H756" s="16">
        <f t="shared" ca="1" si="33"/>
        <v>-3</v>
      </c>
      <c r="I756" s="153">
        <f ca="1">VLOOKUP($AB$2,'RF Mod'!$A$2:$G$12,3,FALSE)+VLOOKUP($AD$2,'RF Mod'!$I$2:$O$11,3,FALSE)+(TRUNC(6+(24-6)*(TRUNC(MOD(($Z756*1103515245 +12345)/ 65536, 32768),0)/32768),0))</f>
        <v>8</v>
      </c>
      <c r="J756" s="16">
        <f t="shared" ca="1" si="34"/>
        <v>-1</v>
      </c>
      <c r="K756" s="153">
        <f ca="1">VLOOKUP($AB$2,'RF Mod'!$A$2:$G$12,3,FALSE)+VLOOKUP($AD$2,'RF Mod'!$I$2:$O$11,3,FALSE)+(TRUNC(6+(24-6)*(TRUNC(MOD(($Z756*1103515245 +12345)/ 65536, 32768),0)/32768),0))</f>
        <v>8</v>
      </c>
      <c r="L756" s="16">
        <f t="shared" ca="1" si="35"/>
        <v>-1</v>
      </c>
      <c r="M756" s="153">
        <f ca="1">VLOOKUP($AB$2,'RF Mod'!$A$2:$G$12,4,FALSE)+VLOOKUP($AD$2,'RF Mod'!$I$2:$O$11,4,FALSE)+(TRUNC(6+(24-6)*(TRUNC(MOD(($Z756*1103515245 +12345)/ 65536, 32768),0)/32768),0))</f>
        <v>7</v>
      </c>
      <c r="N756" s="16">
        <f t="shared" ca="1" si="36"/>
        <v>-2</v>
      </c>
      <c r="O756" s="153">
        <f ca="1">VLOOKUP($AB$2,'RF Mod'!$A$2:$G$12,5,FALSE)+VLOOKUP($AD$2,'RF Mod'!$I$2:$O$11,5,FALSE)+(TRUNC(6+(24-6)*(TRUNC(MOD(($Z756*1103515245 +12345)/ 65536, 32768),0)/32768),0))</f>
        <v>10</v>
      </c>
      <c r="P756" s="16" t="e">
        <f t="shared" ca="1" si="37"/>
        <v>#NAME?</v>
      </c>
      <c r="Q756" s="153">
        <f ca="1">VLOOKUP($AB$2,'RF Mod'!$A$2:$G$12,6,FALSE)+VLOOKUP($AD$2,'RF Mod'!$I$2:$O$11,6,FALSE)+(TRUNC(6+(24-6)*(TRUNC(MOD(($Z756*1103515245 +12345)/ 65536, 32768),0)/32768),0))</f>
        <v>8</v>
      </c>
      <c r="R756" s="16">
        <f t="shared" ca="1" si="38"/>
        <v>-1</v>
      </c>
      <c r="S756" s="154">
        <f t="shared" ca="1" si="43"/>
        <v>10</v>
      </c>
      <c r="T756" s="154">
        <f t="shared" ca="1" si="39"/>
        <v>5</v>
      </c>
      <c r="U756" s="16" t="str">
        <f t="shared" ca="1" si="40"/>
        <v>Fine</v>
      </c>
      <c r="V756" s="155">
        <f ca="1">IFERROR(__xludf.DUMMYFUNCTION("if(W756=""Middle Age"",QUERY(NPCVar!$K$2:$N1000, ""Select L where K = '""&amp;AB756&amp;""'""),if(W756=""Old"",QUERY(NPCVar!$K$2:$N1000, ""Select M where K = '""&amp;AB756&amp;""'""),if(W756=""Venerable"",QUERY(NPCVar!$K$2:$N1000, ""Select N where K = '""&amp;AB756&amp;""'""),fa"&amp;"lse)))*X756"),4)</f>
        <v>4</v>
      </c>
      <c r="W756" s="156" t="str">
        <f t="array" ref="W756">INDEX(NPCAgeType,TRUNC(1+(4-1)*(TRUNC(MOD((X756*1103515245 +12345)/ 65536, 32768),0)/32768),0))</f>
        <v>Middle Age</v>
      </c>
      <c r="X756" s="117">
        <f t="shared" si="45"/>
        <v>0.2</v>
      </c>
      <c r="Y756" s="157" t="e">
        <f t="array" aca="1" ref="Y756" ca="1">LOOKUP(ABS(MAX(Z756 + MIN(ABS(INDIRECT("Class Jobs!B"&amp;MATCH(E756,'Class Jobs'!$A$1:$A1000,0)&amp;":"&amp;"AF"&amp;MATCH(E756,'Class Jobs'!$A$1:$A1000,0)&amp;"")-$Z756)) * SUM(IF(MIN(ABS(INDIRECT("Class Jobs!B"&amp;MATCH(E756,'Class Jobs'!$A$1:$A1000,0)&amp;":"&amp;"AF"&amp;MATCH(E756,'Class Jobs'!$A$1:$A1000,0)&amp;"")-$Z756))=ABS(INDIRECT("Class Jobs!B"&amp;MATCH(E756,'Class Jobs'!$A$1:$A1000,0)&amp;":"&amp;"AF"&amp;MATCH(E756,'Class Jobs'!$A$1:$A1000,0)&amp;"")-$Z756),SIGN(INDIRECT("Class Jobs!B"&amp;MATCH(E756,'Class Jobs'!$A$1:A1000,0)&amp;":"&amp;"AF"&amp;MATCH(E756,'Class Jobs'!$A$1:$A1000,0)&amp;"")-$Z756),0)),0)),INDIRECT("Class Jobs!B"&amp;MATCH(E756,'Class Jobs'!$A$1:$A1000,0)&amp;":"&amp;"AF"&amp;MATCH(E756,'Class Jobs'!$A$1:$A1000,1)&amp;""),'Class Jobs'!$B$1:$AF$1)</f>
        <v>#REF!</v>
      </c>
      <c r="Z756" s="158">
        <f t="shared" si="41"/>
        <v>0.06</v>
      </c>
      <c r="AA756" s="16" t="str">
        <f t="array" ref="AA756">INDEX(NPCGender,TRUNC(1+(COUNTA(NPCGender))*(TRUNC(MOD(($B756*1103515245 +12345)/ 65536, 32768),0)/32768),0))</f>
        <v>Male</v>
      </c>
      <c r="AB756" s="16" t="str">
        <f t="array" ref="AB756">INDEX(NPCRace,TRUNC(1+(COUNTA(NPCRace))*(TRUNC(MOD(($B756*1103515245 +12345)/ 65536, 32768),0)/32768),0))</f>
        <v>Dragonborn</v>
      </c>
      <c r="AC756" s="16" t="str">
        <f t="array" ref="AC756">INDEX(NPCAL,TRUNC(1+(COUNTA(NPCAL))*(TRUNC(MOD(($B756*1103515245 +12345)/ 65536, 32768),0)/32768),0))</f>
        <v>CN</v>
      </c>
      <c r="AD756" s="72" t="str">
        <f ca="1">IFERROR(__xludf.DUMMYFUNCTION("if(V756&lt;15,QUERY(NPCVar!C:D,""Select D WHERE C = '""&amp;D756&amp;""'""),if((TRUNC(1+10)*(TRUNC(MOD((ROW(H756)*1103515245 +12345)/ 65536, 32768),0)/32768)/10) &gt; 0.85,INDEX(NPCFaction,TRUNC(1+(counta(NPCFaction)-1)*(TRUNC(MOD(($B756*1103515245 +12345)/ 65536, 3276"&amp;"8),0)/32768),0)),QUERY(NPCVar!C:D,""Select D WHERE C = '""&amp;D756&amp;""'"")))"),"Death Guild")</f>
        <v>Death Guild</v>
      </c>
      <c r="AE756" s="108" t="e">
        <f t="shared" ca="1" si="42"/>
        <v>#NAME?</v>
      </c>
      <c r="AF756" s="159">
        <f ca="1">IFERROR(__xludf.DUMMYFUNCTION("AE756*(V756 / QUERY(NPCVar!$K$2:$N$12, ""Select N WHERE K='""&amp;AB756&amp;""'""))*TRUNC(1+10)*(TRUNC(MOD(($B756*1103515245 +12345)/ 65536, 32768),0)/32768)"),0.0198898315429687)</f>
        <v>1.9889831542968701E-2</v>
      </c>
      <c r="AG756" s="16"/>
      <c r="AH756" s="77"/>
      <c r="AI756" s="114"/>
    </row>
    <row r="757" spans="1:35" ht="16.2">
      <c r="A757" s="53">
        <v>756</v>
      </c>
      <c r="B757" s="118">
        <f t="shared" si="48"/>
        <v>1.05751</v>
      </c>
      <c r="C757" s="72" t="str">
        <f t="array" ref="C757">INDEX(NPCFName,TRUNC(1+(COUNTA(NPCFName))*(TRUNC(MOD(($B757*1103515245 +12345)/ 65536, 32768),0)/32768),0))</f>
        <v>Nuwolf</v>
      </c>
      <c r="D757" s="16" t="str">
        <f t="array" ref="D757">INDEX(NPCLName,TRUNC(1+(COUNTA(NPCLName))*(TRUNC(MOD(($B757*1103515245 +12345)/ 65536, 32768),0)/32768),0))</f>
        <v>Plainspirit</v>
      </c>
      <c r="E757" s="16" t="str">
        <f t="array" ref="E757">INDEX(NPCClass,TRUNC(1+(COUNTA(NPCClass))*(TRUNC(MOD(($B757*1103515245 +12345)/ 65536, 32768),0)/32768),0))</f>
        <v>Sorcerer</v>
      </c>
      <c r="F757" s="76">
        <v>8</v>
      </c>
      <c r="G757" s="153">
        <f ca="1">VLOOKUP($AB$2,'RF Mod'!$A$2:$G$12,2,FALSE)+VLOOKUP($AD$2,'RF Mod'!$I$2:$O$11,2,FALSE)+(TRUNC(6+(24-6)*(TRUNC(MOD(($Z757*1103515245 +12345)/ 65536, 32768),0)/32768),0))</f>
        <v>8</v>
      </c>
      <c r="H757" s="16">
        <f t="shared" ca="1" si="33"/>
        <v>-1</v>
      </c>
      <c r="I757" s="153">
        <f ca="1">VLOOKUP($AB$2,'RF Mod'!$A$2:$G$12,3,FALSE)+VLOOKUP($AD$2,'RF Mod'!$I$2:$O$11,3,FALSE)+(TRUNC(6+(24-6)*(TRUNC(MOD(($Z757*1103515245 +12345)/ 65536, 32768),0)/32768),0))</f>
        <v>12</v>
      </c>
      <c r="J757" s="16" t="e">
        <f t="shared" ca="1" si="34"/>
        <v>#NAME?</v>
      </c>
      <c r="K757" s="153">
        <f ca="1">VLOOKUP($AB$2,'RF Mod'!$A$2:$G$12,3,FALSE)+VLOOKUP($AD$2,'RF Mod'!$I$2:$O$11,3,FALSE)+(TRUNC(6+(24-6)*(TRUNC(MOD(($Z757*1103515245 +12345)/ 65536, 32768),0)/32768),0))</f>
        <v>12</v>
      </c>
      <c r="L757" s="16" t="e">
        <f t="shared" ca="1" si="35"/>
        <v>#NAME?</v>
      </c>
      <c r="M757" s="153">
        <f ca="1">VLOOKUP($AB$2,'RF Mod'!$A$2:$G$12,4,FALSE)+VLOOKUP($AD$2,'RF Mod'!$I$2:$O$11,4,FALSE)+(TRUNC(6+(24-6)*(TRUNC(MOD(($Z757*1103515245 +12345)/ 65536, 32768),0)/32768),0))</f>
        <v>11</v>
      </c>
      <c r="N757" s="16" t="e">
        <f t="shared" ca="1" si="36"/>
        <v>#NAME?</v>
      </c>
      <c r="O757" s="153">
        <f ca="1">VLOOKUP($AB$2,'RF Mod'!$A$2:$G$12,5,FALSE)+VLOOKUP($AD$2,'RF Mod'!$I$2:$O$11,5,FALSE)+(TRUNC(6+(24-6)*(TRUNC(MOD(($Z757*1103515245 +12345)/ 65536, 32768),0)/32768),0))</f>
        <v>14</v>
      </c>
      <c r="P757" s="16" t="e">
        <f t="shared" ca="1" si="37"/>
        <v>#NAME?</v>
      </c>
      <c r="Q757" s="153">
        <f ca="1">VLOOKUP($AB$2,'RF Mod'!$A$2:$G$12,6,FALSE)+VLOOKUP($AD$2,'RF Mod'!$I$2:$O$11,6,FALSE)+(TRUNC(6+(24-6)*(TRUNC(MOD(($Z757*1103515245 +12345)/ 65536, 32768),0)/32768),0))</f>
        <v>12</v>
      </c>
      <c r="R757" s="16" t="e">
        <f t="shared" ca="1" si="38"/>
        <v>#NAME?</v>
      </c>
      <c r="S757" s="154">
        <f t="shared" ca="1" si="43"/>
        <v>192</v>
      </c>
      <c r="T757" s="154">
        <f t="shared" ca="1" si="39"/>
        <v>53</v>
      </c>
      <c r="U757" s="16" t="str">
        <f t="shared" ca="1" si="40"/>
        <v>Fine</v>
      </c>
      <c r="V757" s="155">
        <f ca="1">IFERROR(__xludf.DUMMYFUNCTION("if(W757=""Middle Age"",QUERY(NPCVar!$K$2:$N1000, ""Select L where K = '""&amp;AB757&amp;""'""),if(W757=""Old"",QUERY(NPCVar!$K$2:$N1000, ""Select M where K = '""&amp;AB757&amp;""'""),if(W757=""Venerable"",QUERY(NPCVar!$K$2:$N1000, ""Select N where K = '""&amp;AB757&amp;""'""),fa"&amp;"lse)))*X757"),98)</f>
        <v>98</v>
      </c>
      <c r="W757" s="156" t="str">
        <f t="array" ref="W757">INDEX(NPCAgeType,TRUNC(1+(4-1)*(TRUNC(MOD((X757*1103515245 +12345)/ 65536, 32768),0)/32768),0))</f>
        <v>Venerable</v>
      </c>
      <c r="X757" s="117">
        <f t="shared" si="45"/>
        <v>1.4</v>
      </c>
      <c r="Y757" s="157" t="e">
        <f t="array" aca="1" ref="Y757" ca="1">LOOKUP(ABS(MAX(Z757 + MIN(ABS(INDIRECT("Class Jobs!B"&amp;MATCH(E757,'Class Jobs'!$A$1:$A1000,0)&amp;":"&amp;"AF"&amp;MATCH(E757,'Class Jobs'!$A$1:$A1000,0)&amp;"")-$Z757)) * SUM(IF(MIN(ABS(INDIRECT("Class Jobs!B"&amp;MATCH(E757,'Class Jobs'!$A$1:$A1000,0)&amp;":"&amp;"AF"&amp;MATCH(E757,'Class Jobs'!$A$1:$A1000,0)&amp;"")-$Z757))=ABS(INDIRECT("Class Jobs!B"&amp;MATCH(E757,'Class Jobs'!$A$1:$A1000,0)&amp;":"&amp;"AF"&amp;MATCH(E757,'Class Jobs'!$A$1:$A1000,0)&amp;"")-$Z757),SIGN(INDIRECT("Class Jobs!B"&amp;MATCH(E757,'Class Jobs'!$A$1:A1000,0)&amp;":"&amp;"AF"&amp;MATCH(E757,'Class Jobs'!$A$1:$A1000,0)&amp;"")-$Z757),0)),0)),INDIRECT("Class Jobs!B"&amp;MATCH(E757,'Class Jobs'!$A$1:$A1000,0)&amp;":"&amp;"AF"&amp;MATCH(E757,'Class Jobs'!$A$1:$A1000,1)&amp;""),'Class Jobs'!$B$1:$AF$1)</f>
        <v>#REF!</v>
      </c>
      <c r="Z757" s="158">
        <f t="shared" si="41"/>
        <v>0.54</v>
      </c>
      <c r="AA757" s="16" t="str">
        <f t="array" ref="AA757">INDEX(NPCGender,TRUNC(1+(COUNTA(NPCGender))*(TRUNC(MOD(($B757*1103515245 +12345)/ 65536, 32768),0)/32768),0))</f>
        <v>Female</v>
      </c>
      <c r="AB757" s="16" t="str">
        <f t="array" ref="AB757">INDEX(NPCRace,TRUNC(1+(COUNTA(NPCRace))*(TRUNC(MOD(($B757*1103515245 +12345)/ 65536, 32768),0)/32768),0))</f>
        <v>Half-Orc</v>
      </c>
      <c r="AC757" s="16" t="str">
        <f t="array" ref="AC757">INDEX(NPCAL,TRUNC(1+(COUNTA(NPCAL))*(TRUNC(MOD(($B757*1103515245 +12345)/ 65536, 32768),0)/32768),0))</f>
        <v>NN</v>
      </c>
      <c r="AD757" s="72" t="str">
        <f ca="1">IFERROR(__xludf.DUMMYFUNCTION("if(V757&lt;15,QUERY(NPCVar!C:D,""Select D WHERE C = '""&amp;D757&amp;""'""),if((TRUNC(1+10)*(TRUNC(MOD((ROW(H757)*1103515245 +12345)/ 65536, 32768),0)/32768)/10) &gt; 0.85,INDEX(NPCFaction,TRUNC(1+(counta(NPCFaction)-1)*(TRUNC(MOD(($B757*1103515245 +12345)/ 65536, 3276"&amp;"8),0)/32768),0)),QUERY(NPCVar!C:D,""Select D WHERE C = '""&amp;D757&amp;""'"")))"),"Thieves Guild")</f>
        <v>Thieves Guild</v>
      </c>
      <c r="AE757" s="108" t="e">
        <f t="shared" ca="1" si="42"/>
        <v>#NAME?</v>
      </c>
      <c r="AF757" s="159">
        <f ca="1">IFERROR(__xludf.DUMMYFUNCTION("AE757*(V757 / QUERY(NPCVar!$K$2:$N$12, ""Select N WHERE K='""&amp;AB757&amp;""'""))*TRUNC(1+10)*(TRUNC(MOD(($B757*1103515245 +12345)/ 65536, 32768),0)/32768)"),5.02097900390625)</f>
        <v>5.0209790039062501</v>
      </c>
      <c r="AG757" s="16"/>
      <c r="AH757" s="77"/>
      <c r="AI757" s="114"/>
    </row>
    <row r="758" spans="1:35" ht="16.2">
      <c r="A758" s="53">
        <v>757</v>
      </c>
      <c r="B758" s="118">
        <f t="shared" si="48"/>
        <v>5.1659999999999998E-2</v>
      </c>
      <c r="C758" s="72" t="str">
        <f t="array" ref="C758">INDEX(NPCFName,TRUNC(1+(COUNTA(NPCFName))*(TRUNC(MOD(($B758*1103515245 +12345)/ 65536, 32768),0)/32768),0))</f>
        <v>Basden</v>
      </c>
      <c r="D758" s="16" t="str">
        <f t="array" ref="D758">INDEX(NPCLName,TRUNC(1+(COUNTA(NPCLName))*(TRUNC(MOD(($B758*1103515245 +12345)/ 65536, 32768),0)/32768),0))</f>
        <v>Stagfang</v>
      </c>
      <c r="E758" s="16" t="str">
        <f t="array" ref="E758">INDEX(NPCClass,TRUNC(1+(COUNTA(NPCClass))*(TRUNC(MOD(($B758*1103515245 +12345)/ 65536, 32768),0)/32768),0))</f>
        <v>Barbarian</v>
      </c>
      <c r="F758" s="76">
        <v>1</v>
      </c>
      <c r="G758" s="153">
        <f ca="1">VLOOKUP($AB$2,'RF Mod'!$A$2:$G$12,2,FALSE)+VLOOKUP($AD$2,'RF Mod'!$I$2:$O$11,2,FALSE)+(TRUNC(6+(24-6)*(TRUNC(MOD(($Z758*1103515245 +12345)/ 65536, 32768),0)/32768),0))</f>
        <v>4</v>
      </c>
      <c r="H758" s="16">
        <f t="shared" ca="1" si="33"/>
        <v>-3</v>
      </c>
      <c r="I758" s="153">
        <f ca="1">VLOOKUP($AB$2,'RF Mod'!$A$2:$G$12,3,FALSE)+VLOOKUP($AD$2,'RF Mod'!$I$2:$O$11,3,FALSE)+(TRUNC(6+(24-6)*(TRUNC(MOD(($Z758*1103515245 +12345)/ 65536, 32768),0)/32768),0))</f>
        <v>8</v>
      </c>
      <c r="J758" s="16">
        <f t="shared" ca="1" si="34"/>
        <v>-1</v>
      </c>
      <c r="K758" s="153">
        <f ca="1">VLOOKUP($AB$2,'RF Mod'!$A$2:$G$12,3,FALSE)+VLOOKUP($AD$2,'RF Mod'!$I$2:$O$11,3,FALSE)+(TRUNC(6+(24-6)*(TRUNC(MOD(($Z758*1103515245 +12345)/ 65536, 32768),0)/32768),0))</f>
        <v>8</v>
      </c>
      <c r="L758" s="16">
        <f t="shared" ca="1" si="35"/>
        <v>-1</v>
      </c>
      <c r="M758" s="153">
        <f ca="1">VLOOKUP($AB$2,'RF Mod'!$A$2:$G$12,4,FALSE)+VLOOKUP($AD$2,'RF Mod'!$I$2:$O$11,4,FALSE)+(TRUNC(6+(24-6)*(TRUNC(MOD(($Z758*1103515245 +12345)/ 65536, 32768),0)/32768),0))</f>
        <v>7</v>
      </c>
      <c r="N758" s="16">
        <f t="shared" ca="1" si="36"/>
        <v>-2</v>
      </c>
      <c r="O758" s="153">
        <f ca="1">VLOOKUP($AB$2,'RF Mod'!$A$2:$G$12,5,FALSE)+VLOOKUP($AD$2,'RF Mod'!$I$2:$O$11,5,FALSE)+(TRUNC(6+(24-6)*(TRUNC(MOD(($Z758*1103515245 +12345)/ 65536, 32768),0)/32768),0))</f>
        <v>10</v>
      </c>
      <c r="P758" s="16" t="e">
        <f t="shared" ca="1" si="37"/>
        <v>#NAME?</v>
      </c>
      <c r="Q758" s="153">
        <f ca="1">VLOOKUP($AB$2,'RF Mod'!$A$2:$G$12,6,FALSE)+VLOOKUP($AD$2,'RF Mod'!$I$2:$O$11,6,FALSE)+(TRUNC(6+(24-6)*(TRUNC(MOD(($Z758*1103515245 +12345)/ 65536, 32768),0)/32768),0))</f>
        <v>8</v>
      </c>
      <c r="R758" s="16">
        <f t="shared" ca="1" si="38"/>
        <v>-1</v>
      </c>
      <c r="S758" s="154">
        <f t="shared" ca="1" si="43"/>
        <v>10</v>
      </c>
      <c r="T758" s="154">
        <f t="shared" ca="1" si="39"/>
        <v>1</v>
      </c>
      <c r="U758" s="16" t="str">
        <f t="shared" ca="1" si="40"/>
        <v>Fine</v>
      </c>
      <c r="V758" s="155">
        <f ca="1">IFERROR(__xludf.DUMMYFUNCTION("if(W758=""Middle Age"",QUERY(NPCVar!$K$2:$N1000, ""Select L where K = '""&amp;AB758&amp;""'""),if(W758=""Old"",QUERY(NPCVar!$K$2:$N1000, ""Select M where K = '""&amp;AB758&amp;""'""),if(W758=""Venerable"",QUERY(NPCVar!$K$2:$N1000, ""Select N where K = '""&amp;AB758&amp;""'""),fa"&amp;"lse)))*X758"),2)</f>
        <v>2</v>
      </c>
      <c r="W758" s="156" t="str">
        <f t="array" ref="W758">INDEX(NPCAgeType,TRUNC(1+(4-1)*(TRUNC(MOD((X758*1103515245 +12345)/ 65536, 32768),0)/32768),0))</f>
        <v>Middle Age</v>
      </c>
      <c r="X758" s="117">
        <f t="shared" si="45"/>
        <v>0.1</v>
      </c>
      <c r="Y758" s="157" t="e">
        <f t="array" aca="1" ref="Y758" ca="1">LOOKUP(ABS(MAX(Z758 + MIN(ABS(INDIRECT("Class Jobs!B"&amp;MATCH(E758,'Class Jobs'!$A$1:$A1000,0)&amp;":"&amp;"AF"&amp;MATCH(E758,'Class Jobs'!$A$1:$A1000,0)&amp;"")-$Z758)) * SUM(IF(MIN(ABS(INDIRECT("Class Jobs!B"&amp;MATCH(E758,'Class Jobs'!$A$1:$A1000,0)&amp;":"&amp;"AF"&amp;MATCH(E758,'Class Jobs'!$A$1:$A1000,0)&amp;"")-$Z758))=ABS(INDIRECT("Class Jobs!B"&amp;MATCH(E758,'Class Jobs'!$A$1:$A1000,0)&amp;":"&amp;"AF"&amp;MATCH(E758,'Class Jobs'!$A$1:$A1000,0)&amp;"")-$Z758),SIGN(INDIRECT("Class Jobs!B"&amp;MATCH(E758,'Class Jobs'!$A$1:A1000,0)&amp;":"&amp;"AF"&amp;MATCH(E758,'Class Jobs'!$A$1:$A1000,0)&amp;"")-$Z758),0)),0)),INDIRECT("Class Jobs!B"&amp;MATCH(E758,'Class Jobs'!$A$1:$A1000,0)&amp;":"&amp;"AF"&amp;MATCH(E758,'Class Jobs'!$A$1:$A1000,1)&amp;""),'Class Jobs'!$B$1:$AF$1)</f>
        <v>#REF!</v>
      </c>
      <c r="Z758" s="158">
        <f t="shared" si="41"/>
        <v>0.03</v>
      </c>
      <c r="AA758" s="16" t="str">
        <f t="array" ref="AA758">INDEX(NPCGender,TRUNC(1+(COUNTA(NPCGender))*(TRUNC(MOD(($B758*1103515245 +12345)/ 65536, 32768),0)/32768),0))</f>
        <v>Male</v>
      </c>
      <c r="AB758" s="16" t="str">
        <f t="array" ref="AB758">INDEX(NPCRace,TRUNC(1+(COUNTA(NPCRace))*(TRUNC(MOD(($B758*1103515245 +12345)/ 65536, 32768),0)/32768),0))</f>
        <v>Dragonborn</v>
      </c>
      <c r="AC758" s="16" t="str">
        <f t="array" ref="AC758">INDEX(NPCAL,TRUNC(1+(COUNTA(NPCAL))*(TRUNC(MOD(($B758*1103515245 +12345)/ 65536, 32768),0)/32768),0))</f>
        <v>CN</v>
      </c>
      <c r="AD758" s="72" t="str">
        <f ca="1">IFERROR(__xludf.DUMMYFUNCTION("if(V758&lt;15,QUERY(NPCVar!C:D,""Select D WHERE C = '""&amp;D758&amp;""'""),if((TRUNC(1+10)*(TRUNC(MOD((ROW(H758)*1103515245 +12345)/ 65536, 32768),0)/32768)/10) &gt; 0.85,INDEX(NPCFaction,TRUNC(1+(counta(NPCFaction)-1)*(TRUNC(MOD(($B758*1103515245 +12345)/ 65536, 3276"&amp;"8),0)/32768),0)),QUERY(NPCVar!C:D,""Select D WHERE C = '""&amp;D758&amp;""'"")))"),"Royalty")</f>
        <v>Royalty</v>
      </c>
      <c r="AE758" s="108" t="e">
        <f t="shared" ca="1" si="42"/>
        <v>#NAME?</v>
      </c>
      <c r="AF758" s="159">
        <f ca="1">IFERROR(__xludf.DUMMYFUNCTION("AE758*(V758 / QUERY(NPCVar!$K$2:$N$12, ""Select N WHERE K='""&amp;AB758&amp;""'""))*TRUNC(1+10)*(TRUNC(MOD(($B758*1103515245 +12345)/ 65536, 32768),0)/32768)"),0.00438079833984375)</f>
        <v>4.3807983398437503E-3</v>
      </c>
      <c r="AG758" s="16"/>
      <c r="AH758" s="77"/>
      <c r="AI758" s="114"/>
    </row>
    <row r="759" spans="1:35" ht="16.2">
      <c r="A759" s="53">
        <v>758</v>
      </c>
      <c r="B759" s="118">
        <f t="shared" si="48"/>
        <v>1.54579</v>
      </c>
      <c r="C759" s="72" t="str">
        <f t="array" ref="C759">INDEX(NPCFName,TRUNC(1+(COUNTA(NPCFName))*(TRUNC(MOD(($B759*1103515245 +12345)/ 65536, 32768),0)/32768),0))</f>
        <v>Gybrush</v>
      </c>
      <c r="D759" s="16" t="str">
        <f t="array" ref="D759">INDEX(NPCLName,TRUNC(1+(COUNTA(NPCLName))*(TRUNC(MOD(($B759*1103515245 +12345)/ 65536, 32768),0)/32768),0))</f>
        <v>Truthdoom</v>
      </c>
      <c r="E759" s="16" t="str">
        <f t="array" ref="E759">INDEX(NPCClass,TRUNC(1+(COUNTA(NPCClass))*(TRUNC(MOD(($B759*1103515245 +12345)/ 65536, 32768),0)/32768),0))</f>
        <v>Cleric</v>
      </c>
      <c r="F759" s="76">
        <v>8</v>
      </c>
      <c r="G759" s="153">
        <f ca="1">VLOOKUP($AB$2,'RF Mod'!$A$2:$G$12,2,FALSE)+VLOOKUP($AD$2,'RF Mod'!$I$2:$O$11,2,FALSE)+(TRUNC(6+(24-6)*(TRUNC(MOD(($Z759*1103515245 +12345)/ 65536, 32768),0)/32768),0))</f>
        <v>11</v>
      </c>
      <c r="H759" s="16" t="e">
        <f t="shared" ca="1" si="33"/>
        <v>#NAME?</v>
      </c>
      <c r="I759" s="153">
        <f ca="1">VLOOKUP($AB$2,'RF Mod'!$A$2:$G$12,3,FALSE)+VLOOKUP($AD$2,'RF Mod'!$I$2:$O$11,3,FALSE)+(TRUNC(6+(24-6)*(TRUNC(MOD(($Z759*1103515245 +12345)/ 65536, 32768),0)/32768),0))</f>
        <v>15</v>
      </c>
      <c r="J759" s="16" t="e">
        <f t="shared" ca="1" si="34"/>
        <v>#NAME?</v>
      </c>
      <c r="K759" s="153">
        <f ca="1">VLOOKUP($AB$2,'RF Mod'!$A$2:$G$12,3,FALSE)+VLOOKUP($AD$2,'RF Mod'!$I$2:$O$11,3,FALSE)+(TRUNC(6+(24-6)*(TRUNC(MOD(($Z759*1103515245 +12345)/ 65536, 32768),0)/32768),0))</f>
        <v>15</v>
      </c>
      <c r="L759" s="16" t="e">
        <f t="shared" ca="1" si="35"/>
        <v>#NAME?</v>
      </c>
      <c r="M759" s="153">
        <f ca="1">VLOOKUP($AB$2,'RF Mod'!$A$2:$G$12,4,FALSE)+VLOOKUP($AD$2,'RF Mod'!$I$2:$O$11,4,FALSE)+(TRUNC(6+(24-6)*(TRUNC(MOD(($Z759*1103515245 +12345)/ 65536, 32768),0)/32768),0))</f>
        <v>14</v>
      </c>
      <c r="N759" s="16" t="e">
        <f t="shared" ca="1" si="36"/>
        <v>#NAME?</v>
      </c>
      <c r="O759" s="153">
        <f ca="1">VLOOKUP($AB$2,'RF Mod'!$A$2:$G$12,5,FALSE)+VLOOKUP($AD$2,'RF Mod'!$I$2:$O$11,5,FALSE)+(TRUNC(6+(24-6)*(TRUNC(MOD(($Z759*1103515245 +12345)/ 65536, 32768),0)/32768),0))</f>
        <v>17</v>
      </c>
      <c r="P759" s="16" t="e">
        <f t="shared" ca="1" si="37"/>
        <v>#NAME?</v>
      </c>
      <c r="Q759" s="153">
        <f ca="1">VLOOKUP($AB$2,'RF Mod'!$A$2:$G$12,6,FALSE)+VLOOKUP($AD$2,'RF Mod'!$I$2:$O$11,6,FALSE)+(TRUNC(6+(24-6)*(TRUNC(MOD(($Z759*1103515245 +12345)/ 65536, 32768),0)/32768),0))</f>
        <v>15</v>
      </c>
      <c r="R759" s="16" t="e">
        <f t="shared" ca="1" si="38"/>
        <v>#NAME?</v>
      </c>
      <c r="S759" s="154">
        <f t="shared" ca="1" si="43"/>
        <v>184</v>
      </c>
      <c r="T759" s="154">
        <f t="shared" ca="1" si="39"/>
        <v>168</v>
      </c>
      <c r="U759" s="16" t="str">
        <f t="shared" ca="1" si="40"/>
        <v>Bloody</v>
      </c>
      <c r="V759" s="155">
        <f ca="1">IFERROR(__xludf.DUMMYFUNCTION("if(W759=""Middle Age"",QUERY(NPCVar!$K$2:$N1000, ""Select L where K = '""&amp;AB759&amp;""'""),if(W759=""Old"",QUERY(NPCVar!$K$2:$N1000, ""Select M where K = '""&amp;AB759&amp;""'""),if(W759=""Venerable"",QUERY(NPCVar!$K$2:$N1000, ""Select N where K = '""&amp;AB759&amp;""'""),fa"&amp;"lse)))*X759"),50)</f>
        <v>50</v>
      </c>
      <c r="W759" s="156" t="str">
        <f t="array" ref="W759">INDEX(NPCAgeType,TRUNC(1+(4-1)*(TRUNC(MOD((X759*1103515245 +12345)/ 65536, 32768),0)/32768),0))</f>
        <v>Middle Age</v>
      </c>
      <c r="X759" s="117">
        <f t="shared" si="45"/>
        <v>2</v>
      </c>
      <c r="Y759" s="157" t="e">
        <f t="array" aca="1" ref="Y759" ca="1">LOOKUP(ABS(MAX(Z759 + MIN(ABS(INDIRECT("Class Jobs!B"&amp;MATCH(E759,'Class Jobs'!$A$1:$A1000,0)&amp;":"&amp;"AF"&amp;MATCH(E759,'Class Jobs'!$A$1:$A1000,0)&amp;"")-$Z759)) * SUM(IF(MIN(ABS(INDIRECT("Class Jobs!B"&amp;MATCH(E759,'Class Jobs'!$A$1:$A1000,0)&amp;":"&amp;"AF"&amp;MATCH(E759,'Class Jobs'!$A$1:$A1000,0)&amp;"")-$Z759))=ABS(INDIRECT("Class Jobs!B"&amp;MATCH(E759,'Class Jobs'!$A$1:$A1000,0)&amp;":"&amp;"AF"&amp;MATCH(E759,'Class Jobs'!$A$1:$A1000,0)&amp;"")-$Z759),SIGN(INDIRECT("Class Jobs!B"&amp;MATCH(E759,'Class Jobs'!$A$1:A1000,0)&amp;":"&amp;"AF"&amp;MATCH(E759,'Class Jobs'!$A$1:$A1000,0)&amp;"")-$Z759),0)),0)),INDIRECT("Class Jobs!B"&amp;MATCH(E759,'Class Jobs'!$A$1:$A1000,0)&amp;":"&amp;"AF"&amp;MATCH(E759,'Class Jobs'!$A$1:$A1000,1)&amp;""),'Class Jobs'!$B$1:$AF$1)</f>
        <v>#REF!</v>
      </c>
      <c r="Z759" s="158">
        <f t="shared" si="41"/>
        <v>0.79</v>
      </c>
      <c r="AA759" s="16" t="str">
        <f t="array" ref="AA759">INDEX(NPCGender,TRUNC(1+(COUNTA(NPCGender))*(TRUNC(MOD(($B759*1103515245 +12345)/ 65536, 32768),0)/32768),0))</f>
        <v>Neutral</v>
      </c>
      <c r="AB759" s="16" t="str">
        <f t="array" ref="AB759">INDEX(NPCRace,TRUNC(1+(COUNTA(NPCRace))*(TRUNC(MOD(($B759*1103515245 +12345)/ 65536, 32768),0)/32768),0))</f>
        <v>Tiefling</v>
      </c>
      <c r="AC759" s="16" t="str">
        <f t="array" ref="AC759">INDEX(NPCAL,TRUNC(1+(COUNTA(NPCAL))*(TRUNC(MOD(($B759*1103515245 +12345)/ 65536, 32768),0)/32768),0))</f>
        <v>LN</v>
      </c>
      <c r="AD759" s="72" t="str">
        <f ca="1">IFERROR(__xludf.DUMMYFUNCTION("if(V759&lt;15,QUERY(NPCVar!C:D,""Select D WHERE C = '""&amp;D759&amp;""'""),if((TRUNC(1+10)*(TRUNC(MOD((ROW(H759)*1103515245 +12345)/ 65536, 32768),0)/32768)/10) &gt; 0.85,INDEX(NPCFaction,TRUNC(1+(counta(NPCFaction)-1)*(TRUNC(MOD(($B759*1103515245 +12345)/ 65536, 3276"&amp;"8),0)/32768),0)),QUERY(NPCVar!C:D,""Select D WHERE C = '""&amp;D759&amp;""'"")))"),"Traverlers Guild")</f>
        <v>Traverlers Guild</v>
      </c>
      <c r="AE759" s="108" t="e">
        <f t="shared" ca="1" si="42"/>
        <v>#NAME?</v>
      </c>
      <c r="AF759" s="159">
        <f ca="1">IFERROR(__xludf.DUMMYFUNCTION("AE759*(V759 / QUERY(NPCVar!$K$2:$N$12, ""Select N WHERE K='""&amp;AB759&amp;""'""))*TRUNC(1+10)*(TRUNC(MOD(($B759*1103515245 +12345)/ 65536, 32768),0)/32768)"),2.62122802734375)</f>
        <v>2.6212280273437498</v>
      </c>
      <c r="AG759" s="16"/>
      <c r="AH759" s="77"/>
      <c r="AI759" s="114"/>
    </row>
    <row r="760" spans="1:35" ht="16.2">
      <c r="A760" s="53">
        <v>759</v>
      </c>
      <c r="B760" s="118">
        <f t="shared" si="48"/>
        <v>0.53993999999999998</v>
      </c>
      <c r="C760" s="72" t="str">
        <f t="array" ref="C760">INDEX(NPCFName,TRUNC(1+(COUNTA(NPCFName))*(TRUNC(MOD(($B760*1103515245 +12345)/ 65536, 32768),0)/32768),0))</f>
        <v>Syth</v>
      </c>
      <c r="D760" s="16" t="str">
        <f t="array" ref="D760">INDEX(NPCLName,TRUNC(1+(COUNTA(NPCLName))*(TRUNC(MOD(($B760*1103515245 +12345)/ 65536, 32768),0)/32768),0))</f>
        <v>Commonscream</v>
      </c>
      <c r="E760" s="16" t="str">
        <f t="array" ref="E760">INDEX(NPCClass,TRUNC(1+(COUNTA(NPCClass))*(TRUNC(MOD(($B760*1103515245 +12345)/ 65536, 32768),0)/32768),0))</f>
        <v>Monk</v>
      </c>
      <c r="F760" s="76">
        <v>4</v>
      </c>
      <c r="G760" s="153">
        <f ca="1">VLOOKUP($AB$2,'RF Mod'!$A$2:$G$12,2,FALSE)+VLOOKUP($AD$2,'RF Mod'!$I$2:$O$11,2,FALSE)+(TRUNC(6+(24-6)*(TRUNC(MOD(($Z760*1103515245 +12345)/ 65536, 32768),0)/32768),0))</f>
        <v>6</v>
      </c>
      <c r="H760" s="16">
        <f t="shared" ca="1" si="33"/>
        <v>-2</v>
      </c>
      <c r="I760" s="153">
        <f ca="1">VLOOKUP($AB$2,'RF Mod'!$A$2:$G$12,3,FALSE)+VLOOKUP($AD$2,'RF Mod'!$I$2:$O$11,3,FALSE)+(TRUNC(6+(24-6)*(TRUNC(MOD(($Z760*1103515245 +12345)/ 65536, 32768),0)/32768),0))</f>
        <v>10</v>
      </c>
      <c r="J760" s="16" t="e">
        <f t="shared" ca="1" si="34"/>
        <v>#NAME?</v>
      </c>
      <c r="K760" s="153">
        <f ca="1">VLOOKUP($AB$2,'RF Mod'!$A$2:$G$12,3,FALSE)+VLOOKUP($AD$2,'RF Mod'!$I$2:$O$11,3,FALSE)+(TRUNC(6+(24-6)*(TRUNC(MOD(($Z760*1103515245 +12345)/ 65536, 32768),0)/32768),0))</f>
        <v>10</v>
      </c>
      <c r="L760" s="16" t="e">
        <f t="shared" ca="1" si="35"/>
        <v>#NAME?</v>
      </c>
      <c r="M760" s="153">
        <f ca="1">VLOOKUP($AB$2,'RF Mod'!$A$2:$G$12,4,FALSE)+VLOOKUP($AD$2,'RF Mod'!$I$2:$O$11,4,FALSE)+(TRUNC(6+(24-6)*(TRUNC(MOD(($Z760*1103515245 +12345)/ 65536, 32768),0)/32768),0))</f>
        <v>9</v>
      </c>
      <c r="N760" s="16">
        <f t="shared" ca="1" si="36"/>
        <v>-1</v>
      </c>
      <c r="O760" s="153">
        <f ca="1">VLOOKUP($AB$2,'RF Mod'!$A$2:$G$12,5,FALSE)+VLOOKUP($AD$2,'RF Mod'!$I$2:$O$11,5,FALSE)+(TRUNC(6+(24-6)*(TRUNC(MOD(($Z760*1103515245 +12345)/ 65536, 32768),0)/32768),0))</f>
        <v>12</v>
      </c>
      <c r="P760" s="16" t="e">
        <f t="shared" ca="1" si="37"/>
        <v>#NAME?</v>
      </c>
      <c r="Q760" s="153">
        <f ca="1">VLOOKUP($AB$2,'RF Mod'!$A$2:$G$12,6,FALSE)+VLOOKUP($AD$2,'RF Mod'!$I$2:$O$11,6,FALSE)+(TRUNC(6+(24-6)*(TRUNC(MOD(($Z760*1103515245 +12345)/ 65536, 32768),0)/32768),0))</f>
        <v>10</v>
      </c>
      <c r="R760" s="16" t="e">
        <f t="shared" ca="1" si="38"/>
        <v>#NAME?</v>
      </c>
      <c r="S760" s="154">
        <f t="shared" ca="1" si="43"/>
        <v>112</v>
      </c>
      <c r="T760" s="154">
        <f t="shared" ca="1" si="39"/>
        <v>76</v>
      </c>
      <c r="U760" s="16" t="str">
        <f t="shared" ca="1" si="40"/>
        <v>Bloody</v>
      </c>
      <c r="V760" s="155">
        <f ca="1">IFERROR(__xludf.DUMMYFUNCTION("if(W760=""Middle Age"",QUERY(NPCVar!$K$2:$N1000, ""Select L where K = '""&amp;AB760&amp;""'""),if(W760=""Old"",QUERY(NPCVar!$K$2:$N1000, ""Select M where K = '""&amp;AB760&amp;""'""),if(W760=""Venerable"",QUERY(NPCVar!$K$2:$N1000, ""Select N where K = '""&amp;AB760&amp;""'""),fa"&amp;"lse)))*X760"),118.124999999999)</f>
        <v>118.12499999999901</v>
      </c>
      <c r="W760" s="156" t="str">
        <f t="array" ref="W760">INDEX(NPCAgeType,TRUNC(1+(4-1)*(TRUNC(MOD((X760*1103515245 +12345)/ 65536, 32768),0)/32768),0))</f>
        <v>Old</v>
      </c>
      <c r="X760" s="117">
        <f t="shared" si="45"/>
        <v>0.7</v>
      </c>
      <c r="Y760" s="157" t="e">
        <f t="array" aca="1" ref="Y760" ca="1">LOOKUP(ABS(MAX(Z760 + MIN(ABS(INDIRECT("Class Jobs!B"&amp;MATCH(E760,'Class Jobs'!$A$1:$A1000,0)&amp;":"&amp;"AF"&amp;MATCH(E760,'Class Jobs'!$A$1:$A1000,0)&amp;"")-$Z760)) * SUM(IF(MIN(ABS(INDIRECT("Class Jobs!B"&amp;MATCH(E760,'Class Jobs'!$A$1:$A1000,0)&amp;":"&amp;"AF"&amp;MATCH(E760,'Class Jobs'!$A$1:$A1000,0)&amp;"")-$Z760))=ABS(INDIRECT("Class Jobs!B"&amp;MATCH(E760,'Class Jobs'!$A$1:$A1000,0)&amp;":"&amp;"AF"&amp;MATCH(E760,'Class Jobs'!$A$1:$A1000,0)&amp;"")-$Z760),SIGN(INDIRECT("Class Jobs!B"&amp;MATCH(E760,'Class Jobs'!$A$1:A1000,0)&amp;":"&amp;"AF"&amp;MATCH(E760,'Class Jobs'!$A$1:$A1000,0)&amp;"")-$Z760),0)),0)),INDIRECT("Class Jobs!B"&amp;MATCH(E760,'Class Jobs'!$A$1:$A1000,0)&amp;":"&amp;"AF"&amp;MATCH(E760,'Class Jobs'!$A$1:$A1000,1)&amp;""),'Class Jobs'!$B$1:$AF$1)</f>
        <v>#REF!</v>
      </c>
      <c r="Z760" s="158">
        <f t="shared" si="41"/>
        <v>0.28000000000000003</v>
      </c>
      <c r="AA760" s="16" t="str">
        <f t="array" ref="AA760">INDEX(NPCGender,TRUNC(1+(COUNTA(NPCGender))*(TRUNC(MOD(($B760*1103515245 +12345)/ 65536, 32768),0)/32768),0))</f>
        <v>Male</v>
      </c>
      <c r="AB760" s="16" t="str">
        <f t="array" ref="AB760">INDEX(NPCRace,TRUNC(1+(COUNTA(NPCRace))*(TRUNC(MOD(($B760*1103515245 +12345)/ 65536, 32768),0)/32768),0))</f>
        <v>Gnome</v>
      </c>
      <c r="AC760" s="16" t="str">
        <f t="array" ref="AC760">INDEX(NPCAL,TRUNC(1+(COUNTA(NPCAL))*(TRUNC(MOD(($B760*1103515245 +12345)/ 65536, 32768),0)/32768),0))</f>
        <v>CG</v>
      </c>
      <c r="AD760" s="72" t="str">
        <f ca="1">IFERROR(__xludf.DUMMYFUNCTION("if(V760&lt;15,QUERY(NPCVar!C:D,""Select D WHERE C = '""&amp;D760&amp;""'""),if((TRUNC(1+10)*(TRUNC(MOD((ROW(H760)*1103515245 +12345)/ 65536, 32768),0)/32768)/10) &gt; 0.85,INDEX(NPCFaction,TRUNC(1+(counta(NPCFaction)-1)*(TRUNC(MOD(($B760*1103515245 +12345)/ 65536, 3276"&amp;"8),0)/32768),0)),QUERY(NPCVar!C:D,""Select D WHERE C = '""&amp;D760&amp;""'"")))"),"Necromancer")</f>
        <v>Necromancer</v>
      </c>
      <c r="AE760" s="108" t="e">
        <f t="shared" ca="1" si="42"/>
        <v>#NAME?</v>
      </c>
      <c r="AF760" s="159">
        <f ca="1">IFERROR(__xludf.DUMMYFUNCTION("AE760*(V760 / QUERY(NPCVar!$K$2:$N$12, ""Select N WHERE K='""&amp;AB760&amp;""'""))*TRUNC(1+10)*(TRUNC(MOD(($B760*1103515245 +12345)/ 65536, 32768),0)/32768)"),-0.0801094436645507)</f>
        <v>-8.0109443664550695E-2</v>
      </c>
      <c r="AG760" s="16"/>
      <c r="AH760" s="77"/>
      <c r="AI760" s="114"/>
    </row>
    <row r="761" spans="1:35" ht="16.2">
      <c r="A761" s="53">
        <v>760</v>
      </c>
      <c r="B761" s="118">
        <f t="shared" si="48"/>
        <v>2.0340699999999998</v>
      </c>
      <c r="C761" s="72" t="str">
        <f t="array" ref="C761">INDEX(NPCFName,TRUNC(1+(COUNTA(NPCFName))*(TRUNC(MOD(($B761*1103515245 +12345)/ 65536, 32768),0)/32768),0))</f>
        <v>Camchak</v>
      </c>
      <c r="D761" s="16" t="str">
        <f t="array" ref="D761">INDEX(NPCLName,TRUNC(1+(COUNTA(NPCLName))*(TRUNC(MOD(($B761*1103515245 +12345)/ 65536, 32768),0)/32768),0))</f>
        <v>Crystalgazer</v>
      </c>
      <c r="E761" s="16" t="str">
        <f t="array" ref="E761">INDEX(NPCClass,TRUNC(1+(COUNTA(NPCClass))*(TRUNC(MOD(($B761*1103515245 +12345)/ 65536, 32768),0)/32768),0))</f>
        <v>Barbarian</v>
      </c>
      <c r="F761" s="76">
        <v>1</v>
      </c>
      <c r="G761" s="153">
        <f ca="1">VLOOKUP($AB$2,'RF Mod'!$A$2:$G$12,2,FALSE)+VLOOKUP($AD$2,'RF Mod'!$I$2:$O$11,2,FALSE)+(TRUNC(6+(24-6)*(TRUNC(MOD(($Z761*1103515245 +12345)/ 65536, 32768),0)/32768),0))</f>
        <v>4</v>
      </c>
      <c r="H761" s="16">
        <f t="shared" ca="1" si="33"/>
        <v>-3</v>
      </c>
      <c r="I761" s="153">
        <f ca="1">VLOOKUP($AB$2,'RF Mod'!$A$2:$G$12,3,FALSE)+VLOOKUP($AD$2,'RF Mod'!$I$2:$O$11,3,FALSE)+(TRUNC(6+(24-6)*(TRUNC(MOD(($Z761*1103515245 +12345)/ 65536, 32768),0)/32768),0))</f>
        <v>8</v>
      </c>
      <c r="J761" s="16">
        <f t="shared" ca="1" si="34"/>
        <v>-1</v>
      </c>
      <c r="K761" s="153">
        <f ca="1">VLOOKUP($AB$2,'RF Mod'!$A$2:$G$12,3,FALSE)+VLOOKUP($AD$2,'RF Mod'!$I$2:$O$11,3,FALSE)+(TRUNC(6+(24-6)*(TRUNC(MOD(($Z761*1103515245 +12345)/ 65536, 32768),0)/32768),0))</f>
        <v>8</v>
      </c>
      <c r="L761" s="16">
        <f t="shared" ca="1" si="35"/>
        <v>-1</v>
      </c>
      <c r="M761" s="153">
        <f ca="1">VLOOKUP($AB$2,'RF Mod'!$A$2:$G$12,4,FALSE)+VLOOKUP($AD$2,'RF Mod'!$I$2:$O$11,4,FALSE)+(TRUNC(6+(24-6)*(TRUNC(MOD(($Z761*1103515245 +12345)/ 65536, 32768),0)/32768),0))</f>
        <v>7</v>
      </c>
      <c r="N761" s="16">
        <f t="shared" ca="1" si="36"/>
        <v>-2</v>
      </c>
      <c r="O761" s="153">
        <f ca="1">VLOOKUP($AB$2,'RF Mod'!$A$2:$G$12,5,FALSE)+VLOOKUP($AD$2,'RF Mod'!$I$2:$O$11,5,FALSE)+(TRUNC(6+(24-6)*(TRUNC(MOD(($Z761*1103515245 +12345)/ 65536, 32768),0)/32768),0))</f>
        <v>10</v>
      </c>
      <c r="P761" s="16" t="e">
        <f t="shared" ca="1" si="37"/>
        <v>#NAME?</v>
      </c>
      <c r="Q761" s="153">
        <f ca="1">VLOOKUP($AB$2,'RF Mod'!$A$2:$G$12,6,FALSE)+VLOOKUP($AD$2,'RF Mod'!$I$2:$O$11,6,FALSE)+(TRUNC(6+(24-6)*(TRUNC(MOD(($Z761*1103515245 +12345)/ 65536, 32768),0)/32768),0))</f>
        <v>8</v>
      </c>
      <c r="R761" s="16">
        <f t="shared" ca="1" si="38"/>
        <v>-1</v>
      </c>
      <c r="S761" s="154">
        <f t="shared" ca="1" si="43"/>
        <v>10</v>
      </c>
      <c r="T761" s="154">
        <f t="shared" ca="1" si="39"/>
        <v>5</v>
      </c>
      <c r="U761" s="16" t="str">
        <f t="shared" ca="1" si="40"/>
        <v>Fine</v>
      </c>
      <c r="V761" s="155">
        <f ca="1">IFERROR(__xludf.DUMMYFUNCTION("if(W761=""Middle Age"",QUERY(NPCVar!$K$2:$N1000, ""Select L where K = '""&amp;AB761&amp;""'""),if(W761=""Old"",QUERY(NPCVar!$K$2:$N1000, ""Select M where K = '""&amp;AB761&amp;""'""),if(W761=""Venerable"",QUERY(NPCVar!$K$2:$N1000, ""Select N where K = '""&amp;AB761&amp;""'""),fa"&amp;"lse)))*X761"),4)</f>
        <v>4</v>
      </c>
      <c r="W761" s="156" t="str">
        <f t="array" ref="W761">INDEX(NPCAgeType,TRUNC(1+(4-1)*(TRUNC(MOD((X761*1103515245 +12345)/ 65536, 32768),0)/32768),0))</f>
        <v>Middle Age</v>
      </c>
      <c r="X761" s="117">
        <f t="shared" si="45"/>
        <v>0.2</v>
      </c>
      <c r="Y761" s="157" t="e">
        <f t="array" aca="1" ref="Y761" ca="1">LOOKUP(ABS(MAX(Z761 + MIN(ABS(INDIRECT("Class Jobs!B"&amp;MATCH(E761,'Class Jobs'!$A$1:$A1000,0)&amp;":"&amp;"AF"&amp;MATCH(E761,'Class Jobs'!$A$1:$A1000,0)&amp;"")-$Z761)) * SUM(IF(MIN(ABS(INDIRECT("Class Jobs!B"&amp;MATCH(E761,'Class Jobs'!$A$1:$A1000,0)&amp;":"&amp;"AF"&amp;MATCH(E761,'Class Jobs'!$A$1:$A1000,0)&amp;"")-$Z761))=ABS(INDIRECT("Class Jobs!B"&amp;MATCH(E761,'Class Jobs'!$A$1:$A1000,0)&amp;":"&amp;"AF"&amp;MATCH(E761,'Class Jobs'!$A$1:$A1000,0)&amp;"")-$Z761),SIGN(INDIRECT("Class Jobs!B"&amp;MATCH(E761,'Class Jobs'!$A$1:A1000,0)&amp;":"&amp;"AF"&amp;MATCH(E761,'Class Jobs'!$A$1:$A1000,0)&amp;"")-$Z761),0)),0)),INDIRECT("Class Jobs!B"&amp;MATCH(E761,'Class Jobs'!$A$1:$A1000,0)&amp;":"&amp;"AF"&amp;MATCH(E761,'Class Jobs'!$A$1:$A1000,1)&amp;""),'Class Jobs'!$B$1:$AF$1)</f>
        <v>#REF!</v>
      </c>
      <c r="Z761" s="158">
        <f t="shared" si="41"/>
        <v>0.05</v>
      </c>
      <c r="AA761" s="16" t="str">
        <f t="array" ref="AA761">INDEX(NPCGender,TRUNC(1+(COUNTA(NPCGender))*(TRUNC(MOD(($B761*1103515245 +12345)/ 65536, 32768),0)/32768),0))</f>
        <v>Male</v>
      </c>
      <c r="AB761" s="16" t="str">
        <f t="array" ref="AB761">INDEX(NPCRace,TRUNC(1+(COUNTA(NPCRace))*(TRUNC(MOD(($B761*1103515245 +12345)/ 65536, 32768),0)/32768),0))</f>
        <v>Dragonborn</v>
      </c>
      <c r="AC761" s="16" t="str">
        <f t="array" ref="AC761">INDEX(NPCAL,TRUNC(1+(COUNTA(NPCAL))*(TRUNC(MOD(($B761*1103515245 +12345)/ 65536, 32768),0)/32768),0))</f>
        <v>CN</v>
      </c>
      <c r="AD761" s="72" t="str">
        <f ca="1">IFERROR(__xludf.DUMMYFUNCTION("if(V761&lt;15,QUERY(NPCVar!C:D,""Select D WHERE C = '""&amp;D761&amp;""'""),if((TRUNC(1+10)*(TRUNC(MOD((ROW(H761)*1103515245 +12345)/ 65536, 32768),0)/32768)/10) &gt; 0.85,INDEX(NPCFaction,TRUNC(1+(counta(NPCFaction)-1)*(TRUNC(MOD(($B761*1103515245 +12345)/ 65536, 3276"&amp;"8),0)/32768),0)),QUERY(NPCVar!C:D,""Select D WHERE C = '""&amp;D761&amp;""'"")))"),"Death Guild")</f>
        <v>Death Guild</v>
      </c>
      <c r="AE761" s="108" t="e">
        <f t="shared" ca="1" si="42"/>
        <v>#NAME?</v>
      </c>
      <c r="AF761" s="159">
        <f ca="1">IFERROR(__xludf.DUMMYFUNCTION("AE761*(V761 / QUERY(NPCVar!$K$2:$N$12, ""Select N WHERE K='""&amp;AB761&amp;""'""))*TRUNC(1+10)*(TRUNC(MOD(($B761*1103515245 +12345)/ 65536, 32768),0)/32768)"),0.0049749755859375)</f>
        <v>4.9749755859375003E-3</v>
      </c>
      <c r="AG761" s="16"/>
      <c r="AH761" s="77"/>
      <c r="AI761" s="114"/>
    </row>
    <row r="762" spans="1:35" ht="16.2">
      <c r="A762" s="53">
        <v>761</v>
      </c>
      <c r="B762" s="118">
        <f t="shared" si="48"/>
        <v>1.0281400000000001</v>
      </c>
      <c r="C762" s="72" t="str">
        <f t="array" ref="C762">INDEX(NPCFName,TRUNC(1+(COUNTA(NPCFName))*(TRUNC(MOD(($B762*1103515245 +12345)/ 65536, 32768),0)/32768),0))</f>
        <v>Migorn</v>
      </c>
      <c r="D762" s="16" t="str">
        <f t="array" ref="D762">INDEX(NPCLName,TRUNC(1+(COUNTA(NPCLName))*(TRUNC(MOD(($B762*1103515245 +12345)/ 65536, 32768),0)/32768),0))</f>
        <v>Staghammer</v>
      </c>
      <c r="E762" s="16" t="str">
        <f t="array" ref="E762">INDEX(NPCClass,TRUNC(1+(COUNTA(NPCClass))*(TRUNC(MOD(($B762*1103515245 +12345)/ 65536, 32768),0)/32768),0))</f>
        <v>Sorcerer</v>
      </c>
      <c r="F762" s="76">
        <v>8</v>
      </c>
      <c r="G762" s="153">
        <f ca="1">VLOOKUP($AB$2,'RF Mod'!$A$2:$G$12,2,FALSE)+VLOOKUP($AD$2,'RF Mod'!$I$2:$O$11,2,FALSE)+(TRUNC(6+(24-6)*(TRUNC(MOD(($Z762*1103515245 +12345)/ 65536, 32768),0)/32768),0))</f>
        <v>8</v>
      </c>
      <c r="H762" s="16">
        <f t="shared" ca="1" si="33"/>
        <v>-1</v>
      </c>
      <c r="I762" s="153">
        <f ca="1">VLOOKUP($AB$2,'RF Mod'!$A$2:$G$12,3,FALSE)+VLOOKUP($AD$2,'RF Mod'!$I$2:$O$11,3,FALSE)+(TRUNC(6+(24-6)*(TRUNC(MOD(($Z762*1103515245 +12345)/ 65536, 32768),0)/32768),0))</f>
        <v>12</v>
      </c>
      <c r="J762" s="16" t="e">
        <f t="shared" ca="1" si="34"/>
        <v>#NAME?</v>
      </c>
      <c r="K762" s="153">
        <f ca="1">VLOOKUP($AB$2,'RF Mod'!$A$2:$G$12,3,FALSE)+VLOOKUP($AD$2,'RF Mod'!$I$2:$O$11,3,FALSE)+(TRUNC(6+(24-6)*(TRUNC(MOD(($Z762*1103515245 +12345)/ 65536, 32768),0)/32768),0))</f>
        <v>12</v>
      </c>
      <c r="L762" s="16" t="e">
        <f t="shared" ca="1" si="35"/>
        <v>#NAME?</v>
      </c>
      <c r="M762" s="153">
        <f ca="1">VLOOKUP($AB$2,'RF Mod'!$A$2:$G$12,4,FALSE)+VLOOKUP($AD$2,'RF Mod'!$I$2:$O$11,4,FALSE)+(TRUNC(6+(24-6)*(TRUNC(MOD(($Z762*1103515245 +12345)/ 65536, 32768),0)/32768),0))</f>
        <v>11</v>
      </c>
      <c r="N762" s="16" t="e">
        <f t="shared" ca="1" si="36"/>
        <v>#NAME?</v>
      </c>
      <c r="O762" s="153">
        <f ca="1">VLOOKUP($AB$2,'RF Mod'!$A$2:$G$12,5,FALSE)+VLOOKUP($AD$2,'RF Mod'!$I$2:$O$11,5,FALSE)+(TRUNC(6+(24-6)*(TRUNC(MOD(($Z762*1103515245 +12345)/ 65536, 32768),0)/32768),0))</f>
        <v>14</v>
      </c>
      <c r="P762" s="16" t="e">
        <f t="shared" ca="1" si="37"/>
        <v>#NAME?</v>
      </c>
      <c r="Q762" s="153">
        <f ca="1">VLOOKUP($AB$2,'RF Mod'!$A$2:$G$12,6,FALSE)+VLOOKUP($AD$2,'RF Mod'!$I$2:$O$11,6,FALSE)+(TRUNC(6+(24-6)*(TRUNC(MOD(($Z762*1103515245 +12345)/ 65536, 32768),0)/32768),0))</f>
        <v>12</v>
      </c>
      <c r="R762" s="16" t="e">
        <f t="shared" ca="1" si="38"/>
        <v>#NAME?</v>
      </c>
      <c r="S762" s="154">
        <f t="shared" ca="1" si="43"/>
        <v>208</v>
      </c>
      <c r="T762" s="154">
        <f t="shared" ca="1" si="39"/>
        <v>223</v>
      </c>
      <c r="U762" s="16" t="str">
        <f t="shared" ca="1" si="40"/>
        <v>Dead</v>
      </c>
      <c r="V762" s="155">
        <f ca="1">IFERROR(__xludf.DUMMYFUNCTION("if(W762=""Middle Age"",QUERY(NPCVar!$K$2:$N1000, ""Select L where K = '""&amp;AB762&amp;""'""),if(W762=""Old"",QUERY(NPCVar!$K$2:$N1000, ""Select M where K = '""&amp;AB762&amp;""'""),if(W762=""Venerable"",QUERY(NPCVar!$K$2:$N1000, ""Select N where K = '""&amp;AB762&amp;""'""),fa"&amp;"lse)))*X762"),91)</f>
        <v>91</v>
      </c>
      <c r="W762" s="156" t="str">
        <f t="array" ref="W762">INDEX(NPCAgeType,TRUNC(1+(4-1)*(TRUNC(MOD((X762*1103515245 +12345)/ 65536, 32768),0)/32768),0))</f>
        <v>Venerable</v>
      </c>
      <c r="X762" s="117">
        <f t="shared" si="45"/>
        <v>1.3</v>
      </c>
      <c r="Y762" s="157" t="e">
        <f t="array" aca="1" ref="Y762" ca="1">LOOKUP(ABS(MAX(Z762 + MIN(ABS(INDIRECT("Class Jobs!B"&amp;MATCH(E762,'Class Jobs'!$A$1:$A1000,0)&amp;":"&amp;"AF"&amp;MATCH(E762,'Class Jobs'!$A$1:$A1000,0)&amp;"")-$Z762)) * SUM(IF(MIN(ABS(INDIRECT("Class Jobs!B"&amp;MATCH(E762,'Class Jobs'!$A$1:$A1000,0)&amp;":"&amp;"AF"&amp;MATCH(E762,'Class Jobs'!$A$1:$A1000,0)&amp;"")-$Z762))=ABS(INDIRECT("Class Jobs!B"&amp;MATCH(E762,'Class Jobs'!$A$1:$A1000,0)&amp;":"&amp;"AF"&amp;MATCH(E762,'Class Jobs'!$A$1:$A1000,0)&amp;"")-$Z762),SIGN(INDIRECT("Class Jobs!B"&amp;MATCH(E762,'Class Jobs'!$A$1:A1000,0)&amp;":"&amp;"AF"&amp;MATCH(E762,'Class Jobs'!$A$1:$A1000,0)&amp;"")-$Z762),0)),0)),INDIRECT("Class Jobs!B"&amp;MATCH(E762,'Class Jobs'!$A$1:$A1000,0)&amp;":"&amp;"AF"&amp;MATCH(E762,'Class Jobs'!$A$1:$A1000,1)&amp;""),'Class Jobs'!$B$1:$AF$1)</f>
        <v>#REF!</v>
      </c>
      <c r="Z762" s="158">
        <f t="shared" si="41"/>
        <v>0.53</v>
      </c>
      <c r="AA762" s="16" t="str">
        <f t="array" ref="AA762">INDEX(NPCGender,TRUNC(1+(COUNTA(NPCGender))*(TRUNC(MOD(($B762*1103515245 +12345)/ 65536, 32768),0)/32768),0))</f>
        <v>Female</v>
      </c>
      <c r="AB762" s="16" t="str">
        <f t="array" ref="AB762">INDEX(NPCRace,TRUNC(1+(COUNTA(NPCRace))*(TRUNC(MOD(($B762*1103515245 +12345)/ 65536, 32768),0)/32768),0))</f>
        <v>Half-Orc</v>
      </c>
      <c r="AC762" s="16" t="str">
        <f t="array" ref="AC762">INDEX(NPCAL,TRUNC(1+(COUNTA(NPCAL))*(TRUNC(MOD(($B762*1103515245 +12345)/ 65536, 32768),0)/32768),0))</f>
        <v>NN</v>
      </c>
      <c r="AD762" s="72" t="str">
        <f ca="1">IFERROR(__xludf.DUMMYFUNCTION("if(V762&lt;15,QUERY(NPCVar!C:D,""Select D WHERE C = '""&amp;D762&amp;""'""),if((TRUNC(1+10)*(TRUNC(MOD((ROW(H762)*1103515245 +12345)/ 65536, 32768),0)/32768)/10) &gt; 0.85,INDEX(NPCFaction,TRUNC(1+(counta(NPCFaction)-1)*(TRUNC(MOD(($B762*1103515245 +12345)/ 65536, 3276"&amp;"8),0)/32768),0)),QUERY(NPCVar!C:D,""Select D WHERE C = '""&amp;D762&amp;""'"")))"),"Farmers Guild")</f>
        <v>Farmers Guild</v>
      </c>
      <c r="AE762" s="108" t="e">
        <f t="shared" ca="1" si="42"/>
        <v>#NAME?</v>
      </c>
      <c r="AF762" s="159">
        <f ca="1">IFERROR(__xludf.DUMMYFUNCTION("AE762*(V762 / QUERY(NPCVar!$K$2:$N$12, ""Select N WHERE K='""&amp;AB762&amp;""'""))*TRUNC(1+10)*(TRUNC(MOD(($B762*1103515245 +12345)/ 65536, 32768),0)/32768)"),1.51099609375)</f>
        <v>1.51099609375</v>
      </c>
      <c r="AG762" s="16"/>
      <c r="AH762" s="77"/>
      <c r="AI762" s="114"/>
    </row>
    <row r="763" spans="1:35" ht="16.2">
      <c r="A763" s="53">
        <v>762</v>
      </c>
      <c r="B763" s="118">
        <f t="shared" si="48"/>
        <v>2.2280000000000001E-2</v>
      </c>
      <c r="C763" s="72" t="str">
        <f t="array" ref="C763">INDEX(NPCFName,TRUNC(1+(COUNTA(NPCFName))*(TRUNC(MOD(($B763*1103515245 +12345)/ 65536, 32768),0)/32768),0))</f>
        <v>Aldaren</v>
      </c>
      <c r="D763" s="16" t="str">
        <f t="array" ref="D763">INDEX(NPCLName,TRUNC(1+(COUNTA(NPCLName))*(TRUNC(MOD(($B763*1103515245 +12345)/ 65536, 32768),0)/32768),0))</f>
        <v>Stagfang</v>
      </c>
      <c r="E763" s="16" t="str">
        <f t="array" ref="E763">INDEX(NPCClass,TRUNC(1+(COUNTA(NPCClass))*(TRUNC(MOD(($B763*1103515245 +12345)/ 65536, 32768),0)/32768),0))</f>
        <v>Barbarian</v>
      </c>
      <c r="F763" s="76">
        <v>1</v>
      </c>
      <c r="G763" s="153">
        <f ca="1">VLOOKUP($AB$2,'RF Mod'!$A$2:$G$12,2,FALSE)+VLOOKUP($AD$2,'RF Mod'!$I$2:$O$11,2,FALSE)+(TRUNC(6+(24-6)*(TRUNC(MOD(($Z763*1103515245 +12345)/ 65536, 32768),0)/32768),0))</f>
        <v>4</v>
      </c>
      <c r="H763" s="16">
        <f t="shared" ca="1" si="33"/>
        <v>-3</v>
      </c>
      <c r="I763" s="153">
        <f ca="1">VLOOKUP($AB$2,'RF Mod'!$A$2:$G$12,3,FALSE)+VLOOKUP($AD$2,'RF Mod'!$I$2:$O$11,3,FALSE)+(TRUNC(6+(24-6)*(TRUNC(MOD(($Z763*1103515245 +12345)/ 65536, 32768),0)/32768),0))</f>
        <v>8</v>
      </c>
      <c r="J763" s="16">
        <f t="shared" ca="1" si="34"/>
        <v>-1</v>
      </c>
      <c r="K763" s="153">
        <f ca="1">VLOOKUP($AB$2,'RF Mod'!$A$2:$G$12,3,FALSE)+VLOOKUP($AD$2,'RF Mod'!$I$2:$O$11,3,FALSE)+(TRUNC(6+(24-6)*(TRUNC(MOD(($Z763*1103515245 +12345)/ 65536, 32768),0)/32768),0))</f>
        <v>8</v>
      </c>
      <c r="L763" s="16">
        <f t="shared" ca="1" si="35"/>
        <v>-1</v>
      </c>
      <c r="M763" s="153">
        <f ca="1">VLOOKUP($AB$2,'RF Mod'!$A$2:$G$12,4,FALSE)+VLOOKUP($AD$2,'RF Mod'!$I$2:$O$11,4,FALSE)+(TRUNC(6+(24-6)*(TRUNC(MOD(($Z763*1103515245 +12345)/ 65536, 32768),0)/32768),0))</f>
        <v>7</v>
      </c>
      <c r="N763" s="16">
        <f t="shared" ca="1" si="36"/>
        <v>-2</v>
      </c>
      <c r="O763" s="153">
        <f ca="1">VLOOKUP($AB$2,'RF Mod'!$A$2:$G$12,5,FALSE)+VLOOKUP($AD$2,'RF Mod'!$I$2:$O$11,5,FALSE)+(TRUNC(6+(24-6)*(TRUNC(MOD(($Z763*1103515245 +12345)/ 65536, 32768),0)/32768),0))</f>
        <v>10</v>
      </c>
      <c r="P763" s="16" t="e">
        <f t="shared" ca="1" si="37"/>
        <v>#NAME?</v>
      </c>
      <c r="Q763" s="153">
        <f ca="1">VLOOKUP($AB$2,'RF Mod'!$A$2:$G$12,6,FALSE)+VLOOKUP($AD$2,'RF Mod'!$I$2:$O$11,6,FALSE)+(TRUNC(6+(24-6)*(TRUNC(MOD(($Z763*1103515245 +12345)/ 65536, 32768),0)/32768),0))</f>
        <v>8</v>
      </c>
      <c r="R763" s="16">
        <f t="shared" ca="1" si="38"/>
        <v>-1</v>
      </c>
      <c r="S763" s="154">
        <f t="shared" ca="1" si="43"/>
        <v>10</v>
      </c>
      <c r="T763" s="154">
        <f t="shared" ca="1" si="39"/>
        <v>10</v>
      </c>
      <c r="U763" s="16" t="str">
        <f t="shared" ca="1" si="40"/>
        <v>Unconscious</v>
      </c>
      <c r="V763" s="155">
        <f ca="1">IFERROR(__xludf.DUMMYFUNCTION("if(W763=""Middle Age"",QUERY(NPCVar!$K$2:$N1000, ""Select L where K = '""&amp;AB763&amp;""'""),if(W763=""Old"",QUERY(NPCVar!$K$2:$N1000, ""Select M where K = '""&amp;AB763&amp;""'""),if(W763=""Venerable"",QUERY(NPCVar!$K$2:$N1000, ""Select N where K = '""&amp;AB763&amp;""'""),fa"&amp;"lse)))*X763"),2)</f>
        <v>2</v>
      </c>
      <c r="W763" s="156" t="str">
        <f t="array" ref="W763">INDEX(NPCAgeType,TRUNC(1+(4-1)*(TRUNC(MOD((X763*1103515245 +12345)/ 65536, 32768),0)/32768),0))</f>
        <v>Middle Age</v>
      </c>
      <c r="X763" s="117">
        <f t="shared" si="45"/>
        <v>0.1</v>
      </c>
      <c r="Y763" s="157" t="e">
        <f t="array" aca="1" ref="Y763" ca="1">LOOKUP(ABS(MAX(Z763 + MIN(ABS(INDIRECT("Class Jobs!B"&amp;MATCH(E763,'Class Jobs'!$A$1:$A1000,0)&amp;":"&amp;"AF"&amp;MATCH(E763,'Class Jobs'!$A$1:$A1000,0)&amp;"")-$Z763)) * SUM(IF(MIN(ABS(INDIRECT("Class Jobs!B"&amp;MATCH(E763,'Class Jobs'!$A$1:$A1000,0)&amp;":"&amp;"AF"&amp;MATCH(E763,'Class Jobs'!$A$1:$A1000,0)&amp;"")-$Z763))=ABS(INDIRECT("Class Jobs!B"&amp;MATCH(E763,'Class Jobs'!$A$1:$A1000,0)&amp;":"&amp;"AF"&amp;MATCH(E763,'Class Jobs'!$A$1:$A1000,0)&amp;"")-$Z763),SIGN(INDIRECT("Class Jobs!B"&amp;MATCH(E763,'Class Jobs'!$A$1:A1000,0)&amp;":"&amp;"AF"&amp;MATCH(E763,'Class Jobs'!$A$1:$A1000,0)&amp;"")-$Z763),0)),0)),INDIRECT("Class Jobs!B"&amp;MATCH(E763,'Class Jobs'!$A$1:$A1000,0)&amp;":"&amp;"AF"&amp;MATCH(E763,'Class Jobs'!$A$1:$A1000,1)&amp;""),'Class Jobs'!$B$1:$AF$1)</f>
        <v>#REF!</v>
      </c>
      <c r="Z763" s="158">
        <f t="shared" si="41"/>
        <v>0.02</v>
      </c>
      <c r="AA763" s="16" t="str">
        <f t="array" ref="AA763">INDEX(NPCGender,TRUNC(1+(COUNTA(NPCGender))*(TRUNC(MOD(($B763*1103515245 +12345)/ 65536, 32768),0)/32768),0))</f>
        <v>Male</v>
      </c>
      <c r="AB763" s="16" t="str">
        <f t="array" ref="AB763">INDEX(NPCRace,TRUNC(1+(COUNTA(NPCRace))*(TRUNC(MOD(($B763*1103515245 +12345)/ 65536, 32768),0)/32768),0))</f>
        <v>Dragonborn</v>
      </c>
      <c r="AC763" s="16" t="str">
        <f t="array" ref="AC763">INDEX(NPCAL,TRUNC(1+(COUNTA(NPCAL))*(TRUNC(MOD(($B763*1103515245 +12345)/ 65536, 32768),0)/32768),0))</f>
        <v>CN</v>
      </c>
      <c r="AD763" s="72" t="str">
        <f ca="1">IFERROR(__xludf.DUMMYFUNCTION("if(V763&lt;15,QUERY(NPCVar!C:D,""Select D WHERE C = '""&amp;D763&amp;""'""),if((TRUNC(1+10)*(TRUNC(MOD((ROW(H763)*1103515245 +12345)/ 65536, 32768),0)/32768)/10) &gt; 0.85,INDEX(NPCFaction,TRUNC(1+(counta(NPCFaction)-1)*(TRUNC(MOD(($B763*1103515245 +12345)/ 65536, 3276"&amp;"8),0)/32768),0)),QUERY(NPCVar!C:D,""Select D WHERE C = '""&amp;D763&amp;""'"")))"),"Royalty")</f>
        <v>Royalty</v>
      </c>
      <c r="AE763" s="108" t="e">
        <f t="shared" ca="1" si="42"/>
        <v>#NAME?</v>
      </c>
      <c r="AF763" s="159">
        <f ca="1">IFERROR(__xludf.DUMMYFUNCTION("AE763*(V763 / QUERY(NPCVar!$K$2:$N$12, ""Select N WHERE K='""&amp;AB763&amp;""'""))*TRUNC(1+10)*(TRUNC(MOD(($B763*1103515245 +12345)/ 65536, 32768),0)/32768)"),0.000944137573242187)</f>
        <v>9.4413757324218696E-4</v>
      </c>
      <c r="AG763" s="16"/>
      <c r="AH763" s="77"/>
      <c r="AI763" s="114"/>
    </row>
    <row r="764" spans="1:35" ht="16.2">
      <c r="A764" s="53">
        <v>763</v>
      </c>
      <c r="B764" s="118">
        <f t="shared" si="48"/>
        <v>1.5164200000000001</v>
      </c>
      <c r="C764" s="72" t="str">
        <f t="array" ref="C764">INDEX(NPCFName,TRUNC(1+(COUNTA(NPCFName))*(TRUNC(MOD(($B764*1103515245 +12345)/ 65536, 32768),0)/32768),0))</f>
        <v>Fydar</v>
      </c>
      <c r="D764" s="16" t="str">
        <f t="array" ref="D764">INDEX(NPCLName,TRUNC(1+(COUNTA(NPCLName))*(TRUNC(MOD(($B764*1103515245 +12345)/ 65536, 32768),0)/32768),0))</f>
        <v>Truthdoom</v>
      </c>
      <c r="E764" s="16" t="str">
        <f t="array" ref="E764">INDEX(NPCClass,TRUNC(1+(COUNTA(NPCClass))*(TRUNC(MOD(($B764*1103515245 +12345)/ 65536, 32768),0)/32768),0))</f>
        <v>Cleric</v>
      </c>
      <c r="F764" s="76">
        <v>8</v>
      </c>
      <c r="G764" s="153">
        <f ca="1">VLOOKUP($AB$2,'RF Mod'!$A$2:$G$12,2,FALSE)+VLOOKUP($AD$2,'RF Mod'!$I$2:$O$11,2,FALSE)+(TRUNC(6+(24-6)*(TRUNC(MOD(($Z764*1103515245 +12345)/ 65536, 32768),0)/32768),0))</f>
        <v>11</v>
      </c>
      <c r="H764" s="16" t="e">
        <f t="shared" ca="1" si="33"/>
        <v>#NAME?</v>
      </c>
      <c r="I764" s="153">
        <f ca="1">VLOOKUP($AB$2,'RF Mod'!$A$2:$G$12,3,FALSE)+VLOOKUP($AD$2,'RF Mod'!$I$2:$O$11,3,FALSE)+(TRUNC(6+(24-6)*(TRUNC(MOD(($Z764*1103515245 +12345)/ 65536, 32768),0)/32768),0))</f>
        <v>15</v>
      </c>
      <c r="J764" s="16" t="e">
        <f t="shared" ca="1" si="34"/>
        <v>#NAME?</v>
      </c>
      <c r="K764" s="153">
        <f ca="1">VLOOKUP($AB$2,'RF Mod'!$A$2:$G$12,3,FALSE)+VLOOKUP($AD$2,'RF Mod'!$I$2:$O$11,3,FALSE)+(TRUNC(6+(24-6)*(TRUNC(MOD(($Z764*1103515245 +12345)/ 65536, 32768),0)/32768),0))</f>
        <v>15</v>
      </c>
      <c r="L764" s="16" t="e">
        <f t="shared" ca="1" si="35"/>
        <v>#NAME?</v>
      </c>
      <c r="M764" s="153">
        <f ca="1">VLOOKUP($AB$2,'RF Mod'!$A$2:$G$12,4,FALSE)+VLOOKUP($AD$2,'RF Mod'!$I$2:$O$11,4,FALSE)+(TRUNC(6+(24-6)*(TRUNC(MOD(($Z764*1103515245 +12345)/ 65536, 32768),0)/32768),0))</f>
        <v>14</v>
      </c>
      <c r="N764" s="16" t="e">
        <f t="shared" ca="1" si="36"/>
        <v>#NAME?</v>
      </c>
      <c r="O764" s="153">
        <f ca="1">VLOOKUP($AB$2,'RF Mod'!$A$2:$G$12,5,FALSE)+VLOOKUP($AD$2,'RF Mod'!$I$2:$O$11,5,FALSE)+(TRUNC(6+(24-6)*(TRUNC(MOD(($Z764*1103515245 +12345)/ 65536, 32768),0)/32768),0))</f>
        <v>17</v>
      </c>
      <c r="P764" s="16" t="e">
        <f t="shared" ca="1" si="37"/>
        <v>#NAME?</v>
      </c>
      <c r="Q764" s="153">
        <f ca="1">VLOOKUP($AB$2,'RF Mod'!$A$2:$G$12,6,FALSE)+VLOOKUP($AD$2,'RF Mod'!$I$2:$O$11,6,FALSE)+(TRUNC(6+(24-6)*(TRUNC(MOD(($Z764*1103515245 +12345)/ 65536, 32768),0)/32768),0))</f>
        <v>15</v>
      </c>
      <c r="R764" s="16" t="e">
        <f t="shared" ca="1" si="38"/>
        <v>#NAME?</v>
      </c>
      <c r="S764" s="154">
        <f t="shared" ca="1" si="43"/>
        <v>232</v>
      </c>
      <c r="T764" s="154">
        <f t="shared" ca="1" si="39"/>
        <v>266</v>
      </c>
      <c r="U764" s="16" t="str">
        <f t="shared" ca="1" si="40"/>
        <v>Dead</v>
      </c>
      <c r="V764" s="155">
        <f ca="1">IFERROR(__xludf.DUMMYFUNCTION("if(W764=""Middle Age"",QUERY(NPCVar!$K$2:$N1000, ""Select L where K = '""&amp;AB764&amp;""'""),if(W764=""Old"",QUERY(NPCVar!$K$2:$N1000, ""Select M where K = '""&amp;AB764&amp;""'""),if(W764=""Venerable"",QUERY(NPCVar!$K$2:$N1000, ""Select N where K = '""&amp;AB764&amp;""'""),fa"&amp;"lse)))*X764"),190)</f>
        <v>190</v>
      </c>
      <c r="W764" s="156" t="str">
        <f t="array" ref="W764">INDEX(NPCAgeType,TRUNC(1+(4-1)*(TRUNC(MOD((X764*1103515245 +12345)/ 65536, 32768),0)/32768),0))</f>
        <v>Venerable</v>
      </c>
      <c r="X764" s="117">
        <f t="shared" si="45"/>
        <v>1.9</v>
      </c>
      <c r="Y764" s="157" t="e">
        <f t="array" aca="1" ref="Y764" ca="1">LOOKUP(ABS(MAX(Z764 + MIN(ABS(INDIRECT("Class Jobs!B"&amp;MATCH(E764,'Class Jobs'!$A$1:$A1000,0)&amp;":"&amp;"AF"&amp;MATCH(E764,'Class Jobs'!$A$1:$A1000,0)&amp;"")-$Z764)) * SUM(IF(MIN(ABS(INDIRECT("Class Jobs!B"&amp;MATCH(E764,'Class Jobs'!$A$1:$A1000,0)&amp;":"&amp;"AF"&amp;MATCH(E764,'Class Jobs'!$A$1:$A1000,0)&amp;"")-$Z764))=ABS(INDIRECT("Class Jobs!B"&amp;MATCH(E764,'Class Jobs'!$A$1:$A1000,0)&amp;":"&amp;"AF"&amp;MATCH(E764,'Class Jobs'!$A$1:$A1000,0)&amp;"")-$Z764),SIGN(INDIRECT("Class Jobs!B"&amp;MATCH(E764,'Class Jobs'!$A$1:A1000,0)&amp;":"&amp;"AF"&amp;MATCH(E764,'Class Jobs'!$A$1:$A1000,0)&amp;"")-$Z764),0)),0)),INDIRECT("Class Jobs!B"&amp;MATCH(E764,'Class Jobs'!$A$1:$A1000,0)&amp;":"&amp;"AF"&amp;MATCH(E764,'Class Jobs'!$A$1:$A1000,1)&amp;""),'Class Jobs'!$B$1:$AF$1)</f>
        <v>#REF!</v>
      </c>
      <c r="Z764" s="158">
        <f t="shared" si="41"/>
        <v>0.78</v>
      </c>
      <c r="AA764" s="16" t="str">
        <f t="array" ref="AA764">INDEX(NPCGender,TRUNC(1+(COUNTA(NPCGender))*(TRUNC(MOD(($B764*1103515245 +12345)/ 65536, 32768),0)/32768),0))</f>
        <v>Neutral</v>
      </c>
      <c r="AB764" s="16" t="str">
        <f t="array" ref="AB764">INDEX(NPCRace,TRUNC(1+(COUNTA(NPCRace))*(TRUNC(MOD(($B764*1103515245 +12345)/ 65536, 32768),0)/32768),0))</f>
        <v>Tiefling</v>
      </c>
      <c r="AC764" s="16" t="str">
        <f t="array" ref="AC764">INDEX(NPCAL,TRUNC(1+(COUNTA(NPCAL))*(TRUNC(MOD(($B764*1103515245 +12345)/ 65536, 32768),0)/32768),0))</f>
        <v>LN</v>
      </c>
      <c r="AD764" s="72" t="str">
        <f ca="1">IFERROR(__xludf.DUMMYFUNCTION("if(V764&lt;15,QUERY(NPCVar!C:D,""Select D WHERE C = '""&amp;D764&amp;""'""),if((TRUNC(1+10)*(TRUNC(MOD((ROW(H764)*1103515245 +12345)/ 65536, 32768),0)/32768)/10) &gt; 0.85,INDEX(NPCFaction,TRUNC(1+(counta(NPCFaction)-1)*(TRUNC(MOD(($B764*1103515245 +12345)/ 65536, 3276"&amp;"8),0)/32768),0)),QUERY(NPCVar!C:D,""Select D WHERE C = '""&amp;D764&amp;""'"")))"),"Traverlers Guild")</f>
        <v>Traverlers Guild</v>
      </c>
      <c r="AE764" s="108" t="e">
        <f t="shared" ca="1" si="42"/>
        <v>#NAME?</v>
      </c>
      <c r="AF764" s="159">
        <f ca="1">IFERROR(__xludf.DUMMYFUNCTION("AE764*(V764 / QUERY(NPCVar!$K$2:$N$12, ""Select N WHERE K='""&amp;AB764&amp;""'""))*TRUNC(1+10)*(TRUNC(MOD(($B764*1103515245 +12345)/ 65536, 32768),0)/32768)"),3.25720581054687)</f>
        <v>3.25720581054687</v>
      </c>
      <c r="AG764" s="16"/>
      <c r="AH764" s="77"/>
      <c r="AI764" s="114"/>
    </row>
    <row r="765" spans="1:35" ht="16.2">
      <c r="A765" s="53">
        <v>764</v>
      </c>
      <c r="B765" s="118">
        <f t="shared" si="48"/>
        <v>0.51056000000000001</v>
      </c>
      <c r="C765" s="72" t="str">
        <f t="array" ref="C765">INDEX(NPCFName,TRUNC(1+(COUNTA(NPCFName))*(TRUNC(MOD(($B765*1103515245 +12345)/ 65536, 32768),0)/32768),0))</f>
        <v>Senthyril</v>
      </c>
      <c r="D765" s="16" t="str">
        <f t="array" ref="D765">INDEX(NPCLName,TRUNC(1+(COUNTA(NPCLName))*(TRUNC(MOD(($B765*1103515245 +12345)/ 65536, 32768),0)/32768),0))</f>
        <v>Tuskleaf</v>
      </c>
      <c r="E765" s="16" t="str">
        <f t="array" ref="E765">INDEX(NPCClass,TRUNC(1+(COUNTA(NPCClass))*(TRUNC(MOD(($B765*1103515245 +12345)/ 65536, 32768),0)/32768),0))</f>
        <v>Monk</v>
      </c>
      <c r="F765" s="76">
        <v>1</v>
      </c>
      <c r="G765" s="153">
        <f ca="1">VLOOKUP($AB$2,'RF Mod'!$A$2:$G$12,2,FALSE)+VLOOKUP($AD$2,'RF Mod'!$I$2:$O$11,2,FALSE)+(TRUNC(6+(24-6)*(TRUNC(MOD(($Z765*1103515245 +12345)/ 65536, 32768),0)/32768),0))</f>
        <v>6</v>
      </c>
      <c r="H765" s="16">
        <f t="shared" ca="1" si="33"/>
        <v>-2</v>
      </c>
      <c r="I765" s="153">
        <f ca="1">VLOOKUP($AB$2,'RF Mod'!$A$2:$G$12,3,FALSE)+VLOOKUP($AD$2,'RF Mod'!$I$2:$O$11,3,FALSE)+(TRUNC(6+(24-6)*(TRUNC(MOD(($Z765*1103515245 +12345)/ 65536, 32768),0)/32768),0))</f>
        <v>10</v>
      </c>
      <c r="J765" s="16" t="e">
        <f t="shared" ca="1" si="34"/>
        <v>#NAME?</v>
      </c>
      <c r="K765" s="153">
        <f ca="1">VLOOKUP($AB$2,'RF Mod'!$A$2:$G$12,3,FALSE)+VLOOKUP($AD$2,'RF Mod'!$I$2:$O$11,3,FALSE)+(TRUNC(6+(24-6)*(TRUNC(MOD(($Z765*1103515245 +12345)/ 65536, 32768),0)/32768),0))</f>
        <v>10</v>
      </c>
      <c r="L765" s="16" t="e">
        <f t="shared" ca="1" si="35"/>
        <v>#NAME?</v>
      </c>
      <c r="M765" s="153">
        <f ca="1">VLOOKUP($AB$2,'RF Mod'!$A$2:$G$12,4,FALSE)+VLOOKUP($AD$2,'RF Mod'!$I$2:$O$11,4,FALSE)+(TRUNC(6+(24-6)*(TRUNC(MOD(($Z765*1103515245 +12345)/ 65536, 32768),0)/32768),0))</f>
        <v>9</v>
      </c>
      <c r="N765" s="16">
        <f t="shared" ca="1" si="36"/>
        <v>-1</v>
      </c>
      <c r="O765" s="153">
        <f ca="1">VLOOKUP($AB$2,'RF Mod'!$A$2:$G$12,5,FALSE)+VLOOKUP($AD$2,'RF Mod'!$I$2:$O$11,5,FALSE)+(TRUNC(6+(24-6)*(TRUNC(MOD(($Z765*1103515245 +12345)/ 65536, 32768),0)/32768),0))</f>
        <v>12</v>
      </c>
      <c r="P765" s="16" t="e">
        <f t="shared" ca="1" si="37"/>
        <v>#NAME?</v>
      </c>
      <c r="Q765" s="153">
        <f ca="1">VLOOKUP($AB$2,'RF Mod'!$A$2:$G$12,6,FALSE)+VLOOKUP($AD$2,'RF Mod'!$I$2:$O$11,6,FALSE)+(TRUNC(6+(24-6)*(TRUNC(MOD(($Z765*1103515245 +12345)/ 65536, 32768),0)/32768),0))</f>
        <v>10</v>
      </c>
      <c r="R765" s="16" t="e">
        <f t="shared" ca="1" si="38"/>
        <v>#NAME?</v>
      </c>
      <c r="S765" s="154">
        <f t="shared" ca="1" si="43"/>
        <v>14</v>
      </c>
      <c r="T765" s="154">
        <f t="shared" ca="1" si="39"/>
        <v>16</v>
      </c>
      <c r="U765" s="16" t="str">
        <f t="shared" ca="1" si="40"/>
        <v>Dead</v>
      </c>
      <c r="V765" s="155">
        <f ca="1">IFERROR(__xludf.DUMMYFUNCTION("if(W765=""Middle Age"",QUERY(NPCVar!$K$2:$N1000, ""Select L where K = '""&amp;AB765&amp;""'""),if(W765=""Old"",QUERY(NPCVar!$K$2:$N1000, ""Select M where K = '""&amp;AB765&amp;""'""),if(W765=""Venerable"",QUERY(NPCVar!$K$2:$N1000, ""Select N where K = '""&amp;AB765&amp;""'""),fa"&amp;"lse)))*X765"),196.875)</f>
        <v>196.875</v>
      </c>
      <c r="W765" s="156" t="str">
        <f t="array" ref="W765">INDEX(NPCAgeType,TRUNC(1+(4-1)*(TRUNC(MOD((X765*1103515245 +12345)/ 65536, 32768),0)/32768),0))</f>
        <v>Old</v>
      </c>
      <c r="X765" s="117">
        <f t="shared" si="45"/>
        <v>0.7</v>
      </c>
      <c r="Y765" s="157" t="e">
        <f t="array" aca="1" ref="Y765" ca="1">LOOKUP(ABS(MAX(Z765 + MIN(ABS(INDIRECT("Class Jobs!B"&amp;MATCH(E765,'Class Jobs'!$A$1:$A1000,0)&amp;":"&amp;"AF"&amp;MATCH(E765,'Class Jobs'!$A$1:$A1000,0)&amp;"")-$Z765)) * SUM(IF(MIN(ABS(INDIRECT("Class Jobs!B"&amp;MATCH(E765,'Class Jobs'!$A$1:$A1000,0)&amp;":"&amp;"AF"&amp;MATCH(E765,'Class Jobs'!$A$1:$A1000,0)&amp;"")-$Z765))=ABS(INDIRECT("Class Jobs!B"&amp;MATCH(E765,'Class Jobs'!$A$1:$A1000,0)&amp;":"&amp;"AF"&amp;MATCH(E765,'Class Jobs'!$A$1:$A1000,0)&amp;"")-$Z765),SIGN(INDIRECT("Class Jobs!B"&amp;MATCH(E765,'Class Jobs'!$A$1:A1000,0)&amp;":"&amp;"AF"&amp;MATCH(E765,'Class Jobs'!$A$1:$A1000,0)&amp;"")-$Z765),0)),0)),INDIRECT("Class Jobs!B"&amp;MATCH(E765,'Class Jobs'!$A$1:$A1000,0)&amp;":"&amp;"AF"&amp;MATCH(E765,'Class Jobs'!$A$1:$A1000,1)&amp;""),'Class Jobs'!$B$1:$AF$1)</f>
        <v>#REF!</v>
      </c>
      <c r="Z765" s="158">
        <f t="shared" si="41"/>
        <v>0.26</v>
      </c>
      <c r="AA765" s="16" t="str">
        <f t="array" ref="AA765">INDEX(NPCGender,TRUNC(1+(COUNTA(NPCGender))*(TRUNC(MOD(($B765*1103515245 +12345)/ 65536, 32768),0)/32768),0))</f>
        <v>Male</v>
      </c>
      <c r="AB765" s="16" t="str">
        <f t="array" ref="AB765">INDEX(NPCRace,TRUNC(1+(COUNTA(NPCRace))*(TRUNC(MOD(($B765*1103515245 +12345)/ 65536, 32768),0)/32768),0))</f>
        <v>Elf</v>
      </c>
      <c r="AC765" s="16" t="str">
        <f t="array" ref="AC765">INDEX(NPCAL,TRUNC(1+(COUNTA(NPCAL))*(TRUNC(MOD(($B765*1103515245 +12345)/ 65536, 32768),0)/32768),0))</f>
        <v>CG</v>
      </c>
      <c r="AD765" s="72" t="str">
        <f ca="1">IFERROR(__xludf.DUMMYFUNCTION("if(V765&lt;15,QUERY(NPCVar!C:D,""Select D WHERE C = '""&amp;D765&amp;""'""),if((TRUNC(1+10)*(TRUNC(MOD((ROW(H765)*1103515245 +12345)/ 65536, 32768),0)/32768)/10) &gt; 0.85,INDEX(NPCFaction,TRUNC(1+(counta(NPCFaction)-1)*(TRUNC(MOD(($B765*1103515245 +12345)/ 65536, 3276"&amp;"8),0)/32768),0)),QUERY(NPCVar!C:D,""Select D WHERE C = '""&amp;D765&amp;""'"")))"),"Magic Guild")</f>
        <v>Magic Guild</v>
      </c>
      <c r="AE765" s="108" t="e">
        <f t="shared" ca="1" si="42"/>
        <v>#NAME?</v>
      </c>
      <c r="AF765" s="159">
        <f ca="1">IFERROR(__xludf.DUMMYFUNCTION("AE765*(V765 / QUERY(NPCVar!$K$2:$N$12, ""Select N WHERE K='""&amp;AB765&amp;""'""))*TRUNC(1+10)*(TRUNC(MOD(($B765*1103515245 +12345)/ 65536, 32768),0)/32768)"),0.303025360107421)</f>
        <v>0.30302536010742098</v>
      </c>
      <c r="AG765" s="16"/>
      <c r="AH765" s="77"/>
      <c r="AI765" s="114"/>
    </row>
    <row r="766" spans="1:35" ht="16.2">
      <c r="A766" s="53">
        <v>765</v>
      </c>
      <c r="B766" s="118">
        <f t="shared" si="48"/>
        <v>2.0047000000000001</v>
      </c>
      <c r="C766" s="72" t="str">
        <f t="array" ref="C766">INDEX(NPCFName,TRUNC(1+(COUNTA(NPCFName))*(TRUNC(MOD(($B766*1103515245 +12345)/ 65536, 32768),0)/32768),0))</f>
        <v>Beson</v>
      </c>
      <c r="D766" s="16" t="str">
        <f t="array" ref="D766">INDEX(NPCLName,TRUNC(1+(COUNTA(NPCLName))*(TRUNC(MOD(($B766*1103515245 +12345)/ 65536, 32768),0)/32768),0))</f>
        <v>Stagfang</v>
      </c>
      <c r="E766" s="16" t="str">
        <f t="array" ref="E766">INDEX(NPCClass,TRUNC(1+(COUNTA(NPCClass))*(TRUNC(MOD(($B766*1103515245 +12345)/ 65536, 32768),0)/32768),0))</f>
        <v>Barbarian</v>
      </c>
      <c r="F766" s="76">
        <v>1</v>
      </c>
      <c r="G766" s="153">
        <f ca="1">VLOOKUP($AB$2,'RF Mod'!$A$2:$G$12,2,FALSE)+VLOOKUP($AD$2,'RF Mod'!$I$2:$O$11,2,FALSE)+(TRUNC(6+(24-6)*(TRUNC(MOD(($Z766*1103515245 +12345)/ 65536, 32768),0)/32768),0))</f>
        <v>4</v>
      </c>
      <c r="H766" s="16">
        <f t="shared" ca="1" si="33"/>
        <v>-3</v>
      </c>
      <c r="I766" s="153">
        <f ca="1">VLOOKUP($AB$2,'RF Mod'!$A$2:$G$12,3,FALSE)+VLOOKUP($AD$2,'RF Mod'!$I$2:$O$11,3,FALSE)+(TRUNC(6+(24-6)*(TRUNC(MOD(($Z766*1103515245 +12345)/ 65536, 32768),0)/32768),0))</f>
        <v>8</v>
      </c>
      <c r="J766" s="16">
        <f t="shared" ca="1" si="34"/>
        <v>-1</v>
      </c>
      <c r="K766" s="153">
        <f ca="1">VLOOKUP($AB$2,'RF Mod'!$A$2:$G$12,3,FALSE)+VLOOKUP($AD$2,'RF Mod'!$I$2:$O$11,3,FALSE)+(TRUNC(6+(24-6)*(TRUNC(MOD(($Z766*1103515245 +12345)/ 65536, 32768),0)/32768),0))</f>
        <v>8</v>
      </c>
      <c r="L766" s="16">
        <f t="shared" ca="1" si="35"/>
        <v>-1</v>
      </c>
      <c r="M766" s="153">
        <f ca="1">VLOOKUP($AB$2,'RF Mod'!$A$2:$G$12,4,FALSE)+VLOOKUP($AD$2,'RF Mod'!$I$2:$O$11,4,FALSE)+(TRUNC(6+(24-6)*(TRUNC(MOD(($Z766*1103515245 +12345)/ 65536, 32768),0)/32768),0))</f>
        <v>7</v>
      </c>
      <c r="N766" s="16">
        <f t="shared" ca="1" si="36"/>
        <v>-2</v>
      </c>
      <c r="O766" s="153">
        <f ca="1">VLOOKUP($AB$2,'RF Mod'!$A$2:$G$12,5,FALSE)+VLOOKUP($AD$2,'RF Mod'!$I$2:$O$11,5,FALSE)+(TRUNC(6+(24-6)*(TRUNC(MOD(($Z766*1103515245 +12345)/ 65536, 32768),0)/32768),0))</f>
        <v>10</v>
      </c>
      <c r="P766" s="16" t="e">
        <f t="shared" ca="1" si="37"/>
        <v>#NAME?</v>
      </c>
      <c r="Q766" s="153">
        <f ca="1">VLOOKUP($AB$2,'RF Mod'!$A$2:$G$12,6,FALSE)+VLOOKUP($AD$2,'RF Mod'!$I$2:$O$11,6,FALSE)+(TRUNC(6+(24-6)*(TRUNC(MOD(($Z766*1103515245 +12345)/ 65536, 32768),0)/32768),0))</f>
        <v>8</v>
      </c>
      <c r="R766" s="16">
        <f t="shared" ca="1" si="38"/>
        <v>-1</v>
      </c>
      <c r="S766" s="154">
        <f t="shared" ca="1" si="43"/>
        <v>26</v>
      </c>
      <c r="T766" s="154">
        <f t="shared" ca="1" si="39"/>
        <v>10</v>
      </c>
      <c r="U766" s="16" t="str">
        <f t="shared" ca="1" si="40"/>
        <v>Fine</v>
      </c>
      <c r="V766" s="155">
        <f ca="1">IFERROR(__xludf.DUMMYFUNCTION("if(W766=""Middle Age"",QUERY(NPCVar!$K$2:$N1000, ""Select L where K = '""&amp;AB766&amp;""'""),if(W766=""Old"",QUERY(NPCVar!$K$2:$N1000, ""Select M where K = '""&amp;AB766&amp;""'""),if(W766=""Venerable"",QUERY(NPCVar!$K$2:$N1000, ""Select N where K = '""&amp;AB766&amp;""'""),fa"&amp;"lse)))*X766"),2)</f>
        <v>2</v>
      </c>
      <c r="W766" s="156" t="str">
        <f t="array" ref="W766">INDEX(NPCAgeType,TRUNC(1+(4-1)*(TRUNC(MOD((X766*1103515245 +12345)/ 65536, 32768),0)/32768),0))</f>
        <v>Middle Age</v>
      </c>
      <c r="X766" s="117">
        <f t="shared" si="45"/>
        <v>0.1</v>
      </c>
      <c r="Y766" s="157" t="e">
        <f t="array" aca="1" ref="Y766" ca="1">LOOKUP(ABS(MAX(Z766 + MIN(ABS(INDIRECT("Class Jobs!B"&amp;MATCH(E766,'Class Jobs'!$A$1:$A1000,0)&amp;":"&amp;"AF"&amp;MATCH(E766,'Class Jobs'!$A$1:$A1000,0)&amp;"")-$Z766)) * SUM(IF(MIN(ABS(INDIRECT("Class Jobs!B"&amp;MATCH(E766,'Class Jobs'!$A$1:$A1000,0)&amp;":"&amp;"AF"&amp;MATCH(E766,'Class Jobs'!$A$1:$A1000,0)&amp;"")-$Z766))=ABS(INDIRECT("Class Jobs!B"&amp;MATCH(E766,'Class Jobs'!$A$1:$A1000,0)&amp;":"&amp;"AF"&amp;MATCH(E766,'Class Jobs'!$A$1:$A1000,0)&amp;"")-$Z766),SIGN(INDIRECT("Class Jobs!B"&amp;MATCH(E766,'Class Jobs'!$A$1:A1000,0)&amp;":"&amp;"AF"&amp;MATCH(E766,'Class Jobs'!$A$1:$A1000,0)&amp;"")-$Z766),0)),0)),INDIRECT("Class Jobs!B"&amp;MATCH(E766,'Class Jobs'!$A$1:$A1000,0)&amp;":"&amp;"AF"&amp;MATCH(E766,'Class Jobs'!$A$1:$A1000,1)&amp;""),'Class Jobs'!$B$1:$AF$1)</f>
        <v>#REF!</v>
      </c>
      <c r="Z766" s="158">
        <f t="shared" si="41"/>
        <v>0.03</v>
      </c>
      <c r="AA766" s="16" t="str">
        <f t="array" ref="AA766">INDEX(NPCGender,TRUNC(1+(COUNTA(NPCGender))*(TRUNC(MOD(($B766*1103515245 +12345)/ 65536, 32768),0)/32768),0))</f>
        <v>Male</v>
      </c>
      <c r="AB766" s="16" t="str">
        <f t="array" ref="AB766">INDEX(NPCRace,TRUNC(1+(COUNTA(NPCRace))*(TRUNC(MOD(($B766*1103515245 +12345)/ 65536, 32768),0)/32768),0))</f>
        <v>Dragonborn</v>
      </c>
      <c r="AC766" s="16" t="str">
        <f t="array" ref="AC766">INDEX(NPCAL,TRUNC(1+(COUNTA(NPCAL))*(TRUNC(MOD(($B766*1103515245 +12345)/ 65536, 32768),0)/32768),0))</f>
        <v>CN</v>
      </c>
      <c r="AD766" s="72" t="str">
        <f ca="1">IFERROR(__xludf.DUMMYFUNCTION("if(V766&lt;15,QUERY(NPCVar!C:D,""Select D WHERE C = '""&amp;D766&amp;""'""),if((TRUNC(1+10)*(TRUNC(MOD((ROW(H766)*1103515245 +12345)/ 65536, 32768),0)/32768)/10) &gt; 0.85,INDEX(NPCFaction,TRUNC(1+(counta(NPCFaction)-1)*(TRUNC(MOD(($B766*1103515245 +12345)/ 65536, 3276"&amp;"8),0)/32768),0)),QUERY(NPCVar!C:D,""Select D WHERE C = '""&amp;D766&amp;""'"")))"),"Royalty")</f>
        <v>Royalty</v>
      </c>
      <c r="AE766" s="108" t="e">
        <f t="shared" ca="1" si="42"/>
        <v>#NAME?</v>
      </c>
      <c r="AF766" s="159">
        <f ca="1">IFERROR(__xludf.DUMMYFUNCTION("AE766*(V766 / QUERY(NPCVar!$K$2:$N$12, ""Select N WHERE K='""&amp;AB766&amp;""'""))*TRUNC(1+10)*(TRUNC(MOD(($B766*1103515245 +12345)/ 65536, 32768),0)/32768)"),-0.00165664672851562)</f>
        <v>-1.6566467285156199E-3</v>
      </c>
      <c r="AG766" s="16"/>
      <c r="AH766" s="77"/>
      <c r="AI766" s="114"/>
    </row>
    <row r="767" spans="1:35" ht="16.2">
      <c r="A767" s="53">
        <v>766</v>
      </c>
      <c r="B767" s="118">
        <f t="shared" si="48"/>
        <v>0.99883999999999995</v>
      </c>
      <c r="C767" s="72" t="str">
        <f t="array" ref="C767">INDEX(NPCFName,TRUNC(1+(COUNTA(NPCFName))*(TRUNC(MOD(($B767*1103515245 +12345)/ 65536, 32768),0)/32768),0))</f>
        <v>Lurd</v>
      </c>
      <c r="D767" s="16" t="str">
        <f t="array" ref="D767">INDEX(NPCLName,TRUNC(1+(COUNTA(NPCLName))*(TRUNC(MOD(($B767*1103515245 +12345)/ 65536, 32768),0)/32768),0))</f>
        <v>Staghammer</v>
      </c>
      <c r="E767" s="16" t="str">
        <f t="array" ref="E767">INDEX(NPCClass,TRUNC(1+(COUNTA(NPCClass))*(TRUNC(MOD(($B767*1103515245 +12345)/ 65536, 32768),0)/32768),0))</f>
        <v>Sorcerer</v>
      </c>
      <c r="F767" s="76">
        <v>7</v>
      </c>
      <c r="G767" s="153">
        <f ca="1">VLOOKUP($AB$2,'RF Mod'!$A$2:$G$12,2,FALSE)+VLOOKUP($AD$2,'RF Mod'!$I$2:$O$11,2,FALSE)+(TRUNC(6+(24-6)*(TRUNC(MOD(($Z767*1103515245 +12345)/ 65536, 32768),0)/32768),0))</f>
        <v>8</v>
      </c>
      <c r="H767" s="16">
        <f t="shared" ref="H767:H1000" ca="1" si="49">IF(G767&lt;10, FLOOR(G767/2,1) - 5, _xludf.concat("+", FLOOR(G767/2,1) - 5))</f>
        <v>-1</v>
      </c>
      <c r="I767" s="153">
        <f ca="1">VLOOKUP($AB$2,'RF Mod'!$A$2:$G$12,3,FALSE)+VLOOKUP($AD$2,'RF Mod'!$I$2:$O$11,3,FALSE)+(TRUNC(6+(24-6)*(TRUNC(MOD(($Z767*1103515245 +12345)/ 65536, 32768),0)/32768),0))</f>
        <v>12</v>
      </c>
      <c r="J767" s="16" t="e">
        <f t="shared" ref="J767:J1000" ca="1" si="50">IF(I767&lt;10, FLOOR(I767/2,1) - 5, _xludf.concat("+", FLOOR(I767/2,1) - 5))</f>
        <v>#NAME?</v>
      </c>
      <c r="K767" s="153">
        <f ca="1">VLOOKUP($AB$2,'RF Mod'!$A$2:$G$12,3,FALSE)+VLOOKUP($AD$2,'RF Mod'!$I$2:$O$11,3,FALSE)+(TRUNC(6+(24-6)*(TRUNC(MOD(($Z767*1103515245 +12345)/ 65536, 32768),0)/32768),0))</f>
        <v>12</v>
      </c>
      <c r="L767" s="16" t="e">
        <f t="shared" ref="L767:L1000" ca="1" si="51">IF(K767&lt;10, FLOOR(K767/2,1) - 5, _xludf.concat("+", FLOOR(K767/2,1) - 5))</f>
        <v>#NAME?</v>
      </c>
      <c r="M767" s="153">
        <f ca="1">VLOOKUP($AB$2,'RF Mod'!$A$2:$G$12,4,FALSE)+VLOOKUP($AD$2,'RF Mod'!$I$2:$O$11,4,FALSE)+(TRUNC(6+(24-6)*(TRUNC(MOD(($Z767*1103515245 +12345)/ 65536, 32768),0)/32768),0))</f>
        <v>11</v>
      </c>
      <c r="N767" s="16" t="e">
        <f t="shared" ref="N767:N1000" ca="1" si="52">IF(M767&lt;10, FLOOR(M767/2,1) - 5, _xludf.concat("+", FLOOR(M767/2,1) - 5))</f>
        <v>#NAME?</v>
      </c>
      <c r="O767" s="153">
        <f ca="1">VLOOKUP($AB$2,'RF Mod'!$A$2:$G$12,5,FALSE)+VLOOKUP($AD$2,'RF Mod'!$I$2:$O$11,5,FALSE)+(TRUNC(6+(24-6)*(TRUNC(MOD(($Z767*1103515245 +12345)/ 65536, 32768),0)/32768),0))</f>
        <v>14</v>
      </c>
      <c r="P767" s="16" t="e">
        <f t="shared" ref="P767:P1000" ca="1" si="53">IF(O767&lt;10, FLOOR(O767/2,1) - 5, _xludf.concat("+", FLOOR(O767/2,1) - 5))</f>
        <v>#NAME?</v>
      </c>
      <c r="Q767" s="153">
        <f ca="1">VLOOKUP($AB$2,'RF Mod'!$A$2:$G$12,6,FALSE)+VLOOKUP($AD$2,'RF Mod'!$I$2:$O$11,6,FALSE)+(TRUNC(6+(24-6)*(TRUNC(MOD(($Z767*1103515245 +12345)/ 65536, 32768),0)/32768),0))</f>
        <v>12</v>
      </c>
      <c r="R767" s="16" t="e">
        <f t="shared" ref="R767:R1000" ca="1" si="54">IF(Q767&lt;10, FLOOR(Q767/2,1) - 5, _xludf.concat("+", FLOOR(Q767/2,1) - 5))</f>
        <v>#NAME?</v>
      </c>
      <c r="S767" s="154">
        <f t="shared" ca="1" si="43"/>
        <v>168</v>
      </c>
      <c r="T767" s="154">
        <f t="shared" ref="T767:T1000" ca="1" si="55">RANDBETWEEN(1,(S767*1.2))</f>
        <v>136</v>
      </c>
      <c r="U767" s="16" t="str">
        <f t="shared" ref="U767:U1000" ca="1" si="56">IF(T767=S767,"Unconscious",IF(T767&gt;S767,"Dead",IF(T767&gt;(S767/2),"Bloody","Fine")))</f>
        <v>Bloody</v>
      </c>
      <c r="V767" s="155">
        <f ca="1">IFERROR(__xludf.DUMMYFUNCTION("if(W767=""Middle Age"",QUERY(NPCVar!$K$2:$N1000, ""Select L where K = '""&amp;AB767&amp;""'""),if(W767=""Old"",QUERY(NPCVar!$K$2:$N1000, ""Select M where K = '""&amp;AB767&amp;""'""),if(W767=""Venerable"",QUERY(NPCVar!$K$2:$N1000, ""Select N where K = '""&amp;AB767&amp;""'""),fa"&amp;"lse)))*X767"),91)</f>
        <v>91</v>
      </c>
      <c r="W767" s="156" t="str">
        <f t="array" ref="W767">INDEX(NPCAgeType,TRUNC(1+(4-1)*(TRUNC(MOD((X767*1103515245 +12345)/ 65536, 32768),0)/32768),0))</f>
        <v>Venerable</v>
      </c>
      <c r="X767" s="117">
        <f t="shared" si="45"/>
        <v>1.3</v>
      </c>
      <c r="Y767" s="157" t="e">
        <f t="array" aca="1" ref="Y767" ca="1">LOOKUP(ABS(MAX(Z767 + MIN(ABS(INDIRECT("Class Jobs!B"&amp;MATCH(E767,'Class Jobs'!$A$1:$A1000,0)&amp;":"&amp;"AF"&amp;MATCH(E767,'Class Jobs'!$A$1:$A1000,0)&amp;"")-$Z767)) * SUM(IF(MIN(ABS(INDIRECT("Class Jobs!B"&amp;MATCH(E767,'Class Jobs'!$A$1:$A1000,0)&amp;":"&amp;"AF"&amp;MATCH(E767,'Class Jobs'!$A$1:$A1000,0)&amp;"")-$Z767))=ABS(INDIRECT("Class Jobs!B"&amp;MATCH(E767,'Class Jobs'!$A$1:$A1000,0)&amp;":"&amp;"AF"&amp;MATCH(E767,'Class Jobs'!$A$1:$A1000,0)&amp;"")-$Z767),SIGN(INDIRECT("Class Jobs!B"&amp;MATCH(E767,'Class Jobs'!$A$1:A1000,0)&amp;":"&amp;"AF"&amp;MATCH(E767,'Class Jobs'!$A$1:$A1000,0)&amp;"")-$Z767),0)),0)),INDIRECT("Class Jobs!B"&amp;MATCH(E767,'Class Jobs'!$A$1:$A1000,0)&amp;":"&amp;"AF"&amp;MATCH(E767,'Class Jobs'!$A$1:$A1000,1)&amp;""),'Class Jobs'!$B$1:$AF$1)</f>
        <v>#REF!</v>
      </c>
      <c r="Z767" s="158">
        <f t="shared" ref="Z767:Z1000" si="57">(TRUNC(1+(100-1)*(TRUNC(MOD(($B767*1103515245 +12345)/ 65536, 32768),0)/32768),0))/100</f>
        <v>0.51</v>
      </c>
      <c r="AA767" s="16" t="str">
        <f t="array" ref="AA767">INDEX(NPCGender,TRUNC(1+(COUNTA(NPCGender))*(TRUNC(MOD(($B767*1103515245 +12345)/ 65536, 32768),0)/32768),0))</f>
        <v>Female</v>
      </c>
      <c r="AB767" s="16" t="str">
        <f t="array" ref="AB767">INDEX(NPCRace,TRUNC(1+(COUNTA(NPCRace))*(TRUNC(MOD(($B767*1103515245 +12345)/ 65536, 32768),0)/32768),0))</f>
        <v>Half-Orc</v>
      </c>
      <c r="AC767" s="16" t="str">
        <f t="array" ref="AC767">INDEX(NPCAL,TRUNC(1+(COUNTA(NPCAL))*(TRUNC(MOD(($B767*1103515245 +12345)/ 65536, 32768),0)/32768),0))</f>
        <v>NN</v>
      </c>
      <c r="AD767" s="72" t="str">
        <f ca="1">IFERROR(__xludf.DUMMYFUNCTION("if(V767&lt;15,QUERY(NPCVar!C:D,""Select D WHERE C = '""&amp;D767&amp;""'""),if((TRUNC(1+10)*(TRUNC(MOD((ROW(H767)*1103515245 +12345)/ 65536, 32768),0)/32768)/10) &gt; 0.85,INDEX(NPCFaction,TRUNC(1+(counta(NPCFaction)-1)*(TRUNC(MOD(($B767*1103515245 +12345)/ 65536, 3276"&amp;"8),0)/32768),0)),QUERY(NPCVar!C:D,""Select D WHERE C = '""&amp;D767&amp;""'"")))"),"Farmers Guild")</f>
        <v>Farmers Guild</v>
      </c>
      <c r="AE767" s="108" t="e">
        <f t="shared" ref="AE767:AE1000" ca="1" si="58">(TRUNC(1+(10-1)*(TRUNC(MOD((ROW(B766)*1103515245 +12345)/ 65536, 32768),0)/32768),0)/10)+(MAX(MIN((H767+J767+L767+N767+P767+R767),1),-3)/10)</f>
        <v>#NAME?</v>
      </c>
      <c r="AF767" s="159">
        <f ca="1">IFERROR(__xludf.DUMMYFUNCTION("AE767*(V767 / QUERY(NPCVar!$K$2:$N$12, ""Select N WHERE K='""&amp;AB767&amp;""'""))*TRUNC(1+10)*(TRUNC(MOD(($B767*1103515245 +12345)/ 65536, 32768),0)/32768)"),5.13757873535156)</f>
        <v>5.1375787353515596</v>
      </c>
      <c r="AG767" s="16"/>
      <c r="AH767" s="77"/>
      <c r="AI767" s="114"/>
    </row>
    <row r="768" spans="1:35" ht="16.2">
      <c r="A768" s="53">
        <v>767</v>
      </c>
      <c r="B768" s="118">
        <f t="shared" si="48"/>
        <v>2.4929800000000002</v>
      </c>
      <c r="C768" s="72" t="str">
        <f t="array" ref="C768">INDEX(NPCFName,TRUNC(1+(COUNTA(NPCFName))*(TRUNC(MOD(($B768*1103515245 +12345)/ 65536, 32768),0)/32768),0))</f>
        <v>Tespar</v>
      </c>
      <c r="D768" s="16" t="str">
        <f t="array" ref="D768">INDEX(NPCLName,TRUNC(1+(COUNTA(NPCLName))*(TRUNC(MOD(($B768*1103515245 +12345)/ 65536, 32768),0)/32768),0))</f>
        <v>Commonscream</v>
      </c>
      <c r="E768" s="16" t="str">
        <f t="array" ref="E768">INDEX(NPCClass,TRUNC(1+(COUNTA(NPCClass))*(TRUNC(MOD(($B768*1103515245 +12345)/ 65536, 32768),0)/32768),0))</f>
        <v>Monk</v>
      </c>
      <c r="F768" s="76">
        <v>3</v>
      </c>
      <c r="G768" s="153">
        <f ca="1">VLOOKUP($AB$2,'RF Mod'!$A$2:$G$12,2,FALSE)+VLOOKUP($AD$2,'RF Mod'!$I$2:$O$11,2,FALSE)+(TRUNC(6+(24-6)*(TRUNC(MOD(($Z768*1103515245 +12345)/ 65536, 32768),0)/32768),0))</f>
        <v>6</v>
      </c>
      <c r="H768" s="16">
        <f t="shared" ca="1" si="49"/>
        <v>-2</v>
      </c>
      <c r="I768" s="153">
        <f ca="1">VLOOKUP($AB$2,'RF Mod'!$A$2:$G$12,3,FALSE)+VLOOKUP($AD$2,'RF Mod'!$I$2:$O$11,3,FALSE)+(TRUNC(6+(24-6)*(TRUNC(MOD(($Z768*1103515245 +12345)/ 65536, 32768),0)/32768),0))</f>
        <v>10</v>
      </c>
      <c r="J768" s="16" t="e">
        <f t="shared" ca="1" si="50"/>
        <v>#NAME?</v>
      </c>
      <c r="K768" s="153">
        <f ca="1">VLOOKUP($AB$2,'RF Mod'!$A$2:$G$12,3,FALSE)+VLOOKUP($AD$2,'RF Mod'!$I$2:$O$11,3,FALSE)+(TRUNC(6+(24-6)*(TRUNC(MOD(($Z768*1103515245 +12345)/ 65536, 32768),0)/32768),0))</f>
        <v>10</v>
      </c>
      <c r="L768" s="16" t="e">
        <f t="shared" ca="1" si="51"/>
        <v>#NAME?</v>
      </c>
      <c r="M768" s="153">
        <f ca="1">VLOOKUP($AB$2,'RF Mod'!$A$2:$G$12,4,FALSE)+VLOOKUP($AD$2,'RF Mod'!$I$2:$O$11,4,FALSE)+(TRUNC(6+(24-6)*(TRUNC(MOD(($Z768*1103515245 +12345)/ 65536, 32768),0)/32768),0))</f>
        <v>9</v>
      </c>
      <c r="N768" s="16">
        <f t="shared" ca="1" si="52"/>
        <v>-1</v>
      </c>
      <c r="O768" s="153">
        <f ca="1">VLOOKUP($AB$2,'RF Mod'!$A$2:$G$12,5,FALSE)+VLOOKUP($AD$2,'RF Mod'!$I$2:$O$11,5,FALSE)+(TRUNC(6+(24-6)*(TRUNC(MOD(($Z768*1103515245 +12345)/ 65536, 32768),0)/32768),0))</f>
        <v>12</v>
      </c>
      <c r="P768" s="16" t="e">
        <f t="shared" ca="1" si="53"/>
        <v>#NAME?</v>
      </c>
      <c r="Q768" s="153">
        <f ca="1">VLOOKUP($AB$2,'RF Mod'!$A$2:$G$12,6,FALSE)+VLOOKUP($AD$2,'RF Mod'!$I$2:$O$11,6,FALSE)+(TRUNC(6+(24-6)*(TRUNC(MOD(($Z768*1103515245 +12345)/ 65536, 32768),0)/32768),0))</f>
        <v>10</v>
      </c>
      <c r="R768" s="16" t="e">
        <f t="shared" ca="1" si="54"/>
        <v>#NAME?</v>
      </c>
      <c r="S768" s="154">
        <f t="shared" ref="S768:S1000" ca="1" si="59">(CEILING(20*(TRUNC(1+(10-1)*(TRUNC(MOD((AF768*1103515245 +12345)/ 65536, 32768),0)/32768),0)/10),1)+(K768))*F768</f>
        <v>36</v>
      </c>
      <c r="T768" s="154">
        <f t="shared" ca="1" si="55"/>
        <v>27</v>
      </c>
      <c r="U768" s="16" t="str">
        <f t="shared" ca="1" si="56"/>
        <v>Bloody</v>
      </c>
      <c r="V768" s="155">
        <f ca="1">IFERROR(__xludf.DUMMYFUNCTION("if(W768=""Middle Age"",QUERY(NPCVar!$K$2:$N1000, ""Select L where K = '""&amp;AB768&amp;""'""),if(W768=""Old"",QUERY(NPCVar!$K$2:$N1000, ""Select M where K = '""&amp;AB768&amp;""'""),if(W768=""Venerable"",QUERY(NPCVar!$K$2:$N1000, ""Select N where K = '""&amp;AB768&amp;""'""),fa"&amp;"lse)))*X768"),118.124999999999)</f>
        <v>118.12499999999901</v>
      </c>
      <c r="W768" s="156" t="str">
        <f t="array" ref="W768">INDEX(NPCAgeType,TRUNC(1+(4-1)*(TRUNC(MOD((X768*1103515245 +12345)/ 65536, 32768),0)/32768),0))</f>
        <v>Old</v>
      </c>
      <c r="X768" s="117">
        <f t="shared" si="45"/>
        <v>0.7</v>
      </c>
      <c r="Y768" s="157" t="e">
        <f t="array" aca="1" ref="Y768" ca="1">LOOKUP(ABS(MAX(Z768 + MIN(ABS(INDIRECT("Class Jobs!B"&amp;MATCH(E768,'Class Jobs'!$A$1:$A1000,0)&amp;":"&amp;"AF"&amp;MATCH(E768,'Class Jobs'!$A$1:$A1000,0)&amp;"")-$Z768)) * SUM(IF(MIN(ABS(INDIRECT("Class Jobs!B"&amp;MATCH(E768,'Class Jobs'!$A$1:$A1000,0)&amp;":"&amp;"AF"&amp;MATCH(E768,'Class Jobs'!$A$1:$A1000,0)&amp;"")-$Z768))=ABS(INDIRECT("Class Jobs!B"&amp;MATCH(E768,'Class Jobs'!$A$1:$A1000,0)&amp;":"&amp;"AF"&amp;MATCH(E768,'Class Jobs'!$A$1:$A1000,0)&amp;"")-$Z768),SIGN(INDIRECT("Class Jobs!B"&amp;MATCH(E768,'Class Jobs'!$A$1:A1000,0)&amp;":"&amp;"AF"&amp;MATCH(E768,'Class Jobs'!$A$1:$A1000,0)&amp;"")-$Z768),0)),0)),INDIRECT("Class Jobs!B"&amp;MATCH(E768,'Class Jobs'!$A$1:$A1000,0)&amp;":"&amp;"AF"&amp;MATCH(E768,'Class Jobs'!$A$1:$A1000,1)&amp;""),'Class Jobs'!$B$1:$AF$1)</f>
        <v>#REF!</v>
      </c>
      <c r="Z768" s="158">
        <f t="shared" si="57"/>
        <v>0.28000000000000003</v>
      </c>
      <c r="AA768" s="16" t="str">
        <f t="array" ref="AA768">INDEX(NPCGender,TRUNC(1+(COUNTA(NPCGender))*(TRUNC(MOD(($B768*1103515245 +12345)/ 65536, 32768),0)/32768),0))</f>
        <v>Male</v>
      </c>
      <c r="AB768" s="16" t="str">
        <f t="array" ref="AB768">INDEX(NPCRace,TRUNC(1+(COUNTA(NPCRace))*(TRUNC(MOD(($B768*1103515245 +12345)/ 65536, 32768),0)/32768),0))</f>
        <v>Gnome</v>
      </c>
      <c r="AC768" s="16" t="str">
        <f t="array" ref="AC768">INDEX(NPCAL,TRUNC(1+(COUNTA(NPCAL))*(TRUNC(MOD(($B768*1103515245 +12345)/ 65536, 32768),0)/32768),0))</f>
        <v>CG</v>
      </c>
      <c r="AD768" s="72" t="str">
        <f ca="1">IFERROR(__xludf.DUMMYFUNCTION("if(V768&lt;15,QUERY(NPCVar!C:D,""Select D WHERE C = '""&amp;D768&amp;""'""),if((TRUNC(1+10)*(TRUNC(MOD((ROW(H768)*1103515245 +12345)/ 65536, 32768),0)/32768)/10) &gt; 0.85,INDEX(NPCFaction,TRUNC(1+(counta(NPCFaction)-1)*(TRUNC(MOD(($B768*1103515245 +12345)/ 65536, 3276"&amp;"8),0)/32768),0)),QUERY(NPCVar!C:D,""Select D WHERE C = '""&amp;D768&amp;""'"")))"),"Necromancer")</f>
        <v>Necromancer</v>
      </c>
      <c r="AE768" s="108" t="e">
        <f t="shared" ca="1" si="58"/>
        <v>#NAME?</v>
      </c>
      <c r="AF768" s="159">
        <f ca="1">IFERROR(__xludf.DUMMYFUNCTION("AE768*(V768 / QUERY(NPCVar!$K$2:$N$12, ""Select N WHERE K='""&amp;AB768&amp;""'""))*TRUNC(1+10)*(TRUNC(MOD(($B768*1103515245 +12345)/ 65536, 32768),0)/32768)"),0)</f>
        <v>0</v>
      </c>
      <c r="AG768" s="16"/>
      <c r="AH768" s="77"/>
      <c r="AI768" s="114"/>
    </row>
    <row r="769" spans="1:35" ht="16.2">
      <c r="A769" s="53">
        <v>768</v>
      </c>
      <c r="B769" s="118">
        <f t="shared" si="48"/>
        <v>1.48712</v>
      </c>
      <c r="C769" s="72" t="str">
        <f t="array" ref="C769">INDEX(NPCFName,TRUNC(1+(COUNTA(NPCFName))*(TRUNC(MOD(($B769*1103515245 +12345)/ 65536, 32768),0)/32768),0))</f>
        <v>Espardo</v>
      </c>
      <c r="D769" s="16" t="str">
        <f t="array" ref="D769">INDEX(NPCLName,TRUNC(1+(COUNTA(NPCLName))*(TRUNC(MOD(($B769*1103515245 +12345)/ 65536, 32768),0)/32768),0))</f>
        <v>Sacredgloom</v>
      </c>
      <c r="E769" s="16" t="str">
        <f t="array" ref="E769">INDEX(NPCClass,TRUNC(1+(COUNTA(NPCClass))*(TRUNC(MOD(($B769*1103515245 +12345)/ 65536, 32768),0)/32768),0))</f>
        <v>Cleric</v>
      </c>
      <c r="F769" s="76">
        <v>8</v>
      </c>
      <c r="G769" s="153">
        <f ca="1">VLOOKUP($AB$2,'RF Mod'!$A$2:$G$12,2,FALSE)+VLOOKUP($AD$2,'RF Mod'!$I$2:$O$11,2,FALSE)+(TRUNC(6+(24-6)*(TRUNC(MOD(($Z769*1103515245 +12345)/ 65536, 32768),0)/32768),0))</f>
        <v>11</v>
      </c>
      <c r="H769" s="16" t="e">
        <f t="shared" ca="1" si="49"/>
        <v>#NAME?</v>
      </c>
      <c r="I769" s="153">
        <f ca="1">VLOOKUP($AB$2,'RF Mod'!$A$2:$G$12,3,FALSE)+VLOOKUP($AD$2,'RF Mod'!$I$2:$O$11,3,FALSE)+(TRUNC(6+(24-6)*(TRUNC(MOD(($Z769*1103515245 +12345)/ 65536, 32768),0)/32768),0))</f>
        <v>15</v>
      </c>
      <c r="J769" s="16" t="e">
        <f t="shared" ca="1" si="50"/>
        <v>#NAME?</v>
      </c>
      <c r="K769" s="153">
        <f ca="1">VLOOKUP($AB$2,'RF Mod'!$A$2:$G$12,3,FALSE)+VLOOKUP($AD$2,'RF Mod'!$I$2:$O$11,3,FALSE)+(TRUNC(6+(24-6)*(TRUNC(MOD(($Z769*1103515245 +12345)/ 65536, 32768),0)/32768),0))</f>
        <v>15</v>
      </c>
      <c r="L769" s="16" t="e">
        <f t="shared" ca="1" si="51"/>
        <v>#NAME?</v>
      </c>
      <c r="M769" s="153">
        <f ca="1">VLOOKUP($AB$2,'RF Mod'!$A$2:$G$12,4,FALSE)+VLOOKUP($AD$2,'RF Mod'!$I$2:$O$11,4,FALSE)+(TRUNC(6+(24-6)*(TRUNC(MOD(($Z769*1103515245 +12345)/ 65536, 32768),0)/32768),0))</f>
        <v>14</v>
      </c>
      <c r="N769" s="16" t="e">
        <f t="shared" ca="1" si="52"/>
        <v>#NAME?</v>
      </c>
      <c r="O769" s="153">
        <f ca="1">VLOOKUP($AB$2,'RF Mod'!$A$2:$G$12,5,FALSE)+VLOOKUP($AD$2,'RF Mod'!$I$2:$O$11,5,FALSE)+(TRUNC(6+(24-6)*(TRUNC(MOD(($Z769*1103515245 +12345)/ 65536, 32768),0)/32768),0))</f>
        <v>17</v>
      </c>
      <c r="P769" s="16" t="e">
        <f t="shared" ca="1" si="53"/>
        <v>#NAME?</v>
      </c>
      <c r="Q769" s="153">
        <f ca="1">VLOOKUP($AB$2,'RF Mod'!$A$2:$G$12,6,FALSE)+VLOOKUP($AD$2,'RF Mod'!$I$2:$O$11,6,FALSE)+(TRUNC(6+(24-6)*(TRUNC(MOD(($Z769*1103515245 +12345)/ 65536, 32768),0)/32768),0))</f>
        <v>15</v>
      </c>
      <c r="R769" s="16" t="e">
        <f t="shared" ca="1" si="54"/>
        <v>#NAME?</v>
      </c>
      <c r="S769" s="154">
        <f t="shared" ca="1" si="59"/>
        <v>232</v>
      </c>
      <c r="T769" s="154">
        <f t="shared" ca="1" si="55"/>
        <v>275</v>
      </c>
      <c r="U769" s="16" t="str">
        <f t="shared" ca="1" si="56"/>
        <v>Dead</v>
      </c>
      <c r="V769" s="155">
        <f ca="1">IFERROR(__xludf.DUMMYFUNCTION("if(W769=""Middle Age"",QUERY(NPCVar!$K$2:$N1000, ""Select L where K = '""&amp;AB769&amp;""'""),if(W769=""Old"",QUERY(NPCVar!$K$2:$N1000, ""Select M where K = '""&amp;AB769&amp;""'""),if(W769=""Venerable"",QUERY(NPCVar!$K$2:$N1000, ""Select N where K = '""&amp;AB769&amp;""'""),fa"&amp;"lse)))*X769"),190)</f>
        <v>190</v>
      </c>
      <c r="W769" s="156" t="str">
        <f t="array" ref="W769">INDEX(NPCAgeType,TRUNC(1+(4-1)*(TRUNC(MOD((X769*1103515245 +12345)/ 65536, 32768),0)/32768),0))</f>
        <v>Venerable</v>
      </c>
      <c r="X769" s="117">
        <f t="shared" si="45"/>
        <v>1.9</v>
      </c>
      <c r="Y769" s="157" t="e">
        <f t="array" aca="1" ref="Y769" ca="1">LOOKUP(ABS(MAX(Z769 + MIN(ABS(INDIRECT("Class Jobs!B"&amp;MATCH(E769,'Class Jobs'!$A$1:$A1000,0)&amp;":"&amp;"AF"&amp;MATCH(E769,'Class Jobs'!$A$1:$A1000,0)&amp;"")-$Z769)) * SUM(IF(MIN(ABS(INDIRECT("Class Jobs!B"&amp;MATCH(E769,'Class Jobs'!$A$1:$A1000,0)&amp;":"&amp;"AF"&amp;MATCH(E769,'Class Jobs'!$A$1:$A1000,0)&amp;"")-$Z769))=ABS(INDIRECT("Class Jobs!B"&amp;MATCH(E769,'Class Jobs'!$A$1:$A1000,0)&amp;":"&amp;"AF"&amp;MATCH(E769,'Class Jobs'!$A$1:$A1000,0)&amp;"")-$Z769),SIGN(INDIRECT("Class Jobs!B"&amp;MATCH(E769,'Class Jobs'!$A$1:A1000,0)&amp;":"&amp;"AF"&amp;MATCH(E769,'Class Jobs'!$A$1:$A1000,0)&amp;"")-$Z769),0)),0)),INDIRECT("Class Jobs!B"&amp;MATCH(E769,'Class Jobs'!$A$1:$A1000,0)&amp;":"&amp;"AF"&amp;MATCH(E769,'Class Jobs'!$A$1:$A1000,1)&amp;""),'Class Jobs'!$B$1:$AF$1)</f>
        <v>#REF!</v>
      </c>
      <c r="Z769" s="158">
        <f t="shared" si="57"/>
        <v>0.76</v>
      </c>
      <c r="AA769" s="16" t="str">
        <f t="array" ref="AA769">INDEX(NPCGender,TRUNC(1+(COUNTA(NPCGender))*(TRUNC(MOD(($B769*1103515245 +12345)/ 65536, 32768),0)/32768),0))</f>
        <v>Neutral</v>
      </c>
      <c r="AB769" s="16" t="str">
        <f t="array" ref="AB769">INDEX(NPCRace,TRUNC(1+(COUNTA(NPCRace))*(TRUNC(MOD(($B769*1103515245 +12345)/ 65536, 32768),0)/32768),0))</f>
        <v>Tiefling</v>
      </c>
      <c r="AC769" s="16" t="str">
        <f t="array" ref="AC769">INDEX(NPCAL,TRUNC(1+(COUNTA(NPCAL))*(TRUNC(MOD(($B769*1103515245 +12345)/ 65536, 32768),0)/32768),0))</f>
        <v>LG</v>
      </c>
      <c r="AD769" s="72" t="str">
        <f ca="1">IFERROR(__xludf.DUMMYFUNCTION("if(V769&lt;15,QUERY(NPCVar!C:D,""Select D WHERE C = '""&amp;D769&amp;""'""),if((TRUNC(1+10)*(TRUNC(MOD((ROW(H769)*1103515245 +12345)/ 65536, 32768),0)/32768)/10) &gt; 0.85,INDEX(NPCFaction,TRUNC(1+(counta(NPCFaction)-1)*(TRUNC(MOD(($B769*1103515245 +12345)/ 65536, 3276"&amp;"8),0)/32768),0)),QUERY(NPCVar!C:D,""Select D WHERE C = '""&amp;D769&amp;""'"")))"),"Adventures Guild")</f>
        <v>Adventures Guild</v>
      </c>
      <c r="AE769" s="108" t="e">
        <f t="shared" ca="1" si="58"/>
        <v>#NAME?</v>
      </c>
      <c r="AF769" s="159">
        <f ca="1">IFERROR(__xludf.DUMMYFUNCTION("AE769*(V769 / QUERY(NPCVar!$K$2:$N$12, ""Select N WHERE K='""&amp;AB769&amp;""'""))*TRUNC(1+10)*(TRUNC(MOD(($B769*1103515245 +12345)/ 65536, 32768),0)/32768)"),11.1796630859374)</f>
        <v>11.179663085937401</v>
      </c>
      <c r="AG769" s="16"/>
      <c r="AH769" s="77"/>
      <c r="AI769" s="114"/>
    </row>
    <row r="770" spans="1:35" ht="16.2">
      <c r="A770" s="53">
        <v>769</v>
      </c>
      <c r="B770" s="118">
        <f t="shared" ref="B770:B833" si="60">(TRUNC(1+(250000-1)*(TRUNC(MOD(((Seed*ROW())*1103515245 +12345)/ 65536, 32768),0)/32768),0))/100000</f>
        <v>0.48119000000000001</v>
      </c>
      <c r="C770" s="72" t="str">
        <f t="array" ref="C770">INDEX(NPCFName,TRUNC(1+(COUNTA(NPCFName))*(TRUNC(MOD(($B770*1103515245 +12345)/ 65536, 32768),0)/32768),0))</f>
        <v>Ritic</v>
      </c>
      <c r="D770" s="16" t="str">
        <f t="array" ref="D770">INDEX(NPCLName,TRUNC(1+(COUNTA(NPCLName))*(TRUNC(MOD(($B770*1103515245 +12345)/ 65536, 32768),0)/32768),0))</f>
        <v>Tuskleaf</v>
      </c>
      <c r="E770" s="16" t="str">
        <f t="array" ref="E770">INDEX(NPCClass,TRUNC(1+(COUNTA(NPCClass))*(TRUNC(MOD(($B770*1103515245 +12345)/ 65536, 32768),0)/32768),0))</f>
        <v>Druid</v>
      </c>
      <c r="F770" s="76">
        <v>1</v>
      </c>
      <c r="G770" s="153">
        <f ca="1">VLOOKUP($AB$2,'RF Mod'!$A$2:$G$12,2,FALSE)+VLOOKUP($AD$2,'RF Mod'!$I$2:$O$11,2,FALSE)+(TRUNC(6+(24-6)*(TRUNC(MOD(($Z770*1103515245 +12345)/ 65536, 32768),0)/32768),0))</f>
        <v>6</v>
      </c>
      <c r="H770" s="16">
        <f t="shared" ca="1" si="49"/>
        <v>-2</v>
      </c>
      <c r="I770" s="153">
        <f ca="1">VLOOKUP($AB$2,'RF Mod'!$A$2:$G$12,3,FALSE)+VLOOKUP($AD$2,'RF Mod'!$I$2:$O$11,3,FALSE)+(TRUNC(6+(24-6)*(TRUNC(MOD(($Z770*1103515245 +12345)/ 65536, 32768),0)/32768),0))</f>
        <v>10</v>
      </c>
      <c r="J770" s="16" t="e">
        <f t="shared" ca="1" si="50"/>
        <v>#NAME?</v>
      </c>
      <c r="K770" s="153">
        <f ca="1">VLOOKUP($AB$2,'RF Mod'!$A$2:$G$12,3,FALSE)+VLOOKUP($AD$2,'RF Mod'!$I$2:$O$11,3,FALSE)+(TRUNC(6+(24-6)*(TRUNC(MOD(($Z770*1103515245 +12345)/ 65536, 32768),0)/32768),0))</f>
        <v>10</v>
      </c>
      <c r="L770" s="16" t="e">
        <f t="shared" ca="1" si="51"/>
        <v>#NAME?</v>
      </c>
      <c r="M770" s="153">
        <f ca="1">VLOOKUP($AB$2,'RF Mod'!$A$2:$G$12,4,FALSE)+VLOOKUP($AD$2,'RF Mod'!$I$2:$O$11,4,FALSE)+(TRUNC(6+(24-6)*(TRUNC(MOD(($Z770*1103515245 +12345)/ 65536, 32768),0)/32768),0))</f>
        <v>9</v>
      </c>
      <c r="N770" s="16">
        <f t="shared" ca="1" si="52"/>
        <v>-1</v>
      </c>
      <c r="O770" s="153">
        <f ca="1">VLOOKUP($AB$2,'RF Mod'!$A$2:$G$12,5,FALSE)+VLOOKUP($AD$2,'RF Mod'!$I$2:$O$11,5,FALSE)+(TRUNC(6+(24-6)*(TRUNC(MOD(($Z770*1103515245 +12345)/ 65536, 32768),0)/32768),0))</f>
        <v>12</v>
      </c>
      <c r="P770" s="16" t="e">
        <f t="shared" ca="1" si="53"/>
        <v>#NAME?</v>
      </c>
      <c r="Q770" s="153">
        <f ca="1">VLOOKUP($AB$2,'RF Mod'!$A$2:$G$12,6,FALSE)+VLOOKUP($AD$2,'RF Mod'!$I$2:$O$11,6,FALSE)+(TRUNC(6+(24-6)*(TRUNC(MOD(($Z770*1103515245 +12345)/ 65536, 32768),0)/32768),0))</f>
        <v>10</v>
      </c>
      <c r="R770" s="16" t="e">
        <f t="shared" ca="1" si="54"/>
        <v>#NAME?</v>
      </c>
      <c r="S770" s="154">
        <f t="shared" ca="1" si="59"/>
        <v>12</v>
      </c>
      <c r="T770" s="154">
        <f t="shared" ca="1" si="55"/>
        <v>4</v>
      </c>
      <c r="U770" s="16" t="str">
        <f t="shared" ca="1" si="56"/>
        <v>Fine</v>
      </c>
      <c r="V770" s="155">
        <f ca="1">IFERROR(__xludf.DUMMYFUNCTION("if(W770=""Middle Age"",QUERY(NPCVar!$K$2:$N1000, ""Select L where K = '""&amp;AB770&amp;""'""),if(W770=""Old"",QUERY(NPCVar!$K$2:$N1000, ""Select M where K = '""&amp;AB770&amp;""'""),if(W770=""Venerable"",QUERY(NPCVar!$K$2:$N1000, ""Select N where K = '""&amp;AB770&amp;""'""),fa"&amp;"lse)))*X770"),112.5)</f>
        <v>112.5</v>
      </c>
      <c r="W770" s="156" t="str">
        <f t="array" ref="W770">INDEX(NPCAgeType,TRUNC(1+(4-1)*(TRUNC(MOD((X770*1103515245 +12345)/ 65536, 32768),0)/32768),0))</f>
        <v>Middle Age</v>
      </c>
      <c r="X770" s="117">
        <f t="shared" ref="X770:X1000" si="61">(TRUNC(1+(25-1)*(TRUNC(MOD(($B770*1103515245 +12345)/ 65536, 32768),0)/32768),0))/10</f>
        <v>0.6</v>
      </c>
      <c r="Y770" s="157" t="e">
        <f t="array" aca="1" ref="Y770" ca="1">LOOKUP(ABS(MAX(Z770 + MIN(ABS(INDIRECT("Class Jobs!B"&amp;MATCH(E770,'Class Jobs'!$A$1:$A1000,0)&amp;":"&amp;"AF"&amp;MATCH(E770,'Class Jobs'!$A$1:$A1000,0)&amp;"")-$Z770)) * SUM(IF(MIN(ABS(INDIRECT("Class Jobs!B"&amp;MATCH(E770,'Class Jobs'!$A$1:$A1000,0)&amp;":"&amp;"AF"&amp;MATCH(E770,'Class Jobs'!$A$1:$A1000,0)&amp;"")-$Z770))=ABS(INDIRECT("Class Jobs!B"&amp;MATCH(E770,'Class Jobs'!$A$1:$A1000,0)&amp;":"&amp;"AF"&amp;MATCH(E770,'Class Jobs'!$A$1:$A1000,0)&amp;"")-$Z770),SIGN(INDIRECT("Class Jobs!B"&amp;MATCH(E770,'Class Jobs'!$A$1:A1000,0)&amp;":"&amp;"AF"&amp;MATCH(E770,'Class Jobs'!$A$1:$A1000,0)&amp;"")-$Z770),0)),0)),INDIRECT("Class Jobs!B"&amp;MATCH(E770,'Class Jobs'!$A$1:$A1000,0)&amp;":"&amp;"AF"&amp;MATCH(E770,'Class Jobs'!$A$1:$A1000,1)&amp;""),'Class Jobs'!$B$1:$AF$1)</f>
        <v>#REF!</v>
      </c>
      <c r="Z770" s="158">
        <f t="shared" si="57"/>
        <v>0.25</v>
      </c>
      <c r="AA770" s="16" t="str">
        <f t="array" ref="AA770">INDEX(NPCGender,TRUNC(1+(COUNTA(NPCGender))*(TRUNC(MOD(($B770*1103515245 +12345)/ 65536, 32768),0)/32768),0))</f>
        <v>Male</v>
      </c>
      <c r="AB770" s="16" t="str">
        <f t="array" ref="AB770">INDEX(NPCRace,TRUNC(1+(COUNTA(NPCRace))*(TRUNC(MOD(($B770*1103515245 +12345)/ 65536, 32768),0)/32768),0))</f>
        <v>Elf</v>
      </c>
      <c r="AC770" s="16" t="str">
        <f t="array" ref="AC770">INDEX(NPCAL,TRUNC(1+(COUNTA(NPCAL))*(TRUNC(MOD(($B770*1103515245 +12345)/ 65536, 32768),0)/32768),0))</f>
        <v>CG</v>
      </c>
      <c r="AD770" s="72" t="str">
        <f ca="1">IFERROR(__xludf.DUMMYFUNCTION("if(V770&lt;15,QUERY(NPCVar!C:D,""Select D WHERE C = '""&amp;D770&amp;""'""),if((TRUNC(1+10)*(TRUNC(MOD((ROW(H770)*1103515245 +12345)/ 65536, 32768),0)/32768)/10) &gt; 0.85,INDEX(NPCFaction,TRUNC(1+(counta(NPCFaction)-1)*(TRUNC(MOD(($B770*1103515245 +12345)/ 65536, 3276"&amp;"8),0)/32768),0)),QUERY(NPCVar!C:D,""Select D WHERE C = '""&amp;D770&amp;""'"")))"),"Magic Guild")</f>
        <v>Magic Guild</v>
      </c>
      <c r="AE770" s="108" t="e">
        <f t="shared" ca="1" si="58"/>
        <v>#NAME?</v>
      </c>
      <c r="AF770" s="159">
        <f ca="1">IFERROR(__xludf.DUMMYFUNCTION("AE770*(V770 / QUERY(NPCVar!$K$2:$N$12, ""Select N WHERE K='""&amp;AB770&amp;""'""))*TRUNC(1+10)*(TRUNC(MOD(($B770*1103515245 +12345)/ 65536, 32768),0)/32768)"),0)</f>
        <v>0</v>
      </c>
      <c r="AG770" s="16"/>
      <c r="AH770" s="77"/>
      <c r="AI770" s="114"/>
    </row>
    <row r="771" spans="1:35" ht="16.2">
      <c r="A771" s="53">
        <v>770</v>
      </c>
      <c r="B771" s="118">
        <f t="shared" si="60"/>
        <v>1.97532</v>
      </c>
      <c r="C771" s="72" t="str">
        <f t="array" ref="C771">INDEX(NPCFName,TRUNC(1+(COUNTA(NPCFName))*(TRUNC(MOD(($B771*1103515245 +12345)/ 65536, 32768),0)/32768),0))</f>
        <v>Anumil</v>
      </c>
      <c r="D771" s="16" t="str">
        <f t="array" ref="D771">INDEX(NPCLName,TRUNC(1+(COUNTA(NPCLName))*(TRUNC(MOD(($B771*1103515245 +12345)/ 65536, 32768),0)/32768),0))</f>
        <v>Stagfang</v>
      </c>
      <c r="E771" s="16" t="str">
        <f t="array" ref="E771">INDEX(NPCClass,TRUNC(1+(COUNTA(NPCClass))*(TRUNC(MOD(($B771*1103515245 +12345)/ 65536, 32768),0)/32768),0))</f>
        <v>Barbarian</v>
      </c>
      <c r="F771" s="76">
        <v>1</v>
      </c>
      <c r="G771" s="153">
        <f ca="1">VLOOKUP($AB$2,'RF Mod'!$A$2:$G$12,2,FALSE)+VLOOKUP($AD$2,'RF Mod'!$I$2:$O$11,2,FALSE)+(TRUNC(6+(24-6)*(TRUNC(MOD(($Z771*1103515245 +12345)/ 65536, 32768),0)/32768),0))</f>
        <v>4</v>
      </c>
      <c r="H771" s="16">
        <f t="shared" ca="1" si="49"/>
        <v>-3</v>
      </c>
      <c r="I771" s="153">
        <f ca="1">VLOOKUP($AB$2,'RF Mod'!$A$2:$G$12,3,FALSE)+VLOOKUP($AD$2,'RF Mod'!$I$2:$O$11,3,FALSE)+(TRUNC(6+(24-6)*(TRUNC(MOD(($Z771*1103515245 +12345)/ 65536, 32768),0)/32768),0))</f>
        <v>8</v>
      </c>
      <c r="J771" s="16">
        <f t="shared" ca="1" si="50"/>
        <v>-1</v>
      </c>
      <c r="K771" s="153">
        <f ca="1">VLOOKUP($AB$2,'RF Mod'!$A$2:$G$12,3,FALSE)+VLOOKUP($AD$2,'RF Mod'!$I$2:$O$11,3,FALSE)+(TRUNC(6+(24-6)*(TRUNC(MOD(($Z771*1103515245 +12345)/ 65536, 32768),0)/32768),0))</f>
        <v>8</v>
      </c>
      <c r="L771" s="16">
        <f t="shared" ca="1" si="51"/>
        <v>-1</v>
      </c>
      <c r="M771" s="153">
        <f ca="1">VLOOKUP($AB$2,'RF Mod'!$A$2:$G$12,4,FALSE)+VLOOKUP($AD$2,'RF Mod'!$I$2:$O$11,4,FALSE)+(TRUNC(6+(24-6)*(TRUNC(MOD(($Z771*1103515245 +12345)/ 65536, 32768),0)/32768),0))</f>
        <v>7</v>
      </c>
      <c r="N771" s="16">
        <f t="shared" ca="1" si="52"/>
        <v>-2</v>
      </c>
      <c r="O771" s="153">
        <f ca="1">VLOOKUP($AB$2,'RF Mod'!$A$2:$G$12,5,FALSE)+VLOOKUP($AD$2,'RF Mod'!$I$2:$O$11,5,FALSE)+(TRUNC(6+(24-6)*(TRUNC(MOD(($Z771*1103515245 +12345)/ 65536, 32768),0)/32768),0))</f>
        <v>10</v>
      </c>
      <c r="P771" s="16" t="e">
        <f t="shared" ca="1" si="53"/>
        <v>#NAME?</v>
      </c>
      <c r="Q771" s="153">
        <f ca="1">VLOOKUP($AB$2,'RF Mod'!$A$2:$G$12,6,FALSE)+VLOOKUP($AD$2,'RF Mod'!$I$2:$O$11,6,FALSE)+(TRUNC(6+(24-6)*(TRUNC(MOD(($Z771*1103515245 +12345)/ 65536, 32768),0)/32768),0))</f>
        <v>8</v>
      </c>
      <c r="R771" s="16">
        <f t="shared" ca="1" si="54"/>
        <v>-1</v>
      </c>
      <c r="S771" s="154">
        <f t="shared" ca="1" si="59"/>
        <v>10</v>
      </c>
      <c r="T771" s="154">
        <f t="shared" ca="1" si="55"/>
        <v>2</v>
      </c>
      <c r="U771" s="16" t="str">
        <f t="shared" ca="1" si="56"/>
        <v>Fine</v>
      </c>
      <c r="V771" s="155">
        <f ca="1">IFERROR(__xludf.DUMMYFUNCTION("if(W771=""Middle Age"",QUERY(NPCVar!$K$2:$N1000, ""Select L where K = '""&amp;AB771&amp;""'""),if(W771=""Old"",QUERY(NPCVar!$K$2:$N1000, ""Select M where K = '""&amp;AB771&amp;""'""),if(W771=""Venerable"",QUERY(NPCVar!$K$2:$N1000, ""Select N where K = '""&amp;AB771&amp;""'""),fa"&amp;"lse)))*X771"),2)</f>
        <v>2</v>
      </c>
      <c r="W771" s="156" t="str">
        <f t="array" ref="W771">INDEX(NPCAgeType,TRUNC(1+(4-1)*(TRUNC(MOD((X771*1103515245 +12345)/ 65536, 32768),0)/32768),0))</f>
        <v>Middle Age</v>
      </c>
      <c r="X771" s="117">
        <f t="shared" si="61"/>
        <v>0.1</v>
      </c>
      <c r="Y771" s="157" t="e">
        <f t="array" aca="1" ref="Y771" ca="1">LOOKUP(ABS(MAX(Z771 + MIN(ABS(INDIRECT("Class Jobs!B"&amp;MATCH(E771,'Class Jobs'!$A$1:$A1000,0)&amp;":"&amp;"AF"&amp;MATCH(E771,'Class Jobs'!$A$1:$A1000,0)&amp;"")-$Z771)) * SUM(IF(MIN(ABS(INDIRECT("Class Jobs!B"&amp;MATCH(E771,'Class Jobs'!$A$1:$A1000,0)&amp;":"&amp;"AF"&amp;MATCH(E771,'Class Jobs'!$A$1:$A1000,0)&amp;"")-$Z771))=ABS(INDIRECT("Class Jobs!B"&amp;MATCH(E771,'Class Jobs'!$A$1:$A1000,0)&amp;":"&amp;"AF"&amp;MATCH(E771,'Class Jobs'!$A$1:$A1000,0)&amp;"")-$Z771),SIGN(INDIRECT("Class Jobs!B"&amp;MATCH(E771,'Class Jobs'!$A$1:A1000,0)&amp;":"&amp;"AF"&amp;MATCH(E771,'Class Jobs'!$A$1:$A1000,0)&amp;"")-$Z771),0)),0)),INDIRECT("Class Jobs!B"&amp;MATCH(E771,'Class Jobs'!$A$1:$A1000,0)&amp;":"&amp;"AF"&amp;MATCH(E771,'Class Jobs'!$A$1:$A1000,1)&amp;""),'Class Jobs'!$B$1:$AF$1)</f>
        <v>#REF!</v>
      </c>
      <c r="Z771" s="158">
        <f t="shared" si="57"/>
        <v>0.02</v>
      </c>
      <c r="AA771" s="16" t="str">
        <f t="array" ref="AA771">INDEX(NPCGender,TRUNC(1+(COUNTA(NPCGender))*(TRUNC(MOD(($B771*1103515245 +12345)/ 65536, 32768),0)/32768),0))</f>
        <v>Male</v>
      </c>
      <c r="AB771" s="16" t="str">
        <f t="array" ref="AB771">INDEX(NPCRace,TRUNC(1+(COUNTA(NPCRace))*(TRUNC(MOD(($B771*1103515245 +12345)/ 65536, 32768),0)/32768),0))</f>
        <v>Dragonborn</v>
      </c>
      <c r="AC771" s="16" t="str">
        <f t="array" ref="AC771">INDEX(NPCAL,TRUNC(1+(COUNTA(NPCAL))*(TRUNC(MOD(($B771*1103515245 +12345)/ 65536, 32768),0)/32768),0))</f>
        <v>CN</v>
      </c>
      <c r="AD771" s="72" t="str">
        <f ca="1">IFERROR(__xludf.DUMMYFUNCTION("if(V771&lt;15,QUERY(NPCVar!C:D,""Select D WHERE C = '""&amp;D771&amp;""'""),if((TRUNC(1+10)*(TRUNC(MOD((ROW(H771)*1103515245 +12345)/ 65536, 32768),0)/32768)/10) &gt; 0.85,INDEX(NPCFaction,TRUNC(1+(counta(NPCFaction)-1)*(TRUNC(MOD(($B771*1103515245 +12345)/ 65536, 3276"&amp;"8),0)/32768),0)),QUERY(NPCVar!C:D,""Select D WHERE C = '""&amp;D771&amp;""'"")))"),"Royalty")</f>
        <v>Royalty</v>
      </c>
      <c r="AE771" s="108" t="e">
        <f t="shared" ca="1" si="58"/>
        <v>#NAME?</v>
      </c>
      <c r="AF771" s="159">
        <f ca="1">IFERROR(__xludf.DUMMYFUNCTION("AE771*(V771 / QUERY(NPCVar!$K$2:$N$12, ""Select N WHERE K='""&amp;AB771&amp;""'""))*TRUNC(1+10)*(TRUNC(MOD(($B771*1103515245 +12345)/ 65536, 32768),0)/32768)"),0.00165496826171875)</f>
        <v>1.6549682617187499E-3</v>
      </c>
      <c r="AG771" s="16"/>
      <c r="AH771" s="77"/>
      <c r="AI771" s="114"/>
    </row>
    <row r="772" spans="1:35" ht="16.2">
      <c r="A772" s="53">
        <v>771</v>
      </c>
      <c r="B772" s="118">
        <f t="shared" si="60"/>
        <v>0.96947000000000005</v>
      </c>
      <c r="C772" s="72" t="str">
        <f t="array" ref="C772">INDEX(NPCFName,TRUNC(1+(COUNTA(NPCFName))*(TRUNC(MOD(($B772*1103515245 +12345)/ 65536, 32768),0)/32768),0))</f>
        <v>Kirder</v>
      </c>
      <c r="D772" s="16" t="str">
        <f t="array" ref="D772">INDEX(NPCLName,TRUNC(1+(COUNTA(NPCLName))*(TRUNC(MOD(($B772*1103515245 +12345)/ 65536, 32768),0)/32768),0))</f>
        <v>Autumnglow</v>
      </c>
      <c r="E772" s="16" t="str">
        <f t="array" ref="E772">INDEX(NPCClass,TRUNC(1+(COUNTA(NPCClass))*(TRUNC(MOD(($B772*1103515245 +12345)/ 65536, 32768),0)/32768),0))</f>
        <v>Ranger</v>
      </c>
      <c r="F772" s="76">
        <v>8</v>
      </c>
      <c r="G772" s="153">
        <f ca="1">VLOOKUP($AB$2,'RF Mod'!$A$2:$G$12,2,FALSE)+VLOOKUP($AD$2,'RF Mod'!$I$2:$O$11,2,FALSE)+(TRUNC(6+(24-6)*(TRUNC(MOD(($Z772*1103515245 +12345)/ 65536, 32768),0)/32768),0))</f>
        <v>8</v>
      </c>
      <c r="H772" s="16">
        <f t="shared" ca="1" si="49"/>
        <v>-1</v>
      </c>
      <c r="I772" s="153">
        <f ca="1">VLOOKUP($AB$2,'RF Mod'!$A$2:$G$12,3,FALSE)+VLOOKUP($AD$2,'RF Mod'!$I$2:$O$11,3,FALSE)+(TRUNC(6+(24-6)*(TRUNC(MOD(($Z772*1103515245 +12345)/ 65536, 32768),0)/32768),0))</f>
        <v>12</v>
      </c>
      <c r="J772" s="16" t="e">
        <f t="shared" ca="1" si="50"/>
        <v>#NAME?</v>
      </c>
      <c r="K772" s="153">
        <f ca="1">VLOOKUP($AB$2,'RF Mod'!$A$2:$G$12,3,FALSE)+VLOOKUP($AD$2,'RF Mod'!$I$2:$O$11,3,FALSE)+(TRUNC(6+(24-6)*(TRUNC(MOD(($Z772*1103515245 +12345)/ 65536, 32768),0)/32768),0))</f>
        <v>12</v>
      </c>
      <c r="L772" s="16" t="e">
        <f t="shared" ca="1" si="51"/>
        <v>#NAME?</v>
      </c>
      <c r="M772" s="153">
        <f ca="1">VLOOKUP($AB$2,'RF Mod'!$A$2:$G$12,4,FALSE)+VLOOKUP($AD$2,'RF Mod'!$I$2:$O$11,4,FALSE)+(TRUNC(6+(24-6)*(TRUNC(MOD(($Z772*1103515245 +12345)/ 65536, 32768),0)/32768),0))</f>
        <v>11</v>
      </c>
      <c r="N772" s="16" t="e">
        <f t="shared" ca="1" si="52"/>
        <v>#NAME?</v>
      </c>
      <c r="O772" s="153">
        <f ca="1">VLOOKUP($AB$2,'RF Mod'!$A$2:$G$12,5,FALSE)+VLOOKUP($AD$2,'RF Mod'!$I$2:$O$11,5,FALSE)+(TRUNC(6+(24-6)*(TRUNC(MOD(($Z772*1103515245 +12345)/ 65536, 32768),0)/32768),0))</f>
        <v>14</v>
      </c>
      <c r="P772" s="16" t="e">
        <f t="shared" ca="1" si="53"/>
        <v>#NAME?</v>
      </c>
      <c r="Q772" s="153">
        <f ca="1">VLOOKUP($AB$2,'RF Mod'!$A$2:$G$12,6,FALSE)+VLOOKUP($AD$2,'RF Mod'!$I$2:$O$11,6,FALSE)+(TRUNC(6+(24-6)*(TRUNC(MOD(($Z772*1103515245 +12345)/ 65536, 32768),0)/32768),0))</f>
        <v>12</v>
      </c>
      <c r="R772" s="16" t="e">
        <f t="shared" ca="1" si="54"/>
        <v>#NAME?</v>
      </c>
      <c r="S772" s="154">
        <f t="shared" ca="1" si="59"/>
        <v>160</v>
      </c>
      <c r="T772" s="154">
        <f t="shared" ca="1" si="55"/>
        <v>145</v>
      </c>
      <c r="U772" s="16" t="str">
        <f t="shared" ca="1" si="56"/>
        <v>Bloody</v>
      </c>
      <c r="V772" s="155">
        <f ca="1">IFERROR(__xludf.DUMMYFUNCTION("if(W772=""Middle Age"",QUERY(NPCVar!$K$2:$N1000, ""Select L where K = '""&amp;AB772&amp;""'""),if(W772=""Old"",QUERY(NPCVar!$K$2:$N1000, ""Select M where K = '""&amp;AB772&amp;""'""),if(W772=""Venerable"",QUERY(NPCVar!$K$2:$N1000, ""Select N where K = '""&amp;AB772&amp;""'""),fa"&amp;"lse)))*X772"),31.5)</f>
        <v>31.5</v>
      </c>
      <c r="W772" s="156" t="str">
        <f t="array" ref="W772">INDEX(NPCAgeType,TRUNC(1+(4-1)*(TRUNC(MOD((X772*1103515245 +12345)/ 65536, 32768),0)/32768),0))</f>
        <v>Old</v>
      </c>
      <c r="X772" s="117">
        <f t="shared" si="61"/>
        <v>1.2</v>
      </c>
      <c r="Y772" s="157" t="e">
        <f t="array" aca="1" ref="Y772" ca="1">LOOKUP(ABS(MAX(Z772 + MIN(ABS(INDIRECT("Class Jobs!B"&amp;MATCH(E772,'Class Jobs'!$A$1:$A1000,0)&amp;":"&amp;"AF"&amp;MATCH(E772,'Class Jobs'!$A$1:$A1000,0)&amp;"")-$Z772)) * SUM(IF(MIN(ABS(INDIRECT("Class Jobs!B"&amp;MATCH(E772,'Class Jobs'!$A$1:$A1000,0)&amp;":"&amp;"AF"&amp;MATCH(E772,'Class Jobs'!$A$1:$A1000,0)&amp;"")-$Z772))=ABS(INDIRECT("Class Jobs!B"&amp;MATCH(E772,'Class Jobs'!$A$1:$A1000,0)&amp;":"&amp;"AF"&amp;MATCH(E772,'Class Jobs'!$A$1:$A1000,0)&amp;"")-$Z772),SIGN(INDIRECT("Class Jobs!B"&amp;MATCH(E772,'Class Jobs'!$A$1:A1000,0)&amp;":"&amp;"AF"&amp;MATCH(E772,'Class Jobs'!$A$1:$A1000,0)&amp;"")-$Z772),0)),0)),INDIRECT("Class Jobs!B"&amp;MATCH(E772,'Class Jobs'!$A$1:$A1000,0)&amp;":"&amp;"AF"&amp;MATCH(E772,'Class Jobs'!$A$1:$A1000,1)&amp;""),'Class Jobs'!$B$1:$AF$1)</f>
        <v>#REF!</v>
      </c>
      <c r="Z772" s="158">
        <f t="shared" si="57"/>
        <v>0.5</v>
      </c>
      <c r="AA772" s="16" t="str">
        <f t="array" ref="AA772">INDEX(NPCGender,TRUNC(1+(COUNTA(NPCGender))*(TRUNC(MOD(($B772*1103515245 +12345)/ 65536, 32768),0)/32768),0))</f>
        <v>Female</v>
      </c>
      <c r="AB772" s="16" t="str">
        <f t="array" ref="AB772">INDEX(NPCRace,TRUNC(1+(COUNTA(NPCRace))*(TRUNC(MOD(($B772*1103515245 +12345)/ 65536, 32768),0)/32768),0))</f>
        <v>Half-Orc</v>
      </c>
      <c r="AC772" s="16" t="str">
        <f t="array" ref="AC772">INDEX(NPCAL,TRUNC(1+(COUNTA(NPCAL))*(TRUNC(MOD(($B772*1103515245 +12345)/ 65536, 32768),0)/32768),0))</f>
        <v>NN</v>
      </c>
      <c r="AD772" s="72" t="str">
        <f ca="1">IFERROR(__xludf.DUMMYFUNCTION("if(V772&lt;15,QUERY(NPCVar!C:D,""Select D WHERE C = '""&amp;D772&amp;""'""),if((TRUNC(1+10)*(TRUNC(MOD((ROW(H772)*1103515245 +12345)/ 65536, 32768),0)/32768)/10) &gt; 0.85,INDEX(NPCFaction,TRUNC(1+(counta(NPCFaction)-1)*(TRUNC(MOD(($B772*1103515245 +12345)/ 65536, 3276"&amp;"8),0)/32768),0)),QUERY(NPCVar!C:D,""Select D WHERE C = '""&amp;D772&amp;""'"")))"),"Traders Guild")</f>
        <v>Traders Guild</v>
      </c>
      <c r="AE772" s="108" t="e">
        <f t="shared" ca="1" si="58"/>
        <v>#NAME?</v>
      </c>
      <c r="AF772" s="159">
        <f ca="1">IFERROR(__xludf.DUMMYFUNCTION("AE772*(V772 / QUERY(NPCVar!$K$2:$N$12, ""Select N WHERE K='""&amp;AB772&amp;""'""))*TRUNC(1+10)*(TRUNC(MOD(($B772*1103515245 +12345)/ 65536, 32768),0)/32768)"),0.739780883789062)</f>
        <v>0.73978088378906204</v>
      </c>
      <c r="AG772" s="16"/>
      <c r="AH772" s="77"/>
      <c r="AI772" s="114"/>
    </row>
    <row r="773" spans="1:35" ht="16.2">
      <c r="A773" s="53">
        <v>772</v>
      </c>
      <c r="B773" s="118">
        <f t="shared" si="60"/>
        <v>2.4636</v>
      </c>
      <c r="C773" s="72" t="str">
        <f t="array" ref="C773">INDEX(NPCFName,TRUNC(1+(COUNTA(NPCFName))*(TRUNC(MOD(($B773*1103515245 +12345)/ 65536, 32768),0)/32768),0))</f>
        <v>Setlo</v>
      </c>
      <c r="D773" s="16" t="str">
        <f t="array" ref="D773">INDEX(NPCLName,TRUNC(1+(COUNTA(NPCLName))*(TRUNC(MOD(($B773*1103515245 +12345)/ 65536, 32768),0)/32768),0))</f>
        <v>Tuskleaf</v>
      </c>
      <c r="E773" s="16" t="str">
        <f t="array" ref="E773">INDEX(NPCClass,TRUNC(1+(COUNTA(NPCClass))*(TRUNC(MOD(($B773*1103515245 +12345)/ 65536, 32768),0)/32768),0))</f>
        <v>Monk</v>
      </c>
      <c r="F773" s="76">
        <v>1</v>
      </c>
      <c r="G773" s="153">
        <f ca="1">VLOOKUP($AB$2,'RF Mod'!$A$2:$G$12,2,FALSE)+VLOOKUP($AD$2,'RF Mod'!$I$2:$O$11,2,FALSE)+(TRUNC(6+(24-6)*(TRUNC(MOD(($Z773*1103515245 +12345)/ 65536, 32768),0)/32768),0))</f>
        <v>6</v>
      </c>
      <c r="H773" s="16">
        <f t="shared" ca="1" si="49"/>
        <v>-2</v>
      </c>
      <c r="I773" s="153">
        <f ca="1">VLOOKUP($AB$2,'RF Mod'!$A$2:$G$12,3,FALSE)+VLOOKUP($AD$2,'RF Mod'!$I$2:$O$11,3,FALSE)+(TRUNC(6+(24-6)*(TRUNC(MOD(($Z773*1103515245 +12345)/ 65536, 32768),0)/32768),0))</f>
        <v>10</v>
      </c>
      <c r="J773" s="16" t="e">
        <f t="shared" ca="1" si="50"/>
        <v>#NAME?</v>
      </c>
      <c r="K773" s="153">
        <f ca="1">VLOOKUP($AB$2,'RF Mod'!$A$2:$G$12,3,FALSE)+VLOOKUP($AD$2,'RF Mod'!$I$2:$O$11,3,FALSE)+(TRUNC(6+(24-6)*(TRUNC(MOD(($Z773*1103515245 +12345)/ 65536, 32768),0)/32768),0))</f>
        <v>10</v>
      </c>
      <c r="L773" s="16" t="e">
        <f t="shared" ca="1" si="51"/>
        <v>#NAME?</v>
      </c>
      <c r="M773" s="153">
        <f ca="1">VLOOKUP($AB$2,'RF Mod'!$A$2:$G$12,4,FALSE)+VLOOKUP($AD$2,'RF Mod'!$I$2:$O$11,4,FALSE)+(TRUNC(6+(24-6)*(TRUNC(MOD(($Z773*1103515245 +12345)/ 65536, 32768),0)/32768),0))</f>
        <v>9</v>
      </c>
      <c r="N773" s="16">
        <f t="shared" ca="1" si="52"/>
        <v>-1</v>
      </c>
      <c r="O773" s="153">
        <f ca="1">VLOOKUP($AB$2,'RF Mod'!$A$2:$G$12,5,FALSE)+VLOOKUP($AD$2,'RF Mod'!$I$2:$O$11,5,FALSE)+(TRUNC(6+(24-6)*(TRUNC(MOD(($Z773*1103515245 +12345)/ 65536, 32768),0)/32768),0))</f>
        <v>12</v>
      </c>
      <c r="P773" s="16" t="e">
        <f t="shared" ca="1" si="53"/>
        <v>#NAME?</v>
      </c>
      <c r="Q773" s="153">
        <f ca="1">VLOOKUP($AB$2,'RF Mod'!$A$2:$G$12,6,FALSE)+VLOOKUP($AD$2,'RF Mod'!$I$2:$O$11,6,FALSE)+(TRUNC(6+(24-6)*(TRUNC(MOD(($Z773*1103515245 +12345)/ 65536, 32768),0)/32768),0))</f>
        <v>10</v>
      </c>
      <c r="R773" s="16" t="e">
        <f t="shared" ca="1" si="54"/>
        <v>#NAME?</v>
      </c>
      <c r="S773" s="154">
        <f t="shared" ca="1" si="59"/>
        <v>14</v>
      </c>
      <c r="T773" s="154">
        <f t="shared" ca="1" si="55"/>
        <v>9</v>
      </c>
      <c r="U773" s="16" t="str">
        <f t="shared" ca="1" si="56"/>
        <v>Bloody</v>
      </c>
      <c r="V773" s="155">
        <f ca="1">IFERROR(__xludf.DUMMYFUNCTION("if(W773=""Middle Age"",QUERY(NPCVar!$K$2:$N1000, ""Select L where K = '""&amp;AB773&amp;""'""),if(W773=""Old"",QUERY(NPCVar!$K$2:$N1000, ""Select M where K = '""&amp;AB773&amp;""'""),if(W773=""Venerable"",QUERY(NPCVar!$K$2:$N1000, ""Select N where K = '""&amp;AB773&amp;""'""),fa"&amp;"lse)))*X773"),196.875)</f>
        <v>196.875</v>
      </c>
      <c r="W773" s="156" t="str">
        <f t="array" ref="W773">INDEX(NPCAgeType,TRUNC(1+(4-1)*(TRUNC(MOD((X773*1103515245 +12345)/ 65536, 32768),0)/32768),0))</f>
        <v>Old</v>
      </c>
      <c r="X773" s="117">
        <f t="shared" si="61"/>
        <v>0.7</v>
      </c>
      <c r="Y773" s="157" t="e">
        <f t="array" aca="1" ref="Y773" ca="1">LOOKUP(ABS(MAX(Z773 + MIN(ABS(INDIRECT("Class Jobs!B"&amp;MATCH(E773,'Class Jobs'!$A$1:$A1000,0)&amp;":"&amp;"AF"&amp;MATCH(E773,'Class Jobs'!$A$1:$A1000,0)&amp;"")-$Z773)) * SUM(IF(MIN(ABS(INDIRECT("Class Jobs!B"&amp;MATCH(E773,'Class Jobs'!$A$1:$A1000,0)&amp;":"&amp;"AF"&amp;MATCH(E773,'Class Jobs'!$A$1:$A1000,0)&amp;"")-$Z773))=ABS(INDIRECT("Class Jobs!B"&amp;MATCH(E773,'Class Jobs'!$A$1:$A1000,0)&amp;":"&amp;"AF"&amp;MATCH(E773,'Class Jobs'!$A$1:$A1000,0)&amp;"")-$Z773),SIGN(INDIRECT("Class Jobs!B"&amp;MATCH(E773,'Class Jobs'!$A$1:A1000,0)&amp;":"&amp;"AF"&amp;MATCH(E773,'Class Jobs'!$A$1:$A1000,0)&amp;"")-$Z773),0)),0)),INDIRECT("Class Jobs!B"&amp;MATCH(E773,'Class Jobs'!$A$1:$A1000,0)&amp;":"&amp;"AF"&amp;MATCH(E773,'Class Jobs'!$A$1:$A1000,1)&amp;""),'Class Jobs'!$B$1:$AF$1)</f>
        <v>#REF!</v>
      </c>
      <c r="Z773" s="158">
        <f t="shared" si="57"/>
        <v>0.27</v>
      </c>
      <c r="AA773" s="16" t="str">
        <f t="array" ref="AA773">INDEX(NPCGender,TRUNC(1+(COUNTA(NPCGender))*(TRUNC(MOD(($B773*1103515245 +12345)/ 65536, 32768),0)/32768),0))</f>
        <v>Male</v>
      </c>
      <c r="AB773" s="16" t="str">
        <f t="array" ref="AB773">INDEX(NPCRace,TRUNC(1+(COUNTA(NPCRace))*(TRUNC(MOD(($B773*1103515245 +12345)/ 65536, 32768),0)/32768),0))</f>
        <v>Elf</v>
      </c>
      <c r="AC773" s="16" t="str">
        <f t="array" ref="AC773">INDEX(NPCAL,TRUNC(1+(COUNTA(NPCAL))*(TRUNC(MOD(($B773*1103515245 +12345)/ 65536, 32768),0)/32768),0))</f>
        <v>CG</v>
      </c>
      <c r="AD773" s="72" t="str">
        <f ca="1">IFERROR(__xludf.DUMMYFUNCTION("if(V773&lt;15,QUERY(NPCVar!C:D,""Select D WHERE C = '""&amp;D773&amp;""'""),if((TRUNC(1+10)*(TRUNC(MOD((ROW(H773)*1103515245 +12345)/ 65536, 32768),0)/32768)/10) &gt; 0.85,INDEX(NPCFaction,TRUNC(1+(counta(NPCFaction)-1)*(TRUNC(MOD(($B773*1103515245 +12345)/ 65536, 3276"&amp;"8),0)/32768),0)),QUERY(NPCVar!C:D,""Select D WHERE C = '""&amp;D773&amp;""'"")))"),"Magic Guild")</f>
        <v>Magic Guild</v>
      </c>
      <c r="AE773" s="108" t="e">
        <f t="shared" ca="1" si="58"/>
        <v>#NAME?</v>
      </c>
      <c r="AF773" s="159">
        <f ca="1">IFERROR(__xludf.DUMMYFUNCTION("AE773*(V773 / QUERY(NPCVar!$K$2:$N$12, ""Select N WHERE K='""&amp;AB773&amp;""'""))*TRUNC(1+10)*(TRUNC(MOD(($B773*1103515245 +12345)/ 65536, 32768),0)/32768)"),0.383980751037597)</f>
        <v>0.38398075103759699</v>
      </c>
      <c r="AG773" s="16"/>
      <c r="AH773" s="77"/>
      <c r="AI773" s="114"/>
    </row>
    <row r="774" spans="1:35" ht="16.2">
      <c r="A774" s="53">
        <v>773</v>
      </c>
      <c r="B774" s="118">
        <f t="shared" si="60"/>
        <v>1.4577500000000001</v>
      </c>
      <c r="C774" s="72" t="str">
        <f t="array" ref="C774">INDEX(NPCFName,TRUNC(1+(COUNTA(NPCFName))*(TRUNC(MOD(($B774*1103515245 +12345)/ 65536, 32768),0)/32768),0))</f>
        <v>Dukran</v>
      </c>
      <c r="D774" s="16" t="str">
        <f t="array" ref="D774">INDEX(NPCLName,TRUNC(1+(COUNTA(NPCLName))*(TRUNC(MOD(($B774*1103515245 +12345)/ 65536, 32768),0)/32768),0))</f>
        <v>Sacredgloom</v>
      </c>
      <c r="E774" s="16" t="str">
        <f t="array" ref="E774">INDEX(NPCClass,TRUNC(1+(COUNTA(NPCClass))*(TRUNC(MOD(($B774*1103515245 +12345)/ 65536, 32768),0)/32768),0))</f>
        <v>None</v>
      </c>
      <c r="F774" s="76">
        <v>8</v>
      </c>
      <c r="G774" s="153">
        <f ca="1">VLOOKUP($AB$2,'RF Mod'!$A$2:$G$12,2,FALSE)+VLOOKUP($AD$2,'RF Mod'!$I$2:$O$11,2,FALSE)+(TRUNC(6+(24-6)*(TRUNC(MOD(($Z774*1103515245 +12345)/ 65536, 32768),0)/32768),0))</f>
        <v>10</v>
      </c>
      <c r="H774" s="16" t="e">
        <f t="shared" ca="1" si="49"/>
        <v>#NAME?</v>
      </c>
      <c r="I774" s="153">
        <f ca="1">VLOOKUP($AB$2,'RF Mod'!$A$2:$G$12,3,FALSE)+VLOOKUP($AD$2,'RF Mod'!$I$2:$O$11,3,FALSE)+(TRUNC(6+(24-6)*(TRUNC(MOD(($Z774*1103515245 +12345)/ 65536, 32768),0)/32768),0))</f>
        <v>14</v>
      </c>
      <c r="J774" s="16" t="e">
        <f t="shared" ca="1" si="50"/>
        <v>#NAME?</v>
      </c>
      <c r="K774" s="153">
        <f ca="1">VLOOKUP($AB$2,'RF Mod'!$A$2:$G$12,3,FALSE)+VLOOKUP($AD$2,'RF Mod'!$I$2:$O$11,3,FALSE)+(TRUNC(6+(24-6)*(TRUNC(MOD(($Z774*1103515245 +12345)/ 65536, 32768),0)/32768),0))</f>
        <v>14</v>
      </c>
      <c r="L774" s="16" t="e">
        <f t="shared" ca="1" si="51"/>
        <v>#NAME?</v>
      </c>
      <c r="M774" s="153">
        <f ca="1">VLOOKUP($AB$2,'RF Mod'!$A$2:$G$12,4,FALSE)+VLOOKUP($AD$2,'RF Mod'!$I$2:$O$11,4,FALSE)+(TRUNC(6+(24-6)*(TRUNC(MOD(($Z774*1103515245 +12345)/ 65536, 32768),0)/32768),0))</f>
        <v>13</v>
      </c>
      <c r="N774" s="16" t="e">
        <f t="shared" ca="1" si="52"/>
        <v>#NAME?</v>
      </c>
      <c r="O774" s="153">
        <f ca="1">VLOOKUP($AB$2,'RF Mod'!$A$2:$G$12,5,FALSE)+VLOOKUP($AD$2,'RF Mod'!$I$2:$O$11,5,FALSE)+(TRUNC(6+(24-6)*(TRUNC(MOD(($Z774*1103515245 +12345)/ 65536, 32768),0)/32768),0))</f>
        <v>16</v>
      </c>
      <c r="P774" s="16" t="e">
        <f t="shared" ca="1" si="53"/>
        <v>#NAME?</v>
      </c>
      <c r="Q774" s="153">
        <f ca="1">VLOOKUP($AB$2,'RF Mod'!$A$2:$G$12,6,FALSE)+VLOOKUP($AD$2,'RF Mod'!$I$2:$O$11,6,FALSE)+(TRUNC(6+(24-6)*(TRUNC(MOD(($Z774*1103515245 +12345)/ 65536, 32768),0)/32768),0))</f>
        <v>14</v>
      </c>
      <c r="R774" s="16" t="e">
        <f t="shared" ca="1" si="54"/>
        <v>#NAME?</v>
      </c>
      <c r="S774" s="154">
        <f t="shared" ca="1" si="59"/>
        <v>160</v>
      </c>
      <c r="T774" s="154">
        <f t="shared" ca="1" si="55"/>
        <v>2</v>
      </c>
      <c r="U774" s="16" t="str">
        <f t="shared" ca="1" si="56"/>
        <v>Fine</v>
      </c>
      <c r="V774" s="155">
        <f ca="1">IFERROR(__xludf.DUMMYFUNCTION("if(W774=""Middle Age"",QUERY(NPCVar!$K$2:$N1000, ""Select L where K = '""&amp;AB774&amp;""'""),if(W774=""Old"",QUERY(NPCVar!$K$2:$N1000, ""Select M where K = '""&amp;AB774&amp;""'""),if(W774=""Venerable"",QUERY(NPCVar!$K$2:$N1000, ""Select N where K = '""&amp;AB774&amp;""'""),fa"&amp;"lse)))*X774"),180)</f>
        <v>180</v>
      </c>
      <c r="W774" s="156" t="str">
        <f t="array" ref="W774">INDEX(NPCAgeType,TRUNC(1+(4-1)*(TRUNC(MOD((X774*1103515245 +12345)/ 65536, 32768),0)/32768),0))</f>
        <v>Venerable</v>
      </c>
      <c r="X774" s="117">
        <f t="shared" si="61"/>
        <v>1.8</v>
      </c>
      <c r="Y774" s="157" t="e">
        <f t="array" aca="1" ref="Y774" ca="1">LOOKUP(ABS(MAX(Z774 + MIN(ABS(INDIRECT("Class Jobs!B"&amp;MATCH(E774,'Class Jobs'!$A$1:$A1000,0)&amp;":"&amp;"AF"&amp;MATCH(E774,'Class Jobs'!$A$1:$A1000,0)&amp;"")-$Z774)) * SUM(IF(MIN(ABS(INDIRECT("Class Jobs!B"&amp;MATCH(E774,'Class Jobs'!$A$1:$A1000,0)&amp;":"&amp;"AF"&amp;MATCH(E774,'Class Jobs'!$A$1:$A1000,0)&amp;"")-$Z774))=ABS(INDIRECT("Class Jobs!B"&amp;MATCH(E774,'Class Jobs'!$A$1:$A1000,0)&amp;":"&amp;"AF"&amp;MATCH(E774,'Class Jobs'!$A$1:$A1000,0)&amp;"")-$Z774),SIGN(INDIRECT("Class Jobs!B"&amp;MATCH(E774,'Class Jobs'!$A$1:A1000,0)&amp;":"&amp;"AF"&amp;MATCH(E774,'Class Jobs'!$A$1:$A1000,0)&amp;"")-$Z774),0)),0)),INDIRECT("Class Jobs!B"&amp;MATCH(E774,'Class Jobs'!$A$1:$A1000,0)&amp;":"&amp;"AF"&amp;MATCH(E774,'Class Jobs'!$A$1:$A1000,1)&amp;""),'Class Jobs'!$B$1:$AF$1)</f>
        <v>#REF!</v>
      </c>
      <c r="Z774" s="158">
        <f t="shared" si="57"/>
        <v>0.75</v>
      </c>
      <c r="AA774" s="16" t="str">
        <f t="array" ref="AA774">INDEX(NPCGender,TRUNC(1+(COUNTA(NPCGender))*(TRUNC(MOD(($B774*1103515245 +12345)/ 65536, 32768),0)/32768),0))</f>
        <v>Neutral</v>
      </c>
      <c r="AB774" s="16" t="str">
        <f t="array" ref="AB774">INDEX(NPCRace,TRUNC(1+(COUNTA(NPCRace))*(TRUNC(MOD(($B774*1103515245 +12345)/ 65536, 32768),0)/32768),0))</f>
        <v>Tiefling</v>
      </c>
      <c r="AC774" s="16" t="str">
        <f t="array" ref="AC774">INDEX(NPCAL,TRUNC(1+(COUNTA(NPCAL))*(TRUNC(MOD(($B774*1103515245 +12345)/ 65536, 32768),0)/32768),0))</f>
        <v>LG</v>
      </c>
      <c r="AD774" s="72" t="str">
        <f ca="1">IFERROR(__xludf.DUMMYFUNCTION("if(V774&lt;15,QUERY(NPCVar!C:D,""Select D WHERE C = '""&amp;D774&amp;""'""),if((TRUNC(1+10)*(TRUNC(MOD((ROW(H774)*1103515245 +12345)/ 65536, 32768),0)/32768)/10) &gt; 0.85,INDEX(NPCFaction,TRUNC(1+(counta(NPCFaction)-1)*(TRUNC(MOD(($B774*1103515245 +12345)/ 65536, 3276"&amp;"8),0)/32768),0)),QUERY(NPCVar!C:D,""Select D WHERE C = '""&amp;D774&amp;""'"")))"),"Adventures Guild")</f>
        <v>Adventures Guild</v>
      </c>
      <c r="AE774" s="108" t="e">
        <f t="shared" ca="1" si="58"/>
        <v>#NAME?</v>
      </c>
      <c r="AF774" s="159">
        <f ca="1">IFERROR(__xludf.DUMMYFUNCTION("AE774*(V774 / QUERY(NPCVar!$K$2:$N$12, ""Select N WHERE K='""&amp;AB774&amp;""'""))*TRUNC(1+10)*(TRUNC(MOD(($B774*1103515245 +12345)/ 65536, 32768),0)/32768)"),4.44956176757812)</f>
        <v>4.4495617675781203</v>
      </c>
      <c r="AG774" s="16"/>
      <c r="AH774" s="77"/>
      <c r="AI774" s="114"/>
    </row>
    <row r="775" spans="1:35" ht="16.2">
      <c r="A775" s="53">
        <v>774</v>
      </c>
      <c r="B775" s="118">
        <f t="shared" si="60"/>
        <v>0.45189000000000001</v>
      </c>
      <c r="C775" s="72" t="str">
        <f t="array" ref="C775">INDEX(NPCFName,TRUNC(1+(COUNTA(NPCFName))*(TRUNC(MOD(($B775*1103515245 +12345)/ 65536, 32768),0)/32768),0))</f>
        <v>Prothalon</v>
      </c>
      <c r="D775" s="16" t="str">
        <f t="array" ref="D775">INDEX(NPCLName,TRUNC(1+(COUNTA(NPCLName))*(TRUNC(MOD(($B775*1103515245 +12345)/ 65536, 32768),0)/32768),0))</f>
        <v>Stillsun</v>
      </c>
      <c r="E775" s="16" t="str">
        <f t="array" ref="E775">INDEX(NPCClass,TRUNC(1+(COUNTA(NPCClass))*(TRUNC(MOD(($B775*1103515245 +12345)/ 65536, 32768),0)/32768),0))</f>
        <v>Druid</v>
      </c>
      <c r="F775" s="76">
        <v>1</v>
      </c>
      <c r="G775" s="153">
        <f ca="1">VLOOKUP($AB$2,'RF Mod'!$A$2:$G$12,2,FALSE)+VLOOKUP($AD$2,'RF Mod'!$I$2:$O$11,2,FALSE)+(TRUNC(6+(24-6)*(TRUNC(MOD(($Z775*1103515245 +12345)/ 65536, 32768),0)/32768),0))</f>
        <v>6</v>
      </c>
      <c r="H775" s="16">
        <f t="shared" ca="1" si="49"/>
        <v>-2</v>
      </c>
      <c r="I775" s="153">
        <f ca="1">VLOOKUP($AB$2,'RF Mod'!$A$2:$G$12,3,FALSE)+VLOOKUP($AD$2,'RF Mod'!$I$2:$O$11,3,FALSE)+(TRUNC(6+(24-6)*(TRUNC(MOD(($Z775*1103515245 +12345)/ 65536, 32768),0)/32768),0))</f>
        <v>10</v>
      </c>
      <c r="J775" s="16" t="e">
        <f t="shared" ca="1" si="50"/>
        <v>#NAME?</v>
      </c>
      <c r="K775" s="153">
        <f ca="1">VLOOKUP($AB$2,'RF Mod'!$A$2:$G$12,3,FALSE)+VLOOKUP($AD$2,'RF Mod'!$I$2:$O$11,3,FALSE)+(TRUNC(6+(24-6)*(TRUNC(MOD(($Z775*1103515245 +12345)/ 65536, 32768),0)/32768),0))</f>
        <v>10</v>
      </c>
      <c r="L775" s="16" t="e">
        <f t="shared" ca="1" si="51"/>
        <v>#NAME?</v>
      </c>
      <c r="M775" s="153">
        <f ca="1">VLOOKUP($AB$2,'RF Mod'!$A$2:$G$12,4,FALSE)+VLOOKUP($AD$2,'RF Mod'!$I$2:$O$11,4,FALSE)+(TRUNC(6+(24-6)*(TRUNC(MOD(($Z775*1103515245 +12345)/ 65536, 32768),0)/32768),0))</f>
        <v>9</v>
      </c>
      <c r="N775" s="16">
        <f t="shared" ca="1" si="52"/>
        <v>-1</v>
      </c>
      <c r="O775" s="153">
        <f ca="1">VLOOKUP($AB$2,'RF Mod'!$A$2:$G$12,5,FALSE)+VLOOKUP($AD$2,'RF Mod'!$I$2:$O$11,5,FALSE)+(TRUNC(6+(24-6)*(TRUNC(MOD(($Z775*1103515245 +12345)/ 65536, 32768),0)/32768),0))</f>
        <v>12</v>
      </c>
      <c r="P775" s="16" t="e">
        <f t="shared" ca="1" si="53"/>
        <v>#NAME?</v>
      </c>
      <c r="Q775" s="153">
        <f ca="1">VLOOKUP($AB$2,'RF Mod'!$A$2:$G$12,6,FALSE)+VLOOKUP($AD$2,'RF Mod'!$I$2:$O$11,6,FALSE)+(TRUNC(6+(24-6)*(TRUNC(MOD(($Z775*1103515245 +12345)/ 65536, 32768),0)/32768),0))</f>
        <v>10</v>
      </c>
      <c r="R775" s="16" t="e">
        <f t="shared" ca="1" si="54"/>
        <v>#NAME?</v>
      </c>
      <c r="S775" s="154">
        <f t="shared" ca="1" si="59"/>
        <v>12</v>
      </c>
      <c r="T775" s="154">
        <f t="shared" ca="1" si="55"/>
        <v>4</v>
      </c>
      <c r="U775" s="16" t="str">
        <f t="shared" ca="1" si="56"/>
        <v>Fine</v>
      </c>
      <c r="V775" s="155">
        <f ca="1">IFERROR(__xludf.DUMMYFUNCTION("if(W775=""Middle Age"",QUERY(NPCVar!$K$2:$N1000, ""Select L where K = '""&amp;AB775&amp;""'""),if(W775=""Old"",QUERY(NPCVar!$K$2:$N1000, ""Select M where K = '""&amp;AB775&amp;""'""),if(W775=""Venerable"",QUERY(NPCVar!$K$2:$N1000, ""Select N where K = '""&amp;AB775&amp;""'""),fa"&amp;"lse)))*X775"),112.5)</f>
        <v>112.5</v>
      </c>
      <c r="W775" s="156" t="str">
        <f t="array" ref="W775">INDEX(NPCAgeType,TRUNC(1+(4-1)*(TRUNC(MOD((X775*1103515245 +12345)/ 65536, 32768),0)/32768),0))</f>
        <v>Middle Age</v>
      </c>
      <c r="X775" s="117">
        <f t="shared" si="61"/>
        <v>0.6</v>
      </c>
      <c r="Y775" s="157" t="e">
        <f t="array" aca="1" ref="Y775" ca="1">LOOKUP(ABS(MAX(Z775 + MIN(ABS(INDIRECT("Class Jobs!B"&amp;MATCH(E775,'Class Jobs'!$A$1:$A1000,0)&amp;":"&amp;"AF"&amp;MATCH(E775,'Class Jobs'!$A$1:$A1000,0)&amp;"")-$Z775)) * SUM(IF(MIN(ABS(INDIRECT("Class Jobs!B"&amp;MATCH(E775,'Class Jobs'!$A$1:$A1000,0)&amp;":"&amp;"AF"&amp;MATCH(E775,'Class Jobs'!$A$1:$A1000,0)&amp;"")-$Z775))=ABS(INDIRECT("Class Jobs!B"&amp;MATCH(E775,'Class Jobs'!$A$1:$A1000,0)&amp;":"&amp;"AF"&amp;MATCH(E775,'Class Jobs'!$A$1:$A1000,0)&amp;"")-$Z775),SIGN(INDIRECT("Class Jobs!B"&amp;MATCH(E775,'Class Jobs'!$A$1:A1000,0)&amp;":"&amp;"AF"&amp;MATCH(E775,'Class Jobs'!$A$1:$A1000,0)&amp;"")-$Z775),0)),0)),INDIRECT("Class Jobs!B"&amp;MATCH(E775,'Class Jobs'!$A$1:$A1000,0)&amp;":"&amp;"AF"&amp;MATCH(E775,'Class Jobs'!$A$1:$A1000,1)&amp;""),'Class Jobs'!$B$1:$AF$1)</f>
        <v>#REF!</v>
      </c>
      <c r="Z775" s="158">
        <f t="shared" si="57"/>
        <v>0.23</v>
      </c>
      <c r="AA775" s="16" t="str">
        <f t="array" ref="AA775">INDEX(NPCGender,TRUNC(1+(COUNTA(NPCGender))*(TRUNC(MOD(($B775*1103515245 +12345)/ 65536, 32768),0)/32768),0))</f>
        <v>Male</v>
      </c>
      <c r="AB775" s="16" t="str">
        <f t="array" ref="AB775">INDEX(NPCRace,TRUNC(1+(COUNTA(NPCRace))*(TRUNC(MOD(($B775*1103515245 +12345)/ 65536, 32768),0)/32768),0))</f>
        <v>Elf</v>
      </c>
      <c r="AC775" s="16" t="str">
        <f t="array" ref="AC775">INDEX(NPCAL,TRUNC(1+(COUNTA(NPCAL))*(TRUNC(MOD(($B775*1103515245 +12345)/ 65536, 32768),0)/32768),0))</f>
        <v>CG</v>
      </c>
      <c r="AD775" s="72" t="str">
        <f ca="1">IFERROR(__xludf.DUMMYFUNCTION("if(V775&lt;15,QUERY(NPCVar!C:D,""Select D WHERE C = '""&amp;D775&amp;""'""),if((TRUNC(1+10)*(TRUNC(MOD((ROW(H775)*1103515245 +12345)/ 65536, 32768),0)/32768)/10) &gt; 0.85,INDEX(NPCFaction,TRUNC(1+(counta(NPCFaction)-1)*(TRUNC(MOD(($B775*1103515245 +12345)/ 65536, 3276"&amp;"8),0)/32768),0)),QUERY(NPCVar!C:D,""Select D WHERE C = '""&amp;D775&amp;""'"")))"),"Necromancer")</f>
        <v>Necromancer</v>
      </c>
      <c r="AE775" s="108" t="e">
        <f t="shared" ca="1" si="58"/>
        <v>#NAME?</v>
      </c>
      <c r="AF775" s="159">
        <f ca="1">IFERROR(__xludf.DUMMYFUNCTION("AE775*(V775 / QUERY(NPCVar!$K$2:$N$12, ""Select N WHERE K='""&amp;AB775&amp;""'""))*TRUNC(1+10)*(TRUNC(MOD(($B775*1103515245 +12345)/ 65536, 32768),0)/32768)"),0.191571807861328)</f>
        <v>0.19157180786132799</v>
      </c>
      <c r="AG775" s="16"/>
      <c r="AH775" s="77"/>
      <c r="AI775" s="114"/>
    </row>
    <row r="776" spans="1:35" ht="16.2">
      <c r="A776" s="53">
        <v>775</v>
      </c>
      <c r="B776" s="118">
        <f t="shared" si="60"/>
        <v>1.9460299999999999</v>
      </c>
      <c r="C776" s="72" t="str">
        <f t="array" ref="C776">INDEX(NPCFName,TRUNC(1+(COUNTA(NPCFName))*(TRUNC(MOD(($B776*1103515245 +12345)/ 65536, 32768),0)/32768),0))</f>
        <v>Abaet</v>
      </c>
      <c r="D776" s="16" t="str">
        <f t="array" ref="D776">INDEX(NPCLName,TRUNC(1+(COUNTA(NPCLName))*(TRUNC(MOD(($B776*1103515245 +12345)/ 65536, 32768),0)/32768),0))</f>
        <v>Stagfang</v>
      </c>
      <c r="E776" s="16" t="str">
        <f t="array" ref="E776">INDEX(NPCClass,TRUNC(1+(COUNTA(NPCClass))*(TRUNC(MOD(($B776*1103515245 +12345)/ 65536, 32768),0)/32768),0))</f>
        <v>Barbarian</v>
      </c>
      <c r="F776" s="76">
        <v>1</v>
      </c>
      <c r="G776" s="153">
        <f ca="1">VLOOKUP($AB$2,'RF Mod'!$A$2:$G$12,2,FALSE)+VLOOKUP($AD$2,'RF Mod'!$I$2:$O$11,2,FALSE)+(TRUNC(6+(24-6)*(TRUNC(MOD(($Z776*1103515245 +12345)/ 65536, 32768),0)/32768),0))</f>
        <v>4</v>
      </c>
      <c r="H776" s="16">
        <f t="shared" ca="1" si="49"/>
        <v>-3</v>
      </c>
      <c r="I776" s="153">
        <f ca="1">VLOOKUP($AB$2,'RF Mod'!$A$2:$G$12,3,FALSE)+VLOOKUP($AD$2,'RF Mod'!$I$2:$O$11,3,FALSE)+(TRUNC(6+(24-6)*(TRUNC(MOD(($Z776*1103515245 +12345)/ 65536, 32768),0)/32768),0))</f>
        <v>8</v>
      </c>
      <c r="J776" s="16">
        <f t="shared" ca="1" si="50"/>
        <v>-1</v>
      </c>
      <c r="K776" s="153">
        <f ca="1">VLOOKUP($AB$2,'RF Mod'!$A$2:$G$12,3,FALSE)+VLOOKUP($AD$2,'RF Mod'!$I$2:$O$11,3,FALSE)+(TRUNC(6+(24-6)*(TRUNC(MOD(($Z776*1103515245 +12345)/ 65536, 32768),0)/32768),0))</f>
        <v>8</v>
      </c>
      <c r="L776" s="16">
        <f t="shared" ca="1" si="51"/>
        <v>-1</v>
      </c>
      <c r="M776" s="153">
        <f ca="1">VLOOKUP($AB$2,'RF Mod'!$A$2:$G$12,4,FALSE)+VLOOKUP($AD$2,'RF Mod'!$I$2:$O$11,4,FALSE)+(TRUNC(6+(24-6)*(TRUNC(MOD(($Z776*1103515245 +12345)/ 65536, 32768),0)/32768),0))</f>
        <v>7</v>
      </c>
      <c r="N776" s="16">
        <f t="shared" ca="1" si="52"/>
        <v>-2</v>
      </c>
      <c r="O776" s="153">
        <f ca="1">VLOOKUP($AB$2,'RF Mod'!$A$2:$G$12,5,FALSE)+VLOOKUP($AD$2,'RF Mod'!$I$2:$O$11,5,FALSE)+(TRUNC(6+(24-6)*(TRUNC(MOD(($Z776*1103515245 +12345)/ 65536, 32768),0)/32768),0))</f>
        <v>10</v>
      </c>
      <c r="P776" s="16" t="e">
        <f t="shared" ca="1" si="53"/>
        <v>#NAME?</v>
      </c>
      <c r="Q776" s="153">
        <f ca="1">VLOOKUP($AB$2,'RF Mod'!$A$2:$G$12,6,FALSE)+VLOOKUP($AD$2,'RF Mod'!$I$2:$O$11,6,FALSE)+(TRUNC(6+(24-6)*(TRUNC(MOD(($Z776*1103515245 +12345)/ 65536, 32768),0)/32768),0))</f>
        <v>8</v>
      </c>
      <c r="R776" s="16">
        <f t="shared" ca="1" si="54"/>
        <v>-1</v>
      </c>
      <c r="S776" s="154">
        <f t="shared" ca="1" si="59"/>
        <v>10</v>
      </c>
      <c r="T776" s="154">
        <f t="shared" ca="1" si="55"/>
        <v>1</v>
      </c>
      <c r="U776" s="16" t="str">
        <f t="shared" ca="1" si="56"/>
        <v>Fine</v>
      </c>
      <c r="V776" s="155">
        <f ca="1">IFERROR(__xludf.DUMMYFUNCTION("if(W776=""Middle Age"",QUERY(NPCVar!$K$2:$N1000, ""Select L where K = '""&amp;AB776&amp;""'""),if(W776=""Old"",QUERY(NPCVar!$K$2:$N1000, ""Select M where K = '""&amp;AB776&amp;""'""),if(W776=""Venerable"",QUERY(NPCVar!$K$2:$N1000, ""Select N where K = '""&amp;AB776&amp;""'""),fa"&amp;"lse)))*X776"),2)</f>
        <v>2</v>
      </c>
      <c r="W776" s="156" t="str">
        <f t="array" ref="W776">INDEX(NPCAgeType,TRUNC(1+(4-1)*(TRUNC(MOD((X776*1103515245 +12345)/ 65536, 32768),0)/32768),0))</f>
        <v>Middle Age</v>
      </c>
      <c r="X776" s="117">
        <f t="shared" si="61"/>
        <v>0.1</v>
      </c>
      <c r="Y776" s="157" t="e">
        <f t="array" aca="1" ref="Y776" ca="1">LOOKUP(ABS(MAX(Z776 + MIN(ABS(INDIRECT("Class Jobs!B"&amp;MATCH(E776,'Class Jobs'!$A$1:$A1000,0)&amp;":"&amp;"AF"&amp;MATCH(E776,'Class Jobs'!$A$1:$A1000,0)&amp;"")-$Z776)) * SUM(IF(MIN(ABS(INDIRECT("Class Jobs!B"&amp;MATCH(E776,'Class Jobs'!$A$1:$A1000,0)&amp;":"&amp;"AF"&amp;MATCH(E776,'Class Jobs'!$A$1:$A1000,0)&amp;"")-$Z776))=ABS(INDIRECT("Class Jobs!B"&amp;MATCH(E776,'Class Jobs'!$A$1:$A1000,0)&amp;":"&amp;"AF"&amp;MATCH(E776,'Class Jobs'!$A$1:$A1000,0)&amp;"")-$Z776),SIGN(INDIRECT("Class Jobs!B"&amp;MATCH(E776,'Class Jobs'!$A$1:A1000,0)&amp;":"&amp;"AF"&amp;MATCH(E776,'Class Jobs'!$A$1:$A1000,0)&amp;"")-$Z776),0)),0)),INDIRECT("Class Jobs!B"&amp;MATCH(E776,'Class Jobs'!$A$1:$A1000,0)&amp;":"&amp;"AF"&amp;MATCH(E776,'Class Jobs'!$A$1:$A1000,1)&amp;""),'Class Jobs'!$B$1:$AF$1)</f>
        <v>#REF!</v>
      </c>
      <c r="Z776" s="158">
        <f t="shared" si="57"/>
        <v>0.01</v>
      </c>
      <c r="AA776" s="16" t="str">
        <f t="array" ref="AA776">INDEX(NPCGender,TRUNC(1+(COUNTA(NPCGender))*(TRUNC(MOD(($B776*1103515245 +12345)/ 65536, 32768),0)/32768),0))</f>
        <v>Male</v>
      </c>
      <c r="AB776" s="16" t="str">
        <f t="array" ref="AB776">INDEX(NPCRace,TRUNC(1+(COUNTA(NPCRace))*(TRUNC(MOD(($B776*1103515245 +12345)/ 65536, 32768),0)/32768),0))</f>
        <v>Dragonborn</v>
      </c>
      <c r="AC776" s="16" t="str">
        <f t="array" ref="AC776">INDEX(NPCAL,TRUNC(1+(COUNTA(NPCAL))*(TRUNC(MOD(($B776*1103515245 +12345)/ 65536, 32768),0)/32768),0))</f>
        <v>CN</v>
      </c>
      <c r="AD776" s="72" t="str">
        <f ca="1">IFERROR(__xludf.DUMMYFUNCTION("if(V776&lt;15,QUERY(NPCVar!C:D,""Select D WHERE C = '""&amp;D776&amp;""'""),if((TRUNC(1+10)*(TRUNC(MOD((ROW(H776)*1103515245 +12345)/ 65536, 32768),0)/32768)/10) &gt; 0.85,INDEX(NPCFaction,TRUNC(1+(counta(NPCFaction)-1)*(TRUNC(MOD(($B776*1103515245 +12345)/ 65536, 3276"&amp;"8),0)/32768),0)),QUERY(NPCVar!C:D,""Select D WHERE C = '""&amp;D776&amp;""'"")))"),"Royalty")</f>
        <v>Royalty</v>
      </c>
      <c r="AE776" s="108" t="e">
        <f t="shared" ca="1" si="58"/>
        <v>#NAME?</v>
      </c>
      <c r="AF776" s="159">
        <f ca="1">IFERROR(__xludf.DUMMYFUNCTION("AE776*(V776 / QUERY(NPCVar!$K$2:$N$12, ""Select N WHERE K='""&amp;AB776&amp;""'""))*TRUNC(1+10)*(TRUNC(MOD(($B776*1103515245 +12345)/ 65536, 32768),0)/32768)"),0)</f>
        <v>0</v>
      </c>
      <c r="AG776" s="16"/>
      <c r="AH776" s="77"/>
      <c r="AI776" s="114"/>
    </row>
    <row r="777" spans="1:35" ht="16.2">
      <c r="A777" s="53">
        <v>776</v>
      </c>
      <c r="B777" s="118">
        <f t="shared" si="60"/>
        <v>0.94016999999999995</v>
      </c>
      <c r="C777" s="72" t="str">
        <f t="array" ref="C777">INDEX(NPCFName,TRUNC(1+(COUNTA(NPCFName))*(TRUNC(MOD(($B777*1103515245 +12345)/ 65536, 32768),0)/32768),0))</f>
        <v>Jespar</v>
      </c>
      <c r="D777" s="16" t="str">
        <f t="array" ref="D777">INDEX(NPCLName,TRUNC(1+(COUNTA(NPCLName))*(TRUNC(MOD(($B777*1103515245 +12345)/ 65536, 32768),0)/32768),0))</f>
        <v>Autumnglow</v>
      </c>
      <c r="E777" s="16" t="str">
        <f t="array" ref="E777">INDEX(NPCClass,TRUNC(1+(COUNTA(NPCClass))*(TRUNC(MOD(($B777*1103515245 +12345)/ 65536, 32768),0)/32768),0))</f>
        <v>Ranger</v>
      </c>
      <c r="F777" s="76">
        <v>5</v>
      </c>
      <c r="G777" s="153">
        <f ca="1">VLOOKUP($AB$2,'RF Mod'!$A$2:$G$12,2,FALSE)+VLOOKUP($AD$2,'RF Mod'!$I$2:$O$11,2,FALSE)+(TRUNC(6+(24-6)*(TRUNC(MOD(($Z777*1103515245 +12345)/ 65536, 32768),0)/32768),0))</f>
        <v>8</v>
      </c>
      <c r="H777" s="16">
        <f t="shared" ca="1" si="49"/>
        <v>-1</v>
      </c>
      <c r="I777" s="153">
        <f ca="1">VLOOKUP($AB$2,'RF Mod'!$A$2:$G$12,3,FALSE)+VLOOKUP($AD$2,'RF Mod'!$I$2:$O$11,3,FALSE)+(TRUNC(6+(24-6)*(TRUNC(MOD(($Z777*1103515245 +12345)/ 65536, 32768),0)/32768),0))</f>
        <v>12</v>
      </c>
      <c r="J777" s="16" t="e">
        <f t="shared" ca="1" si="50"/>
        <v>#NAME?</v>
      </c>
      <c r="K777" s="153">
        <f ca="1">VLOOKUP($AB$2,'RF Mod'!$A$2:$G$12,3,FALSE)+VLOOKUP($AD$2,'RF Mod'!$I$2:$O$11,3,FALSE)+(TRUNC(6+(24-6)*(TRUNC(MOD(($Z777*1103515245 +12345)/ 65536, 32768),0)/32768),0))</f>
        <v>12</v>
      </c>
      <c r="L777" s="16" t="e">
        <f t="shared" ca="1" si="51"/>
        <v>#NAME?</v>
      </c>
      <c r="M777" s="153">
        <f ca="1">VLOOKUP($AB$2,'RF Mod'!$A$2:$G$12,4,FALSE)+VLOOKUP($AD$2,'RF Mod'!$I$2:$O$11,4,FALSE)+(TRUNC(6+(24-6)*(TRUNC(MOD(($Z777*1103515245 +12345)/ 65536, 32768),0)/32768),0))</f>
        <v>11</v>
      </c>
      <c r="N777" s="16" t="e">
        <f t="shared" ca="1" si="52"/>
        <v>#NAME?</v>
      </c>
      <c r="O777" s="153">
        <f ca="1">VLOOKUP($AB$2,'RF Mod'!$A$2:$G$12,5,FALSE)+VLOOKUP($AD$2,'RF Mod'!$I$2:$O$11,5,FALSE)+(TRUNC(6+(24-6)*(TRUNC(MOD(($Z777*1103515245 +12345)/ 65536, 32768),0)/32768),0))</f>
        <v>14</v>
      </c>
      <c r="P777" s="16" t="e">
        <f t="shared" ca="1" si="53"/>
        <v>#NAME?</v>
      </c>
      <c r="Q777" s="153">
        <f ca="1">VLOOKUP($AB$2,'RF Mod'!$A$2:$G$12,6,FALSE)+VLOOKUP($AD$2,'RF Mod'!$I$2:$O$11,6,FALSE)+(TRUNC(6+(24-6)*(TRUNC(MOD(($Z777*1103515245 +12345)/ 65536, 32768),0)/32768),0))</f>
        <v>12</v>
      </c>
      <c r="R777" s="16" t="e">
        <f t="shared" ca="1" si="54"/>
        <v>#NAME?</v>
      </c>
      <c r="S777" s="154">
        <f t="shared" ca="1" si="59"/>
        <v>150</v>
      </c>
      <c r="T777" s="154">
        <f t="shared" ca="1" si="55"/>
        <v>12</v>
      </c>
      <c r="U777" s="16" t="str">
        <f t="shared" ca="1" si="56"/>
        <v>Fine</v>
      </c>
      <c r="V777" s="155">
        <f ca="1">IFERROR(__xludf.DUMMYFUNCTION("if(W777=""Middle Age"",QUERY(NPCVar!$K$2:$N1000, ""Select L where K = '""&amp;AB777&amp;""'""),if(W777=""Old"",QUERY(NPCVar!$K$2:$N1000, ""Select M where K = '""&amp;AB777&amp;""'""),if(W777=""Venerable"",QUERY(NPCVar!$K$2:$N1000, ""Select N where K = '""&amp;AB777&amp;""'""),fa"&amp;"lse)))*X777"),31.5)</f>
        <v>31.5</v>
      </c>
      <c r="W777" s="156" t="str">
        <f t="array" ref="W777">INDEX(NPCAgeType,TRUNC(1+(4-1)*(TRUNC(MOD((X777*1103515245 +12345)/ 65536, 32768),0)/32768),0))</f>
        <v>Old</v>
      </c>
      <c r="X777" s="117">
        <f t="shared" si="61"/>
        <v>1.2</v>
      </c>
      <c r="Y777" s="157" t="e">
        <f t="array" aca="1" ref="Y777" ca="1">LOOKUP(ABS(MAX(Z777 + MIN(ABS(INDIRECT("Class Jobs!B"&amp;MATCH(E777,'Class Jobs'!$A$1:$A1000,0)&amp;":"&amp;"AF"&amp;MATCH(E777,'Class Jobs'!$A$1:$A1000,0)&amp;"")-$Z777)) * SUM(IF(MIN(ABS(INDIRECT("Class Jobs!B"&amp;MATCH(E777,'Class Jobs'!$A$1:$A1000,0)&amp;":"&amp;"AF"&amp;MATCH(E777,'Class Jobs'!$A$1:$A1000,0)&amp;"")-$Z777))=ABS(INDIRECT("Class Jobs!B"&amp;MATCH(E777,'Class Jobs'!$A$1:$A1000,0)&amp;":"&amp;"AF"&amp;MATCH(E777,'Class Jobs'!$A$1:$A1000,0)&amp;"")-$Z777),SIGN(INDIRECT("Class Jobs!B"&amp;MATCH(E777,'Class Jobs'!$A$1:A1000,0)&amp;":"&amp;"AF"&amp;MATCH(E777,'Class Jobs'!$A$1:$A1000,0)&amp;"")-$Z777),0)),0)),INDIRECT("Class Jobs!B"&amp;MATCH(E777,'Class Jobs'!$A$1:$A1000,0)&amp;":"&amp;"AF"&amp;MATCH(E777,'Class Jobs'!$A$1:$A1000,1)&amp;""),'Class Jobs'!$B$1:$AF$1)</f>
        <v>#REF!</v>
      </c>
      <c r="Z777" s="158">
        <f t="shared" si="57"/>
        <v>0.48</v>
      </c>
      <c r="AA777" s="16" t="str">
        <f t="array" ref="AA777">INDEX(NPCGender,TRUNC(1+(COUNTA(NPCGender))*(TRUNC(MOD(($B777*1103515245 +12345)/ 65536, 32768),0)/32768),0))</f>
        <v>Female</v>
      </c>
      <c r="AB777" s="16" t="str">
        <f t="array" ref="AB777">INDEX(NPCRace,TRUNC(1+(COUNTA(NPCRace))*(TRUNC(MOD(($B777*1103515245 +12345)/ 65536, 32768),0)/32768),0))</f>
        <v>Half-Orc</v>
      </c>
      <c r="AC777" s="16" t="str">
        <f t="array" ref="AC777">INDEX(NPCAL,TRUNC(1+(COUNTA(NPCAL))*(TRUNC(MOD(($B777*1103515245 +12345)/ 65536, 32768),0)/32768),0))</f>
        <v>NN</v>
      </c>
      <c r="AD777" s="72" t="str">
        <f ca="1">IFERROR(__xludf.DUMMYFUNCTION("if(V777&lt;15,QUERY(NPCVar!C:D,""Select D WHERE C = '""&amp;D777&amp;""'""),if((TRUNC(1+10)*(TRUNC(MOD((ROW(H777)*1103515245 +12345)/ 65536, 32768),0)/32768)/10) &gt; 0.85,INDEX(NPCFaction,TRUNC(1+(counta(NPCFaction)-1)*(TRUNC(MOD(($B777*1103515245 +12345)/ 65536, 3276"&amp;"8),0)/32768),0)),QUERY(NPCVar!C:D,""Select D WHERE C = '""&amp;D777&amp;""'"")))"),"Traders Guild")</f>
        <v>Traders Guild</v>
      </c>
      <c r="AE777" s="108" t="e">
        <f t="shared" ca="1" si="58"/>
        <v>#NAME?</v>
      </c>
      <c r="AF777" s="159">
        <f ca="1">IFERROR(__xludf.DUMMYFUNCTION("AE777*(V777 / QUERY(NPCVar!$K$2:$N$12, ""Select N WHERE K='""&amp;AB777&amp;""'""))*TRUNC(1+10)*(TRUNC(MOD(($B777*1103515245 +12345)/ 65536, 32768),0)/32768)"),1.91317016601562)</f>
        <v>1.91317016601562</v>
      </c>
      <c r="AG777" s="16"/>
      <c r="AH777" s="77"/>
      <c r="AI777" s="114"/>
    </row>
    <row r="778" spans="1:35" ht="16.2">
      <c r="A778" s="53">
        <v>777</v>
      </c>
      <c r="B778" s="118">
        <f t="shared" si="60"/>
        <v>2.4342299999999999</v>
      </c>
      <c r="C778" s="72" t="str">
        <f t="array" ref="C778">INDEX(NPCFName,TRUNC(1+(COUNTA(NPCFName))*(TRUNC(MOD(($B778*1103515245 +12345)/ 65536, 32768),0)/32768),0))</f>
        <v>Rydan</v>
      </c>
      <c r="D778" s="16" t="str">
        <f t="array" ref="D778">INDEX(NPCLName,TRUNC(1+(COUNTA(NPCLName))*(TRUNC(MOD(($B778*1103515245 +12345)/ 65536, 32768),0)/32768),0))</f>
        <v>Tuskleaf</v>
      </c>
      <c r="E778" s="16" t="str">
        <f t="array" ref="E778">INDEX(NPCClass,TRUNC(1+(COUNTA(NPCClass))*(TRUNC(MOD(($B778*1103515245 +12345)/ 65536, 32768),0)/32768),0))</f>
        <v>Monk</v>
      </c>
      <c r="F778" s="76">
        <v>1</v>
      </c>
      <c r="G778" s="153">
        <f ca="1">VLOOKUP($AB$2,'RF Mod'!$A$2:$G$12,2,FALSE)+VLOOKUP($AD$2,'RF Mod'!$I$2:$O$11,2,FALSE)+(TRUNC(6+(24-6)*(TRUNC(MOD(($Z778*1103515245 +12345)/ 65536, 32768),0)/32768),0))</f>
        <v>6</v>
      </c>
      <c r="H778" s="16">
        <f t="shared" ca="1" si="49"/>
        <v>-2</v>
      </c>
      <c r="I778" s="153">
        <f ca="1">VLOOKUP($AB$2,'RF Mod'!$A$2:$G$12,3,FALSE)+VLOOKUP($AD$2,'RF Mod'!$I$2:$O$11,3,FALSE)+(TRUNC(6+(24-6)*(TRUNC(MOD(($Z778*1103515245 +12345)/ 65536, 32768),0)/32768),0))</f>
        <v>10</v>
      </c>
      <c r="J778" s="16" t="e">
        <f t="shared" ca="1" si="50"/>
        <v>#NAME?</v>
      </c>
      <c r="K778" s="153">
        <f ca="1">VLOOKUP($AB$2,'RF Mod'!$A$2:$G$12,3,FALSE)+VLOOKUP($AD$2,'RF Mod'!$I$2:$O$11,3,FALSE)+(TRUNC(6+(24-6)*(TRUNC(MOD(($Z778*1103515245 +12345)/ 65536, 32768),0)/32768),0))</f>
        <v>10</v>
      </c>
      <c r="L778" s="16" t="e">
        <f t="shared" ca="1" si="51"/>
        <v>#NAME?</v>
      </c>
      <c r="M778" s="153">
        <f ca="1">VLOOKUP($AB$2,'RF Mod'!$A$2:$G$12,4,FALSE)+VLOOKUP($AD$2,'RF Mod'!$I$2:$O$11,4,FALSE)+(TRUNC(6+(24-6)*(TRUNC(MOD(($Z778*1103515245 +12345)/ 65536, 32768),0)/32768),0))</f>
        <v>9</v>
      </c>
      <c r="N778" s="16">
        <f t="shared" ca="1" si="52"/>
        <v>-1</v>
      </c>
      <c r="O778" s="153">
        <f ca="1">VLOOKUP($AB$2,'RF Mod'!$A$2:$G$12,5,FALSE)+VLOOKUP($AD$2,'RF Mod'!$I$2:$O$11,5,FALSE)+(TRUNC(6+(24-6)*(TRUNC(MOD(($Z778*1103515245 +12345)/ 65536, 32768),0)/32768),0))</f>
        <v>12</v>
      </c>
      <c r="P778" s="16" t="e">
        <f t="shared" ca="1" si="53"/>
        <v>#NAME?</v>
      </c>
      <c r="Q778" s="153">
        <f ca="1">VLOOKUP($AB$2,'RF Mod'!$A$2:$G$12,6,FALSE)+VLOOKUP($AD$2,'RF Mod'!$I$2:$O$11,6,FALSE)+(TRUNC(6+(24-6)*(TRUNC(MOD(($Z778*1103515245 +12345)/ 65536, 32768),0)/32768),0))</f>
        <v>10</v>
      </c>
      <c r="R778" s="16" t="e">
        <f t="shared" ca="1" si="54"/>
        <v>#NAME?</v>
      </c>
      <c r="S778" s="154">
        <f t="shared" ca="1" si="59"/>
        <v>12</v>
      </c>
      <c r="T778" s="154">
        <f t="shared" ca="1" si="55"/>
        <v>13</v>
      </c>
      <c r="U778" s="16" t="str">
        <f t="shared" ca="1" si="56"/>
        <v>Dead</v>
      </c>
      <c r="V778" s="155">
        <f ca="1">IFERROR(__xludf.DUMMYFUNCTION("if(W778=""Middle Age"",QUERY(NPCVar!$K$2:$N1000, ""Select L where K = '""&amp;AB778&amp;""'""),if(W778=""Old"",QUERY(NPCVar!$K$2:$N1000, ""Select M where K = '""&amp;AB778&amp;""'""),if(W778=""Venerable"",QUERY(NPCVar!$K$2:$N1000, ""Select N where K = '""&amp;AB778&amp;""'""),fa"&amp;"lse)))*X778"),196.875)</f>
        <v>196.875</v>
      </c>
      <c r="W778" s="156" t="str">
        <f t="array" ref="W778">INDEX(NPCAgeType,TRUNC(1+(4-1)*(TRUNC(MOD((X778*1103515245 +12345)/ 65536, 32768),0)/32768),0))</f>
        <v>Old</v>
      </c>
      <c r="X778" s="117">
        <f t="shared" si="61"/>
        <v>0.7</v>
      </c>
      <c r="Y778" s="157" t="e">
        <f t="array" aca="1" ref="Y778" ca="1">LOOKUP(ABS(MAX(Z778 + MIN(ABS(INDIRECT("Class Jobs!B"&amp;MATCH(E778,'Class Jobs'!$A$1:$A1000,0)&amp;":"&amp;"AF"&amp;MATCH(E778,'Class Jobs'!$A$1:$A1000,0)&amp;"")-$Z778)) * SUM(IF(MIN(ABS(INDIRECT("Class Jobs!B"&amp;MATCH(E778,'Class Jobs'!$A$1:$A1000,0)&amp;":"&amp;"AF"&amp;MATCH(E778,'Class Jobs'!$A$1:$A1000,0)&amp;"")-$Z778))=ABS(INDIRECT("Class Jobs!B"&amp;MATCH(E778,'Class Jobs'!$A$1:$A1000,0)&amp;":"&amp;"AF"&amp;MATCH(E778,'Class Jobs'!$A$1:$A1000,0)&amp;"")-$Z778),SIGN(INDIRECT("Class Jobs!B"&amp;MATCH(E778,'Class Jobs'!$A$1:A1000,0)&amp;":"&amp;"AF"&amp;MATCH(E778,'Class Jobs'!$A$1:$A1000,0)&amp;"")-$Z778),0)),0)),INDIRECT("Class Jobs!B"&amp;MATCH(E778,'Class Jobs'!$A$1:$A1000,0)&amp;":"&amp;"AF"&amp;MATCH(E778,'Class Jobs'!$A$1:$A1000,1)&amp;""),'Class Jobs'!$B$1:$AF$1)</f>
        <v>#REF!</v>
      </c>
      <c r="Z778" s="158">
        <f t="shared" si="57"/>
        <v>0.25</v>
      </c>
      <c r="AA778" s="16" t="str">
        <f t="array" ref="AA778">INDEX(NPCGender,TRUNC(1+(COUNTA(NPCGender))*(TRUNC(MOD(($B778*1103515245 +12345)/ 65536, 32768),0)/32768),0))</f>
        <v>Male</v>
      </c>
      <c r="AB778" s="16" t="str">
        <f t="array" ref="AB778">INDEX(NPCRace,TRUNC(1+(COUNTA(NPCRace))*(TRUNC(MOD(($B778*1103515245 +12345)/ 65536, 32768),0)/32768),0))</f>
        <v>Elf</v>
      </c>
      <c r="AC778" s="16" t="str">
        <f t="array" ref="AC778">INDEX(NPCAL,TRUNC(1+(COUNTA(NPCAL))*(TRUNC(MOD(($B778*1103515245 +12345)/ 65536, 32768),0)/32768),0))</f>
        <v>CG</v>
      </c>
      <c r="AD778" s="72" t="str">
        <f ca="1">IFERROR(__xludf.DUMMYFUNCTION("if(V778&lt;15,QUERY(NPCVar!C:D,""Select D WHERE C = '""&amp;D778&amp;""'""),if((TRUNC(1+10)*(TRUNC(MOD((ROW(H778)*1103515245 +12345)/ 65536, 32768),0)/32768)/10) &gt; 0.85,INDEX(NPCFaction,TRUNC(1+(counta(NPCFaction)-1)*(TRUNC(MOD(($B778*1103515245 +12345)/ 65536, 3276"&amp;"8),0)/32768),0)),QUERY(NPCVar!C:D,""Select D WHERE C = '""&amp;D778&amp;""'"")))"),"Traders Guild")</f>
        <v>Traders Guild</v>
      </c>
      <c r="AE778" s="108" t="e">
        <f t="shared" ca="1" si="58"/>
        <v>#NAME?</v>
      </c>
      <c r="AF778" s="159">
        <f ca="1">IFERROR(__xludf.DUMMYFUNCTION("AE778*(V778 / QUERY(NPCVar!$K$2:$N$12, ""Select N WHERE K='""&amp;AB778&amp;""'""))*TRUNC(1+10)*(TRUNC(MOD(($B778*1103515245 +12345)/ 65536, 32768),0)/32768)"),0.0724342346191406)</f>
        <v>7.24342346191406E-2</v>
      </c>
      <c r="AG778" s="16"/>
      <c r="AH778" s="77"/>
      <c r="AI778" s="114"/>
    </row>
    <row r="779" spans="1:35" ht="16.2">
      <c r="A779" s="53">
        <v>778</v>
      </c>
      <c r="B779" s="118">
        <f t="shared" si="60"/>
        <v>1.4283699999999999</v>
      </c>
      <c r="C779" s="72" t="str">
        <f t="array" ref="C779">INDEX(NPCFName,TRUNC(1+(COUNTA(NPCFName))*(TRUNC(MOD(($B779*1103515245 +12345)/ 65536, 32768),0)/32768),0))</f>
        <v>Darkboon</v>
      </c>
      <c r="D779" s="16" t="str">
        <f t="array" ref="D779">INDEX(NPCLName,TRUNC(1+(COUNTA(NPCLName))*(TRUNC(MOD(($B779*1103515245 +12345)/ 65536, 32768),0)/32768),0))</f>
        <v>Sacredgloom</v>
      </c>
      <c r="E779" s="16" t="str">
        <f t="array" ref="E779">INDEX(NPCClass,TRUNC(1+(COUNTA(NPCClass))*(TRUNC(MOD(($B779*1103515245 +12345)/ 65536, 32768),0)/32768),0))</f>
        <v>None</v>
      </c>
      <c r="F779" s="76">
        <v>8</v>
      </c>
      <c r="G779" s="153">
        <f ca="1">VLOOKUP($AB$2,'RF Mod'!$A$2:$G$12,2,FALSE)+VLOOKUP($AD$2,'RF Mod'!$I$2:$O$11,2,FALSE)+(TRUNC(6+(24-6)*(TRUNC(MOD(($Z779*1103515245 +12345)/ 65536, 32768),0)/32768),0))</f>
        <v>10</v>
      </c>
      <c r="H779" s="16" t="e">
        <f t="shared" ca="1" si="49"/>
        <v>#NAME?</v>
      </c>
      <c r="I779" s="153">
        <f ca="1">VLOOKUP($AB$2,'RF Mod'!$A$2:$G$12,3,FALSE)+VLOOKUP($AD$2,'RF Mod'!$I$2:$O$11,3,FALSE)+(TRUNC(6+(24-6)*(TRUNC(MOD(($Z779*1103515245 +12345)/ 65536, 32768),0)/32768),0))</f>
        <v>14</v>
      </c>
      <c r="J779" s="16" t="e">
        <f t="shared" ca="1" si="50"/>
        <v>#NAME?</v>
      </c>
      <c r="K779" s="153">
        <f ca="1">VLOOKUP($AB$2,'RF Mod'!$A$2:$G$12,3,FALSE)+VLOOKUP($AD$2,'RF Mod'!$I$2:$O$11,3,FALSE)+(TRUNC(6+(24-6)*(TRUNC(MOD(($Z779*1103515245 +12345)/ 65536, 32768),0)/32768),0))</f>
        <v>14</v>
      </c>
      <c r="L779" s="16" t="e">
        <f t="shared" ca="1" si="51"/>
        <v>#NAME?</v>
      </c>
      <c r="M779" s="153">
        <f ca="1">VLOOKUP($AB$2,'RF Mod'!$A$2:$G$12,4,FALSE)+VLOOKUP($AD$2,'RF Mod'!$I$2:$O$11,4,FALSE)+(TRUNC(6+(24-6)*(TRUNC(MOD(($Z779*1103515245 +12345)/ 65536, 32768),0)/32768),0))</f>
        <v>13</v>
      </c>
      <c r="N779" s="16" t="e">
        <f t="shared" ca="1" si="52"/>
        <v>#NAME?</v>
      </c>
      <c r="O779" s="153">
        <f ca="1">VLOOKUP($AB$2,'RF Mod'!$A$2:$G$12,5,FALSE)+VLOOKUP($AD$2,'RF Mod'!$I$2:$O$11,5,FALSE)+(TRUNC(6+(24-6)*(TRUNC(MOD(($Z779*1103515245 +12345)/ 65536, 32768),0)/32768),0))</f>
        <v>16</v>
      </c>
      <c r="P779" s="16" t="e">
        <f t="shared" ca="1" si="53"/>
        <v>#NAME?</v>
      </c>
      <c r="Q779" s="153">
        <f ca="1">VLOOKUP($AB$2,'RF Mod'!$A$2:$G$12,6,FALSE)+VLOOKUP($AD$2,'RF Mod'!$I$2:$O$11,6,FALSE)+(TRUNC(6+(24-6)*(TRUNC(MOD(($Z779*1103515245 +12345)/ 65536, 32768),0)/32768),0))</f>
        <v>14</v>
      </c>
      <c r="R779" s="16" t="e">
        <f t="shared" ca="1" si="54"/>
        <v>#NAME?</v>
      </c>
      <c r="S779" s="154">
        <f t="shared" ca="1" si="59"/>
        <v>224</v>
      </c>
      <c r="T779" s="154">
        <f t="shared" ca="1" si="55"/>
        <v>35</v>
      </c>
      <c r="U779" s="16" t="str">
        <f t="shared" ca="1" si="56"/>
        <v>Fine</v>
      </c>
      <c r="V779" s="155">
        <f ca="1">IFERROR(__xludf.DUMMYFUNCTION("if(W779=""Middle Age"",QUERY(NPCVar!$K$2:$N1000, ""Select L where K = '""&amp;AB779&amp;""'""),if(W779=""Old"",QUERY(NPCVar!$K$2:$N1000, ""Select M where K = '""&amp;AB779&amp;""'""),if(W779=""Venerable"",QUERY(NPCVar!$K$2:$N1000, ""Select N where K = '""&amp;AB779&amp;""'""),fa"&amp;"lse)))*X779"),180)</f>
        <v>180</v>
      </c>
      <c r="W779" s="156" t="str">
        <f t="array" ref="W779">INDEX(NPCAgeType,TRUNC(1+(4-1)*(TRUNC(MOD((X779*1103515245 +12345)/ 65536, 32768),0)/32768),0))</f>
        <v>Venerable</v>
      </c>
      <c r="X779" s="117">
        <f t="shared" si="61"/>
        <v>1.8</v>
      </c>
      <c r="Y779" s="157" t="e">
        <f t="array" aca="1" ref="Y779" ca="1">LOOKUP(ABS(MAX(Z779 + MIN(ABS(INDIRECT("Class Jobs!B"&amp;MATCH(E779,'Class Jobs'!$A$1:$A1000,0)&amp;":"&amp;"AF"&amp;MATCH(E779,'Class Jobs'!$A$1:$A1000,0)&amp;"")-$Z779)) * SUM(IF(MIN(ABS(INDIRECT("Class Jobs!B"&amp;MATCH(E779,'Class Jobs'!$A$1:$A1000,0)&amp;":"&amp;"AF"&amp;MATCH(E779,'Class Jobs'!$A$1:$A1000,0)&amp;"")-$Z779))=ABS(INDIRECT("Class Jobs!B"&amp;MATCH(E779,'Class Jobs'!$A$1:$A1000,0)&amp;":"&amp;"AF"&amp;MATCH(E779,'Class Jobs'!$A$1:$A1000,0)&amp;"")-$Z779),SIGN(INDIRECT("Class Jobs!B"&amp;MATCH(E779,'Class Jobs'!$A$1:A1000,0)&amp;":"&amp;"AF"&amp;MATCH(E779,'Class Jobs'!$A$1:$A1000,0)&amp;"")-$Z779),0)),0)),INDIRECT("Class Jobs!B"&amp;MATCH(E779,'Class Jobs'!$A$1:$A1000,0)&amp;":"&amp;"AF"&amp;MATCH(E779,'Class Jobs'!$A$1:$A1000,1)&amp;""),'Class Jobs'!$B$1:$AF$1)</f>
        <v>#REF!</v>
      </c>
      <c r="Z779" s="158">
        <f t="shared" si="57"/>
        <v>0.73</v>
      </c>
      <c r="AA779" s="16" t="str">
        <f t="array" ref="AA779">INDEX(NPCGender,TRUNC(1+(COUNTA(NPCGender))*(TRUNC(MOD(($B779*1103515245 +12345)/ 65536, 32768),0)/32768),0))</f>
        <v>Neutral</v>
      </c>
      <c r="AB779" s="16" t="str">
        <f t="array" ref="AB779">INDEX(NPCRace,TRUNC(1+(COUNTA(NPCRace))*(TRUNC(MOD(($B779*1103515245 +12345)/ 65536, 32768),0)/32768),0))</f>
        <v>Tiefling</v>
      </c>
      <c r="AC779" s="16" t="str">
        <f t="array" ref="AC779">INDEX(NPCAL,TRUNC(1+(COUNTA(NPCAL))*(TRUNC(MOD(($B779*1103515245 +12345)/ 65536, 32768),0)/32768),0))</f>
        <v>LG</v>
      </c>
      <c r="AD779" s="72" t="str">
        <f ca="1">IFERROR(__xludf.DUMMYFUNCTION("if(V779&lt;15,QUERY(NPCVar!C:D,""Select D WHERE C = '""&amp;D779&amp;""'""),if((TRUNC(1+10)*(TRUNC(MOD((ROW(H779)*1103515245 +12345)/ 65536, 32768),0)/32768)/10) &gt; 0.85,INDEX(NPCFaction,TRUNC(1+(counta(NPCFaction)-1)*(TRUNC(MOD(($B779*1103515245 +12345)/ 65536, 3276"&amp;"8),0)/32768),0)),QUERY(NPCVar!C:D,""Select D WHERE C = '""&amp;D779&amp;""'"")))"),"Adventures Guild")</f>
        <v>Adventures Guild</v>
      </c>
      <c r="AE779" s="108" t="e">
        <f t="shared" ca="1" si="58"/>
        <v>#NAME?</v>
      </c>
      <c r="AF779" s="159">
        <f ca="1">IFERROR(__xludf.DUMMYFUNCTION("AE779*(V779 / QUERY(NPCVar!$K$2:$N$12, ""Select N WHERE K='""&amp;AB779&amp;""'""))*TRUNC(1+10)*(TRUNC(MOD(($B779*1103515245 +12345)/ 65536, 32768),0)/32768)"),13.0794927978515)</f>
        <v>13.079492797851501</v>
      </c>
      <c r="AG779" s="16"/>
      <c r="AH779" s="77"/>
      <c r="AI779" s="114"/>
    </row>
    <row r="780" spans="1:35" ht="16.2">
      <c r="A780" s="53">
        <v>779</v>
      </c>
      <c r="B780" s="118">
        <f t="shared" si="60"/>
        <v>0.42252000000000001</v>
      </c>
      <c r="C780" s="72" t="str">
        <f t="array" ref="C780">INDEX(NPCFName,TRUNC(1+(COUNTA(NPCFName))*(TRUNC(MOD(($B780*1103515245 +12345)/ 65536, 32768),0)/32768),0))</f>
        <v>Omarn</v>
      </c>
      <c r="D780" s="16" t="str">
        <f t="array" ref="D780">INDEX(NPCLName,TRUNC(1+(COUNTA(NPCLName))*(TRUNC(MOD(($B780*1103515245 +12345)/ 65536, 32768),0)/32768),0))</f>
        <v>Stillsun</v>
      </c>
      <c r="E780" s="16" t="str">
        <f t="array" ref="E780">INDEX(NPCClass,TRUNC(1+(COUNTA(NPCClass))*(TRUNC(MOD(($B780*1103515245 +12345)/ 65536, 32768),0)/32768),0))</f>
        <v>Druid</v>
      </c>
      <c r="F780" s="76">
        <v>1</v>
      </c>
      <c r="G780" s="153">
        <f ca="1">VLOOKUP($AB$2,'RF Mod'!$A$2:$G$12,2,FALSE)+VLOOKUP($AD$2,'RF Mod'!$I$2:$O$11,2,FALSE)+(TRUNC(6+(24-6)*(TRUNC(MOD(($Z780*1103515245 +12345)/ 65536, 32768),0)/32768),0))</f>
        <v>6</v>
      </c>
      <c r="H780" s="16">
        <f t="shared" ca="1" si="49"/>
        <v>-2</v>
      </c>
      <c r="I780" s="153">
        <f ca="1">VLOOKUP($AB$2,'RF Mod'!$A$2:$G$12,3,FALSE)+VLOOKUP($AD$2,'RF Mod'!$I$2:$O$11,3,FALSE)+(TRUNC(6+(24-6)*(TRUNC(MOD(($Z780*1103515245 +12345)/ 65536, 32768),0)/32768),0))</f>
        <v>10</v>
      </c>
      <c r="J780" s="16" t="e">
        <f t="shared" ca="1" si="50"/>
        <v>#NAME?</v>
      </c>
      <c r="K780" s="153">
        <f ca="1">VLOOKUP($AB$2,'RF Mod'!$A$2:$G$12,3,FALSE)+VLOOKUP($AD$2,'RF Mod'!$I$2:$O$11,3,FALSE)+(TRUNC(6+(24-6)*(TRUNC(MOD(($Z780*1103515245 +12345)/ 65536, 32768),0)/32768),0))</f>
        <v>10</v>
      </c>
      <c r="L780" s="16" t="e">
        <f t="shared" ca="1" si="51"/>
        <v>#NAME?</v>
      </c>
      <c r="M780" s="153">
        <f ca="1">VLOOKUP($AB$2,'RF Mod'!$A$2:$G$12,4,FALSE)+VLOOKUP($AD$2,'RF Mod'!$I$2:$O$11,4,FALSE)+(TRUNC(6+(24-6)*(TRUNC(MOD(($Z780*1103515245 +12345)/ 65536, 32768),0)/32768),0))</f>
        <v>9</v>
      </c>
      <c r="N780" s="16">
        <f t="shared" ca="1" si="52"/>
        <v>-1</v>
      </c>
      <c r="O780" s="153">
        <f ca="1">VLOOKUP($AB$2,'RF Mod'!$A$2:$G$12,5,FALSE)+VLOOKUP($AD$2,'RF Mod'!$I$2:$O$11,5,FALSE)+(TRUNC(6+(24-6)*(TRUNC(MOD(($Z780*1103515245 +12345)/ 65536, 32768),0)/32768),0))</f>
        <v>12</v>
      </c>
      <c r="P780" s="16" t="e">
        <f t="shared" ca="1" si="53"/>
        <v>#NAME?</v>
      </c>
      <c r="Q780" s="153">
        <f ca="1">VLOOKUP($AB$2,'RF Mod'!$A$2:$G$12,6,FALSE)+VLOOKUP($AD$2,'RF Mod'!$I$2:$O$11,6,FALSE)+(TRUNC(6+(24-6)*(TRUNC(MOD(($Z780*1103515245 +12345)/ 65536, 32768),0)/32768),0))</f>
        <v>10</v>
      </c>
      <c r="R780" s="16" t="e">
        <f t="shared" ca="1" si="54"/>
        <v>#NAME?</v>
      </c>
      <c r="S780" s="154">
        <f t="shared" ca="1" si="59"/>
        <v>12</v>
      </c>
      <c r="T780" s="154">
        <f t="shared" ca="1" si="55"/>
        <v>5</v>
      </c>
      <c r="U780" s="16" t="str">
        <f t="shared" ca="1" si="56"/>
        <v>Fine</v>
      </c>
      <c r="V780" s="155">
        <f ca="1">IFERROR(__xludf.DUMMYFUNCTION("if(W780=""Middle Age"",QUERY(NPCVar!$K$2:$N1000, ""Select L where K = '""&amp;AB780&amp;""'""),if(W780=""Old"",QUERY(NPCVar!$K$2:$N1000, ""Select M where K = '""&amp;AB780&amp;""'""),if(W780=""Venerable"",QUERY(NPCVar!$K$2:$N1000, ""Select N where K = '""&amp;AB780&amp;""'""),fa"&amp;"lse)))*X780"),112.5)</f>
        <v>112.5</v>
      </c>
      <c r="W780" s="156" t="str">
        <f t="array" ref="W780">INDEX(NPCAgeType,TRUNC(1+(4-1)*(TRUNC(MOD((X780*1103515245 +12345)/ 65536, 32768),0)/32768),0))</f>
        <v>Middle Age</v>
      </c>
      <c r="X780" s="117">
        <f t="shared" si="61"/>
        <v>0.6</v>
      </c>
      <c r="Y780" s="157" t="e">
        <f t="array" aca="1" ref="Y780" ca="1">LOOKUP(ABS(MAX(Z780 + MIN(ABS(INDIRECT("Class Jobs!B"&amp;MATCH(E780,'Class Jobs'!$A$1:$A1000,0)&amp;":"&amp;"AF"&amp;MATCH(E780,'Class Jobs'!$A$1:$A1000,0)&amp;"")-$Z780)) * SUM(IF(MIN(ABS(INDIRECT("Class Jobs!B"&amp;MATCH(E780,'Class Jobs'!$A$1:$A1000,0)&amp;":"&amp;"AF"&amp;MATCH(E780,'Class Jobs'!$A$1:$A1000,0)&amp;"")-$Z780))=ABS(INDIRECT("Class Jobs!B"&amp;MATCH(E780,'Class Jobs'!$A$1:$A1000,0)&amp;":"&amp;"AF"&amp;MATCH(E780,'Class Jobs'!$A$1:$A1000,0)&amp;"")-$Z780),SIGN(INDIRECT("Class Jobs!B"&amp;MATCH(E780,'Class Jobs'!$A$1:A1000,0)&amp;":"&amp;"AF"&amp;MATCH(E780,'Class Jobs'!$A$1:$A1000,0)&amp;"")-$Z780),0)),0)),INDIRECT("Class Jobs!B"&amp;MATCH(E780,'Class Jobs'!$A$1:$A1000,0)&amp;":"&amp;"AF"&amp;MATCH(E780,'Class Jobs'!$A$1:$A1000,1)&amp;""),'Class Jobs'!$B$1:$AF$1)</f>
        <v>#REF!</v>
      </c>
      <c r="Z780" s="158">
        <f t="shared" si="57"/>
        <v>0.22</v>
      </c>
      <c r="AA780" s="16" t="str">
        <f t="array" ref="AA780">INDEX(NPCGender,TRUNC(1+(COUNTA(NPCGender))*(TRUNC(MOD(($B780*1103515245 +12345)/ 65536, 32768),0)/32768),0))</f>
        <v>Male</v>
      </c>
      <c r="AB780" s="16" t="str">
        <f t="array" ref="AB780">INDEX(NPCRace,TRUNC(1+(COUNTA(NPCRace))*(TRUNC(MOD(($B780*1103515245 +12345)/ 65536, 32768),0)/32768),0))</f>
        <v>Elf</v>
      </c>
      <c r="AC780" s="16" t="str">
        <f t="array" ref="AC780">INDEX(NPCAL,TRUNC(1+(COUNTA(NPCAL))*(TRUNC(MOD(($B780*1103515245 +12345)/ 65536, 32768),0)/32768),0))</f>
        <v>CE</v>
      </c>
      <c r="AD780" s="72" t="str">
        <f ca="1">IFERROR(__xludf.DUMMYFUNCTION("if(V780&lt;15,QUERY(NPCVar!C:D,""Select D WHERE C = '""&amp;D780&amp;""'""),if((TRUNC(1+10)*(TRUNC(MOD((ROW(H780)*1103515245 +12345)/ 65536, 32768),0)/32768)/10) &gt; 0.85,INDEX(NPCFaction,TRUNC(1+(counta(NPCFaction)-1)*(TRUNC(MOD(($B780*1103515245 +12345)/ 65536, 3276"&amp;"8),0)/32768),0)),QUERY(NPCVar!C:D,""Select D WHERE C = '""&amp;D780&amp;""'"")))"),"Necromancer")</f>
        <v>Necromancer</v>
      </c>
      <c r="AE780" s="108" t="e">
        <f t="shared" ca="1" si="58"/>
        <v>#NAME?</v>
      </c>
      <c r="AF780" s="159">
        <f ca="1">IFERROR(__xludf.DUMMYFUNCTION("AE780*(V780 / QUERY(NPCVar!$K$2:$N$12, ""Select N WHERE K='""&amp;AB780&amp;""'""))*TRUNC(1+10)*(TRUNC(MOD(($B780*1103515245 +12345)/ 65536, 32768),0)/32768)"),0.0358218383789062)</f>
        <v>3.58218383789062E-2</v>
      </c>
      <c r="AG780" s="16"/>
      <c r="AH780" s="77"/>
      <c r="AI780" s="114"/>
    </row>
    <row r="781" spans="1:35" ht="16.2">
      <c r="A781" s="53">
        <v>780</v>
      </c>
      <c r="B781" s="118">
        <f t="shared" si="60"/>
        <v>1.91665</v>
      </c>
      <c r="C781" s="72" t="str">
        <f t="array" ref="C781">INDEX(NPCFName,TRUNC(1+(COUNTA(NPCFName))*(TRUNC(MOD(($B781*1103515245 +12345)/ 65536, 32768),0)/32768),0))</f>
        <v>Wyvorn</v>
      </c>
      <c r="D781" s="16" t="str">
        <f t="array" ref="D781">INDEX(NPCLName,TRUNC(1+(COUNTA(NPCLName))*(TRUNC(MOD(($B781*1103515245 +12345)/ 65536, 32768),0)/32768),0))</f>
        <v>Stillspell</v>
      </c>
      <c r="E781" s="16" t="str">
        <f t="array" ref="E781">INDEX(NPCClass,TRUNC(1+(COUNTA(NPCClass))*(TRUNC(MOD(($B781*1103515245 +12345)/ 65536, 32768),0)/32768),0))</f>
        <v>Wizard</v>
      </c>
      <c r="F781" s="76">
        <v>8</v>
      </c>
      <c r="G781" s="153">
        <f ca="1">VLOOKUP($AB$2,'RF Mod'!$A$2:$G$12,2,FALSE)+VLOOKUP($AD$2,'RF Mod'!$I$2:$O$11,2,FALSE)+(TRUNC(6+(24-6)*(TRUNC(MOD(($Z781*1103515245 +12345)/ 65536, 32768),0)/32768),0))</f>
        <v>13</v>
      </c>
      <c r="H781" s="16" t="e">
        <f t="shared" ca="1" si="49"/>
        <v>#NAME?</v>
      </c>
      <c r="I781" s="153">
        <f ca="1">VLOOKUP($AB$2,'RF Mod'!$A$2:$G$12,3,FALSE)+VLOOKUP($AD$2,'RF Mod'!$I$2:$O$11,3,FALSE)+(TRUNC(6+(24-6)*(TRUNC(MOD(($Z781*1103515245 +12345)/ 65536, 32768),0)/32768),0))</f>
        <v>17</v>
      </c>
      <c r="J781" s="16" t="e">
        <f t="shared" ca="1" si="50"/>
        <v>#NAME?</v>
      </c>
      <c r="K781" s="153">
        <f ca="1">VLOOKUP($AB$2,'RF Mod'!$A$2:$G$12,3,FALSE)+VLOOKUP($AD$2,'RF Mod'!$I$2:$O$11,3,FALSE)+(TRUNC(6+(24-6)*(TRUNC(MOD(($Z781*1103515245 +12345)/ 65536, 32768),0)/32768),0))</f>
        <v>17</v>
      </c>
      <c r="L781" s="16" t="e">
        <f t="shared" ca="1" si="51"/>
        <v>#NAME?</v>
      </c>
      <c r="M781" s="153">
        <f ca="1">VLOOKUP($AB$2,'RF Mod'!$A$2:$G$12,4,FALSE)+VLOOKUP($AD$2,'RF Mod'!$I$2:$O$11,4,FALSE)+(TRUNC(6+(24-6)*(TRUNC(MOD(($Z781*1103515245 +12345)/ 65536, 32768),0)/32768),0))</f>
        <v>16</v>
      </c>
      <c r="N781" s="16" t="e">
        <f t="shared" ca="1" si="52"/>
        <v>#NAME?</v>
      </c>
      <c r="O781" s="153">
        <f ca="1">VLOOKUP($AB$2,'RF Mod'!$A$2:$G$12,5,FALSE)+VLOOKUP($AD$2,'RF Mod'!$I$2:$O$11,5,FALSE)+(TRUNC(6+(24-6)*(TRUNC(MOD(($Z781*1103515245 +12345)/ 65536, 32768),0)/32768),0))</f>
        <v>19</v>
      </c>
      <c r="P781" s="16" t="e">
        <f t="shared" ca="1" si="53"/>
        <v>#NAME?</v>
      </c>
      <c r="Q781" s="153">
        <f ca="1">VLOOKUP($AB$2,'RF Mod'!$A$2:$G$12,6,FALSE)+VLOOKUP($AD$2,'RF Mod'!$I$2:$O$11,6,FALSE)+(TRUNC(6+(24-6)*(TRUNC(MOD(($Z781*1103515245 +12345)/ 65536, 32768),0)/32768),0))</f>
        <v>17</v>
      </c>
      <c r="R781" s="16" t="e">
        <f t="shared" ca="1" si="54"/>
        <v>#NAME?</v>
      </c>
      <c r="S781" s="154">
        <f t="shared" ca="1" si="59"/>
        <v>152</v>
      </c>
      <c r="T781" s="154">
        <f t="shared" ca="1" si="55"/>
        <v>171</v>
      </c>
      <c r="U781" s="16" t="str">
        <f t="shared" ca="1" si="56"/>
        <v>Dead</v>
      </c>
      <c r="V781" s="155">
        <f ca="1">IFERROR(__xludf.DUMMYFUNCTION("if(W781=""Middle Age"",QUERY(NPCVar!$K$2:$N1000, ""Select L where K = '""&amp;AB781&amp;""'""),if(W781=""Old"",QUERY(NPCVar!$K$2:$N1000, ""Select M where K = '""&amp;AB781&amp;""'""),if(W781=""Venerable"",QUERY(NPCVar!$K$2:$N1000, ""Select N where K = '""&amp;AB781&amp;""'""),fa"&amp;"lse)))*X781"),72)</f>
        <v>72</v>
      </c>
      <c r="W781" s="156" t="str">
        <f t="array" ref="W781">INDEX(NPCAgeType,TRUNC(1+(4-1)*(TRUNC(MOD((X781*1103515245 +12345)/ 65536, 32768),0)/32768),0))</f>
        <v>Middle Age</v>
      </c>
      <c r="X781" s="117">
        <f t="shared" si="61"/>
        <v>2.4</v>
      </c>
      <c r="Y781" s="157" t="e">
        <f t="array" aca="1" ref="Y781" ca="1">LOOKUP(ABS(MAX(Z781 + MIN(ABS(INDIRECT("Class Jobs!B"&amp;MATCH(E781,'Class Jobs'!$A$1:$A1000,0)&amp;":"&amp;"AF"&amp;MATCH(E781,'Class Jobs'!$A$1:$A1000,0)&amp;"")-$Z781)) * SUM(IF(MIN(ABS(INDIRECT("Class Jobs!B"&amp;MATCH(E781,'Class Jobs'!$A$1:$A1000,0)&amp;":"&amp;"AF"&amp;MATCH(E781,'Class Jobs'!$A$1:$A1000,0)&amp;"")-$Z781))=ABS(INDIRECT("Class Jobs!B"&amp;MATCH(E781,'Class Jobs'!$A$1:$A1000,0)&amp;":"&amp;"AF"&amp;MATCH(E781,'Class Jobs'!$A$1:$A1000,0)&amp;"")-$Z781),SIGN(INDIRECT("Class Jobs!B"&amp;MATCH(E781,'Class Jobs'!$A$1:A1000,0)&amp;":"&amp;"AF"&amp;MATCH(E781,'Class Jobs'!$A$1:$A1000,0)&amp;"")-$Z781),0)),0)),INDIRECT("Class Jobs!B"&amp;MATCH(E781,'Class Jobs'!$A$1:$A1000,0)&amp;":"&amp;"AF"&amp;MATCH(E781,'Class Jobs'!$A$1:$A1000,1)&amp;""),'Class Jobs'!$B$1:$AF$1)</f>
        <v>#REF!</v>
      </c>
      <c r="Z781" s="158">
        <f t="shared" si="57"/>
        <v>0.98</v>
      </c>
      <c r="AA781" s="16" t="str">
        <f t="array" ref="AA781">INDEX(NPCGender,TRUNC(1+(COUNTA(NPCGender))*(TRUNC(MOD(($B781*1103515245 +12345)/ 65536, 32768),0)/32768),0))</f>
        <v>Neutral</v>
      </c>
      <c r="AB781" s="16" t="str">
        <f t="array" ref="AB781">INDEX(NPCRace,TRUNC(1+(COUNTA(NPCRace))*(TRUNC(MOD(($B781*1103515245 +12345)/ 65536, 32768),0)/32768),0))</f>
        <v>Goliath</v>
      </c>
      <c r="AC781" s="16" t="str">
        <f t="array" ref="AC781">INDEX(NPCAL,TRUNC(1+(COUNTA(NPCAL))*(TRUNC(MOD(($B781*1103515245 +12345)/ 65536, 32768),0)/32768),0))</f>
        <v>LE</v>
      </c>
      <c r="AD781" s="72" t="str">
        <f ca="1">IFERROR(__xludf.DUMMYFUNCTION("if(V781&lt;15,QUERY(NPCVar!C:D,""Select D WHERE C = '""&amp;D781&amp;""'""),if((TRUNC(1+10)*(TRUNC(MOD((ROW(H781)*1103515245 +12345)/ 65536, 32768),0)/32768)/10) &gt; 0.85,INDEX(NPCFaction,TRUNC(1+(counta(NPCFaction)-1)*(TRUNC(MOD(($B781*1103515245 +12345)/ 65536, 3276"&amp;"8),0)/32768),0)),QUERY(NPCVar!C:D,""Select D WHERE C = '""&amp;D781&amp;""'"")))"),"Followers of Isis")</f>
        <v>Followers of Isis</v>
      </c>
      <c r="AE781" s="108" t="e">
        <f t="shared" ca="1" si="58"/>
        <v>#NAME?</v>
      </c>
      <c r="AF781" s="159">
        <f ca="1">IFERROR(__xludf.DUMMYFUNCTION("AE781*(V781 / QUERY(NPCVar!$K$2:$N$12, ""Select N WHERE K='""&amp;AB781&amp;""'""))*TRUNC(1+10)*(TRUNC(MOD(($B781*1103515245 +12345)/ 65536, 32768),0)/32768)"),5.85026916503906)</f>
        <v>5.8502691650390597</v>
      </c>
      <c r="AG781" s="16"/>
      <c r="AH781" s="77"/>
      <c r="AI781" s="114"/>
    </row>
    <row r="782" spans="1:35" ht="16.2">
      <c r="A782" s="53">
        <v>781</v>
      </c>
      <c r="B782" s="118">
        <f t="shared" si="60"/>
        <v>0.91080000000000005</v>
      </c>
      <c r="C782" s="72" t="str">
        <f t="array" ref="C782">INDEX(NPCFName,TRUNC(1+(COUNTA(NPCFName))*(TRUNC(MOD(($B782*1103515245 +12345)/ 65536, 32768),0)/32768),0))</f>
        <v>Hildar</v>
      </c>
      <c r="D782" s="16" t="str">
        <f t="array" ref="D782">INDEX(NPCLName,TRUNC(1+(COUNTA(NPCLName))*(TRUNC(MOD(($B782*1103515245 +12345)/ 65536, 32768),0)/32768),0))</f>
        <v>Autumnglow</v>
      </c>
      <c r="E782" s="16" t="str">
        <f t="array" ref="E782">INDEX(NPCClass,TRUNC(1+(COUNTA(NPCClass))*(TRUNC(MOD(($B782*1103515245 +12345)/ 65536, 32768),0)/32768),0))</f>
        <v>Ranger</v>
      </c>
      <c r="F782" s="76">
        <v>8</v>
      </c>
      <c r="G782" s="153">
        <f ca="1">VLOOKUP($AB$2,'RF Mod'!$A$2:$G$12,2,FALSE)+VLOOKUP($AD$2,'RF Mod'!$I$2:$O$11,2,FALSE)+(TRUNC(6+(24-6)*(TRUNC(MOD(($Z782*1103515245 +12345)/ 65536, 32768),0)/32768),0))</f>
        <v>8</v>
      </c>
      <c r="H782" s="16">
        <f t="shared" ca="1" si="49"/>
        <v>-1</v>
      </c>
      <c r="I782" s="153">
        <f ca="1">VLOOKUP($AB$2,'RF Mod'!$A$2:$G$12,3,FALSE)+VLOOKUP($AD$2,'RF Mod'!$I$2:$O$11,3,FALSE)+(TRUNC(6+(24-6)*(TRUNC(MOD(($Z782*1103515245 +12345)/ 65536, 32768),0)/32768),0))</f>
        <v>12</v>
      </c>
      <c r="J782" s="16" t="e">
        <f t="shared" ca="1" si="50"/>
        <v>#NAME?</v>
      </c>
      <c r="K782" s="153">
        <f ca="1">VLOOKUP($AB$2,'RF Mod'!$A$2:$G$12,3,FALSE)+VLOOKUP($AD$2,'RF Mod'!$I$2:$O$11,3,FALSE)+(TRUNC(6+(24-6)*(TRUNC(MOD(($Z782*1103515245 +12345)/ 65536, 32768),0)/32768),0))</f>
        <v>12</v>
      </c>
      <c r="L782" s="16" t="e">
        <f t="shared" ca="1" si="51"/>
        <v>#NAME?</v>
      </c>
      <c r="M782" s="153">
        <f ca="1">VLOOKUP($AB$2,'RF Mod'!$A$2:$G$12,4,FALSE)+VLOOKUP($AD$2,'RF Mod'!$I$2:$O$11,4,FALSE)+(TRUNC(6+(24-6)*(TRUNC(MOD(($Z782*1103515245 +12345)/ 65536, 32768),0)/32768),0))</f>
        <v>11</v>
      </c>
      <c r="N782" s="16" t="e">
        <f t="shared" ca="1" si="52"/>
        <v>#NAME?</v>
      </c>
      <c r="O782" s="153">
        <f ca="1">VLOOKUP($AB$2,'RF Mod'!$A$2:$G$12,5,FALSE)+VLOOKUP($AD$2,'RF Mod'!$I$2:$O$11,5,FALSE)+(TRUNC(6+(24-6)*(TRUNC(MOD(($Z782*1103515245 +12345)/ 65536, 32768),0)/32768),0))</f>
        <v>14</v>
      </c>
      <c r="P782" s="16" t="e">
        <f t="shared" ca="1" si="53"/>
        <v>#NAME?</v>
      </c>
      <c r="Q782" s="153">
        <f ca="1">VLOOKUP($AB$2,'RF Mod'!$A$2:$G$12,6,FALSE)+VLOOKUP($AD$2,'RF Mod'!$I$2:$O$11,6,FALSE)+(TRUNC(6+(24-6)*(TRUNC(MOD(($Z782*1103515245 +12345)/ 65536, 32768),0)/32768),0))</f>
        <v>12</v>
      </c>
      <c r="R782" s="16" t="e">
        <f t="shared" ca="1" si="54"/>
        <v>#NAME?</v>
      </c>
      <c r="S782" s="154">
        <f t="shared" ca="1" si="59"/>
        <v>176</v>
      </c>
      <c r="T782" s="154">
        <f t="shared" ca="1" si="55"/>
        <v>14</v>
      </c>
      <c r="U782" s="16" t="str">
        <f t="shared" ca="1" si="56"/>
        <v>Fine</v>
      </c>
      <c r="V782" s="155">
        <f ca="1">IFERROR(__xludf.DUMMYFUNCTION("if(W782=""Middle Age"",QUERY(NPCVar!$K$2:$N1000, ""Select L where K = '""&amp;AB782&amp;""'""),if(W782=""Old"",QUERY(NPCVar!$K$2:$N1000, ""Select M where K = '""&amp;AB782&amp;""'""),if(W782=""Venerable"",QUERY(NPCVar!$K$2:$N1000, ""Select N where K = '""&amp;AB782&amp;""'""),fa"&amp;"lse)))*X782"),31.5)</f>
        <v>31.5</v>
      </c>
      <c r="W782" s="156" t="str">
        <f t="array" ref="W782">INDEX(NPCAgeType,TRUNC(1+(4-1)*(TRUNC(MOD((X782*1103515245 +12345)/ 65536, 32768),0)/32768),0))</f>
        <v>Old</v>
      </c>
      <c r="X782" s="117">
        <f t="shared" si="61"/>
        <v>1.2</v>
      </c>
      <c r="Y782" s="157" t="e">
        <f t="array" aca="1" ref="Y782" ca="1">LOOKUP(ABS(MAX(Z782 + MIN(ABS(INDIRECT("Class Jobs!B"&amp;MATCH(E782,'Class Jobs'!$A$1:$A1000,0)&amp;":"&amp;"AF"&amp;MATCH(E782,'Class Jobs'!$A$1:$A1000,0)&amp;"")-$Z782)) * SUM(IF(MIN(ABS(INDIRECT("Class Jobs!B"&amp;MATCH(E782,'Class Jobs'!$A$1:$A1000,0)&amp;":"&amp;"AF"&amp;MATCH(E782,'Class Jobs'!$A$1:$A1000,0)&amp;"")-$Z782))=ABS(INDIRECT("Class Jobs!B"&amp;MATCH(E782,'Class Jobs'!$A$1:$A1000,0)&amp;":"&amp;"AF"&amp;MATCH(E782,'Class Jobs'!$A$1:$A1000,0)&amp;"")-$Z782),SIGN(INDIRECT("Class Jobs!B"&amp;MATCH(E782,'Class Jobs'!$A$1:A1000,0)&amp;":"&amp;"AF"&amp;MATCH(E782,'Class Jobs'!$A$1:$A1000,0)&amp;"")-$Z782),0)),0)),INDIRECT("Class Jobs!B"&amp;MATCH(E782,'Class Jobs'!$A$1:$A1000,0)&amp;":"&amp;"AF"&amp;MATCH(E782,'Class Jobs'!$A$1:$A1000,1)&amp;""),'Class Jobs'!$B$1:$AF$1)</f>
        <v>#REF!</v>
      </c>
      <c r="Z782" s="158">
        <f t="shared" si="57"/>
        <v>0.47</v>
      </c>
      <c r="AA782" s="16" t="str">
        <f t="array" ref="AA782">INDEX(NPCGender,TRUNC(1+(COUNTA(NPCGender))*(TRUNC(MOD(($B782*1103515245 +12345)/ 65536, 32768),0)/32768),0))</f>
        <v>Female</v>
      </c>
      <c r="AB782" s="16" t="str">
        <f t="array" ref="AB782">INDEX(NPCRace,TRUNC(1+(COUNTA(NPCRace))*(TRUNC(MOD(($B782*1103515245 +12345)/ 65536, 32768),0)/32768),0))</f>
        <v>Half-Orc</v>
      </c>
      <c r="AC782" s="16" t="str">
        <f t="array" ref="AC782">INDEX(NPCAL,TRUNC(1+(COUNTA(NPCAL))*(TRUNC(MOD(($B782*1103515245 +12345)/ 65536, 32768),0)/32768),0))</f>
        <v>NN</v>
      </c>
      <c r="AD782" s="72" t="str">
        <f ca="1">IFERROR(__xludf.DUMMYFUNCTION("if(V782&lt;15,QUERY(NPCVar!C:D,""Select D WHERE C = '""&amp;D782&amp;""'""),if((TRUNC(1+10)*(TRUNC(MOD((ROW(H782)*1103515245 +12345)/ 65536, 32768),0)/32768)/10) &gt; 0.85,INDEX(NPCFaction,TRUNC(1+(counta(NPCFaction)-1)*(TRUNC(MOD(($B782*1103515245 +12345)/ 65536, 3276"&amp;"8),0)/32768),0)),QUERY(NPCVar!C:D,""Select D WHERE C = '""&amp;D782&amp;""'"")))"),"Thieves Guild")</f>
        <v>Thieves Guild</v>
      </c>
      <c r="AE782" s="108" t="e">
        <f t="shared" ca="1" si="58"/>
        <v>#NAME?</v>
      </c>
      <c r="AF782" s="159">
        <f ca="1">IFERROR(__xludf.DUMMYFUNCTION("AE782*(V782 / QUERY(NPCVar!$K$2:$N$12, ""Select N WHERE K='""&amp;AB782&amp;""'""))*TRUNC(1+10)*(TRUNC(MOD(($B782*1103515245 +12345)/ 65536, 32768),0)/32768)"),0.9266748046875)</f>
        <v>0.92667480468749996</v>
      </c>
      <c r="AG782" s="16"/>
      <c r="AH782" s="77"/>
      <c r="AI782" s="114"/>
    </row>
    <row r="783" spans="1:35" ht="16.2">
      <c r="A783" s="53">
        <v>782</v>
      </c>
      <c r="B783" s="118">
        <f t="shared" si="60"/>
        <v>2.4049299999999998</v>
      </c>
      <c r="C783" s="72" t="str">
        <f t="array" ref="C783">INDEX(NPCFName,TRUNC(1+(COUNTA(NPCFName))*(TRUNC(MOD(($B783*1103515245 +12345)/ 65536, 32768),0)/32768),0))</f>
        <v>Quid</v>
      </c>
      <c r="D783" s="16" t="str">
        <f t="array" ref="D783">INDEX(NPCLName,TRUNC(1+(COUNTA(NPCLName))*(TRUNC(MOD(($B783*1103515245 +12345)/ 65536, 32768),0)/32768),0))</f>
        <v>Tuskleaf</v>
      </c>
      <c r="E783" s="16" t="str">
        <f t="array" ref="E783">INDEX(NPCClass,TRUNC(1+(COUNTA(NPCClass))*(TRUNC(MOD(($B783*1103515245 +12345)/ 65536, 32768),0)/32768),0))</f>
        <v>Druid</v>
      </c>
      <c r="F783" s="76">
        <v>1</v>
      </c>
      <c r="G783" s="153">
        <f ca="1">VLOOKUP($AB$2,'RF Mod'!$A$2:$G$12,2,FALSE)+VLOOKUP($AD$2,'RF Mod'!$I$2:$O$11,2,FALSE)+(TRUNC(6+(24-6)*(TRUNC(MOD(($Z783*1103515245 +12345)/ 65536, 32768),0)/32768),0))</f>
        <v>6</v>
      </c>
      <c r="H783" s="16">
        <f t="shared" ca="1" si="49"/>
        <v>-2</v>
      </c>
      <c r="I783" s="153">
        <f ca="1">VLOOKUP($AB$2,'RF Mod'!$A$2:$G$12,3,FALSE)+VLOOKUP($AD$2,'RF Mod'!$I$2:$O$11,3,FALSE)+(TRUNC(6+(24-6)*(TRUNC(MOD(($Z783*1103515245 +12345)/ 65536, 32768),0)/32768),0))</f>
        <v>10</v>
      </c>
      <c r="J783" s="16" t="e">
        <f t="shared" ca="1" si="50"/>
        <v>#NAME?</v>
      </c>
      <c r="K783" s="153">
        <f ca="1">VLOOKUP($AB$2,'RF Mod'!$A$2:$G$12,3,FALSE)+VLOOKUP($AD$2,'RF Mod'!$I$2:$O$11,3,FALSE)+(TRUNC(6+(24-6)*(TRUNC(MOD(($Z783*1103515245 +12345)/ 65536, 32768),0)/32768),0))</f>
        <v>10</v>
      </c>
      <c r="L783" s="16" t="e">
        <f t="shared" ca="1" si="51"/>
        <v>#NAME?</v>
      </c>
      <c r="M783" s="153">
        <f ca="1">VLOOKUP($AB$2,'RF Mod'!$A$2:$G$12,4,FALSE)+VLOOKUP($AD$2,'RF Mod'!$I$2:$O$11,4,FALSE)+(TRUNC(6+(24-6)*(TRUNC(MOD(($Z783*1103515245 +12345)/ 65536, 32768),0)/32768),0))</f>
        <v>9</v>
      </c>
      <c r="N783" s="16">
        <f t="shared" ca="1" si="52"/>
        <v>-1</v>
      </c>
      <c r="O783" s="153">
        <f ca="1">VLOOKUP($AB$2,'RF Mod'!$A$2:$G$12,5,FALSE)+VLOOKUP($AD$2,'RF Mod'!$I$2:$O$11,5,FALSE)+(TRUNC(6+(24-6)*(TRUNC(MOD(($Z783*1103515245 +12345)/ 65536, 32768),0)/32768),0))</f>
        <v>12</v>
      </c>
      <c r="P783" s="16" t="e">
        <f t="shared" ca="1" si="53"/>
        <v>#NAME?</v>
      </c>
      <c r="Q783" s="153">
        <f ca="1">VLOOKUP($AB$2,'RF Mod'!$A$2:$G$12,6,FALSE)+VLOOKUP($AD$2,'RF Mod'!$I$2:$O$11,6,FALSE)+(TRUNC(6+(24-6)*(TRUNC(MOD(($Z783*1103515245 +12345)/ 65536, 32768),0)/32768),0))</f>
        <v>10</v>
      </c>
      <c r="R783" s="16" t="e">
        <f t="shared" ca="1" si="54"/>
        <v>#NAME?</v>
      </c>
      <c r="S783" s="154">
        <f t="shared" ca="1" si="59"/>
        <v>14</v>
      </c>
      <c r="T783" s="154">
        <f t="shared" ca="1" si="55"/>
        <v>4</v>
      </c>
      <c r="U783" s="16" t="str">
        <f t="shared" ca="1" si="56"/>
        <v>Fine</v>
      </c>
      <c r="V783" s="155">
        <f ca="1">IFERROR(__xludf.DUMMYFUNCTION("if(W783=""Middle Age"",QUERY(NPCVar!$K$2:$N1000, ""Select L where K = '""&amp;AB783&amp;""'""),if(W783=""Old"",QUERY(NPCVar!$K$2:$N1000, ""Select M where K = '""&amp;AB783&amp;""'""),if(W783=""Venerable"",QUERY(NPCVar!$K$2:$N1000, ""Select N where K = '""&amp;AB783&amp;""'""),fa"&amp;"lse)))*X783"),112.5)</f>
        <v>112.5</v>
      </c>
      <c r="W783" s="156" t="str">
        <f t="array" ref="W783">INDEX(NPCAgeType,TRUNC(1+(4-1)*(TRUNC(MOD((X783*1103515245 +12345)/ 65536, 32768),0)/32768),0))</f>
        <v>Middle Age</v>
      </c>
      <c r="X783" s="117">
        <f t="shared" si="61"/>
        <v>0.6</v>
      </c>
      <c r="Y783" s="157" t="e">
        <f t="array" aca="1" ref="Y783" ca="1">LOOKUP(ABS(MAX(Z783 + MIN(ABS(INDIRECT("Class Jobs!B"&amp;MATCH(E783,'Class Jobs'!$A$1:$A1000,0)&amp;":"&amp;"AF"&amp;MATCH(E783,'Class Jobs'!$A$1:$A1000,0)&amp;"")-$Z783)) * SUM(IF(MIN(ABS(INDIRECT("Class Jobs!B"&amp;MATCH(E783,'Class Jobs'!$A$1:$A1000,0)&amp;":"&amp;"AF"&amp;MATCH(E783,'Class Jobs'!$A$1:$A1000,0)&amp;"")-$Z783))=ABS(INDIRECT("Class Jobs!B"&amp;MATCH(E783,'Class Jobs'!$A$1:$A1000,0)&amp;":"&amp;"AF"&amp;MATCH(E783,'Class Jobs'!$A$1:$A1000,0)&amp;"")-$Z783),SIGN(INDIRECT("Class Jobs!B"&amp;MATCH(E783,'Class Jobs'!$A$1:A1000,0)&amp;":"&amp;"AF"&amp;MATCH(E783,'Class Jobs'!$A$1:$A1000,0)&amp;"")-$Z783),0)),0)),INDIRECT("Class Jobs!B"&amp;MATCH(E783,'Class Jobs'!$A$1:$A1000,0)&amp;":"&amp;"AF"&amp;MATCH(E783,'Class Jobs'!$A$1:$A1000,1)&amp;""),'Class Jobs'!$B$1:$AF$1)</f>
        <v>#REF!</v>
      </c>
      <c r="Z783" s="158">
        <f t="shared" si="57"/>
        <v>0.24</v>
      </c>
      <c r="AA783" s="16" t="str">
        <f t="array" ref="AA783">INDEX(NPCGender,TRUNC(1+(COUNTA(NPCGender))*(TRUNC(MOD(($B783*1103515245 +12345)/ 65536, 32768),0)/32768),0))</f>
        <v>Male</v>
      </c>
      <c r="AB783" s="16" t="str">
        <f t="array" ref="AB783">INDEX(NPCRace,TRUNC(1+(COUNTA(NPCRace))*(TRUNC(MOD(($B783*1103515245 +12345)/ 65536, 32768),0)/32768),0))</f>
        <v>Elf</v>
      </c>
      <c r="AC783" s="16" t="str">
        <f t="array" ref="AC783">INDEX(NPCAL,TRUNC(1+(COUNTA(NPCAL))*(TRUNC(MOD(($B783*1103515245 +12345)/ 65536, 32768),0)/32768),0))</f>
        <v>CG</v>
      </c>
      <c r="AD783" s="72" t="str">
        <f ca="1">IFERROR(__xludf.DUMMYFUNCTION("if(V783&lt;15,QUERY(NPCVar!C:D,""Select D WHERE C = '""&amp;D783&amp;""'""),if((TRUNC(1+10)*(TRUNC(MOD((ROW(H783)*1103515245 +12345)/ 65536, 32768),0)/32768)/10) &gt; 0.85,INDEX(NPCFaction,TRUNC(1+(counta(NPCFaction)-1)*(TRUNC(MOD(($B783*1103515245 +12345)/ 65536, 3276"&amp;"8),0)/32768),0)),QUERY(NPCVar!C:D,""Select D WHERE C = '""&amp;D783&amp;""'"")))"),"Magic Guild")</f>
        <v>Magic Guild</v>
      </c>
      <c r="AE783" s="108" t="e">
        <f t="shared" ca="1" si="58"/>
        <v>#NAME?</v>
      </c>
      <c r="AF783" s="159">
        <f ca="1">IFERROR(__xludf.DUMMYFUNCTION("AE783*(V783 / QUERY(NPCVar!$K$2:$N$12, ""Select N WHERE K='""&amp;AB783&amp;""'""))*TRUNC(1+10)*(TRUNC(MOD(($B783*1103515245 +12345)/ 65536, 32768),0)/32768)"),0.233451232910156)</f>
        <v>0.23345123291015599</v>
      </c>
      <c r="AG783" s="16"/>
      <c r="AH783" s="77"/>
      <c r="AI783" s="114"/>
    </row>
    <row r="784" spans="1:35" ht="16.2">
      <c r="A784" s="53">
        <v>783</v>
      </c>
      <c r="B784" s="118">
        <f t="shared" si="60"/>
        <v>1.3990800000000001</v>
      </c>
      <c r="C784" s="72" t="str">
        <f t="array" ref="C784">INDEX(NPCFName,TRUNC(1+(COUNTA(NPCFName))*(TRUNC(MOD(($B784*1103515245 +12345)/ 65536, 32768),0)/32768),0))</f>
        <v>Chesmarn</v>
      </c>
      <c r="D784" s="16" t="str">
        <f t="array" ref="D784">INDEX(NPCLName,TRUNC(1+(COUNTA(NPCLName))*(TRUNC(MOD(($B784*1103515245 +12345)/ 65536, 32768),0)/32768),0))</f>
        <v>Rockspell</v>
      </c>
      <c r="E784" s="16" t="str">
        <f t="array" ref="E784">INDEX(NPCClass,TRUNC(1+(COUNTA(NPCClass))*(TRUNC(MOD(($B784*1103515245 +12345)/ 65536, 32768),0)/32768),0))</f>
        <v>None</v>
      </c>
      <c r="F784" s="76">
        <v>8</v>
      </c>
      <c r="G784" s="153">
        <f ca="1">VLOOKUP($AB$2,'RF Mod'!$A$2:$G$12,2,FALSE)+VLOOKUP($AD$2,'RF Mod'!$I$2:$O$11,2,FALSE)+(TRUNC(6+(24-6)*(TRUNC(MOD(($Z784*1103515245 +12345)/ 65536, 32768),0)/32768),0))</f>
        <v>10</v>
      </c>
      <c r="H784" s="16" t="e">
        <f t="shared" ca="1" si="49"/>
        <v>#NAME?</v>
      </c>
      <c r="I784" s="153">
        <f ca="1">VLOOKUP($AB$2,'RF Mod'!$A$2:$G$12,3,FALSE)+VLOOKUP($AD$2,'RF Mod'!$I$2:$O$11,3,FALSE)+(TRUNC(6+(24-6)*(TRUNC(MOD(($Z784*1103515245 +12345)/ 65536, 32768),0)/32768),0))</f>
        <v>14</v>
      </c>
      <c r="J784" s="16" t="e">
        <f t="shared" ca="1" si="50"/>
        <v>#NAME?</v>
      </c>
      <c r="K784" s="153">
        <f ca="1">VLOOKUP($AB$2,'RF Mod'!$A$2:$G$12,3,FALSE)+VLOOKUP($AD$2,'RF Mod'!$I$2:$O$11,3,FALSE)+(TRUNC(6+(24-6)*(TRUNC(MOD(($Z784*1103515245 +12345)/ 65536, 32768),0)/32768),0))</f>
        <v>14</v>
      </c>
      <c r="L784" s="16" t="e">
        <f t="shared" ca="1" si="51"/>
        <v>#NAME?</v>
      </c>
      <c r="M784" s="153">
        <f ca="1">VLOOKUP($AB$2,'RF Mod'!$A$2:$G$12,4,FALSE)+VLOOKUP($AD$2,'RF Mod'!$I$2:$O$11,4,FALSE)+(TRUNC(6+(24-6)*(TRUNC(MOD(($Z784*1103515245 +12345)/ 65536, 32768),0)/32768),0))</f>
        <v>13</v>
      </c>
      <c r="N784" s="16" t="e">
        <f t="shared" ca="1" si="52"/>
        <v>#NAME?</v>
      </c>
      <c r="O784" s="153">
        <f ca="1">VLOOKUP($AB$2,'RF Mod'!$A$2:$G$12,5,FALSE)+VLOOKUP($AD$2,'RF Mod'!$I$2:$O$11,5,FALSE)+(TRUNC(6+(24-6)*(TRUNC(MOD(($Z784*1103515245 +12345)/ 65536, 32768),0)/32768),0))</f>
        <v>16</v>
      </c>
      <c r="P784" s="16" t="e">
        <f t="shared" ca="1" si="53"/>
        <v>#NAME?</v>
      </c>
      <c r="Q784" s="153">
        <f ca="1">VLOOKUP($AB$2,'RF Mod'!$A$2:$G$12,6,FALSE)+VLOOKUP($AD$2,'RF Mod'!$I$2:$O$11,6,FALSE)+(TRUNC(6+(24-6)*(TRUNC(MOD(($Z784*1103515245 +12345)/ 65536, 32768),0)/32768),0))</f>
        <v>14</v>
      </c>
      <c r="R784" s="16" t="e">
        <f t="shared" ca="1" si="54"/>
        <v>#NAME?</v>
      </c>
      <c r="S784" s="154">
        <f t="shared" ca="1" si="59"/>
        <v>208</v>
      </c>
      <c r="T784" s="154">
        <f t="shared" ca="1" si="55"/>
        <v>35</v>
      </c>
      <c r="U784" s="16" t="str">
        <f t="shared" ca="1" si="56"/>
        <v>Fine</v>
      </c>
      <c r="V784" s="155">
        <f ca="1">IFERROR(__xludf.DUMMYFUNCTION("if(W784=""Middle Age"",QUERY(NPCVar!$K$2:$N1000, ""Select L where K = '""&amp;AB784&amp;""'""),if(W784=""Old"",QUERY(NPCVar!$K$2:$N1000, ""Select M where K = '""&amp;AB784&amp;""'""),if(W784=""Venerable"",QUERY(NPCVar!$K$2:$N1000, ""Select N where K = '""&amp;AB784&amp;""'""),fa"&amp;"lse)))*X784"),162)</f>
        <v>162</v>
      </c>
      <c r="W784" s="156" t="str">
        <f t="array" ref="W784">INDEX(NPCAgeType,TRUNC(1+(4-1)*(TRUNC(MOD((X784*1103515245 +12345)/ 65536, 32768),0)/32768),0))</f>
        <v>Venerable</v>
      </c>
      <c r="X784" s="117">
        <f t="shared" si="61"/>
        <v>1.8</v>
      </c>
      <c r="Y784" s="157" t="e">
        <f t="array" aca="1" ref="Y784" ca="1">LOOKUP(ABS(MAX(Z784 + MIN(ABS(INDIRECT("Class Jobs!B"&amp;MATCH(E784,'Class Jobs'!$A$1:$A1000,0)&amp;":"&amp;"AF"&amp;MATCH(E784,'Class Jobs'!$A$1:$A1000,0)&amp;"")-$Z784)) * SUM(IF(MIN(ABS(INDIRECT("Class Jobs!B"&amp;MATCH(E784,'Class Jobs'!$A$1:$A1000,0)&amp;":"&amp;"AF"&amp;MATCH(E784,'Class Jobs'!$A$1:$A1000,0)&amp;"")-$Z784))=ABS(INDIRECT("Class Jobs!B"&amp;MATCH(E784,'Class Jobs'!$A$1:$A1000,0)&amp;":"&amp;"AF"&amp;MATCH(E784,'Class Jobs'!$A$1:$A1000,0)&amp;"")-$Z784),SIGN(INDIRECT("Class Jobs!B"&amp;MATCH(E784,'Class Jobs'!$A$1:A1000,0)&amp;":"&amp;"AF"&amp;MATCH(E784,'Class Jobs'!$A$1:$A1000,0)&amp;"")-$Z784),0)),0)),INDIRECT("Class Jobs!B"&amp;MATCH(E784,'Class Jobs'!$A$1:$A1000,0)&amp;":"&amp;"AF"&amp;MATCH(E784,'Class Jobs'!$A$1:$A1000,1)&amp;""),'Class Jobs'!$B$1:$AF$1)</f>
        <v>#REF!</v>
      </c>
      <c r="Z784" s="158">
        <f t="shared" si="57"/>
        <v>0.72</v>
      </c>
      <c r="AA784" s="16" t="str">
        <f t="array" ref="AA784">INDEX(NPCGender,TRUNC(1+(COUNTA(NPCGender))*(TRUNC(MOD(($B784*1103515245 +12345)/ 65536, 32768),0)/32768),0))</f>
        <v>Neutral</v>
      </c>
      <c r="AB784" s="16" t="str">
        <f t="array" ref="AB784">INDEX(NPCRace,TRUNC(1+(COUNTA(NPCRace))*(TRUNC(MOD(($B784*1103515245 +12345)/ 65536, 32768),0)/32768),0))</f>
        <v>Human</v>
      </c>
      <c r="AC784" s="16" t="str">
        <f t="array" ref="AC784">INDEX(NPCAL,TRUNC(1+(COUNTA(NPCAL))*(TRUNC(MOD(($B784*1103515245 +12345)/ 65536, 32768),0)/32768),0))</f>
        <v>LG</v>
      </c>
      <c r="AD784" s="72" t="str">
        <f ca="1">IFERROR(__xludf.DUMMYFUNCTION("if(V784&lt;15,QUERY(NPCVar!C:D,""Select D WHERE C = '""&amp;D784&amp;""'""),if((TRUNC(1+10)*(TRUNC(MOD((ROW(H784)*1103515245 +12345)/ 65536, 32768),0)/32768)/10) &gt; 0.85,INDEX(NPCFaction,TRUNC(1+(counta(NPCFaction)-1)*(TRUNC(MOD(($B784*1103515245 +12345)/ 65536, 3276"&amp;"8),0)/32768),0)),QUERY(NPCVar!C:D,""Select D WHERE C = '""&amp;D784&amp;""'"")))"),"Magic Guild")</f>
        <v>Magic Guild</v>
      </c>
      <c r="AE784" s="108" t="e">
        <f t="shared" ca="1" si="58"/>
        <v>#NAME?</v>
      </c>
      <c r="AF784" s="159">
        <f ca="1">IFERROR(__xludf.DUMMYFUNCTION("AE784*(V784 / QUERY(NPCVar!$K$2:$N$12, ""Select N WHERE K='""&amp;AB784&amp;""'""))*TRUNC(1+10)*(TRUNC(MOD(($B784*1103515245 +12345)/ 65536, 32768),0)/32768)"),7.11743774414062)</f>
        <v>7.11743774414062</v>
      </c>
      <c r="AG784" s="16"/>
      <c r="AH784" s="77"/>
      <c r="AI784" s="114"/>
    </row>
    <row r="785" spans="1:35" ht="16.2">
      <c r="A785" s="53">
        <v>784</v>
      </c>
      <c r="B785" s="118">
        <f t="shared" si="60"/>
        <v>0.39322000000000001</v>
      </c>
      <c r="C785" s="72" t="str">
        <f t="array" ref="C785">INDEX(NPCFName,TRUNC(1+(COUNTA(NPCFName))*(TRUNC(MOD(($B785*1103515245 +12345)/ 65536, 32768),0)/32768),0))</f>
        <v>Nadeer</v>
      </c>
      <c r="D785" s="16" t="str">
        <f t="array" ref="D785">INDEX(NPCLName,TRUNC(1+(COUNTA(NPCLName))*(TRUNC(MOD(($B785*1103515245 +12345)/ 65536, 32768),0)/32768),0))</f>
        <v>Stillsun</v>
      </c>
      <c r="E785" s="16" t="str">
        <f t="array" ref="E785">INDEX(NPCClass,TRUNC(1+(COUNTA(NPCClass))*(TRUNC(MOD(($B785*1103515245 +12345)/ 65536, 32768),0)/32768),0))</f>
        <v>Druid</v>
      </c>
      <c r="F785" s="76">
        <v>2</v>
      </c>
      <c r="G785" s="153">
        <f ca="1">VLOOKUP($AB$2,'RF Mod'!$A$2:$G$12,2,FALSE)+VLOOKUP($AD$2,'RF Mod'!$I$2:$O$11,2,FALSE)+(TRUNC(6+(24-6)*(TRUNC(MOD(($Z785*1103515245 +12345)/ 65536, 32768),0)/32768),0))</f>
        <v>5</v>
      </c>
      <c r="H785" s="16">
        <f t="shared" ca="1" si="49"/>
        <v>-3</v>
      </c>
      <c r="I785" s="153">
        <f ca="1">VLOOKUP($AB$2,'RF Mod'!$A$2:$G$12,3,FALSE)+VLOOKUP($AD$2,'RF Mod'!$I$2:$O$11,3,FALSE)+(TRUNC(6+(24-6)*(TRUNC(MOD(($Z785*1103515245 +12345)/ 65536, 32768),0)/32768),0))</f>
        <v>9</v>
      </c>
      <c r="J785" s="16">
        <f t="shared" ca="1" si="50"/>
        <v>-1</v>
      </c>
      <c r="K785" s="153">
        <f ca="1">VLOOKUP($AB$2,'RF Mod'!$A$2:$G$12,3,FALSE)+VLOOKUP($AD$2,'RF Mod'!$I$2:$O$11,3,FALSE)+(TRUNC(6+(24-6)*(TRUNC(MOD(($Z785*1103515245 +12345)/ 65536, 32768),0)/32768),0))</f>
        <v>9</v>
      </c>
      <c r="L785" s="16">
        <f t="shared" ca="1" si="51"/>
        <v>-1</v>
      </c>
      <c r="M785" s="153">
        <f ca="1">VLOOKUP($AB$2,'RF Mod'!$A$2:$G$12,4,FALSE)+VLOOKUP($AD$2,'RF Mod'!$I$2:$O$11,4,FALSE)+(TRUNC(6+(24-6)*(TRUNC(MOD(($Z785*1103515245 +12345)/ 65536, 32768),0)/32768),0))</f>
        <v>8</v>
      </c>
      <c r="N785" s="16">
        <f t="shared" ca="1" si="52"/>
        <v>-1</v>
      </c>
      <c r="O785" s="153">
        <f ca="1">VLOOKUP($AB$2,'RF Mod'!$A$2:$G$12,5,FALSE)+VLOOKUP($AD$2,'RF Mod'!$I$2:$O$11,5,FALSE)+(TRUNC(6+(24-6)*(TRUNC(MOD(($Z785*1103515245 +12345)/ 65536, 32768),0)/32768),0))</f>
        <v>11</v>
      </c>
      <c r="P785" s="16" t="e">
        <f t="shared" ca="1" si="53"/>
        <v>#NAME?</v>
      </c>
      <c r="Q785" s="153">
        <f ca="1">VLOOKUP($AB$2,'RF Mod'!$A$2:$G$12,6,FALSE)+VLOOKUP($AD$2,'RF Mod'!$I$2:$O$11,6,FALSE)+(TRUNC(6+(24-6)*(TRUNC(MOD(($Z785*1103515245 +12345)/ 65536, 32768),0)/32768),0))</f>
        <v>9</v>
      </c>
      <c r="R785" s="16">
        <f t="shared" ca="1" si="54"/>
        <v>-1</v>
      </c>
      <c r="S785" s="154">
        <f t="shared" ca="1" si="59"/>
        <v>22</v>
      </c>
      <c r="T785" s="154">
        <f t="shared" ca="1" si="55"/>
        <v>13</v>
      </c>
      <c r="U785" s="16" t="str">
        <f t="shared" ca="1" si="56"/>
        <v>Bloody</v>
      </c>
      <c r="V785" s="155">
        <f ca="1">IFERROR(__xludf.DUMMYFUNCTION("if(W785=""Middle Age"",QUERY(NPCVar!$K$2:$N1000, ""Select L where K = '""&amp;AB785&amp;""'""),if(W785=""Old"",QUERY(NPCVar!$K$2:$N1000, ""Select M where K = '""&amp;AB785&amp;""'""),if(W785=""Venerable"",QUERY(NPCVar!$K$2:$N1000, ""Select N where K = '""&amp;AB785&amp;""'""),fa"&amp;"lse)))*X785"),93.75)</f>
        <v>93.75</v>
      </c>
      <c r="W785" s="156" t="str">
        <f t="array" ref="W785">INDEX(NPCAgeType,TRUNC(1+(4-1)*(TRUNC(MOD((X785*1103515245 +12345)/ 65536, 32768),0)/32768),0))</f>
        <v>Middle Age</v>
      </c>
      <c r="X785" s="117">
        <f t="shared" si="61"/>
        <v>0.5</v>
      </c>
      <c r="Y785" s="157" t="e">
        <f t="array" aca="1" ref="Y785" ca="1">LOOKUP(ABS(MAX(Z785 + MIN(ABS(INDIRECT("Class Jobs!B"&amp;MATCH(E785,'Class Jobs'!$A$1:$A1000,0)&amp;":"&amp;"AF"&amp;MATCH(E785,'Class Jobs'!$A$1:$A1000,0)&amp;"")-$Z785)) * SUM(IF(MIN(ABS(INDIRECT("Class Jobs!B"&amp;MATCH(E785,'Class Jobs'!$A$1:$A1000,0)&amp;":"&amp;"AF"&amp;MATCH(E785,'Class Jobs'!$A$1:$A1000,0)&amp;"")-$Z785))=ABS(INDIRECT("Class Jobs!B"&amp;MATCH(E785,'Class Jobs'!$A$1:$A1000,0)&amp;":"&amp;"AF"&amp;MATCH(E785,'Class Jobs'!$A$1:$A1000,0)&amp;"")-$Z785),SIGN(INDIRECT("Class Jobs!B"&amp;MATCH(E785,'Class Jobs'!$A$1:A1000,0)&amp;":"&amp;"AF"&amp;MATCH(E785,'Class Jobs'!$A$1:$A1000,0)&amp;"")-$Z785),0)),0)),INDIRECT("Class Jobs!B"&amp;MATCH(E785,'Class Jobs'!$A$1:$A1000,0)&amp;":"&amp;"AF"&amp;MATCH(E785,'Class Jobs'!$A$1:$A1000,1)&amp;""),'Class Jobs'!$B$1:$AF$1)</f>
        <v>#REF!</v>
      </c>
      <c r="Z785" s="158">
        <f t="shared" si="57"/>
        <v>0.21</v>
      </c>
      <c r="AA785" s="16" t="str">
        <f t="array" ref="AA785">INDEX(NPCGender,TRUNC(1+(COUNTA(NPCGender))*(TRUNC(MOD(($B785*1103515245 +12345)/ 65536, 32768),0)/32768),0))</f>
        <v>Male</v>
      </c>
      <c r="AB785" s="16" t="str">
        <f t="array" ref="AB785">INDEX(NPCRace,TRUNC(1+(COUNTA(NPCRace))*(TRUNC(MOD(($B785*1103515245 +12345)/ 65536, 32768),0)/32768),0))</f>
        <v>Elf</v>
      </c>
      <c r="AC785" s="16" t="str">
        <f t="array" ref="AC785">INDEX(NPCAL,TRUNC(1+(COUNTA(NPCAL))*(TRUNC(MOD(($B785*1103515245 +12345)/ 65536, 32768),0)/32768),0))</f>
        <v>CE</v>
      </c>
      <c r="AD785" s="72" t="str">
        <f ca="1">IFERROR(__xludf.DUMMYFUNCTION("if(V785&lt;15,QUERY(NPCVar!C:D,""Select D WHERE C = '""&amp;D785&amp;""'""),if((TRUNC(1+10)*(TRUNC(MOD((ROW(H785)*1103515245 +12345)/ 65536, 32768),0)/32768)/10) &gt; 0.85,INDEX(NPCFaction,TRUNC(1+(counta(NPCFaction)-1)*(TRUNC(MOD(($B785*1103515245 +12345)/ 65536, 3276"&amp;"8),0)/32768),0)),QUERY(NPCVar!C:D,""Select D WHERE C = '""&amp;D785&amp;""'"")))"),"Necromancer")</f>
        <v>Necromancer</v>
      </c>
      <c r="AE785" s="108" t="e">
        <f t="shared" ca="1" si="58"/>
        <v>#NAME?</v>
      </c>
      <c r="AF785" s="159">
        <f ca="1">IFERROR(__xludf.DUMMYFUNCTION("AE785*(V785 / QUERY(NPCVar!$K$2:$N$12, ""Select N WHERE K='""&amp;AB785&amp;""'""))*TRUNC(1+10)*(TRUNC(MOD(($B785*1103515245 +12345)/ 65536, 32768),0)/32768)"),0.138914108276367)</f>
        <v>0.13891410827636699</v>
      </c>
      <c r="AG785" s="16"/>
      <c r="AH785" s="77"/>
      <c r="AI785" s="114"/>
    </row>
    <row r="786" spans="1:35" ht="16.2">
      <c r="A786" s="53">
        <v>785</v>
      </c>
      <c r="B786" s="118">
        <f t="shared" si="60"/>
        <v>1.8873599999999999</v>
      </c>
      <c r="C786" s="72" t="str">
        <f t="array" ref="C786">INDEX(NPCFName,TRUNC(1+(COUNTA(NPCFName))*(TRUNC(MOD(($B786*1103515245 +12345)/ 65536, 32768),0)/32768),0))</f>
        <v>Vilan</v>
      </c>
      <c r="D786" s="16" t="str">
        <f t="array" ref="D786">INDEX(NPCLName,TRUNC(1+(COUNTA(NPCLName))*(TRUNC(MOD(($B786*1103515245 +12345)/ 65536, 32768),0)/32768),0))</f>
        <v>Stillspell</v>
      </c>
      <c r="E786" s="16" t="str">
        <f t="array" ref="E786">INDEX(NPCClass,TRUNC(1+(COUNTA(NPCClass))*(TRUNC(MOD(($B786*1103515245 +12345)/ 65536, 32768),0)/32768),0))</f>
        <v>Wizard</v>
      </c>
      <c r="F786" s="76">
        <v>8</v>
      </c>
      <c r="G786" s="153">
        <f ca="1">VLOOKUP($AB$2,'RF Mod'!$A$2:$G$12,2,FALSE)+VLOOKUP($AD$2,'RF Mod'!$I$2:$O$11,2,FALSE)+(TRUNC(6+(24-6)*(TRUNC(MOD(($Z786*1103515245 +12345)/ 65536, 32768),0)/32768),0))</f>
        <v>12</v>
      </c>
      <c r="H786" s="16" t="e">
        <f t="shared" ca="1" si="49"/>
        <v>#NAME?</v>
      </c>
      <c r="I786" s="153">
        <f ca="1">VLOOKUP($AB$2,'RF Mod'!$A$2:$G$12,3,FALSE)+VLOOKUP($AD$2,'RF Mod'!$I$2:$O$11,3,FALSE)+(TRUNC(6+(24-6)*(TRUNC(MOD(($Z786*1103515245 +12345)/ 65536, 32768),0)/32768),0))</f>
        <v>16</v>
      </c>
      <c r="J786" s="16" t="e">
        <f t="shared" ca="1" si="50"/>
        <v>#NAME?</v>
      </c>
      <c r="K786" s="153">
        <f ca="1">VLOOKUP($AB$2,'RF Mod'!$A$2:$G$12,3,FALSE)+VLOOKUP($AD$2,'RF Mod'!$I$2:$O$11,3,FALSE)+(TRUNC(6+(24-6)*(TRUNC(MOD(($Z786*1103515245 +12345)/ 65536, 32768),0)/32768),0))</f>
        <v>16</v>
      </c>
      <c r="L786" s="16" t="e">
        <f t="shared" ca="1" si="51"/>
        <v>#NAME?</v>
      </c>
      <c r="M786" s="153">
        <f ca="1">VLOOKUP($AB$2,'RF Mod'!$A$2:$G$12,4,FALSE)+VLOOKUP($AD$2,'RF Mod'!$I$2:$O$11,4,FALSE)+(TRUNC(6+(24-6)*(TRUNC(MOD(($Z786*1103515245 +12345)/ 65536, 32768),0)/32768),0))</f>
        <v>15</v>
      </c>
      <c r="N786" s="16" t="e">
        <f t="shared" ca="1" si="52"/>
        <v>#NAME?</v>
      </c>
      <c r="O786" s="153">
        <f ca="1">VLOOKUP($AB$2,'RF Mod'!$A$2:$G$12,5,FALSE)+VLOOKUP($AD$2,'RF Mod'!$I$2:$O$11,5,FALSE)+(TRUNC(6+(24-6)*(TRUNC(MOD(($Z786*1103515245 +12345)/ 65536, 32768),0)/32768),0))</f>
        <v>18</v>
      </c>
      <c r="P786" s="16" t="e">
        <f t="shared" ca="1" si="53"/>
        <v>#NAME?</v>
      </c>
      <c r="Q786" s="153">
        <f ca="1">VLOOKUP($AB$2,'RF Mod'!$A$2:$G$12,6,FALSE)+VLOOKUP($AD$2,'RF Mod'!$I$2:$O$11,6,FALSE)+(TRUNC(6+(24-6)*(TRUNC(MOD(($Z786*1103515245 +12345)/ 65536, 32768),0)/32768),0))</f>
        <v>16</v>
      </c>
      <c r="R786" s="16" t="e">
        <f t="shared" ca="1" si="54"/>
        <v>#NAME?</v>
      </c>
      <c r="S786" s="154">
        <f t="shared" ca="1" si="59"/>
        <v>224</v>
      </c>
      <c r="T786" s="154">
        <f t="shared" ca="1" si="55"/>
        <v>122</v>
      </c>
      <c r="U786" s="16" t="str">
        <f t="shared" ca="1" si="56"/>
        <v>Bloody</v>
      </c>
      <c r="V786" s="155">
        <f ca="1">IFERROR(__xludf.DUMMYFUNCTION("if(W786=""Middle Age"",QUERY(NPCVar!$K$2:$N1000, ""Select L where K = '""&amp;AB786&amp;""'""),if(W786=""Old"",QUERY(NPCVar!$K$2:$N1000, ""Select M where K = '""&amp;AB786&amp;""'""),if(W786=""Venerable"",QUERY(NPCVar!$K$2:$N1000, ""Select N where K = '""&amp;AB786&amp;""'""),fa"&amp;"lse)))*X786"),72)</f>
        <v>72</v>
      </c>
      <c r="W786" s="156" t="str">
        <f t="array" ref="W786">INDEX(NPCAgeType,TRUNC(1+(4-1)*(TRUNC(MOD((X786*1103515245 +12345)/ 65536, 32768),0)/32768),0))</f>
        <v>Middle Age</v>
      </c>
      <c r="X786" s="117">
        <f t="shared" si="61"/>
        <v>2.4</v>
      </c>
      <c r="Y786" s="157" t="e">
        <f t="array" aca="1" ref="Y786" ca="1">LOOKUP(ABS(MAX(Z786 + MIN(ABS(INDIRECT("Class Jobs!B"&amp;MATCH(E786,'Class Jobs'!$A$1:$A1000,0)&amp;":"&amp;"AF"&amp;MATCH(E786,'Class Jobs'!$A$1:$A1000,0)&amp;"")-$Z786)) * SUM(IF(MIN(ABS(INDIRECT("Class Jobs!B"&amp;MATCH(E786,'Class Jobs'!$A$1:$A1000,0)&amp;":"&amp;"AF"&amp;MATCH(E786,'Class Jobs'!$A$1:$A1000,0)&amp;"")-$Z786))=ABS(INDIRECT("Class Jobs!B"&amp;MATCH(E786,'Class Jobs'!$A$1:$A1000,0)&amp;":"&amp;"AF"&amp;MATCH(E786,'Class Jobs'!$A$1:$A1000,0)&amp;"")-$Z786),SIGN(INDIRECT("Class Jobs!B"&amp;MATCH(E786,'Class Jobs'!$A$1:A1000,0)&amp;":"&amp;"AF"&amp;MATCH(E786,'Class Jobs'!$A$1:$A1000,0)&amp;"")-$Z786),0)),0)),INDIRECT("Class Jobs!B"&amp;MATCH(E786,'Class Jobs'!$A$1:$A1000,0)&amp;":"&amp;"AF"&amp;MATCH(E786,'Class Jobs'!$A$1:$A1000,1)&amp;""),'Class Jobs'!$B$1:$AF$1)</f>
        <v>#REF!</v>
      </c>
      <c r="Z786" s="158">
        <f t="shared" si="57"/>
        <v>0.97</v>
      </c>
      <c r="AA786" s="16" t="str">
        <f t="array" ref="AA786">INDEX(NPCGender,TRUNC(1+(COUNTA(NPCGender))*(TRUNC(MOD(($B786*1103515245 +12345)/ 65536, 32768),0)/32768),0))</f>
        <v>Neutral</v>
      </c>
      <c r="AB786" s="16" t="str">
        <f t="array" ref="AB786">INDEX(NPCRace,TRUNC(1+(COUNTA(NPCRace))*(TRUNC(MOD(($B786*1103515245 +12345)/ 65536, 32768),0)/32768),0))</f>
        <v>Goliath</v>
      </c>
      <c r="AC786" s="16" t="str">
        <f t="array" ref="AC786">INDEX(NPCAL,TRUNC(1+(COUNTA(NPCAL))*(TRUNC(MOD(($B786*1103515245 +12345)/ 65536, 32768),0)/32768),0))</f>
        <v>LE</v>
      </c>
      <c r="AD786" s="72" t="str">
        <f ca="1">IFERROR(__xludf.DUMMYFUNCTION("if(V786&lt;15,QUERY(NPCVar!C:D,""Select D WHERE C = '""&amp;D786&amp;""'""),if((TRUNC(1+10)*(TRUNC(MOD((ROW(H786)*1103515245 +12345)/ 65536, 32768),0)/32768)/10) &gt; 0.85,INDEX(NPCFaction,TRUNC(1+(counta(NPCFaction)-1)*(TRUNC(MOD(($B786*1103515245 +12345)/ 65536, 3276"&amp;"8),0)/32768),0)),QUERY(NPCVar!C:D,""Select D WHERE C = '""&amp;D786&amp;""'"")))"),"Traverlers Guild")</f>
        <v>Traverlers Guild</v>
      </c>
      <c r="AE786" s="108" t="e">
        <f t="shared" ca="1" si="58"/>
        <v>#NAME?</v>
      </c>
      <c r="AF786" s="159">
        <f ca="1">IFERROR(__xludf.DUMMYFUNCTION("AE786*(V786 / QUERY(NPCVar!$K$2:$N$12, ""Select N WHERE K='""&amp;AB786&amp;""'""))*TRUNC(1+10)*(TRUNC(MOD(($B786*1103515245 +12345)/ 65536, 32768),0)/32768)"),3.20050048828125)</f>
        <v>3.20050048828125</v>
      </c>
      <c r="AG786" s="16"/>
      <c r="AH786" s="77"/>
      <c r="AI786" s="114"/>
    </row>
    <row r="787" spans="1:35" ht="16.2">
      <c r="A787" s="53">
        <v>786</v>
      </c>
      <c r="B787" s="118">
        <f t="shared" si="60"/>
        <v>0.88143000000000005</v>
      </c>
      <c r="C787" s="72" t="str">
        <f t="array" ref="C787">INDEX(NPCFName,TRUNC(1+(COUNTA(NPCFName))*(TRUNC(MOD(($B787*1103515245 +12345)/ 65536, 32768),0)/32768),0))</f>
        <v>Geth</v>
      </c>
      <c r="D787" s="16" t="str">
        <f t="array" ref="D787">INDEX(NPCLName,TRUNC(1+(COUNTA(NPCLName))*(TRUNC(MOD(($B787*1103515245 +12345)/ 65536, 32768),0)/32768),0))</f>
        <v>Saurflame</v>
      </c>
      <c r="E787" s="16" t="str">
        <f t="array" ref="E787">INDEX(NPCClass,TRUNC(1+(COUNTA(NPCClass))*(TRUNC(MOD(($B787*1103515245 +12345)/ 65536, 32768),0)/32768),0))</f>
        <v>Ranger</v>
      </c>
      <c r="F787" s="76">
        <v>8</v>
      </c>
      <c r="G787" s="153">
        <f ca="1">VLOOKUP($AB$2,'RF Mod'!$A$2:$G$12,2,FALSE)+VLOOKUP($AD$2,'RF Mod'!$I$2:$O$11,2,FALSE)+(TRUNC(6+(24-6)*(TRUNC(MOD(($Z787*1103515245 +12345)/ 65536, 32768),0)/32768),0))</f>
        <v>8</v>
      </c>
      <c r="H787" s="16">
        <f t="shared" ca="1" si="49"/>
        <v>-1</v>
      </c>
      <c r="I787" s="153">
        <f ca="1">VLOOKUP($AB$2,'RF Mod'!$A$2:$G$12,3,FALSE)+VLOOKUP($AD$2,'RF Mod'!$I$2:$O$11,3,FALSE)+(TRUNC(6+(24-6)*(TRUNC(MOD(($Z787*1103515245 +12345)/ 65536, 32768),0)/32768),0))</f>
        <v>12</v>
      </c>
      <c r="J787" s="16" t="e">
        <f t="shared" ca="1" si="50"/>
        <v>#NAME?</v>
      </c>
      <c r="K787" s="153">
        <f ca="1">VLOOKUP($AB$2,'RF Mod'!$A$2:$G$12,3,FALSE)+VLOOKUP($AD$2,'RF Mod'!$I$2:$O$11,3,FALSE)+(TRUNC(6+(24-6)*(TRUNC(MOD(($Z787*1103515245 +12345)/ 65536, 32768),0)/32768),0))</f>
        <v>12</v>
      </c>
      <c r="L787" s="16" t="e">
        <f t="shared" ca="1" si="51"/>
        <v>#NAME?</v>
      </c>
      <c r="M787" s="153">
        <f ca="1">VLOOKUP($AB$2,'RF Mod'!$A$2:$G$12,4,FALSE)+VLOOKUP($AD$2,'RF Mod'!$I$2:$O$11,4,FALSE)+(TRUNC(6+(24-6)*(TRUNC(MOD(($Z787*1103515245 +12345)/ 65536, 32768),0)/32768),0))</f>
        <v>11</v>
      </c>
      <c r="N787" s="16" t="e">
        <f t="shared" ca="1" si="52"/>
        <v>#NAME?</v>
      </c>
      <c r="O787" s="153">
        <f ca="1">VLOOKUP($AB$2,'RF Mod'!$A$2:$G$12,5,FALSE)+VLOOKUP($AD$2,'RF Mod'!$I$2:$O$11,5,FALSE)+(TRUNC(6+(24-6)*(TRUNC(MOD(($Z787*1103515245 +12345)/ 65536, 32768),0)/32768),0))</f>
        <v>14</v>
      </c>
      <c r="P787" s="16" t="e">
        <f t="shared" ca="1" si="53"/>
        <v>#NAME?</v>
      </c>
      <c r="Q787" s="153">
        <f ca="1">VLOOKUP($AB$2,'RF Mod'!$A$2:$G$12,6,FALSE)+VLOOKUP($AD$2,'RF Mod'!$I$2:$O$11,6,FALSE)+(TRUNC(6+(24-6)*(TRUNC(MOD(($Z787*1103515245 +12345)/ 65536, 32768),0)/32768),0))</f>
        <v>12</v>
      </c>
      <c r="R787" s="16" t="e">
        <f t="shared" ca="1" si="54"/>
        <v>#NAME?</v>
      </c>
      <c r="S787" s="154">
        <f t="shared" ca="1" si="59"/>
        <v>112</v>
      </c>
      <c r="T787" s="154">
        <f t="shared" ca="1" si="55"/>
        <v>130</v>
      </c>
      <c r="U787" s="16" t="str">
        <f t="shared" ca="1" si="56"/>
        <v>Dead</v>
      </c>
      <c r="V787" s="155">
        <f ca="1">IFERROR(__xludf.DUMMYFUNCTION("if(W787=""Middle Age"",QUERY(NPCVar!$K$2:$N1000, ""Select L where K = '""&amp;AB787&amp;""'""),if(W787=""Old"",QUERY(NPCVar!$K$2:$N1000, ""Select M where K = '""&amp;AB787&amp;""'""),if(W787=""Venerable"",QUERY(NPCVar!$K$2:$N1000, ""Select N where K = '""&amp;AB787&amp;""'""),fa"&amp;"lse)))*X787"),74.25)</f>
        <v>74.25</v>
      </c>
      <c r="W787" s="156" t="str">
        <f t="array" ref="W787">INDEX(NPCAgeType,TRUNC(1+(4-1)*(TRUNC(MOD((X787*1103515245 +12345)/ 65536, 32768),0)/32768),0))</f>
        <v>Old</v>
      </c>
      <c r="X787" s="117">
        <f t="shared" si="61"/>
        <v>1.1000000000000001</v>
      </c>
      <c r="Y787" s="157" t="e">
        <f t="array" aca="1" ref="Y787" ca="1">LOOKUP(ABS(MAX(Z787 + MIN(ABS(INDIRECT("Class Jobs!B"&amp;MATCH(E787,'Class Jobs'!$A$1:$A1000,0)&amp;":"&amp;"AF"&amp;MATCH(E787,'Class Jobs'!$A$1:$A1000,0)&amp;"")-$Z787)) * SUM(IF(MIN(ABS(INDIRECT("Class Jobs!B"&amp;MATCH(E787,'Class Jobs'!$A$1:$A1000,0)&amp;":"&amp;"AF"&amp;MATCH(E787,'Class Jobs'!$A$1:$A1000,0)&amp;"")-$Z787))=ABS(INDIRECT("Class Jobs!B"&amp;MATCH(E787,'Class Jobs'!$A$1:$A1000,0)&amp;":"&amp;"AF"&amp;MATCH(E787,'Class Jobs'!$A$1:$A1000,0)&amp;"")-$Z787),SIGN(INDIRECT("Class Jobs!B"&amp;MATCH(E787,'Class Jobs'!$A$1:A1000,0)&amp;":"&amp;"AF"&amp;MATCH(E787,'Class Jobs'!$A$1:$A1000,0)&amp;"")-$Z787),0)),0)),INDIRECT("Class Jobs!B"&amp;MATCH(E787,'Class Jobs'!$A$1:$A1000,0)&amp;":"&amp;"AF"&amp;MATCH(E787,'Class Jobs'!$A$1:$A1000,1)&amp;""),'Class Jobs'!$B$1:$AF$1)</f>
        <v>#REF!</v>
      </c>
      <c r="Z787" s="158">
        <f t="shared" si="57"/>
        <v>0.45</v>
      </c>
      <c r="AA787" s="16" t="str">
        <f t="array" ref="AA787">INDEX(NPCGender,TRUNC(1+(COUNTA(NPCGender))*(TRUNC(MOD(($B787*1103515245 +12345)/ 65536, 32768),0)/32768),0))</f>
        <v>Female</v>
      </c>
      <c r="AB787" s="16" t="str">
        <f t="array" ref="AB787">INDEX(NPCRace,TRUNC(1+(COUNTA(NPCRace))*(TRUNC(MOD(($B787*1103515245 +12345)/ 65536, 32768),0)/32768),0))</f>
        <v>Half-Elf</v>
      </c>
      <c r="AC787" s="16" t="str">
        <f t="array" ref="AC787">INDEX(NPCAL,TRUNC(1+(COUNTA(NPCAL))*(TRUNC(MOD(($B787*1103515245 +12345)/ 65536, 32768),0)/32768),0))</f>
        <v>NN</v>
      </c>
      <c r="AD787" s="72" t="str">
        <f ca="1">IFERROR(__xludf.DUMMYFUNCTION("if(V787&lt;15,QUERY(NPCVar!C:D,""Select D WHERE C = '""&amp;D787&amp;""'""),if((TRUNC(1+10)*(TRUNC(MOD((ROW(H787)*1103515245 +12345)/ 65536, 32768),0)/32768)/10) &gt; 0.85,INDEX(NPCFaction,TRUNC(1+(counta(NPCFaction)-1)*(TRUNC(MOD(($B787*1103515245 +12345)/ 65536, 3276"&amp;"8),0)/32768),0)),QUERY(NPCVar!C:D,""Select D WHERE C = '""&amp;D787&amp;""'"")))"),"Farmers Guild")</f>
        <v>Farmers Guild</v>
      </c>
      <c r="AE787" s="108" t="e">
        <f t="shared" ca="1" si="58"/>
        <v>#NAME?</v>
      </c>
      <c r="AF787" s="159">
        <f ca="1">IFERROR(__xludf.DUMMYFUNCTION("AE787*(V787 / QUERY(NPCVar!$K$2:$N$12, ""Select N WHERE K='""&amp;AB787&amp;""'""))*TRUNC(1+10)*(TRUNC(MOD(($B787*1103515245 +12345)/ 65536, 32768),0)/32768)"),2.0550853729248)</f>
        <v>2.0550853729248</v>
      </c>
      <c r="AG787" s="16"/>
      <c r="AH787" s="77"/>
      <c r="AI787" s="114"/>
    </row>
    <row r="788" spans="1:35" ht="16.2">
      <c r="A788" s="53">
        <v>787</v>
      </c>
      <c r="B788" s="118">
        <f t="shared" si="60"/>
        <v>2.3755600000000001</v>
      </c>
      <c r="C788" s="72" t="str">
        <f t="array" ref="C788">INDEX(NPCFName,TRUNC(1+(COUNTA(NPCFName))*(TRUNC(MOD(($B788*1103515245 +12345)/ 65536, 32768),0)/32768),0))</f>
        <v>Padan</v>
      </c>
      <c r="D788" s="16" t="str">
        <f t="array" ref="D788">INDEX(NPCLName,TRUNC(1+(COUNTA(NPCLName))*(TRUNC(MOD(($B788*1103515245 +12345)/ 65536, 32768),0)/32768),0))</f>
        <v>Stillsun</v>
      </c>
      <c r="E788" s="16" t="str">
        <f t="array" ref="E788">INDEX(NPCClass,TRUNC(1+(COUNTA(NPCClass))*(TRUNC(MOD(($B788*1103515245 +12345)/ 65536, 32768),0)/32768),0))</f>
        <v>Druid</v>
      </c>
      <c r="F788" s="76">
        <v>1</v>
      </c>
      <c r="G788" s="153">
        <f ca="1">VLOOKUP($AB$2,'RF Mod'!$A$2:$G$12,2,FALSE)+VLOOKUP($AD$2,'RF Mod'!$I$2:$O$11,2,FALSE)+(TRUNC(6+(24-6)*(TRUNC(MOD(($Z788*1103515245 +12345)/ 65536, 32768),0)/32768),0))</f>
        <v>6</v>
      </c>
      <c r="H788" s="16">
        <f t="shared" ca="1" si="49"/>
        <v>-2</v>
      </c>
      <c r="I788" s="153">
        <f ca="1">VLOOKUP($AB$2,'RF Mod'!$A$2:$G$12,3,FALSE)+VLOOKUP($AD$2,'RF Mod'!$I$2:$O$11,3,FALSE)+(TRUNC(6+(24-6)*(TRUNC(MOD(($Z788*1103515245 +12345)/ 65536, 32768),0)/32768),0))</f>
        <v>10</v>
      </c>
      <c r="J788" s="16" t="e">
        <f t="shared" ca="1" si="50"/>
        <v>#NAME?</v>
      </c>
      <c r="K788" s="153">
        <f ca="1">VLOOKUP($AB$2,'RF Mod'!$A$2:$G$12,3,FALSE)+VLOOKUP($AD$2,'RF Mod'!$I$2:$O$11,3,FALSE)+(TRUNC(6+(24-6)*(TRUNC(MOD(($Z788*1103515245 +12345)/ 65536, 32768),0)/32768),0))</f>
        <v>10</v>
      </c>
      <c r="L788" s="16" t="e">
        <f t="shared" ca="1" si="51"/>
        <v>#NAME?</v>
      </c>
      <c r="M788" s="153">
        <f ca="1">VLOOKUP($AB$2,'RF Mod'!$A$2:$G$12,4,FALSE)+VLOOKUP($AD$2,'RF Mod'!$I$2:$O$11,4,FALSE)+(TRUNC(6+(24-6)*(TRUNC(MOD(($Z788*1103515245 +12345)/ 65536, 32768),0)/32768),0))</f>
        <v>9</v>
      </c>
      <c r="N788" s="16">
        <f t="shared" ca="1" si="52"/>
        <v>-1</v>
      </c>
      <c r="O788" s="153">
        <f ca="1">VLOOKUP($AB$2,'RF Mod'!$A$2:$G$12,5,FALSE)+VLOOKUP($AD$2,'RF Mod'!$I$2:$O$11,5,FALSE)+(TRUNC(6+(24-6)*(TRUNC(MOD(($Z788*1103515245 +12345)/ 65536, 32768),0)/32768),0))</f>
        <v>12</v>
      </c>
      <c r="P788" s="16" t="e">
        <f t="shared" ca="1" si="53"/>
        <v>#NAME?</v>
      </c>
      <c r="Q788" s="153">
        <f ca="1">VLOOKUP($AB$2,'RF Mod'!$A$2:$G$12,6,FALSE)+VLOOKUP($AD$2,'RF Mod'!$I$2:$O$11,6,FALSE)+(TRUNC(6+(24-6)*(TRUNC(MOD(($Z788*1103515245 +12345)/ 65536, 32768),0)/32768),0))</f>
        <v>10</v>
      </c>
      <c r="R788" s="16" t="e">
        <f t="shared" ca="1" si="54"/>
        <v>#NAME?</v>
      </c>
      <c r="S788" s="154">
        <f t="shared" ca="1" si="59"/>
        <v>12</v>
      </c>
      <c r="T788" s="154">
        <f t="shared" ca="1" si="55"/>
        <v>10</v>
      </c>
      <c r="U788" s="16" t="str">
        <f t="shared" ca="1" si="56"/>
        <v>Bloody</v>
      </c>
      <c r="V788" s="155">
        <f ca="1">IFERROR(__xludf.DUMMYFUNCTION("if(W788=""Middle Age"",QUERY(NPCVar!$K$2:$N1000, ""Select L where K = '""&amp;AB788&amp;""'""),if(W788=""Old"",QUERY(NPCVar!$K$2:$N1000, ""Select M where K = '""&amp;AB788&amp;""'""),if(W788=""Venerable"",QUERY(NPCVar!$K$2:$N1000, ""Select N where K = '""&amp;AB788&amp;""'""),fa"&amp;"lse)))*X788"),112.5)</f>
        <v>112.5</v>
      </c>
      <c r="W788" s="156" t="str">
        <f t="array" ref="W788">INDEX(NPCAgeType,TRUNC(1+(4-1)*(TRUNC(MOD((X788*1103515245 +12345)/ 65536, 32768),0)/32768),0))</f>
        <v>Middle Age</v>
      </c>
      <c r="X788" s="117">
        <f t="shared" si="61"/>
        <v>0.6</v>
      </c>
      <c r="Y788" s="157" t="e">
        <f t="array" aca="1" ref="Y788" ca="1">LOOKUP(ABS(MAX(Z788 + MIN(ABS(INDIRECT("Class Jobs!B"&amp;MATCH(E788,'Class Jobs'!$A$1:$A1000,0)&amp;":"&amp;"AF"&amp;MATCH(E788,'Class Jobs'!$A$1:$A1000,0)&amp;"")-$Z788)) * SUM(IF(MIN(ABS(INDIRECT("Class Jobs!B"&amp;MATCH(E788,'Class Jobs'!$A$1:$A1000,0)&amp;":"&amp;"AF"&amp;MATCH(E788,'Class Jobs'!$A$1:$A1000,0)&amp;"")-$Z788))=ABS(INDIRECT("Class Jobs!B"&amp;MATCH(E788,'Class Jobs'!$A$1:$A1000,0)&amp;":"&amp;"AF"&amp;MATCH(E788,'Class Jobs'!$A$1:$A1000,0)&amp;"")-$Z788),SIGN(INDIRECT("Class Jobs!B"&amp;MATCH(E788,'Class Jobs'!$A$1:A1000,0)&amp;":"&amp;"AF"&amp;MATCH(E788,'Class Jobs'!$A$1:$A1000,0)&amp;"")-$Z788),0)),0)),INDIRECT("Class Jobs!B"&amp;MATCH(E788,'Class Jobs'!$A$1:$A1000,0)&amp;":"&amp;"AF"&amp;MATCH(E788,'Class Jobs'!$A$1:$A1000,1)&amp;""),'Class Jobs'!$B$1:$AF$1)</f>
        <v>#REF!</v>
      </c>
      <c r="Z788" s="158">
        <f t="shared" si="57"/>
        <v>0.22</v>
      </c>
      <c r="AA788" s="16" t="str">
        <f t="array" ref="AA788">INDEX(NPCGender,TRUNC(1+(COUNTA(NPCGender))*(TRUNC(MOD(($B788*1103515245 +12345)/ 65536, 32768),0)/32768),0))</f>
        <v>Male</v>
      </c>
      <c r="AB788" s="16" t="str">
        <f t="array" ref="AB788">INDEX(NPCRace,TRUNC(1+(COUNTA(NPCRace))*(TRUNC(MOD(($B788*1103515245 +12345)/ 65536, 32768),0)/32768),0))</f>
        <v>Elf</v>
      </c>
      <c r="AC788" s="16" t="str">
        <f t="array" ref="AC788">INDEX(NPCAL,TRUNC(1+(COUNTA(NPCAL))*(TRUNC(MOD(($B788*1103515245 +12345)/ 65536, 32768),0)/32768),0))</f>
        <v>CE</v>
      </c>
      <c r="AD788" s="72" t="str">
        <f ca="1">IFERROR(__xludf.DUMMYFUNCTION("if(V788&lt;15,QUERY(NPCVar!C:D,""Select D WHERE C = '""&amp;D788&amp;""'""),if((TRUNC(1+10)*(TRUNC(MOD((ROW(H788)*1103515245 +12345)/ 65536, 32768),0)/32768)/10) &gt; 0.85,INDEX(NPCFaction,TRUNC(1+(counta(NPCFaction)-1)*(TRUNC(MOD(($B788*1103515245 +12345)/ 65536, 3276"&amp;"8),0)/32768),0)),QUERY(NPCVar!C:D,""Select D WHERE C = '""&amp;D788&amp;""'"")))"),"Necromancer")</f>
        <v>Necromancer</v>
      </c>
      <c r="AE788" s="108" t="e">
        <f t="shared" ca="1" si="58"/>
        <v>#NAME?</v>
      </c>
      <c r="AF788" s="159">
        <f ca="1">IFERROR(__xludf.DUMMYFUNCTION("AE788*(V788 / QUERY(NPCVar!$K$2:$N$12, ""Select N WHERE K='""&amp;AB788&amp;""'""))*TRUNC(1+10)*(TRUNC(MOD(($B788*1103515245 +12345)/ 65536, 32768),0)/32768)"),0.0728320312499999)</f>
        <v>7.2832031249999901E-2</v>
      </c>
      <c r="AG788" s="16"/>
      <c r="AH788" s="77"/>
      <c r="AI788" s="114"/>
    </row>
    <row r="789" spans="1:35" ht="16.2">
      <c r="A789" s="53">
        <v>788</v>
      </c>
      <c r="B789" s="118">
        <f t="shared" si="60"/>
        <v>1.3696999999999999</v>
      </c>
      <c r="C789" s="72" t="str">
        <f t="array" ref="C789">INDEX(NPCFName,TRUNC(1+(COUNTA(NPCFName))*(TRUNC(MOD(($B789*1103515245 +12345)/ 65536, 32768),0)/32768),0))</f>
        <v>Bredin</v>
      </c>
      <c r="D789" s="16" t="str">
        <f t="array" ref="D789">INDEX(NPCLName,TRUNC(1+(COUNTA(NPCLName))*(TRUNC(MOD(($B789*1103515245 +12345)/ 65536, 32768),0)/32768),0))</f>
        <v>Rockspell</v>
      </c>
      <c r="E789" s="16" t="str">
        <f t="array" ref="E789">INDEX(NPCClass,TRUNC(1+(COUNTA(NPCClass))*(TRUNC(MOD(($B789*1103515245 +12345)/ 65536, 32768),0)/32768),0))</f>
        <v>None</v>
      </c>
      <c r="F789" s="76">
        <v>8</v>
      </c>
      <c r="G789" s="153">
        <f ca="1">VLOOKUP($AB$2,'RF Mod'!$A$2:$G$12,2,FALSE)+VLOOKUP($AD$2,'RF Mod'!$I$2:$O$11,2,FALSE)+(TRUNC(6+(24-6)*(TRUNC(MOD(($Z789*1103515245 +12345)/ 65536, 32768),0)/32768),0))</f>
        <v>10</v>
      </c>
      <c r="H789" s="16" t="e">
        <f t="shared" ca="1" si="49"/>
        <v>#NAME?</v>
      </c>
      <c r="I789" s="153">
        <f ca="1">VLOOKUP($AB$2,'RF Mod'!$A$2:$G$12,3,FALSE)+VLOOKUP($AD$2,'RF Mod'!$I$2:$O$11,3,FALSE)+(TRUNC(6+(24-6)*(TRUNC(MOD(($Z789*1103515245 +12345)/ 65536, 32768),0)/32768),0))</f>
        <v>14</v>
      </c>
      <c r="J789" s="16" t="e">
        <f t="shared" ca="1" si="50"/>
        <v>#NAME?</v>
      </c>
      <c r="K789" s="153">
        <f ca="1">VLOOKUP($AB$2,'RF Mod'!$A$2:$G$12,3,FALSE)+VLOOKUP($AD$2,'RF Mod'!$I$2:$O$11,3,FALSE)+(TRUNC(6+(24-6)*(TRUNC(MOD(($Z789*1103515245 +12345)/ 65536, 32768),0)/32768),0))</f>
        <v>14</v>
      </c>
      <c r="L789" s="16" t="e">
        <f t="shared" ca="1" si="51"/>
        <v>#NAME?</v>
      </c>
      <c r="M789" s="153">
        <f ca="1">VLOOKUP($AB$2,'RF Mod'!$A$2:$G$12,4,FALSE)+VLOOKUP($AD$2,'RF Mod'!$I$2:$O$11,4,FALSE)+(TRUNC(6+(24-6)*(TRUNC(MOD(($Z789*1103515245 +12345)/ 65536, 32768),0)/32768),0))</f>
        <v>13</v>
      </c>
      <c r="N789" s="16" t="e">
        <f t="shared" ca="1" si="52"/>
        <v>#NAME?</v>
      </c>
      <c r="O789" s="153">
        <f ca="1">VLOOKUP($AB$2,'RF Mod'!$A$2:$G$12,5,FALSE)+VLOOKUP($AD$2,'RF Mod'!$I$2:$O$11,5,FALSE)+(TRUNC(6+(24-6)*(TRUNC(MOD(($Z789*1103515245 +12345)/ 65536, 32768),0)/32768),0))</f>
        <v>16</v>
      </c>
      <c r="P789" s="16" t="e">
        <f t="shared" ca="1" si="53"/>
        <v>#NAME?</v>
      </c>
      <c r="Q789" s="153">
        <f ca="1">VLOOKUP($AB$2,'RF Mod'!$A$2:$G$12,6,FALSE)+VLOOKUP($AD$2,'RF Mod'!$I$2:$O$11,6,FALSE)+(TRUNC(6+(24-6)*(TRUNC(MOD(($Z789*1103515245 +12345)/ 65536, 32768),0)/32768),0))</f>
        <v>14</v>
      </c>
      <c r="R789" s="16" t="e">
        <f t="shared" ca="1" si="54"/>
        <v>#NAME?</v>
      </c>
      <c r="S789" s="154">
        <f t="shared" ca="1" si="59"/>
        <v>224</v>
      </c>
      <c r="T789" s="154">
        <f t="shared" ca="1" si="55"/>
        <v>183</v>
      </c>
      <c r="U789" s="16" t="str">
        <f t="shared" ca="1" si="56"/>
        <v>Bloody</v>
      </c>
      <c r="V789" s="155">
        <f ca="1">IFERROR(__xludf.DUMMYFUNCTION("if(W789=""Middle Age"",QUERY(NPCVar!$K$2:$N1000, ""Select L where K = '""&amp;AB789&amp;""'""),if(W789=""Old"",QUERY(NPCVar!$K$2:$N1000, ""Select M where K = '""&amp;AB789&amp;""'""),if(W789=""Venerable"",QUERY(NPCVar!$K$2:$N1000, ""Select N where K = '""&amp;AB789&amp;""'""),fa"&amp;"lse)))*X789"),153)</f>
        <v>153</v>
      </c>
      <c r="W789" s="156" t="str">
        <f t="array" ref="W789">INDEX(NPCAgeType,TRUNC(1+(4-1)*(TRUNC(MOD((X789*1103515245 +12345)/ 65536, 32768),0)/32768),0))</f>
        <v>Venerable</v>
      </c>
      <c r="X789" s="117">
        <f t="shared" si="61"/>
        <v>1.7</v>
      </c>
      <c r="Y789" s="157" t="e">
        <f t="array" aca="1" ref="Y789" ca="1">LOOKUP(ABS(MAX(Z789 + MIN(ABS(INDIRECT("Class Jobs!B"&amp;MATCH(E789,'Class Jobs'!$A$1:$A1000,0)&amp;":"&amp;"AF"&amp;MATCH(E789,'Class Jobs'!$A$1:$A1000,0)&amp;"")-$Z789)) * SUM(IF(MIN(ABS(INDIRECT("Class Jobs!B"&amp;MATCH(E789,'Class Jobs'!$A$1:$A1000,0)&amp;":"&amp;"AF"&amp;MATCH(E789,'Class Jobs'!$A$1:$A1000,0)&amp;"")-$Z789))=ABS(INDIRECT("Class Jobs!B"&amp;MATCH(E789,'Class Jobs'!$A$1:$A1000,0)&amp;":"&amp;"AF"&amp;MATCH(E789,'Class Jobs'!$A$1:$A1000,0)&amp;"")-$Z789),SIGN(INDIRECT("Class Jobs!B"&amp;MATCH(E789,'Class Jobs'!$A$1:A1000,0)&amp;":"&amp;"AF"&amp;MATCH(E789,'Class Jobs'!$A$1:$A1000,0)&amp;"")-$Z789),0)),0)),INDIRECT("Class Jobs!B"&amp;MATCH(E789,'Class Jobs'!$A$1:$A1000,0)&amp;":"&amp;"AF"&amp;MATCH(E789,'Class Jobs'!$A$1:$A1000,1)&amp;""),'Class Jobs'!$B$1:$AF$1)</f>
        <v>#REF!</v>
      </c>
      <c r="Z789" s="158">
        <f t="shared" si="57"/>
        <v>0.7</v>
      </c>
      <c r="AA789" s="16" t="str">
        <f t="array" ref="AA789">INDEX(NPCGender,TRUNC(1+(COUNTA(NPCGender))*(TRUNC(MOD(($B789*1103515245 +12345)/ 65536, 32768),0)/32768),0))</f>
        <v>Neutral</v>
      </c>
      <c r="AB789" s="16" t="str">
        <f t="array" ref="AB789">INDEX(NPCRace,TRUNC(1+(COUNTA(NPCRace))*(TRUNC(MOD(($B789*1103515245 +12345)/ 65536, 32768),0)/32768),0))</f>
        <v>Human</v>
      </c>
      <c r="AC789" s="16" t="str">
        <f t="array" ref="AC789">INDEX(NPCAL,TRUNC(1+(COUNTA(NPCAL))*(TRUNC(MOD(($B789*1103515245 +12345)/ 65536, 32768),0)/32768),0))</f>
        <v>LG</v>
      </c>
      <c r="AD789" s="72" t="str">
        <f ca="1">IFERROR(__xludf.DUMMYFUNCTION("if(V789&lt;15,QUERY(NPCVar!C:D,""Select D WHERE C = '""&amp;D789&amp;""'""),if((TRUNC(1+10)*(TRUNC(MOD((ROW(H789)*1103515245 +12345)/ 65536, 32768),0)/32768)/10) &gt; 0.85,INDEX(NPCFaction,TRUNC(1+(counta(NPCFaction)-1)*(TRUNC(MOD(($B789*1103515245 +12345)/ 65536, 3276"&amp;"8),0)/32768),0)),QUERY(NPCVar!C:D,""Select D WHERE C = '""&amp;D789&amp;""'"")))"),"Traverlers Guild")</f>
        <v>Traverlers Guild</v>
      </c>
      <c r="AE789" s="108" t="e">
        <f t="shared" ca="1" si="58"/>
        <v>#NAME?</v>
      </c>
      <c r="AF789" s="159">
        <f ca="1">IFERROR(__xludf.DUMMYFUNCTION("AE789*(V789 / QUERY(NPCVar!$K$2:$N$12, ""Select N WHERE K='""&amp;AB789&amp;""'""))*TRUNC(1+10)*(TRUNC(MOD(($B789*1103515245 +12345)/ 65536, 32768),0)/32768)"),13.1615631103515)</f>
        <v>13.1615631103515</v>
      </c>
      <c r="AG789" s="16"/>
      <c r="AH789" s="77"/>
      <c r="AI789" s="114"/>
    </row>
    <row r="790" spans="1:35" ht="16.2">
      <c r="A790" s="53">
        <v>789</v>
      </c>
      <c r="B790" s="118">
        <f t="shared" si="60"/>
        <v>0.36385000000000001</v>
      </c>
      <c r="C790" s="72" t="str">
        <f t="array" ref="C790">INDEX(NPCFName,TRUNC(1+(COUNTA(NPCFName))*(TRUNC(MOD(($B790*1103515245 +12345)/ 65536, 32768),0)/32768),0))</f>
        <v>Mathar</v>
      </c>
      <c r="D790" s="16" t="str">
        <f t="array" ref="D790">INDEX(NPCLName,TRUNC(1+(COUNTA(NPCLName))*(TRUNC(MOD(($B790*1103515245 +12345)/ 65536, 32768),0)/32768),0))</f>
        <v>Ashcloud</v>
      </c>
      <c r="E790" s="16" t="str">
        <f t="array" ref="E790">INDEX(NPCClass,TRUNC(1+(COUNTA(NPCClass))*(TRUNC(MOD(($B790*1103515245 +12345)/ 65536, 32768),0)/32768),0))</f>
        <v>Druid</v>
      </c>
      <c r="F790" s="76">
        <v>1</v>
      </c>
      <c r="G790" s="153">
        <f ca="1">VLOOKUP($AB$2,'RF Mod'!$A$2:$G$12,2,FALSE)+VLOOKUP($AD$2,'RF Mod'!$I$2:$O$11,2,FALSE)+(TRUNC(6+(24-6)*(TRUNC(MOD(($Z790*1103515245 +12345)/ 65536, 32768),0)/32768),0))</f>
        <v>5</v>
      </c>
      <c r="H790" s="16">
        <f t="shared" ca="1" si="49"/>
        <v>-3</v>
      </c>
      <c r="I790" s="153">
        <f ca="1">VLOOKUP($AB$2,'RF Mod'!$A$2:$G$12,3,FALSE)+VLOOKUP($AD$2,'RF Mod'!$I$2:$O$11,3,FALSE)+(TRUNC(6+(24-6)*(TRUNC(MOD(($Z790*1103515245 +12345)/ 65536, 32768),0)/32768),0))</f>
        <v>9</v>
      </c>
      <c r="J790" s="16">
        <f t="shared" ca="1" si="50"/>
        <v>-1</v>
      </c>
      <c r="K790" s="153">
        <f ca="1">VLOOKUP($AB$2,'RF Mod'!$A$2:$G$12,3,FALSE)+VLOOKUP($AD$2,'RF Mod'!$I$2:$O$11,3,FALSE)+(TRUNC(6+(24-6)*(TRUNC(MOD(($Z790*1103515245 +12345)/ 65536, 32768),0)/32768),0))</f>
        <v>9</v>
      </c>
      <c r="L790" s="16">
        <f t="shared" ca="1" si="51"/>
        <v>-1</v>
      </c>
      <c r="M790" s="153">
        <f ca="1">VLOOKUP($AB$2,'RF Mod'!$A$2:$G$12,4,FALSE)+VLOOKUP($AD$2,'RF Mod'!$I$2:$O$11,4,FALSE)+(TRUNC(6+(24-6)*(TRUNC(MOD(($Z790*1103515245 +12345)/ 65536, 32768),0)/32768),0))</f>
        <v>8</v>
      </c>
      <c r="N790" s="16">
        <f t="shared" ca="1" si="52"/>
        <v>-1</v>
      </c>
      <c r="O790" s="153">
        <f ca="1">VLOOKUP($AB$2,'RF Mod'!$A$2:$G$12,5,FALSE)+VLOOKUP($AD$2,'RF Mod'!$I$2:$O$11,5,FALSE)+(TRUNC(6+(24-6)*(TRUNC(MOD(($Z790*1103515245 +12345)/ 65536, 32768),0)/32768),0))</f>
        <v>11</v>
      </c>
      <c r="P790" s="16" t="e">
        <f t="shared" ca="1" si="53"/>
        <v>#NAME?</v>
      </c>
      <c r="Q790" s="153">
        <f ca="1">VLOOKUP($AB$2,'RF Mod'!$A$2:$G$12,6,FALSE)+VLOOKUP($AD$2,'RF Mod'!$I$2:$O$11,6,FALSE)+(TRUNC(6+(24-6)*(TRUNC(MOD(($Z790*1103515245 +12345)/ 65536, 32768),0)/32768),0))</f>
        <v>9</v>
      </c>
      <c r="R790" s="16">
        <f t="shared" ca="1" si="54"/>
        <v>-1</v>
      </c>
      <c r="S790" s="154">
        <f t="shared" ca="1" si="59"/>
        <v>11</v>
      </c>
      <c r="T790" s="154">
        <f t="shared" ca="1" si="55"/>
        <v>5</v>
      </c>
      <c r="U790" s="16" t="str">
        <f t="shared" ca="1" si="56"/>
        <v>Fine</v>
      </c>
      <c r="V790" s="155">
        <f ca="1">IFERROR(__xludf.DUMMYFUNCTION("if(W790=""Middle Age"",QUERY(NPCVar!$K$2:$N1000, ""Select L where K = '""&amp;AB790&amp;""'""),if(W790=""Old"",QUERY(NPCVar!$K$2:$N1000, ""Select M where K = '""&amp;AB790&amp;""'""),if(W790=""Venerable"",QUERY(NPCVar!$K$2:$N1000, ""Select N where K = '""&amp;AB790&amp;""'""),fa"&amp;"lse)))*X790"),93.75)</f>
        <v>93.75</v>
      </c>
      <c r="W790" s="156" t="str">
        <f t="array" ref="W790">INDEX(NPCAgeType,TRUNC(1+(4-1)*(TRUNC(MOD((X790*1103515245 +12345)/ 65536, 32768),0)/32768),0))</f>
        <v>Middle Age</v>
      </c>
      <c r="X790" s="117">
        <f t="shared" si="61"/>
        <v>0.5</v>
      </c>
      <c r="Y790" s="157" t="e">
        <f t="array" aca="1" ref="Y790" ca="1">LOOKUP(ABS(MAX(Z790 + MIN(ABS(INDIRECT("Class Jobs!B"&amp;MATCH(E790,'Class Jobs'!$A$1:$A1000,0)&amp;":"&amp;"AF"&amp;MATCH(E790,'Class Jobs'!$A$1:$A1000,0)&amp;"")-$Z790)) * SUM(IF(MIN(ABS(INDIRECT("Class Jobs!B"&amp;MATCH(E790,'Class Jobs'!$A$1:$A1000,0)&amp;":"&amp;"AF"&amp;MATCH(E790,'Class Jobs'!$A$1:$A1000,0)&amp;"")-$Z790))=ABS(INDIRECT("Class Jobs!B"&amp;MATCH(E790,'Class Jobs'!$A$1:$A1000,0)&amp;":"&amp;"AF"&amp;MATCH(E790,'Class Jobs'!$A$1:$A1000,0)&amp;"")-$Z790),SIGN(INDIRECT("Class Jobs!B"&amp;MATCH(E790,'Class Jobs'!$A$1:A1000,0)&amp;":"&amp;"AF"&amp;MATCH(E790,'Class Jobs'!$A$1:$A1000,0)&amp;"")-$Z790),0)),0)),INDIRECT("Class Jobs!B"&amp;MATCH(E790,'Class Jobs'!$A$1:$A1000,0)&amp;":"&amp;"AF"&amp;MATCH(E790,'Class Jobs'!$A$1:$A1000,1)&amp;""),'Class Jobs'!$B$1:$AF$1)</f>
        <v>#REF!</v>
      </c>
      <c r="Z790" s="158">
        <f t="shared" si="57"/>
        <v>0.19</v>
      </c>
      <c r="AA790" s="16" t="str">
        <f t="array" ref="AA790">INDEX(NPCGender,TRUNC(1+(COUNTA(NPCGender))*(TRUNC(MOD(($B790*1103515245 +12345)/ 65536, 32768),0)/32768),0))</f>
        <v>Male</v>
      </c>
      <c r="AB790" s="16" t="str">
        <f t="array" ref="AB790">INDEX(NPCRace,TRUNC(1+(COUNTA(NPCRace))*(TRUNC(MOD(($B790*1103515245 +12345)/ 65536, 32768),0)/32768),0))</f>
        <v>Elf</v>
      </c>
      <c r="AC790" s="16" t="str">
        <f t="array" ref="AC790">INDEX(NPCAL,TRUNC(1+(COUNTA(NPCAL))*(TRUNC(MOD(($B790*1103515245 +12345)/ 65536, 32768),0)/32768),0))</f>
        <v>CE</v>
      </c>
      <c r="AD790" s="72" t="str">
        <f ca="1">IFERROR(__xludf.DUMMYFUNCTION("if(V790&lt;15,QUERY(NPCVar!C:D,""Select D WHERE C = '""&amp;D790&amp;""'""),if((TRUNC(1+10)*(TRUNC(MOD((ROW(H790)*1103515245 +12345)/ 65536, 32768),0)/32768)/10) &gt; 0.85,INDEX(NPCFaction,TRUNC(1+(counta(NPCFaction)-1)*(TRUNC(MOD(($B790*1103515245 +12345)/ 65536, 3276"&amp;"8),0)/32768),0)),QUERY(NPCVar!C:D,""Select D WHERE C = '""&amp;D790&amp;""'"")))"),"Necromancer")</f>
        <v>Necromancer</v>
      </c>
      <c r="AE790" s="108" t="e">
        <f t="shared" ca="1" si="58"/>
        <v>#NAME?</v>
      </c>
      <c r="AF790" s="159">
        <f ca="1">IFERROR(__xludf.DUMMYFUNCTION("AE790*(V790 / QUERY(NPCVar!$K$2:$N$12, ""Select N WHERE K='""&amp;AB790&amp;""'""))*TRUNC(1+10)*(TRUNC(MOD(($B790*1103515245 +12345)/ 65536, 32768),0)/32768)"),0.0257057189941406)</f>
        <v>2.5705718994140599E-2</v>
      </c>
      <c r="AG790" s="16"/>
      <c r="AH790" s="77"/>
      <c r="AI790" s="114"/>
    </row>
    <row r="791" spans="1:35" ht="16.2">
      <c r="A791" s="53">
        <v>790</v>
      </c>
      <c r="B791" s="118">
        <f t="shared" si="60"/>
        <v>1.85798</v>
      </c>
      <c r="C791" s="72" t="str">
        <f t="array" ref="C791">INDEX(NPCFName,TRUNC(1+(COUNTA(NPCFName))*(TRUNC(MOD(($B791*1103515245 +12345)/ 65536, 32768),0)/32768),0))</f>
        <v>Toma</v>
      </c>
      <c r="D791" s="16" t="str">
        <f t="array" ref="D791">INDEX(NPCLName,TRUNC(1+(COUNTA(NPCLName))*(TRUNC(MOD(($B791*1103515245 +12345)/ 65536, 32768),0)/32768),0))</f>
        <v>Marblearm</v>
      </c>
      <c r="E791" s="16" t="str">
        <f t="array" ref="E791">INDEX(NPCClass,TRUNC(1+(COUNTA(NPCClass))*(TRUNC(MOD(($B791*1103515245 +12345)/ 65536, 32768),0)/32768),0))</f>
        <v>Wizard</v>
      </c>
      <c r="F791" s="76">
        <v>8</v>
      </c>
      <c r="G791" s="153">
        <f ca="1">VLOOKUP($AB$2,'RF Mod'!$A$2:$G$12,2,FALSE)+VLOOKUP($AD$2,'RF Mod'!$I$2:$O$11,2,FALSE)+(TRUNC(6+(24-6)*(TRUNC(MOD(($Z791*1103515245 +12345)/ 65536, 32768),0)/32768),0))</f>
        <v>12</v>
      </c>
      <c r="H791" s="16" t="e">
        <f t="shared" ca="1" si="49"/>
        <v>#NAME?</v>
      </c>
      <c r="I791" s="153">
        <f ca="1">VLOOKUP($AB$2,'RF Mod'!$A$2:$G$12,3,FALSE)+VLOOKUP($AD$2,'RF Mod'!$I$2:$O$11,3,FALSE)+(TRUNC(6+(24-6)*(TRUNC(MOD(($Z791*1103515245 +12345)/ 65536, 32768),0)/32768),0))</f>
        <v>16</v>
      </c>
      <c r="J791" s="16" t="e">
        <f t="shared" ca="1" si="50"/>
        <v>#NAME?</v>
      </c>
      <c r="K791" s="153">
        <f ca="1">VLOOKUP($AB$2,'RF Mod'!$A$2:$G$12,3,FALSE)+VLOOKUP($AD$2,'RF Mod'!$I$2:$O$11,3,FALSE)+(TRUNC(6+(24-6)*(TRUNC(MOD(($Z791*1103515245 +12345)/ 65536, 32768),0)/32768),0))</f>
        <v>16</v>
      </c>
      <c r="L791" s="16" t="e">
        <f t="shared" ca="1" si="51"/>
        <v>#NAME?</v>
      </c>
      <c r="M791" s="153">
        <f ca="1">VLOOKUP($AB$2,'RF Mod'!$A$2:$G$12,4,FALSE)+VLOOKUP($AD$2,'RF Mod'!$I$2:$O$11,4,FALSE)+(TRUNC(6+(24-6)*(TRUNC(MOD(($Z791*1103515245 +12345)/ 65536, 32768),0)/32768),0))</f>
        <v>15</v>
      </c>
      <c r="N791" s="16" t="e">
        <f t="shared" ca="1" si="52"/>
        <v>#NAME?</v>
      </c>
      <c r="O791" s="153">
        <f ca="1">VLOOKUP($AB$2,'RF Mod'!$A$2:$G$12,5,FALSE)+VLOOKUP($AD$2,'RF Mod'!$I$2:$O$11,5,FALSE)+(TRUNC(6+(24-6)*(TRUNC(MOD(($Z791*1103515245 +12345)/ 65536, 32768),0)/32768),0))</f>
        <v>18</v>
      </c>
      <c r="P791" s="16" t="e">
        <f t="shared" ca="1" si="53"/>
        <v>#NAME?</v>
      </c>
      <c r="Q791" s="153">
        <f ca="1">VLOOKUP($AB$2,'RF Mod'!$A$2:$G$12,6,FALSE)+VLOOKUP($AD$2,'RF Mod'!$I$2:$O$11,6,FALSE)+(TRUNC(6+(24-6)*(TRUNC(MOD(($Z791*1103515245 +12345)/ 65536, 32768),0)/32768),0))</f>
        <v>16</v>
      </c>
      <c r="R791" s="16" t="e">
        <f t="shared" ca="1" si="54"/>
        <v>#NAME?</v>
      </c>
      <c r="S791" s="154">
        <f t="shared" ca="1" si="59"/>
        <v>144</v>
      </c>
      <c r="T791" s="154">
        <f t="shared" ca="1" si="55"/>
        <v>62</v>
      </c>
      <c r="U791" s="16" t="str">
        <f t="shared" ca="1" si="56"/>
        <v>Fine</v>
      </c>
      <c r="V791" s="155">
        <f ca="1">IFERROR(__xludf.DUMMYFUNCTION("if(W791=""Middle Age"",QUERY(NPCVar!$K$2:$N1000, ""Select L where K = '""&amp;AB791&amp;""'""),if(W791=""Old"",QUERY(NPCVar!$K$2:$N1000, ""Select M where K = '""&amp;AB791&amp;""'""),if(W791=""Venerable"",QUERY(NPCVar!$K$2:$N1000, ""Select N where K = '""&amp;AB791&amp;""'""),fa"&amp;"lse)))*X791"),69)</f>
        <v>69</v>
      </c>
      <c r="W791" s="156" t="str">
        <f t="array" ref="W791">INDEX(NPCAgeType,TRUNC(1+(4-1)*(TRUNC(MOD((X791*1103515245 +12345)/ 65536, 32768),0)/32768),0))</f>
        <v>Middle Age</v>
      </c>
      <c r="X791" s="117">
        <f t="shared" si="61"/>
        <v>2.2999999999999998</v>
      </c>
      <c r="Y791" s="157" t="e">
        <f t="array" aca="1" ref="Y791" ca="1">LOOKUP(ABS(MAX(Z791 + MIN(ABS(INDIRECT("Class Jobs!B"&amp;MATCH(E791,'Class Jobs'!$A$1:$A1000,0)&amp;":"&amp;"AF"&amp;MATCH(E791,'Class Jobs'!$A$1:$A1000,0)&amp;"")-$Z791)) * SUM(IF(MIN(ABS(INDIRECT("Class Jobs!B"&amp;MATCH(E791,'Class Jobs'!$A$1:$A1000,0)&amp;":"&amp;"AF"&amp;MATCH(E791,'Class Jobs'!$A$1:$A1000,0)&amp;"")-$Z791))=ABS(INDIRECT("Class Jobs!B"&amp;MATCH(E791,'Class Jobs'!$A$1:$A1000,0)&amp;":"&amp;"AF"&amp;MATCH(E791,'Class Jobs'!$A$1:$A1000,0)&amp;"")-$Z791),SIGN(INDIRECT("Class Jobs!B"&amp;MATCH(E791,'Class Jobs'!$A$1:A1000,0)&amp;":"&amp;"AF"&amp;MATCH(E791,'Class Jobs'!$A$1:$A1000,0)&amp;"")-$Z791),0)),0)),INDIRECT("Class Jobs!B"&amp;MATCH(E791,'Class Jobs'!$A$1:$A1000,0)&amp;":"&amp;"AF"&amp;MATCH(E791,'Class Jobs'!$A$1:$A1000,1)&amp;""),'Class Jobs'!$B$1:$AF$1)</f>
        <v>#REF!</v>
      </c>
      <c r="Z791" s="158">
        <f t="shared" si="57"/>
        <v>0.95</v>
      </c>
      <c r="AA791" s="16" t="str">
        <f t="array" ref="AA791">INDEX(NPCGender,TRUNC(1+(COUNTA(NPCGender))*(TRUNC(MOD(($B791*1103515245 +12345)/ 65536, 32768),0)/32768),0))</f>
        <v>Neutral</v>
      </c>
      <c r="AB791" s="16" t="str">
        <f t="array" ref="AB791">INDEX(NPCRace,TRUNC(1+(COUNTA(NPCRace))*(TRUNC(MOD(($B791*1103515245 +12345)/ 65536, 32768),0)/32768),0))</f>
        <v>Goliath</v>
      </c>
      <c r="AC791" s="16" t="str">
        <f t="array" ref="AC791">INDEX(NPCAL,TRUNC(1+(COUNTA(NPCAL))*(TRUNC(MOD(($B791*1103515245 +12345)/ 65536, 32768),0)/32768),0))</f>
        <v>LE</v>
      </c>
      <c r="AD791" s="72" t="str">
        <f ca="1">IFERROR(__xludf.DUMMYFUNCTION("if(V791&lt;15,QUERY(NPCVar!C:D,""Select D WHERE C = '""&amp;D791&amp;""'""),if((TRUNC(1+10)*(TRUNC(MOD((ROW(H791)*1103515245 +12345)/ 65536, 32768),0)/32768)/10) &gt; 0.85,INDEX(NPCFaction,TRUNC(1+(counta(NPCFaction)-1)*(TRUNC(MOD(($B791*1103515245 +12345)/ 65536, 3276"&amp;"8),0)/32768),0)),QUERY(NPCVar!C:D,""Select D WHERE C = '""&amp;D791&amp;""'"")))"),"Thieves Guild")</f>
        <v>Thieves Guild</v>
      </c>
      <c r="AE791" s="108" t="e">
        <f t="shared" ca="1" si="58"/>
        <v>#NAME?</v>
      </c>
      <c r="AF791" s="159">
        <f ca="1">IFERROR(__xludf.DUMMYFUNCTION("AE791*(V791 / QUERY(NPCVar!$K$2:$N$12, ""Select N WHERE K='""&amp;AB791&amp;""'""))*TRUNC(1+10)*(TRUNC(MOD(($B791*1103515245 +12345)/ 65536, 32768),0)/32768)"),6.03874588012695)</f>
        <v>6.0387458801269496</v>
      </c>
      <c r="AG791" s="16"/>
      <c r="AH791" s="77"/>
      <c r="AI791" s="114"/>
    </row>
    <row r="792" spans="1:35" ht="16.2">
      <c r="A792" s="53">
        <v>791</v>
      </c>
      <c r="B792" s="118">
        <f t="shared" si="60"/>
        <v>0.85213000000000005</v>
      </c>
      <c r="C792" s="72" t="str">
        <f t="array" ref="C792">INDEX(NPCFName,TRUNC(1+(COUNTA(NPCFName))*(TRUNC(MOD(($B792*1103515245 +12345)/ 65536, 32768),0)/32768),0))</f>
        <v>Faowind</v>
      </c>
      <c r="D792" s="16" t="str">
        <f t="array" ref="D792">INDEX(NPCLName,TRUNC(1+(COUNTA(NPCLName))*(TRUNC(MOD(($B792*1103515245 +12345)/ 65536, 32768),0)/32768),0))</f>
        <v>Saurflame</v>
      </c>
      <c r="E792" s="16" t="str">
        <f t="array" ref="E792">INDEX(NPCClass,TRUNC(1+(COUNTA(NPCClass))*(TRUNC(MOD(($B792*1103515245 +12345)/ 65536, 32768),0)/32768),0))</f>
        <v>Ranger</v>
      </c>
      <c r="F792" s="76">
        <v>6</v>
      </c>
      <c r="G792" s="153">
        <f ca="1">VLOOKUP($AB$2,'RF Mod'!$A$2:$G$12,2,FALSE)+VLOOKUP($AD$2,'RF Mod'!$I$2:$O$11,2,FALSE)+(TRUNC(6+(24-6)*(TRUNC(MOD(($Z792*1103515245 +12345)/ 65536, 32768),0)/32768),0))</f>
        <v>8</v>
      </c>
      <c r="H792" s="16">
        <f t="shared" ca="1" si="49"/>
        <v>-1</v>
      </c>
      <c r="I792" s="153">
        <f ca="1">VLOOKUP($AB$2,'RF Mod'!$A$2:$G$12,3,FALSE)+VLOOKUP($AD$2,'RF Mod'!$I$2:$O$11,3,FALSE)+(TRUNC(6+(24-6)*(TRUNC(MOD(($Z792*1103515245 +12345)/ 65536, 32768),0)/32768),0))</f>
        <v>12</v>
      </c>
      <c r="J792" s="16" t="e">
        <f t="shared" ca="1" si="50"/>
        <v>#NAME?</v>
      </c>
      <c r="K792" s="153">
        <f ca="1">VLOOKUP($AB$2,'RF Mod'!$A$2:$G$12,3,FALSE)+VLOOKUP($AD$2,'RF Mod'!$I$2:$O$11,3,FALSE)+(TRUNC(6+(24-6)*(TRUNC(MOD(($Z792*1103515245 +12345)/ 65536, 32768),0)/32768),0))</f>
        <v>12</v>
      </c>
      <c r="L792" s="16" t="e">
        <f t="shared" ca="1" si="51"/>
        <v>#NAME?</v>
      </c>
      <c r="M792" s="153">
        <f ca="1">VLOOKUP($AB$2,'RF Mod'!$A$2:$G$12,4,FALSE)+VLOOKUP($AD$2,'RF Mod'!$I$2:$O$11,4,FALSE)+(TRUNC(6+(24-6)*(TRUNC(MOD(($Z792*1103515245 +12345)/ 65536, 32768),0)/32768),0))</f>
        <v>11</v>
      </c>
      <c r="N792" s="16" t="e">
        <f t="shared" ca="1" si="52"/>
        <v>#NAME?</v>
      </c>
      <c r="O792" s="153">
        <f ca="1">VLOOKUP($AB$2,'RF Mod'!$A$2:$G$12,5,FALSE)+VLOOKUP($AD$2,'RF Mod'!$I$2:$O$11,5,FALSE)+(TRUNC(6+(24-6)*(TRUNC(MOD(($Z792*1103515245 +12345)/ 65536, 32768),0)/32768),0))</f>
        <v>14</v>
      </c>
      <c r="P792" s="16" t="e">
        <f t="shared" ca="1" si="53"/>
        <v>#NAME?</v>
      </c>
      <c r="Q792" s="153">
        <f ca="1">VLOOKUP($AB$2,'RF Mod'!$A$2:$G$12,6,FALSE)+VLOOKUP($AD$2,'RF Mod'!$I$2:$O$11,6,FALSE)+(TRUNC(6+(24-6)*(TRUNC(MOD(($Z792*1103515245 +12345)/ 65536, 32768),0)/32768),0))</f>
        <v>12</v>
      </c>
      <c r="R792" s="16" t="e">
        <f t="shared" ca="1" si="54"/>
        <v>#NAME?</v>
      </c>
      <c r="S792" s="154">
        <f t="shared" ca="1" si="59"/>
        <v>144</v>
      </c>
      <c r="T792" s="154">
        <f t="shared" ca="1" si="55"/>
        <v>110</v>
      </c>
      <c r="U792" s="16" t="str">
        <f t="shared" ca="1" si="56"/>
        <v>Bloody</v>
      </c>
      <c r="V792" s="155">
        <f ca="1">IFERROR(__xludf.DUMMYFUNCTION("if(W792=""Middle Age"",QUERY(NPCVar!$K$2:$N1000, ""Select L where K = '""&amp;AB792&amp;""'""),if(W792=""Old"",QUERY(NPCVar!$K$2:$N1000, ""Select M where K = '""&amp;AB792&amp;""'""),if(W792=""Venerable"",QUERY(NPCVar!$K$2:$N1000, ""Select N where K = '""&amp;AB792&amp;""'""),fa"&amp;"lse)))*X792"),74.25)</f>
        <v>74.25</v>
      </c>
      <c r="W792" s="156" t="str">
        <f t="array" ref="W792">INDEX(NPCAgeType,TRUNC(1+(4-1)*(TRUNC(MOD((X792*1103515245 +12345)/ 65536, 32768),0)/32768),0))</f>
        <v>Old</v>
      </c>
      <c r="X792" s="117">
        <f t="shared" si="61"/>
        <v>1.1000000000000001</v>
      </c>
      <c r="Y792" s="157" t="e">
        <f t="array" aca="1" ref="Y792" ca="1">LOOKUP(ABS(MAX(Z792 + MIN(ABS(INDIRECT("Class Jobs!B"&amp;MATCH(E792,'Class Jobs'!$A$1:$A1000,0)&amp;":"&amp;"AF"&amp;MATCH(E792,'Class Jobs'!$A$1:$A1000,0)&amp;"")-$Z792)) * SUM(IF(MIN(ABS(INDIRECT("Class Jobs!B"&amp;MATCH(E792,'Class Jobs'!$A$1:$A1000,0)&amp;":"&amp;"AF"&amp;MATCH(E792,'Class Jobs'!$A$1:$A1000,0)&amp;"")-$Z792))=ABS(INDIRECT("Class Jobs!B"&amp;MATCH(E792,'Class Jobs'!$A$1:$A1000,0)&amp;":"&amp;"AF"&amp;MATCH(E792,'Class Jobs'!$A$1:$A1000,0)&amp;"")-$Z792),SIGN(INDIRECT("Class Jobs!B"&amp;MATCH(E792,'Class Jobs'!$A$1:A1000,0)&amp;":"&amp;"AF"&amp;MATCH(E792,'Class Jobs'!$A$1:$A1000,0)&amp;"")-$Z792),0)),0)),INDIRECT("Class Jobs!B"&amp;MATCH(E792,'Class Jobs'!$A$1:$A1000,0)&amp;":"&amp;"AF"&amp;MATCH(E792,'Class Jobs'!$A$1:$A1000,1)&amp;""),'Class Jobs'!$B$1:$AF$1)</f>
        <v>#REF!</v>
      </c>
      <c r="Z792" s="158">
        <f t="shared" si="57"/>
        <v>0.44</v>
      </c>
      <c r="AA792" s="16" t="str">
        <f t="array" ref="AA792">INDEX(NPCGender,TRUNC(1+(COUNTA(NPCGender))*(TRUNC(MOD(($B792*1103515245 +12345)/ 65536, 32768),0)/32768),0))</f>
        <v>Female</v>
      </c>
      <c r="AB792" s="16" t="str">
        <f t="array" ref="AB792">INDEX(NPCRace,TRUNC(1+(COUNTA(NPCRace))*(TRUNC(MOD(($B792*1103515245 +12345)/ 65536, 32768),0)/32768),0))</f>
        <v>Half-Elf</v>
      </c>
      <c r="AC792" s="16" t="str">
        <f t="array" ref="AC792">INDEX(NPCAL,TRUNC(1+(COUNTA(NPCAL))*(TRUNC(MOD(($B792*1103515245 +12345)/ 65536, 32768),0)/32768),0))</f>
        <v>NG</v>
      </c>
      <c r="AD792" s="72" t="str">
        <f ca="1">IFERROR(__xludf.DUMMYFUNCTION("if(V792&lt;15,QUERY(NPCVar!C:D,""Select D WHERE C = '""&amp;D792&amp;""'""),if((TRUNC(1+10)*(TRUNC(MOD((ROW(H792)*1103515245 +12345)/ 65536, 32768),0)/32768)/10) &gt; 0.85,INDEX(NPCFaction,TRUNC(1+(counta(NPCFaction)-1)*(TRUNC(MOD(($B792*1103515245 +12345)/ 65536, 3276"&amp;"8),0)/32768),0)),QUERY(NPCVar!C:D,""Select D WHERE C = '""&amp;D792&amp;""'"")))"),"Adventures Guild")</f>
        <v>Adventures Guild</v>
      </c>
      <c r="AE792" s="108" t="e">
        <f t="shared" ca="1" si="58"/>
        <v>#NAME?</v>
      </c>
      <c r="AF792" s="159">
        <f ca="1">IFERROR(__xludf.DUMMYFUNCTION("AE792*(V792 / QUERY(NPCVar!$K$2:$N$12, ""Select N WHERE K='""&amp;AB792&amp;""'""))*TRUNC(1+10)*(TRUNC(MOD(($B792*1103515245 +12345)/ 65536, 32768),0)/32768)"),1.19209075927734)</f>
        <v>1.19209075927734</v>
      </c>
      <c r="AG792" s="16"/>
      <c r="AH792" s="77"/>
      <c r="AI792" s="114"/>
    </row>
    <row r="793" spans="1:35" ht="16.2">
      <c r="A793" s="53">
        <v>792</v>
      </c>
      <c r="B793" s="118">
        <f t="shared" si="60"/>
        <v>2.34626</v>
      </c>
      <c r="C793" s="72" t="str">
        <f t="array" ref="C793">INDEX(NPCFName,TRUNC(1+(COUNTA(NPCFName))*(TRUNC(MOD(($B793*1103515245 +12345)/ 65536, 32768),0)/32768),0))</f>
        <v>Nikpal</v>
      </c>
      <c r="D793" s="16" t="str">
        <f t="array" ref="D793">INDEX(NPCLName,TRUNC(1+(COUNTA(NPCLName))*(TRUNC(MOD(($B793*1103515245 +12345)/ 65536, 32768),0)/32768),0))</f>
        <v>Stillsun</v>
      </c>
      <c r="E793" s="16" t="str">
        <f t="array" ref="E793">INDEX(NPCClass,TRUNC(1+(COUNTA(NPCClass))*(TRUNC(MOD(($B793*1103515245 +12345)/ 65536, 32768),0)/32768),0))</f>
        <v>Druid</v>
      </c>
      <c r="F793" s="76">
        <v>1</v>
      </c>
      <c r="G793" s="153">
        <f ca="1">VLOOKUP($AB$2,'RF Mod'!$A$2:$G$12,2,FALSE)+VLOOKUP($AD$2,'RF Mod'!$I$2:$O$11,2,FALSE)+(TRUNC(6+(24-6)*(TRUNC(MOD(($Z793*1103515245 +12345)/ 65536, 32768),0)/32768),0))</f>
        <v>5</v>
      </c>
      <c r="H793" s="16">
        <f t="shared" ca="1" si="49"/>
        <v>-3</v>
      </c>
      <c r="I793" s="153">
        <f ca="1">VLOOKUP($AB$2,'RF Mod'!$A$2:$G$12,3,FALSE)+VLOOKUP($AD$2,'RF Mod'!$I$2:$O$11,3,FALSE)+(TRUNC(6+(24-6)*(TRUNC(MOD(($Z793*1103515245 +12345)/ 65536, 32768),0)/32768),0))</f>
        <v>9</v>
      </c>
      <c r="J793" s="16">
        <f t="shared" ca="1" si="50"/>
        <v>-1</v>
      </c>
      <c r="K793" s="153">
        <f ca="1">VLOOKUP($AB$2,'RF Mod'!$A$2:$G$12,3,FALSE)+VLOOKUP($AD$2,'RF Mod'!$I$2:$O$11,3,FALSE)+(TRUNC(6+(24-6)*(TRUNC(MOD(($Z793*1103515245 +12345)/ 65536, 32768),0)/32768),0))</f>
        <v>9</v>
      </c>
      <c r="L793" s="16">
        <f t="shared" ca="1" si="51"/>
        <v>-1</v>
      </c>
      <c r="M793" s="153">
        <f ca="1">VLOOKUP($AB$2,'RF Mod'!$A$2:$G$12,4,FALSE)+VLOOKUP($AD$2,'RF Mod'!$I$2:$O$11,4,FALSE)+(TRUNC(6+(24-6)*(TRUNC(MOD(($Z793*1103515245 +12345)/ 65536, 32768),0)/32768),0))</f>
        <v>8</v>
      </c>
      <c r="N793" s="16">
        <f t="shared" ca="1" si="52"/>
        <v>-1</v>
      </c>
      <c r="O793" s="153">
        <f ca="1">VLOOKUP($AB$2,'RF Mod'!$A$2:$G$12,5,FALSE)+VLOOKUP($AD$2,'RF Mod'!$I$2:$O$11,5,FALSE)+(TRUNC(6+(24-6)*(TRUNC(MOD(($Z793*1103515245 +12345)/ 65536, 32768),0)/32768),0))</f>
        <v>11</v>
      </c>
      <c r="P793" s="16" t="e">
        <f t="shared" ca="1" si="53"/>
        <v>#NAME?</v>
      </c>
      <c r="Q793" s="153">
        <f ca="1">VLOOKUP($AB$2,'RF Mod'!$A$2:$G$12,6,FALSE)+VLOOKUP($AD$2,'RF Mod'!$I$2:$O$11,6,FALSE)+(TRUNC(6+(24-6)*(TRUNC(MOD(($Z793*1103515245 +12345)/ 65536, 32768),0)/32768),0))</f>
        <v>9</v>
      </c>
      <c r="R793" s="16">
        <f t="shared" ca="1" si="54"/>
        <v>-1</v>
      </c>
      <c r="S793" s="154">
        <f t="shared" ca="1" si="59"/>
        <v>11</v>
      </c>
      <c r="T793" s="154">
        <f t="shared" ca="1" si="55"/>
        <v>5</v>
      </c>
      <c r="U793" s="16" t="str">
        <f t="shared" ca="1" si="56"/>
        <v>Fine</v>
      </c>
      <c r="V793" s="155">
        <f ca="1">IFERROR(__xludf.DUMMYFUNCTION("if(W793=""Middle Age"",QUERY(NPCVar!$K$2:$N1000, ""Select L where K = '""&amp;AB793&amp;""'""),if(W793=""Old"",QUERY(NPCVar!$K$2:$N1000, ""Select M where K = '""&amp;AB793&amp;""'""),if(W793=""Venerable"",QUERY(NPCVar!$K$2:$N1000, ""Select N where K = '""&amp;AB793&amp;""'""),fa"&amp;"lse)))*X793"),93.75)</f>
        <v>93.75</v>
      </c>
      <c r="W793" s="156" t="str">
        <f t="array" ref="W793">INDEX(NPCAgeType,TRUNC(1+(4-1)*(TRUNC(MOD((X793*1103515245 +12345)/ 65536, 32768),0)/32768),0))</f>
        <v>Middle Age</v>
      </c>
      <c r="X793" s="117">
        <f t="shared" si="61"/>
        <v>0.5</v>
      </c>
      <c r="Y793" s="157" t="e">
        <f t="array" aca="1" ref="Y793" ca="1">LOOKUP(ABS(MAX(Z793 + MIN(ABS(INDIRECT("Class Jobs!B"&amp;MATCH(E793,'Class Jobs'!$A$1:$A1000,0)&amp;":"&amp;"AF"&amp;MATCH(E793,'Class Jobs'!$A$1:$A1000,0)&amp;"")-$Z793)) * SUM(IF(MIN(ABS(INDIRECT("Class Jobs!B"&amp;MATCH(E793,'Class Jobs'!$A$1:$A1000,0)&amp;":"&amp;"AF"&amp;MATCH(E793,'Class Jobs'!$A$1:$A1000,0)&amp;"")-$Z793))=ABS(INDIRECT("Class Jobs!B"&amp;MATCH(E793,'Class Jobs'!$A$1:$A1000,0)&amp;":"&amp;"AF"&amp;MATCH(E793,'Class Jobs'!$A$1:$A1000,0)&amp;"")-$Z793),SIGN(INDIRECT("Class Jobs!B"&amp;MATCH(E793,'Class Jobs'!$A$1:A1000,0)&amp;":"&amp;"AF"&amp;MATCH(E793,'Class Jobs'!$A$1:$A1000,0)&amp;"")-$Z793),0)),0)),INDIRECT("Class Jobs!B"&amp;MATCH(E793,'Class Jobs'!$A$1:$A1000,0)&amp;":"&amp;"AF"&amp;MATCH(E793,'Class Jobs'!$A$1:$A1000,1)&amp;""),'Class Jobs'!$B$1:$AF$1)</f>
        <v>#REF!</v>
      </c>
      <c r="Z793" s="158">
        <f t="shared" si="57"/>
        <v>0.21</v>
      </c>
      <c r="AA793" s="16" t="str">
        <f t="array" ref="AA793">INDEX(NPCGender,TRUNC(1+(COUNTA(NPCGender))*(TRUNC(MOD(($B793*1103515245 +12345)/ 65536, 32768),0)/32768),0))</f>
        <v>Male</v>
      </c>
      <c r="AB793" s="16" t="str">
        <f t="array" ref="AB793">INDEX(NPCRace,TRUNC(1+(COUNTA(NPCRace))*(TRUNC(MOD(($B793*1103515245 +12345)/ 65536, 32768),0)/32768),0))</f>
        <v>Elf</v>
      </c>
      <c r="AC793" s="16" t="str">
        <f t="array" ref="AC793">INDEX(NPCAL,TRUNC(1+(COUNTA(NPCAL))*(TRUNC(MOD(($B793*1103515245 +12345)/ 65536, 32768),0)/32768),0))</f>
        <v>CE</v>
      </c>
      <c r="AD793" s="72" t="str">
        <f ca="1">IFERROR(__xludf.DUMMYFUNCTION("if(V793&lt;15,QUERY(NPCVar!C:D,""Select D WHERE C = '""&amp;D793&amp;""'""),if((TRUNC(1+10)*(TRUNC(MOD((ROW(H793)*1103515245 +12345)/ 65536, 32768),0)/32768)/10) &gt; 0.85,INDEX(NPCFaction,TRUNC(1+(counta(NPCFaction)-1)*(TRUNC(MOD(($B793*1103515245 +12345)/ 65536, 3276"&amp;"8),0)/32768),0)),QUERY(NPCVar!C:D,""Select D WHERE C = '""&amp;D793&amp;""'"")))"),"Necromancer")</f>
        <v>Necromancer</v>
      </c>
      <c r="AE793" s="108" t="e">
        <f t="shared" ca="1" si="58"/>
        <v>#NAME?</v>
      </c>
      <c r="AF793" s="159">
        <f ca="1">IFERROR(__xludf.DUMMYFUNCTION("AE793*(V793 / QUERY(NPCVar!$K$2:$N$12, ""Select N WHERE K='""&amp;AB793&amp;""'""))*TRUNC(1+10)*(TRUNC(MOD(($B793*1103515245 +12345)/ 65536, 32768),0)/32768)"),0.169667816162109)</f>
        <v>0.16966781616210899</v>
      </c>
      <c r="AG793" s="16"/>
      <c r="AH793" s="77"/>
      <c r="AI793" s="114"/>
    </row>
    <row r="794" spans="1:35" ht="16.2">
      <c r="A794" s="53">
        <v>793</v>
      </c>
      <c r="B794" s="118">
        <f t="shared" si="60"/>
        <v>1.3404100000000001</v>
      </c>
      <c r="C794" s="72" t="str">
        <f t="array" ref="C794">INDEX(NPCFName,TRUNC(1+(COUNTA(NPCFName))*(TRUNC(MOD(($B794*1103515245 +12345)/ 65536, 32768),0)/32768),0))</f>
        <v>Aysen</v>
      </c>
      <c r="D794" s="16" t="str">
        <f t="array" ref="D794">INDEX(NPCLName,TRUNC(1+(COUNTA(NPCLName))*(TRUNC(MOD(($B794*1103515245 +12345)/ 65536, 32768),0)/32768),0))</f>
        <v>Emberhell</v>
      </c>
      <c r="E794" s="16" t="str">
        <f t="array" ref="E794">INDEX(NPCClass,TRUNC(1+(COUNTA(NPCClass))*(TRUNC(MOD(($B794*1103515245 +12345)/ 65536, 32768),0)/32768),0))</f>
        <v>None</v>
      </c>
      <c r="F794" s="76">
        <v>8</v>
      </c>
      <c r="G794" s="153">
        <f ca="1">VLOOKUP($AB$2,'RF Mod'!$A$2:$G$12,2,FALSE)+VLOOKUP($AD$2,'RF Mod'!$I$2:$O$11,2,FALSE)+(TRUNC(6+(24-6)*(TRUNC(MOD(($Z794*1103515245 +12345)/ 65536, 32768),0)/32768),0))</f>
        <v>10</v>
      </c>
      <c r="H794" s="16" t="e">
        <f t="shared" ca="1" si="49"/>
        <v>#NAME?</v>
      </c>
      <c r="I794" s="153">
        <f ca="1">VLOOKUP($AB$2,'RF Mod'!$A$2:$G$12,3,FALSE)+VLOOKUP($AD$2,'RF Mod'!$I$2:$O$11,3,FALSE)+(TRUNC(6+(24-6)*(TRUNC(MOD(($Z794*1103515245 +12345)/ 65536, 32768),0)/32768),0))</f>
        <v>14</v>
      </c>
      <c r="J794" s="16" t="e">
        <f t="shared" ca="1" si="50"/>
        <v>#NAME?</v>
      </c>
      <c r="K794" s="153">
        <f ca="1">VLOOKUP($AB$2,'RF Mod'!$A$2:$G$12,3,FALSE)+VLOOKUP($AD$2,'RF Mod'!$I$2:$O$11,3,FALSE)+(TRUNC(6+(24-6)*(TRUNC(MOD(($Z794*1103515245 +12345)/ 65536, 32768),0)/32768),0))</f>
        <v>14</v>
      </c>
      <c r="L794" s="16" t="e">
        <f t="shared" ca="1" si="51"/>
        <v>#NAME?</v>
      </c>
      <c r="M794" s="153">
        <f ca="1">VLOOKUP($AB$2,'RF Mod'!$A$2:$G$12,4,FALSE)+VLOOKUP($AD$2,'RF Mod'!$I$2:$O$11,4,FALSE)+(TRUNC(6+(24-6)*(TRUNC(MOD(($Z794*1103515245 +12345)/ 65536, 32768),0)/32768),0))</f>
        <v>13</v>
      </c>
      <c r="N794" s="16" t="e">
        <f t="shared" ca="1" si="52"/>
        <v>#NAME?</v>
      </c>
      <c r="O794" s="153">
        <f ca="1">VLOOKUP($AB$2,'RF Mod'!$A$2:$G$12,5,FALSE)+VLOOKUP($AD$2,'RF Mod'!$I$2:$O$11,5,FALSE)+(TRUNC(6+(24-6)*(TRUNC(MOD(($Z794*1103515245 +12345)/ 65536, 32768),0)/32768),0))</f>
        <v>16</v>
      </c>
      <c r="P794" s="16" t="e">
        <f t="shared" ca="1" si="53"/>
        <v>#NAME?</v>
      </c>
      <c r="Q794" s="153">
        <f ca="1">VLOOKUP($AB$2,'RF Mod'!$A$2:$G$12,6,FALSE)+VLOOKUP($AD$2,'RF Mod'!$I$2:$O$11,6,FALSE)+(TRUNC(6+(24-6)*(TRUNC(MOD(($Z794*1103515245 +12345)/ 65536, 32768),0)/32768),0))</f>
        <v>14</v>
      </c>
      <c r="R794" s="16" t="e">
        <f t="shared" ca="1" si="54"/>
        <v>#NAME?</v>
      </c>
      <c r="S794" s="154">
        <f t="shared" ca="1" si="59"/>
        <v>256</v>
      </c>
      <c r="T794" s="154">
        <f t="shared" ca="1" si="55"/>
        <v>179</v>
      </c>
      <c r="U794" s="16" t="str">
        <f t="shared" ca="1" si="56"/>
        <v>Bloody</v>
      </c>
      <c r="V794" s="155">
        <f ca="1">IFERROR(__xludf.DUMMYFUNCTION("if(W794=""Middle Age"",QUERY(NPCVar!$K$2:$N1000, ""Select L where K = '""&amp;AB794&amp;""'""),if(W794=""Old"",QUERY(NPCVar!$K$2:$N1000, ""Select M where K = '""&amp;AB794&amp;""'""),if(W794=""Venerable"",QUERY(NPCVar!$K$2:$N1000, ""Select N where K = '""&amp;AB794&amp;""'""),fa"&amp;"lse)))*X794"),153)</f>
        <v>153</v>
      </c>
      <c r="W794" s="156" t="str">
        <f t="array" ref="W794">INDEX(NPCAgeType,TRUNC(1+(4-1)*(TRUNC(MOD((X794*1103515245 +12345)/ 65536, 32768),0)/32768),0))</f>
        <v>Venerable</v>
      </c>
      <c r="X794" s="117">
        <f t="shared" si="61"/>
        <v>1.7</v>
      </c>
      <c r="Y794" s="157" t="e">
        <f t="array" aca="1" ref="Y794" ca="1">LOOKUP(ABS(MAX(Z794 + MIN(ABS(INDIRECT("Class Jobs!B"&amp;MATCH(E794,'Class Jobs'!$A$1:$A1000,0)&amp;":"&amp;"AF"&amp;MATCH(E794,'Class Jobs'!$A$1:$A1000,0)&amp;"")-$Z794)) * SUM(IF(MIN(ABS(INDIRECT("Class Jobs!B"&amp;MATCH(E794,'Class Jobs'!$A$1:$A1000,0)&amp;":"&amp;"AF"&amp;MATCH(E794,'Class Jobs'!$A$1:$A1000,0)&amp;"")-$Z794))=ABS(INDIRECT("Class Jobs!B"&amp;MATCH(E794,'Class Jobs'!$A$1:$A1000,0)&amp;":"&amp;"AF"&amp;MATCH(E794,'Class Jobs'!$A$1:$A1000,0)&amp;"")-$Z794),SIGN(INDIRECT("Class Jobs!B"&amp;MATCH(E794,'Class Jobs'!$A$1:A1000,0)&amp;":"&amp;"AF"&amp;MATCH(E794,'Class Jobs'!$A$1:$A1000,0)&amp;"")-$Z794),0)),0)),INDIRECT("Class Jobs!B"&amp;MATCH(E794,'Class Jobs'!$A$1:$A1000,0)&amp;":"&amp;"AF"&amp;MATCH(E794,'Class Jobs'!$A$1:$A1000,1)&amp;""),'Class Jobs'!$B$1:$AF$1)</f>
        <v>#REF!</v>
      </c>
      <c r="Z794" s="158">
        <f t="shared" si="57"/>
        <v>0.69</v>
      </c>
      <c r="AA794" s="16" t="str">
        <f t="array" ref="AA794">INDEX(NPCGender,TRUNC(1+(COUNTA(NPCGender))*(TRUNC(MOD(($B794*1103515245 +12345)/ 65536, 32768),0)/32768),0))</f>
        <v>Neutral</v>
      </c>
      <c r="AB794" s="16" t="str">
        <f t="array" ref="AB794">INDEX(NPCRace,TRUNC(1+(COUNTA(NPCRace))*(TRUNC(MOD(($B794*1103515245 +12345)/ 65536, 32768),0)/32768),0))</f>
        <v>Human</v>
      </c>
      <c r="AC794" s="16" t="str">
        <f t="array" ref="AC794">INDEX(NPCAL,TRUNC(1+(COUNTA(NPCAL))*(TRUNC(MOD(($B794*1103515245 +12345)/ 65536, 32768),0)/32768),0))</f>
        <v>LG</v>
      </c>
      <c r="AD794" s="72" t="str">
        <f ca="1">IFERROR(__xludf.DUMMYFUNCTION("if(V794&lt;15,QUERY(NPCVar!C:D,""Select D WHERE C = '""&amp;D794&amp;""'""),if((TRUNC(1+10)*(TRUNC(MOD((ROW(H794)*1103515245 +12345)/ 65536, 32768),0)/32768)/10) &gt; 0.85,INDEX(NPCFaction,TRUNC(1+(counta(NPCFaction)-1)*(TRUNC(MOD(($B794*1103515245 +12345)/ 65536, 3276"&amp;"8),0)/32768),0)),QUERY(NPCVar!C:D,""Select D WHERE C = '""&amp;D794&amp;""'"")))"),"Adventures Guild")</f>
        <v>Adventures Guild</v>
      </c>
      <c r="AE794" s="108" t="e">
        <f t="shared" ca="1" si="58"/>
        <v>#NAME?</v>
      </c>
      <c r="AF794" s="159">
        <f ca="1">IFERROR(__xludf.DUMMYFUNCTION("AE794*(V794 / QUERY(NPCVar!$K$2:$N$12, ""Select N WHERE K='""&amp;AB794&amp;""'""))*TRUNC(1+10)*(TRUNC(MOD(($B794*1103515245 +12345)/ 65536, 32768),0)/32768)"),7.72813110351562)</f>
        <v>7.7281311035156204</v>
      </c>
      <c r="AG794" s="16"/>
      <c r="AH794" s="77"/>
      <c r="AI794" s="114"/>
    </row>
    <row r="795" spans="1:35" ht="16.2">
      <c r="A795" s="53">
        <v>794</v>
      </c>
      <c r="B795" s="118">
        <f t="shared" si="60"/>
        <v>0.33448</v>
      </c>
      <c r="C795" s="72" t="str">
        <f t="array" ref="C795">INDEX(NPCFName,TRUNC(1+(COUNTA(NPCFName))*(TRUNC(MOD(($B795*1103515245 +12345)/ 65536, 32768),0)/32768),0))</f>
        <v>Ledale</v>
      </c>
      <c r="D795" s="16" t="str">
        <f t="array" ref="D795">INDEX(NPCLName,TRUNC(1+(COUNTA(NPCLName))*(TRUNC(MOD(($B795*1103515245 +12345)/ 65536, 32768),0)/32768),0))</f>
        <v>Ashcloud</v>
      </c>
      <c r="E795" s="16" t="str">
        <f t="array" ref="E795">INDEX(NPCClass,TRUNC(1+(COUNTA(NPCClass))*(TRUNC(MOD(($B795*1103515245 +12345)/ 65536, 32768),0)/32768),0))</f>
        <v>Druid</v>
      </c>
      <c r="F795" s="76">
        <v>1</v>
      </c>
      <c r="G795" s="153">
        <f ca="1">VLOOKUP($AB$2,'RF Mod'!$A$2:$G$12,2,FALSE)+VLOOKUP($AD$2,'RF Mod'!$I$2:$O$11,2,FALSE)+(TRUNC(6+(24-6)*(TRUNC(MOD(($Z795*1103515245 +12345)/ 65536, 32768),0)/32768),0))</f>
        <v>5</v>
      </c>
      <c r="H795" s="16">
        <f t="shared" ca="1" si="49"/>
        <v>-3</v>
      </c>
      <c r="I795" s="153">
        <f ca="1">VLOOKUP($AB$2,'RF Mod'!$A$2:$G$12,3,FALSE)+VLOOKUP($AD$2,'RF Mod'!$I$2:$O$11,3,FALSE)+(TRUNC(6+(24-6)*(TRUNC(MOD(($Z795*1103515245 +12345)/ 65536, 32768),0)/32768),0))</f>
        <v>9</v>
      </c>
      <c r="J795" s="16">
        <f t="shared" ca="1" si="50"/>
        <v>-1</v>
      </c>
      <c r="K795" s="153">
        <f ca="1">VLOOKUP($AB$2,'RF Mod'!$A$2:$G$12,3,FALSE)+VLOOKUP($AD$2,'RF Mod'!$I$2:$O$11,3,FALSE)+(TRUNC(6+(24-6)*(TRUNC(MOD(($Z795*1103515245 +12345)/ 65536, 32768),0)/32768),0))</f>
        <v>9</v>
      </c>
      <c r="L795" s="16">
        <f t="shared" ca="1" si="51"/>
        <v>-1</v>
      </c>
      <c r="M795" s="153">
        <f ca="1">VLOOKUP($AB$2,'RF Mod'!$A$2:$G$12,4,FALSE)+VLOOKUP($AD$2,'RF Mod'!$I$2:$O$11,4,FALSE)+(TRUNC(6+(24-6)*(TRUNC(MOD(($Z795*1103515245 +12345)/ 65536, 32768),0)/32768),0))</f>
        <v>8</v>
      </c>
      <c r="N795" s="16">
        <f t="shared" ca="1" si="52"/>
        <v>-1</v>
      </c>
      <c r="O795" s="153">
        <f ca="1">VLOOKUP($AB$2,'RF Mod'!$A$2:$G$12,5,FALSE)+VLOOKUP($AD$2,'RF Mod'!$I$2:$O$11,5,FALSE)+(TRUNC(6+(24-6)*(TRUNC(MOD(($Z795*1103515245 +12345)/ 65536, 32768),0)/32768),0))</f>
        <v>11</v>
      </c>
      <c r="P795" s="16" t="e">
        <f t="shared" ca="1" si="53"/>
        <v>#NAME?</v>
      </c>
      <c r="Q795" s="153">
        <f ca="1">VLOOKUP($AB$2,'RF Mod'!$A$2:$G$12,6,FALSE)+VLOOKUP($AD$2,'RF Mod'!$I$2:$O$11,6,FALSE)+(TRUNC(6+(24-6)*(TRUNC(MOD(($Z795*1103515245 +12345)/ 65536, 32768),0)/32768),0))</f>
        <v>9</v>
      </c>
      <c r="R795" s="16">
        <f t="shared" ca="1" si="54"/>
        <v>-1</v>
      </c>
      <c r="S795" s="154">
        <f t="shared" ca="1" si="59"/>
        <v>27</v>
      </c>
      <c r="T795" s="154">
        <f t="shared" ca="1" si="55"/>
        <v>11</v>
      </c>
      <c r="U795" s="16" t="str">
        <f t="shared" ca="1" si="56"/>
        <v>Fine</v>
      </c>
      <c r="V795" s="155">
        <f ca="1">IFERROR(__xludf.DUMMYFUNCTION("if(W795=""Middle Age"",QUERY(NPCVar!$K$2:$N1000, ""Select L where K = '""&amp;AB795&amp;""'""),if(W795=""Old"",QUERY(NPCVar!$K$2:$N1000, ""Select M where K = '""&amp;AB795&amp;""'""),if(W795=""Venerable"",QUERY(NPCVar!$K$2:$N1000, ""Select N where K = '""&amp;AB795&amp;""'""),fa"&amp;"lse)))*X795"),40)</f>
        <v>40</v>
      </c>
      <c r="W795" s="156" t="str">
        <f t="array" ref="W795">INDEX(NPCAgeType,TRUNC(1+(4-1)*(TRUNC(MOD((X795*1103515245 +12345)/ 65536, 32768),0)/32768),0))</f>
        <v>Middle Age</v>
      </c>
      <c r="X795" s="117">
        <f t="shared" si="61"/>
        <v>0.5</v>
      </c>
      <c r="Y795" s="157" t="e">
        <f t="array" aca="1" ref="Y795" ca="1">LOOKUP(ABS(MAX(Z795 + MIN(ABS(INDIRECT("Class Jobs!B"&amp;MATCH(E795,'Class Jobs'!$A$1:$A1000,0)&amp;":"&amp;"AF"&amp;MATCH(E795,'Class Jobs'!$A$1:$A1000,0)&amp;"")-$Z795)) * SUM(IF(MIN(ABS(INDIRECT("Class Jobs!B"&amp;MATCH(E795,'Class Jobs'!$A$1:$A1000,0)&amp;":"&amp;"AF"&amp;MATCH(E795,'Class Jobs'!$A$1:$A1000,0)&amp;"")-$Z795))=ABS(INDIRECT("Class Jobs!B"&amp;MATCH(E795,'Class Jobs'!$A$1:$A1000,0)&amp;":"&amp;"AF"&amp;MATCH(E795,'Class Jobs'!$A$1:$A1000,0)&amp;"")-$Z795),SIGN(INDIRECT("Class Jobs!B"&amp;MATCH(E795,'Class Jobs'!$A$1:A1000,0)&amp;":"&amp;"AF"&amp;MATCH(E795,'Class Jobs'!$A$1:$A1000,0)&amp;"")-$Z795),0)),0)),INDIRECT("Class Jobs!B"&amp;MATCH(E795,'Class Jobs'!$A$1:$A1000,0)&amp;":"&amp;"AF"&amp;MATCH(E795,'Class Jobs'!$A$1:$A1000,1)&amp;""),'Class Jobs'!$B$1:$AF$1)</f>
        <v>#REF!</v>
      </c>
      <c r="Z795" s="158">
        <f t="shared" si="57"/>
        <v>0.18</v>
      </c>
      <c r="AA795" s="16" t="str">
        <f t="array" ref="AA795">INDEX(NPCGender,TRUNC(1+(COUNTA(NPCGender))*(TRUNC(MOD(($B795*1103515245 +12345)/ 65536, 32768),0)/32768),0))</f>
        <v>Male</v>
      </c>
      <c r="AB795" s="16" t="str">
        <f t="array" ref="AB795">INDEX(NPCRace,TRUNC(1+(COUNTA(NPCRace))*(TRUNC(MOD(($B795*1103515245 +12345)/ 65536, 32768),0)/32768),0))</f>
        <v>Dwarf</v>
      </c>
      <c r="AC795" s="16" t="str">
        <f t="array" ref="AC795">INDEX(NPCAL,TRUNC(1+(COUNTA(NPCAL))*(TRUNC(MOD(($B795*1103515245 +12345)/ 65536, 32768),0)/32768),0))</f>
        <v>CE</v>
      </c>
      <c r="AD795" s="72" t="str">
        <f ca="1">IFERROR(__xludf.DUMMYFUNCTION("if(V795&lt;15,QUERY(NPCVar!C:D,""Select D WHERE C = '""&amp;D795&amp;""'""),if((TRUNC(1+10)*(TRUNC(MOD((ROW(H795)*1103515245 +12345)/ 65536, 32768),0)/32768)/10) &gt; 0.85,INDEX(NPCFaction,TRUNC(1+(counta(NPCFaction)-1)*(TRUNC(MOD(($B795*1103515245 +12345)/ 65536, 3276"&amp;"8),0)/32768),0)),QUERY(NPCVar!C:D,""Select D WHERE C = '""&amp;D795&amp;""'"")))"),"Magic Guild")</f>
        <v>Magic Guild</v>
      </c>
      <c r="AE795" s="108" t="e">
        <f t="shared" ca="1" si="58"/>
        <v>#NAME?</v>
      </c>
      <c r="AF795" s="159">
        <f ca="1">IFERROR(__xludf.DUMMYFUNCTION("AE795*(V795 / QUERY(NPCVar!$K$2:$N$12, ""Select N WHERE K='""&amp;AB795&amp;""'""))*TRUNC(1+10)*(TRUNC(MOD(($B795*1103515245 +12345)/ 65536, 32768),0)/32768)"),-0.0472656249999999)</f>
        <v>-4.7265624999999901E-2</v>
      </c>
      <c r="AG795" s="16"/>
      <c r="AH795" s="77"/>
      <c r="AI795" s="114"/>
    </row>
    <row r="796" spans="1:35" ht="16.2">
      <c r="A796" s="53">
        <v>795</v>
      </c>
      <c r="B796" s="118">
        <f t="shared" si="60"/>
        <v>1.8286100000000001</v>
      </c>
      <c r="C796" s="72" t="str">
        <f t="array" ref="C796">INDEX(NPCFName,TRUNC(1+(COUNTA(NPCFName))*(TRUNC(MOD(($B796*1103515245 +12345)/ 65536, 32768),0)/32768),0))</f>
        <v>Suktor</v>
      </c>
      <c r="D796" s="16" t="str">
        <f t="array" ref="D796">INDEX(NPCLName,TRUNC(1+(COUNTA(NPCLName))*(TRUNC(MOD(($B796*1103515245 +12345)/ 65536, 32768),0)/32768),0))</f>
        <v>Marblearm</v>
      </c>
      <c r="E796" s="16" t="str">
        <f t="array" ref="E796">INDEX(NPCClass,TRUNC(1+(COUNTA(NPCClass))*(TRUNC(MOD(($B796*1103515245 +12345)/ 65536, 32768),0)/32768),0))</f>
        <v>Wizard</v>
      </c>
      <c r="F796" s="76">
        <v>8</v>
      </c>
      <c r="G796" s="153">
        <f ca="1">VLOOKUP($AB$2,'RF Mod'!$A$2:$G$12,2,FALSE)+VLOOKUP($AD$2,'RF Mod'!$I$2:$O$11,2,FALSE)+(TRUNC(6+(24-6)*(TRUNC(MOD(($Z796*1103515245 +12345)/ 65536, 32768),0)/32768),0))</f>
        <v>12</v>
      </c>
      <c r="H796" s="16" t="e">
        <f t="shared" ca="1" si="49"/>
        <v>#NAME?</v>
      </c>
      <c r="I796" s="153">
        <f ca="1">VLOOKUP($AB$2,'RF Mod'!$A$2:$G$12,3,FALSE)+VLOOKUP($AD$2,'RF Mod'!$I$2:$O$11,3,FALSE)+(TRUNC(6+(24-6)*(TRUNC(MOD(($Z796*1103515245 +12345)/ 65536, 32768),0)/32768),0))</f>
        <v>16</v>
      </c>
      <c r="J796" s="16" t="e">
        <f t="shared" ca="1" si="50"/>
        <v>#NAME?</v>
      </c>
      <c r="K796" s="153">
        <f ca="1">VLOOKUP($AB$2,'RF Mod'!$A$2:$G$12,3,FALSE)+VLOOKUP($AD$2,'RF Mod'!$I$2:$O$11,3,FALSE)+(TRUNC(6+(24-6)*(TRUNC(MOD(($Z796*1103515245 +12345)/ 65536, 32768),0)/32768),0))</f>
        <v>16</v>
      </c>
      <c r="L796" s="16" t="e">
        <f t="shared" ca="1" si="51"/>
        <v>#NAME?</v>
      </c>
      <c r="M796" s="153">
        <f ca="1">VLOOKUP($AB$2,'RF Mod'!$A$2:$G$12,4,FALSE)+VLOOKUP($AD$2,'RF Mod'!$I$2:$O$11,4,FALSE)+(TRUNC(6+(24-6)*(TRUNC(MOD(($Z796*1103515245 +12345)/ 65536, 32768),0)/32768),0))</f>
        <v>15</v>
      </c>
      <c r="N796" s="16" t="e">
        <f t="shared" ca="1" si="52"/>
        <v>#NAME?</v>
      </c>
      <c r="O796" s="153">
        <f ca="1">VLOOKUP($AB$2,'RF Mod'!$A$2:$G$12,5,FALSE)+VLOOKUP($AD$2,'RF Mod'!$I$2:$O$11,5,FALSE)+(TRUNC(6+(24-6)*(TRUNC(MOD(($Z796*1103515245 +12345)/ 65536, 32768),0)/32768),0))</f>
        <v>18</v>
      </c>
      <c r="P796" s="16" t="e">
        <f t="shared" ca="1" si="53"/>
        <v>#NAME?</v>
      </c>
      <c r="Q796" s="153">
        <f ca="1">VLOOKUP($AB$2,'RF Mod'!$A$2:$G$12,6,FALSE)+VLOOKUP($AD$2,'RF Mod'!$I$2:$O$11,6,FALSE)+(TRUNC(6+(24-6)*(TRUNC(MOD(($Z796*1103515245 +12345)/ 65536, 32768),0)/32768),0))</f>
        <v>16</v>
      </c>
      <c r="R796" s="16" t="e">
        <f t="shared" ca="1" si="54"/>
        <v>#NAME?</v>
      </c>
      <c r="S796" s="154">
        <f t="shared" ca="1" si="59"/>
        <v>256</v>
      </c>
      <c r="T796" s="154">
        <f t="shared" ca="1" si="55"/>
        <v>78</v>
      </c>
      <c r="U796" s="16" t="str">
        <f t="shared" ca="1" si="56"/>
        <v>Fine</v>
      </c>
      <c r="V796" s="155">
        <f ca="1">IFERROR(__xludf.DUMMYFUNCTION("if(W796=""Middle Age"",QUERY(NPCVar!$K$2:$N1000, ""Select L where K = '""&amp;AB796&amp;""'""),if(W796=""Old"",QUERY(NPCVar!$K$2:$N1000, ""Select M where K = '""&amp;AB796&amp;""'""),if(W796=""Venerable"",QUERY(NPCVar!$K$2:$N1000, ""Select N where K = '""&amp;AB796&amp;""'""),fa"&amp;"lse)))*X796"),69)</f>
        <v>69</v>
      </c>
      <c r="W796" s="156" t="str">
        <f t="array" ref="W796">INDEX(NPCAgeType,TRUNC(1+(4-1)*(TRUNC(MOD((X796*1103515245 +12345)/ 65536, 32768),0)/32768),0))</f>
        <v>Middle Age</v>
      </c>
      <c r="X796" s="117">
        <f t="shared" si="61"/>
        <v>2.2999999999999998</v>
      </c>
      <c r="Y796" s="157" t="e">
        <f t="array" aca="1" ref="Y796" ca="1">LOOKUP(ABS(MAX(Z796 + MIN(ABS(INDIRECT("Class Jobs!B"&amp;MATCH(E796,'Class Jobs'!$A$1:$A1000,0)&amp;":"&amp;"AF"&amp;MATCH(E796,'Class Jobs'!$A$1:$A1000,0)&amp;"")-$Z796)) * SUM(IF(MIN(ABS(INDIRECT("Class Jobs!B"&amp;MATCH(E796,'Class Jobs'!$A$1:$A1000,0)&amp;":"&amp;"AF"&amp;MATCH(E796,'Class Jobs'!$A$1:$A1000,0)&amp;"")-$Z796))=ABS(INDIRECT("Class Jobs!B"&amp;MATCH(E796,'Class Jobs'!$A$1:$A1000,0)&amp;":"&amp;"AF"&amp;MATCH(E796,'Class Jobs'!$A$1:$A1000,0)&amp;"")-$Z796),SIGN(INDIRECT("Class Jobs!B"&amp;MATCH(E796,'Class Jobs'!$A$1:A1000,0)&amp;":"&amp;"AF"&amp;MATCH(E796,'Class Jobs'!$A$1:$A1000,0)&amp;"")-$Z796),0)),0)),INDIRECT("Class Jobs!B"&amp;MATCH(E796,'Class Jobs'!$A$1:$A1000,0)&amp;":"&amp;"AF"&amp;MATCH(E796,'Class Jobs'!$A$1:$A1000,1)&amp;""),'Class Jobs'!$B$1:$AF$1)</f>
        <v>#REF!</v>
      </c>
      <c r="Z796" s="158">
        <f t="shared" si="57"/>
        <v>0.94</v>
      </c>
      <c r="AA796" s="16" t="str">
        <f t="array" ref="AA796">INDEX(NPCGender,TRUNC(1+(COUNTA(NPCGender))*(TRUNC(MOD(($B796*1103515245 +12345)/ 65536, 32768),0)/32768),0))</f>
        <v>Neutral</v>
      </c>
      <c r="AB796" s="16" t="str">
        <f t="array" ref="AB796">INDEX(NPCRace,TRUNC(1+(COUNTA(NPCRace))*(TRUNC(MOD(($B796*1103515245 +12345)/ 65536, 32768),0)/32768),0))</f>
        <v>Goliath</v>
      </c>
      <c r="AC796" s="16" t="str">
        <f t="array" ref="AC796">INDEX(NPCAL,TRUNC(1+(COUNTA(NPCAL))*(TRUNC(MOD(($B796*1103515245 +12345)/ 65536, 32768),0)/32768),0))</f>
        <v>LE</v>
      </c>
      <c r="AD796" s="72" t="str">
        <f ca="1">IFERROR(__xludf.DUMMYFUNCTION("if(V796&lt;15,QUERY(NPCVar!C:D,""Select D WHERE C = '""&amp;D796&amp;""'""),if((TRUNC(1+10)*(TRUNC(MOD((ROW(H796)*1103515245 +12345)/ 65536, 32768),0)/32768)/10) &gt; 0.85,INDEX(NPCFaction,TRUNC(1+(counta(NPCFaction)-1)*(TRUNC(MOD(($B796*1103515245 +12345)/ 65536, 3276"&amp;"8),0)/32768),0)),QUERY(NPCVar!C:D,""Select D WHERE C = '""&amp;D796&amp;""'"")))"),"Thieves Guild")</f>
        <v>Thieves Guild</v>
      </c>
      <c r="AE796" s="108" t="e">
        <f t="shared" ca="1" si="58"/>
        <v>#NAME?</v>
      </c>
      <c r="AF796" s="159">
        <f ca="1">IFERROR(__xludf.DUMMYFUNCTION("AE796*(V796 / QUERY(NPCVar!$K$2:$N$12, ""Select N WHERE K='""&amp;AB796&amp;""'""))*TRUNC(1+10)*(TRUNC(MOD(($B796*1103515245 +12345)/ 65536, 32768),0)/32768)"),3.5659194946289)</f>
        <v>3.5659194946289001</v>
      </c>
      <c r="AG796" s="16"/>
      <c r="AH796" s="77"/>
      <c r="AI796" s="114"/>
    </row>
    <row r="797" spans="1:35" ht="16.2">
      <c r="A797" s="53">
        <v>796</v>
      </c>
      <c r="B797" s="118">
        <f t="shared" si="60"/>
        <v>0.82276000000000005</v>
      </c>
      <c r="C797" s="72" t="str">
        <f t="array" ref="C797">INDEX(NPCFName,TRUNC(1+(COUNTA(NPCFName))*(TRUNC(MOD(($B797*1103515245 +12345)/ 65536, 32768),0)/32768),0))</f>
        <v>Egmardern</v>
      </c>
      <c r="D797" s="16" t="str">
        <f t="array" ref="D797">INDEX(NPCLName,TRUNC(1+(COUNTA(NPCLName))*(TRUNC(MOD(($B797*1103515245 +12345)/ 65536, 32768),0)/32768),0))</f>
        <v>Windshade</v>
      </c>
      <c r="E797" s="16" t="str">
        <f t="array" ref="E797">INDEX(NPCClass,TRUNC(1+(COUNTA(NPCClass))*(TRUNC(MOD(($B797*1103515245 +12345)/ 65536, 32768),0)/32768),0))</f>
        <v>Ranger</v>
      </c>
      <c r="F797" s="76">
        <v>6</v>
      </c>
      <c r="G797" s="153">
        <f ca="1">VLOOKUP($AB$2,'RF Mod'!$A$2:$G$12,2,FALSE)+VLOOKUP($AD$2,'RF Mod'!$I$2:$O$11,2,FALSE)+(TRUNC(6+(24-6)*(TRUNC(MOD(($Z797*1103515245 +12345)/ 65536, 32768),0)/32768),0))</f>
        <v>7</v>
      </c>
      <c r="H797" s="16">
        <f t="shared" ca="1" si="49"/>
        <v>-2</v>
      </c>
      <c r="I797" s="153">
        <f ca="1">VLOOKUP($AB$2,'RF Mod'!$A$2:$G$12,3,FALSE)+VLOOKUP($AD$2,'RF Mod'!$I$2:$O$11,3,FALSE)+(TRUNC(6+(24-6)*(TRUNC(MOD(($Z797*1103515245 +12345)/ 65536, 32768),0)/32768),0))</f>
        <v>11</v>
      </c>
      <c r="J797" s="16" t="e">
        <f t="shared" ca="1" si="50"/>
        <v>#NAME?</v>
      </c>
      <c r="K797" s="153">
        <f ca="1">VLOOKUP($AB$2,'RF Mod'!$A$2:$G$12,3,FALSE)+VLOOKUP($AD$2,'RF Mod'!$I$2:$O$11,3,FALSE)+(TRUNC(6+(24-6)*(TRUNC(MOD(($Z797*1103515245 +12345)/ 65536, 32768),0)/32768),0))</f>
        <v>11</v>
      </c>
      <c r="L797" s="16" t="e">
        <f t="shared" ca="1" si="51"/>
        <v>#NAME?</v>
      </c>
      <c r="M797" s="153">
        <f ca="1">VLOOKUP($AB$2,'RF Mod'!$A$2:$G$12,4,FALSE)+VLOOKUP($AD$2,'RF Mod'!$I$2:$O$11,4,FALSE)+(TRUNC(6+(24-6)*(TRUNC(MOD(($Z797*1103515245 +12345)/ 65536, 32768),0)/32768),0))</f>
        <v>10</v>
      </c>
      <c r="N797" s="16" t="e">
        <f t="shared" ca="1" si="52"/>
        <v>#NAME?</v>
      </c>
      <c r="O797" s="153">
        <f ca="1">VLOOKUP($AB$2,'RF Mod'!$A$2:$G$12,5,FALSE)+VLOOKUP($AD$2,'RF Mod'!$I$2:$O$11,5,FALSE)+(TRUNC(6+(24-6)*(TRUNC(MOD(($Z797*1103515245 +12345)/ 65536, 32768),0)/32768),0))</f>
        <v>13</v>
      </c>
      <c r="P797" s="16" t="e">
        <f t="shared" ca="1" si="53"/>
        <v>#NAME?</v>
      </c>
      <c r="Q797" s="153">
        <f ca="1">VLOOKUP($AB$2,'RF Mod'!$A$2:$G$12,6,FALSE)+VLOOKUP($AD$2,'RF Mod'!$I$2:$O$11,6,FALSE)+(TRUNC(6+(24-6)*(TRUNC(MOD(($Z797*1103515245 +12345)/ 65536, 32768),0)/32768),0))</f>
        <v>11</v>
      </c>
      <c r="R797" s="16" t="e">
        <f t="shared" ca="1" si="54"/>
        <v>#NAME?</v>
      </c>
      <c r="S797" s="154">
        <f t="shared" ca="1" si="59"/>
        <v>78</v>
      </c>
      <c r="T797" s="154">
        <f t="shared" ca="1" si="55"/>
        <v>17</v>
      </c>
      <c r="U797" s="16" t="str">
        <f t="shared" ca="1" si="56"/>
        <v>Fine</v>
      </c>
      <c r="V797" s="155">
        <f ca="1">IFERROR(__xludf.DUMMYFUNCTION("if(W797=""Middle Age"",QUERY(NPCVar!$K$2:$N1000, ""Select L where K = '""&amp;AB797&amp;""'""),if(W797=""Old"",QUERY(NPCVar!$K$2:$N1000, ""Select M where K = '""&amp;AB797&amp;""'""),if(W797=""Venerable"",QUERY(NPCVar!$K$2:$N1000, ""Select N where K = '""&amp;AB797&amp;""'""),fa"&amp;"lse)))*X797"),74.25)</f>
        <v>74.25</v>
      </c>
      <c r="W797" s="156" t="str">
        <f t="array" ref="W797">INDEX(NPCAgeType,TRUNC(1+(4-1)*(TRUNC(MOD((X797*1103515245 +12345)/ 65536, 32768),0)/32768),0))</f>
        <v>Old</v>
      </c>
      <c r="X797" s="117">
        <f t="shared" si="61"/>
        <v>1.1000000000000001</v>
      </c>
      <c r="Y797" s="157" t="e">
        <f t="array" aca="1" ref="Y797" ca="1">LOOKUP(ABS(MAX(Z797 + MIN(ABS(INDIRECT("Class Jobs!B"&amp;MATCH(E797,'Class Jobs'!$A$1:$A1000,0)&amp;":"&amp;"AF"&amp;MATCH(E797,'Class Jobs'!$A$1:$A1000,0)&amp;"")-$Z797)) * SUM(IF(MIN(ABS(INDIRECT("Class Jobs!B"&amp;MATCH(E797,'Class Jobs'!$A$1:$A1000,0)&amp;":"&amp;"AF"&amp;MATCH(E797,'Class Jobs'!$A$1:$A1000,0)&amp;"")-$Z797))=ABS(INDIRECT("Class Jobs!B"&amp;MATCH(E797,'Class Jobs'!$A$1:$A1000,0)&amp;":"&amp;"AF"&amp;MATCH(E797,'Class Jobs'!$A$1:$A1000,0)&amp;"")-$Z797),SIGN(INDIRECT("Class Jobs!B"&amp;MATCH(E797,'Class Jobs'!$A$1:A1000,0)&amp;":"&amp;"AF"&amp;MATCH(E797,'Class Jobs'!$A$1:$A1000,0)&amp;"")-$Z797),0)),0)),INDIRECT("Class Jobs!B"&amp;MATCH(E797,'Class Jobs'!$A$1:$A1000,0)&amp;":"&amp;"AF"&amp;MATCH(E797,'Class Jobs'!$A$1:$A1000,1)&amp;""),'Class Jobs'!$B$1:$AF$1)</f>
        <v>#REF!</v>
      </c>
      <c r="Z797" s="158">
        <f t="shared" si="57"/>
        <v>0.42</v>
      </c>
      <c r="AA797" s="16" t="str">
        <f t="array" ref="AA797">INDEX(NPCGender,TRUNC(1+(COUNTA(NPCGender))*(TRUNC(MOD(($B797*1103515245 +12345)/ 65536, 32768),0)/32768),0))</f>
        <v>Female</v>
      </c>
      <c r="AB797" s="16" t="str">
        <f t="array" ref="AB797">INDEX(NPCRace,TRUNC(1+(COUNTA(NPCRace))*(TRUNC(MOD(($B797*1103515245 +12345)/ 65536, 32768),0)/32768),0))</f>
        <v>Half-Elf</v>
      </c>
      <c r="AC797" s="16" t="str">
        <f t="array" ref="AC797">INDEX(NPCAL,TRUNC(1+(COUNTA(NPCAL))*(TRUNC(MOD(($B797*1103515245 +12345)/ 65536, 32768),0)/32768),0))</f>
        <v>NG</v>
      </c>
      <c r="AD797" s="72" t="str">
        <f ca="1">IFERROR(__xludf.DUMMYFUNCTION("if(V797&lt;15,QUERY(NPCVar!C:D,""Select D WHERE C = '""&amp;D797&amp;""'""),if((TRUNC(1+10)*(TRUNC(MOD((ROW(H797)*1103515245 +12345)/ 65536, 32768),0)/32768)/10) &gt; 0.85,INDEX(NPCFaction,TRUNC(1+(counta(NPCFaction)-1)*(TRUNC(MOD(($B797*1103515245 +12345)/ 65536, 3276"&amp;"8),0)/32768),0)),QUERY(NPCVar!C:D,""Select D WHERE C = '""&amp;D797&amp;""'"")))"),"Traders Guild")</f>
        <v>Traders Guild</v>
      </c>
      <c r="AE797" s="108" t="e">
        <f t="shared" ca="1" si="58"/>
        <v>#NAME?</v>
      </c>
      <c r="AF797" s="159">
        <f ca="1">IFERROR(__xludf.DUMMYFUNCTION("AE797*(V797 / QUERY(NPCVar!$K$2:$N$12, ""Select N WHERE K='""&amp;AB797&amp;""'""))*TRUNC(1+10)*(TRUNC(MOD(($B797*1103515245 +12345)/ 65536, 32768),0)/32768)"),0)</f>
        <v>0</v>
      </c>
      <c r="AG797" s="16"/>
      <c r="AH797" s="77"/>
      <c r="AI797" s="114"/>
    </row>
    <row r="798" spans="1:35" ht="16.2">
      <c r="A798" s="53">
        <v>797</v>
      </c>
      <c r="B798" s="118">
        <f t="shared" si="60"/>
        <v>2.3168899999999999</v>
      </c>
      <c r="C798" s="72" t="str">
        <f t="array" ref="C798">INDEX(NPCFName,TRUNC(1+(COUNTA(NPCFName))*(TRUNC(MOD(($B798*1103515245 +12345)/ 65536, 32768),0)/32768),0))</f>
        <v>Mes'ard</v>
      </c>
      <c r="D798" s="16" t="str">
        <f t="array" ref="D798">INDEX(NPCLName,TRUNC(1+(COUNTA(NPCLName))*(TRUNC(MOD(($B798*1103515245 +12345)/ 65536, 32768),0)/32768),0))</f>
        <v>Ashcloud</v>
      </c>
      <c r="E798" s="16" t="str">
        <f t="array" ref="E798">INDEX(NPCClass,TRUNC(1+(COUNTA(NPCClass))*(TRUNC(MOD(($B798*1103515245 +12345)/ 65536, 32768),0)/32768),0))</f>
        <v>Druid</v>
      </c>
      <c r="F798" s="76">
        <v>1</v>
      </c>
      <c r="G798" s="153">
        <f ca="1">VLOOKUP($AB$2,'RF Mod'!$A$2:$G$12,2,FALSE)+VLOOKUP($AD$2,'RF Mod'!$I$2:$O$11,2,FALSE)+(TRUNC(6+(24-6)*(TRUNC(MOD(($Z798*1103515245 +12345)/ 65536, 32768),0)/32768),0))</f>
        <v>5</v>
      </c>
      <c r="H798" s="16">
        <f t="shared" ca="1" si="49"/>
        <v>-3</v>
      </c>
      <c r="I798" s="153">
        <f ca="1">VLOOKUP($AB$2,'RF Mod'!$A$2:$G$12,3,FALSE)+VLOOKUP($AD$2,'RF Mod'!$I$2:$O$11,3,FALSE)+(TRUNC(6+(24-6)*(TRUNC(MOD(($Z798*1103515245 +12345)/ 65536, 32768),0)/32768),0))</f>
        <v>9</v>
      </c>
      <c r="J798" s="16">
        <f t="shared" ca="1" si="50"/>
        <v>-1</v>
      </c>
      <c r="K798" s="153">
        <f ca="1">VLOOKUP($AB$2,'RF Mod'!$A$2:$G$12,3,FALSE)+VLOOKUP($AD$2,'RF Mod'!$I$2:$O$11,3,FALSE)+(TRUNC(6+(24-6)*(TRUNC(MOD(($Z798*1103515245 +12345)/ 65536, 32768),0)/32768),0))</f>
        <v>9</v>
      </c>
      <c r="L798" s="16">
        <f t="shared" ca="1" si="51"/>
        <v>-1</v>
      </c>
      <c r="M798" s="153">
        <f ca="1">VLOOKUP($AB$2,'RF Mod'!$A$2:$G$12,4,FALSE)+VLOOKUP($AD$2,'RF Mod'!$I$2:$O$11,4,FALSE)+(TRUNC(6+(24-6)*(TRUNC(MOD(($Z798*1103515245 +12345)/ 65536, 32768),0)/32768),0))</f>
        <v>8</v>
      </c>
      <c r="N798" s="16">
        <f t="shared" ca="1" si="52"/>
        <v>-1</v>
      </c>
      <c r="O798" s="153">
        <f ca="1">VLOOKUP($AB$2,'RF Mod'!$A$2:$G$12,5,FALSE)+VLOOKUP($AD$2,'RF Mod'!$I$2:$O$11,5,FALSE)+(TRUNC(6+(24-6)*(TRUNC(MOD(($Z798*1103515245 +12345)/ 65536, 32768),0)/32768),0))</f>
        <v>11</v>
      </c>
      <c r="P798" s="16" t="e">
        <f t="shared" ca="1" si="53"/>
        <v>#NAME?</v>
      </c>
      <c r="Q798" s="153">
        <f ca="1">VLOOKUP($AB$2,'RF Mod'!$A$2:$G$12,6,FALSE)+VLOOKUP($AD$2,'RF Mod'!$I$2:$O$11,6,FALSE)+(TRUNC(6+(24-6)*(TRUNC(MOD(($Z798*1103515245 +12345)/ 65536, 32768),0)/32768),0))</f>
        <v>9</v>
      </c>
      <c r="R798" s="16">
        <f t="shared" ca="1" si="54"/>
        <v>-1</v>
      </c>
      <c r="S798" s="154">
        <f t="shared" ca="1" si="59"/>
        <v>11</v>
      </c>
      <c r="T798" s="154">
        <f t="shared" ca="1" si="55"/>
        <v>7</v>
      </c>
      <c r="U798" s="16" t="str">
        <f t="shared" ca="1" si="56"/>
        <v>Bloody</v>
      </c>
      <c r="V798" s="155">
        <f ca="1">IFERROR(__xludf.DUMMYFUNCTION("if(W798=""Middle Age"",QUERY(NPCVar!$K$2:$N1000, ""Select L where K = '""&amp;AB798&amp;""'""),if(W798=""Old"",QUERY(NPCVar!$K$2:$N1000, ""Select M where K = '""&amp;AB798&amp;""'""),if(W798=""Venerable"",QUERY(NPCVar!$K$2:$N1000, ""Select N where K = '""&amp;AB798&amp;""'""),fa"&amp;"lse)))*X798"),93.75)</f>
        <v>93.75</v>
      </c>
      <c r="W798" s="156" t="str">
        <f t="array" ref="W798">INDEX(NPCAgeType,TRUNC(1+(4-1)*(TRUNC(MOD((X798*1103515245 +12345)/ 65536, 32768),0)/32768),0))</f>
        <v>Middle Age</v>
      </c>
      <c r="X798" s="117">
        <f t="shared" si="61"/>
        <v>0.5</v>
      </c>
      <c r="Y798" s="157" t="e">
        <f t="array" aca="1" ref="Y798" ca="1">LOOKUP(ABS(MAX(Z798 + MIN(ABS(INDIRECT("Class Jobs!B"&amp;MATCH(E798,'Class Jobs'!$A$1:$A1000,0)&amp;":"&amp;"AF"&amp;MATCH(E798,'Class Jobs'!$A$1:$A1000,0)&amp;"")-$Z798)) * SUM(IF(MIN(ABS(INDIRECT("Class Jobs!B"&amp;MATCH(E798,'Class Jobs'!$A$1:$A1000,0)&amp;":"&amp;"AF"&amp;MATCH(E798,'Class Jobs'!$A$1:$A1000,0)&amp;"")-$Z798))=ABS(INDIRECT("Class Jobs!B"&amp;MATCH(E798,'Class Jobs'!$A$1:$A1000,0)&amp;":"&amp;"AF"&amp;MATCH(E798,'Class Jobs'!$A$1:$A1000,0)&amp;"")-$Z798),SIGN(INDIRECT("Class Jobs!B"&amp;MATCH(E798,'Class Jobs'!$A$1:A1000,0)&amp;":"&amp;"AF"&amp;MATCH(E798,'Class Jobs'!$A$1:$A1000,0)&amp;"")-$Z798),0)),0)),INDIRECT("Class Jobs!B"&amp;MATCH(E798,'Class Jobs'!$A$1:$A1000,0)&amp;":"&amp;"AF"&amp;MATCH(E798,'Class Jobs'!$A$1:$A1000,1)&amp;""),'Class Jobs'!$B$1:$AF$1)</f>
        <v>#REF!</v>
      </c>
      <c r="Z798" s="158">
        <f t="shared" si="57"/>
        <v>0.19</v>
      </c>
      <c r="AA798" s="16" t="str">
        <f t="array" ref="AA798">INDEX(NPCGender,TRUNC(1+(COUNTA(NPCGender))*(TRUNC(MOD(($B798*1103515245 +12345)/ 65536, 32768),0)/32768),0))</f>
        <v>Male</v>
      </c>
      <c r="AB798" s="16" t="str">
        <f t="array" ref="AB798">INDEX(NPCRace,TRUNC(1+(COUNTA(NPCRace))*(TRUNC(MOD(($B798*1103515245 +12345)/ 65536, 32768),0)/32768),0))</f>
        <v>Elf</v>
      </c>
      <c r="AC798" s="16" t="str">
        <f t="array" ref="AC798">INDEX(NPCAL,TRUNC(1+(COUNTA(NPCAL))*(TRUNC(MOD(($B798*1103515245 +12345)/ 65536, 32768),0)/32768),0))</f>
        <v>CE</v>
      </c>
      <c r="AD798" s="72" t="str">
        <f ca="1">IFERROR(__xludf.DUMMYFUNCTION("if(V798&lt;15,QUERY(NPCVar!C:D,""Select D WHERE C = '""&amp;D798&amp;""'""),if((TRUNC(1+10)*(TRUNC(MOD((ROW(H798)*1103515245 +12345)/ 65536, 32768),0)/32768)/10) &gt; 0.85,INDEX(NPCFaction,TRUNC(1+(counta(NPCFaction)-1)*(TRUNC(MOD(($B798*1103515245 +12345)/ 65536, 3276"&amp;"8),0)/32768),0)),QUERY(NPCVar!C:D,""Select D WHERE C = '""&amp;D798&amp;""'"")))"),"Magic Guild")</f>
        <v>Magic Guild</v>
      </c>
      <c r="AE798" s="108" t="e">
        <f t="shared" ca="1" si="58"/>
        <v>#NAME?</v>
      </c>
      <c r="AF798" s="159">
        <f ca="1">IFERROR(__xludf.DUMMYFUNCTION("AE798*(V798 / QUERY(NPCVar!$K$2:$N$12, ""Select N WHERE K='""&amp;AB798&amp;""'""))*TRUNC(1+10)*(TRUNC(MOD(($B798*1103515245 +12345)/ 65536, 32768),0)/32768)"),0.0524017333984375)</f>
        <v>5.2401733398437497E-2</v>
      </c>
      <c r="AG798" s="16"/>
      <c r="AH798" s="77"/>
      <c r="AI798" s="114"/>
    </row>
    <row r="799" spans="1:35" ht="16.2">
      <c r="A799" s="53">
        <v>798</v>
      </c>
      <c r="B799" s="118">
        <f t="shared" si="60"/>
        <v>1.3110299999999999</v>
      </c>
      <c r="C799" s="72" t="str">
        <f t="array" ref="C799">INDEX(NPCFName,TRUNC(1+(COUNTA(NPCFName))*(TRUNC(MOD(($B799*1103515245 +12345)/ 65536, 32768),0)/32768),0))</f>
        <v>Aidan</v>
      </c>
      <c r="D799" s="16" t="str">
        <f t="array" ref="D799">INDEX(NPCLName,TRUNC(1+(COUNTA(NPCLName))*(TRUNC(MOD(($B799*1103515245 +12345)/ 65536, 32768),0)/32768),0))</f>
        <v>Emberhell</v>
      </c>
      <c r="E799" s="16" t="str">
        <f t="array" ref="E799">INDEX(NPCClass,TRUNC(1+(COUNTA(NPCClass))*(TRUNC(MOD(($B799*1103515245 +12345)/ 65536, 32768),0)/32768),0))</f>
        <v>None</v>
      </c>
      <c r="F799" s="76">
        <v>8</v>
      </c>
      <c r="G799" s="153">
        <f ca="1">VLOOKUP($AB$2,'RF Mod'!$A$2:$G$12,2,FALSE)+VLOOKUP($AD$2,'RF Mod'!$I$2:$O$11,2,FALSE)+(TRUNC(6+(24-6)*(TRUNC(MOD(($Z799*1103515245 +12345)/ 65536, 32768),0)/32768),0))</f>
        <v>10</v>
      </c>
      <c r="H799" s="16" t="e">
        <f t="shared" ca="1" si="49"/>
        <v>#NAME?</v>
      </c>
      <c r="I799" s="153">
        <f ca="1">VLOOKUP($AB$2,'RF Mod'!$A$2:$G$12,3,FALSE)+VLOOKUP($AD$2,'RF Mod'!$I$2:$O$11,3,FALSE)+(TRUNC(6+(24-6)*(TRUNC(MOD(($Z799*1103515245 +12345)/ 65536, 32768),0)/32768),0))</f>
        <v>14</v>
      </c>
      <c r="J799" s="16" t="e">
        <f t="shared" ca="1" si="50"/>
        <v>#NAME?</v>
      </c>
      <c r="K799" s="153">
        <f ca="1">VLOOKUP($AB$2,'RF Mod'!$A$2:$G$12,3,FALSE)+VLOOKUP($AD$2,'RF Mod'!$I$2:$O$11,3,FALSE)+(TRUNC(6+(24-6)*(TRUNC(MOD(($Z799*1103515245 +12345)/ 65536, 32768),0)/32768),0))</f>
        <v>14</v>
      </c>
      <c r="L799" s="16" t="e">
        <f t="shared" ca="1" si="51"/>
        <v>#NAME?</v>
      </c>
      <c r="M799" s="153">
        <f ca="1">VLOOKUP($AB$2,'RF Mod'!$A$2:$G$12,4,FALSE)+VLOOKUP($AD$2,'RF Mod'!$I$2:$O$11,4,FALSE)+(TRUNC(6+(24-6)*(TRUNC(MOD(($Z799*1103515245 +12345)/ 65536, 32768),0)/32768),0))</f>
        <v>13</v>
      </c>
      <c r="N799" s="16" t="e">
        <f t="shared" ca="1" si="52"/>
        <v>#NAME?</v>
      </c>
      <c r="O799" s="153">
        <f ca="1">VLOOKUP($AB$2,'RF Mod'!$A$2:$G$12,5,FALSE)+VLOOKUP($AD$2,'RF Mod'!$I$2:$O$11,5,FALSE)+(TRUNC(6+(24-6)*(TRUNC(MOD(($Z799*1103515245 +12345)/ 65536, 32768),0)/32768),0))</f>
        <v>16</v>
      </c>
      <c r="P799" s="16" t="e">
        <f t="shared" ca="1" si="53"/>
        <v>#NAME?</v>
      </c>
      <c r="Q799" s="153">
        <f ca="1">VLOOKUP($AB$2,'RF Mod'!$A$2:$G$12,6,FALSE)+VLOOKUP($AD$2,'RF Mod'!$I$2:$O$11,6,FALSE)+(TRUNC(6+(24-6)*(TRUNC(MOD(($Z799*1103515245 +12345)/ 65536, 32768),0)/32768),0))</f>
        <v>14</v>
      </c>
      <c r="R799" s="16" t="e">
        <f t="shared" ca="1" si="54"/>
        <v>#NAME?</v>
      </c>
      <c r="S799" s="154">
        <f t="shared" ca="1" si="59"/>
        <v>160</v>
      </c>
      <c r="T799" s="154">
        <f t="shared" ca="1" si="55"/>
        <v>132</v>
      </c>
      <c r="U799" s="16" t="str">
        <f t="shared" ca="1" si="56"/>
        <v>Bloody</v>
      </c>
      <c r="V799" s="155">
        <f ca="1">IFERROR(__xludf.DUMMYFUNCTION("if(W799=""Middle Age"",QUERY(NPCVar!$K$2:$N1000, ""Select L where K = '""&amp;AB799&amp;""'""),if(W799=""Old"",QUERY(NPCVar!$K$2:$N1000, ""Select M where K = '""&amp;AB799&amp;""'""),if(W799=""Venerable"",QUERY(NPCVar!$K$2:$N1000, ""Select N where K = '""&amp;AB799&amp;""'""),fa"&amp;"lse)))*X799"),153)</f>
        <v>153</v>
      </c>
      <c r="W799" s="156" t="str">
        <f t="array" ref="W799">INDEX(NPCAgeType,TRUNC(1+(4-1)*(TRUNC(MOD((X799*1103515245 +12345)/ 65536, 32768),0)/32768),0))</f>
        <v>Venerable</v>
      </c>
      <c r="X799" s="117">
        <f t="shared" si="61"/>
        <v>1.7</v>
      </c>
      <c r="Y799" s="157" t="e">
        <f t="array" aca="1" ref="Y799" ca="1">LOOKUP(ABS(MAX(Z799 + MIN(ABS(INDIRECT("Class Jobs!B"&amp;MATCH(E799,'Class Jobs'!$A$1:$A1000,0)&amp;":"&amp;"AF"&amp;MATCH(E799,'Class Jobs'!$A$1:$A1000,0)&amp;"")-$Z799)) * SUM(IF(MIN(ABS(INDIRECT("Class Jobs!B"&amp;MATCH(E799,'Class Jobs'!$A$1:$A1000,0)&amp;":"&amp;"AF"&amp;MATCH(E799,'Class Jobs'!$A$1:$A1000,0)&amp;"")-$Z799))=ABS(INDIRECT("Class Jobs!B"&amp;MATCH(E799,'Class Jobs'!$A$1:$A1000,0)&amp;":"&amp;"AF"&amp;MATCH(E799,'Class Jobs'!$A$1:$A1000,0)&amp;"")-$Z799),SIGN(INDIRECT("Class Jobs!B"&amp;MATCH(E799,'Class Jobs'!$A$1:A1000,0)&amp;":"&amp;"AF"&amp;MATCH(E799,'Class Jobs'!$A$1:$A1000,0)&amp;"")-$Z799),0)),0)),INDIRECT("Class Jobs!B"&amp;MATCH(E799,'Class Jobs'!$A$1:$A1000,0)&amp;":"&amp;"AF"&amp;MATCH(E799,'Class Jobs'!$A$1:$A1000,1)&amp;""),'Class Jobs'!$B$1:$AF$1)</f>
        <v>#REF!</v>
      </c>
      <c r="Z799" s="158">
        <f t="shared" si="57"/>
        <v>0.67</v>
      </c>
      <c r="AA799" s="16" t="str">
        <f t="array" ref="AA799">INDEX(NPCGender,TRUNC(1+(COUNTA(NPCGender))*(TRUNC(MOD(($B799*1103515245 +12345)/ 65536, 32768),0)/32768),0))</f>
        <v>Neutral</v>
      </c>
      <c r="AB799" s="16" t="str">
        <f t="array" ref="AB799">INDEX(NPCRace,TRUNC(1+(COUNTA(NPCRace))*(TRUNC(MOD(($B799*1103515245 +12345)/ 65536, 32768),0)/32768),0))</f>
        <v>Human</v>
      </c>
      <c r="AC799" s="16" t="str">
        <f t="array" ref="AC799">INDEX(NPCAL,TRUNC(1+(COUNTA(NPCAL))*(TRUNC(MOD(($B799*1103515245 +12345)/ 65536, 32768),0)/32768),0))</f>
        <v>LG</v>
      </c>
      <c r="AD799" s="72" t="str">
        <f ca="1">IFERROR(__xludf.DUMMYFUNCTION("if(V799&lt;15,QUERY(NPCVar!C:D,""Select D WHERE C = '""&amp;D799&amp;""'""),if((TRUNC(1+10)*(TRUNC(MOD((ROW(H799)*1103515245 +12345)/ 65536, 32768),0)/32768)/10) &gt; 0.85,INDEX(NPCFaction,TRUNC(1+(counta(NPCFaction)-1)*(TRUNC(MOD(($B799*1103515245 +12345)/ 65536, 3276"&amp;"8),0)/32768),0)),QUERY(NPCVar!C:D,""Select D WHERE C = '""&amp;D799&amp;""'"")))"),"Adventures Guild")</f>
        <v>Adventures Guild</v>
      </c>
      <c r="AE799" s="108" t="e">
        <f t="shared" ca="1" si="58"/>
        <v>#NAME?</v>
      </c>
      <c r="AF799" s="159">
        <f ca="1">IFERROR(__xludf.DUMMYFUNCTION("AE799*(V799 / QUERY(NPCVar!$K$2:$N$12, ""Select N WHERE K='""&amp;AB799&amp;""'""))*TRUNC(1+10)*(TRUNC(MOD(($B799*1103515245 +12345)/ 65536, 32768),0)/32768)"),2.51954650878906)</f>
        <v>2.5195465087890598</v>
      </c>
      <c r="AG799" s="16"/>
      <c r="AH799" s="77"/>
      <c r="AI799" s="114"/>
    </row>
    <row r="800" spans="1:35" ht="16.2">
      <c r="A800" s="53">
        <v>799</v>
      </c>
      <c r="B800" s="118">
        <f t="shared" si="60"/>
        <v>0.30518000000000001</v>
      </c>
      <c r="C800" s="72" t="str">
        <f t="array" ref="C800">INDEX(NPCFName,TRUNC(1+(COUNTA(NPCFName))*(TRUNC(MOD(($B800*1103515245 +12345)/ 65536, 32768),0)/32768),0))</f>
        <v>Kafar</v>
      </c>
      <c r="D800" s="16" t="str">
        <f t="array" ref="D800">INDEX(NPCLName,TRUNC(1+(COUNTA(NPCLName))*(TRUNC(MOD(($B800*1103515245 +12345)/ 65536, 32768),0)/32768),0))</f>
        <v>Fistwing</v>
      </c>
      <c r="E800" s="16" t="str">
        <f t="array" ref="E800">INDEX(NPCClass,TRUNC(1+(COUNTA(NPCClass))*(TRUNC(MOD(($B800*1103515245 +12345)/ 65536, 32768),0)/32768),0))</f>
        <v>Bard</v>
      </c>
      <c r="F800" s="76">
        <v>1</v>
      </c>
      <c r="G800" s="153">
        <f ca="1">VLOOKUP($AB$2,'RF Mod'!$A$2:$G$12,2,FALSE)+VLOOKUP($AD$2,'RF Mod'!$I$2:$O$11,2,FALSE)+(TRUNC(6+(24-6)*(TRUNC(MOD(($Z800*1103515245 +12345)/ 65536, 32768),0)/32768),0))</f>
        <v>5</v>
      </c>
      <c r="H800" s="16">
        <f t="shared" ca="1" si="49"/>
        <v>-3</v>
      </c>
      <c r="I800" s="153">
        <f ca="1">VLOOKUP($AB$2,'RF Mod'!$A$2:$G$12,3,FALSE)+VLOOKUP($AD$2,'RF Mod'!$I$2:$O$11,3,FALSE)+(TRUNC(6+(24-6)*(TRUNC(MOD(($Z800*1103515245 +12345)/ 65536, 32768),0)/32768),0))</f>
        <v>9</v>
      </c>
      <c r="J800" s="16">
        <f t="shared" ca="1" si="50"/>
        <v>-1</v>
      </c>
      <c r="K800" s="153">
        <f ca="1">VLOOKUP($AB$2,'RF Mod'!$A$2:$G$12,3,FALSE)+VLOOKUP($AD$2,'RF Mod'!$I$2:$O$11,3,FALSE)+(TRUNC(6+(24-6)*(TRUNC(MOD(($Z800*1103515245 +12345)/ 65536, 32768),0)/32768),0))</f>
        <v>9</v>
      </c>
      <c r="L800" s="16">
        <f t="shared" ca="1" si="51"/>
        <v>-1</v>
      </c>
      <c r="M800" s="153">
        <f ca="1">VLOOKUP($AB$2,'RF Mod'!$A$2:$G$12,4,FALSE)+VLOOKUP($AD$2,'RF Mod'!$I$2:$O$11,4,FALSE)+(TRUNC(6+(24-6)*(TRUNC(MOD(($Z800*1103515245 +12345)/ 65536, 32768),0)/32768),0))</f>
        <v>8</v>
      </c>
      <c r="N800" s="16">
        <f t="shared" ca="1" si="52"/>
        <v>-1</v>
      </c>
      <c r="O800" s="153">
        <f ca="1">VLOOKUP($AB$2,'RF Mod'!$A$2:$G$12,5,FALSE)+VLOOKUP($AD$2,'RF Mod'!$I$2:$O$11,5,FALSE)+(TRUNC(6+(24-6)*(TRUNC(MOD(($Z800*1103515245 +12345)/ 65536, 32768),0)/32768),0))</f>
        <v>11</v>
      </c>
      <c r="P800" s="16" t="e">
        <f t="shared" ca="1" si="53"/>
        <v>#NAME?</v>
      </c>
      <c r="Q800" s="153">
        <f ca="1">VLOOKUP($AB$2,'RF Mod'!$A$2:$G$12,6,FALSE)+VLOOKUP($AD$2,'RF Mod'!$I$2:$O$11,6,FALSE)+(TRUNC(6+(24-6)*(TRUNC(MOD(($Z800*1103515245 +12345)/ 65536, 32768),0)/32768),0))</f>
        <v>9</v>
      </c>
      <c r="R800" s="16">
        <f t="shared" ca="1" si="54"/>
        <v>-1</v>
      </c>
      <c r="S800" s="154">
        <f t="shared" ca="1" si="59"/>
        <v>11</v>
      </c>
      <c r="T800" s="154">
        <f t="shared" ca="1" si="55"/>
        <v>5</v>
      </c>
      <c r="U800" s="16" t="str">
        <f t="shared" ca="1" si="56"/>
        <v>Fine</v>
      </c>
      <c r="V800" s="155">
        <f ca="1">IFERROR(__xludf.DUMMYFUNCTION("if(W800=""Middle Age"",QUERY(NPCVar!$K$2:$N1000, ""Select L where K = '""&amp;AB800&amp;""'""),if(W800=""Old"",QUERY(NPCVar!$K$2:$N1000, ""Select M where K = '""&amp;AB800&amp;""'""),if(W800=""Venerable"",QUERY(NPCVar!$K$2:$N1000, ""Select N where K = '""&amp;AB800&amp;""'""),fa"&amp;"lse)))*X800"),32)</f>
        <v>32</v>
      </c>
      <c r="W800" s="156" t="str">
        <f t="array" ref="W800">INDEX(NPCAgeType,TRUNC(1+(4-1)*(TRUNC(MOD((X800*1103515245 +12345)/ 65536, 32768),0)/32768),0))</f>
        <v>Middle Age</v>
      </c>
      <c r="X800" s="117">
        <f t="shared" si="61"/>
        <v>0.4</v>
      </c>
      <c r="Y800" s="157" t="e">
        <f t="array" aca="1" ref="Y800" ca="1">LOOKUP(ABS(MAX(Z800 + MIN(ABS(INDIRECT("Class Jobs!B"&amp;MATCH(E800,'Class Jobs'!$A$1:$A1000,0)&amp;":"&amp;"AF"&amp;MATCH(E800,'Class Jobs'!$A$1:$A1000,0)&amp;"")-$Z800)) * SUM(IF(MIN(ABS(INDIRECT("Class Jobs!B"&amp;MATCH(E800,'Class Jobs'!$A$1:$A1000,0)&amp;":"&amp;"AF"&amp;MATCH(E800,'Class Jobs'!$A$1:$A1000,0)&amp;"")-$Z800))=ABS(INDIRECT("Class Jobs!B"&amp;MATCH(E800,'Class Jobs'!$A$1:$A1000,0)&amp;":"&amp;"AF"&amp;MATCH(E800,'Class Jobs'!$A$1:$A1000,0)&amp;"")-$Z800),SIGN(INDIRECT("Class Jobs!B"&amp;MATCH(E800,'Class Jobs'!$A$1:A1000,0)&amp;":"&amp;"AF"&amp;MATCH(E800,'Class Jobs'!$A$1:$A1000,0)&amp;"")-$Z800),0)),0)),INDIRECT("Class Jobs!B"&amp;MATCH(E800,'Class Jobs'!$A$1:$A1000,0)&amp;":"&amp;"AF"&amp;MATCH(E800,'Class Jobs'!$A$1:$A1000,1)&amp;""),'Class Jobs'!$B$1:$AF$1)</f>
        <v>#REF!</v>
      </c>
      <c r="Z800" s="158">
        <f t="shared" si="57"/>
        <v>0.16</v>
      </c>
      <c r="AA800" s="16" t="str">
        <f t="array" ref="AA800">INDEX(NPCGender,TRUNC(1+(COUNTA(NPCGender))*(TRUNC(MOD(($B800*1103515245 +12345)/ 65536, 32768),0)/32768),0))</f>
        <v>Male</v>
      </c>
      <c r="AB800" s="16" t="str">
        <f t="array" ref="AB800">INDEX(NPCRace,TRUNC(1+(COUNTA(NPCRace))*(TRUNC(MOD(($B800*1103515245 +12345)/ 65536, 32768),0)/32768),0))</f>
        <v>Dwarf</v>
      </c>
      <c r="AC800" s="16" t="str">
        <f t="array" ref="AC800">INDEX(NPCAL,TRUNC(1+(COUNTA(NPCAL))*(TRUNC(MOD(($B800*1103515245 +12345)/ 65536, 32768),0)/32768),0))</f>
        <v>CE</v>
      </c>
      <c r="AD800" s="72" t="str">
        <f ca="1">IFERROR(__xludf.DUMMYFUNCTION("if(V800&lt;15,QUERY(NPCVar!C:D,""Select D WHERE C = '""&amp;D800&amp;""'""),if((TRUNC(1+10)*(TRUNC(MOD((ROW(H800)*1103515245 +12345)/ 65536, 32768),0)/32768)/10) &gt; 0.85,INDEX(NPCFaction,TRUNC(1+(counta(NPCFaction)-1)*(TRUNC(MOD(($B800*1103515245 +12345)/ 65536, 3276"&amp;"8),0)/32768),0)),QUERY(NPCVar!C:D,""Select D WHERE C = '""&amp;D800&amp;""'"")))"),"Royalty")</f>
        <v>Royalty</v>
      </c>
      <c r="AE800" s="108" t="e">
        <f t="shared" ca="1" si="58"/>
        <v>#NAME?</v>
      </c>
      <c r="AF800" s="159">
        <f ca="1">IFERROR(__xludf.DUMMYFUNCTION("AE800*(V800 / QUERY(NPCVar!$K$2:$N$12, ""Select N WHERE K='""&amp;AB800&amp;""'""))*TRUNC(1+10)*(TRUNC(MOD(($B800*1103515245 +12345)/ 65536, 32768),0)/32768)"),0.0517437744140624)</f>
        <v>5.1743774414062402E-2</v>
      </c>
      <c r="AG800" s="16"/>
      <c r="AH800" s="77"/>
      <c r="AI800" s="114"/>
    </row>
    <row r="801" spans="1:35" ht="16.2">
      <c r="A801" s="53">
        <v>800</v>
      </c>
      <c r="B801" s="118">
        <f t="shared" si="60"/>
        <v>1.79931</v>
      </c>
      <c r="C801" s="72" t="str">
        <f t="array" ref="C801">INDEX(NPCFName,TRUNC(1+(COUNTA(NPCFName))*(TRUNC(MOD(($B801*1103515245 +12345)/ 65536, 32768),0)/32768),0))</f>
        <v>Secor</v>
      </c>
      <c r="D801" s="16" t="str">
        <f t="array" ref="D801">INDEX(NPCLName,TRUNC(1+(COUNTA(NPCLName))*(TRUNC(MOD(($B801*1103515245 +12345)/ 65536, 32768),0)/32768),0))</f>
        <v>Stormwolf</v>
      </c>
      <c r="E801" s="16" t="str">
        <f t="array" ref="E801">INDEX(NPCClass,TRUNC(1+(COUNTA(NPCClass))*(TRUNC(MOD(($B801*1103515245 +12345)/ 65536, 32768),0)/32768),0))</f>
        <v>Wizard</v>
      </c>
      <c r="F801" s="76">
        <v>8</v>
      </c>
      <c r="G801" s="153">
        <f ca="1">VLOOKUP($AB$2,'RF Mod'!$A$2:$G$12,2,FALSE)+VLOOKUP($AD$2,'RF Mod'!$I$2:$O$11,2,FALSE)+(TRUNC(6+(24-6)*(TRUNC(MOD(($Z801*1103515245 +12345)/ 65536, 32768),0)/32768),0))</f>
        <v>12</v>
      </c>
      <c r="H801" s="16" t="e">
        <f t="shared" ca="1" si="49"/>
        <v>#NAME?</v>
      </c>
      <c r="I801" s="153">
        <f ca="1">VLOOKUP($AB$2,'RF Mod'!$A$2:$G$12,3,FALSE)+VLOOKUP($AD$2,'RF Mod'!$I$2:$O$11,3,FALSE)+(TRUNC(6+(24-6)*(TRUNC(MOD(($Z801*1103515245 +12345)/ 65536, 32768),0)/32768),0))</f>
        <v>16</v>
      </c>
      <c r="J801" s="16" t="e">
        <f t="shared" ca="1" si="50"/>
        <v>#NAME?</v>
      </c>
      <c r="K801" s="153">
        <f ca="1">VLOOKUP($AB$2,'RF Mod'!$A$2:$G$12,3,FALSE)+VLOOKUP($AD$2,'RF Mod'!$I$2:$O$11,3,FALSE)+(TRUNC(6+(24-6)*(TRUNC(MOD(($Z801*1103515245 +12345)/ 65536, 32768),0)/32768),0))</f>
        <v>16</v>
      </c>
      <c r="L801" s="16" t="e">
        <f t="shared" ca="1" si="51"/>
        <v>#NAME?</v>
      </c>
      <c r="M801" s="153">
        <f ca="1">VLOOKUP($AB$2,'RF Mod'!$A$2:$G$12,4,FALSE)+VLOOKUP($AD$2,'RF Mod'!$I$2:$O$11,4,FALSE)+(TRUNC(6+(24-6)*(TRUNC(MOD(($Z801*1103515245 +12345)/ 65536, 32768),0)/32768),0))</f>
        <v>15</v>
      </c>
      <c r="N801" s="16" t="e">
        <f t="shared" ca="1" si="52"/>
        <v>#NAME?</v>
      </c>
      <c r="O801" s="153">
        <f ca="1">VLOOKUP($AB$2,'RF Mod'!$A$2:$G$12,5,FALSE)+VLOOKUP($AD$2,'RF Mod'!$I$2:$O$11,5,FALSE)+(TRUNC(6+(24-6)*(TRUNC(MOD(($Z801*1103515245 +12345)/ 65536, 32768),0)/32768),0))</f>
        <v>18</v>
      </c>
      <c r="P801" s="16" t="e">
        <f t="shared" ca="1" si="53"/>
        <v>#NAME?</v>
      </c>
      <c r="Q801" s="153">
        <f ca="1">VLOOKUP($AB$2,'RF Mod'!$A$2:$G$12,6,FALSE)+VLOOKUP($AD$2,'RF Mod'!$I$2:$O$11,6,FALSE)+(TRUNC(6+(24-6)*(TRUNC(MOD(($Z801*1103515245 +12345)/ 65536, 32768),0)/32768),0))</f>
        <v>16</v>
      </c>
      <c r="R801" s="16" t="e">
        <f t="shared" ca="1" si="54"/>
        <v>#NAME?</v>
      </c>
      <c r="S801" s="154">
        <f t="shared" ca="1" si="59"/>
        <v>224</v>
      </c>
      <c r="T801" s="154">
        <f t="shared" ca="1" si="55"/>
        <v>258</v>
      </c>
      <c r="U801" s="16" t="str">
        <f t="shared" ca="1" si="56"/>
        <v>Dead</v>
      </c>
      <c r="V801" s="155">
        <f ca="1">IFERROR(__xludf.DUMMYFUNCTION("if(W801=""Middle Age"",QUERY(NPCVar!$K$2:$N1000, ""Select L where K = '""&amp;AB801&amp;""'""),if(W801=""Old"",QUERY(NPCVar!$K$2:$N1000, ""Select M where K = '""&amp;AB801&amp;""'""),if(W801=""Venerable"",QUERY(NPCVar!$K$2:$N1000, ""Select N where K = '""&amp;AB801&amp;""'""),fa"&amp;"lse)))*X801"),69)</f>
        <v>69</v>
      </c>
      <c r="W801" s="156" t="str">
        <f t="array" ref="W801">INDEX(NPCAgeType,TRUNC(1+(4-1)*(TRUNC(MOD((X801*1103515245 +12345)/ 65536, 32768),0)/32768),0))</f>
        <v>Middle Age</v>
      </c>
      <c r="X801" s="117">
        <f t="shared" si="61"/>
        <v>2.2999999999999998</v>
      </c>
      <c r="Y801" s="157" t="e">
        <f t="array" aca="1" ref="Y801" ca="1">LOOKUP(ABS(MAX(Z801 + MIN(ABS(INDIRECT("Class Jobs!B"&amp;MATCH(E801,'Class Jobs'!$A$1:$A1000,0)&amp;":"&amp;"AF"&amp;MATCH(E801,'Class Jobs'!$A$1:$A1000,0)&amp;"")-$Z801)) * SUM(IF(MIN(ABS(INDIRECT("Class Jobs!B"&amp;MATCH(E801,'Class Jobs'!$A$1:$A1000,0)&amp;":"&amp;"AF"&amp;MATCH(E801,'Class Jobs'!$A$1:$A1000,0)&amp;"")-$Z801))=ABS(INDIRECT("Class Jobs!B"&amp;MATCH(E801,'Class Jobs'!$A$1:$A1000,0)&amp;":"&amp;"AF"&amp;MATCH(E801,'Class Jobs'!$A$1:$A1000,0)&amp;"")-$Z801),SIGN(INDIRECT("Class Jobs!B"&amp;MATCH(E801,'Class Jobs'!$A$1:A1000,0)&amp;":"&amp;"AF"&amp;MATCH(E801,'Class Jobs'!$A$1:$A1000,0)&amp;"")-$Z801),0)),0)),INDIRECT("Class Jobs!B"&amp;MATCH(E801,'Class Jobs'!$A$1:$A1000,0)&amp;":"&amp;"AF"&amp;MATCH(E801,'Class Jobs'!$A$1:$A1000,1)&amp;""),'Class Jobs'!$B$1:$AF$1)</f>
        <v>#REF!</v>
      </c>
      <c r="Z801" s="158">
        <f t="shared" si="57"/>
        <v>0.92</v>
      </c>
      <c r="AA801" s="16" t="str">
        <f t="array" ref="AA801">INDEX(NPCGender,TRUNC(1+(COUNTA(NPCGender))*(TRUNC(MOD(($B801*1103515245 +12345)/ 65536, 32768),0)/32768),0))</f>
        <v>Neutral</v>
      </c>
      <c r="AB801" s="16" t="str">
        <f t="array" ref="AB801">INDEX(NPCRace,TRUNC(1+(COUNTA(NPCRace))*(TRUNC(MOD(($B801*1103515245 +12345)/ 65536, 32768),0)/32768),0))</f>
        <v>Goliath</v>
      </c>
      <c r="AC801" s="16" t="str">
        <f t="array" ref="AC801">INDEX(NPCAL,TRUNC(1+(COUNTA(NPCAL))*(TRUNC(MOD(($B801*1103515245 +12345)/ 65536, 32768),0)/32768),0))</f>
        <v>LE</v>
      </c>
      <c r="AD801" s="72" t="str">
        <f ca="1">IFERROR(__xludf.DUMMYFUNCTION("if(V801&lt;15,QUERY(NPCVar!C:D,""Select D WHERE C = '""&amp;D801&amp;""'""),if((TRUNC(1+10)*(TRUNC(MOD((ROW(H801)*1103515245 +12345)/ 65536, 32768),0)/32768)/10) &gt; 0.85,INDEX(NPCFaction,TRUNC(1+(counta(NPCFaction)-1)*(TRUNC(MOD(($B801*1103515245 +12345)/ 65536, 3276"&amp;"8),0)/32768),0)),QUERY(NPCVar!C:D,""Select D WHERE C = '""&amp;D801&amp;""'"")))"),"Followers of Isis")</f>
        <v>Followers of Isis</v>
      </c>
      <c r="AE801" s="108" t="e">
        <f t="shared" ca="1" si="58"/>
        <v>#NAME?</v>
      </c>
      <c r="AF801" s="159">
        <f ca="1">IFERROR(__xludf.DUMMYFUNCTION("AE801*(V801 / QUERY(NPCVar!$K$2:$N$12, ""Select N WHERE K='""&amp;AB801&amp;""'""))*TRUNC(1+10)*(TRUNC(MOD(($B801*1103515245 +12345)/ 65536, 32768),0)/32768)"),1.1696076965332)</f>
        <v>1.1696076965332001</v>
      </c>
      <c r="AG801" s="16"/>
      <c r="AH801" s="77"/>
      <c r="AI801" s="114"/>
    </row>
    <row r="802" spans="1:35" ht="16.2">
      <c r="A802" s="53">
        <v>801</v>
      </c>
      <c r="B802" s="118">
        <f t="shared" si="60"/>
        <v>0.79346000000000005</v>
      </c>
      <c r="C802" s="72" t="str">
        <f t="array" ref="C802">INDEX(NPCFName,TRUNC(1+(COUNTA(NPCFName))*(TRUNC(MOD(($B802*1103515245 +12345)/ 65536, 32768),0)/32768),0))</f>
        <v>Dinfar</v>
      </c>
      <c r="D802" s="16" t="str">
        <f t="array" ref="D802">INDEX(NPCLName,TRUNC(1+(COUNTA(NPCLName))*(TRUNC(MOD(($B802*1103515245 +12345)/ 65536, 32768),0)/32768),0))</f>
        <v>Windshade</v>
      </c>
      <c r="E802" s="16" t="str">
        <f t="array" ref="E802">INDEX(NPCClass,TRUNC(1+(COUNTA(NPCClass))*(TRUNC(MOD(($B802*1103515245 +12345)/ 65536, 32768),0)/32768),0))</f>
        <v>Paladin</v>
      </c>
      <c r="F802" s="76">
        <v>2</v>
      </c>
      <c r="G802" s="153">
        <f ca="1">VLOOKUP($AB$2,'RF Mod'!$A$2:$G$12,2,FALSE)+VLOOKUP($AD$2,'RF Mod'!$I$2:$O$11,2,FALSE)+(TRUNC(6+(24-6)*(TRUNC(MOD(($Z802*1103515245 +12345)/ 65536, 32768),0)/32768),0))</f>
        <v>7</v>
      </c>
      <c r="H802" s="16">
        <f t="shared" ca="1" si="49"/>
        <v>-2</v>
      </c>
      <c r="I802" s="153">
        <f ca="1">VLOOKUP($AB$2,'RF Mod'!$A$2:$G$12,3,FALSE)+VLOOKUP($AD$2,'RF Mod'!$I$2:$O$11,3,FALSE)+(TRUNC(6+(24-6)*(TRUNC(MOD(($Z802*1103515245 +12345)/ 65536, 32768),0)/32768),0))</f>
        <v>11</v>
      </c>
      <c r="J802" s="16" t="e">
        <f t="shared" ca="1" si="50"/>
        <v>#NAME?</v>
      </c>
      <c r="K802" s="153">
        <f ca="1">VLOOKUP($AB$2,'RF Mod'!$A$2:$G$12,3,FALSE)+VLOOKUP($AD$2,'RF Mod'!$I$2:$O$11,3,FALSE)+(TRUNC(6+(24-6)*(TRUNC(MOD(($Z802*1103515245 +12345)/ 65536, 32768),0)/32768),0))</f>
        <v>11</v>
      </c>
      <c r="L802" s="16" t="e">
        <f t="shared" ca="1" si="51"/>
        <v>#NAME?</v>
      </c>
      <c r="M802" s="153">
        <f ca="1">VLOOKUP($AB$2,'RF Mod'!$A$2:$G$12,4,FALSE)+VLOOKUP($AD$2,'RF Mod'!$I$2:$O$11,4,FALSE)+(TRUNC(6+(24-6)*(TRUNC(MOD(($Z802*1103515245 +12345)/ 65536, 32768),0)/32768),0))</f>
        <v>10</v>
      </c>
      <c r="N802" s="16" t="e">
        <f t="shared" ca="1" si="52"/>
        <v>#NAME?</v>
      </c>
      <c r="O802" s="153">
        <f ca="1">VLOOKUP($AB$2,'RF Mod'!$A$2:$G$12,5,FALSE)+VLOOKUP($AD$2,'RF Mod'!$I$2:$O$11,5,FALSE)+(TRUNC(6+(24-6)*(TRUNC(MOD(($Z802*1103515245 +12345)/ 65536, 32768),0)/32768),0))</f>
        <v>13</v>
      </c>
      <c r="P802" s="16" t="e">
        <f t="shared" ca="1" si="53"/>
        <v>#NAME?</v>
      </c>
      <c r="Q802" s="153">
        <f ca="1">VLOOKUP($AB$2,'RF Mod'!$A$2:$G$12,6,FALSE)+VLOOKUP($AD$2,'RF Mod'!$I$2:$O$11,6,FALSE)+(TRUNC(6+(24-6)*(TRUNC(MOD(($Z802*1103515245 +12345)/ 65536, 32768),0)/32768),0))</f>
        <v>11</v>
      </c>
      <c r="R802" s="16" t="e">
        <f t="shared" ca="1" si="54"/>
        <v>#NAME?</v>
      </c>
      <c r="S802" s="154">
        <f t="shared" ca="1" si="59"/>
        <v>38</v>
      </c>
      <c r="T802" s="154">
        <f t="shared" ca="1" si="55"/>
        <v>36</v>
      </c>
      <c r="U802" s="16" t="str">
        <f t="shared" ca="1" si="56"/>
        <v>Bloody</v>
      </c>
      <c r="V802" s="155">
        <f ca="1">IFERROR(__xludf.DUMMYFUNCTION("if(W802=""Middle Age"",QUERY(NPCVar!$K$2:$N1000, ""Select L where K = '""&amp;AB802&amp;""'""),if(W802=""Old"",QUERY(NPCVar!$K$2:$N1000, ""Select M where K = '""&amp;AB802&amp;""'""),if(W802=""Venerable"",QUERY(NPCVar!$K$2:$N1000, ""Select N where K = '""&amp;AB802&amp;""'""),fa"&amp;"lse)))*X802"),67.5)</f>
        <v>67.5</v>
      </c>
      <c r="W802" s="156" t="str">
        <f t="array" ref="W802">INDEX(NPCAgeType,TRUNC(1+(4-1)*(TRUNC(MOD((X802*1103515245 +12345)/ 65536, 32768),0)/32768),0))</f>
        <v>Old</v>
      </c>
      <c r="X802" s="117">
        <f t="shared" si="61"/>
        <v>1</v>
      </c>
      <c r="Y802" s="157" t="e">
        <f t="array" aca="1" ref="Y802" ca="1">LOOKUP(ABS(MAX(Z802 + MIN(ABS(INDIRECT("Class Jobs!B"&amp;MATCH(E802,'Class Jobs'!$A$1:$A1000,0)&amp;":"&amp;"AF"&amp;MATCH(E802,'Class Jobs'!$A$1:$A1000,0)&amp;"")-$Z802)) * SUM(IF(MIN(ABS(INDIRECT("Class Jobs!B"&amp;MATCH(E802,'Class Jobs'!$A$1:$A1000,0)&amp;":"&amp;"AF"&amp;MATCH(E802,'Class Jobs'!$A$1:$A1000,0)&amp;"")-$Z802))=ABS(INDIRECT("Class Jobs!B"&amp;MATCH(E802,'Class Jobs'!$A$1:$A1000,0)&amp;":"&amp;"AF"&amp;MATCH(E802,'Class Jobs'!$A$1:$A1000,0)&amp;"")-$Z802),SIGN(INDIRECT("Class Jobs!B"&amp;MATCH(E802,'Class Jobs'!$A$1:A1000,0)&amp;":"&amp;"AF"&amp;MATCH(E802,'Class Jobs'!$A$1:$A1000,0)&amp;"")-$Z802),0)),0)),INDIRECT("Class Jobs!B"&amp;MATCH(E802,'Class Jobs'!$A$1:$A1000,0)&amp;":"&amp;"AF"&amp;MATCH(E802,'Class Jobs'!$A$1:$A1000,1)&amp;""),'Class Jobs'!$B$1:$AF$1)</f>
        <v>#REF!</v>
      </c>
      <c r="Z802" s="158">
        <f t="shared" si="57"/>
        <v>0.41</v>
      </c>
      <c r="AA802" s="16" t="str">
        <f t="array" ref="AA802">INDEX(NPCGender,TRUNC(1+(COUNTA(NPCGender))*(TRUNC(MOD(($B802*1103515245 +12345)/ 65536, 32768),0)/32768),0))</f>
        <v>Female</v>
      </c>
      <c r="AB802" s="16" t="str">
        <f t="array" ref="AB802">INDEX(NPCRace,TRUNC(1+(COUNTA(NPCRace))*(TRUNC(MOD(($B802*1103515245 +12345)/ 65536, 32768),0)/32768),0))</f>
        <v>Half-Elf</v>
      </c>
      <c r="AC802" s="16" t="str">
        <f t="array" ref="AC802">INDEX(NPCAL,TRUNC(1+(COUNTA(NPCAL))*(TRUNC(MOD(($B802*1103515245 +12345)/ 65536, 32768),0)/32768),0))</f>
        <v>NG</v>
      </c>
      <c r="AD802" s="72" t="str">
        <f ca="1">IFERROR(__xludf.DUMMYFUNCTION("if(V802&lt;15,QUERY(NPCVar!C:D,""Select D WHERE C = '""&amp;D802&amp;""'""),if((TRUNC(1+10)*(TRUNC(MOD((ROW(H802)*1103515245 +12345)/ 65536, 32768),0)/32768)/10) &gt; 0.85,INDEX(NPCFaction,TRUNC(1+(counta(NPCFaction)-1)*(TRUNC(MOD(($B802*1103515245 +12345)/ 65536, 3276"&amp;"8),0)/32768),0)),QUERY(NPCVar!C:D,""Select D WHERE C = '""&amp;D802&amp;""'"")))"),"Traders Guild")</f>
        <v>Traders Guild</v>
      </c>
      <c r="AE802" s="108" t="e">
        <f t="shared" ca="1" si="58"/>
        <v>#NAME?</v>
      </c>
      <c r="AF802" s="159">
        <f ca="1">IFERROR(__xludf.DUMMYFUNCTION("AE802*(V802 / QUERY(NPCVar!$K$2:$N$12, ""Select N WHERE K='""&amp;AB802&amp;""'""))*TRUNC(1+10)*(TRUNC(MOD(($B802*1103515245 +12345)/ 65536, 32768),0)/32768)"),0.840911865234375)</f>
        <v>0.840911865234375</v>
      </c>
      <c r="AG802" s="16"/>
      <c r="AH802" s="77"/>
      <c r="AI802" s="114"/>
    </row>
    <row r="803" spans="1:35" ht="16.2">
      <c r="A803" s="53">
        <v>802</v>
      </c>
      <c r="B803" s="118">
        <f t="shared" si="60"/>
        <v>2.2875200000000002</v>
      </c>
      <c r="C803" s="72" t="str">
        <f t="array" ref="C803">INDEX(NPCFName,TRUNC(1+(COUNTA(NPCFName))*(TRUNC(MOD(($B803*1103515245 +12345)/ 65536, 32768),0)/32768),0))</f>
        <v>Letor</v>
      </c>
      <c r="D803" s="16" t="str">
        <f t="array" ref="D803">INDEX(NPCLName,TRUNC(1+(COUNTA(NPCLName))*(TRUNC(MOD(($B803*1103515245 +12345)/ 65536, 32768),0)/32768),0))</f>
        <v>Ashcloud</v>
      </c>
      <c r="E803" s="16" t="str">
        <f t="array" ref="E803">INDEX(NPCClass,TRUNC(1+(COUNTA(NPCClass))*(TRUNC(MOD(($B803*1103515245 +12345)/ 65536, 32768),0)/32768),0))</f>
        <v>Druid</v>
      </c>
      <c r="F803" s="76">
        <v>1</v>
      </c>
      <c r="G803" s="153">
        <f ca="1">VLOOKUP($AB$2,'RF Mod'!$A$2:$G$12,2,FALSE)+VLOOKUP($AD$2,'RF Mod'!$I$2:$O$11,2,FALSE)+(TRUNC(6+(24-6)*(TRUNC(MOD(($Z803*1103515245 +12345)/ 65536, 32768),0)/32768),0))</f>
        <v>5</v>
      </c>
      <c r="H803" s="16">
        <f t="shared" ca="1" si="49"/>
        <v>-3</v>
      </c>
      <c r="I803" s="153">
        <f ca="1">VLOOKUP($AB$2,'RF Mod'!$A$2:$G$12,3,FALSE)+VLOOKUP($AD$2,'RF Mod'!$I$2:$O$11,3,FALSE)+(TRUNC(6+(24-6)*(TRUNC(MOD(($Z803*1103515245 +12345)/ 65536, 32768),0)/32768),0))</f>
        <v>9</v>
      </c>
      <c r="J803" s="16">
        <f t="shared" ca="1" si="50"/>
        <v>-1</v>
      </c>
      <c r="K803" s="153">
        <f ca="1">VLOOKUP($AB$2,'RF Mod'!$A$2:$G$12,3,FALSE)+VLOOKUP($AD$2,'RF Mod'!$I$2:$O$11,3,FALSE)+(TRUNC(6+(24-6)*(TRUNC(MOD(($Z803*1103515245 +12345)/ 65536, 32768),0)/32768),0))</f>
        <v>9</v>
      </c>
      <c r="L803" s="16">
        <f t="shared" ca="1" si="51"/>
        <v>-1</v>
      </c>
      <c r="M803" s="153">
        <f ca="1">VLOOKUP($AB$2,'RF Mod'!$A$2:$G$12,4,FALSE)+VLOOKUP($AD$2,'RF Mod'!$I$2:$O$11,4,FALSE)+(TRUNC(6+(24-6)*(TRUNC(MOD(($Z803*1103515245 +12345)/ 65536, 32768),0)/32768),0))</f>
        <v>8</v>
      </c>
      <c r="N803" s="16">
        <f t="shared" ca="1" si="52"/>
        <v>-1</v>
      </c>
      <c r="O803" s="153">
        <f ca="1">VLOOKUP($AB$2,'RF Mod'!$A$2:$G$12,5,FALSE)+VLOOKUP($AD$2,'RF Mod'!$I$2:$O$11,5,FALSE)+(TRUNC(6+(24-6)*(TRUNC(MOD(($Z803*1103515245 +12345)/ 65536, 32768),0)/32768),0))</f>
        <v>11</v>
      </c>
      <c r="P803" s="16" t="e">
        <f t="shared" ca="1" si="53"/>
        <v>#NAME?</v>
      </c>
      <c r="Q803" s="153">
        <f ca="1">VLOOKUP($AB$2,'RF Mod'!$A$2:$G$12,6,FALSE)+VLOOKUP($AD$2,'RF Mod'!$I$2:$O$11,6,FALSE)+(TRUNC(6+(24-6)*(TRUNC(MOD(($Z803*1103515245 +12345)/ 65536, 32768),0)/32768),0))</f>
        <v>9</v>
      </c>
      <c r="R803" s="16">
        <f t="shared" ca="1" si="54"/>
        <v>-1</v>
      </c>
      <c r="S803" s="154">
        <f t="shared" ca="1" si="59"/>
        <v>27</v>
      </c>
      <c r="T803" s="154">
        <f t="shared" ca="1" si="55"/>
        <v>4</v>
      </c>
      <c r="U803" s="16" t="str">
        <f t="shared" ca="1" si="56"/>
        <v>Fine</v>
      </c>
      <c r="V803" s="155">
        <f ca="1">IFERROR(__xludf.DUMMYFUNCTION("if(W803=""Middle Age"",QUERY(NPCVar!$K$2:$N1000, ""Select L where K = '""&amp;AB803&amp;""'""),if(W803=""Old"",QUERY(NPCVar!$K$2:$N1000, ""Select M where K = '""&amp;AB803&amp;""'""),if(W803=""Venerable"",QUERY(NPCVar!$K$2:$N1000, ""Select N where K = '""&amp;AB803&amp;""'""),fa"&amp;"lse)))*X803"),40)</f>
        <v>40</v>
      </c>
      <c r="W803" s="156" t="str">
        <f t="array" ref="W803">INDEX(NPCAgeType,TRUNC(1+(4-1)*(TRUNC(MOD((X803*1103515245 +12345)/ 65536, 32768),0)/32768),0))</f>
        <v>Middle Age</v>
      </c>
      <c r="X803" s="117">
        <f t="shared" si="61"/>
        <v>0.5</v>
      </c>
      <c r="Y803" s="157" t="e">
        <f t="array" aca="1" ref="Y803" ca="1">LOOKUP(ABS(MAX(Z803 + MIN(ABS(INDIRECT("Class Jobs!B"&amp;MATCH(E803,'Class Jobs'!$A$1:$A1000,0)&amp;":"&amp;"AF"&amp;MATCH(E803,'Class Jobs'!$A$1:$A1000,0)&amp;"")-$Z803)) * SUM(IF(MIN(ABS(INDIRECT("Class Jobs!B"&amp;MATCH(E803,'Class Jobs'!$A$1:$A1000,0)&amp;":"&amp;"AF"&amp;MATCH(E803,'Class Jobs'!$A$1:$A1000,0)&amp;"")-$Z803))=ABS(INDIRECT("Class Jobs!B"&amp;MATCH(E803,'Class Jobs'!$A$1:$A1000,0)&amp;":"&amp;"AF"&amp;MATCH(E803,'Class Jobs'!$A$1:$A1000,0)&amp;"")-$Z803),SIGN(INDIRECT("Class Jobs!B"&amp;MATCH(E803,'Class Jobs'!$A$1:A1000,0)&amp;":"&amp;"AF"&amp;MATCH(E803,'Class Jobs'!$A$1:$A1000,0)&amp;"")-$Z803),0)),0)),INDIRECT("Class Jobs!B"&amp;MATCH(E803,'Class Jobs'!$A$1:$A1000,0)&amp;":"&amp;"AF"&amp;MATCH(E803,'Class Jobs'!$A$1:$A1000,1)&amp;""),'Class Jobs'!$B$1:$AF$1)</f>
        <v>#REF!</v>
      </c>
      <c r="Z803" s="158">
        <f t="shared" si="57"/>
        <v>0.18</v>
      </c>
      <c r="AA803" s="16" t="str">
        <f t="array" ref="AA803">INDEX(NPCGender,TRUNC(1+(COUNTA(NPCGender))*(TRUNC(MOD(($B803*1103515245 +12345)/ 65536, 32768),0)/32768),0))</f>
        <v>Male</v>
      </c>
      <c r="AB803" s="16" t="str">
        <f t="array" ref="AB803">INDEX(NPCRace,TRUNC(1+(COUNTA(NPCRace))*(TRUNC(MOD(($B803*1103515245 +12345)/ 65536, 32768),0)/32768),0))</f>
        <v>Dwarf</v>
      </c>
      <c r="AC803" s="16" t="str">
        <f t="array" ref="AC803">INDEX(NPCAL,TRUNC(1+(COUNTA(NPCAL))*(TRUNC(MOD(($B803*1103515245 +12345)/ 65536, 32768),0)/32768),0))</f>
        <v>CE</v>
      </c>
      <c r="AD803" s="72" t="str">
        <f ca="1">IFERROR(__xludf.DUMMYFUNCTION("if(V803&lt;15,QUERY(NPCVar!C:D,""Select D WHERE C = '""&amp;D803&amp;""'""),if((TRUNC(1+10)*(TRUNC(MOD((ROW(H803)*1103515245 +12345)/ 65536, 32768),0)/32768)/10) &gt; 0.85,INDEX(NPCFaction,TRUNC(1+(counta(NPCFaction)-1)*(TRUNC(MOD(($B803*1103515245 +12345)/ 65536, 3276"&amp;"8),0)/32768),0)),QUERY(NPCVar!C:D,""Select D WHERE C = '""&amp;D803&amp;""'"")))"),"Magic Guild")</f>
        <v>Magic Guild</v>
      </c>
      <c r="AE803" s="108" t="e">
        <f t="shared" ca="1" si="58"/>
        <v>#NAME?</v>
      </c>
      <c r="AF803" s="159">
        <f ca="1">IFERROR(__xludf.DUMMYFUNCTION("AE803*(V803 / QUERY(NPCVar!$K$2:$N$12, ""Select N WHERE K='""&amp;AB803&amp;""'""))*TRUNC(1+10)*(TRUNC(MOD(($B803*1103515245 +12345)/ 65536, 32768),0)/32768)"),-0.0241279602050781)</f>
        <v>-2.4127960205078101E-2</v>
      </c>
      <c r="AG803" s="16"/>
      <c r="AH803" s="77"/>
      <c r="AI803" s="114"/>
    </row>
    <row r="804" spans="1:35" ht="16.2">
      <c r="A804" s="53">
        <v>803</v>
      </c>
      <c r="B804" s="118">
        <f t="shared" si="60"/>
        <v>1.28166</v>
      </c>
      <c r="C804" s="72" t="str">
        <f t="array" ref="C804">INDEX(NPCFName,TRUNC(1+(COUNTA(NPCFName))*(TRUNC(MOD(($B804*1103515245 +12345)/ 65536, 32768),0)/32768),0))</f>
        <v>Zakarn</v>
      </c>
      <c r="D804" s="16" t="str">
        <f t="array" ref="D804">INDEX(NPCLName,TRUNC(1+(COUNTA(NPCLName))*(TRUNC(MOD(($B804*1103515245 +12345)/ 65536, 32768),0)/32768),0))</f>
        <v>Mourninglash</v>
      </c>
      <c r="E804" s="16" t="str">
        <f t="array" ref="E804">INDEX(NPCClass,TRUNC(1+(COUNTA(NPCClass))*(TRUNC(MOD(($B804*1103515245 +12345)/ 65536, 32768),0)/32768),0))</f>
        <v>Warlock</v>
      </c>
      <c r="F804" s="76">
        <v>8</v>
      </c>
      <c r="G804" s="153">
        <f ca="1">VLOOKUP($AB$2,'RF Mod'!$A$2:$G$12,2,FALSE)+VLOOKUP($AD$2,'RF Mod'!$I$2:$O$11,2,FALSE)+(TRUNC(6+(24-6)*(TRUNC(MOD(($Z804*1103515245 +12345)/ 65536, 32768),0)/32768),0))</f>
        <v>10</v>
      </c>
      <c r="H804" s="16" t="e">
        <f t="shared" ca="1" si="49"/>
        <v>#NAME?</v>
      </c>
      <c r="I804" s="153">
        <f ca="1">VLOOKUP($AB$2,'RF Mod'!$A$2:$G$12,3,FALSE)+VLOOKUP($AD$2,'RF Mod'!$I$2:$O$11,3,FALSE)+(TRUNC(6+(24-6)*(TRUNC(MOD(($Z804*1103515245 +12345)/ 65536, 32768),0)/32768),0))</f>
        <v>14</v>
      </c>
      <c r="J804" s="16" t="e">
        <f t="shared" ca="1" si="50"/>
        <v>#NAME?</v>
      </c>
      <c r="K804" s="153">
        <f ca="1">VLOOKUP($AB$2,'RF Mod'!$A$2:$G$12,3,FALSE)+VLOOKUP($AD$2,'RF Mod'!$I$2:$O$11,3,FALSE)+(TRUNC(6+(24-6)*(TRUNC(MOD(($Z804*1103515245 +12345)/ 65536, 32768),0)/32768),0))</f>
        <v>14</v>
      </c>
      <c r="L804" s="16" t="e">
        <f t="shared" ca="1" si="51"/>
        <v>#NAME?</v>
      </c>
      <c r="M804" s="153">
        <f ca="1">VLOOKUP($AB$2,'RF Mod'!$A$2:$G$12,4,FALSE)+VLOOKUP($AD$2,'RF Mod'!$I$2:$O$11,4,FALSE)+(TRUNC(6+(24-6)*(TRUNC(MOD(($Z804*1103515245 +12345)/ 65536, 32768),0)/32768),0))</f>
        <v>13</v>
      </c>
      <c r="N804" s="16" t="e">
        <f t="shared" ca="1" si="52"/>
        <v>#NAME?</v>
      </c>
      <c r="O804" s="153">
        <f ca="1">VLOOKUP($AB$2,'RF Mod'!$A$2:$G$12,5,FALSE)+VLOOKUP($AD$2,'RF Mod'!$I$2:$O$11,5,FALSE)+(TRUNC(6+(24-6)*(TRUNC(MOD(($Z804*1103515245 +12345)/ 65536, 32768),0)/32768),0))</f>
        <v>16</v>
      </c>
      <c r="P804" s="16" t="e">
        <f t="shared" ca="1" si="53"/>
        <v>#NAME?</v>
      </c>
      <c r="Q804" s="153">
        <f ca="1">VLOOKUP($AB$2,'RF Mod'!$A$2:$G$12,6,FALSE)+VLOOKUP($AD$2,'RF Mod'!$I$2:$O$11,6,FALSE)+(TRUNC(6+(24-6)*(TRUNC(MOD(($Z804*1103515245 +12345)/ 65536, 32768),0)/32768),0))</f>
        <v>14</v>
      </c>
      <c r="R804" s="16" t="e">
        <f t="shared" ca="1" si="54"/>
        <v>#NAME?</v>
      </c>
      <c r="S804" s="154">
        <f t="shared" ca="1" si="59"/>
        <v>144</v>
      </c>
      <c r="T804" s="154">
        <f t="shared" ca="1" si="55"/>
        <v>116</v>
      </c>
      <c r="U804" s="16" t="str">
        <f t="shared" ca="1" si="56"/>
        <v>Bloody</v>
      </c>
      <c r="V804" s="155">
        <f ca="1">IFERROR(__xludf.DUMMYFUNCTION("if(W804=""Middle Age"",QUERY(NPCVar!$K$2:$N1000, ""Select L where K = '""&amp;AB804&amp;""'""),if(W804=""Old"",QUERY(NPCVar!$K$2:$N1000, ""Select M where K = '""&amp;AB804&amp;""'""),if(W804=""Venerable"",QUERY(NPCVar!$K$2:$N1000, ""Select N where K = '""&amp;AB804&amp;""'""),fa"&amp;"lse)))*X804"),144)</f>
        <v>144</v>
      </c>
      <c r="W804" s="156" t="str">
        <f t="array" ref="W804">INDEX(NPCAgeType,TRUNC(1+(4-1)*(TRUNC(MOD((X804*1103515245 +12345)/ 65536, 32768),0)/32768),0))</f>
        <v>Venerable</v>
      </c>
      <c r="X804" s="117">
        <f t="shared" si="61"/>
        <v>1.6</v>
      </c>
      <c r="Y804" s="157" t="e">
        <f t="array" aca="1" ref="Y804" ca="1">LOOKUP(ABS(MAX(Z804 + MIN(ABS(INDIRECT("Class Jobs!B"&amp;MATCH(E804,'Class Jobs'!$A$1:$A1000,0)&amp;":"&amp;"AF"&amp;MATCH(E804,'Class Jobs'!$A$1:$A1000,0)&amp;"")-$Z804)) * SUM(IF(MIN(ABS(INDIRECT("Class Jobs!B"&amp;MATCH(E804,'Class Jobs'!$A$1:$A1000,0)&amp;":"&amp;"AF"&amp;MATCH(E804,'Class Jobs'!$A$1:$A1000,0)&amp;"")-$Z804))=ABS(INDIRECT("Class Jobs!B"&amp;MATCH(E804,'Class Jobs'!$A$1:$A1000,0)&amp;":"&amp;"AF"&amp;MATCH(E804,'Class Jobs'!$A$1:$A1000,0)&amp;"")-$Z804),SIGN(INDIRECT("Class Jobs!B"&amp;MATCH(E804,'Class Jobs'!$A$1:A1000,0)&amp;":"&amp;"AF"&amp;MATCH(E804,'Class Jobs'!$A$1:$A1000,0)&amp;"")-$Z804),0)),0)),INDIRECT("Class Jobs!B"&amp;MATCH(E804,'Class Jobs'!$A$1:$A1000,0)&amp;":"&amp;"AF"&amp;MATCH(E804,'Class Jobs'!$A$1:$A1000,1)&amp;""),'Class Jobs'!$B$1:$AF$1)</f>
        <v>#REF!</v>
      </c>
      <c r="Z804" s="158">
        <f t="shared" si="57"/>
        <v>0.66</v>
      </c>
      <c r="AA804" s="16" t="str">
        <f t="array" ref="AA804">INDEX(NPCGender,TRUNC(1+(COUNTA(NPCGender))*(TRUNC(MOD(($B804*1103515245 +12345)/ 65536, 32768),0)/32768),0))</f>
        <v>Female</v>
      </c>
      <c r="AB804" s="16" t="str">
        <f t="array" ref="AB804">INDEX(NPCRace,TRUNC(1+(COUNTA(NPCRace))*(TRUNC(MOD(($B804*1103515245 +12345)/ 65536, 32768),0)/32768),0))</f>
        <v>Human</v>
      </c>
      <c r="AC804" s="16" t="str">
        <f t="array" ref="AC804">INDEX(NPCAL,TRUNC(1+(COUNTA(NPCAL))*(TRUNC(MOD(($B804*1103515245 +12345)/ 65536, 32768),0)/32768),0))</f>
        <v>NE</v>
      </c>
      <c r="AD804" s="72" t="str">
        <f ca="1">IFERROR(__xludf.DUMMYFUNCTION("if(V804&lt;15,QUERY(NPCVar!C:D,""Select D WHERE C = '""&amp;D804&amp;""'""),if((TRUNC(1+10)*(TRUNC(MOD((ROW(H804)*1103515245 +12345)/ 65536, 32768),0)/32768)/10) &gt; 0.85,INDEX(NPCFaction,TRUNC(1+(counta(NPCFaction)-1)*(TRUNC(MOD(($B804*1103515245 +12345)/ 65536, 3276"&amp;"8),0)/32768),0)),QUERY(NPCVar!C:D,""Select D WHERE C = '""&amp;D804&amp;""'"")))"),"Traverlers Guild")</f>
        <v>Traverlers Guild</v>
      </c>
      <c r="AE804" s="108" t="e">
        <f t="shared" ca="1" si="58"/>
        <v>#NAME?</v>
      </c>
      <c r="AF804" s="159">
        <f ca="1">IFERROR(__xludf.DUMMYFUNCTION("AE804*(V804 / QUERY(NPCVar!$K$2:$N$12, ""Select N WHERE K='""&amp;AB804&amp;""'""))*TRUNC(1+10)*(TRUNC(MOD(($B804*1103515245 +12345)/ 65536, 32768),0)/32768)"),8.1139501953125)</f>
        <v>8.1139501953124995</v>
      </c>
      <c r="AG804" s="16"/>
      <c r="AH804" s="77"/>
      <c r="AI804" s="114"/>
    </row>
    <row r="805" spans="1:35" ht="16.2">
      <c r="A805" s="53">
        <v>804</v>
      </c>
      <c r="B805" s="118">
        <f t="shared" si="60"/>
        <v>0.27581</v>
      </c>
      <c r="C805" s="72" t="str">
        <f t="array" ref="C805">INDEX(NPCFName,TRUNC(1+(COUNTA(NPCFName))*(TRUNC(MOD(($B805*1103515245 +12345)/ 65536, 32768),0)/32768),0))</f>
        <v>Illilorn</v>
      </c>
      <c r="D805" s="16" t="str">
        <f t="array" ref="D805">INDEX(NPCLName,TRUNC(1+(COUNTA(NPCLName))*(TRUNC(MOD(($B805*1103515245 +12345)/ 65536, 32768),0)/32768),0))</f>
        <v>Fistwing</v>
      </c>
      <c r="E805" s="16" t="str">
        <f t="array" ref="E805">INDEX(NPCClass,TRUNC(1+(COUNTA(NPCClass))*(TRUNC(MOD(($B805*1103515245 +12345)/ 65536, 32768),0)/32768),0))</f>
        <v>Bard</v>
      </c>
      <c r="F805" s="76">
        <v>1</v>
      </c>
      <c r="G805" s="153">
        <f ca="1">VLOOKUP($AB$2,'RF Mod'!$A$2:$G$12,2,FALSE)+VLOOKUP($AD$2,'RF Mod'!$I$2:$O$11,2,FALSE)+(TRUNC(6+(24-6)*(TRUNC(MOD(($Z805*1103515245 +12345)/ 65536, 32768),0)/32768),0))</f>
        <v>5</v>
      </c>
      <c r="H805" s="16">
        <f t="shared" ca="1" si="49"/>
        <v>-3</v>
      </c>
      <c r="I805" s="153">
        <f ca="1">VLOOKUP($AB$2,'RF Mod'!$A$2:$G$12,3,FALSE)+VLOOKUP($AD$2,'RF Mod'!$I$2:$O$11,3,FALSE)+(TRUNC(6+(24-6)*(TRUNC(MOD(($Z805*1103515245 +12345)/ 65536, 32768),0)/32768),0))</f>
        <v>9</v>
      </c>
      <c r="J805" s="16">
        <f t="shared" ca="1" si="50"/>
        <v>-1</v>
      </c>
      <c r="K805" s="153">
        <f ca="1">VLOOKUP($AB$2,'RF Mod'!$A$2:$G$12,3,FALSE)+VLOOKUP($AD$2,'RF Mod'!$I$2:$O$11,3,FALSE)+(TRUNC(6+(24-6)*(TRUNC(MOD(($Z805*1103515245 +12345)/ 65536, 32768),0)/32768),0))</f>
        <v>9</v>
      </c>
      <c r="L805" s="16">
        <f t="shared" ca="1" si="51"/>
        <v>-1</v>
      </c>
      <c r="M805" s="153">
        <f ca="1">VLOOKUP($AB$2,'RF Mod'!$A$2:$G$12,4,FALSE)+VLOOKUP($AD$2,'RF Mod'!$I$2:$O$11,4,FALSE)+(TRUNC(6+(24-6)*(TRUNC(MOD(($Z805*1103515245 +12345)/ 65536, 32768),0)/32768),0))</f>
        <v>8</v>
      </c>
      <c r="N805" s="16">
        <f t="shared" ca="1" si="52"/>
        <v>-1</v>
      </c>
      <c r="O805" s="153">
        <f ca="1">VLOOKUP($AB$2,'RF Mod'!$A$2:$G$12,5,FALSE)+VLOOKUP($AD$2,'RF Mod'!$I$2:$O$11,5,FALSE)+(TRUNC(6+(24-6)*(TRUNC(MOD(($Z805*1103515245 +12345)/ 65536, 32768),0)/32768),0))</f>
        <v>11</v>
      </c>
      <c r="P805" s="16" t="e">
        <f t="shared" ca="1" si="53"/>
        <v>#NAME?</v>
      </c>
      <c r="Q805" s="153">
        <f ca="1">VLOOKUP($AB$2,'RF Mod'!$A$2:$G$12,6,FALSE)+VLOOKUP($AD$2,'RF Mod'!$I$2:$O$11,6,FALSE)+(TRUNC(6+(24-6)*(TRUNC(MOD(($Z805*1103515245 +12345)/ 65536, 32768),0)/32768),0))</f>
        <v>9</v>
      </c>
      <c r="R805" s="16">
        <f t="shared" ca="1" si="54"/>
        <v>-1</v>
      </c>
      <c r="S805" s="154">
        <f t="shared" ca="1" si="59"/>
        <v>27</v>
      </c>
      <c r="T805" s="154">
        <f t="shared" ca="1" si="55"/>
        <v>1</v>
      </c>
      <c r="U805" s="16" t="str">
        <f t="shared" ca="1" si="56"/>
        <v>Fine</v>
      </c>
      <c r="V805" s="155">
        <f ca="1">IFERROR(__xludf.DUMMYFUNCTION("if(W805=""Middle Age"",QUERY(NPCVar!$K$2:$N1000, ""Select L where K = '""&amp;AB805&amp;""'""),if(W805=""Old"",QUERY(NPCVar!$K$2:$N1000, ""Select M where K = '""&amp;AB805&amp;""'""),if(W805=""Venerable"",QUERY(NPCVar!$K$2:$N1000, ""Select N where K = '""&amp;AB805&amp;""'""),fa"&amp;"lse)))*X805"),32)</f>
        <v>32</v>
      </c>
      <c r="W805" s="156" t="str">
        <f t="array" ref="W805">INDEX(NPCAgeType,TRUNC(1+(4-1)*(TRUNC(MOD((X805*1103515245 +12345)/ 65536, 32768),0)/32768),0))</f>
        <v>Middle Age</v>
      </c>
      <c r="X805" s="117">
        <f t="shared" si="61"/>
        <v>0.4</v>
      </c>
      <c r="Y805" s="157" t="e">
        <f t="array" aca="1" ref="Y805" ca="1">LOOKUP(ABS(MAX(Z805 + MIN(ABS(INDIRECT("Class Jobs!B"&amp;MATCH(E805,'Class Jobs'!$A$1:$A1000,0)&amp;":"&amp;"AF"&amp;MATCH(E805,'Class Jobs'!$A$1:$A1000,0)&amp;"")-$Z805)) * SUM(IF(MIN(ABS(INDIRECT("Class Jobs!B"&amp;MATCH(E805,'Class Jobs'!$A$1:$A1000,0)&amp;":"&amp;"AF"&amp;MATCH(E805,'Class Jobs'!$A$1:$A1000,0)&amp;"")-$Z805))=ABS(INDIRECT("Class Jobs!B"&amp;MATCH(E805,'Class Jobs'!$A$1:$A1000,0)&amp;":"&amp;"AF"&amp;MATCH(E805,'Class Jobs'!$A$1:$A1000,0)&amp;"")-$Z805),SIGN(INDIRECT("Class Jobs!B"&amp;MATCH(E805,'Class Jobs'!$A$1:A1000,0)&amp;":"&amp;"AF"&amp;MATCH(E805,'Class Jobs'!$A$1:$A1000,0)&amp;"")-$Z805),0)),0)),INDIRECT("Class Jobs!B"&amp;MATCH(E805,'Class Jobs'!$A$1:$A1000,0)&amp;":"&amp;"AF"&amp;MATCH(E805,'Class Jobs'!$A$1:$A1000,1)&amp;""),'Class Jobs'!$B$1:$AF$1)</f>
        <v>#REF!</v>
      </c>
      <c r="Z805" s="158">
        <f t="shared" si="57"/>
        <v>0.15</v>
      </c>
      <c r="AA805" s="16" t="str">
        <f t="array" ref="AA805">INDEX(NPCGender,TRUNC(1+(COUNTA(NPCGender))*(TRUNC(MOD(($B805*1103515245 +12345)/ 65536, 32768),0)/32768),0))</f>
        <v>Male</v>
      </c>
      <c r="AB805" s="16" t="str">
        <f t="array" ref="AB805">INDEX(NPCRace,TRUNC(1+(COUNTA(NPCRace))*(TRUNC(MOD(($B805*1103515245 +12345)/ 65536, 32768),0)/32768),0))</f>
        <v>Dwarf</v>
      </c>
      <c r="AC805" s="16" t="str">
        <f t="array" ref="AC805">INDEX(NPCAL,TRUNC(1+(COUNTA(NPCAL))*(TRUNC(MOD(($B805*1103515245 +12345)/ 65536, 32768),0)/32768),0))</f>
        <v>CE</v>
      </c>
      <c r="AD805" s="72" t="str">
        <f ca="1">IFERROR(__xludf.DUMMYFUNCTION("if(V805&lt;15,QUERY(NPCVar!C:D,""Select D WHERE C = '""&amp;D805&amp;""'""),if((TRUNC(1+10)*(TRUNC(MOD((ROW(H805)*1103515245 +12345)/ 65536, 32768),0)/32768)/10) &gt; 0.85,INDEX(NPCFaction,TRUNC(1+(counta(NPCFaction)-1)*(TRUNC(MOD(($B805*1103515245 +12345)/ 65536, 3276"&amp;"8),0)/32768),0)),QUERY(NPCVar!C:D,""Select D WHERE C = '""&amp;D805&amp;""'"")))"),"Royalty")</f>
        <v>Royalty</v>
      </c>
      <c r="AE805" s="108" t="e">
        <f t="shared" ca="1" si="58"/>
        <v>#NAME?</v>
      </c>
      <c r="AF805" s="159">
        <f ca="1">IFERROR(__xludf.DUMMYFUNCTION("AE805*(V805 / QUERY(NPCVar!$K$2:$N$12, ""Select N WHERE K='""&amp;AB805&amp;""'""))*TRUNC(1+10)*(TRUNC(MOD(($B805*1103515245 +12345)/ 65536, 32768),0)/32768)"),-0.0155895996093749)</f>
        <v>-1.55895996093749E-2</v>
      </c>
      <c r="AG805" s="16"/>
      <c r="AH805" s="77"/>
      <c r="AI805" s="114"/>
    </row>
    <row r="806" spans="1:35" ht="16.2">
      <c r="A806" s="53">
        <v>805</v>
      </c>
      <c r="B806" s="118">
        <f t="shared" si="60"/>
        <v>1.7699400000000001</v>
      </c>
      <c r="C806" s="72" t="str">
        <f t="array" ref="C806">INDEX(NPCFName,TRUNC(1+(COUNTA(NPCFName))*(TRUNC(MOD(($B806*1103515245 +12345)/ 65536, 32768),0)/32768),0))</f>
        <v>Rhithik</v>
      </c>
      <c r="D806" s="16" t="str">
        <f t="array" ref="D806">INDEX(NPCLName,TRUNC(1+(COUNTA(NPCLName))*(TRUNC(MOD(($B806*1103515245 +12345)/ 65536, 32768),0)/32768),0))</f>
        <v>Stormwolf</v>
      </c>
      <c r="E806" s="16" t="str">
        <f t="array" ref="E806">INDEX(NPCClass,TRUNC(1+(COUNTA(NPCClass))*(TRUNC(MOD(($B806*1103515245 +12345)/ 65536, 32768),0)/32768),0))</f>
        <v>Fighter</v>
      </c>
      <c r="F806" s="76">
        <v>8</v>
      </c>
      <c r="G806" s="153">
        <f ca="1">VLOOKUP($AB$2,'RF Mod'!$A$2:$G$12,2,FALSE)+VLOOKUP($AD$2,'RF Mod'!$I$2:$O$11,2,FALSE)+(TRUNC(6+(24-6)*(TRUNC(MOD(($Z806*1103515245 +12345)/ 65536, 32768),0)/32768),0))</f>
        <v>12</v>
      </c>
      <c r="H806" s="16" t="e">
        <f t="shared" ca="1" si="49"/>
        <v>#NAME?</v>
      </c>
      <c r="I806" s="153">
        <f ca="1">VLOOKUP($AB$2,'RF Mod'!$A$2:$G$12,3,FALSE)+VLOOKUP($AD$2,'RF Mod'!$I$2:$O$11,3,FALSE)+(TRUNC(6+(24-6)*(TRUNC(MOD(($Z806*1103515245 +12345)/ 65536, 32768),0)/32768),0))</f>
        <v>16</v>
      </c>
      <c r="J806" s="16" t="e">
        <f t="shared" ca="1" si="50"/>
        <v>#NAME?</v>
      </c>
      <c r="K806" s="153">
        <f ca="1">VLOOKUP($AB$2,'RF Mod'!$A$2:$G$12,3,FALSE)+VLOOKUP($AD$2,'RF Mod'!$I$2:$O$11,3,FALSE)+(TRUNC(6+(24-6)*(TRUNC(MOD(($Z806*1103515245 +12345)/ 65536, 32768),0)/32768),0))</f>
        <v>16</v>
      </c>
      <c r="L806" s="16" t="e">
        <f t="shared" ca="1" si="51"/>
        <v>#NAME?</v>
      </c>
      <c r="M806" s="153">
        <f ca="1">VLOOKUP($AB$2,'RF Mod'!$A$2:$G$12,4,FALSE)+VLOOKUP($AD$2,'RF Mod'!$I$2:$O$11,4,FALSE)+(TRUNC(6+(24-6)*(TRUNC(MOD(($Z806*1103515245 +12345)/ 65536, 32768),0)/32768),0))</f>
        <v>15</v>
      </c>
      <c r="N806" s="16" t="e">
        <f t="shared" ca="1" si="52"/>
        <v>#NAME?</v>
      </c>
      <c r="O806" s="153">
        <f ca="1">VLOOKUP($AB$2,'RF Mod'!$A$2:$G$12,5,FALSE)+VLOOKUP($AD$2,'RF Mod'!$I$2:$O$11,5,FALSE)+(TRUNC(6+(24-6)*(TRUNC(MOD(($Z806*1103515245 +12345)/ 65536, 32768),0)/32768),0))</f>
        <v>18</v>
      </c>
      <c r="P806" s="16" t="e">
        <f t="shared" ca="1" si="53"/>
        <v>#NAME?</v>
      </c>
      <c r="Q806" s="153">
        <f ca="1">VLOOKUP($AB$2,'RF Mod'!$A$2:$G$12,6,FALSE)+VLOOKUP($AD$2,'RF Mod'!$I$2:$O$11,6,FALSE)+(TRUNC(6+(24-6)*(TRUNC(MOD(($Z806*1103515245 +12345)/ 65536, 32768),0)/32768),0))</f>
        <v>16</v>
      </c>
      <c r="R806" s="16" t="e">
        <f t="shared" ca="1" si="54"/>
        <v>#NAME?</v>
      </c>
      <c r="S806" s="154">
        <f t="shared" ca="1" si="59"/>
        <v>272</v>
      </c>
      <c r="T806" s="154">
        <f t="shared" ca="1" si="55"/>
        <v>147</v>
      </c>
      <c r="U806" s="16" t="str">
        <f t="shared" ca="1" si="56"/>
        <v>Bloody</v>
      </c>
      <c r="V806" s="155">
        <f ca="1">IFERROR(__xludf.DUMMYFUNCTION("if(W806=""Middle Age"",QUERY(NPCVar!$K$2:$N1000, ""Select L where K = '""&amp;AB806&amp;""'""),if(W806=""Old"",QUERY(NPCVar!$K$2:$N1000, ""Select M where K = '""&amp;AB806&amp;""'""),if(W806=""Venerable"",QUERY(NPCVar!$K$2:$N1000, ""Select N where K = '""&amp;AB806&amp;""'""),fa"&amp;"lse)))*X806"),66)</f>
        <v>66</v>
      </c>
      <c r="W806" s="156" t="str">
        <f t="array" ref="W806">INDEX(NPCAgeType,TRUNC(1+(4-1)*(TRUNC(MOD((X806*1103515245 +12345)/ 65536, 32768),0)/32768),0))</f>
        <v>Middle Age</v>
      </c>
      <c r="X806" s="117">
        <f t="shared" si="61"/>
        <v>2.2000000000000002</v>
      </c>
      <c r="Y806" s="157" t="e">
        <f t="array" aca="1" ref="Y806" ca="1">LOOKUP(ABS(MAX(Z806 + MIN(ABS(INDIRECT("Class Jobs!B"&amp;MATCH(E806,'Class Jobs'!$A$1:$A1000,0)&amp;":"&amp;"AF"&amp;MATCH(E806,'Class Jobs'!$A$1:$A1000,0)&amp;"")-$Z806)) * SUM(IF(MIN(ABS(INDIRECT("Class Jobs!B"&amp;MATCH(E806,'Class Jobs'!$A$1:$A1000,0)&amp;":"&amp;"AF"&amp;MATCH(E806,'Class Jobs'!$A$1:$A1000,0)&amp;"")-$Z806))=ABS(INDIRECT("Class Jobs!B"&amp;MATCH(E806,'Class Jobs'!$A$1:$A1000,0)&amp;":"&amp;"AF"&amp;MATCH(E806,'Class Jobs'!$A$1:$A1000,0)&amp;"")-$Z806),SIGN(INDIRECT("Class Jobs!B"&amp;MATCH(E806,'Class Jobs'!$A$1:A1000,0)&amp;":"&amp;"AF"&amp;MATCH(E806,'Class Jobs'!$A$1:$A1000,0)&amp;"")-$Z806),0)),0)),INDIRECT("Class Jobs!B"&amp;MATCH(E806,'Class Jobs'!$A$1:$A1000,0)&amp;":"&amp;"AF"&amp;MATCH(E806,'Class Jobs'!$A$1:$A1000,1)&amp;""),'Class Jobs'!$B$1:$AF$1)</f>
        <v>#REF!</v>
      </c>
      <c r="Z806" s="158">
        <f t="shared" si="57"/>
        <v>0.91</v>
      </c>
      <c r="AA806" s="16" t="str">
        <f t="array" ref="AA806">INDEX(NPCGender,TRUNC(1+(COUNTA(NPCGender))*(TRUNC(MOD(($B806*1103515245 +12345)/ 65536, 32768),0)/32768),0))</f>
        <v>Neutral</v>
      </c>
      <c r="AB806" s="16" t="str">
        <f t="array" ref="AB806">INDEX(NPCRace,TRUNC(1+(COUNTA(NPCRace))*(TRUNC(MOD(($B806*1103515245 +12345)/ 65536, 32768),0)/32768),0))</f>
        <v>Goliath</v>
      </c>
      <c r="AC806" s="16" t="str">
        <f t="array" ref="AC806">INDEX(NPCAL,TRUNC(1+(COUNTA(NPCAL))*(TRUNC(MOD(($B806*1103515245 +12345)/ 65536, 32768),0)/32768),0))</f>
        <v>LE</v>
      </c>
      <c r="AD806" s="72" t="str">
        <f ca="1">IFERROR(__xludf.DUMMYFUNCTION("if(V806&lt;15,QUERY(NPCVar!C:D,""Select D WHERE C = '""&amp;D806&amp;""'""),if((TRUNC(1+10)*(TRUNC(MOD((ROW(H806)*1103515245 +12345)/ 65536, 32768),0)/32768)/10) &gt; 0.85,INDEX(NPCFaction,TRUNC(1+(counta(NPCFaction)-1)*(TRUNC(MOD(($B806*1103515245 +12345)/ 65536, 3276"&amp;"8),0)/32768),0)),QUERY(NPCVar!C:D,""Select D WHERE C = '""&amp;D806&amp;""'"")))"),"Followers of Isis")</f>
        <v>Followers of Isis</v>
      </c>
      <c r="AE806" s="108" t="e">
        <f t="shared" ca="1" si="58"/>
        <v>#NAME?</v>
      </c>
      <c r="AF806" s="159">
        <f ca="1">IFERROR(__xludf.DUMMYFUNCTION("AE806*(V806 / QUERY(NPCVar!$K$2:$N$12, ""Select N WHERE K='""&amp;AB806&amp;""'""))*TRUNC(1+10)*(TRUNC(MOD(($B806*1103515245 +12345)/ 65536, 32768),0)/32768)"),3.85166839599609)</f>
        <v>3.8516683959960898</v>
      </c>
      <c r="AG806" s="16"/>
      <c r="AH806" s="77"/>
      <c r="AI806" s="114"/>
    </row>
    <row r="807" spans="1:35" ht="16.2">
      <c r="A807" s="53">
        <v>806</v>
      </c>
      <c r="B807" s="118">
        <f t="shared" si="60"/>
        <v>0.76409000000000005</v>
      </c>
      <c r="C807" s="72" t="str">
        <f t="array" ref="C807">INDEX(NPCFName,TRUNC(1+(COUNTA(NPCFName))*(TRUNC(MOD(($B807*1103515245 +12345)/ 65536, 32768),0)/32768),0))</f>
        <v>Cylmar</v>
      </c>
      <c r="D807" s="16" t="str">
        <f t="array" ref="D807">INDEX(NPCLName,TRUNC(1+(COUNTA(NPCLName))*(TRUNC(MOD(($B807*1103515245 +12345)/ 65536, 32768),0)/32768),0))</f>
        <v>Fistroot</v>
      </c>
      <c r="E807" s="16" t="str">
        <f t="array" ref="E807">INDEX(NPCClass,TRUNC(1+(COUNTA(NPCClass))*(TRUNC(MOD(($B807*1103515245 +12345)/ 65536, 32768),0)/32768),0))</f>
        <v>Paladin</v>
      </c>
      <c r="F807" s="76">
        <v>6</v>
      </c>
      <c r="G807" s="153">
        <f ca="1">VLOOKUP($AB$2,'RF Mod'!$A$2:$G$12,2,FALSE)+VLOOKUP($AD$2,'RF Mod'!$I$2:$O$11,2,FALSE)+(TRUNC(6+(24-6)*(TRUNC(MOD(($Z807*1103515245 +12345)/ 65536, 32768),0)/32768),0))</f>
        <v>7</v>
      </c>
      <c r="H807" s="16">
        <f t="shared" ca="1" si="49"/>
        <v>-2</v>
      </c>
      <c r="I807" s="153">
        <f ca="1">VLOOKUP($AB$2,'RF Mod'!$A$2:$G$12,3,FALSE)+VLOOKUP($AD$2,'RF Mod'!$I$2:$O$11,3,FALSE)+(TRUNC(6+(24-6)*(TRUNC(MOD(($Z807*1103515245 +12345)/ 65536, 32768),0)/32768),0))</f>
        <v>11</v>
      </c>
      <c r="J807" s="16" t="e">
        <f t="shared" ca="1" si="50"/>
        <v>#NAME?</v>
      </c>
      <c r="K807" s="153">
        <f ca="1">VLOOKUP($AB$2,'RF Mod'!$A$2:$G$12,3,FALSE)+VLOOKUP($AD$2,'RF Mod'!$I$2:$O$11,3,FALSE)+(TRUNC(6+(24-6)*(TRUNC(MOD(($Z807*1103515245 +12345)/ 65536, 32768),0)/32768),0))</f>
        <v>11</v>
      </c>
      <c r="L807" s="16" t="e">
        <f t="shared" ca="1" si="51"/>
        <v>#NAME?</v>
      </c>
      <c r="M807" s="153">
        <f ca="1">VLOOKUP($AB$2,'RF Mod'!$A$2:$G$12,4,FALSE)+VLOOKUP($AD$2,'RF Mod'!$I$2:$O$11,4,FALSE)+(TRUNC(6+(24-6)*(TRUNC(MOD(($Z807*1103515245 +12345)/ 65536, 32768),0)/32768),0))</f>
        <v>10</v>
      </c>
      <c r="N807" s="16" t="e">
        <f t="shared" ca="1" si="52"/>
        <v>#NAME?</v>
      </c>
      <c r="O807" s="153">
        <f ca="1">VLOOKUP($AB$2,'RF Mod'!$A$2:$G$12,5,FALSE)+VLOOKUP($AD$2,'RF Mod'!$I$2:$O$11,5,FALSE)+(TRUNC(6+(24-6)*(TRUNC(MOD(($Z807*1103515245 +12345)/ 65536, 32768),0)/32768),0))</f>
        <v>13</v>
      </c>
      <c r="P807" s="16" t="e">
        <f t="shared" ca="1" si="53"/>
        <v>#NAME?</v>
      </c>
      <c r="Q807" s="153">
        <f ca="1">VLOOKUP($AB$2,'RF Mod'!$A$2:$G$12,6,FALSE)+VLOOKUP($AD$2,'RF Mod'!$I$2:$O$11,6,FALSE)+(TRUNC(6+(24-6)*(TRUNC(MOD(($Z807*1103515245 +12345)/ 65536, 32768),0)/32768),0))</f>
        <v>11</v>
      </c>
      <c r="R807" s="16" t="e">
        <f t="shared" ca="1" si="54"/>
        <v>#NAME?</v>
      </c>
      <c r="S807" s="154">
        <f t="shared" ca="1" si="59"/>
        <v>78</v>
      </c>
      <c r="T807" s="154">
        <f t="shared" ca="1" si="55"/>
        <v>45</v>
      </c>
      <c r="U807" s="16" t="str">
        <f t="shared" ca="1" si="56"/>
        <v>Bloody</v>
      </c>
      <c r="V807" s="155">
        <f ca="1">IFERROR(__xludf.DUMMYFUNCTION("if(W807=""Middle Age"",QUERY(NPCVar!$K$2:$N1000, ""Select L where K = '""&amp;AB807&amp;""'""),if(W807=""Old"",QUERY(NPCVar!$K$2:$N1000, ""Select M where K = '""&amp;AB807&amp;""'""),if(W807=""Venerable"",QUERY(NPCVar!$K$2:$N1000, ""Select N where K = '""&amp;AB807&amp;""'""),fa"&amp;"lse)))*X807"),67.5)</f>
        <v>67.5</v>
      </c>
      <c r="W807" s="156" t="str">
        <f t="array" ref="W807">INDEX(NPCAgeType,TRUNC(1+(4-1)*(TRUNC(MOD((X807*1103515245 +12345)/ 65536, 32768),0)/32768),0))</f>
        <v>Old</v>
      </c>
      <c r="X807" s="117">
        <f t="shared" si="61"/>
        <v>1</v>
      </c>
      <c r="Y807" s="157" t="e">
        <f t="array" aca="1" ref="Y807" ca="1">LOOKUP(ABS(MAX(Z807 + MIN(ABS(INDIRECT("Class Jobs!B"&amp;MATCH(E807,'Class Jobs'!$A$1:$A1000,0)&amp;":"&amp;"AF"&amp;MATCH(E807,'Class Jobs'!$A$1:$A1000,0)&amp;"")-$Z807)) * SUM(IF(MIN(ABS(INDIRECT("Class Jobs!B"&amp;MATCH(E807,'Class Jobs'!$A$1:$A1000,0)&amp;":"&amp;"AF"&amp;MATCH(E807,'Class Jobs'!$A$1:$A1000,0)&amp;"")-$Z807))=ABS(INDIRECT("Class Jobs!B"&amp;MATCH(E807,'Class Jobs'!$A$1:$A1000,0)&amp;":"&amp;"AF"&amp;MATCH(E807,'Class Jobs'!$A$1:$A1000,0)&amp;"")-$Z807),SIGN(INDIRECT("Class Jobs!B"&amp;MATCH(E807,'Class Jobs'!$A$1:A1000,0)&amp;":"&amp;"AF"&amp;MATCH(E807,'Class Jobs'!$A$1:$A1000,0)&amp;"")-$Z807),0)),0)),INDIRECT("Class Jobs!B"&amp;MATCH(E807,'Class Jobs'!$A$1:$A1000,0)&amp;":"&amp;"AF"&amp;MATCH(E807,'Class Jobs'!$A$1:$A1000,1)&amp;""),'Class Jobs'!$B$1:$AF$1)</f>
        <v>#REF!</v>
      </c>
      <c r="Z807" s="158">
        <f t="shared" si="57"/>
        <v>0.39</v>
      </c>
      <c r="AA807" s="16" t="str">
        <f t="array" ref="AA807">INDEX(NPCGender,TRUNC(1+(COUNTA(NPCGender))*(TRUNC(MOD(($B807*1103515245 +12345)/ 65536, 32768),0)/32768),0))</f>
        <v>Female</v>
      </c>
      <c r="AB807" s="16" t="str">
        <f t="array" ref="AB807">INDEX(NPCRace,TRUNC(1+(COUNTA(NPCRace))*(TRUNC(MOD(($B807*1103515245 +12345)/ 65536, 32768),0)/32768),0))</f>
        <v>Half-Elf</v>
      </c>
      <c r="AC807" s="16" t="str">
        <f t="array" ref="AC807">INDEX(NPCAL,TRUNC(1+(COUNTA(NPCAL))*(TRUNC(MOD(($B807*1103515245 +12345)/ 65536, 32768),0)/32768),0))</f>
        <v>NG</v>
      </c>
      <c r="AD807" s="72" t="str">
        <f ca="1">IFERROR(__xludf.DUMMYFUNCTION("if(V807&lt;15,QUERY(NPCVar!C:D,""Select D WHERE C = '""&amp;D807&amp;""'""),if((TRUNC(1+10)*(TRUNC(MOD((ROW(H807)*1103515245 +12345)/ 65536, 32768),0)/32768)/10) &gt; 0.85,INDEX(NPCFaction,TRUNC(1+(counta(NPCFaction)-1)*(TRUNC(MOD(($B807*1103515245 +12345)/ 65536, 3276"&amp;"8),0)/32768),0)),QUERY(NPCVar!C:D,""Select D WHERE C = '""&amp;D807&amp;""'"")))"),"Magic Guild")</f>
        <v>Magic Guild</v>
      </c>
      <c r="AE807" s="108" t="e">
        <f t="shared" ca="1" si="58"/>
        <v>#NAME?</v>
      </c>
      <c r="AF807" s="159">
        <f ca="1">IFERROR(__xludf.DUMMYFUNCTION("AE807*(V807 / QUERY(NPCVar!$K$2:$N$12, ""Select N WHERE K='""&amp;AB807&amp;""'""))*TRUNC(1+10)*(TRUNC(MOD(($B807*1103515245 +12345)/ 65536, 32768),0)/32768)"),0.161963653564453)</f>
        <v>0.161963653564453</v>
      </c>
      <c r="AG807" s="16"/>
      <c r="AH807" s="77"/>
      <c r="AI807" s="114"/>
    </row>
    <row r="808" spans="1:35" ht="16.2">
      <c r="A808" s="53">
        <v>807</v>
      </c>
      <c r="B808" s="118">
        <f t="shared" si="60"/>
        <v>2.2582200000000001</v>
      </c>
      <c r="C808" s="72" t="str">
        <f t="array" ref="C808">INDEX(NPCFName,TRUNC(1+(COUNTA(NPCFName))*(TRUNC(MOD(($B808*1103515245 +12345)/ 65536, 32768),0)/32768),0))</f>
        <v>Kethren</v>
      </c>
      <c r="D808" s="16" t="str">
        <f t="array" ref="D808">INDEX(NPCLName,TRUNC(1+(COUNTA(NPCLName))*(TRUNC(MOD(($B808*1103515245 +12345)/ 65536, 32768),0)/32768),0))</f>
        <v>Fistwing</v>
      </c>
      <c r="E808" s="16" t="str">
        <f t="array" ref="E808">INDEX(NPCClass,TRUNC(1+(COUNTA(NPCClass))*(TRUNC(MOD(($B808*1103515245 +12345)/ 65536, 32768),0)/32768),0))</f>
        <v>Bard</v>
      </c>
      <c r="F808" s="76">
        <v>1</v>
      </c>
      <c r="G808" s="153">
        <f ca="1">VLOOKUP($AB$2,'RF Mod'!$A$2:$G$12,2,FALSE)+VLOOKUP($AD$2,'RF Mod'!$I$2:$O$11,2,FALSE)+(TRUNC(6+(24-6)*(TRUNC(MOD(($Z808*1103515245 +12345)/ 65536, 32768),0)/32768),0))</f>
        <v>5</v>
      </c>
      <c r="H808" s="16">
        <f t="shared" ca="1" si="49"/>
        <v>-3</v>
      </c>
      <c r="I808" s="153">
        <f ca="1">VLOOKUP($AB$2,'RF Mod'!$A$2:$G$12,3,FALSE)+VLOOKUP($AD$2,'RF Mod'!$I$2:$O$11,3,FALSE)+(TRUNC(6+(24-6)*(TRUNC(MOD(($Z808*1103515245 +12345)/ 65536, 32768),0)/32768),0))</f>
        <v>9</v>
      </c>
      <c r="J808" s="16">
        <f t="shared" ca="1" si="50"/>
        <v>-1</v>
      </c>
      <c r="K808" s="153">
        <f ca="1">VLOOKUP($AB$2,'RF Mod'!$A$2:$G$12,3,FALSE)+VLOOKUP($AD$2,'RF Mod'!$I$2:$O$11,3,FALSE)+(TRUNC(6+(24-6)*(TRUNC(MOD(($Z808*1103515245 +12345)/ 65536, 32768),0)/32768),0))</f>
        <v>9</v>
      </c>
      <c r="L808" s="16">
        <f t="shared" ca="1" si="51"/>
        <v>-1</v>
      </c>
      <c r="M808" s="153">
        <f ca="1">VLOOKUP($AB$2,'RF Mod'!$A$2:$G$12,4,FALSE)+VLOOKUP($AD$2,'RF Mod'!$I$2:$O$11,4,FALSE)+(TRUNC(6+(24-6)*(TRUNC(MOD(($Z808*1103515245 +12345)/ 65536, 32768),0)/32768),0))</f>
        <v>8</v>
      </c>
      <c r="N808" s="16">
        <f t="shared" ca="1" si="52"/>
        <v>-1</v>
      </c>
      <c r="O808" s="153">
        <f ca="1">VLOOKUP($AB$2,'RF Mod'!$A$2:$G$12,5,FALSE)+VLOOKUP($AD$2,'RF Mod'!$I$2:$O$11,5,FALSE)+(TRUNC(6+(24-6)*(TRUNC(MOD(($Z808*1103515245 +12345)/ 65536, 32768),0)/32768),0))</f>
        <v>11</v>
      </c>
      <c r="P808" s="16" t="e">
        <f t="shared" ca="1" si="53"/>
        <v>#NAME?</v>
      </c>
      <c r="Q808" s="153">
        <f ca="1">VLOOKUP($AB$2,'RF Mod'!$A$2:$G$12,6,FALSE)+VLOOKUP($AD$2,'RF Mod'!$I$2:$O$11,6,FALSE)+(TRUNC(6+(24-6)*(TRUNC(MOD(($Z808*1103515245 +12345)/ 65536, 32768),0)/32768),0))</f>
        <v>9</v>
      </c>
      <c r="R808" s="16">
        <f t="shared" ca="1" si="54"/>
        <v>-1</v>
      </c>
      <c r="S808" s="154">
        <f t="shared" ca="1" si="59"/>
        <v>11</v>
      </c>
      <c r="T808" s="154">
        <f t="shared" ca="1" si="55"/>
        <v>11</v>
      </c>
      <c r="U808" s="16" t="str">
        <f t="shared" ca="1" si="56"/>
        <v>Unconscious</v>
      </c>
      <c r="V808" s="155">
        <f ca="1">IFERROR(__xludf.DUMMYFUNCTION("if(W808=""Middle Age"",QUERY(NPCVar!$K$2:$N1000, ""Select L where K = '""&amp;AB808&amp;""'""),if(W808=""Old"",QUERY(NPCVar!$K$2:$N1000, ""Select M where K = '""&amp;AB808&amp;""'""),if(W808=""Venerable"",QUERY(NPCVar!$K$2:$N1000, ""Select N where K = '""&amp;AB808&amp;""'""),fa"&amp;"lse)))*X808"),32)</f>
        <v>32</v>
      </c>
      <c r="W808" s="156" t="str">
        <f t="array" ref="W808">INDEX(NPCAgeType,TRUNC(1+(4-1)*(TRUNC(MOD((X808*1103515245 +12345)/ 65536, 32768),0)/32768),0))</f>
        <v>Middle Age</v>
      </c>
      <c r="X808" s="117">
        <f t="shared" si="61"/>
        <v>0.4</v>
      </c>
      <c r="Y808" s="157" t="e">
        <f t="array" aca="1" ref="Y808" ca="1">LOOKUP(ABS(MAX(Z808 + MIN(ABS(INDIRECT("Class Jobs!B"&amp;MATCH(E808,'Class Jobs'!$A$1:$A1000,0)&amp;":"&amp;"AF"&amp;MATCH(E808,'Class Jobs'!$A$1:$A1000,0)&amp;"")-$Z808)) * SUM(IF(MIN(ABS(INDIRECT("Class Jobs!B"&amp;MATCH(E808,'Class Jobs'!$A$1:$A1000,0)&amp;":"&amp;"AF"&amp;MATCH(E808,'Class Jobs'!$A$1:$A1000,0)&amp;"")-$Z808))=ABS(INDIRECT("Class Jobs!B"&amp;MATCH(E808,'Class Jobs'!$A$1:$A1000,0)&amp;":"&amp;"AF"&amp;MATCH(E808,'Class Jobs'!$A$1:$A1000,0)&amp;"")-$Z808),SIGN(INDIRECT("Class Jobs!B"&amp;MATCH(E808,'Class Jobs'!$A$1:A1000,0)&amp;":"&amp;"AF"&amp;MATCH(E808,'Class Jobs'!$A$1:$A1000,0)&amp;"")-$Z808),0)),0)),INDIRECT("Class Jobs!B"&amp;MATCH(E808,'Class Jobs'!$A$1:$A1000,0)&amp;":"&amp;"AF"&amp;MATCH(E808,'Class Jobs'!$A$1:$A1000,1)&amp;""),'Class Jobs'!$B$1:$AF$1)</f>
        <v>#REF!</v>
      </c>
      <c r="Z808" s="158">
        <f t="shared" si="57"/>
        <v>0.16</v>
      </c>
      <c r="AA808" s="16" t="str">
        <f t="array" ref="AA808">INDEX(NPCGender,TRUNC(1+(COUNTA(NPCGender))*(TRUNC(MOD(($B808*1103515245 +12345)/ 65536, 32768),0)/32768),0))</f>
        <v>Male</v>
      </c>
      <c r="AB808" s="16" t="str">
        <f t="array" ref="AB808">INDEX(NPCRace,TRUNC(1+(COUNTA(NPCRace))*(TRUNC(MOD(($B808*1103515245 +12345)/ 65536, 32768),0)/32768),0))</f>
        <v>Dwarf</v>
      </c>
      <c r="AC808" s="16" t="str">
        <f t="array" ref="AC808">INDEX(NPCAL,TRUNC(1+(COUNTA(NPCAL))*(TRUNC(MOD(($B808*1103515245 +12345)/ 65536, 32768),0)/32768),0))</f>
        <v>CE</v>
      </c>
      <c r="AD808" s="72" t="str">
        <f ca="1">IFERROR(__xludf.DUMMYFUNCTION("if(V808&lt;15,QUERY(NPCVar!C:D,""Select D WHERE C = '""&amp;D808&amp;""'""),if((TRUNC(1+10)*(TRUNC(MOD((ROW(H808)*1103515245 +12345)/ 65536, 32768),0)/32768)/10) &gt; 0.85,INDEX(NPCFaction,TRUNC(1+(counta(NPCFaction)-1)*(TRUNC(MOD(($B808*1103515245 +12345)/ 65536, 3276"&amp;"8),0)/32768),0)),QUERY(NPCVar!C:D,""Select D WHERE C = '""&amp;D808&amp;""'"")))"),"Royalty")</f>
        <v>Royalty</v>
      </c>
      <c r="AE808" s="108" t="e">
        <f t="shared" ca="1" si="58"/>
        <v>#NAME?</v>
      </c>
      <c r="AF808" s="159">
        <f ca="1">IFERROR(__xludf.DUMMYFUNCTION("AE808*(V808 / QUERY(NPCVar!$K$2:$N$12, ""Select N WHERE K='""&amp;AB808&amp;""'""))*TRUNC(1+10)*(TRUNC(MOD(($B808*1103515245 +12345)/ 65536, 32768),0)/32768)"),0.070576171875)</f>
        <v>7.0576171874999996E-2</v>
      </c>
      <c r="AG808" s="16"/>
      <c r="AH808" s="77"/>
      <c r="AI808" s="114"/>
    </row>
    <row r="809" spans="1:35" ht="16.2">
      <c r="A809" s="53">
        <v>808</v>
      </c>
      <c r="B809" s="118">
        <f t="shared" si="60"/>
        <v>1.25237</v>
      </c>
      <c r="C809" s="72" t="str">
        <f t="array" ref="C809">INDEX(NPCFName,TRUNC(1+(COUNTA(NPCFName))*(TRUNC(MOD(($B809*1103515245 +12345)/ 65536, 32768),0)/32768),0))</f>
        <v>Walkar</v>
      </c>
      <c r="D809" s="16" t="str">
        <f t="array" ref="D809">INDEX(NPCLName,TRUNC(1+(COUNTA(NPCLName))*(TRUNC(MOD(($B809*1103515245 +12345)/ 65536, 32768),0)/32768),0))</f>
        <v>Mourninglash</v>
      </c>
      <c r="E809" s="16" t="str">
        <f t="array" ref="E809">INDEX(NPCClass,TRUNC(1+(COUNTA(NPCClass))*(TRUNC(MOD(($B809*1103515245 +12345)/ 65536, 32768),0)/32768),0))</f>
        <v>Warlock</v>
      </c>
      <c r="F809" s="76">
        <v>8</v>
      </c>
      <c r="G809" s="153">
        <f ca="1">VLOOKUP($AB$2,'RF Mod'!$A$2:$G$12,2,FALSE)+VLOOKUP($AD$2,'RF Mod'!$I$2:$O$11,2,FALSE)+(TRUNC(6+(24-6)*(TRUNC(MOD(($Z809*1103515245 +12345)/ 65536, 32768),0)/32768),0))</f>
        <v>9</v>
      </c>
      <c r="H809" s="16">
        <f t="shared" ca="1" si="49"/>
        <v>-1</v>
      </c>
      <c r="I809" s="153">
        <f ca="1">VLOOKUP($AB$2,'RF Mod'!$A$2:$G$12,3,FALSE)+VLOOKUP($AD$2,'RF Mod'!$I$2:$O$11,3,FALSE)+(TRUNC(6+(24-6)*(TRUNC(MOD(($Z809*1103515245 +12345)/ 65536, 32768),0)/32768),0))</f>
        <v>13</v>
      </c>
      <c r="J809" s="16" t="e">
        <f t="shared" ca="1" si="50"/>
        <v>#NAME?</v>
      </c>
      <c r="K809" s="153">
        <f ca="1">VLOOKUP($AB$2,'RF Mod'!$A$2:$G$12,3,FALSE)+VLOOKUP($AD$2,'RF Mod'!$I$2:$O$11,3,FALSE)+(TRUNC(6+(24-6)*(TRUNC(MOD(($Z809*1103515245 +12345)/ 65536, 32768),0)/32768),0))</f>
        <v>13</v>
      </c>
      <c r="L809" s="16" t="e">
        <f t="shared" ca="1" si="51"/>
        <v>#NAME?</v>
      </c>
      <c r="M809" s="153">
        <f ca="1">VLOOKUP($AB$2,'RF Mod'!$A$2:$G$12,4,FALSE)+VLOOKUP($AD$2,'RF Mod'!$I$2:$O$11,4,FALSE)+(TRUNC(6+(24-6)*(TRUNC(MOD(($Z809*1103515245 +12345)/ 65536, 32768),0)/32768),0))</f>
        <v>12</v>
      </c>
      <c r="N809" s="16" t="e">
        <f t="shared" ca="1" si="52"/>
        <v>#NAME?</v>
      </c>
      <c r="O809" s="153">
        <f ca="1">VLOOKUP($AB$2,'RF Mod'!$A$2:$G$12,5,FALSE)+VLOOKUP($AD$2,'RF Mod'!$I$2:$O$11,5,FALSE)+(TRUNC(6+(24-6)*(TRUNC(MOD(($Z809*1103515245 +12345)/ 65536, 32768),0)/32768),0))</f>
        <v>15</v>
      </c>
      <c r="P809" s="16" t="e">
        <f t="shared" ca="1" si="53"/>
        <v>#NAME?</v>
      </c>
      <c r="Q809" s="153">
        <f ca="1">VLOOKUP($AB$2,'RF Mod'!$A$2:$G$12,6,FALSE)+VLOOKUP($AD$2,'RF Mod'!$I$2:$O$11,6,FALSE)+(TRUNC(6+(24-6)*(TRUNC(MOD(($Z809*1103515245 +12345)/ 65536, 32768),0)/32768),0))</f>
        <v>13</v>
      </c>
      <c r="R809" s="16" t="e">
        <f t="shared" ca="1" si="54"/>
        <v>#NAME?</v>
      </c>
      <c r="S809" s="154">
        <f t="shared" ca="1" si="59"/>
        <v>216</v>
      </c>
      <c r="T809" s="154">
        <f t="shared" ca="1" si="55"/>
        <v>90</v>
      </c>
      <c r="U809" s="16" t="str">
        <f t="shared" ca="1" si="56"/>
        <v>Fine</v>
      </c>
      <c r="V809" s="155">
        <f ca="1">IFERROR(__xludf.DUMMYFUNCTION("if(W809=""Middle Age"",QUERY(NPCVar!$K$2:$N1000, ""Select L where K = '""&amp;AB809&amp;""'""),if(W809=""Old"",QUERY(NPCVar!$K$2:$N1000, ""Select M where K = '""&amp;AB809&amp;""'""),if(W809=""Venerable"",QUERY(NPCVar!$K$2:$N1000, ""Select N where K = '""&amp;AB809&amp;""'""),fa"&amp;"lse)))*X809"),144)</f>
        <v>144</v>
      </c>
      <c r="W809" s="156" t="str">
        <f t="array" ref="W809">INDEX(NPCAgeType,TRUNC(1+(4-1)*(TRUNC(MOD((X809*1103515245 +12345)/ 65536, 32768),0)/32768),0))</f>
        <v>Venerable</v>
      </c>
      <c r="X809" s="117">
        <f t="shared" si="61"/>
        <v>1.6</v>
      </c>
      <c r="Y809" s="157" t="e">
        <f t="array" aca="1" ref="Y809" ca="1">LOOKUP(ABS(MAX(Z809 + MIN(ABS(INDIRECT("Class Jobs!B"&amp;MATCH(E809,'Class Jobs'!$A$1:$A1000,0)&amp;":"&amp;"AF"&amp;MATCH(E809,'Class Jobs'!$A$1:$A1000,0)&amp;"")-$Z809)) * SUM(IF(MIN(ABS(INDIRECT("Class Jobs!B"&amp;MATCH(E809,'Class Jobs'!$A$1:$A1000,0)&amp;":"&amp;"AF"&amp;MATCH(E809,'Class Jobs'!$A$1:$A1000,0)&amp;"")-$Z809))=ABS(INDIRECT("Class Jobs!B"&amp;MATCH(E809,'Class Jobs'!$A$1:$A1000,0)&amp;":"&amp;"AF"&amp;MATCH(E809,'Class Jobs'!$A$1:$A1000,0)&amp;"")-$Z809),SIGN(INDIRECT("Class Jobs!B"&amp;MATCH(E809,'Class Jobs'!$A$1:A1000,0)&amp;":"&amp;"AF"&amp;MATCH(E809,'Class Jobs'!$A$1:$A1000,0)&amp;"")-$Z809),0)),0)),INDIRECT("Class Jobs!B"&amp;MATCH(E809,'Class Jobs'!$A$1:$A1000,0)&amp;":"&amp;"AF"&amp;MATCH(E809,'Class Jobs'!$A$1:$A1000,1)&amp;""),'Class Jobs'!$B$1:$AF$1)</f>
        <v>#REF!</v>
      </c>
      <c r="Z809" s="158">
        <f t="shared" si="57"/>
        <v>0.64</v>
      </c>
      <c r="AA809" s="16" t="str">
        <f t="array" ref="AA809">INDEX(NPCGender,TRUNC(1+(COUNTA(NPCGender))*(TRUNC(MOD(($B809*1103515245 +12345)/ 65536, 32768),0)/32768),0))</f>
        <v>Female</v>
      </c>
      <c r="AB809" s="16" t="str">
        <f t="array" ref="AB809">INDEX(NPCRace,TRUNC(1+(COUNTA(NPCRace))*(TRUNC(MOD(($B809*1103515245 +12345)/ 65536, 32768),0)/32768),0))</f>
        <v>Human</v>
      </c>
      <c r="AC809" s="16" t="str">
        <f t="array" ref="AC809">INDEX(NPCAL,TRUNC(1+(COUNTA(NPCAL))*(TRUNC(MOD(($B809*1103515245 +12345)/ 65536, 32768),0)/32768),0))</f>
        <v>NE</v>
      </c>
      <c r="AD809" s="72" t="str">
        <f ca="1">IFERROR(__xludf.DUMMYFUNCTION("if(V809&lt;15,QUERY(NPCVar!C:D,""Select D WHERE C = '""&amp;D809&amp;""'""),if((TRUNC(1+10)*(TRUNC(MOD((ROW(H809)*1103515245 +12345)/ 65536, 32768),0)/32768)/10) &gt; 0.85,INDEX(NPCFaction,TRUNC(1+(counta(NPCFaction)-1)*(TRUNC(MOD(($B809*1103515245 +12345)/ 65536, 3276"&amp;"8),0)/32768),0)),QUERY(NPCVar!C:D,""Select D WHERE C = '""&amp;D809&amp;""'"")))"),"Traverlers Guild")</f>
        <v>Traverlers Guild</v>
      </c>
      <c r="AE809" s="108" t="e">
        <f t="shared" ca="1" si="58"/>
        <v>#NAME?</v>
      </c>
      <c r="AF809" s="159">
        <f ca="1">IFERROR(__xludf.DUMMYFUNCTION("AE809*(V809 / QUERY(NPCVar!$K$2:$N$12, ""Select N WHERE K='""&amp;AB809&amp;""'""))*TRUNC(1+10)*(TRUNC(MOD(($B809*1103515245 +12345)/ 65536, 32768),0)/32768)"),3.3978076171875)</f>
        <v>3.3978076171875</v>
      </c>
      <c r="AG809" s="16"/>
      <c r="AH809" s="77"/>
      <c r="AI809" s="114"/>
    </row>
    <row r="810" spans="1:35" ht="16.2">
      <c r="A810" s="53">
        <v>809</v>
      </c>
      <c r="B810" s="118">
        <f t="shared" si="60"/>
        <v>0.24651000000000001</v>
      </c>
      <c r="C810" s="72" t="str">
        <f t="array" ref="C810">INDEX(NPCFName,TRUNC(1+(COUNTA(NPCFName))*(TRUNC(MOD(($B810*1103515245 +12345)/ 65536, 32768),0)/32768),0))</f>
        <v>Guthale</v>
      </c>
      <c r="D810" s="16" t="str">
        <f t="array" ref="D810">INDEX(NPCLName,TRUNC(1+(COUNTA(NPCLName))*(TRUNC(MOD(($B810*1103515245 +12345)/ 65536, 32768),0)/32768),0))</f>
        <v>Distantlash</v>
      </c>
      <c r="E810" s="16" t="str">
        <f t="array" ref="E810">INDEX(NPCClass,TRUNC(1+(COUNTA(NPCClass))*(TRUNC(MOD(($B810*1103515245 +12345)/ 65536, 32768),0)/32768),0))</f>
        <v>Bard</v>
      </c>
      <c r="F810" s="76">
        <v>1</v>
      </c>
      <c r="G810" s="153">
        <f ca="1">VLOOKUP($AB$2,'RF Mod'!$A$2:$G$12,2,FALSE)+VLOOKUP($AD$2,'RF Mod'!$I$2:$O$11,2,FALSE)+(TRUNC(6+(24-6)*(TRUNC(MOD(($Z810*1103515245 +12345)/ 65536, 32768),0)/32768),0))</f>
        <v>5</v>
      </c>
      <c r="H810" s="16">
        <f t="shared" ca="1" si="49"/>
        <v>-3</v>
      </c>
      <c r="I810" s="153">
        <f ca="1">VLOOKUP($AB$2,'RF Mod'!$A$2:$G$12,3,FALSE)+VLOOKUP($AD$2,'RF Mod'!$I$2:$O$11,3,FALSE)+(TRUNC(6+(24-6)*(TRUNC(MOD(($Z810*1103515245 +12345)/ 65536, 32768),0)/32768),0))</f>
        <v>9</v>
      </c>
      <c r="J810" s="16">
        <f t="shared" ca="1" si="50"/>
        <v>-1</v>
      </c>
      <c r="K810" s="153">
        <f ca="1">VLOOKUP($AB$2,'RF Mod'!$A$2:$G$12,3,FALSE)+VLOOKUP($AD$2,'RF Mod'!$I$2:$O$11,3,FALSE)+(TRUNC(6+(24-6)*(TRUNC(MOD(($Z810*1103515245 +12345)/ 65536, 32768),0)/32768),0))</f>
        <v>9</v>
      </c>
      <c r="L810" s="16">
        <f t="shared" ca="1" si="51"/>
        <v>-1</v>
      </c>
      <c r="M810" s="153">
        <f ca="1">VLOOKUP($AB$2,'RF Mod'!$A$2:$G$12,4,FALSE)+VLOOKUP($AD$2,'RF Mod'!$I$2:$O$11,4,FALSE)+(TRUNC(6+(24-6)*(TRUNC(MOD(($Z810*1103515245 +12345)/ 65536, 32768),0)/32768),0))</f>
        <v>8</v>
      </c>
      <c r="N810" s="16">
        <f t="shared" ca="1" si="52"/>
        <v>-1</v>
      </c>
      <c r="O810" s="153">
        <f ca="1">VLOOKUP($AB$2,'RF Mod'!$A$2:$G$12,5,FALSE)+VLOOKUP($AD$2,'RF Mod'!$I$2:$O$11,5,FALSE)+(TRUNC(6+(24-6)*(TRUNC(MOD(($Z810*1103515245 +12345)/ 65536, 32768),0)/32768),0))</f>
        <v>11</v>
      </c>
      <c r="P810" s="16" t="e">
        <f t="shared" ca="1" si="53"/>
        <v>#NAME?</v>
      </c>
      <c r="Q810" s="153">
        <f ca="1">VLOOKUP($AB$2,'RF Mod'!$A$2:$G$12,6,FALSE)+VLOOKUP($AD$2,'RF Mod'!$I$2:$O$11,6,FALSE)+(TRUNC(6+(24-6)*(TRUNC(MOD(($Z810*1103515245 +12345)/ 65536, 32768),0)/32768),0))</f>
        <v>9</v>
      </c>
      <c r="R810" s="16">
        <f t="shared" ca="1" si="54"/>
        <v>-1</v>
      </c>
      <c r="S810" s="154">
        <f t="shared" ca="1" si="59"/>
        <v>11</v>
      </c>
      <c r="T810" s="154">
        <f t="shared" ca="1" si="55"/>
        <v>9</v>
      </c>
      <c r="U810" s="16" t="str">
        <f t="shared" ca="1" si="56"/>
        <v>Bloody</v>
      </c>
      <c r="V810" s="155">
        <f ca="1">IFERROR(__xludf.DUMMYFUNCTION("if(W810=""Middle Age"",QUERY(NPCVar!$K$2:$N1000, ""Select L where K = '""&amp;AB810&amp;""'""),if(W810=""Old"",QUERY(NPCVar!$K$2:$N1000, ""Select M where K = '""&amp;AB810&amp;""'""),if(W810=""Venerable"",QUERY(NPCVar!$K$2:$N1000, ""Select N where K = '""&amp;AB810&amp;""'""),fa"&amp;"lse)))*X810"),32)</f>
        <v>32</v>
      </c>
      <c r="W810" s="156" t="str">
        <f t="array" ref="W810">INDEX(NPCAgeType,TRUNC(1+(4-1)*(TRUNC(MOD((X810*1103515245 +12345)/ 65536, 32768),0)/32768),0))</f>
        <v>Middle Age</v>
      </c>
      <c r="X810" s="117">
        <f t="shared" si="61"/>
        <v>0.4</v>
      </c>
      <c r="Y810" s="157" t="e">
        <f t="array" aca="1" ref="Y810" ca="1">LOOKUP(ABS(MAX(Z810 + MIN(ABS(INDIRECT("Class Jobs!B"&amp;MATCH(E810,'Class Jobs'!$A$1:$A1000,0)&amp;":"&amp;"AF"&amp;MATCH(E810,'Class Jobs'!$A$1:$A1000,0)&amp;"")-$Z810)) * SUM(IF(MIN(ABS(INDIRECT("Class Jobs!B"&amp;MATCH(E810,'Class Jobs'!$A$1:$A1000,0)&amp;":"&amp;"AF"&amp;MATCH(E810,'Class Jobs'!$A$1:$A1000,0)&amp;"")-$Z810))=ABS(INDIRECT("Class Jobs!B"&amp;MATCH(E810,'Class Jobs'!$A$1:$A1000,0)&amp;":"&amp;"AF"&amp;MATCH(E810,'Class Jobs'!$A$1:$A1000,0)&amp;"")-$Z810),SIGN(INDIRECT("Class Jobs!B"&amp;MATCH(E810,'Class Jobs'!$A$1:A1000,0)&amp;":"&amp;"AF"&amp;MATCH(E810,'Class Jobs'!$A$1:$A1000,0)&amp;"")-$Z810),0)),0)),INDIRECT("Class Jobs!B"&amp;MATCH(E810,'Class Jobs'!$A$1:$A1000,0)&amp;":"&amp;"AF"&amp;MATCH(E810,'Class Jobs'!$A$1:$A1000,1)&amp;""),'Class Jobs'!$B$1:$AF$1)</f>
        <v>#REF!</v>
      </c>
      <c r="Z810" s="158">
        <f t="shared" si="57"/>
        <v>0.13</v>
      </c>
      <c r="AA810" s="16" t="str">
        <f t="array" ref="AA810">INDEX(NPCGender,TRUNC(1+(COUNTA(NPCGender))*(TRUNC(MOD(($B810*1103515245 +12345)/ 65536, 32768),0)/32768),0))</f>
        <v>Male</v>
      </c>
      <c r="AB810" s="16" t="str">
        <f t="array" ref="AB810">INDEX(NPCRace,TRUNC(1+(COUNTA(NPCRace))*(TRUNC(MOD(($B810*1103515245 +12345)/ 65536, 32768),0)/32768),0))</f>
        <v>Dwarf</v>
      </c>
      <c r="AC810" s="16" t="str">
        <f t="array" ref="AC810">INDEX(NPCAL,TRUNC(1+(COUNTA(NPCAL))*(TRUNC(MOD(($B810*1103515245 +12345)/ 65536, 32768),0)/32768),0))</f>
        <v>CE</v>
      </c>
      <c r="AD810" s="72" t="str">
        <f ca="1">IFERROR(__xludf.DUMMYFUNCTION("if(V810&lt;15,QUERY(NPCVar!C:D,""Select D WHERE C = '""&amp;D810&amp;""'""),if((TRUNC(1+10)*(TRUNC(MOD((ROW(H810)*1103515245 +12345)/ 65536, 32768),0)/32768)/10) &gt; 0.85,INDEX(NPCFaction,TRUNC(1+(counta(NPCFaction)-1)*(TRUNC(MOD(($B810*1103515245 +12345)/ 65536, 3276"&amp;"8),0)/32768),0)),QUERY(NPCVar!C:D,""Select D WHERE C = '""&amp;D810&amp;""'"")))"),"Death Guild")</f>
        <v>Death Guild</v>
      </c>
      <c r="AE810" s="108" t="e">
        <f t="shared" ca="1" si="58"/>
        <v>#NAME?</v>
      </c>
      <c r="AF810" s="159">
        <f ca="1">IFERROR(__xludf.DUMMYFUNCTION("AE810*(V810 / QUERY(NPCVar!$K$2:$N$12, ""Select N WHERE K='""&amp;AB810&amp;""'""))*TRUNC(1+10)*(TRUNC(MOD(($B810*1103515245 +12345)/ 65536, 32768),0)/32768)"),0.05572509765625)</f>
        <v>5.572509765625E-2</v>
      </c>
      <c r="AG810" s="16"/>
      <c r="AH810" s="77"/>
      <c r="AI810" s="114"/>
    </row>
    <row r="811" spans="1:35" ht="16.2">
      <c r="A811" s="53">
        <v>810</v>
      </c>
      <c r="B811" s="118">
        <f t="shared" si="60"/>
        <v>1.74064</v>
      </c>
      <c r="C811" s="72" t="str">
        <f t="array" ref="C811">INDEX(NPCFName,TRUNC(1+(COUNTA(NPCFName))*(TRUNC(MOD(($B811*1103515245 +12345)/ 65536, 32768),0)/32768),0))</f>
        <v>Pictal</v>
      </c>
      <c r="D811" s="16" t="str">
        <f t="array" ref="D811">INDEX(NPCLName,TRUNC(1+(COUNTA(NPCLName))*(TRUNC(MOD(($B811*1103515245 +12345)/ 65536, 32768),0)/32768),0))</f>
        <v>Forestbluff</v>
      </c>
      <c r="E811" s="16" t="str">
        <f t="array" ref="E811">INDEX(NPCClass,TRUNC(1+(COUNTA(NPCClass))*(TRUNC(MOD(($B811*1103515245 +12345)/ 65536, 32768),0)/32768),0))</f>
        <v>Fighter</v>
      </c>
      <c r="F811" s="76">
        <v>8</v>
      </c>
      <c r="G811" s="153">
        <f ca="1">VLOOKUP($AB$2,'RF Mod'!$A$2:$G$12,2,FALSE)+VLOOKUP($AD$2,'RF Mod'!$I$2:$O$11,2,FALSE)+(TRUNC(6+(24-6)*(TRUNC(MOD(($Z811*1103515245 +12345)/ 65536, 32768),0)/32768),0))</f>
        <v>12</v>
      </c>
      <c r="H811" s="16" t="e">
        <f t="shared" ca="1" si="49"/>
        <v>#NAME?</v>
      </c>
      <c r="I811" s="153">
        <f ca="1">VLOOKUP($AB$2,'RF Mod'!$A$2:$G$12,3,FALSE)+VLOOKUP($AD$2,'RF Mod'!$I$2:$O$11,3,FALSE)+(TRUNC(6+(24-6)*(TRUNC(MOD(($Z811*1103515245 +12345)/ 65536, 32768),0)/32768),0))</f>
        <v>16</v>
      </c>
      <c r="J811" s="16" t="e">
        <f t="shared" ca="1" si="50"/>
        <v>#NAME?</v>
      </c>
      <c r="K811" s="153">
        <f ca="1">VLOOKUP($AB$2,'RF Mod'!$A$2:$G$12,3,FALSE)+VLOOKUP($AD$2,'RF Mod'!$I$2:$O$11,3,FALSE)+(TRUNC(6+(24-6)*(TRUNC(MOD(($Z811*1103515245 +12345)/ 65536, 32768),0)/32768),0))</f>
        <v>16</v>
      </c>
      <c r="L811" s="16" t="e">
        <f t="shared" ca="1" si="51"/>
        <v>#NAME?</v>
      </c>
      <c r="M811" s="153">
        <f ca="1">VLOOKUP($AB$2,'RF Mod'!$A$2:$G$12,4,FALSE)+VLOOKUP($AD$2,'RF Mod'!$I$2:$O$11,4,FALSE)+(TRUNC(6+(24-6)*(TRUNC(MOD(($Z811*1103515245 +12345)/ 65536, 32768),0)/32768),0))</f>
        <v>15</v>
      </c>
      <c r="N811" s="16" t="e">
        <f t="shared" ca="1" si="52"/>
        <v>#NAME?</v>
      </c>
      <c r="O811" s="153">
        <f ca="1">VLOOKUP($AB$2,'RF Mod'!$A$2:$G$12,5,FALSE)+VLOOKUP($AD$2,'RF Mod'!$I$2:$O$11,5,FALSE)+(TRUNC(6+(24-6)*(TRUNC(MOD(($Z811*1103515245 +12345)/ 65536, 32768),0)/32768),0))</f>
        <v>18</v>
      </c>
      <c r="P811" s="16" t="e">
        <f t="shared" ca="1" si="53"/>
        <v>#NAME?</v>
      </c>
      <c r="Q811" s="153">
        <f ca="1">VLOOKUP($AB$2,'RF Mod'!$A$2:$G$12,6,FALSE)+VLOOKUP($AD$2,'RF Mod'!$I$2:$O$11,6,FALSE)+(TRUNC(6+(24-6)*(TRUNC(MOD(($Z811*1103515245 +12345)/ 65536, 32768),0)/32768),0))</f>
        <v>16</v>
      </c>
      <c r="R811" s="16" t="e">
        <f t="shared" ca="1" si="54"/>
        <v>#NAME?</v>
      </c>
      <c r="S811" s="154">
        <f t="shared" ca="1" si="59"/>
        <v>160</v>
      </c>
      <c r="T811" s="154">
        <f t="shared" ca="1" si="55"/>
        <v>164</v>
      </c>
      <c r="U811" s="16" t="str">
        <f t="shared" ca="1" si="56"/>
        <v>Dead</v>
      </c>
      <c r="V811" s="155">
        <f ca="1">IFERROR(__xludf.DUMMYFUNCTION("if(W811=""Middle Age"",QUERY(NPCVar!$K$2:$N1000, ""Select L where K = '""&amp;AB811&amp;""'""),if(W811=""Old"",QUERY(NPCVar!$K$2:$N1000, ""Select M where K = '""&amp;AB811&amp;""'""),if(W811=""Venerable"",QUERY(NPCVar!$K$2:$N1000, ""Select N where K = '""&amp;AB811&amp;""'""),fa"&amp;"lse)))*X811"),60.5)</f>
        <v>60.5</v>
      </c>
      <c r="W811" s="156" t="str">
        <f t="array" ref="W811">INDEX(NPCAgeType,TRUNC(1+(4-1)*(TRUNC(MOD((X811*1103515245 +12345)/ 65536, 32768),0)/32768),0))</f>
        <v>Middle Age</v>
      </c>
      <c r="X811" s="117">
        <f t="shared" si="61"/>
        <v>2.2000000000000002</v>
      </c>
      <c r="Y811" s="157" t="e">
        <f t="array" aca="1" ref="Y811" ca="1">LOOKUP(ABS(MAX(Z811 + MIN(ABS(INDIRECT("Class Jobs!B"&amp;MATCH(E811,'Class Jobs'!$A$1:$A1000,0)&amp;":"&amp;"AF"&amp;MATCH(E811,'Class Jobs'!$A$1:$A1000,0)&amp;"")-$Z811)) * SUM(IF(MIN(ABS(INDIRECT("Class Jobs!B"&amp;MATCH(E811,'Class Jobs'!$A$1:$A1000,0)&amp;":"&amp;"AF"&amp;MATCH(E811,'Class Jobs'!$A$1:$A1000,0)&amp;"")-$Z811))=ABS(INDIRECT("Class Jobs!B"&amp;MATCH(E811,'Class Jobs'!$A$1:$A1000,0)&amp;":"&amp;"AF"&amp;MATCH(E811,'Class Jobs'!$A$1:$A1000,0)&amp;"")-$Z811),SIGN(INDIRECT("Class Jobs!B"&amp;MATCH(E811,'Class Jobs'!$A$1:A1000,0)&amp;":"&amp;"AF"&amp;MATCH(E811,'Class Jobs'!$A$1:$A1000,0)&amp;"")-$Z811),0)),0)),INDIRECT("Class Jobs!B"&amp;MATCH(E811,'Class Jobs'!$A$1:$A1000,0)&amp;":"&amp;"AF"&amp;MATCH(E811,'Class Jobs'!$A$1:$A1000,1)&amp;""),'Class Jobs'!$B$1:$AF$1)</f>
        <v>#REF!</v>
      </c>
      <c r="Z811" s="158">
        <f t="shared" si="57"/>
        <v>0.89</v>
      </c>
      <c r="AA811" s="16" t="str">
        <f t="array" ref="AA811">INDEX(NPCGender,TRUNC(1+(COUNTA(NPCGender))*(TRUNC(MOD(($B811*1103515245 +12345)/ 65536, 32768),0)/32768),0))</f>
        <v>Neutral</v>
      </c>
      <c r="AB811" s="16" t="str">
        <f t="array" ref="AB811">INDEX(NPCRace,TRUNC(1+(COUNTA(NPCRace))*(TRUNC(MOD(($B811*1103515245 +12345)/ 65536, 32768),0)/32768),0))</f>
        <v>Genasi</v>
      </c>
      <c r="AC811" s="16" t="str">
        <f t="array" ref="AC811">INDEX(NPCAL,TRUNC(1+(COUNTA(NPCAL))*(TRUNC(MOD(($B811*1103515245 +12345)/ 65536, 32768),0)/32768),0))</f>
        <v>LE</v>
      </c>
      <c r="AD811" s="72" t="str">
        <f ca="1">IFERROR(__xludf.DUMMYFUNCTION("if(V811&lt;15,QUERY(NPCVar!C:D,""Select D WHERE C = '""&amp;D811&amp;""'""),if((TRUNC(1+10)*(TRUNC(MOD((ROW(H811)*1103515245 +12345)/ 65536, 32768),0)/32768)/10) &gt; 0.85,INDEX(NPCFaction,TRUNC(1+(counta(NPCFaction)-1)*(TRUNC(MOD(($B811*1103515245 +12345)/ 65536, 3276"&amp;"8),0)/32768),0)),QUERY(NPCVar!C:D,""Select D WHERE C = '""&amp;D811&amp;""'"")))"),"Thieves Guild")</f>
        <v>Thieves Guild</v>
      </c>
      <c r="AE811" s="108" t="e">
        <f t="shared" ca="1" si="58"/>
        <v>#NAME?</v>
      </c>
      <c r="AF811" s="159">
        <f ca="1">IFERROR(__xludf.DUMMYFUNCTION("AE811*(V811 / QUERY(NPCVar!$K$2:$N$12, ""Select N WHERE K='""&amp;AB811&amp;""'""))*TRUNC(1+10)*(TRUNC(MOD(($B811*1103515245 +12345)/ 65536, 32768),0)/32768)"),2.16454406738281)</f>
        <v>2.1645440673828098</v>
      </c>
      <c r="AG811" s="16"/>
      <c r="AH811" s="77"/>
      <c r="AI811" s="114"/>
    </row>
    <row r="812" spans="1:35" ht="16.2">
      <c r="A812" s="53">
        <v>811</v>
      </c>
      <c r="B812" s="118">
        <f t="shared" si="60"/>
        <v>0.73470999999999997</v>
      </c>
      <c r="C812" s="72" t="str">
        <f t="array" ref="C812">INDEX(NPCFName,TRUNC(1+(COUNTA(NPCFName))*(TRUNC(MOD(($B812*1103515245 +12345)/ 65536, 32768),0)/32768),0))</f>
        <v>Cainon</v>
      </c>
      <c r="D812" s="16" t="str">
        <f t="array" ref="D812">INDEX(NPCLName,TRUNC(1+(COUNTA(NPCLName))*(TRUNC(MOD(($B812*1103515245 +12345)/ 65536, 32768),0)/32768),0))</f>
        <v>Fistroot</v>
      </c>
      <c r="E812" s="16" t="str">
        <f t="array" ref="E812">INDEX(NPCClass,TRUNC(1+(COUNTA(NPCClass))*(TRUNC(MOD(($B812*1103515245 +12345)/ 65536, 32768),0)/32768),0))</f>
        <v>Paladin</v>
      </c>
      <c r="F812" s="76">
        <v>1</v>
      </c>
      <c r="G812" s="153">
        <f ca="1">VLOOKUP($AB$2,'RF Mod'!$A$2:$G$12,2,FALSE)+VLOOKUP($AD$2,'RF Mod'!$I$2:$O$11,2,FALSE)+(TRUNC(6+(24-6)*(TRUNC(MOD(($Z812*1103515245 +12345)/ 65536, 32768),0)/32768),0))</f>
        <v>7</v>
      </c>
      <c r="H812" s="16">
        <f t="shared" ca="1" si="49"/>
        <v>-2</v>
      </c>
      <c r="I812" s="153">
        <f ca="1">VLOOKUP($AB$2,'RF Mod'!$A$2:$G$12,3,FALSE)+VLOOKUP($AD$2,'RF Mod'!$I$2:$O$11,3,FALSE)+(TRUNC(6+(24-6)*(TRUNC(MOD(($Z812*1103515245 +12345)/ 65536, 32768),0)/32768),0))</f>
        <v>11</v>
      </c>
      <c r="J812" s="16" t="e">
        <f t="shared" ca="1" si="50"/>
        <v>#NAME?</v>
      </c>
      <c r="K812" s="153">
        <f ca="1">VLOOKUP($AB$2,'RF Mod'!$A$2:$G$12,3,FALSE)+VLOOKUP($AD$2,'RF Mod'!$I$2:$O$11,3,FALSE)+(TRUNC(6+(24-6)*(TRUNC(MOD(($Z812*1103515245 +12345)/ 65536, 32768),0)/32768),0))</f>
        <v>11</v>
      </c>
      <c r="L812" s="16" t="e">
        <f t="shared" ca="1" si="51"/>
        <v>#NAME?</v>
      </c>
      <c r="M812" s="153">
        <f ca="1">VLOOKUP($AB$2,'RF Mod'!$A$2:$G$12,4,FALSE)+VLOOKUP($AD$2,'RF Mod'!$I$2:$O$11,4,FALSE)+(TRUNC(6+(24-6)*(TRUNC(MOD(($Z812*1103515245 +12345)/ 65536, 32768),0)/32768),0))</f>
        <v>10</v>
      </c>
      <c r="N812" s="16" t="e">
        <f t="shared" ca="1" si="52"/>
        <v>#NAME?</v>
      </c>
      <c r="O812" s="153">
        <f ca="1">VLOOKUP($AB$2,'RF Mod'!$A$2:$G$12,5,FALSE)+VLOOKUP($AD$2,'RF Mod'!$I$2:$O$11,5,FALSE)+(TRUNC(6+(24-6)*(TRUNC(MOD(($Z812*1103515245 +12345)/ 65536, 32768),0)/32768),0))</f>
        <v>13</v>
      </c>
      <c r="P812" s="16" t="e">
        <f t="shared" ca="1" si="53"/>
        <v>#NAME?</v>
      </c>
      <c r="Q812" s="153">
        <f ca="1">VLOOKUP($AB$2,'RF Mod'!$A$2:$G$12,6,FALSE)+VLOOKUP($AD$2,'RF Mod'!$I$2:$O$11,6,FALSE)+(TRUNC(6+(24-6)*(TRUNC(MOD(($Z812*1103515245 +12345)/ 65536, 32768),0)/32768),0))</f>
        <v>11</v>
      </c>
      <c r="R812" s="16" t="e">
        <f t="shared" ca="1" si="54"/>
        <v>#NAME?</v>
      </c>
      <c r="S812" s="154">
        <f t="shared" ca="1" si="59"/>
        <v>21</v>
      </c>
      <c r="T812" s="154">
        <f t="shared" ca="1" si="55"/>
        <v>18</v>
      </c>
      <c r="U812" s="16" t="str">
        <f t="shared" ca="1" si="56"/>
        <v>Bloody</v>
      </c>
      <c r="V812" s="155">
        <f ca="1">IFERROR(__xludf.DUMMYFUNCTION("if(W812=""Middle Age"",QUERY(NPCVar!$K$2:$N1000, ""Select L where K = '""&amp;AB812&amp;""'""),if(W812=""Old"",QUERY(NPCVar!$K$2:$N1000, ""Select M where K = '""&amp;AB812&amp;""'""),if(W812=""Venerable"",QUERY(NPCVar!$K$2:$N1000, ""Select N where K = '""&amp;AB812&amp;""'""),fa"&amp;"lse)))*X812"),67.5)</f>
        <v>67.5</v>
      </c>
      <c r="W812" s="156" t="str">
        <f t="array" ref="W812">INDEX(NPCAgeType,TRUNC(1+(4-1)*(TRUNC(MOD((X812*1103515245 +12345)/ 65536, 32768),0)/32768),0))</f>
        <v>Old</v>
      </c>
      <c r="X812" s="117">
        <f t="shared" si="61"/>
        <v>1</v>
      </c>
      <c r="Y812" s="157" t="e">
        <f t="array" aca="1" ref="Y812" ca="1">LOOKUP(ABS(MAX(Z812 + MIN(ABS(INDIRECT("Class Jobs!B"&amp;MATCH(E812,'Class Jobs'!$A$1:$A1000,0)&amp;":"&amp;"AF"&amp;MATCH(E812,'Class Jobs'!$A$1:$A1000,0)&amp;"")-$Z812)) * SUM(IF(MIN(ABS(INDIRECT("Class Jobs!B"&amp;MATCH(E812,'Class Jobs'!$A$1:$A1000,0)&amp;":"&amp;"AF"&amp;MATCH(E812,'Class Jobs'!$A$1:$A1000,0)&amp;"")-$Z812))=ABS(INDIRECT("Class Jobs!B"&amp;MATCH(E812,'Class Jobs'!$A$1:$A1000,0)&amp;":"&amp;"AF"&amp;MATCH(E812,'Class Jobs'!$A$1:$A1000,0)&amp;"")-$Z812),SIGN(INDIRECT("Class Jobs!B"&amp;MATCH(E812,'Class Jobs'!$A$1:A1000,0)&amp;":"&amp;"AF"&amp;MATCH(E812,'Class Jobs'!$A$1:$A1000,0)&amp;"")-$Z812),0)),0)),INDIRECT("Class Jobs!B"&amp;MATCH(E812,'Class Jobs'!$A$1:$A1000,0)&amp;":"&amp;"AF"&amp;MATCH(E812,'Class Jobs'!$A$1:$A1000,1)&amp;""),'Class Jobs'!$B$1:$AF$1)</f>
        <v>#REF!</v>
      </c>
      <c r="Z812" s="158">
        <f t="shared" si="57"/>
        <v>0.38</v>
      </c>
      <c r="AA812" s="16" t="str">
        <f t="array" ref="AA812">INDEX(NPCGender,TRUNC(1+(COUNTA(NPCGender))*(TRUNC(MOD(($B812*1103515245 +12345)/ 65536, 32768),0)/32768),0))</f>
        <v>Female</v>
      </c>
      <c r="AB812" s="16" t="str">
        <f t="array" ref="AB812">INDEX(NPCRace,TRUNC(1+(COUNTA(NPCRace))*(TRUNC(MOD(($B812*1103515245 +12345)/ 65536, 32768),0)/32768),0))</f>
        <v>Half-Elf</v>
      </c>
      <c r="AC812" s="16" t="str">
        <f t="array" ref="AC812">INDEX(NPCAL,TRUNC(1+(COUNTA(NPCAL))*(TRUNC(MOD(($B812*1103515245 +12345)/ 65536, 32768),0)/32768),0))</f>
        <v>NG</v>
      </c>
      <c r="AD812" s="72" t="str">
        <f ca="1">IFERROR(__xludf.DUMMYFUNCTION("if(V812&lt;15,QUERY(NPCVar!C:D,""Select D WHERE C = '""&amp;D812&amp;""'""),if((TRUNC(1+10)*(TRUNC(MOD((ROW(H812)*1103515245 +12345)/ 65536, 32768),0)/32768)/10) &gt; 0.85,INDEX(NPCFaction,TRUNC(1+(counta(NPCFaction)-1)*(TRUNC(MOD(($B812*1103515245 +12345)/ 65536, 3276"&amp;"8),0)/32768),0)),QUERY(NPCVar!C:D,""Select D WHERE C = '""&amp;D812&amp;""'"")))"),"Magic Guild")</f>
        <v>Magic Guild</v>
      </c>
      <c r="AE812" s="108" t="e">
        <f t="shared" ca="1" si="58"/>
        <v>#NAME?</v>
      </c>
      <c r="AF812" s="159">
        <f ca="1">IFERROR(__xludf.DUMMYFUNCTION("AE812*(V812 / QUERY(NPCVar!$K$2:$N$12, ""Select N WHERE K='""&amp;AB812&amp;""'""))*TRUNC(1+10)*(TRUNC(MOD(($B812*1103515245 +12345)/ 65536, 32768),0)/32768)"),0.934394073486328)</f>
        <v>0.93439407348632797</v>
      </c>
      <c r="AG812" s="16"/>
      <c r="AH812" s="77"/>
      <c r="AI812" s="114"/>
    </row>
    <row r="813" spans="1:35" ht="16.2">
      <c r="A813" s="53">
        <v>812</v>
      </c>
      <c r="B813" s="118">
        <f t="shared" si="60"/>
        <v>2.22885</v>
      </c>
      <c r="C813" s="72" t="str">
        <f t="array" ref="C813">INDEX(NPCFName,TRUNC(1+(COUNTA(NPCFName))*(TRUNC(MOD(($B813*1103515245 +12345)/ 65536, 32768),0)/32768),0))</f>
        <v>Isen</v>
      </c>
      <c r="D813" s="16" t="str">
        <f t="array" ref="D813">INDEX(NPCLName,TRUNC(1+(COUNTA(NPCLName))*(TRUNC(MOD(($B813*1103515245 +12345)/ 65536, 32768),0)/32768),0))</f>
        <v>Fistwing</v>
      </c>
      <c r="E813" s="16" t="str">
        <f t="array" ref="E813">INDEX(NPCClass,TRUNC(1+(COUNTA(NPCClass))*(TRUNC(MOD(($B813*1103515245 +12345)/ 65536, 32768),0)/32768),0))</f>
        <v>Bard</v>
      </c>
      <c r="F813" s="76">
        <v>1</v>
      </c>
      <c r="G813" s="153">
        <f ca="1">VLOOKUP($AB$2,'RF Mod'!$A$2:$G$12,2,FALSE)+VLOOKUP($AD$2,'RF Mod'!$I$2:$O$11,2,FALSE)+(TRUNC(6+(24-6)*(TRUNC(MOD(($Z813*1103515245 +12345)/ 65536, 32768),0)/32768),0))</f>
        <v>5</v>
      </c>
      <c r="H813" s="16">
        <f t="shared" ca="1" si="49"/>
        <v>-3</v>
      </c>
      <c r="I813" s="153">
        <f ca="1">VLOOKUP($AB$2,'RF Mod'!$A$2:$G$12,3,FALSE)+VLOOKUP($AD$2,'RF Mod'!$I$2:$O$11,3,FALSE)+(TRUNC(6+(24-6)*(TRUNC(MOD(($Z813*1103515245 +12345)/ 65536, 32768),0)/32768),0))</f>
        <v>9</v>
      </c>
      <c r="J813" s="16">
        <f t="shared" ca="1" si="50"/>
        <v>-1</v>
      </c>
      <c r="K813" s="153">
        <f ca="1">VLOOKUP($AB$2,'RF Mod'!$A$2:$G$12,3,FALSE)+VLOOKUP($AD$2,'RF Mod'!$I$2:$O$11,3,FALSE)+(TRUNC(6+(24-6)*(TRUNC(MOD(($Z813*1103515245 +12345)/ 65536, 32768),0)/32768),0))</f>
        <v>9</v>
      </c>
      <c r="L813" s="16">
        <f t="shared" ca="1" si="51"/>
        <v>-1</v>
      </c>
      <c r="M813" s="153">
        <f ca="1">VLOOKUP($AB$2,'RF Mod'!$A$2:$G$12,4,FALSE)+VLOOKUP($AD$2,'RF Mod'!$I$2:$O$11,4,FALSE)+(TRUNC(6+(24-6)*(TRUNC(MOD(($Z813*1103515245 +12345)/ 65536, 32768),0)/32768),0))</f>
        <v>8</v>
      </c>
      <c r="N813" s="16">
        <f t="shared" ca="1" si="52"/>
        <v>-1</v>
      </c>
      <c r="O813" s="153">
        <f ca="1">VLOOKUP($AB$2,'RF Mod'!$A$2:$G$12,5,FALSE)+VLOOKUP($AD$2,'RF Mod'!$I$2:$O$11,5,FALSE)+(TRUNC(6+(24-6)*(TRUNC(MOD(($Z813*1103515245 +12345)/ 65536, 32768),0)/32768),0))</f>
        <v>11</v>
      </c>
      <c r="P813" s="16" t="e">
        <f t="shared" ca="1" si="53"/>
        <v>#NAME?</v>
      </c>
      <c r="Q813" s="153">
        <f ca="1">VLOOKUP($AB$2,'RF Mod'!$A$2:$G$12,6,FALSE)+VLOOKUP($AD$2,'RF Mod'!$I$2:$O$11,6,FALSE)+(TRUNC(6+(24-6)*(TRUNC(MOD(($Z813*1103515245 +12345)/ 65536, 32768),0)/32768),0))</f>
        <v>9</v>
      </c>
      <c r="R813" s="16">
        <f t="shared" ca="1" si="54"/>
        <v>-1</v>
      </c>
      <c r="S813" s="154">
        <f t="shared" ca="1" si="59"/>
        <v>11</v>
      </c>
      <c r="T813" s="154">
        <f t="shared" ca="1" si="55"/>
        <v>1</v>
      </c>
      <c r="U813" s="16" t="str">
        <f t="shared" ca="1" si="56"/>
        <v>Fine</v>
      </c>
      <c r="V813" s="155">
        <f ca="1">IFERROR(__xludf.DUMMYFUNCTION("if(W813=""Middle Age"",QUERY(NPCVar!$K$2:$N1000, ""Select L where K = '""&amp;AB813&amp;""'""),if(W813=""Old"",QUERY(NPCVar!$K$2:$N1000, ""Select M where K = '""&amp;AB813&amp;""'""),if(W813=""Venerable"",QUERY(NPCVar!$K$2:$N1000, ""Select N where K = '""&amp;AB813&amp;""'""),fa"&amp;"lse)))*X813"),32)</f>
        <v>32</v>
      </c>
      <c r="W813" s="156" t="str">
        <f t="array" ref="W813">INDEX(NPCAgeType,TRUNC(1+(4-1)*(TRUNC(MOD((X813*1103515245 +12345)/ 65536, 32768),0)/32768),0))</f>
        <v>Middle Age</v>
      </c>
      <c r="X813" s="117">
        <f t="shared" si="61"/>
        <v>0.4</v>
      </c>
      <c r="Y813" s="157" t="e">
        <f t="array" aca="1" ref="Y813" ca="1">LOOKUP(ABS(MAX(Z813 + MIN(ABS(INDIRECT("Class Jobs!B"&amp;MATCH(E813,'Class Jobs'!$A$1:$A1000,0)&amp;":"&amp;"AF"&amp;MATCH(E813,'Class Jobs'!$A$1:$A1000,0)&amp;"")-$Z813)) * SUM(IF(MIN(ABS(INDIRECT("Class Jobs!B"&amp;MATCH(E813,'Class Jobs'!$A$1:$A1000,0)&amp;":"&amp;"AF"&amp;MATCH(E813,'Class Jobs'!$A$1:$A1000,0)&amp;"")-$Z813))=ABS(INDIRECT("Class Jobs!B"&amp;MATCH(E813,'Class Jobs'!$A$1:$A1000,0)&amp;":"&amp;"AF"&amp;MATCH(E813,'Class Jobs'!$A$1:$A1000,0)&amp;"")-$Z813),SIGN(INDIRECT("Class Jobs!B"&amp;MATCH(E813,'Class Jobs'!$A$1:A1000,0)&amp;":"&amp;"AF"&amp;MATCH(E813,'Class Jobs'!$A$1:$A1000,0)&amp;"")-$Z813),0)),0)),INDIRECT("Class Jobs!B"&amp;MATCH(E813,'Class Jobs'!$A$1:$A1000,0)&amp;":"&amp;"AF"&amp;MATCH(E813,'Class Jobs'!$A$1:$A1000,1)&amp;""),'Class Jobs'!$B$1:$AF$1)</f>
        <v>#REF!</v>
      </c>
      <c r="Z813" s="158">
        <f t="shared" si="57"/>
        <v>0.15</v>
      </c>
      <c r="AA813" s="16" t="str">
        <f t="array" ref="AA813">INDEX(NPCGender,TRUNC(1+(COUNTA(NPCGender))*(TRUNC(MOD(($B813*1103515245 +12345)/ 65536, 32768),0)/32768),0))</f>
        <v>Male</v>
      </c>
      <c r="AB813" s="16" t="str">
        <f t="array" ref="AB813">INDEX(NPCRace,TRUNC(1+(COUNTA(NPCRace))*(TRUNC(MOD(($B813*1103515245 +12345)/ 65536, 32768),0)/32768),0))</f>
        <v>Dwarf</v>
      </c>
      <c r="AC813" s="16" t="str">
        <f t="array" ref="AC813">INDEX(NPCAL,TRUNC(1+(COUNTA(NPCAL))*(TRUNC(MOD(($B813*1103515245 +12345)/ 65536, 32768),0)/32768),0))</f>
        <v>CE</v>
      </c>
      <c r="AD813" s="72" t="str">
        <f ca="1">IFERROR(__xludf.DUMMYFUNCTION("if(V813&lt;15,QUERY(NPCVar!C:D,""Select D WHERE C = '""&amp;D813&amp;""'""),if((TRUNC(1+10)*(TRUNC(MOD((ROW(H813)*1103515245 +12345)/ 65536, 32768),0)/32768)/10) &gt; 0.85,INDEX(NPCFaction,TRUNC(1+(counta(NPCFaction)-1)*(TRUNC(MOD(($B813*1103515245 +12345)/ 65536, 3276"&amp;"8),0)/32768),0)),QUERY(NPCVar!C:D,""Select D WHERE C = '""&amp;D813&amp;""'"")))"),"Royalty")</f>
        <v>Royalty</v>
      </c>
      <c r="AE813" s="108" t="e">
        <f t="shared" ca="1" si="58"/>
        <v>#NAME?</v>
      </c>
      <c r="AF813" s="159">
        <f ca="1">IFERROR(__xludf.DUMMYFUNCTION("AE813*(V813 / QUERY(NPCVar!$K$2:$N$12, ""Select N WHERE K='""&amp;AB813&amp;""'""))*TRUNC(1+10)*(TRUNC(MOD(($B813*1103515245 +12345)/ 65536, 32768),0)/32768)"),0)</f>
        <v>0</v>
      </c>
      <c r="AG813" s="16"/>
      <c r="AH813" s="77"/>
      <c r="AI813" s="114"/>
    </row>
    <row r="814" spans="1:35" ht="16.2">
      <c r="A814" s="53">
        <v>813</v>
      </c>
      <c r="B814" s="118">
        <f t="shared" si="60"/>
        <v>1.22299</v>
      </c>
      <c r="C814" s="72" t="str">
        <f t="array" ref="C814">INDEX(NPCFName,TRUNC(1+(COUNTA(NPCFName))*(TRUNC(MOD(($B814*1103515245 +12345)/ 65536, 32768),0)/32768),0))</f>
        <v>Ugmar</v>
      </c>
      <c r="D814" s="16" t="str">
        <f t="array" ref="D814">INDEX(NPCLName,TRUNC(1+(COUNTA(NPCLName))*(TRUNC(MOD(($B814*1103515245 +12345)/ 65536, 32768),0)/32768),0))</f>
        <v>Gloomrage</v>
      </c>
      <c r="E814" s="16" t="str">
        <f t="array" ref="E814">INDEX(NPCClass,TRUNC(1+(COUNTA(NPCClass))*(TRUNC(MOD(($B814*1103515245 +12345)/ 65536, 32768),0)/32768),0))</f>
        <v>Warlock</v>
      </c>
      <c r="F814" s="76">
        <v>8</v>
      </c>
      <c r="G814" s="153">
        <f ca="1">VLOOKUP($AB$2,'RF Mod'!$A$2:$G$12,2,FALSE)+VLOOKUP($AD$2,'RF Mod'!$I$2:$O$11,2,FALSE)+(TRUNC(6+(24-6)*(TRUNC(MOD(($Z814*1103515245 +12345)/ 65536, 32768),0)/32768),0))</f>
        <v>9</v>
      </c>
      <c r="H814" s="16">
        <f t="shared" ca="1" si="49"/>
        <v>-1</v>
      </c>
      <c r="I814" s="153">
        <f ca="1">VLOOKUP($AB$2,'RF Mod'!$A$2:$G$12,3,FALSE)+VLOOKUP($AD$2,'RF Mod'!$I$2:$O$11,3,FALSE)+(TRUNC(6+(24-6)*(TRUNC(MOD(($Z814*1103515245 +12345)/ 65536, 32768),0)/32768),0))</f>
        <v>13</v>
      </c>
      <c r="J814" s="16" t="e">
        <f t="shared" ca="1" si="50"/>
        <v>#NAME?</v>
      </c>
      <c r="K814" s="153">
        <f ca="1">VLOOKUP($AB$2,'RF Mod'!$A$2:$G$12,3,FALSE)+VLOOKUP($AD$2,'RF Mod'!$I$2:$O$11,3,FALSE)+(TRUNC(6+(24-6)*(TRUNC(MOD(($Z814*1103515245 +12345)/ 65536, 32768),0)/32768),0))</f>
        <v>13</v>
      </c>
      <c r="L814" s="16" t="e">
        <f t="shared" ca="1" si="51"/>
        <v>#NAME?</v>
      </c>
      <c r="M814" s="153">
        <f ca="1">VLOOKUP($AB$2,'RF Mod'!$A$2:$G$12,4,FALSE)+VLOOKUP($AD$2,'RF Mod'!$I$2:$O$11,4,FALSE)+(TRUNC(6+(24-6)*(TRUNC(MOD(($Z814*1103515245 +12345)/ 65536, 32768),0)/32768),0))</f>
        <v>12</v>
      </c>
      <c r="N814" s="16" t="e">
        <f t="shared" ca="1" si="52"/>
        <v>#NAME?</v>
      </c>
      <c r="O814" s="153">
        <f ca="1">VLOOKUP($AB$2,'RF Mod'!$A$2:$G$12,5,FALSE)+VLOOKUP($AD$2,'RF Mod'!$I$2:$O$11,5,FALSE)+(TRUNC(6+(24-6)*(TRUNC(MOD(($Z814*1103515245 +12345)/ 65536, 32768),0)/32768),0))</f>
        <v>15</v>
      </c>
      <c r="P814" s="16" t="e">
        <f t="shared" ca="1" si="53"/>
        <v>#NAME?</v>
      </c>
      <c r="Q814" s="153">
        <f ca="1">VLOOKUP($AB$2,'RF Mod'!$A$2:$G$12,6,FALSE)+VLOOKUP($AD$2,'RF Mod'!$I$2:$O$11,6,FALSE)+(TRUNC(6+(24-6)*(TRUNC(MOD(($Z814*1103515245 +12345)/ 65536, 32768),0)/32768),0))</f>
        <v>13</v>
      </c>
      <c r="R814" s="16" t="e">
        <f t="shared" ca="1" si="54"/>
        <v>#NAME?</v>
      </c>
      <c r="S814" s="154">
        <f t="shared" ca="1" si="59"/>
        <v>184</v>
      </c>
      <c r="T814" s="154">
        <f t="shared" ca="1" si="55"/>
        <v>119</v>
      </c>
      <c r="U814" s="16" t="str">
        <f t="shared" ca="1" si="56"/>
        <v>Bloody</v>
      </c>
      <c r="V814" s="155">
        <f ca="1">IFERROR(__xludf.DUMMYFUNCTION("if(W814=""Middle Age"",QUERY(NPCVar!$K$2:$N1000, ""Select L where K = '""&amp;AB814&amp;""'""),if(W814=""Old"",QUERY(NPCVar!$K$2:$N1000, ""Select M where K = '""&amp;AB814&amp;""'""),if(W814=""Venerable"",QUERY(NPCVar!$K$2:$N1000, ""Select N where K = '""&amp;AB814&amp;""'""),fa"&amp;"lse)))*X814"),320)</f>
        <v>320</v>
      </c>
      <c r="W814" s="156" t="str">
        <f t="array" ref="W814">INDEX(NPCAgeType,TRUNC(1+(4-1)*(TRUNC(MOD((X814*1103515245 +12345)/ 65536, 32768),0)/32768),0))</f>
        <v>Venerable</v>
      </c>
      <c r="X814" s="117">
        <f t="shared" si="61"/>
        <v>1.6</v>
      </c>
      <c r="Y814" s="157" t="e">
        <f t="array" aca="1" ref="Y814" ca="1">LOOKUP(ABS(MAX(Z814 + MIN(ABS(INDIRECT("Class Jobs!B"&amp;MATCH(E814,'Class Jobs'!$A$1:$A1000,0)&amp;":"&amp;"AF"&amp;MATCH(E814,'Class Jobs'!$A$1:$A1000,0)&amp;"")-$Z814)) * SUM(IF(MIN(ABS(INDIRECT("Class Jobs!B"&amp;MATCH(E814,'Class Jobs'!$A$1:$A1000,0)&amp;":"&amp;"AF"&amp;MATCH(E814,'Class Jobs'!$A$1:$A1000,0)&amp;"")-$Z814))=ABS(INDIRECT("Class Jobs!B"&amp;MATCH(E814,'Class Jobs'!$A$1:$A1000,0)&amp;":"&amp;"AF"&amp;MATCH(E814,'Class Jobs'!$A$1:$A1000,0)&amp;"")-$Z814),SIGN(INDIRECT("Class Jobs!B"&amp;MATCH(E814,'Class Jobs'!$A$1:A1000,0)&amp;":"&amp;"AF"&amp;MATCH(E814,'Class Jobs'!$A$1:$A1000,0)&amp;"")-$Z814),0)),0)),INDIRECT("Class Jobs!B"&amp;MATCH(E814,'Class Jobs'!$A$1:$A1000,0)&amp;":"&amp;"AF"&amp;MATCH(E814,'Class Jobs'!$A$1:$A1000,1)&amp;""),'Class Jobs'!$B$1:$AF$1)</f>
        <v>#REF!</v>
      </c>
      <c r="Z814" s="158">
        <f t="shared" si="57"/>
        <v>0.63</v>
      </c>
      <c r="AA814" s="16" t="str">
        <f t="array" ref="AA814">INDEX(NPCGender,TRUNC(1+(COUNTA(NPCGender))*(TRUNC(MOD(($B814*1103515245 +12345)/ 65536, 32768),0)/32768),0))</f>
        <v>Female</v>
      </c>
      <c r="AB814" s="16" t="str">
        <f t="array" ref="AB814">INDEX(NPCRace,TRUNC(1+(COUNTA(NPCRace))*(TRUNC(MOD(($B814*1103515245 +12345)/ 65536, 32768),0)/32768),0))</f>
        <v>Halfling</v>
      </c>
      <c r="AC814" s="16" t="str">
        <f t="array" ref="AC814">INDEX(NPCAL,TRUNC(1+(COUNTA(NPCAL))*(TRUNC(MOD(($B814*1103515245 +12345)/ 65536, 32768),0)/32768),0))</f>
        <v>NE</v>
      </c>
      <c r="AD814" s="72" t="str">
        <f ca="1">IFERROR(__xludf.DUMMYFUNCTION("if(V814&lt;15,QUERY(NPCVar!C:D,""Select D WHERE C = '""&amp;D814&amp;""'""),if((TRUNC(1+10)*(TRUNC(MOD((ROW(H814)*1103515245 +12345)/ 65536, 32768),0)/32768)/10) &gt; 0.85,INDEX(NPCFaction,TRUNC(1+(counta(NPCFaction)-1)*(TRUNC(MOD(($B814*1103515245 +12345)/ 65536, 3276"&amp;"8),0)/32768),0)),QUERY(NPCVar!C:D,""Select D WHERE C = '""&amp;D814&amp;""'"")))"),"Traders Guild")</f>
        <v>Traders Guild</v>
      </c>
      <c r="AE814" s="108" t="e">
        <f t="shared" ca="1" si="58"/>
        <v>#NAME?</v>
      </c>
      <c r="AF814" s="159">
        <f ca="1">IFERROR(__xludf.DUMMYFUNCTION("AE814*(V814 / QUERY(NPCVar!$K$2:$N$12, ""Select N WHERE K='""&amp;AB814&amp;""'""))*TRUNC(1+10)*(TRUNC(MOD(($B814*1103515245 +12345)/ 65536, 32768),0)/32768)"),8.8485546875)</f>
        <v>8.8485546875000001</v>
      </c>
      <c r="AG814" s="16"/>
      <c r="AH814" s="77"/>
      <c r="AI814" s="114"/>
    </row>
    <row r="815" spans="1:35" ht="16.2">
      <c r="A815" s="53">
        <v>814</v>
      </c>
      <c r="B815" s="118">
        <f t="shared" si="60"/>
        <v>0.21714</v>
      </c>
      <c r="C815" s="72" t="str">
        <f t="array" ref="C815">INDEX(NPCFName,TRUNC(1+(COUNTA(NPCFName))*(TRUNC(MOD(($B815*1103515245 +12345)/ 65536, 32768),0)/32768),0))</f>
        <v>Folmard</v>
      </c>
      <c r="D815" s="16" t="str">
        <f t="array" ref="D815">INDEX(NPCLName,TRUNC(1+(COUNTA(NPCLName))*(TRUNC(MOD(($B815*1103515245 +12345)/ 65536, 32768),0)/32768),0))</f>
        <v>Distantlash</v>
      </c>
      <c r="E815" s="16" t="str">
        <f t="array" ref="E815">INDEX(NPCClass,TRUNC(1+(COUNTA(NPCClass))*(TRUNC(MOD(($B815*1103515245 +12345)/ 65536, 32768),0)/32768),0))</f>
        <v>Bard</v>
      </c>
      <c r="F815" s="76">
        <v>1</v>
      </c>
      <c r="G815" s="153">
        <f ca="1">VLOOKUP($AB$2,'RF Mod'!$A$2:$G$12,2,FALSE)+VLOOKUP($AD$2,'RF Mod'!$I$2:$O$11,2,FALSE)+(TRUNC(6+(24-6)*(TRUNC(MOD(($Z815*1103515245 +12345)/ 65536, 32768),0)/32768),0))</f>
        <v>5</v>
      </c>
      <c r="H815" s="16">
        <f t="shared" ca="1" si="49"/>
        <v>-3</v>
      </c>
      <c r="I815" s="153">
        <f ca="1">VLOOKUP($AB$2,'RF Mod'!$A$2:$G$12,3,FALSE)+VLOOKUP($AD$2,'RF Mod'!$I$2:$O$11,3,FALSE)+(TRUNC(6+(24-6)*(TRUNC(MOD(($Z815*1103515245 +12345)/ 65536, 32768),0)/32768),0))</f>
        <v>9</v>
      </c>
      <c r="J815" s="16">
        <f t="shared" ca="1" si="50"/>
        <v>-1</v>
      </c>
      <c r="K815" s="153">
        <f ca="1">VLOOKUP($AB$2,'RF Mod'!$A$2:$G$12,3,FALSE)+VLOOKUP($AD$2,'RF Mod'!$I$2:$O$11,3,FALSE)+(TRUNC(6+(24-6)*(TRUNC(MOD(($Z815*1103515245 +12345)/ 65536, 32768),0)/32768),0))</f>
        <v>9</v>
      </c>
      <c r="L815" s="16">
        <f t="shared" ca="1" si="51"/>
        <v>-1</v>
      </c>
      <c r="M815" s="153">
        <f ca="1">VLOOKUP($AB$2,'RF Mod'!$A$2:$G$12,4,FALSE)+VLOOKUP($AD$2,'RF Mod'!$I$2:$O$11,4,FALSE)+(TRUNC(6+(24-6)*(TRUNC(MOD(($Z815*1103515245 +12345)/ 65536, 32768),0)/32768),0))</f>
        <v>8</v>
      </c>
      <c r="N815" s="16">
        <f t="shared" ca="1" si="52"/>
        <v>-1</v>
      </c>
      <c r="O815" s="153">
        <f ca="1">VLOOKUP($AB$2,'RF Mod'!$A$2:$G$12,5,FALSE)+VLOOKUP($AD$2,'RF Mod'!$I$2:$O$11,5,FALSE)+(TRUNC(6+(24-6)*(TRUNC(MOD(($Z815*1103515245 +12345)/ 65536, 32768),0)/32768),0))</f>
        <v>11</v>
      </c>
      <c r="P815" s="16" t="e">
        <f t="shared" ca="1" si="53"/>
        <v>#NAME?</v>
      </c>
      <c r="Q815" s="153">
        <f ca="1">VLOOKUP($AB$2,'RF Mod'!$A$2:$G$12,6,FALSE)+VLOOKUP($AD$2,'RF Mod'!$I$2:$O$11,6,FALSE)+(TRUNC(6+(24-6)*(TRUNC(MOD(($Z815*1103515245 +12345)/ 65536, 32768),0)/32768),0))</f>
        <v>9</v>
      </c>
      <c r="R815" s="16">
        <f t="shared" ca="1" si="54"/>
        <v>-1</v>
      </c>
      <c r="S815" s="154">
        <f t="shared" ca="1" si="59"/>
        <v>11</v>
      </c>
      <c r="T815" s="154">
        <f t="shared" ca="1" si="55"/>
        <v>8</v>
      </c>
      <c r="U815" s="16" t="str">
        <f t="shared" ca="1" si="56"/>
        <v>Bloody</v>
      </c>
      <c r="V815" s="155">
        <f ca="1">IFERROR(__xludf.DUMMYFUNCTION("if(W815=""Middle Age"",QUERY(NPCVar!$K$2:$N1000, ""Select L where K = '""&amp;AB815&amp;""'""),if(W815=""Old"",QUERY(NPCVar!$K$2:$N1000, ""Select M where K = '""&amp;AB815&amp;""'""),if(W815=""Venerable"",QUERY(NPCVar!$K$2:$N1000, ""Select N where K = '""&amp;AB815&amp;""'""),fa"&amp;"lse)))*X815"),24)</f>
        <v>24</v>
      </c>
      <c r="W815" s="156" t="str">
        <f t="array" ref="W815">INDEX(NPCAgeType,TRUNC(1+(4-1)*(TRUNC(MOD((X815*1103515245 +12345)/ 65536, 32768),0)/32768),0))</f>
        <v>Middle Age</v>
      </c>
      <c r="X815" s="117">
        <f t="shared" si="61"/>
        <v>0.3</v>
      </c>
      <c r="Y815" s="157" t="e">
        <f t="array" aca="1" ref="Y815" ca="1">LOOKUP(ABS(MAX(Z815 + MIN(ABS(INDIRECT("Class Jobs!B"&amp;MATCH(E815,'Class Jobs'!$A$1:$A1000,0)&amp;":"&amp;"AF"&amp;MATCH(E815,'Class Jobs'!$A$1:$A1000,0)&amp;"")-$Z815)) * SUM(IF(MIN(ABS(INDIRECT("Class Jobs!B"&amp;MATCH(E815,'Class Jobs'!$A$1:$A1000,0)&amp;":"&amp;"AF"&amp;MATCH(E815,'Class Jobs'!$A$1:$A1000,0)&amp;"")-$Z815))=ABS(INDIRECT("Class Jobs!B"&amp;MATCH(E815,'Class Jobs'!$A$1:$A1000,0)&amp;":"&amp;"AF"&amp;MATCH(E815,'Class Jobs'!$A$1:$A1000,0)&amp;"")-$Z815),SIGN(INDIRECT("Class Jobs!B"&amp;MATCH(E815,'Class Jobs'!$A$1:A1000,0)&amp;":"&amp;"AF"&amp;MATCH(E815,'Class Jobs'!$A$1:$A1000,0)&amp;"")-$Z815),0)),0)),INDIRECT("Class Jobs!B"&amp;MATCH(E815,'Class Jobs'!$A$1:$A1000,0)&amp;":"&amp;"AF"&amp;MATCH(E815,'Class Jobs'!$A$1:$A1000,1)&amp;""),'Class Jobs'!$B$1:$AF$1)</f>
        <v>#REF!</v>
      </c>
      <c r="Z815" s="158">
        <f t="shared" si="57"/>
        <v>0.12</v>
      </c>
      <c r="AA815" s="16" t="str">
        <f t="array" ref="AA815">INDEX(NPCGender,TRUNC(1+(COUNTA(NPCGender))*(TRUNC(MOD(($B815*1103515245 +12345)/ 65536, 32768),0)/32768),0))</f>
        <v>Male</v>
      </c>
      <c r="AB815" s="16" t="str">
        <f t="array" ref="AB815">INDEX(NPCRace,TRUNC(1+(COUNTA(NPCRace))*(TRUNC(MOD(($B815*1103515245 +12345)/ 65536, 32768),0)/32768),0))</f>
        <v>Dwarf</v>
      </c>
      <c r="AC815" s="16" t="str">
        <f t="array" ref="AC815">INDEX(NPCAL,TRUNC(1+(COUNTA(NPCAL))*(TRUNC(MOD(($B815*1103515245 +12345)/ 65536, 32768),0)/32768),0))</f>
        <v>CE</v>
      </c>
      <c r="AD815" s="72" t="str">
        <f ca="1">IFERROR(__xludf.DUMMYFUNCTION("if(V815&lt;15,QUERY(NPCVar!C:D,""Select D WHERE C = '""&amp;D815&amp;""'""),if((TRUNC(1+10)*(TRUNC(MOD((ROW(H815)*1103515245 +12345)/ 65536, 32768),0)/32768)/10) &gt; 0.85,INDEX(NPCFaction,TRUNC(1+(counta(NPCFaction)-1)*(TRUNC(MOD(($B815*1103515245 +12345)/ 65536, 3276"&amp;"8),0)/32768),0)),QUERY(NPCVar!C:D,""Select D WHERE C = '""&amp;D815&amp;""'"")))"),"Necromancer")</f>
        <v>Necromancer</v>
      </c>
      <c r="AE815" s="108" t="e">
        <f t="shared" ca="1" si="58"/>
        <v>#NAME?</v>
      </c>
      <c r="AF815" s="159">
        <f ca="1">IFERROR(__xludf.DUMMYFUNCTION("AE815*(V815 / QUERY(NPCVar!$K$2:$N$12, ""Select N WHERE K='""&amp;AB815&amp;""'""))*TRUNC(1+10)*(TRUNC(MOD(($B815*1103515245 +12345)/ 65536, 32768),0)/32768)"),0)</f>
        <v>0</v>
      </c>
      <c r="AG815" s="16"/>
      <c r="AH815" s="77"/>
      <c r="AI815" s="114"/>
    </row>
    <row r="816" spans="1:35" ht="16.2">
      <c r="A816" s="53">
        <v>815</v>
      </c>
      <c r="B816" s="118">
        <f t="shared" si="60"/>
        <v>1.7112700000000001</v>
      </c>
      <c r="C816" s="72" t="str">
        <f t="array" ref="C816">INDEX(NPCFName,TRUNC(1+(COUNTA(NPCFName))*(TRUNC(MOD(($B816*1103515245 +12345)/ 65536, 32768),0)/32768),0))</f>
        <v>Occelot</v>
      </c>
      <c r="D816" s="16" t="str">
        <f t="array" ref="D816">INDEX(NPCLName,TRUNC(1+(COUNTA(NPCLName))*(TRUNC(MOD(($B816*1103515245 +12345)/ 65536, 32768),0)/32768),0))</f>
        <v>Forestbluff</v>
      </c>
      <c r="E816" s="16" t="str">
        <f t="array" ref="E816">INDEX(NPCClass,TRUNC(1+(COUNTA(NPCClass))*(TRUNC(MOD(($B816*1103515245 +12345)/ 65536, 32768),0)/32768),0))</f>
        <v>Fighter</v>
      </c>
      <c r="F816" s="76">
        <v>8</v>
      </c>
      <c r="G816" s="153">
        <f ca="1">VLOOKUP($AB$2,'RF Mod'!$A$2:$G$12,2,FALSE)+VLOOKUP($AD$2,'RF Mod'!$I$2:$O$11,2,FALSE)+(TRUNC(6+(24-6)*(TRUNC(MOD(($Z816*1103515245 +12345)/ 65536, 32768),0)/32768),0))</f>
        <v>12</v>
      </c>
      <c r="H816" s="16" t="e">
        <f t="shared" ca="1" si="49"/>
        <v>#NAME?</v>
      </c>
      <c r="I816" s="153">
        <f ca="1">VLOOKUP($AB$2,'RF Mod'!$A$2:$G$12,3,FALSE)+VLOOKUP($AD$2,'RF Mod'!$I$2:$O$11,3,FALSE)+(TRUNC(6+(24-6)*(TRUNC(MOD(($Z816*1103515245 +12345)/ 65536, 32768),0)/32768),0))</f>
        <v>16</v>
      </c>
      <c r="J816" s="16" t="e">
        <f t="shared" ca="1" si="50"/>
        <v>#NAME?</v>
      </c>
      <c r="K816" s="153">
        <f ca="1">VLOOKUP($AB$2,'RF Mod'!$A$2:$G$12,3,FALSE)+VLOOKUP($AD$2,'RF Mod'!$I$2:$O$11,3,FALSE)+(TRUNC(6+(24-6)*(TRUNC(MOD(($Z816*1103515245 +12345)/ 65536, 32768),0)/32768),0))</f>
        <v>16</v>
      </c>
      <c r="L816" s="16" t="e">
        <f t="shared" ca="1" si="51"/>
        <v>#NAME?</v>
      </c>
      <c r="M816" s="153">
        <f ca="1">VLOOKUP($AB$2,'RF Mod'!$A$2:$G$12,4,FALSE)+VLOOKUP($AD$2,'RF Mod'!$I$2:$O$11,4,FALSE)+(TRUNC(6+(24-6)*(TRUNC(MOD(($Z816*1103515245 +12345)/ 65536, 32768),0)/32768),0))</f>
        <v>15</v>
      </c>
      <c r="N816" s="16" t="e">
        <f t="shared" ca="1" si="52"/>
        <v>#NAME?</v>
      </c>
      <c r="O816" s="153">
        <f ca="1">VLOOKUP($AB$2,'RF Mod'!$A$2:$G$12,5,FALSE)+VLOOKUP($AD$2,'RF Mod'!$I$2:$O$11,5,FALSE)+(TRUNC(6+(24-6)*(TRUNC(MOD(($Z816*1103515245 +12345)/ 65536, 32768),0)/32768),0))</f>
        <v>18</v>
      </c>
      <c r="P816" s="16" t="e">
        <f t="shared" ca="1" si="53"/>
        <v>#NAME?</v>
      </c>
      <c r="Q816" s="153">
        <f ca="1">VLOOKUP($AB$2,'RF Mod'!$A$2:$G$12,6,FALSE)+VLOOKUP($AD$2,'RF Mod'!$I$2:$O$11,6,FALSE)+(TRUNC(6+(24-6)*(TRUNC(MOD(($Z816*1103515245 +12345)/ 65536, 32768),0)/32768),0))</f>
        <v>16</v>
      </c>
      <c r="R816" s="16" t="e">
        <f t="shared" ca="1" si="54"/>
        <v>#NAME?</v>
      </c>
      <c r="S816" s="154">
        <f t="shared" ca="1" si="59"/>
        <v>208</v>
      </c>
      <c r="T816" s="154">
        <f t="shared" ca="1" si="55"/>
        <v>113</v>
      </c>
      <c r="U816" s="16" t="str">
        <f t="shared" ca="1" si="56"/>
        <v>Bloody</v>
      </c>
      <c r="V816" s="155">
        <f ca="1">IFERROR(__xludf.DUMMYFUNCTION("if(W816=""Middle Age"",QUERY(NPCVar!$K$2:$N1000, ""Select L where K = '""&amp;AB816&amp;""'""),if(W816=""Old"",QUERY(NPCVar!$K$2:$N1000, ""Select M where K = '""&amp;AB816&amp;""'""),if(W816=""Venerable"",QUERY(NPCVar!$K$2:$N1000, ""Select N where K = '""&amp;AB816&amp;""'""),fa"&amp;"lse)))*X816"),60.5)</f>
        <v>60.5</v>
      </c>
      <c r="W816" s="156" t="str">
        <f t="array" ref="W816">INDEX(NPCAgeType,TRUNC(1+(4-1)*(TRUNC(MOD((X816*1103515245 +12345)/ 65536, 32768),0)/32768),0))</f>
        <v>Middle Age</v>
      </c>
      <c r="X816" s="117">
        <f t="shared" si="61"/>
        <v>2.2000000000000002</v>
      </c>
      <c r="Y816" s="157" t="e">
        <f t="array" aca="1" ref="Y816" ca="1">LOOKUP(ABS(MAX(Z816 + MIN(ABS(INDIRECT("Class Jobs!B"&amp;MATCH(E816,'Class Jobs'!$A$1:$A1000,0)&amp;":"&amp;"AF"&amp;MATCH(E816,'Class Jobs'!$A$1:$A1000,0)&amp;"")-$Z816)) * SUM(IF(MIN(ABS(INDIRECT("Class Jobs!B"&amp;MATCH(E816,'Class Jobs'!$A$1:$A1000,0)&amp;":"&amp;"AF"&amp;MATCH(E816,'Class Jobs'!$A$1:$A1000,0)&amp;"")-$Z816))=ABS(INDIRECT("Class Jobs!B"&amp;MATCH(E816,'Class Jobs'!$A$1:$A1000,0)&amp;":"&amp;"AF"&amp;MATCH(E816,'Class Jobs'!$A$1:$A1000,0)&amp;"")-$Z816),SIGN(INDIRECT("Class Jobs!B"&amp;MATCH(E816,'Class Jobs'!$A$1:A1000,0)&amp;":"&amp;"AF"&amp;MATCH(E816,'Class Jobs'!$A$1:$A1000,0)&amp;"")-$Z816),0)),0)),INDIRECT("Class Jobs!B"&amp;MATCH(E816,'Class Jobs'!$A$1:$A1000,0)&amp;":"&amp;"AF"&amp;MATCH(E816,'Class Jobs'!$A$1:$A1000,1)&amp;""),'Class Jobs'!$B$1:$AF$1)</f>
        <v>#REF!</v>
      </c>
      <c r="Z816" s="158">
        <f t="shared" si="57"/>
        <v>0.88</v>
      </c>
      <c r="AA816" s="16" t="str">
        <f t="array" ref="AA816">INDEX(NPCGender,TRUNC(1+(COUNTA(NPCGender))*(TRUNC(MOD(($B816*1103515245 +12345)/ 65536, 32768),0)/32768),0))</f>
        <v>Neutral</v>
      </c>
      <c r="AB816" s="16" t="str">
        <f t="array" ref="AB816">INDEX(NPCRace,TRUNC(1+(COUNTA(NPCRace))*(TRUNC(MOD(($B816*1103515245 +12345)/ 65536, 32768),0)/32768),0))</f>
        <v>Genasi</v>
      </c>
      <c r="AC816" s="16" t="str">
        <f t="array" ref="AC816">INDEX(NPCAL,TRUNC(1+(COUNTA(NPCAL))*(TRUNC(MOD(($B816*1103515245 +12345)/ 65536, 32768),0)/32768),0))</f>
        <v>LN</v>
      </c>
      <c r="AD816" s="72" t="str">
        <f ca="1">IFERROR(__xludf.DUMMYFUNCTION("if(V816&lt;15,QUERY(NPCVar!C:D,""Select D WHERE C = '""&amp;D816&amp;""'""),if((TRUNC(1+10)*(TRUNC(MOD((ROW(H816)*1103515245 +12345)/ 65536, 32768),0)/32768)/10) &gt; 0.85,INDEX(NPCFaction,TRUNC(1+(counta(NPCFaction)-1)*(TRUNC(MOD(($B816*1103515245 +12345)/ 65536, 3276"&amp;"8),0)/32768),0)),QUERY(NPCVar!C:D,""Select D WHERE C = '""&amp;D816&amp;""'"")))"),"Thieves Guild")</f>
        <v>Thieves Guild</v>
      </c>
      <c r="AE816" s="108" t="e">
        <f t="shared" ca="1" si="58"/>
        <v>#NAME?</v>
      </c>
      <c r="AF816" s="159">
        <f ca="1">IFERROR(__xludf.DUMMYFUNCTION("AE816*(V816 / QUERY(NPCVar!$K$2:$N$12, ""Select N WHERE K='""&amp;AB816&amp;""'""))*TRUNC(1+10)*(TRUNC(MOD(($B816*1103515245 +12345)/ 65536, 32768),0)/32768)"),4.78813705444336)</f>
        <v>4.7881370544433599</v>
      </c>
      <c r="AG816" s="16"/>
      <c r="AH816" s="77"/>
      <c r="AI816" s="114"/>
    </row>
    <row r="817" spans="1:35" ht="16.2">
      <c r="A817" s="53">
        <v>816</v>
      </c>
      <c r="B817" s="118">
        <f t="shared" si="60"/>
        <v>0.70542000000000005</v>
      </c>
      <c r="C817" s="72" t="str">
        <f t="array" ref="C817">INDEX(NPCFName,TRUNC(1+(COUNTA(NPCFName))*(TRUNC(MOD(($B817*1103515245 +12345)/ 65536, 32768),0)/32768),0))</f>
        <v>Beeron</v>
      </c>
      <c r="D817" s="16" t="str">
        <f t="array" ref="D817">INDEX(NPCLName,TRUNC(1+(COUNTA(NPCLName))*(TRUNC(MOD(($B817*1103515245 +12345)/ 65536, 32768),0)/32768),0))</f>
        <v>Leafblight</v>
      </c>
      <c r="E817" s="16" t="str">
        <f t="array" ref="E817">INDEX(NPCClass,TRUNC(1+(COUNTA(NPCClass))*(TRUNC(MOD(($B817*1103515245 +12345)/ 65536, 32768),0)/32768),0))</f>
        <v>Paladin</v>
      </c>
      <c r="F817" s="76">
        <v>4</v>
      </c>
      <c r="G817" s="153">
        <f ca="1">VLOOKUP($AB$2,'RF Mod'!$A$2:$G$12,2,FALSE)+VLOOKUP($AD$2,'RF Mod'!$I$2:$O$11,2,FALSE)+(TRUNC(6+(24-6)*(TRUNC(MOD(($Z817*1103515245 +12345)/ 65536, 32768),0)/32768),0))</f>
        <v>7</v>
      </c>
      <c r="H817" s="16">
        <f t="shared" ca="1" si="49"/>
        <v>-2</v>
      </c>
      <c r="I817" s="153">
        <f ca="1">VLOOKUP($AB$2,'RF Mod'!$A$2:$G$12,3,FALSE)+VLOOKUP($AD$2,'RF Mod'!$I$2:$O$11,3,FALSE)+(TRUNC(6+(24-6)*(TRUNC(MOD(($Z817*1103515245 +12345)/ 65536, 32768),0)/32768),0))</f>
        <v>11</v>
      </c>
      <c r="J817" s="16" t="e">
        <f t="shared" ca="1" si="50"/>
        <v>#NAME?</v>
      </c>
      <c r="K817" s="153">
        <f ca="1">VLOOKUP($AB$2,'RF Mod'!$A$2:$G$12,3,FALSE)+VLOOKUP($AD$2,'RF Mod'!$I$2:$O$11,3,FALSE)+(TRUNC(6+(24-6)*(TRUNC(MOD(($Z817*1103515245 +12345)/ 65536, 32768),0)/32768),0))</f>
        <v>11</v>
      </c>
      <c r="L817" s="16" t="e">
        <f t="shared" ca="1" si="51"/>
        <v>#NAME?</v>
      </c>
      <c r="M817" s="153">
        <f ca="1">VLOOKUP($AB$2,'RF Mod'!$A$2:$G$12,4,FALSE)+VLOOKUP($AD$2,'RF Mod'!$I$2:$O$11,4,FALSE)+(TRUNC(6+(24-6)*(TRUNC(MOD(($Z817*1103515245 +12345)/ 65536, 32768),0)/32768),0))</f>
        <v>10</v>
      </c>
      <c r="N817" s="16" t="e">
        <f t="shared" ca="1" si="52"/>
        <v>#NAME?</v>
      </c>
      <c r="O817" s="153">
        <f ca="1">VLOOKUP($AB$2,'RF Mod'!$A$2:$G$12,5,FALSE)+VLOOKUP($AD$2,'RF Mod'!$I$2:$O$11,5,FALSE)+(TRUNC(6+(24-6)*(TRUNC(MOD(($Z817*1103515245 +12345)/ 65536, 32768),0)/32768),0))</f>
        <v>13</v>
      </c>
      <c r="P817" s="16" t="e">
        <f t="shared" ca="1" si="53"/>
        <v>#NAME?</v>
      </c>
      <c r="Q817" s="153">
        <f ca="1">VLOOKUP($AB$2,'RF Mod'!$A$2:$G$12,6,FALSE)+VLOOKUP($AD$2,'RF Mod'!$I$2:$O$11,6,FALSE)+(TRUNC(6+(24-6)*(TRUNC(MOD(($Z817*1103515245 +12345)/ 65536, 32768),0)/32768),0))</f>
        <v>11</v>
      </c>
      <c r="R817" s="16" t="e">
        <f t="shared" ca="1" si="54"/>
        <v>#NAME?</v>
      </c>
      <c r="S817" s="154">
        <f t="shared" ca="1" si="59"/>
        <v>60</v>
      </c>
      <c r="T817" s="154">
        <f t="shared" ca="1" si="55"/>
        <v>35</v>
      </c>
      <c r="U817" s="16" t="str">
        <f t="shared" ca="1" si="56"/>
        <v>Bloody</v>
      </c>
      <c r="V817" s="155">
        <f ca="1">IFERROR(__xludf.DUMMYFUNCTION("if(W817=""Middle Age"",QUERY(NPCVar!$K$2:$N1000, ""Select L where K = '""&amp;AB817&amp;""'""),if(W817=""Old"",QUERY(NPCVar!$K$2:$N1000, ""Select M where K = '""&amp;AB817&amp;""'""),if(W817=""Venerable"",QUERY(NPCVar!$K$2:$N1000, ""Select N where K = '""&amp;AB817&amp;""'""),fa"&amp;"lse)))*X817"),151.875)</f>
        <v>151.875</v>
      </c>
      <c r="W817" s="156" t="str">
        <f t="array" ref="W817">INDEX(NPCAgeType,TRUNC(1+(4-1)*(TRUNC(MOD((X817*1103515245 +12345)/ 65536, 32768),0)/32768),0))</f>
        <v>Old</v>
      </c>
      <c r="X817" s="117">
        <f t="shared" si="61"/>
        <v>0.9</v>
      </c>
      <c r="Y817" s="157" t="e">
        <f t="array" aca="1" ref="Y817" ca="1">LOOKUP(ABS(MAX(Z817 + MIN(ABS(INDIRECT("Class Jobs!B"&amp;MATCH(E817,'Class Jobs'!$A$1:$A1000,0)&amp;":"&amp;"AF"&amp;MATCH(E817,'Class Jobs'!$A$1:$A1000,0)&amp;"")-$Z817)) * SUM(IF(MIN(ABS(INDIRECT("Class Jobs!B"&amp;MATCH(E817,'Class Jobs'!$A$1:$A1000,0)&amp;":"&amp;"AF"&amp;MATCH(E817,'Class Jobs'!$A$1:$A1000,0)&amp;"")-$Z817))=ABS(INDIRECT("Class Jobs!B"&amp;MATCH(E817,'Class Jobs'!$A$1:$A1000,0)&amp;":"&amp;"AF"&amp;MATCH(E817,'Class Jobs'!$A$1:$A1000,0)&amp;"")-$Z817),SIGN(INDIRECT("Class Jobs!B"&amp;MATCH(E817,'Class Jobs'!$A$1:A1000,0)&amp;":"&amp;"AF"&amp;MATCH(E817,'Class Jobs'!$A$1:$A1000,0)&amp;"")-$Z817),0)),0)),INDIRECT("Class Jobs!B"&amp;MATCH(E817,'Class Jobs'!$A$1:$A1000,0)&amp;":"&amp;"AF"&amp;MATCH(E817,'Class Jobs'!$A$1:$A1000,1)&amp;""),'Class Jobs'!$B$1:$AF$1)</f>
        <v>#REF!</v>
      </c>
      <c r="Z817" s="158">
        <f t="shared" si="57"/>
        <v>0.36</v>
      </c>
      <c r="AA817" s="16" t="str">
        <f t="array" ref="AA817">INDEX(NPCGender,TRUNC(1+(COUNTA(NPCGender))*(TRUNC(MOD(($B817*1103515245 +12345)/ 65536, 32768),0)/32768),0))</f>
        <v>Female</v>
      </c>
      <c r="AB817" s="16" t="str">
        <f t="array" ref="AB817">INDEX(NPCRace,TRUNC(1+(COUNTA(NPCRace))*(TRUNC(MOD(($B817*1103515245 +12345)/ 65536, 32768),0)/32768),0))</f>
        <v>Gnome</v>
      </c>
      <c r="AC817" s="16" t="str">
        <f t="array" ref="AC817">INDEX(NPCAL,TRUNC(1+(COUNTA(NPCAL))*(TRUNC(MOD(($B817*1103515245 +12345)/ 65536, 32768),0)/32768),0))</f>
        <v>NG</v>
      </c>
      <c r="AD817" s="72" t="str">
        <f ca="1">IFERROR(__xludf.DUMMYFUNCTION("if(V817&lt;15,QUERY(NPCVar!C:D,""Select D WHERE C = '""&amp;D817&amp;""'""),if((TRUNC(1+10)*(TRUNC(MOD((ROW(H817)*1103515245 +12345)/ 65536, 32768),0)/32768)/10) &gt; 0.85,INDEX(NPCFaction,TRUNC(1+(counta(NPCFaction)-1)*(TRUNC(MOD(($B817*1103515245 +12345)/ 65536, 3276"&amp;"8),0)/32768),0)),QUERY(NPCVar!C:D,""Select D WHERE C = '""&amp;D817&amp;""'"")))"),"Adventures Guild")</f>
        <v>Adventures Guild</v>
      </c>
      <c r="AE817" s="108" t="e">
        <f t="shared" ca="1" si="58"/>
        <v>#NAME?</v>
      </c>
      <c r="AF817" s="159">
        <f ca="1">IFERROR(__xludf.DUMMYFUNCTION("AE817*(V817 / QUERY(NPCVar!$K$2:$N$12, ""Select N WHERE K='""&amp;AB817&amp;""'""))*TRUNC(1+10)*(TRUNC(MOD(($B817*1103515245 +12345)/ 65536, 32768),0)/32768)"),0.269147186279296)</f>
        <v>0.26914718627929601</v>
      </c>
      <c r="AG817" s="16"/>
      <c r="AH817" s="77"/>
      <c r="AI817" s="114"/>
    </row>
    <row r="818" spans="1:35" ht="16.2">
      <c r="A818" s="53">
        <v>817</v>
      </c>
      <c r="B818" s="118">
        <f t="shared" si="60"/>
        <v>2.1995499999999999</v>
      </c>
      <c r="C818" s="72" t="str">
        <f t="array" ref="C818">INDEX(NPCFName,TRUNC(1+(COUNTA(NPCFName))*(TRUNC(MOD(($B818*1103515245 +12345)/ 65536, 32768),0)/32768),0))</f>
        <v>Halmar</v>
      </c>
      <c r="D818" s="16" t="str">
        <f t="array" ref="D818">INDEX(NPCLName,TRUNC(1+(COUNTA(NPCLName))*(TRUNC(MOD(($B818*1103515245 +12345)/ 65536, 32768),0)/32768),0))</f>
        <v>Distantlash</v>
      </c>
      <c r="E818" s="16" t="str">
        <f t="array" ref="E818">INDEX(NPCClass,TRUNC(1+(COUNTA(NPCClass))*(TRUNC(MOD(($B818*1103515245 +12345)/ 65536, 32768),0)/32768),0))</f>
        <v>Bard</v>
      </c>
      <c r="F818" s="76">
        <v>1</v>
      </c>
      <c r="G818" s="153">
        <f ca="1">VLOOKUP($AB$2,'RF Mod'!$A$2:$G$12,2,FALSE)+VLOOKUP($AD$2,'RF Mod'!$I$2:$O$11,2,FALSE)+(TRUNC(6+(24-6)*(TRUNC(MOD(($Z818*1103515245 +12345)/ 65536, 32768),0)/32768),0))</f>
        <v>5</v>
      </c>
      <c r="H818" s="16">
        <f t="shared" ca="1" si="49"/>
        <v>-3</v>
      </c>
      <c r="I818" s="153">
        <f ca="1">VLOOKUP($AB$2,'RF Mod'!$A$2:$G$12,3,FALSE)+VLOOKUP($AD$2,'RF Mod'!$I$2:$O$11,3,FALSE)+(TRUNC(6+(24-6)*(TRUNC(MOD(($Z818*1103515245 +12345)/ 65536, 32768),0)/32768),0))</f>
        <v>9</v>
      </c>
      <c r="J818" s="16">
        <f t="shared" ca="1" si="50"/>
        <v>-1</v>
      </c>
      <c r="K818" s="153">
        <f ca="1">VLOOKUP($AB$2,'RF Mod'!$A$2:$G$12,3,FALSE)+VLOOKUP($AD$2,'RF Mod'!$I$2:$O$11,3,FALSE)+(TRUNC(6+(24-6)*(TRUNC(MOD(($Z818*1103515245 +12345)/ 65536, 32768),0)/32768),0))</f>
        <v>9</v>
      </c>
      <c r="L818" s="16">
        <f t="shared" ca="1" si="51"/>
        <v>-1</v>
      </c>
      <c r="M818" s="153">
        <f ca="1">VLOOKUP($AB$2,'RF Mod'!$A$2:$G$12,4,FALSE)+VLOOKUP($AD$2,'RF Mod'!$I$2:$O$11,4,FALSE)+(TRUNC(6+(24-6)*(TRUNC(MOD(($Z818*1103515245 +12345)/ 65536, 32768),0)/32768),0))</f>
        <v>8</v>
      </c>
      <c r="N818" s="16">
        <f t="shared" ca="1" si="52"/>
        <v>-1</v>
      </c>
      <c r="O818" s="153">
        <f ca="1">VLOOKUP($AB$2,'RF Mod'!$A$2:$G$12,5,FALSE)+VLOOKUP($AD$2,'RF Mod'!$I$2:$O$11,5,FALSE)+(TRUNC(6+(24-6)*(TRUNC(MOD(($Z818*1103515245 +12345)/ 65536, 32768),0)/32768),0))</f>
        <v>11</v>
      </c>
      <c r="P818" s="16" t="e">
        <f t="shared" ca="1" si="53"/>
        <v>#NAME?</v>
      </c>
      <c r="Q818" s="153">
        <f ca="1">VLOOKUP($AB$2,'RF Mod'!$A$2:$G$12,6,FALSE)+VLOOKUP($AD$2,'RF Mod'!$I$2:$O$11,6,FALSE)+(TRUNC(6+(24-6)*(TRUNC(MOD(($Z818*1103515245 +12345)/ 65536, 32768),0)/32768),0))</f>
        <v>9</v>
      </c>
      <c r="R818" s="16">
        <f t="shared" ca="1" si="54"/>
        <v>-1</v>
      </c>
      <c r="S818" s="154">
        <f t="shared" ca="1" si="59"/>
        <v>11</v>
      </c>
      <c r="T818" s="154">
        <f t="shared" ca="1" si="55"/>
        <v>2</v>
      </c>
      <c r="U818" s="16" t="str">
        <f t="shared" ca="1" si="56"/>
        <v>Fine</v>
      </c>
      <c r="V818" s="155">
        <f ca="1">IFERROR(__xludf.DUMMYFUNCTION("if(W818=""Middle Age"",QUERY(NPCVar!$K$2:$N1000, ""Select L where K = '""&amp;AB818&amp;""'""),if(W818=""Old"",QUERY(NPCVar!$K$2:$N1000, ""Select M where K = '""&amp;AB818&amp;""'""),if(W818=""Venerable"",QUERY(NPCVar!$K$2:$N1000, ""Select N where K = '""&amp;AB818&amp;""'""),fa"&amp;"lse)))*X818"),32)</f>
        <v>32</v>
      </c>
      <c r="W818" s="156" t="str">
        <f t="array" ref="W818">INDEX(NPCAgeType,TRUNC(1+(4-1)*(TRUNC(MOD((X818*1103515245 +12345)/ 65536, 32768),0)/32768),0))</f>
        <v>Middle Age</v>
      </c>
      <c r="X818" s="117">
        <f t="shared" si="61"/>
        <v>0.4</v>
      </c>
      <c r="Y818" s="157" t="e">
        <f t="array" aca="1" ref="Y818" ca="1">LOOKUP(ABS(MAX(Z818 + MIN(ABS(INDIRECT("Class Jobs!B"&amp;MATCH(E818,'Class Jobs'!$A$1:$A1000,0)&amp;":"&amp;"AF"&amp;MATCH(E818,'Class Jobs'!$A$1:$A1000,0)&amp;"")-$Z818)) * SUM(IF(MIN(ABS(INDIRECT("Class Jobs!B"&amp;MATCH(E818,'Class Jobs'!$A$1:$A1000,0)&amp;":"&amp;"AF"&amp;MATCH(E818,'Class Jobs'!$A$1:$A1000,0)&amp;"")-$Z818))=ABS(INDIRECT("Class Jobs!B"&amp;MATCH(E818,'Class Jobs'!$A$1:$A1000,0)&amp;":"&amp;"AF"&amp;MATCH(E818,'Class Jobs'!$A$1:$A1000,0)&amp;"")-$Z818),SIGN(INDIRECT("Class Jobs!B"&amp;MATCH(E818,'Class Jobs'!$A$1:A1000,0)&amp;":"&amp;"AF"&amp;MATCH(E818,'Class Jobs'!$A$1:$A1000,0)&amp;"")-$Z818),0)),0)),INDIRECT("Class Jobs!B"&amp;MATCH(E818,'Class Jobs'!$A$1:$A1000,0)&amp;":"&amp;"AF"&amp;MATCH(E818,'Class Jobs'!$A$1:$A1000,1)&amp;""),'Class Jobs'!$B$1:$AF$1)</f>
        <v>#REF!</v>
      </c>
      <c r="Z818" s="158">
        <f t="shared" si="57"/>
        <v>0.13</v>
      </c>
      <c r="AA818" s="16" t="str">
        <f t="array" ref="AA818">INDEX(NPCGender,TRUNC(1+(COUNTA(NPCGender))*(TRUNC(MOD(($B818*1103515245 +12345)/ 65536, 32768),0)/32768),0))</f>
        <v>Male</v>
      </c>
      <c r="AB818" s="16" t="str">
        <f t="array" ref="AB818">INDEX(NPCRace,TRUNC(1+(COUNTA(NPCRace))*(TRUNC(MOD(($B818*1103515245 +12345)/ 65536, 32768),0)/32768),0))</f>
        <v>Dwarf</v>
      </c>
      <c r="AC818" s="16" t="str">
        <f t="array" ref="AC818">INDEX(NPCAL,TRUNC(1+(COUNTA(NPCAL))*(TRUNC(MOD(($B818*1103515245 +12345)/ 65536, 32768),0)/32768),0))</f>
        <v>CE</v>
      </c>
      <c r="AD818" s="72" t="str">
        <f ca="1">IFERROR(__xludf.DUMMYFUNCTION("if(V818&lt;15,QUERY(NPCVar!C:D,""Select D WHERE C = '""&amp;D818&amp;""'""),if((TRUNC(1+10)*(TRUNC(MOD((ROW(H818)*1103515245 +12345)/ 65536, 32768),0)/32768)/10) &gt; 0.85,INDEX(NPCFaction,TRUNC(1+(counta(NPCFaction)-1)*(TRUNC(MOD(($B818*1103515245 +12345)/ 65536, 3276"&amp;"8),0)/32768),0)),QUERY(NPCVar!C:D,""Select D WHERE C = '""&amp;D818&amp;""'"")))"),"Death Guild")</f>
        <v>Death Guild</v>
      </c>
      <c r="AE818" s="108" t="e">
        <f t="shared" ca="1" si="58"/>
        <v>#NAME?</v>
      </c>
      <c r="AF818" s="159">
        <f ca="1">IFERROR(__xludf.DUMMYFUNCTION("AE818*(V818 / QUERY(NPCVar!$K$2:$N$12, ""Select N WHERE K='""&amp;AB818&amp;""'""))*TRUNC(1+10)*(TRUNC(MOD(($B818*1103515245 +12345)/ 65536, 32768),0)/32768)"),0.071636962890625)</f>
        <v>7.1636962890625003E-2</v>
      </c>
      <c r="AG818" s="16"/>
      <c r="AH818" s="77"/>
      <c r="AI818" s="114"/>
    </row>
    <row r="819" spans="1:35" ht="16.2">
      <c r="A819" s="53">
        <v>818</v>
      </c>
      <c r="B819" s="118">
        <f t="shared" si="60"/>
        <v>1.1937</v>
      </c>
      <c r="C819" s="72" t="str">
        <f t="array" ref="C819">INDEX(NPCFName,TRUNC(1+(COUNTA(NPCFName))*(TRUNC(MOD(($B819*1103515245 +12345)/ 65536, 32768),0)/32768),0))</f>
        <v>Tempist</v>
      </c>
      <c r="D819" s="16" t="str">
        <f t="array" ref="D819">INDEX(NPCLName,TRUNC(1+(COUNTA(NPCLName))*(TRUNC(MOD(($B819*1103515245 +12345)/ 65536, 32768),0)/32768),0))</f>
        <v>Gloomrage</v>
      </c>
      <c r="E819" s="16" t="str">
        <f t="array" ref="E819">INDEX(NPCClass,TRUNC(1+(COUNTA(NPCClass))*(TRUNC(MOD(($B819*1103515245 +12345)/ 65536, 32768),0)/32768),0))</f>
        <v>Warlock</v>
      </c>
      <c r="F819" s="76">
        <v>8</v>
      </c>
      <c r="G819" s="153">
        <f ca="1">VLOOKUP($AB$2,'RF Mod'!$A$2:$G$12,2,FALSE)+VLOOKUP($AD$2,'RF Mod'!$I$2:$O$11,2,FALSE)+(TRUNC(6+(24-6)*(TRUNC(MOD(($Z819*1103515245 +12345)/ 65536, 32768),0)/32768),0))</f>
        <v>9</v>
      </c>
      <c r="H819" s="16">
        <f t="shared" ca="1" si="49"/>
        <v>-1</v>
      </c>
      <c r="I819" s="153">
        <f ca="1">VLOOKUP($AB$2,'RF Mod'!$A$2:$G$12,3,FALSE)+VLOOKUP($AD$2,'RF Mod'!$I$2:$O$11,3,FALSE)+(TRUNC(6+(24-6)*(TRUNC(MOD(($Z819*1103515245 +12345)/ 65536, 32768),0)/32768),0))</f>
        <v>13</v>
      </c>
      <c r="J819" s="16" t="e">
        <f t="shared" ca="1" si="50"/>
        <v>#NAME?</v>
      </c>
      <c r="K819" s="153">
        <f ca="1">VLOOKUP($AB$2,'RF Mod'!$A$2:$G$12,3,FALSE)+VLOOKUP($AD$2,'RF Mod'!$I$2:$O$11,3,FALSE)+(TRUNC(6+(24-6)*(TRUNC(MOD(($Z819*1103515245 +12345)/ 65536, 32768),0)/32768),0))</f>
        <v>13</v>
      </c>
      <c r="L819" s="16" t="e">
        <f t="shared" ca="1" si="51"/>
        <v>#NAME?</v>
      </c>
      <c r="M819" s="153">
        <f ca="1">VLOOKUP($AB$2,'RF Mod'!$A$2:$G$12,4,FALSE)+VLOOKUP($AD$2,'RF Mod'!$I$2:$O$11,4,FALSE)+(TRUNC(6+(24-6)*(TRUNC(MOD(($Z819*1103515245 +12345)/ 65536, 32768),0)/32768),0))</f>
        <v>12</v>
      </c>
      <c r="N819" s="16" t="e">
        <f t="shared" ca="1" si="52"/>
        <v>#NAME?</v>
      </c>
      <c r="O819" s="153">
        <f ca="1">VLOOKUP($AB$2,'RF Mod'!$A$2:$G$12,5,FALSE)+VLOOKUP($AD$2,'RF Mod'!$I$2:$O$11,5,FALSE)+(TRUNC(6+(24-6)*(TRUNC(MOD(($Z819*1103515245 +12345)/ 65536, 32768),0)/32768),0))</f>
        <v>15</v>
      </c>
      <c r="P819" s="16" t="e">
        <f t="shared" ca="1" si="53"/>
        <v>#NAME?</v>
      </c>
      <c r="Q819" s="153">
        <f ca="1">VLOOKUP($AB$2,'RF Mod'!$A$2:$G$12,6,FALSE)+VLOOKUP($AD$2,'RF Mod'!$I$2:$O$11,6,FALSE)+(TRUNC(6+(24-6)*(TRUNC(MOD(($Z819*1103515245 +12345)/ 65536, 32768),0)/32768),0))</f>
        <v>13</v>
      </c>
      <c r="R819" s="16" t="e">
        <f t="shared" ca="1" si="54"/>
        <v>#NAME?</v>
      </c>
      <c r="S819" s="154">
        <f t="shared" ca="1" si="59"/>
        <v>200</v>
      </c>
      <c r="T819" s="154">
        <f t="shared" ca="1" si="55"/>
        <v>48</v>
      </c>
      <c r="U819" s="16" t="str">
        <f t="shared" ca="1" si="56"/>
        <v>Fine</v>
      </c>
      <c r="V819" s="155">
        <f ca="1">IFERROR(__xludf.DUMMYFUNCTION("if(W819=""Middle Age"",QUERY(NPCVar!$K$2:$N1000, ""Select L where K = '""&amp;AB819&amp;""'""),if(W819=""Old"",QUERY(NPCVar!$K$2:$N1000, ""Select M where K = '""&amp;AB819&amp;""'""),if(W819=""Venerable"",QUERY(NPCVar!$K$2:$N1000, ""Select N where K = '""&amp;AB819&amp;""'""),fa"&amp;"lse)))*X819"),300)</f>
        <v>300</v>
      </c>
      <c r="W819" s="156" t="str">
        <f t="array" ref="W819">INDEX(NPCAgeType,TRUNC(1+(4-1)*(TRUNC(MOD((X819*1103515245 +12345)/ 65536, 32768),0)/32768),0))</f>
        <v>Venerable</v>
      </c>
      <c r="X819" s="117">
        <f t="shared" si="61"/>
        <v>1.5</v>
      </c>
      <c r="Y819" s="157" t="e">
        <f t="array" aca="1" ref="Y819" ca="1">LOOKUP(ABS(MAX(Z819 + MIN(ABS(INDIRECT("Class Jobs!B"&amp;MATCH(E819,'Class Jobs'!$A$1:$A1000,0)&amp;":"&amp;"AF"&amp;MATCH(E819,'Class Jobs'!$A$1:$A1000,0)&amp;"")-$Z819)) * SUM(IF(MIN(ABS(INDIRECT("Class Jobs!B"&amp;MATCH(E819,'Class Jobs'!$A$1:$A1000,0)&amp;":"&amp;"AF"&amp;MATCH(E819,'Class Jobs'!$A$1:$A1000,0)&amp;"")-$Z819))=ABS(INDIRECT("Class Jobs!B"&amp;MATCH(E819,'Class Jobs'!$A$1:$A1000,0)&amp;":"&amp;"AF"&amp;MATCH(E819,'Class Jobs'!$A$1:$A1000,0)&amp;"")-$Z819),SIGN(INDIRECT("Class Jobs!B"&amp;MATCH(E819,'Class Jobs'!$A$1:A1000,0)&amp;":"&amp;"AF"&amp;MATCH(E819,'Class Jobs'!$A$1:$A1000,0)&amp;"")-$Z819),0)),0)),INDIRECT("Class Jobs!B"&amp;MATCH(E819,'Class Jobs'!$A$1:$A1000,0)&amp;":"&amp;"AF"&amp;MATCH(E819,'Class Jobs'!$A$1:$A1000,1)&amp;""),'Class Jobs'!$B$1:$AF$1)</f>
        <v>#REF!</v>
      </c>
      <c r="Z819" s="158">
        <f t="shared" si="57"/>
        <v>0.61</v>
      </c>
      <c r="AA819" s="16" t="str">
        <f t="array" ref="AA819">INDEX(NPCGender,TRUNC(1+(COUNTA(NPCGender))*(TRUNC(MOD(($B819*1103515245 +12345)/ 65536, 32768),0)/32768),0))</f>
        <v>Female</v>
      </c>
      <c r="AB819" s="16" t="str">
        <f t="array" ref="AB819">INDEX(NPCRace,TRUNC(1+(COUNTA(NPCRace))*(TRUNC(MOD(($B819*1103515245 +12345)/ 65536, 32768),0)/32768),0))</f>
        <v>Halfling</v>
      </c>
      <c r="AC819" s="16" t="str">
        <f t="array" ref="AC819">INDEX(NPCAL,TRUNC(1+(COUNTA(NPCAL))*(TRUNC(MOD(($B819*1103515245 +12345)/ 65536, 32768),0)/32768),0))</f>
        <v>NE</v>
      </c>
      <c r="AD819" s="72" t="str">
        <f ca="1">IFERROR(__xludf.DUMMYFUNCTION("if(V819&lt;15,QUERY(NPCVar!C:D,""Select D WHERE C = '""&amp;D819&amp;""'""),if((TRUNC(1+10)*(TRUNC(MOD((ROW(H819)*1103515245 +12345)/ 65536, 32768),0)/32768)/10) &gt; 0.85,INDEX(NPCFaction,TRUNC(1+(counta(NPCFaction)-1)*(TRUNC(MOD(($B819*1103515245 +12345)/ 65536, 3276"&amp;"8),0)/32768),0)),QUERY(NPCVar!C:D,""Select D WHERE C = '""&amp;D819&amp;""'"")))"),"Death Guild")</f>
        <v>Death Guild</v>
      </c>
      <c r="AE819" s="108" t="e">
        <f t="shared" ca="1" si="58"/>
        <v>#NAME?</v>
      </c>
      <c r="AF819" s="159">
        <f ca="1">IFERROR(__xludf.DUMMYFUNCTION("AE819*(V819 / QUERY(NPCVar!$K$2:$N$12, ""Select N WHERE K='""&amp;AB819&amp;""'""))*TRUNC(1+10)*(TRUNC(MOD(($B819*1103515245 +12345)/ 65536, 32768),0)/32768)"),5.06057739257812)</f>
        <v>5.0605773925781197</v>
      </c>
      <c r="AG819" s="16"/>
      <c r="AH819" s="77"/>
      <c r="AI819" s="114"/>
    </row>
    <row r="820" spans="1:35" ht="16.2">
      <c r="A820" s="53">
        <v>819</v>
      </c>
      <c r="B820" s="118">
        <f t="shared" si="60"/>
        <v>0.18776000000000001</v>
      </c>
      <c r="C820" s="72" t="str">
        <f t="array" ref="C820">INDEX(NPCFName,TRUNC(1+(COUNTA(NPCFName))*(TRUNC(MOD(($B820*1103515245 +12345)/ 65536, 32768),0)/32768),0))</f>
        <v>Enro</v>
      </c>
      <c r="D820" s="16" t="str">
        <f t="array" ref="D820">INDEX(NPCLName,TRUNC(1+(COUNTA(NPCLName))*(TRUNC(MOD(($B820*1103515245 +12345)/ 65536, 32768),0)/32768),0))</f>
        <v>Autumnorb</v>
      </c>
      <c r="E820" s="16" t="str">
        <f t="array" ref="E820">INDEX(NPCClass,TRUNC(1+(COUNTA(NPCClass))*(TRUNC(MOD(($B820*1103515245 +12345)/ 65536, 32768),0)/32768),0))</f>
        <v>Bard</v>
      </c>
      <c r="F820" s="76">
        <v>1</v>
      </c>
      <c r="G820" s="153">
        <f ca="1">VLOOKUP($AB$2,'RF Mod'!$A$2:$G$12,2,FALSE)+VLOOKUP($AD$2,'RF Mod'!$I$2:$O$11,2,FALSE)+(TRUNC(6+(24-6)*(TRUNC(MOD(($Z820*1103515245 +12345)/ 65536, 32768),0)/32768),0))</f>
        <v>4</v>
      </c>
      <c r="H820" s="16">
        <f t="shared" ca="1" si="49"/>
        <v>-3</v>
      </c>
      <c r="I820" s="153">
        <f ca="1">VLOOKUP($AB$2,'RF Mod'!$A$2:$G$12,3,FALSE)+VLOOKUP($AD$2,'RF Mod'!$I$2:$O$11,3,FALSE)+(TRUNC(6+(24-6)*(TRUNC(MOD(($Z820*1103515245 +12345)/ 65536, 32768),0)/32768),0))</f>
        <v>8</v>
      </c>
      <c r="J820" s="16">
        <f t="shared" ca="1" si="50"/>
        <v>-1</v>
      </c>
      <c r="K820" s="153">
        <f ca="1">VLOOKUP($AB$2,'RF Mod'!$A$2:$G$12,3,FALSE)+VLOOKUP($AD$2,'RF Mod'!$I$2:$O$11,3,FALSE)+(TRUNC(6+(24-6)*(TRUNC(MOD(($Z820*1103515245 +12345)/ 65536, 32768),0)/32768),0))</f>
        <v>8</v>
      </c>
      <c r="L820" s="16">
        <f t="shared" ca="1" si="51"/>
        <v>-1</v>
      </c>
      <c r="M820" s="153">
        <f ca="1">VLOOKUP($AB$2,'RF Mod'!$A$2:$G$12,4,FALSE)+VLOOKUP($AD$2,'RF Mod'!$I$2:$O$11,4,FALSE)+(TRUNC(6+(24-6)*(TRUNC(MOD(($Z820*1103515245 +12345)/ 65536, 32768),0)/32768),0))</f>
        <v>7</v>
      </c>
      <c r="N820" s="16">
        <f t="shared" ca="1" si="52"/>
        <v>-2</v>
      </c>
      <c r="O820" s="153">
        <f ca="1">VLOOKUP($AB$2,'RF Mod'!$A$2:$G$12,5,FALSE)+VLOOKUP($AD$2,'RF Mod'!$I$2:$O$11,5,FALSE)+(TRUNC(6+(24-6)*(TRUNC(MOD(($Z820*1103515245 +12345)/ 65536, 32768),0)/32768),0))</f>
        <v>10</v>
      </c>
      <c r="P820" s="16" t="e">
        <f t="shared" ca="1" si="53"/>
        <v>#NAME?</v>
      </c>
      <c r="Q820" s="153">
        <f ca="1">VLOOKUP($AB$2,'RF Mod'!$A$2:$G$12,6,FALSE)+VLOOKUP($AD$2,'RF Mod'!$I$2:$O$11,6,FALSE)+(TRUNC(6+(24-6)*(TRUNC(MOD(($Z820*1103515245 +12345)/ 65536, 32768),0)/32768),0))</f>
        <v>8</v>
      </c>
      <c r="R820" s="16">
        <f t="shared" ca="1" si="54"/>
        <v>-1</v>
      </c>
      <c r="S820" s="154">
        <f t="shared" ca="1" si="59"/>
        <v>10</v>
      </c>
      <c r="T820" s="154">
        <f t="shared" ca="1" si="55"/>
        <v>3</v>
      </c>
      <c r="U820" s="16" t="str">
        <f t="shared" ca="1" si="56"/>
        <v>Fine</v>
      </c>
      <c r="V820" s="155">
        <f ca="1">IFERROR(__xludf.DUMMYFUNCTION("if(W820=""Middle Age"",QUERY(NPCVar!$K$2:$N1000, ""Select L where K = '""&amp;AB820&amp;""'""),if(W820=""Old"",QUERY(NPCVar!$K$2:$N1000, ""Select M where K = '""&amp;AB820&amp;""'""),if(W820=""Venerable"",QUERY(NPCVar!$K$2:$N1000, ""Select N where K = '""&amp;AB820&amp;""'""),fa"&amp;"lse)))*X820"),24)</f>
        <v>24</v>
      </c>
      <c r="W820" s="156" t="str">
        <f t="array" ref="W820">INDEX(NPCAgeType,TRUNC(1+(4-1)*(TRUNC(MOD((X820*1103515245 +12345)/ 65536, 32768),0)/32768),0))</f>
        <v>Middle Age</v>
      </c>
      <c r="X820" s="117">
        <f t="shared" si="61"/>
        <v>0.3</v>
      </c>
      <c r="Y820" s="157" t="e">
        <f t="array" aca="1" ref="Y820" ca="1">LOOKUP(ABS(MAX(Z820 + MIN(ABS(INDIRECT("Class Jobs!B"&amp;MATCH(E820,'Class Jobs'!$A$1:$A1000,0)&amp;":"&amp;"AF"&amp;MATCH(E820,'Class Jobs'!$A$1:$A1000,0)&amp;"")-$Z820)) * SUM(IF(MIN(ABS(INDIRECT("Class Jobs!B"&amp;MATCH(E820,'Class Jobs'!$A$1:$A1000,0)&amp;":"&amp;"AF"&amp;MATCH(E820,'Class Jobs'!$A$1:$A1000,0)&amp;"")-$Z820))=ABS(INDIRECT("Class Jobs!B"&amp;MATCH(E820,'Class Jobs'!$A$1:$A1000,0)&amp;":"&amp;"AF"&amp;MATCH(E820,'Class Jobs'!$A$1:$A1000,0)&amp;"")-$Z820),SIGN(INDIRECT("Class Jobs!B"&amp;MATCH(E820,'Class Jobs'!$A$1:A1000,0)&amp;":"&amp;"AF"&amp;MATCH(E820,'Class Jobs'!$A$1:$A1000,0)&amp;"")-$Z820),0)),0)),INDIRECT("Class Jobs!B"&amp;MATCH(E820,'Class Jobs'!$A$1:$A1000,0)&amp;":"&amp;"AF"&amp;MATCH(E820,'Class Jobs'!$A$1:$A1000,1)&amp;""),'Class Jobs'!$B$1:$AF$1)</f>
        <v>#REF!</v>
      </c>
      <c r="Z820" s="158">
        <f t="shared" si="57"/>
        <v>0.1</v>
      </c>
      <c r="AA820" s="16" t="str">
        <f t="array" ref="AA820">INDEX(NPCGender,TRUNC(1+(COUNTA(NPCGender))*(TRUNC(MOD(($B820*1103515245 +12345)/ 65536, 32768),0)/32768),0))</f>
        <v>Male</v>
      </c>
      <c r="AB820" s="16" t="str">
        <f t="array" ref="AB820">INDEX(NPCRace,TRUNC(1+(COUNTA(NPCRace))*(TRUNC(MOD(($B820*1103515245 +12345)/ 65536, 32768),0)/32768),0))</f>
        <v>Dwarf</v>
      </c>
      <c r="AC820" s="16" t="str">
        <f t="array" ref="AC820">INDEX(NPCAL,TRUNC(1+(COUNTA(NPCAL))*(TRUNC(MOD(($B820*1103515245 +12345)/ 65536, 32768),0)/32768),0))</f>
        <v>CN</v>
      </c>
      <c r="AD820" s="72" t="str">
        <f ca="1">IFERROR(__xludf.DUMMYFUNCTION("if(V820&lt;15,QUERY(NPCVar!C:D,""Select D WHERE C = '""&amp;D820&amp;""'""),if((TRUNC(1+10)*(TRUNC(MOD((ROW(H820)*1103515245 +12345)/ 65536, 32768),0)/32768)/10) &gt; 0.85,INDEX(NPCFaction,TRUNC(1+(counta(NPCFaction)-1)*(TRUNC(MOD(($B820*1103515245 +12345)/ 65536, 3276"&amp;"8),0)/32768),0)),QUERY(NPCVar!C:D,""Select D WHERE C = '""&amp;D820&amp;""'"")))"),"Royalty")</f>
        <v>Royalty</v>
      </c>
      <c r="AE820" s="108" t="e">
        <f t="shared" ca="1" si="58"/>
        <v>#NAME?</v>
      </c>
      <c r="AF820" s="159">
        <f ca="1">IFERROR(__xludf.DUMMYFUNCTION("AE820*(V820 / QUERY(NPCVar!$K$2:$N$12, ""Select N WHERE K='""&amp;AB820&amp;""'""))*TRUNC(1+10)*(TRUNC(MOD(($B820*1103515245 +12345)/ 65536, 32768),0)/32768)"),0.039792251586914)</f>
        <v>3.9792251586913997E-2</v>
      </c>
      <c r="AG820" s="16"/>
      <c r="AH820" s="77"/>
      <c r="AI820" s="114"/>
    </row>
    <row r="821" spans="1:35" ht="16.2">
      <c r="A821" s="53">
        <v>820</v>
      </c>
      <c r="B821" s="118">
        <f t="shared" si="60"/>
        <v>1.6819</v>
      </c>
      <c r="C821" s="72" t="str">
        <f t="array" ref="C821">INDEX(NPCFName,TRUNC(1+(COUNTA(NPCFName))*(TRUNC(MOD(($B821*1103515245 +12345)/ 65536, 32768),0)/32768),0))</f>
        <v>Mudon</v>
      </c>
      <c r="D821" s="16" t="str">
        <f t="array" ref="D821">INDEX(NPCLName,TRUNC(1+(COUNTA(NPCLName))*(TRUNC(MOD(($B821*1103515245 +12345)/ 65536, 32768),0)/32768),0))</f>
        <v>Springgust</v>
      </c>
      <c r="E821" s="16" t="str">
        <f t="array" ref="E821">INDEX(NPCClass,TRUNC(1+(COUNTA(NPCClass))*(TRUNC(MOD(($B821*1103515245 +12345)/ 65536, 32768),0)/32768),0))</f>
        <v>Fighter</v>
      </c>
      <c r="F821" s="76">
        <v>8</v>
      </c>
      <c r="G821" s="153">
        <f ca="1">VLOOKUP($AB$2,'RF Mod'!$A$2:$G$12,2,FALSE)+VLOOKUP($AD$2,'RF Mod'!$I$2:$O$11,2,FALSE)+(TRUNC(6+(24-6)*(TRUNC(MOD(($Z821*1103515245 +12345)/ 65536, 32768),0)/32768),0))</f>
        <v>11</v>
      </c>
      <c r="H821" s="16" t="e">
        <f t="shared" ca="1" si="49"/>
        <v>#NAME?</v>
      </c>
      <c r="I821" s="153">
        <f ca="1">VLOOKUP($AB$2,'RF Mod'!$A$2:$G$12,3,FALSE)+VLOOKUP($AD$2,'RF Mod'!$I$2:$O$11,3,FALSE)+(TRUNC(6+(24-6)*(TRUNC(MOD(($Z821*1103515245 +12345)/ 65536, 32768),0)/32768),0))</f>
        <v>15</v>
      </c>
      <c r="J821" s="16" t="e">
        <f t="shared" ca="1" si="50"/>
        <v>#NAME?</v>
      </c>
      <c r="K821" s="153">
        <f ca="1">VLOOKUP($AB$2,'RF Mod'!$A$2:$G$12,3,FALSE)+VLOOKUP($AD$2,'RF Mod'!$I$2:$O$11,3,FALSE)+(TRUNC(6+(24-6)*(TRUNC(MOD(($Z821*1103515245 +12345)/ 65536, 32768),0)/32768),0))</f>
        <v>15</v>
      </c>
      <c r="L821" s="16" t="e">
        <f t="shared" ca="1" si="51"/>
        <v>#NAME?</v>
      </c>
      <c r="M821" s="153">
        <f ca="1">VLOOKUP($AB$2,'RF Mod'!$A$2:$G$12,4,FALSE)+VLOOKUP($AD$2,'RF Mod'!$I$2:$O$11,4,FALSE)+(TRUNC(6+(24-6)*(TRUNC(MOD(($Z821*1103515245 +12345)/ 65536, 32768),0)/32768),0))</f>
        <v>14</v>
      </c>
      <c r="N821" s="16" t="e">
        <f t="shared" ca="1" si="52"/>
        <v>#NAME?</v>
      </c>
      <c r="O821" s="153">
        <f ca="1">VLOOKUP($AB$2,'RF Mod'!$A$2:$G$12,5,FALSE)+VLOOKUP($AD$2,'RF Mod'!$I$2:$O$11,5,FALSE)+(TRUNC(6+(24-6)*(TRUNC(MOD(($Z821*1103515245 +12345)/ 65536, 32768),0)/32768),0))</f>
        <v>17</v>
      </c>
      <c r="P821" s="16" t="e">
        <f t="shared" ca="1" si="53"/>
        <v>#NAME?</v>
      </c>
      <c r="Q821" s="153">
        <f ca="1">VLOOKUP($AB$2,'RF Mod'!$A$2:$G$12,6,FALSE)+VLOOKUP($AD$2,'RF Mod'!$I$2:$O$11,6,FALSE)+(TRUNC(6+(24-6)*(TRUNC(MOD(($Z821*1103515245 +12345)/ 65536, 32768),0)/32768),0))</f>
        <v>15</v>
      </c>
      <c r="R821" s="16" t="e">
        <f t="shared" ca="1" si="54"/>
        <v>#NAME?</v>
      </c>
      <c r="S821" s="154">
        <f t="shared" ca="1" si="59"/>
        <v>168</v>
      </c>
      <c r="T821" s="154">
        <f t="shared" ca="1" si="55"/>
        <v>95</v>
      </c>
      <c r="U821" s="16" t="str">
        <f t="shared" ca="1" si="56"/>
        <v>Bloody</v>
      </c>
      <c r="V821" s="155">
        <f ca="1">IFERROR(__xludf.DUMMYFUNCTION("if(W821=""Middle Age"",QUERY(NPCVar!$K$2:$N1000, ""Select L where K = '""&amp;AB821&amp;""'""),if(W821=""Old"",QUERY(NPCVar!$K$2:$N1000, ""Select M where K = '""&amp;AB821&amp;""'""),if(W821=""Venerable"",QUERY(NPCVar!$K$2:$N1000, ""Select N where K = '""&amp;AB821&amp;""'""),fa"&amp;"lse)))*X821"),57.75)</f>
        <v>57.75</v>
      </c>
      <c r="W821" s="156" t="str">
        <f t="array" ref="W821">INDEX(NPCAgeType,TRUNC(1+(4-1)*(TRUNC(MOD((X821*1103515245 +12345)/ 65536, 32768),0)/32768),0))</f>
        <v>Middle Age</v>
      </c>
      <c r="X821" s="117">
        <f t="shared" si="61"/>
        <v>2.1</v>
      </c>
      <c r="Y821" s="157" t="e">
        <f t="array" aca="1" ref="Y821" ca="1">LOOKUP(ABS(MAX(Z821 + MIN(ABS(INDIRECT("Class Jobs!B"&amp;MATCH(E821,'Class Jobs'!$A$1:$A1000,0)&amp;":"&amp;"AF"&amp;MATCH(E821,'Class Jobs'!$A$1:$A1000,0)&amp;"")-$Z821)) * SUM(IF(MIN(ABS(INDIRECT("Class Jobs!B"&amp;MATCH(E821,'Class Jobs'!$A$1:$A1000,0)&amp;":"&amp;"AF"&amp;MATCH(E821,'Class Jobs'!$A$1:$A1000,0)&amp;"")-$Z821))=ABS(INDIRECT("Class Jobs!B"&amp;MATCH(E821,'Class Jobs'!$A$1:$A1000,0)&amp;":"&amp;"AF"&amp;MATCH(E821,'Class Jobs'!$A$1:$A1000,0)&amp;"")-$Z821),SIGN(INDIRECT("Class Jobs!B"&amp;MATCH(E821,'Class Jobs'!$A$1:A1000,0)&amp;":"&amp;"AF"&amp;MATCH(E821,'Class Jobs'!$A$1:$A1000,0)&amp;"")-$Z821),0)),0)),INDIRECT("Class Jobs!B"&amp;MATCH(E821,'Class Jobs'!$A$1:$A1000,0)&amp;":"&amp;"AF"&amp;MATCH(E821,'Class Jobs'!$A$1:$A1000,1)&amp;""),'Class Jobs'!$B$1:$AF$1)</f>
        <v>#REF!</v>
      </c>
      <c r="Z821" s="158">
        <f t="shared" si="57"/>
        <v>0.86</v>
      </c>
      <c r="AA821" s="16" t="str">
        <f t="array" ref="AA821">INDEX(NPCGender,TRUNC(1+(COUNTA(NPCGender))*(TRUNC(MOD(($B821*1103515245 +12345)/ 65536, 32768),0)/32768),0))</f>
        <v>Neutral</v>
      </c>
      <c r="AB821" s="16" t="str">
        <f t="array" ref="AB821">INDEX(NPCRace,TRUNC(1+(COUNTA(NPCRace))*(TRUNC(MOD(($B821*1103515245 +12345)/ 65536, 32768),0)/32768),0))</f>
        <v>Genasi</v>
      </c>
      <c r="AC821" s="16" t="str">
        <f t="array" ref="AC821">INDEX(NPCAL,TRUNC(1+(COUNTA(NPCAL))*(TRUNC(MOD(($B821*1103515245 +12345)/ 65536, 32768),0)/32768),0))</f>
        <v>LN</v>
      </c>
      <c r="AD821" s="72" t="str">
        <f ca="1">IFERROR(__xludf.DUMMYFUNCTION("if(V821&lt;15,QUERY(NPCVar!C:D,""Select D WHERE C = '""&amp;D821&amp;""'""),if((TRUNC(1+10)*(TRUNC(MOD((ROW(H821)*1103515245 +12345)/ 65536, 32768),0)/32768)/10) &gt; 0.85,INDEX(NPCFaction,TRUNC(1+(counta(NPCFaction)-1)*(TRUNC(MOD(($B821*1103515245 +12345)/ 65536, 3276"&amp;"8),0)/32768),0)),QUERY(NPCVar!C:D,""Select D WHERE C = '""&amp;D821&amp;""'"")))"),"Farmers Guild")</f>
        <v>Farmers Guild</v>
      </c>
      <c r="AE821" s="108" t="e">
        <f t="shared" ca="1" si="58"/>
        <v>#NAME?</v>
      </c>
      <c r="AF821" s="159">
        <f ca="1">IFERROR(__xludf.DUMMYFUNCTION("AE821*(V821 / QUERY(NPCVar!$K$2:$N$12, ""Select N WHERE K='""&amp;AB821&amp;""'""))*TRUNC(1+10)*(TRUNC(MOD(($B821*1103515245 +12345)/ 65536, 32768),0)/32768)"),2.49554443359375)</f>
        <v>2.49554443359375</v>
      </c>
      <c r="AG821" s="16"/>
      <c r="AH821" s="77"/>
      <c r="AI821" s="114"/>
    </row>
    <row r="822" spans="1:35" ht="16.2">
      <c r="A822" s="53">
        <v>821</v>
      </c>
      <c r="B822" s="118">
        <f t="shared" si="60"/>
        <v>0.67603999999999997</v>
      </c>
      <c r="C822" s="72" t="str">
        <f t="array" ref="C822">INDEX(NPCFName,TRUNC(1+(COUNTA(NPCFName))*(TRUNC(MOD(($B822*1103515245 +12345)/ 65536, 32768),0)/32768),0))</f>
        <v>Anfar</v>
      </c>
      <c r="D822" s="16" t="str">
        <f t="array" ref="D822">INDEX(NPCLName,TRUNC(1+(COUNTA(NPCLName))*(TRUNC(MOD(($B822*1103515245 +12345)/ 65536, 32768),0)/32768),0))</f>
        <v>Leafblight</v>
      </c>
      <c r="E822" s="16" t="str">
        <f t="array" ref="E822">INDEX(NPCClass,TRUNC(1+(COUNTA(NPCClass))*(TRUNC(MOD(($B822*1103515245 +12345)/ 65536, 32768),0)/32768),0))</f>
        <v>Paladin</v>
      </c>
      <c r="F822" s="76">
        <v>6</v>
      </c>
      <c r="G822" s="153">
        <f ca="1">VLOOKUP($AB$2,'RF Mod'!$A$2:$G$12,2,FALSE)+VLOOKUP($AD$2,'RF Mod'!$I$2:$O$11,2,FALSE)+(TRUNC(6+(24-6)*(TRUNC(MOD(($Z822*1103515245 +12345)/ 65536, 32768),0)/32768),0))</f>
        <v>7</v>
      </c>
      <c r="H822" s="16">
        <f t="shared" ca="1" si="49"/>
        <v>-2</v>
      </c>
      <c r="I822" s="153">
        <f ca="1">VLOOKUP($AB$2,'RF Mod'!$A$2:$G$12,3,FALSE)+VLOOKUP($AD$2,'RF Mod'!$I$2:$O$11,3,FALSE)+(TRUNC(6+(24-6)*(TRUNC(MOD(($Z822*1103515245 +12345)/ 65536, 32768),0)/32768),0))</f>
        <v>11</v>
      </c>
      <c r="J822" s="16" t="e">
        <f t="shared" ca="1" si="50"/>
        <v>#NAME?</v>
      </c>
      <c r="K822" s="153">
        <f ca="1">VLOOKUP($AB$2,'RF Mod'!$A$2:$G$12,3,FALSE)+VLOOKUP($AD$2,'RF Mod'!$I$2:$O$11,3,FALSE)+(TRUNC(6+(24-6)*(TRUNC(MOD(($Z822*1103515245 +12345)/ 65536, 32768),0)/32768),0))</f>
        <v>11</v>
      </c>
      <c r="L822" s="16" t="e">
        <f t="shared" ca="1" si="51"/>
        <v>#NAME?</v>
      </c>
      <c r="M822" s="153">
        <f ca="1">VLOOKUP($AB$2,'RF Mod'!$A$2:$G$12,4,FALSE)+VLOOKUP($AD$2,'RF Mod'!$I$2:$O$11,4,FALSE)+(TRUNC(6+(24-6)*(TRUNC(MOD(($Z822*1103515245 +12345)/ 65536, 32768),0)/32768),0))</f>
        <v>10</v>
      </c>
      <c r="N822" s="16" t="e">
        <f t="shared" ca="1" si="52"/>
        <v>#NAME?</v>
      </c>
      <c r="O822" s="153">
        <f ca="1">VLOOKUP($AB$2,'RF Mod'!$A$2:$G$12,5,FALSE)+VLOOKUP($AD$2,'RF Mod'!$I$2:$O$11,5,FALSE)+(TRUNC(6+(24-6)*(TRUNC(MOD(($Z822*1103515245 +12345)/ 65536, 32768),0)/32768),0))</f>
        <v>13</v>
      </c>
      <c r="P822" s="16" t="e">
        <f t="shared" ca="1" si="53"/>
        <v>#NAME?</v>
      </c>
      <c r="Q822" s="153">
        <f ca="1">VLOOKUP($AB$2,'RF Mod'!$A$2:$G$12,6,FALSE)+VLOOKUP($AD$2,'RF Mod'!$I$2:$O$11,6,FALSE)+(TRUNC(6+(24-6)*(TRUNC(MOD(($Z822*1103515245 +12345)/ 65536, 32768),0)/32768),0))</f>
        <v>11</v>
      </c>
      <c r="R822" s="16" t="e">
        <f t="shared" ca="1" si="54"/>
        <v>#NAME?</v>
      </c>
      <c r="S822" s="154">
        <f t="shared" ca="1" si="59"/>
        <v>126</v>
      </c>
      <c r="T822" s="154">
        <f t="shared" ca="1" si="55"/>
        <v>128</v>
      </c>
      <c r="U822" s="16" t="str">
        <f t="shared" ca="1" si="56"/>
        <v>Dead</v>
      </c>
      <c r="V822" s="155">
        <f ca="1">IFERROR(__xludf.DUMMYFUNCTION("if(W822=""Middle Age"",QUERY(NPCVar!$K$2:$N1000, ""Select L where K = '""&amp;AB822&amp;""'""),if(W822=""Old"",QUERY(NPCVar!$K$2:$N1000, ""Select M where K = '""&amp;AB822&amp;""'""),if(W822=""Venerable"",QUERY(NPCVar!$K$2:$N1000, ""Select N where K = '""&amp;AB822&amp;""'""),fa"&amp;"lse)))*X822"),151.875)</f>
        <v>151.875</v>
      </c>
      <c r="W822" s="156" t="str">
        <f t="array" ref="W822">INDEX(NPCAgeType,TRUNC(1+(4-1)*(TRUNC(MOD((X822*1103515245 +12345)/ 65536, 32768),0)/32768),0))</f>
        <v>Old</v>
      </c>
      <c r="X822" s="117">
        <f t="shared" si="61"/>
        <v>0.9</v>
      </c>
      <c r="Y822" s="157" t="e">
        <f t="array" aca="1" ref="Y822" ca="1">LOOKUP(ABS(MAX(Z822 + MIN(ABS(INDIRECT("Class Jobs!B"&amp;MATCH(E822,'Class Jobs'!$A$1:$A1000,0)&amp;":"&amp;"AF"&amp;MATCH(E822,'Class Jobs'!$A$1:$A1000,0)&amp;"")-$Z822)) * SUM(IF(MIN(ABS(INDIRECT("Class Jobs!B"&amp;MATCH(E822,'Class Jobs'!$A$1:$A1000,0)&amp;":"&amp;"AF"&amp;MATCH(E822,'Class Jobs'!$A$1:$A1000,0)&amp;"")-$Z822))=ABS(INDIRECT("Class Jobs!B"&amp;MATCH(E822,'Class Jobs'!$A$1:$A1000,0)&amp;":"&amp;"AF"&amp;MATCH(E822,'Class Jobs'!$A$1:$A1000,0)&amp;"")-$Z822),SIGN(INDIRECT("Class Jobs!B"&amp;MATCH(E822,'Class Jobs'!$A$1:A1000,0)&amp;":"&amp;"AF"&amp;MATCH(E822,'Class Jobs'!$A$1:$A1000,0)&amp;"")-$Z822),0)),0)),INDIRECT("Class Jobs!B"&amp;MATCH(E822,'Class Jobs'!$A$1:$A1000,0)&amp;":"&amp;"AF"&amp;MATCH(E822,'Class Jobs'!$A$1:$A1000,1)&amp;""),'Class Jobs'!$B$1:$AF$1)</f>
        <v>#REF!</v>
      </c>
      <c r="Z822" s="158">
        <f t="shared" si="57"/>
        <v>0.35</v>
      </c>
      <c r="AA822" s="16" t="str">
        <f t="array" ref="AA822">INDEX(NPCGender,TRUNC(1+(COUNTA(NPCGender))*(TRUNC(MOD(($B822*1103515245 +12345)/ 65536, 32768),0)/32768),0))</f>
        <v>Female</v>
      </c>
      <c r="AB822" s="16" t="str">
        <f t="array" ref="AB822">INDEX(NPCRace,TRUNC(1+(COUNTA(NPCRace))*(TRUNC(MOD(($B822*1103515245 +12345)/ 65536, 32768),0)/32768),0))</f>
        <v>Gnome</v>
      </c>
      <c r="AC822" s="16" t="str">
        <f t="array" ref="AC822">INDEX(NPCAL,TRUNC(1+(COUNTA(NPCAL))*(TRUNC(MOD(($B822*1103515245 +12345)/ 65536, 32768),0)/32768),0))</f>
        <v>NG</v>
      </c>
      <c r="AD822" s="72" t="str">
        <f ca="1">IFERROR(__xludf.DUMMYFUNCTION("if(V822&lt;15,QUERY(NPCVar!C:D,""Select D WHERE C = '""&amp;D822&amp;""'""),if((TRUNC(1+10)*(TRUNC(MOD((ROW(H822)*1103515245 +12345)/ 65536, 32768),0)/32768)/10) &gt; 0.85,INDEX(NPCFaction,TRUNC(1+(counta(NPCFaction)-1)*(TRUNC(MOD(($B822*1103515245 +12345)/ 65536, 3276"&amp;"8),0)/32768),0)),QUERY(NPCVar!C:D,""Select D WHERE C = '""&amp;D822&amp;""'"")))"),"Necromancer")</f>
        <v>Necromancer</v>
      </c>
      <c r="AE822" s="108" t="e">
        <f t="shared" ca="1" si="58"/>
        <v>#NAME?</v>
      </c>
      <c r="AF822" s="159">
        <f ca="1">IFERROR(__xludf.DUMMYFUNCTION("AE822*(V822 / QUERY(NPCVar!$K$2:$N$12, ""Select N WHERE K='""&amp;AB822&amp;""'""))*TRUNC(1+10)*(TRUNC(MOD(($B822*1103515245 +12345)/ 65536, 32768),0)/32768)"),0.902757911682129)</f>
        <v>0.90275791168212904</v>
      </c>
      <c r="AG822" s="16"/>
      <c r="AH822" s="77"/>
      <c r="AI822" s="114"/>
    </row>
    <row r="823" spans="1:35" ht="16.2">
      <c r="A823" s="53">
        <v>822</v>
      </c>
      <c r="B823" s="118">
        <f t="shared" si="60"/>
        <v>2.1701800000000002</v>
      </c>
      <c r="C823" s="72" t="str">
        <f t="array" ref="C823">INDEX(NPCFName,TRUNC(1+(COUNTA(NPCFName))*(TRUNC(MOD(($B823*1103515245 +12345)/ 65536, 32768),0)/32768),0))</f>
        <v>Galiron</v>
      </c>
      <c r="D823" s="16" t="str">
        <f t="array" ref="D823">INDEX(NPCLName,TRUNC(1+(COUNTA(NPCLName))*(TRUNC(MOD(($B823*1103515245 +12345)/ 65536, 32768),0)/32768),0))</f>
        <v>Distantlash</v>
      </c>
      <c r="E823" s="16" t="str">
        <f t="array" ref="E823">INDEX(NPCClass,TRUNC(1+(COUNTA(NPCClass))*(TRUNC(MOD(($B823*1103515245 +12345)/ 65536, 32768),0)/32768),0))</f>
        <v>Bard</v>
      </c>
      <c r="F823" s="76">
        <v>1</v>
      </c>
      <c r="G823" s="153">
        <f ca="1">VLOOKUP($AB$2,'RF Mod'!$A$2:$G$12,2,FALSE)+VLOOKUP($AD$2,'RF Mod'!$I$2:$O$11,2,FALSE)+(TRUNC(6+(24-6)*(TRUNC(MOD(($Z823*1103515245 +12345)/ 65536, 32768),0)/32768),0))</f>
        <v>5</v>
      </c>
      <c r="H823" s="16">
        <f t="shared" ca="1" si="49"/>
        <v>-3</v>
      </c>
      <c r="I823" s="153">
        <f ca="1">VLOOKUP($AB$2,'RF Mod'!$A$2:$G$12,3,FALSE)+VLOOKUP($AD$2,'RF Mod'!$I$2:$O$11,3,FALSE)+(TRUNC(6+(24-6)*(TRUNC(MOD(($Z823*1103515245 +12345)/ 65536, 32768),0)/32768),0))</f>
        <v>9</v>
      </c>
      <c r="J823" s="16">
        <f t="shared" ca="1" si="50"/>
        <v>-1</v>
      </c>
      <c r="K823" s="153">
        <f ca="1">VLOOKUP($AB$2,'RF Mod'!$A$2:$G$12,3,FALSE)+VLOOKUP($AD$2,'RF Mod'!$I$2:$O$11,3,FALSE)+(TRUNC(6+(24-6)*(TRUNC(MOD(($Z823*1103515245 +12345)/ 65536, 32768),0)/32768),0))</f>
        <v>9</v>
      </c>
      <c r="L823" s="16">
        <f t="shared" ca="1" si="51"/>
        <v>-1</v>
      </c>
      <c r="M823" s="153">
        <f ca="1">VLOOKUP($AB$2,'RF Mod'!$A$2:$G$12,4,FALSE)+VLOOKUP($AD$2,'RF Mod'!$I$2:$O$11,4,FALSE)+(TRUNC(6+(24-6)*(TRUNC(MOD(($Z823*1103515245 +12345)/ 65536, 32768),0)/32768),0))</f>
        <v>8</v>
      </c>
      <c r="N823" s="16">
        <f t="shared" ca="1" si="52"/>
        <v>-1</v>
      </c>
      <c r="O823" s="153">
        <f ca="1">VLOOKUP($AB$2,'RF Mod'!$A$2:$G$12,5,FALSE)+VLOOKUP($AD$2,'RF Mod'!$I$2:$O$11,5,FALSE)+(TRUNC(6+(24-6)*(TRUNC(MOD(($Z823*1103515245 +12345)/ 65536, 32768),0)/32768),0))</f>
        <v>11</v>
      </c>
      <c r="P823" s="16" t="e">
        <f t="shared" ca="1" si="53"/>
        <v>#NAME?</v>
      </c>
      <c r="Q823" s="153">
        <f ca="1">VLOOKUP($AB$2,'RF Mod'!$A$2:$G$12,6,FALSE)+VLOOKUP($AD$2,'RF Mod'!$I$2:$O$11,6,FALSE)+(TRUNC(6+(24-6)*(TRUNC(MOD(($Z823*1103515245 +12345)/ 65536, 32768),0)/32768),0))</f>
        <v>9</v>
      </c>
      <c r="R823" s="16">
        <f t="shared" ca="1" si="54"/>
        <v>-1</v>
      </c>
      <c r="S823" s="154">
        <f t="shared" ca="1" si="59"/>
        <v>11</v>
      </c>
      <c r="T823" s="154">
        <f t="shared" ca="1" si="55"/>
        <v>8</v>
      </c>
      <c r="U823" s="16" t="str">
        <f t="shared" ca="1" si="56"/>
        <v>Bloody</v>
      </c>
      <c r="V823" s="155">
        <f ca="1">IFERROR(__xludf.DUMMYFUNCTION("if(W823=""Middle Age"",QUERY(NPCVar!$K$2:$N1000, ""Select L where K = '""&amp;AB823&amp;""'""),if(W823=""Old"",QUERY(NPCVar!$K$2:$N1000, ""Select M where K = '""&amp;AB823&amp;""'""),if(W823=""Venerable"",QUERY(NPCVar!$K$2:$N1000, ""Select N where K = '""&amp;AB823&amp;""'""),fa"&amp;"lse)))*X823"),24)</f>
        <v>24</v>
      </c>
      <c r="W823" s="156" t="str">
        <f t="array" ref="W823">INDEX(NPCAgeType,TRUNC(1+(4-1)*(TRUNC(MOD((X823*1103515245 +12345)/ 65536, 32768),0)/32768),0))</f>
        <v>Middle Age</v>
      </c>
      <c r="X823" s="117">
        <f t="shared" si="61"/>
        <v>0.3</v>
      </c>
      <c r="Y823" s="157" t="e">
        <f t="array" aca="1" ref="Y823" ca="1">LOOKUP(ABS(MAX(Z823 + MIN(ABS(INDIRECT("Class Jobs!B"&amp;MATCH(E823,'Class Jobs'!$A$1:$A1000,0)&amp;":"&amp;"AF"&amp;MATCH(E823,'Class Jobs'!$A$1:$A1000,0)&amp;"")-$Z823)) * SUM(IF(MIN(ABS(INDIRECT("Class Jobs!B"&amp;MATCH(E823,'Class Jobs'!$A$1:$A1000,0)&amp;":"&amp;"AF"&amp;MATCH(E823,'Class Jobs'!$A$1:$A1000,0)&amp;"")-$Z823))=ABS(INDIRECT("Class Jobs!B"&amp;MATCH(E823,'Class Jobs'!$A$1:$A1000,0)&amp;":"&amp;"AF"&amp;MATCH(E823,'Class Jobs'!$A$1:$A1000,0)&amp;"")-$Z823),SIGN(INDIRECT("Class Jobs!B"&amp;MATCH(E823,'Class Jobs'!$A$1:A1000,0)&amp;":"&amp;"AF"&amp;MATCH(E823,'Class Jobs'!$A$1:$A1000,0)&amp;"")-$Z823),0)),0)),INDIRECT("Class Jobs!B"&amp;MATCH(E823,'Class Jobs'!$A$1:$A1000,0)&amp;":"&amp;"AF"&amp;MATCH(E823,'Class Jobs'!$A$1:$A1000,1)&amp;""),'Class Jobs'!$B$1:$AF$1)</f>
        <v>#REF!</v>
      </c>
      <c r="Z823" s="158">
        <f t="shared" si="57"/>
        <v>0.12</v>
      </c>
      <c r="AA823" s="16" t="str">
        <f t="array" ref="AA823">INDEX(NPCGender,TRUNC(1+(COUNTA(NPCGender))*(TRUNC(MOD(($B823*1103515245 +12345)/ 65536, 32768),0)/32768),0))</f>
        <v>Male</v>
      </c>
      <c r="AB823" s="16" t="str">
        <f t="array" ref="AB823">INDEX(NPCRace,TRUNC(1+(COUNTA(NPCRace))*(TRUNC(MOD(($B823*1103515245 +12345)/ 65536, 32768),0)/32768),0))</f>
        <v>Dwarf</v>
      </c>
      <c r="AC823" s="16" t="str">
        <f t="array" ref="AC823">INDEX(NPCAL,TRUNC(1+(COUNTA(NPCAL))*(TRUNC(MOD(($B823*1103515245 +12345)/ 65536, 32768),0)/32768),0))</f>
        <v>CE</v>
      </c>
      <c r="AD823" s="72" t="str">
        <f ca="1">IFERROR(__xludf.DUMMYFUNCTION("if(V823&lt;15,QUERY(NPCVar!C:D,""Select D WHERE C = '""&amp;D823&amp;""'""),if((TRUNC(1+10)*(TRUNC(MOD((ROW(H823)*1103515245 +12345)/ 65536, 32768),0)/32768)/10) &gt; 0.85,INDEX(NPCFaction,TRUNC(1+(counta(NPCFaction)-1)*(TRUNC(MOD(($B823*1103515245 +12345)/ 65536, 3276"&amp;"8),0)/32768),0)),QUERY(NPCVar!C:D,""Select D WHERE C = '""&amp;D823&amp;""'"")))"),"Necromancer")</f>
        <v>Necromancer</v>
      </c>
      <c r="AE823" s="108" t="e">
        <f t="shared" ca="1" si="58"/>
        <v>#NAME?</v>
      </c>
      <c r="AF823" s="159">
        <f ca="1">IFERROR(__xludf.DUMMYFUNCTION("AE823*(V823 / QUERY(NPCVar!$K$2:$N$12, ""Select N WHERE K='""&amp;AB823&amp;""'""))*TRUNC(1+10)*(TRUNC(MOD(($B823*1103515245 +12345)/ 65536, 32768),0)/32768)"),0.00950180053710937)</f>
        <v>9.5018005371093704E-3</v>
      </c>
      <c r="AG823" s="16"/>
      <c r="AH823" s="77"/>
      <c r="AI823" s="114"/>
    </row>
    <row r="824" spans="1:35" ht="16.2">
      <c r="A824" s="53">
        <v>823</v>
      </c>
      <c r="B824" s="118">
        <f t="shared" si="60"/>
        <v>1.16432</v>
      </c>
      <c r="C824" s="72" t="str">
        <f t="array" ref="C824">INDEX(NPCFName,TRUNC(1+(COUNTA(NPCFName))*(TRUNC(MOD(($B824*1103515245 +12345)/ 65536, 32768),0)/32768),0))</f>
        <v>Shade</v>
      </c>
      <c r="D824" s="16" t="str">
        <f t="array" ref="D824">INDEX(NPCLName,TRUNC(1+(COUNTA(NPCLName))*(TRUNC(MOD(($B824*1103515245 +12345)/ 65536, 32768),0)/32768),0))</f>
        <v>Chestaxe</v>
      </c>
      <c r="E824" s="16" t="str">
        <f t="array" ref="E824">INDEX(NPCClass,TRUNC(1+(COUNTA(NPCClass))*(TRUNC(MOD(($B824*1103515245 +12345)/ 65536, 32768),0)/32768),0))</f>
        <v>Warlock</v>
      </c>
      <c r="F824" s="76">
        <v>8</v>
      </c>
      <c r="G824" s="153">
        <f ca="1">VLOOKUP($AB$2,'RF Mod'!$A$2:$G$12,2,FALSE)+VLOOKUP($AD$2,'RF Mod'!$I$2:$O$11,2,FALSE)+(TRUNC(6+(24-6)*(TRUNC(MOD(($Z824*1103515245 +12345)/ 65536, 32768),0)/32768),0))</f>
        <v>9</v>
      </c>
      <c r="H824" s="16">
        <f t="shared" ca="1" si="49"/>
        <v>-1</v>
      </c>
      <c r="I824" s="153">
        <f ca="1">VLOOKUP($AB$2,'RF Mod'!$A$2:$G$12,3,FALSE)+VLOOKUP($AD$2,'RF Mod'!$I$2:$O$11,3,FALSE)+(TRUNC(6+(24-6)*(TRUNC(MOD(($Z824*1103515245 +12345)/ 65536, 32768),0)/32768),0))</f>
        <v>13</v>
      </c>
      <c r="J824" s="16" t="e">
        <f t="shared" ca="1" si="50"/>
        <v>#NAME?</v>
      </c>
      <c r="K824" s="153">
        <f ca="1">VLOOKUP($AB$2,'RF Mod'!$A$2:$G$12,3,FALSE)+VLOOKUP($AD$2,'RF Mod'!$I$2:$O$11,3,FALSE)+(TRUNC(6+(24-6)*(TRUNC(MOD(($Z824*1103515245 +12345)/ 65536, 32768),0)/32768),0))</f>
        <v>13</v>
      </c>
      <c r="L824" s="16" t="e">
        <f t="shared" ca="1" si="51"/>
        <v>#NAME?</v>
      </c>
      <c r="M824" s="153">
        <f ca="1">VLOOKUP($AB$2,'RF Mod'!$A$2:$G$12,4,FALSE)+VLOOKUP($AD$2,'RF Mod'!$I$2:$O$11,4,FALSE)+(TRUNC(6+(24-6)*(TRUNC(MOD(($Z824*1103515245 +12345)/ 65536, 32768),0)/32768),0))</f>
        <v>12</v>
      </c>
      <c r="N824" s="16" t="e">
        <f t="shared" ca="1" si="52"/>
        <v>#NAME?</v>
      </c>
      <c r="O824" s="153">
        <f ca="1">VLOOKUP($AB$2,'RF Mod'!$A$2:$G$12,5,FALSE)+VLOOKUP($AD$2,'RF Mod'!$I$2:$O$11,5,FALSE)+(TRUNC(6+(24-6)*(TRUNC(MOD(($Z824*1103515245 +12345)/ 65536, 32768),0)/32768),0))</f>
        <v>15</v>
      </c>
      <c r="P824" s="16" t="e">
        <f t="shared" ca="1" si="53"/>
        <v>#NAME?</v>
      </c>
      <c r="Q824" s="153">
        <f ca="1">VLOOKUP($AB$2,'RF Mod'!$A$2:$G$12,6,FALSE)+VLOOKUP($AD$2,'RF Mod'!$I$2:$O$11,6,FALSE)+(TRUNC(6+(24-6)*(TRUNC(MOD(($Z824*1103515245 +12345)/ 65536, 32768),0)/32768),0))</f>
        <v>13</v>
      </c>
      <c r="R824" s="16" t="e">
        <f t="shared" ca="1" si="54"/>
        <v>#NAME?</v>
      </c>
      <c r="S824" s="154">
        <f t="shared" ca="1" si="59"/>
        <v>120</v>
      </c>
      <c r="T824" s="154">
        <f t="shared" ca="1" si="55"/>
        <v>89</v>
      </c>
      <c r="U824" s="16" t="str">
        <f t="shared" ca="1" si="56"/>
        <v>Bloody</v>
      </c>
      <c r="V824" s="155">
        <f ca="1">IFERROR(__xludf.DUMMYFUNCTION("if(W824=""Middle Age"",QUERY(NPCVar!$K$2:$N1000, ""Select L where K = '""&amp;AB824&amp;""'""),if(W824=""Old"",QUERY(NPCVar!$K$2:$N1000, ""Select M where K = '""&amp;AB824&amp;""'""),if(W824=""Venerable"",QUERY(NPCVar!$K$2:$N1000, ""Select N where K = '""&amp;AB824&amp;""'""),fa"&amp;"lse)))*X824"),300)</f>
        <v>300</v>
      </c>
      <c r="W824" s="156" t="str">
        <f t="array" ref="W824">INDEX(NPCAgeType,TRUNC(1+(4-1)*(TRUNC(MOD((X824*1103515245 +12345)/ 65536, 32768),0)/32768),0))</f>
        <v>Venerable</v>
      </c>
      <c r="X824" s="117">
        <f t="shared" si="61"/>
        <v>1.5</v>
      </c>
      <c r="Y824" s="157" t="e">
        <f t="array" aca="1" ref="Y824" ca="1">LOOKUP(ABS(MAX(Z824 + MIN(ABS(INDIRECT("Class Jobs!B"&amp;MATCH(E824,'Class Jobs'!$A$1:$A1000,0)&amp;":"&amp;"AF"&amp;MATCH(E824,'Class Jobs'!$A$1:$A1000,0)&amp;"")-$Z824)) * SUM(IF(MIN(ABS(INDIRECT("Class Jobs!B"&amp;MATCH(E824,'Class Jobs'!$A$1:$A1000,0)&amp;":"&amp;"AF"&amp;MATCH(E824,'Class Jobs'!$A$1:$A1000,0)&amp;"")-$Z824))=ABS(INDIRECT("Class Jobs!B"&amp;MATCH(E824,'Class Jobs'!$A$1:$A1000,0)&amp;":"&amp;"AF"&amp;MATCH(E824,'Class Jobs'!$A$1:$A1000,0)&amp;"")-$Z824),SIGN(INDIRECT("Class Jobs!B"&amp;MATCH(E824,'Class Jobs'!$A$1:A1000,0)&amp;":"&amp;"AF"&amp;MATCH(E824,'Class Jobs'!$A$1:$A1000,0)&amp;"")-$Z824),0)),0)),INDIRECT("Class Jobs!B"&amp;MATCH(E824,'Class Jobs'!$A$1:$A1000,0)&amp;":"&amp;"AF"&amp;MATCH(E824,'Class Jobs'!$A$1:$A1000,1)&amp;""),'Class Jobs'!$B$1:$AF$1)</f>
        <v>#REF!</v>
      </c>
      <c r="Z824" s="158">
        <f t="shared" si="57"/>
        <v>0.6</v>
      </c>
      <c r="AA824" s="16" t="str">
        <f t="array" ref="AA824">INDEX(NPCGender,TRUNC(1+(COUNTA(NPCGender))*(TRUNC(MOD(($B824*1103515245 +12345)/ 65536, 32768),0)/32768),0))</f>
        <v>Female</v>
      </c>
      <c r="AB824" s="16" t="str">
        <f t="array" ref="AB824">INDEX(NPCRace,TRUNC(1+(COUNTA(NPCRace))*(TRUNC(MOD(($B824*1103515245 +12345)/ 65536, 32768),0)/32768),0))</f>
        <v>Halfling</v>
      </c>
      <c r="AC824" s="16" t="str">
        <f t="array" ref="AC824">INDEX(NPCAL,TRUNC(1+(COUNTA(NPCAL))*(TRUNC(MOD(($B824*1103515245 +12345)/ 65536, 32768),0)/32768),0))</f>
        <v>NE</v>
      </c>
      <c r="AD824" s="72" t="str">
        <f ca="1">IFERROR(__xludf.DUMMYFUNCTION("if(V824&lt;15,QUERY(NPCVar!C:D,""Select D WHERE C = '""&amp;D824&amp;""'""),if((TRUNC(1+10)*(TRUNC(MOD((ROW(H824)*1103515245 +12345)/ 65536, 32768),0)/32768)/10) &gt; 0.85,INDEX(NPCFaction,TRUNC(1+(counta(NPCFaction)-1)*(TRUNC(MOD(($B824*1103515245 +12345)/ 65536, 3276"&amp;"8),0)/32768),0)),QUERY(NPCVar!C:D,""Select D WHERE C = '""&amp;D824&amp;""'"")))"),"Farmers Guild")</f>
        <v>Farmers Guild</v>
      </c>
      <c r="AE824" s="108" t="e">
        <f t="shared" ca="1" si="58"/>
        <v>#NAME?</v>
      </c>
      <c r="AF824" s="159">
        <f ca="1">IFERROR(__xludf.DUMMYFUNCTION("AE824*(V824 / QUERY(NPCVar!$K$2:$N$12, ""Select N WHERE K='""&amp;AB824&amp;""'""))*TRUNC(1+10)*(TRUNC(MOD(($B824*1103515245 +12345)/ 65536, 32768),0)/32768)"),9.87190246582031)</f>
        <v>9.8719024658203107</v>
      </c>
      <c r="AG824" s="16"/>
      <c r="AH824" s="77"/>
      <c r="AI824" s="114"/>
    </row>
    <row r="825" spans="1:35" ht="16.2">
      <c r="A825" s="53">
        <v>824</v>
      </c>
      <c r="B825" s="118">
        <f t="shared" si="60"/>
        <v>0.15847</v>
      </c>
      <c r="C825" s="72" t="str">
        <f t="array" ref="C825">INDEX(NPCFName,TRUNC(1+(COUNTA(NPCFName))*(TRUNC(MOD(($B825*1103515245 +12345)/ 65536, 32768),0)/32768),0))</f>
        <v>Dritz</v>
      </c>
      <c r="D825" s="16" t="str">
        <f t="array" ref="D825">INDEX(NPCLName,TRUNC(1+(COUNTA(NPCLName))*(TRUNC(MOD(($B825*1103515245 +12345)/ 65536, 32768),0)/32768),0))</f>
        <v>Autumnorb</v>
      </c>
      <c r="E825" s="16" t="str">
        <f t="array" ref="E825">INDEX(NPCClass,TRUNC(1+(COUNTA(NPCClass))*(TRUNC(MOD(($B825*1103515245 +12345)/ 65536, 32768),0)/32768),0))</f>
        <v>Barbarian</v>
      </c>
      <c r="F825" s="76">
        <v>1</v>
      </c>
      <c r="G825" s="153">
        <f ca="1">VLOOKUP($AB$2,'RF Mod'!$A$2:$G$12,2,FALSE)+VLOOKUP($AD$2,'RF Mod'!$I$2:$O$11,2,FALSE)+(TRUNC(6+(24-6)*(TRUNC(MOD(($Z825*1103515245 +12345)/ 65536, 32768),0)/32768),0))</f>
        <v>4</v>
      </c>
      <c r="H825" s="16">
        <f t="shared" ca="1" si="49"/>
        <v>-3</v>
      </c>
      <c r="I825" s="153">
        <f ca="1">VLOOKUP($AB$2,'RF Mod'!$A$2:$G$12,3,FALSE)+VLOOKUP($AD$2,'RF Mod'!$I$2:$O$11,3,FALSE)+(TRUNC(6+(24-6)*(TRUNC(MOD(($Z825*1103515245 +12345)/ 65536, 32768),0)/32768),0))</f>
        <v>8</v>
      </c>
      <c r="J825" s="16">
        <f t="shared" ca="1" si="50"/>
        <v>-1</v>
      </c>
      <c r="K825" s="153">
        <f ca="1">VLOOKUP($AB$2,'RF Mod'!$A$2:$G$12,3,FALSE)+VLOOKUP($AD$2,'RF Mod'!$I$2:$O$11,3,FALSE)+(TRUNC(6+(24-6)*(TRUNC(MOD(($Z825*1103515245 +12345)/ 65536, 32768),0)/32768),0))</f>
        <v>8</v>
      </c>
      <c r="L825" s="16">
        <f t="shared" ca="1" si="51"/>
        <v>-1</v>
      </c>
      <c r="M825" s="153">
        <f ca="1">VLOOKUP($AB$2,'RF Mod'!$A$2:$G$12,4,FALSE)+VLOOKUP($AD$2,'RF Mod'!$I$2:$O$11,4,FALSE)+(TRUNC(6+(24-6)*(TRUNC(MOD(($Z825*1103515245 +12345)/ 65536, 32768),0)/32768),0))</f>
        <v>7</v>
      </c>
      <c r="N825" s="16">
        <f t="shared" ca="1" si="52"/>
        <v>-2</v>
      </c>
      <c r="O825" s="153">
        <f ca="1">VLOOKUP($AB$2,'RF Mod'!$A$2:$G$12,5,FALSE)+VLOOKUP($AD$2,'RF Mod'!$I$2:$O$11,5,FALSE)+(TRUNC(6+(24-6)*(TRUNC(MOD(($Z825*1103515245 +12345)/ 65536, 32768),0)/32768),0))</f>
        <v>10</v>
      </c>
      <c r="P825" s="16" t="e">
        <f t="shared" ca="1" si="53"/>
        <v>#NAME?</v>
      </c>
      <c r="Q825" s="153">
        <f ca="1">VLOOKUP($AB$2,'RF Mod'!$A$2:$G$12,6,FALSE)+VLOOKUP($AD$2,'RF Mod'!$I$2:$O$11,6,FALSE)+(TRUNC(6+(24-6)*(TRUNC(MOD(($Z825*1103515245 +12345)/ 65536, 32768),0)/32768),0))</f>
        <v>8</v>
      </c>
      <c r="R825" s="16">
        <f t="shared" ca="1" si="54"/>
        <v>-1</v>
      </c>
      <c r="S825" s="154">
        <f t="shared" ca="1" si="59"/>
        <v>10</v>
      </c>
      <c r="T825" s="154">
        <f t="shared" ca="1" si="55"/>
        <v>1</v>
      </c>
      <c r="U825" s="16" t="str">
        <f t="shared" ca="1" si="56"/>
        <v>Fine</v>
      </c>
      <c r="V825" s="155">
        <f ca="1">IFERROR(__xludf.DUMMYFUNCTION("if(W825=""Middle Age"",QUERY(NPCVar!$K$2:$N1000, ""Select L where K = '""&amp;AB825&amp;""'""),if(W825=""Old"",QUERY(NPCVar!$K$2:$N1000, ""Select M where K = '""&amp;AB825&amp;""'""),if(W825=""Venerable"",QUERY(NPCVar!$K$2:$N1000, ""Select N where K = '""&amp;AB825&amp;""'""),fa"&amp;"lse)))*X825"),4)</f>
        <v>4</v>
      </c>
      <c r="W825" s="156" t="str">
        <f t="array" ref="W825">INDEX(NPCAgeType,TRUNC(1+(4-1)*(TRUNC(MOD((X825*1103515245 +12345)/ 65536, 32768),0)/32768),0))</f>
        <v>Middle Age</v>
      </c>
      <c r="X825" s="117">
        <f t="shared" si="61"/>
        <v>0.2</v>
      </c>
      <c r="Y825" s="157" t="e">
        <f t="array" aca="1" ref="Y825" ca="1">LOOKUP(ABS(MAX(Z825 + MIN(ABS(INDIRECT("Class Jobs!B"&amp;MATCH(E825,'Class Jobs'!$A$1:$A1000,0)&amp;":"&amp;"AF"&amp;MATCH(E825,'Class Jobs'!$A$1:$A1000,0)&amp;"")-$Z825)) * SUM(IF(MIN(ABS(INDIRECT("Class Jobs!B"&amp;MATCH(E825,'Class Jobs'!$A$1:$A1000,0)&amp;":"&amp;"AF"&amp;MATCH(E825,'Class Jobs'!$A$1:$A1000,0)&amp;"")-$Z825))=ABS(INDIRECT("Class Jobs!B"&amp;MATCH(E825,'Class Jobs'!$A$1:$A1000,0)&amp;":"&amp;"AF"&amp;MATCH(E825,'Class Jobs'!$A$1:$A1000,0)&amp;"")-$Z825),SIGN(INDIRECT("Class Jobs!B"&amp;MATCH(E825,'Class Jobs'!$A$1:A1000,0)&amp;":"&amp;"AF"&amp;MATCH(E825,'Class Jobs'!$A$1:$A1000,0)&amp;"")-$Z825),0)),0)),INDIRECT("Class Jobs!B"&amp;MATCH(E825,'Class Jobs'!$A$1:$A1000,0)&amp;":"&amp;"AF"&amp;MATCH(E825,'Class Jobs'!$A$1:$A1000,1)&amp;""),'Class Jobs'!$B$1:$AF$1)</f>
        <v>#REF!</v>
      </c>
      <c r="Z825" s="158">
        <f t="shared" si="57"/>
        <v>0.09</v>
      </c>
      <c r="AA825" s="16" t="str">
        <f t="array" ref="AA825">INDEX(NPCGender,TRUNC(1+(COUNTA(NPCGender))*(TRUNC(MOD(($B825*1103515245 +12345)/ 65536, 32768),0)/32768),0))</f>
        <v>Male</v>
      </c>
      <c r="AB825" s="16" t="str">
        <f t="array" ref="AB825">INDEX(NPCRace,TRUNC(1+(COUNTA(NPCRace))*(TRUNC(MOD(($B825*1103515245 +12345)/ 65536, 32768),0)/32768),0))</f>
        <v>Dragonborn</v>
      </c>
      <c r="AC825" s="16" t="str">
        <f t="array" ref="AC825">INDEX(NPCAL,TRUNC(1+(COUNTA(NPCAL))*(TRUNC(MOD(($B825*1103515245 +12345)/ 65536, 32768),0)/32768),0))</f>
        <v>CN</v>
      </c>
      <c r="AD825" s="72" t="str">
        <f ca="1">IFERROR(__xludf.DUMMYFUNCTION("if(V825&lt;15,QUERY(NPCVar!C:D,""Select D WHERE C = '""&amp;D825&amp;""'""),if((TRUNC(1+10)*(TRUNC(MOD((ROW(H825)*1103515245 +12345)/ 65536, 32768),0)/32768)/10) &gt; 0.85,INDEX(NPCFaction,TRUNC(1+(counta(NPCFaction)-1)*(TRUNC(MOD(($B825*1103515245 +12345)/ 65536, 3276"&amp;"8),0)/32768),0)),QUERY(NPCVar!C:D,""Select D WHERE C = '""&amp;D825&amp;""'"")))"),"Royalty")</f>
        <v>Royalty</v>
      </c>
      <c r="AE825" s="108" t="e">
        <f t="shared" ca="1" si="58"/>
        <v>#NAME?</v>
      </c>
      <c r="AF825" s="159">
        <f ca="1">IFERROR(__xludf.DUMMYFUNCTION("AE825*(V825 / QUERY(NPCVar!$K$2:$N$12, ""Select N WHERE K='""&amp;AB825&amp;""'""))*TRUNC(1+10)*(TRUNC(MOD(($B825*1103515245 +12345)/ 65536, 32768),0)/32768)"),0.0044781494140625)</f>
        <v>4.4781494140625003E-3</v>
      </c>
      <c r="AG825" s="16"/>
      <c r="AH825" s="77"/>
      <c r="AI825" s="114"/>
    </row>
    <row r="826" spans="1:35" ht="16.2">
      <c r="A826" s="53">
        <v>825</v>
      </c>
      <c r="B826" s="118">
        <f t="shared" si="60"/>
        <v>1.6526000000000001</v>
      </c>
      <c r="C826" s="72" t="str">
        <f t="array" ref="C826">INDEX(NPCFName,TRUNC(1+(COUNTA(NPCFName))*(TRUNC(MOD(($B826*1103515245 +12345)/ 65536, 32768),0)/32768),0))</f>
        <v>Markard</v>
      </c>
      <c r="D826" s="16" t="str">
        <f t="array" ref="D826">INDEX(NPCLName,TRUNC(1+(COUNTA(NPCLName))*(TRUNC(MOD(($B826*1103515245 +12345)/ 65536, 32768),0)/32768),0))</f>
        <v>Springgust</v>
      </c>
      <c r="E826" s="16" t="str">
        <f t="array" ref="E826">INDEX(NPCClass,TRUNC(1+(COUNTA(NPCClass))*(TRUNC(MOD(($B826*1103515245 +12345)/ 65536, 32768),0)/32768),0))</f>
        <v>Fighter</v>
      </c>
      <c r="F826" s="76">
        <v>8</v>
      </c>
      <c r="G826" s="153">
        <f ca="1">VLOOKUP($AB$2,'RF Mod'!$A$2:$G$12,2,FALSE)+VLOOKUP($AD$2,'RF Mod'!$I$2:$O$11,2,FALSE)+(TRUNC(6+(24-6)*(TRUNC(MOD(($Z826*1103515245 +12345)/ 65536, 32768),0)/32768),0))</f>
        <v>11</v>
      </c>
      <c r="H826" s="16" t="e">
        <f t="shared" ca="1" si="49"/>
        <v>#NAME?</v>
      </c>
      <c r="I826" s="153">
        <f ca="1">VLOOKUP($AB$2,'RF Mod'!$A$2:$G$12,3,FALSE)+VLOOKUP($AD$2,'RF Mod'!$I$2:$O$11,3,FALSE)+(TRUNC(6+(24-6)*(TRUNC(MOD(($Z826*1103515245 +12345)/ 65536, 32768),0)/32768),0))</f>
        <v>15</v>
      </c>
      <c r="J826" s="16" t="e">
        <f t="shared" ca="1" si="50"/>
        <v>#NAME?</v>
      </c>
      <c r="K826" s="153">
        <f ca="1">VLOOKUP($AB$2,'RF Mod'!$A$2:$G$12,3,FALSE)+VLOOKUP($AD$2,'RF Mod'!$I$2:$O$11,3,FALSE)+(TRUNC(6+(24-6)*(TRUNC(MOD(($Z826*1103515245 +12345)/ 65536, 32768),0)/32768),0))</f>
        <v>15</v>
      </c>
      <c r="L826" s="16" t="e">
        <f t="shared" ca="1" si="51"/>
        <v>#NAME?</v>
      </c>
      <c r="M826" s="153">
        <f ca="1">VLOOKUP($AB$2,'RF Mod'!$A$2:$G$12,4,FALSE)+VLOOKUP($AD$2,'RF Mod'!$I$2:$O$11,4,FALSE)+(TRUNC(6+(24-6)*(TRUNC(MOD(($Z826*1103515245 +12345)/ 65536, 32768),0)/32768),0))</f>
        <v>14</v>
      </c>
      <c r="N826" s="16" t="e">
        <f t="shared" ca="1" si="52"/>
        <v>#NAME?</v>
      </c>
      <c r="O826" s="153">
        <f ca="1">VLOOKUP($AB$2,'RF Mod'!$A$2:$G$12,5,FALSE)+VLOOKUP($AD$2,'RF Mod'!$I$2:$O$11,5,FALSE)+(TRUNC(6+(24-6)*(TRUNC(MOD(($Z826*1103515245 +12345)/ 65536, 32768),0)/32768),0))</f>
        <v>17</v>
      </c>
      <c r="P826" s="16" t="e">
        <f t="shared" ca="1" si="53"/>
        <v>#NAME?</v>
      </c>
      <c r="Q826" s="153">
        <f ca="1">VLOOKUP($AB$2,'RF Mod'!$A$2:$G$12,6,FALSE)+VLOOKUP($AD$2,'RF Mod'!$I$2:$O$11,6,FALSE)+(TRUNC(6+(24-6)*(TRUNC(MOD(($Z826*1103515245 +12345)/ 65536, 32768),0)/32768),0))</f>
        <v>15</v>
      </c>
      <c r="R826" s="16" t="e">
        <f t="shared" ca="1" si="54"/>
        <v>#NAME?</v>
      </c>
      <c r="S826" s="154">
        <f t="shared" ca="1" si="59"/>
        <v>200</v>
      </c>
      <c r="T826" s="154">
        <f t="shared" ca="1" si="55"/>
        <v>135</v>
      </c>
      <c r="U826" s="16" t="str">
        <f t="shared" ca="1" si="56"/>
        <v>Bloody</v>
      </c>
      <c r="V826" s="155">
        <f ca="1">IFERROR(__xludf.DUMMYFUNCTION("if(W826=""Middle Age"",QUERY(NPCVar!$K$2:$N1000, ""Select L where K = '""&amp;AB826&amp;""'""),if(W826=""Old"",QUERY(NPCVar!$K$2:$N1000, ""Select M where K = '""&amp;AB826&amp;""'""),if(W826=""Venerable"",QUERY(NPCVar!$K$2:$N1000, ""Select N where K = '""&amp;AB826&amp;""'""),fa"&amp;"lse)))*X826"),57.75)</f>
        <v>57.75</v>
      </c>
      <c r="W826" s="156" t="str">
        <f t="array" ref="W826">INDEX(NPCAgeType,TRUNC(1+(4-1)*(TRUNC(MOD((X826*1103515245 +12345)/ 65536, 32768),0)/32768),0))</f>
        <v>Middle Age</v>
      </c>
      <c r="X826" s="117">
        <f t="shared" si="61"/>
        <v>2.1</v>
      </c>
      <c r="Y826" s="157" t="e">
        <f t="array" aca="1" ref="Y826" ca="1">LOOKUP(ABS(MAX(Z826 + MIN(ABS(INDIRECT("Class Jobs!B"&amp;MATCH(E826,'Class Jobs'!$A$1:$A1000,0)&amp;":"&amp;"AF"&amp;MATCH(E826,'Class Jobs'!$A$1:$A1000,0)&amp;"")-$Z826)) * SUM(IF(MIN(ABS(INDIRECT("Class Jobs!B"&amp;MATCH(E826,'Class Jobs'!$A$1:$A1000,0)&amp;":"&amp;"AF"&amp;MATCH(E826,'Class Jobs'!$A$1:$A1000,0)&amp;"")-$Z826))=ABS(INDIRECT("Class Jobs!B"&amp;MATCH(E826,'Class Jobs'!$A$1:$A1000,0)&amp;":"&amp;"AF"&amp;MATCH(E826,'Class Jobs'!$A$1:$A1000,0)&amp;"")-$Z826),SIGN(INDIRECT("Class Jobs!B"&amp;MATCH(E826,'Class Jobs'!$A$1:A1000,0)&amp;":"&amp;"AF"&amp;MATCH(E826,'Class Jobs'!$A$1:$A1000,0)&amp;"")-$Z826),0)),0)),INDIRECT("Class Jobs!B"&amp;MATCH(E826,'Class Jobs'!$A$1:$A1000,0)&amp;":"&amp;"AF"&amp;MATCH(E826,'Class Jobs'!$A$1:$A1000,1)&amp;""),'Class Jobs'!$B$1:$AF$1)</f>
        <v>#REF!</v>
      </c>
      <c r="Z826" s="158">
        <f t="shared" si="57"/>
        <v>0.85</v>
      </c>
      <c r="AA826" s="16" t="str">
        <f t="array" ref="AA826">INDEX(NPCGender,TRUNC(1+(COUNTA(NPCGender))*(TRUNC(MOD(($B826*1103515245 +12345)/ 65536, 32768),0)/32768),0))</f>
        <v>Neutral</v>
      </c>
      <c r="AB826" s="16" t="str">
        <f t="array" ref="AB826">INDEX(NPCRace,TRUNC(1+(COUNTA(NPCRace))*(TRUNC(MOD(($B826*1103515245 +12345)/ 65536, 32768),0)/32768),0))</f>
        <v>Genasi</v>
      </c>
      <c r="AC826" s="16" t="str">
        <f t="array" ref="AC826">INDEX(NPCAL,TRUNC(1+(COUNTA(NPCAL))*(TRUNC(MOD(($B826*1103515245 +12345)/ 65536, 32768),0)/32768),0))</f>
        <v>LN</v>
      </c>
      <c r="AD826" s="72" t="str">
        <f ca="1">IFERROR(__xludf.DUMMYFUNCTION("if(V826&lt;15,QUERY(NPCVar!C:D,""Select D WHERE C = '""&amp;D826&amp;""'""),if((TRUNC(1+10)*(TRUNC(MOD((ROW(H826)*1103515245 +12345)/ 65536, 32768),0)/32768)/10) &gt; 0.85,INDEX(NPCFaction,TRUNC(1+(counta(NPCFaction)-1)*(TRUNC(MOD(($B826*1103515245 +12345)/ 65536, 3276"&amp;"8),0)/32768),0)),QUERY(NPCVar!C:D,""Select D WHERE C = '""&amp;D826&amp;""'"")))"),"Traverlers Guild")</f>
        <v>Traverlers Guild</v>
      </c>
      <c r="AE826" s="108" t="e">
        <f t="shared" ca="1" si="58"/>
        <v>#NAME?</v>
      </c>
      <c r="AF826" s="159">
        <f ca="1">IFERROR(__xludf.DUMMYFUNCTION("AE826*(V826 / QUERY(NPCVar!$K$2:$N$12, ""Select N WHERE K='""&amp;AB826&amp;""'""))*TRUNC(1+10)*(TRUNC(MOD(($B826*1103515245 +12345)/ 65536, 32768),0)/32768)"),4.90420303344726)</f>
        <v>4.9042030334472599</v>
      </c>
      <c r="AG826" s="16"/>
      <c r="AH826" s="77"/>
      <c r="AI826" s="114"/>
    </row>
    <row r="827" spans="1:35" ht="16.2">
      <c r="A827" s="53">
        <v>826</v>
      </c>
      <c r="B827" s="118">
        <f t="shared" si="60"/>
        <v>0.64675000000000005</v>
      </c>
      <c r="C827" s="72" t="str">
        <f t="array" ref="C827">INDEX(NPCFName,TRUNC(1+(COUNTA(NPCFName))*(TRUNC(MOD(($B827*1103515245 +12345)/ 65536, 32768),0)/32768),0))</f>
        <v>Zotar</v>
      </c>
      <c r="D827" s="16" t="str">
        <f t="array" ref="D827">INDEX(NPCLName,TRUNC(1+(COUNTA(NPCLName))*(TRUNC(MOD(($B827*1103515245 +12345)/ 65536, 32768),0)/32768),0))</f>
        <v>Stormdew</v>
      </c>
      <c r="E827" s="16" t="str">
        <f t="array" ref="E827">INDEX(NPCClass,TRUNC(1+(COUNTA(NPCClass))*(TRUNC(MOD(($B827*1103515245 +12345)/ 65536, 32768),0)/32768),0))</f>
        <v>Monk</v>
      </c>
      <c r="F827" s="76">
        <v>2</v>
      </c>
      <c r="G827" s="153">
        <f ca="1">VLOOKUP($AB$2,'RF Mod'!$A$2:$G$12,2,FALSE)+VLOOKUP($AD$2,'RF Mod'!$I$2:$O$11,2,FALSE)+(TRUNC(6+(24-6)*(TRUNC(MOD(($Z827*1103515245 +12345)/ 65536, 32768),0)/32768),0))</f>
        <v>7</v>
      </c>
      <c r="H827" s="16">
        <f t="shared" ca="1" si="49"/>
        <v>-2</v>
      </c>
      <c r="I827" s="153">
        <f ca="1">VLOOKUP($AB$2,'RF Mod'!$A$2:$G$12,3,FALSE)+VLOOKUP($AD$2,'RF Mod'!$I$2:$O$11,3,FALSE)+(TRUNC(6+(24-6)*(TRUNC(MOD(($Z827*1103515245 +12345)/ 65536, 32768),0)/32768),0))</f>
        <v>11</v>
      </c>
      <c r="J827" s="16" t="e">
        <f t="shared" ca="1" si="50"/>
        <v>#NAME?</v>
      </c>
      <c r="K827" s="153">
        <f ca="1">VLOOKUP($AB$2,'RF Mod'!$A$2:$G$12,3,FALSE)+VLOOKUP($AD$2,'RF Mod'!$I$2:$O$11,3,FALSE)+(TRUNC(6+(24-6)*(TRUNC(MOD(($Z827*1103515245 +12345)/ 65536, 32768),0)/32768),0))</f>
        <v>11</v>
      </c>
      <c r="L827" s="16" t="e">
        <f t="shared" ca="1" si="51"/>
        <v>#NAME?</v>
      </c>
      <c r="M827" s="153">
        <f ca="1">VLOOKUP($AB$2,'RF Mod'!$A$2:$G$12,4,FALSE)+VLOOKUP($AD$2,'RF Mod'!$I$2:$O$11,4,FALSE)+(TRUNC(6+(24-6)*(TRUNC(MOD(($Z827*1103515245 +12345)/ 65536, 32768),0)/32768),0))</f>
        <v>10</v>
      </c>
      <c r="N827" s="16" t="e">
        <f t="shared" ca="1" si="52"/>
        <v>#NAME?</v>
      </c>
      <c r="O827" s="153">
        <f ca="1">VLOOKUP($AB$2,'RF Mod'!$A$2:$G$12,5,FALSE)+VLOOKUP($AD$2,'RF Mod'!$I$2:$O$11,5,FALSE)+(TRUNC(6+(24-6)*(TRUNC(MOD(($Z827*1103515245 +12345)/ 65536, 32768),0)/32768),0))</f>
        <v>13</v>
      </c>
      <c r="P827" s="16" t="e">
        <f t="shared" ca="1" si="53"/>
        <v>#NAME?</v>
      </c>
      <c r="Q827" s="153">
        <f ca="1">VLOOKUP($AB$2,'RF Mod'!$A$2:$G$12,6,FALSE)+VLOOKUP($AD$2,'RF Mod'!$I$2:$O$11,6,FALSE)+(TRUNC(6+(24-6)*(TRUNC(MOD(($Z827*1103515245 +12345)/ 65536, 32768),0)/32768),0))</f>
        <v>11</v>
      </c>
      <c r="R827" s="16" t="e">
        <f t="shared" ca="1" si="54"/>
        <v>#NAME?</v>
      </c>
      <c r="S827" s="154">
        <f t="shared" ca="1" si="59"/>
        <v>34</v>
      </c>
      <c r="T827" s="154">
        <f t="shared" ca="1" si="55"/>
        <v>14</v>
      </c>
      <c r="U827" s="16" t="str">
        <f t="shared" ca="1" si="56"/>
        <v>Fine</v>
      </c>
      <c r="V827" s="155">
        <f ca="1">IFERROR(__xludf.DUMMYFUNCTION("if(W827=""Middle Age"",QUERY(NPCVar!$K$2:$N1000, ""Select L where K = '""&amp;AB827&amp;""'""),if(W827=""Old"",QUERY(NPCVar!$K$2:$N1000, ""Select M where K = '""&amp;AB827&amp;""'""),if(W827=""Venerable"",QUERY(NPCVar!$K$2:$N1000, ""Select N where K = '""&amp;AB827&amp;""'""),fa"&amp;"lse)))*X827"),135)</f>
        <v>135</v>
      </c>
      <c r="W827" s="156" t="str">
        <f t="array" ref="W827">INDEX(NPCAgeType,TRUNC(1+(4-1)*(TRUNC(MOD((X827*1103515245 +12345)/ 65536, 32768),0)/32768),0))</f>
        <v>Old</v>
      </c>
      <c r="X827" s="117">
        <f t="shared" si="61"/>
        <v>0.8</v>
      </c>
      <c r="Y827" s="157" t="e">
        <f t="array" aca="1" ref="Y827" ca="1">LOOKUP(ABS(MAX(Z827 + MIN(ABS(INDIRECT("Class Jobs!B"&amp;MATCH(E827,'Class Jobs'!$A$1:$A1000,0)&amp;":"&amp;"AF"&amp;MATCH(E827,'Class Jobs'!$A$1:$A1000,0)&amp;"")-$Z827)) * SUM(IF(MIN(ABS(INDIRECT("Class Jobs!B"&amp;MATCH(E827,'Class Jobs'!$A$1:$A1000,0)&amp;":"&amp;"AF"&amp;MATCH(E827,'Class Jobs'!$A$1:$A1000,0)&amp;"")-$Z827))=ABS(INDIRECT("Class Jobs!B"&amp;MATCH(E827,'Class Jobs'!$A$1:$A1000,0)&amp;":"&amp;"AF"&amp;MATCH(E827,'Class Jobs'!$A$1:$A1000,0)&amp;"")-$Z827),SIGN(INDIRECT("Class Jobs!B"&amp;MATCH(E827,'Class Jobs'!$A$1:A1000,0)&amp;":"&amp;"AF"&amp;MATCH(E827,'Class Jobs'!$A$1:$A1000,0)&amp;"")-$Z827),0)),0)),INDIRECT("Class Jobs!B"&amp;MATCH(E827,'Class Jobs'!$A$1:$A1000,0)&amp;":"&amp;"AF"&amp;MATCH(E827,'Class Jobs'!$A$1:$A1000,1)&amp;""),'Class Jobs'!$B$1:$AF$1)</f>
        <v>#REF!</v>
      </c>
      <c r="Z827" s="158">
        <f t="shared" si="57"/>
        <v>0.33</v>
      </c>
      <c r="AA827" s="16" t="str">
        <f t="array" ref="AA827">INDEX(NPCGender,TRUNC(1+(COUNTA(NPCGender))*(TRUNC(MOD(($B827*1103515245 +12345)/ 65536, 32768),0)/32768),0))</f>
        <v>Male</v>
      </c>
      <c r="AB827" s="16" t="str">
        <f t="array" ref="AB827">INDEX(NPCRace,TRUNC(1+(COUNTA(NPCRace))*(TRUNC(MOD(($B827*1103515245 +12345)/ 65536, 32768),0)/32768),0))</f>
        <v>Gnome</v>
      </c>
      <c r="AC827" s="16" t="str">
        <f t="array" ref="AC827">INDEX(NPCAL,TRUNC(1+(COUNTA(NPCAL))*(TRUNC(MOD(($B827*1103515245 +12345)/ 65536, 32768),0)/32768),0))</f>
        <v>CG</v>
      </c>
      <c r="AD827" s="72" t="str">
        <f ca="1">IFERROR(__xludf.DUMMYFUNCTION("if(V827&lt;15,QUERY(NPCVar!C:D,""Select D WHERE C = '""&amp;D827&amp;""'""),if((TRUNC(1+10)*(TRUNC(MOD((ROW(H827)*1103515245 +12345)/ 65536, 32768),0)/32768)/10) &gt; 0.85,INDEX(NPCFaction,TRUNC(1+(counta(NPCFaction)-1)*(TRUNC(MOD(($B827*1103515245 +12345)/ 65536, 3276"&amp;"8),0)/32768),0)),QUERY(NPCVar!C:D,""Select D WHERE C = '""&amp;D827&amp;""'"")))"),"Traders Guild")</f>
        <v>Traders Guild</v>
      </c>
      <c r="AE827" s="108" t="e">
        <f t="shared" ca="1" si="58"/>
        <v>#NAME?</v>
      </c>
      <c r="AF827" s="159">
        <f ca="1">IFERROR(__xludf.DUMMYFUNCTION("AE827*(V827 / QUERY(NPCVar!$K$2:$N$12, ""Select N WHERE K='""&amp;AB827&amp;""'""))*TRUNC(1+10)*(TRUNC(MOD(($B827*1103515245 +12345)/ 65536, 32768),0)/32768)"),0.438684082031249)</f>
        <v>0.43868408203124898</v>
      </c>
      <c r="AG827" s="16"/>
      <c r="AH827" s="77"/>
      <c r="AI827" s="114"/>
    </row>
    <row r="828" spans="1:35" ht="16.2">
      <c r="A828" s="53">
        <v>827</v>
      </c>
      <c r="B828" s="118">
        <f t="shared" si="60"/>
        <v>2.1408</v>
      </c>
      <c r="C828" s="72" t="str">
        <f t="array" ref="C828">INDEX(NPCFName,TRUNC(1+(COUNTA(NPCFName))*(TRUNC(MOD(($B828*1103515245 +12345)/ 65536, 32768),0)/32768),0))</f>
        <v>Etar</v>
      </c>
      <c r="D828" s="16" t="str">
        <f t="array" ref="D828">INDEX(NPCLName,TRUNC(1+(COUNTA(NPCLName))*(TRUNC(MOD(($B828*1103515245 +12345)/ 65536, 32768),0)/32768),0))</f>
        <v>Distantlash</v>
      </c>
      <c r="E828" s="16" t="str">
        <f t="array" ref="E828">INDEX(NPCClass,TRUNC(1+(COUNTA(NPCClass))*(TRUNC(MOD(($B828*1103515245 +12345)/ 65536, 32768),0)/32768),0))</f>
        <v>Bard</v>
      </c>
      <c r="F828" s="76">
        <v>1</v>
      </c>
      <c r="G828" s="153">
        <f ca="1">VLOOKUP($AB$2,'RF Mod'!$A$2:$G$12,2,FALSE)+VLOOKUP($AD$2,'RF Mod'!$I$2:$O$11,2,FALSE)+(TRUNC(6+(24-6)*(TRUNC(MOD(($Z828*1103515245 +12345)/ 65536, 32768),0)/32768),0))</f>
        <v>4</v>
      </c>
      <c r="H828" s="16">
        <f t="shared" ca="1" si="49"/>
        <v>-3</v>
      </c>
      <c r="I828" s="153">
        <f ca="1">VLOOKUP($AB$2,'RF Mod'!$A$2:$G$12,3,FALSE)+VLOOKUP($AD$2,'RF Mod'!$I$2:$O$11,3,FALSE)+(TRUNC(6+(24-6)*(TRUNC(MOD(($Z828*1103515245 +12345)/ 65536, 32768),0)/32768),0))</f>
        <v>8</v>
      </c>
      <c r="J828" s="16">
        <f t="shared" ca="1" si="50"/>
        <v>-1</v>
      </c>
      <c r="K828" s="153">
        <f ca="1">VLOOKUP($AB$2,'RF Mod'!$A$2:$G$12,3,FALSE)+VLOOKUP($AD$2,'RF Mod'!$I$2:$O$11,3,FALSE)+(TRUNC(6+(24-6)*(TRUNC(MOD(($Z828*1103515245 +12345)/ 65536, 32768),0)/32768),0))</f>
        <v>8</v>
      </c>
      <c r="L828" s="16">
        <f t="shared" ca="1" si="51"/>
        <v>-1</v>
      </c>
      <c r="M828" s="153">
        <f ca="1">VLOOKUP($AB$2,'RF Mod'!$A$2:$G$12,4,FALSE)+VLOOKUP($AD$2,'RF Mod'!$I$2:$O$11,4,FALSE)+(TRUNC(6+(24-6)*(TRUNC(MOD(($Z828*1103515245 +12345)/ 65536, 32768),0)/32768),0))</f>
        <v>7</v>
      </c>
      <c r="N828" s="16">
        <f t="shared" ca="1" si="52"/>
        <v>-2</v>
      </c>
      <c r="O828" s="153">
        <f ca="1">VLOOKUP($AB$2,'RF Mod'!$A$2:$G$12,5,FALSE)+VLOOKUP($AD$2,'RF Mod'!$I$2:$O$11,5,FALSE)+(TRUNC(6+(24-6)*(TRUNC(MOD(($Z828*1103515245 +12345)/ 65536, 32768),0)/32768),0))</f>
        <v>10</v>
      </c>
      <c r="P828" s="16" t="e">
        <f t="shared" ca="1" si="53"/>
        <v>#NAME?</v>
      </c>
      <c r="Q828" s="153">
        <f ca="1">VLOOKUP($AB$2,'RF Mod'!$A$2:$G$12,6,FALSE)+VLOOKUP($AD$2,'RF Mod'!$I$2:$O$11,6,FALSE)+(TRUNC(6+(24-6)*(TRUNC(MOD(($Z828*1103515245 +12345)/ 65536, 32768),0)/32768),0))</f>
        <v>8</v>
      </c>
      <c r="R828" s="16">
        <f t="shared" ca="1" si="54"/>
        <v>-1</v>
      </c>
      <c r="S828" s="154">
        <f t="shared" ca="1" si="59"/>
        <v>10</v>
      </c>
      <c r="T828" s="154">
        <f t="shared" ca="1" si="55"/>
        <v>10</v>
      </c>
      <c r="U828" s="16" t="str">
        <f t="shared" ca="1" si="56"/>
        <v>Unconscious</v>
      </c>
      <c r="V828" s="155">
        <f ca="1">IFERROR(__xludf.DUMMYFUNCTION("if(W828=""Middle Age"",QUERY(NPCVar!$K$2:$N1000, ""Select L where K = '""&amp;AB828&amp;""'""),if(W828=""Old"",QUERY(NPCVar!$K$2:$N1000, ""Select M where K = '""&amp;AB828&amp;""'""),if(W828=""Venerable"",QUERY(NPCVar!$K$2:$N1000, ""Select N where K = '""&amp;AB828&amp;""'""),fa"&amp;"lse)))*X828"),24)</f>
        <v>24</v>
      </c>
      <c r="W828" s="156" t="str">
        <f t="array" ref="W828">INDEX(NPCAgeType,TRUNC(1+(4-1)*(TRUNC(MOD((X828*1103515245 +12345)/ 65536, 32768),0)/32768),0))</f>
        <v>Middle Age</v>
      </c>
      <c r="X828" s="117">
        <f t="shared" si="61"/>
        <v>0.3</v>
      </c>
      <c r="Y828" s="157" t="e">
        <f t="array" aca="1" ref="Y828" ca="1">LOOKUP(ABS(MAX(Z828 + MIN(ABS(INDIRECT("Class Jobs!B"&amp;MATCH(E828,'Class Jobs'!$A$1:$A1000,0)&amp;":"&amp;"AF"&amp;MATCH(E828,'Class Jobs'!$A$1:$A1000,0)&amp;"")-$Z828)) * SUM(IF(MIN(ABS(INDIRECT("Class Jobs!B"&amp;MATCH(E828,'Class Jobs'!$A$1:$A1000,0)&amp;":"&amp;"AF"&amp;MATCH(E828,'Class Jobs'!$A$1:$A1000,0)&amp;"")-$Z828))=ABS(INDIRECT("Class Jobs!B"&amp;MATCH(E828,'Class Jobs'!$A$1:$A1000,0)&amp;":"&amp;"AF"&amp;MATCH(E828,'Class Jobs'!$A$1:$A1000,0)&amp;"")-$Z828),SIGN(INDIRECT("Class Jobs!B"&amp;MATCH(E828,'Class Jobs'!$A$1:A1000,0)&amp;":"&amp;"AF"&amp;MATCH(E828,'Class Jobs'!$A$1:$A1000,0)&amp;"")-$Z828),0)),0)),INDIRECT("Class Jobs!B"&amp;MATCH(E828,'Class Jobs'!$A$1:$A1000,0)&amp;":"&amp;"AF"&amp;MATCH(E828,'Class Jobs'!$A$1:$A1000,1)&amp;""),'Class Jobs'!$B$1:$AF$1)</f>
        <v>#REF!</v>
      </c>
      <c r="Z828" s="158">
        <f t="shared" si="57"/>
        <v>0.1</v>
      </c>
      <c r="AA828" s="16" t="str">
        <f t="array" ref="AA828">INDEX(NPCGender,TRUNC(1+(COUNTA(NPCGender))*(TRUNC(MOD(($B828*1103515245 +12345)/ 65536, 32768),0)/32768),0))</f>
        <v>Male</v>
      </c>
      <c r="AB828" s="16" t="str">
        <f t="array" ref="AB828">INDEX(NPCRace,TRUNC(1+(COUNTA(NPCRace))*(TRUNC(MOD(($B828*1103515245 +12345)/ 65536, 32768),0)/32768),0))</f>
        <v>Dwarf</v>
      </c>
      <c r="AC828" s="16" t="str">
        <f t="array" ref="AC828">INDEX(NPCAL,TRUNC(1+(COUNTA(NPCAL))*(TRUNC(MOD(($B828*1103515245 +12345)/ 65536, 32768),0)/32768),0))</f>
        <v>CN</v>
      </c>
      <c r="AD828" s="72" t="str">
        <f ca="1">IFERROR(__xludf.DUMMYFUNCTION("if(V828&lt;15,QUERY(NPCVar!C:D,""Select D WHERE C = '""&amp;D828&amp;""'""),if((TRUNC(1+10)*(TRUNC(MOD((ROW(H828)*1103515245 +12345)/ 65536, 32768),0)/32768)/10) &gt; 0.85,INDEX(NPCFaction,TRUNC(1+(counta(NPCFaction)-1)*(TRUNC(MOD(($B828*1103515245 +12345)/ 65536, 3276"&amp;"8),0)/32768),0)),QUERY(NPCVar!C:D,""Select D WHERE C = '""&amp;D828&amp;""'"")))"),"Death Guild")</f>
        <v>Death Guild</v>
      </c>
      <c r="AE828" s="108" t="e">
        <f t="shared" ca="1" si="58"/>
        <v>#NAME?</v>
      </c>
      <c r="AF828" s="159">
        <f ca="1">IFERROR(__xludf.DUMMYFUNCTION("AE828*(V828 / QUERY(NPCVar!$K$2:$N$12, ""Select N WHERE K='""&amp;AB828&amp;""'""))*TRUNC(1+10)*(TRUNC(MOD(($B828*1103515245 +12345)/ 65536, 32768),0)/32768)"),0.0495332336425781)</f>
        <v>4.9533233642578098E-2</v>
      </c>
      <c r="AG828" s="16"/>
      <c r="AH828" s="77"/>
      <c r="AI828" s="114"/>
    </row>
    <row r="829" spans="1:35" ht="16.2">
      <c r="A829" s="53">
        <v>828</v>
      </c>
      <c r="B829" s="118">
        <f t="shared" si="60"/>
        <v>1.1349499999999999</v>
      </c>
      <c r="C829" s="72" t="str">
        <f t="array" ref="C829">INDEX(NPCFName,TRUNC(1+(COUNTA(NPCFName))*(TRUNC(MOD(($B829*1103515245 +12345)/ 65536, 32768),0)/32768),0))</f>
        <v>Ryfar</v>
      </c>
      <c r="D829" s="16" t="str">
        <f t="array" ref="D829">INDEX(NPCLName,TRUNC(1+(COUNTA(NPCLName))*(TRUNC(MOD(($B829*1103515245 +12345)/ 65536, 32768),0)/32768),0))</f>
        <v>Chestaxe</v>
      </c>
      <c r="E829" s="16" t="str">
        <f t="array" ref="E829">INDEX(NPCClass,TRUNC(1+(COUNTA(NPCClass))*(TRUNC(MOD(($B829*1103515245 +12345)/ 65536, 32768),0)/32768),0))</f>
        <v>Sorcerer</v>
      </c>
      <c r="F829" s="76">
        <v>8</v>
      </c>
      <c r="G829" s="153">
        <f ca="1">VLOOKUP($AB$2,'RF Mod'!$A$2:$G$12,2,FALSE)+VLOOKUP($AD$2,'RF Mod'!$I$2:$O$11,2,FALSE)+(TRUNC(6+(24-6)*(TRUNC(MOD(($Z829*1103515245 +12345)/ 65536, 32768),0)/32768),0))</f>
        <v>9</v>
      </c>
      <c r="H829" s="16">
        <f t="shared" ca="1" si="49"/>
        <v>-1</v>
      </c>
      <c r="I829" s="153">
        <f ca="1">VLOOKUP($AB$2,'RF Mod'!$A$2:$G$12,3,FALSE)+VLOOKUP($AD$2,'RF Mod'!$I$2:$O$11,3,FALSE)+(TRUNC(6+(24-6)*(TRUNC(MOD(($Z829*1103515245 +12345)/ 65536, 32768),0)/32768),0))</f>
        <v>13</v>
      </c>
      <c r="J829" s="16" t="e">
        <f t="shared" ca="1" si="50"/>
        <v>#NAME?</v>
      </c>
      <c r="K829" s="153">
        <f ca="1">VLOOKUP($AB$2,'RF Mod'!$A$2:$G$12,3,FALSE)+VLOOKUP($AD$2,'RF Mod'!$I$2:$O$11,3,FALSE)+(TRUNC(6+(24-6)*(TRUNC(MOD(($Z829*1103515245 +12345)/ 65536, 32768),0)/32768),0))</f>
        <v>13</v>
      </c>
      <c r="L829" s="16" t="e">
        <f t="shared" ca="1" si="51"/>
        <v>#NAME?</v>
      </c>
      <c r="M829" s="153">
        <f ca="1">VLOOKUP($AB$2,'RF Mod'!$A$2:$G$12,4,FALSE)+VLOOKUP($AD$2,'RF Mod'!$I$2:$O$11,4,FALSE)+(TRUNC(6+(24-6)*(TRUNC(MOD(($Z829*1103515245 +12345)/ 65536, 32768),0)/32768),0))</f>
        <v>12</v>
      </c>
      <c r="N829" s="16" t="e">
        <f t="shared" ca="1" si="52"/>
        <v>#NAME?</v>
      </c>
      <c r="O829" s="153">
        <f ca="1">VLOOKUP($AB$2,'RF Mod'!$A$2:$G$12,5,FALSE)+VLOOKUP($AD$2,'RF Mod'!$I$2:$O$11,5,FALSE)+(TRUNC(6+(24-6)*(TRUNC(MOD(($Z829*1103515245 +12345)/ 65536, 32768),0)/32768),0))</f>
        <v>15</v>
      </c>
      <c r="P829" s="16" t="e">
        <f t="shared" ca="1" si="53"/>
        <v>#NAME?</v>
      </c>
      <c r="Q829" s="153">
        <f ca="1">VLOOKUP($AB$2,'RF Mod'!$A$2:$G$12,6,FALSE)+VLOOKUP($AD$2,'RF Mod'!$I$2:$O$11,6,FALSE)+(TRUNC(6+(24-6)*(TRUNC(MOD(($Z829*1103515245 +12345)/ 65536, 32768),0)/32768),0))</f>
        <v>13</v>
      </c>
      <c r="R829" s="16" t="e">
        <f t="shared" ca="1" si="54"/>
        <v>#NAME?</v>
      </c>
      <c r="S829" s="154">
        <f t="shared" ca="1" si="59"/>
        <v>216</v>
      </c>
      <c r="T829" s="154">
        <f t="shared" ca="1" si="55"/>
        <v>99</v>
      </c>
      <c r="U829" s="16" t="str">
        <f t="shared" ca="1" si="56"/>
        <v>Fine</v>
      </c>
      <c r="V829" s="155">
        <f ca="1">IFERROR(__xludf.DUMMYFUNCTION("if(W829=""Middle Age"",QUERY(NPCVar!$K$2:$N1000, ""Select L where K = '""&amp;AB829&amp;""'""),if(W829=""Old"",QUERY(NPCVar!$K$2:$N1000, ""Select M where K = '""&amp;AB829&amp;""'""),if(W829=""Venerable"",QUERY(NPCVar!$K$2:$N1000, ""Select N where K = '""&amp;AB829&amp;""'""),fa"&amp;"lse)))*X829"),280)</f>
        <v>280</v>
      </c>
      <c r="W829" s="156" t="str">
        <f t="array" ref="W829">INDEX(NPCAgeType,TRUNC(1+(4-1)*(TRUNC(MOD((X829*1103515245 +12345)/ 65536, 32768),0)/32768),0))</f>
        <v>Venerable</v>
      </c>
      <c r="X829" s="117">
        <f t="shared" si="61"/>
        <v>1.4</v>
      </c>
      <c r="Y829" s="157" t="e">
        <f t="array" aca="1" ref="Y829" ca="1">LOOKUP(ABS(MAX(Z829 + MIN(ABS(INDIRECT("Class Jobs!B"&amp;MATCH(E829,'Class Jobs'!$A$1:$A1000,0)&amp;":"&amp;"AF"&amp;MATCH(E829,'Class Jobs'!$A$1:$A1000,0)&amp;"")-$Z829)) * SUM(IF(MIN(ABS(INDIRECT("Class Jobs!B"&amp;MATCH(E829,'Class Jobs'!$A$1:$A1000,0)&amp;":"&amp;"AF"&amp;MATCH(E829,'Class Jobs'!$A$1:$A1000,0)&amp;"")-$Z829))=ABS(INDIRECT("Class Jobs!B"&amp;MATCH(E829,'Class Jobs'!$A$1:$A1000,0)&amp;":"&amp;"AF"&amp;MATCH(E829,'Class Jobs'!$A$1:$A1000,0)&amp;"")-$Z829),SIGN(INDIRECT("Class Jobs!B"&amp;MATCH(E829,'Class Jobs'!$A$1:A1000,0)&amp;":"&amp;"AF"&amp;MATCH(E829,'Class Jobs'!$A$1:$A1000,0)&amp;"")-$Z829),0)),0)),INDIRECT("Class Jobs!B"&amp;MATCH(E829,'Class Jobs'!$A$1:$A1000,0)&amp;":"&amp;"AF"&amp;MATCH(E829,'Class Jobs'!$A$1:$A1000,1)&amp;""),'Class Jobs'!$B$1:$AF$1)</f>
        <v>#REF!</v>
      </c>
      <c r="Z829" s="158">
        <f t="shared" si="57"/>
        <v>0.57999999999999996</v>
      </c>
      <c r="AA829" s="16" t="str">
        <f t="array" ref="AA829">INDEX(NPCGender,TRUNC(1+(COUNTA(NPCGender))*(TRUNC(MOD(($B829*1103515245 +12345)/ 65536, 32768),0)/32768),0))</f>
        <v>Female</v>
      </c>
      <c r="AB829" s="16" t="str">
        <f t="array" ref="AB829">INDEX(NPCRace,TRUNC(1+(COUNTA(NPCRace))*(TRUNC(MOD(($B829*1103515245 +12345)/ 65536, 32768),0)/32768),0))</f>
        <v>Halfling</v>
      </c>
      <c r="AC829" s="16" t="str">
        <f t="array" ref="AC829">INDEX(NPCAL,TRUNC(1+(COUNTA(NPCAL))*(TRUNC(MOD(($B829*1103515245 +12345)/ 65536, 32768),0)/32768),0))</f>
        <v>NE</v>
      </c>
      <c r="AD829" s="72" t="str">
        <f ca="1">IFERROR(__xludf.DUMMYFUNCTION("if(V829&lt;15,QUERY(NPCVar!C:D,""Select D WHERE C = '""&amp;D829&amp;""'""),if((TRUNC(1+10)*(TRUNC(MOD((ROW(H829)*1103515245 +12345)/ 65536, 32768),0)/32768)/10) &gt; 0.85,INDEX(NPCFaction,TRUNC(1+(counta(NPCFaction)-1)*(TRUNC(MOD(($B829*1103515245 +12345)/ 65536, 3276"&amp;"8),0)/32768),0)),QUERY(NPCVar!C:D,""Select D WHERE C = '""&amp;D829&amp;""'"")))"),"Death Guild")</f>
        <v>Death Guild</v>
      </c>
      <c r="AE829" s="108" t="e">
        <f t="shared" ca="1" si="58"/>
        <v>#NAME?</v>
      </c>
      <c r="AF829" s="159">
        <f ca="1">IFERROR(__xludf.DUMMYFUNCTION("AE829*(V829 / QUERY(NPCVar!$K$2:$N$12, ""Select N WHERE K='""&amp;AB829&amp;""'""))*TRUNC(1+10)*(TRUNC(MOD(($B829*1103515245 +12345)/ 65536, 32768),0)/32768)"),5.38868408203125)</f>
        <v>5.3886840820312498</v>
      </c>
      <c r="AG829" s="16"/>
      <c r="AH829" s="77"/>
      <c r="AI829" s="114"/>
    </row>
    <row r="830" spans="1:35" ht="16.2">
      <c r="A830" s="53">
        <v>829</v>
      </c>
      <c r="B830" s="118">
        <f t="shared" si="60"/>
        <v>0.12909000000000001</v>
      </c>
      <c r="C830" s="72" t="str">
        <f t="array" ref="C830">INDEX(NPCFName,TRUNC(1+(COUNTA(NPCFName))*(TRUNC(MOD(($B830*1103515245 +12345)/ 65536, 32768),0)/32768),0))</f>
        <v>Dalmarn</v>
      </c>
      <c r="D830" s="16" t="str">
        <f t="array" ref="D830">INDEX(NPCLName,TRUNC(1+(COUNTA(NPCLName))*(TRUNC(MOD(($B830*1103515245 +12345)/ 65536, 32768),0)/32768),0))</f>
        <v>Crystalgazer</v>
      </c>
      <c r="E830" s="16" t="str">
        <f t="array" ref="E830">INDEX(NPCClass,TRUNC(1+(COUNTA(NPCClass))*(TRUNC(MOD(($B830*1103515245 +12345)/ 65536, 32768),0)/32768),0))</f>
        <v>Barbarian</v>
      </c>
      <c r="F830" s="76">
        <v>1</v>
      </c>
      <c r="G830" s="153">
        <f ca="1">VLOOKUP($AB$2,'RF Mod'!$A$2:$G$12,2,FALSE)+VLOOKUP($AD$2,'RF Mod'!$I$2:$O$11,2,FALSE)+(TRUNC(6+(24-6)*(TRUNC(MOD(($Z830*1103515245 +12345)/ 65536, 32768),0)/32768),0))</f>
        <v>4</v>
      </c>
      <c r="H830" s="16">
        <f t="shared" ca="1" si="49"/>
        <v>-3</v>
      </c>
      <c r="I830" s="153">
        <f ca="1">VLOOKUP($AB$2,'RF Mod'!$A$2:$G$12,3,FALSE)+VLOOKUP($AD$2,'RF Mod'!$I$2:$O$11,3,FALSE)+(TRUNC(6+(24-6)*(TRUNC(MOD(($Z830*1103515245 +12345)/ 65536, 32768),0)/32768),0))</f>
        <v>8</v>
      </c>
      <c r="J830" s="16">
        <f t="shared" ca="1" si="50"/>
        <v>-1</v>
      </c>
      <c r="K830" s="153">
        <f ca="1">VLOOKUP($AB$2,'RF Mod'!$A$2:$G$12,3,FALSE)+VLOOKUP($AD$2,'RF Mod'!$I$2:$O$11,3,FALSE)+(TRUNC(6+(24-6)*(TRUNC(MOD(($Z830*1103515245 +12345)/ 65536, 32768),0)/32768),0))</f>
        <v>8</v>
      </c>
      <c r="L830" s="16">
        <f t="shared" ca="1" si="51"/>
        <v>-1</v>
      </c>
      <c r="M830" s="153">
        <f ca="1">VLOOKUP($AB$2,'RF Mod'!$A$2:$G$12,4,FALSE)+VLOOKUP($AD$2,'RF Mod'!$I$2:$O$11,4,FALSE)+(TRUNC(6+(24-6)*(TRUNC(MOD(($Z830*1103515245 +12345)/ 65536, 32768),0)/32768),0))</f>
        <v>7</v>
      </c>
      <c r="N830" s="16">
        <f t="shared" ca="1" si="52"/>
        <v>-2</v>
      </c>
      <c r="O830" s="153">
        <f ca="1">VLOOKUP($AB$2,'RF Mod'!$A$2:$G$12,5,FALSE)+VLOOKUP($AD$2,'RF Mod'!$I$2:$O$11,5,FALSE)+(TRUNC(6+(24-6)*(TRUNC(MOD(($Z830*1103515245 +12345)/ 65536, 32768),0)/32768),0))</f>
        <v>10</v>
      </c>
      <c r="P830" s="16" t="e">
        <f t="shared" ca="1" si="53"/>
        <v>#NAME?</v>
      </c>
      <c r="Q830" s="153">
        <f ca="1">VLOOKUP($AB$2,'RF Mod'!$A$2:$G$12,6,FALSE)+VLOOKUP($AD$2,'RF Mod'!$I$2:$O$11,6,FALSE)+(TRUNC(6+(24-6)*(TRUNC(MOD(($Z830*1103515245 +12345)/ 65536, 32768),0)/32768),0))</f>
        <v>8</v>
      </c>
      <c r="R830" s="16">
        <f t="shared" ca="1" si="54"/>
        <v>-1</v>
      </c>
      <c r="S830" s="154">
        <f t="shared" ca="1" si="59"/>
        <v>10</v>
      </c>
      <c r="T830" s="154">
        <f t="shared" ca="1" si="55"/>
        <v>8</v>
      </c>
      <c r="U830" s="16" t="str">
        <f t="shared" ca="1" si="56"/>
        <v>Bloody</v>
      </c>
      <c r="V830" s="155">
        <f ca="1">IFERROR(__xludf.DUMMYFUNCTION("if(W830=""Middle Age"",QUERY(NPCVar!$K$2:$N1000, ""Select L where K = '""&amp;AB830&amp;""'""),if(W830=""Old"",QUERY(NPCVar!$K$2:$N1000, ""Select M where K = '""&amp;AB830&amp;""'""),if(W830=""Venerable"",QUERY(NPCVar!$K$2:$N1000, ""Select N where K = '""&amp;AB830&amp;""'""),fa"&amp;"lse)))*X830"),4)</f>
        <v>4</v>
      </c>
      <c r="W830" s="156" t="str">
        <f t="array" ref="W830">INDEX(NPCAgeType,TRUNC(1+(4-1)*(TRUNC(MOD((X830*1103515245 +12345)/ 65536, 32768),0)/32768),0))</f>
        <v>Middle Age</v>
      </c>
      <c r="X830" s="117">
        <f t="shared" si="61"/>
        <v>0.2</v>
      </c>
      <c r="Y830" s="157" t="e">
        <f t="array" aca="1" ref="Y830" ca="1">LOOKUP(ABS(MAX(Z830 + MIN(ABS(INDIRECT("Class Jobs!B"&amp;MATCH(E830,'Class Jobs'!$A$1:$A1000,0)&amp;":"&amp;"AF"&amp;MATCH(E830,'Class Jobs'!$A$1:$A1000,0)&amp;"")-$Z830)) * SUM(IF(MIN(ABS(INDIRECT("Class Jobs!B"&amp;MATCH(E830,'Class Jobs'!$A$1:$A1000,0)&amp;":"&amp;"AF"&amp;MATCH(E830,'Class Jobs'!$A$1:$A1000,0)&amp;"")-$Z830))=ABS(INDIRECT("Class Jobs!B"&amp;MATCH(E830,'Class Jobs'!$A$1:$A1000,0)&amp;":"&amp;"AF"&amp;MATCH(E830,'Class Jobs'!$A$1:$A1000,0)&amp;"")-$Z830),SIGN(INDIRECT("Class Jobs!B"&amp;MATCH(E830,'Class Jobs'!$A$1:A1000,0)&amp;":"&amp;"AF"&amp;MATCH(E830,'Class Jobs'!$A$1:$A1000,0)&amp;"")-$Z830),0)),0)),INDIRECT("Class Jobs!B"&amp;MATCH(E830,'Class Jobs'!$A$1:$A1000,0)&amp;":"&amp;"AF"&amp;MATCH(E830,'Class Jobs'!$A$1:$A1000,1)&amp;""),'Class Jobs'!$B$1:$AF$1)</f>
        <v>#REF!</v>
      </c>
      <c r="Z830" s="158">
        <f t="shared" si="57"/>
        <v>7.0000000000000007E-2</v>
      </c>
      <c r="AA830" s="16" t="str">
        <f t="array" ref="AA830">INDEX(NPCGender,TRUNC(1+(COUNTA(NPCGender))*(TRUNC(MOD(($B830*1103515245 +12345)/ 65536, 32768),0)/32768),0))</f>
        <v>Male</v>
      </c>
      <c r="AB830" s="16" t="str">
        <f t="array" ref="AB830">INDEX(NPCRace,TRUNC(1+(COUNTA(NPCRace))*(TRUNC(MOD(($B830*1103515245 +12345)/ 65536, 32768),0)/32768),0))</f>
        <v>Dragonborn</v>
      </c>
      <c r="AC830" s="16" t="str">
        <f t="array" ref="AC830">INDEX(NPCAL,TRUNC(1+(COUNTA(NPCAL))*(TRUNC(MOD(($B830*1103515245 +12345)/ 65536, 32768),0)/32768),0))</f>
        <v>CN</v>
      </c>
      <c r="AD830" s="72" t="str">
        <f ca="1">IFERROR(__xludf.DUMMYFUNCTION("if(V830&lt;15,QUERY(NPCVar!C:D,""Select D WHERE C = '""&amp;D830&amp;""'""),if((TRUNC(1+10)*(TRUNC(MOD((ROW(H830)*1103515245 +12345)/ 65536, 32768),0)/32768)/10) &gt; 0.85,INDEX(NPCFaction,TRUNC(1+(counta(NPCFaction)-1)*(TRUNC(MOD(($B830*1103515245 +12345)/ 65536, 3276"&amp;"8),0)/32768),0)),QUERY(NPCVar!C:D,""Select D WHERE C = '""&amp;D830&amp;""'"")))"),"Death Guild")</f>
        <v>Death Guild</v>
      </c>
      <c r="AE830" s="108" t="e">
        <f t="shared" ca="1" si="58"/>
        <v>#NAME?</v>
      </c>
      <c r="AF830" s="159">
        <f ca="1">IFERROR(__xludf.DUMMYFUNCTION("AE830*(V830 / QUERY(NPCVar!$K$2:$N$12, ""Select N WHERE K='""&amp;AB830&amp;""'""))*TRUNC(1+10)*(TRUNC(MOD(($B830*1103515245 +12345)/ 65536, 32768),0)/32768)"),0.0218838500976562)</f>
        <v>2.1883850097656199E-2</v>
      </c>
      <c r="AG830" s="16"/>
      <c r="AH830" s="77"/>
      <c r="AI830" s="114"/>
    </row>
    <row r="831" spans="1:35" ht="16.2">
      <c r="A831" s="53">
        <v>830</v>
      </c>
      <c r="B831" s="118">
        <f t="shared" si="60"/>
        <v>1.62323</v>
      </c>
      <c r="C831" s="72" t="str">
        <f t="array" ref="C831">INDEX(NPCFName,TRUNC(1+(COUNTA(NPCFName))*(TRUNC(MOD(($B831*1103515245 +12345)/ 65536, 32768),0)/32768),0))</f>
        <v>Kyrad</v>
      </c>
      <c r="D831" s="16" t="str">
        <f t="array" ref="D831">INDEX(NPCLName,TRUNC(1+(COUNTA(NPCLName))*(TRUNC(MOD(($B831*1103515245 +12345)/ 65536, 32768),0)/32768),0))</f>
        <v>Springgust</v>
      </c>
      <c r="E831" s="16" t="str">
        <f t="array" ref="E831">INDEX(NPCClass,TRUNC(1+(COUNTA(NPCClass))*(TRUNC(MOD(($B831*1103515245 +12345)/ 65536, 32768),0)/32768),0))</f>
        <v>Fighter</v>
      </c>
      <c r="F831" s="76">
        <v>8</v>
      </c>
      <c r="G831" s="153">
        <f ca="1">VLOOKUP($AB$2,'RF Mod'!$A$2:$G$12,2,FALSE)+VLOOKUP($AD$2,'RF Mod'!$I$2:$O$11,2,FALSE)+(TRUNC(6+(24-6)*(TRUNC(MOD(($Z831*1103515245 +12345)/ 65536, 32768),0)/32768),0))</f>
        <v>11</v>
      </c>
      <c r="H831" s="16" t="e">
        <f t="shared" ca="1" si="49"/>
        <v>#NAME?</v>
      </c>
      <c r="I831" s="153">
        <f ca="1">VLOOKUP($AB$2,'RF Mod'!$A$2:$G$12,3,FALSE)+VLOOKUP($AD$2,'RF Mod'!$I$2:$O$11,3,FALSE)+(TRUNC(6+(24-6)*(TRUNC(MOD(($Z831*1103515245 +12345)/ 65536, 32768),0)/32768),0))</f>
        <v>15</v>
      </c>
      <c r="J831" s="16" t="e">
        <f t="shared" ca="1" si="50"/>
        <v>#NAME?</v>
      </c>
      <c r="K831" s="153">
        <f ca="1">VLOOKUP($AB$2,'RF Mod'!$A$2:$G$12,3,FALSE)+VLOOKUP($AD$2,'RF Mod'!$I$2:$O$11,3,FALSE)+(TRUNC(6+(24-6)*(TRUNC(MOD(($Z831*1103515245 +12345)/ 65536, 32768),0)/32768),0))</f>
        <v>15</v>
      </c>
      <c r="L831" s="16" t="e">
        <f t="shared" ca="1" si="51"/>
        <v>#NAME?</v>
      </c>
      <c r="M831" s="153">
        <f ca="1">VLOOKUP($AB$2,'RF Mod'!$A$2:$G$12,4,FALSE)+VLOOKUP($AD$2,'RF Mod'!$I$2:$O$11,4,FALSE)+(TRUNC(6+(24-6)*(TRUNC(MOD(($Z831*1103515245 +12345)/ 65536, 32768),0)/32768),0))</f>
        <v>14</v>
      </c>
      <c r="N831" s="16" t="e">
        <f t="shared" ca="1" si="52"/>
        <v>#NAME?</v>
      </c>
      <c r="O831" s="153">
        <f ca="1">VLOOKUP($AB$2,'RF Mod'!$A$2:$G$12,5,FALSE)+VLOOKUP($AD$2,'RF Mod'!$I$2:$O$11,5,FALSE)+(TRUNC(6+(24-6)*(TRUNC(MOD(($Z831*1103515245 +12345)/ 65536, 32768),0)/32768),0))</f>
        <v>17</v>
      </c>
      <c r="P831" s="16" t="e">
        <f t="shared" ca="1" si="53"/>
        <v>#NAME?</v>
      </c>
      <c r="Q831" s="153">
        <f ca="1">VLOOKUP($AB$2,'RF Mod'!$A$2:$G$12,6,FALSE)+VLOOKUP($AD$2,'RF Mod'!$I$2:$O$11,6,FALSE)+(TRUNC(6+(24-6)*(TRUNC(MOD(($Z831*1103515245 +12345)/ 65536, 32768),0)/32768),0))</f>
        <v>15</v>
      </c>
      <c r="R831" s="16" t="e">
        <f t="shared" ca="1" si="54"/>
        <v>#NAME?</v>
      </c>
      <c r="S831" s="154">
        <f t="shared" ca="1" si="59"/>
        <v>200</v>
      </c>
      <c r="T831" s="154">
        <f t="shared" ca="1" si="55"/>
        <v>93</v>
      </c>
      <c r="U831" s="16" t="str">
        <f t="shared" ca="1" si="56"/>
        <v>Fine</v>
      </c>
      <c r="V831" s="155">
        <f ca="1">IFERROR(__xludf.DUMMYFUNCTION("if(W831=""Middle Age"",QUERY(NPCVar!$K$2:$N1000, ""Select L where K = '""&amp;AB831&amp;""'""),if(W831=""Old"",QUERY(NPCVar!$K$2:$N1000, ""Select M where K = '""&amp;AB831&amp;""'""),if(W831=""Venerable"",QUERY(NPCVar!$K$2:$N1000, ""Select N where K = '""&amp;AB831&amp;""'""),fa"&amp;"lse)))*X831"),57.75)</f>
        <v>57.75</v>
      </c>
      <c r="W831" s="156" t="str">
        <f t="array" ref="W831">INDEX(NPCAgeType,TRUNC(1+(4-1)*(TRUNC(MOD((X831*1103515245 +12345)/ 65536, 32768),0)/32768),0))</f>
        <v>Middle Age</v>
      </c>
      <c r="X831" s="117">
        <f t="shared" si="61"/>
        <v>2.1</v>
      </c>
      <c r="Y831" s="157" t="e">
        <f t="array" aca="1" ref="Y831" ca="1">LOOKUP(ABS(MAX(Z831 + MIN(ABS(INDIRECT("Class Jobs!B"&amp;MATCH(E831,'Class Jobs'!$A$1:$A1000,0)&amp;":"&amp;"AF"&amp;MATCH(E831,'Class Jobs'!$A$1:$A1000,0)&amp;"")-$Z831)) * SUM(IF(MIN(ABS(INDIRECT("Class Jobs!B"&amp;MATCH(E831,'Class Jobs'!$A$1:$A1000,0)&amp;":"&amp;"AF"&amp;MATCH(E831,'Class Jobs'!$A$1:$A1000,0)&amp;"")-$Z831))=ABS(INDIRECT("Class Jobs!B"&amp;MATCH(E831,'Class Jobs'!$A$1:$A1000,0)&amp;":"&amp;"AF"&amp;MATCH(E831,'Class Jobs'!$A$1:$A1000,0)&amp;"")-$Z831),SIGN(INDIRECT("Class Jobs!B"&amp;MATCH(E831,'Class Jobs'!$A$1:A1000,0)&amp;":"&amp;"AF"&amp;MATCH(E831,'Class Jobs'!$A$1:$A1000,0)&amp;"")-$Z831),0)),0)),INDIRECT("Class Jobs!B"&amp;MATCH(E831,'Class Jobs'!$A$1:$A1000,0)&amp;":"&amp;"AF"&amp;MATCH(E831,'Class Jobs'!$A$1:$A1000,1)&amp;""),'Class Jobs'!$B$1:$AF$1)</f>
        <v>#REF!</v>
      </c>
      <c r="Z831" s="158">
        <f t="shared" si="57"/>
        <v>0.83</v>
      </c>
      <c r="AA831" s="16" t="str">
        <f t="array" ref="AA831">INDEX(NPCGender,TRUNC(1+(COUNTA(NPCGender))*(TRUNC(MOD(($B831*1103515245 +12345)/ 65536, 32768),0)/32768),0))</f>
        <v>Neutral</v>
      </c>
      <c r="AB831" s="16" t="str">
        <f t="array" ref="AB831">INDEX(NPCRace,TRUNC(1+(COUNTA(NPCRace))*(TRUNC(MOD(($B831*1103515245 +12345)/ 65536, 32768),0)/32768),0))</f>
        <v>Genasi</v>
      </c>
      <c r="AC831" s="16" t="str">
        <f t="array" ref="AC831">INDEX(NPCAL,TRUNC(1+(COUNTA(NPCAL))*(TRUNC(MOD(($B831*1103515245 +12345)/ 65536, 32768),0)/32768),0))</f>
        <v>LN</v>
      </c>
      <c r="AD831" s="72" t="str">
        <f ca="1">IFERROR(__xludf.DUMMYFUNCTION("if(V831&lt;15,QUERY(NPCVar!C:D,""Select D WHERE C = '""&amp;D831&amp;""'""),if((TRUNC(1+10)*(TRUNC(MOD((ROW(H831)*1103515245 +12345)/ 65536, 32768),0)/32768)/10) &gt; 0.85,INDEX(NPCFaction,TRUNC(1+(counta(NPCFaction)-1)*(TRUNC(MOD(($B831*1103515245 +12345)/ 65536, 3276"&amp;"8),0)/32768),0)),QUERY(NPCVar!C:D,""Select D WHERE C = '""&amp;D831&amp;""'"")))"),"Traverlers Guild")</f>
        <v>Traverlers Guild</v>
      </c>
      <c r="AE831" s="108" t="e">
        <f t="shared" ca="1" si="58"/>
        <v>#NAME?</v>
      </c>
      <c r="AF831" s="159">
        <f ca="1">IFERROR(__xludf.DUMMYFUNCTION("AE831*(V831 / QUERY(NPCVar!$K$2:$N$12, ""Select N WHERE K='""&amp;AB831&amp;""'""))*TRUNC(1+10)*(TRUNC(MOD(($B831*1103515245 +12345)/ 65536, 32768),0)/32768)"),2.89017883300781)</f>
        <v>2.89017883300781</v>
      </c>
      <c r="AG831" s="16"/>
      <c r="AH831" s="77"/>
      <c r="AI831" s="114"/>
    </row>
    <row r="832" spans="1:35" ht="16.2">
      <c r="A832" s="53">
        <v>831</v>
      </c>
      <c r="B832" s="118">
        <f t="shared" si="60"/>
        <v>0.61736999999999997</v>
      </c>
      <c r="C832" s="72" t="str">
        <f t="array" ref="C832">INDEX(NPCFName,TRUNC(1+(COUNTA(NPCFName))*(TRUNC(MOD(($B832*1103515245 +12345)/ 65536, 32768),0)/32768),0))</f>
        <v>Wyder</v>
      </c>
      <c r="D832" s="16" t="str">
        <f t="array" ref="D832">INDEX(NPCLName,TRUNC(1+(COUNTA(NPCLName))*(TRUNC(MOD(($B832*1103515245 +12345)/ 65536, 32768),0)/32768),0))</f>
        <v>Stormdew</v>
      </c>
      <c r="E832" s="16" t="str">
        <f t="array" ref="E832">INDEX(NPCClass,TRUNC(1+(COUNTA(NPCClass))*(TRUNC(MOD(($B832*1103515245 +12345)/ 65536, 32768),0)/32768),0))</f>
        <v>Monk</v>
      </c>
      <c r="F832" s="76">
        <v>5</v>
      </c>
      <c r="G832" s="153">
        <f ca="1">VLOOKUP($AB$2,'RF Mod'!$A$2:$G$12,2,FALSE)+VLOOKUP($AD$2,'RF Mod'!$I$2:$O$11,2,FALSE)+(TRUNC(6+(24-6)*(TRUNC(MOD(($Z832*1103515245 +12345)/ 65536, 32768),0)/32768),0))</f>
        <v>6</v>
      </c>
      <c r="H832" s="16">
        <f t="shared" ca="1" si="49"/>
        <v>-2</v>
      </c>
      <c r="I832" s="153">
        <f ca="1">VLOOKUP($AB$2,'RF Mod'!$A$2:$G$12,3,FALSE)+VLOOKUP($AD$2,'RF Mod'!$I$2:$O$11,3,FALSE)+(TRUNC(6+(24-6)*(TRUNC(MOD(($Z832*1103515245 +12345)/ 65536, 32768),0)/32768),0))</f>
        <v>10</v>
      </c>
      <c r="J832" s="16" t="e">
        <f t="shared" ca="1" si="50"/>
        <v>#NAME?</v>
      </c>
      <c r="K832" s="153">
        <f ca="1">VLOOKUP($AB$2,'RF Mod'!$A$2:$G$12,3,FALSE)+VLOOKUP($AD$2,'RF Mod'!$I$2:$O$11,3,FALSE)+(TRUNC(6+(24-6)*(TRUNC(MOD(($Z832*1103515245 +12345)/ 65536, 32768),0)/32768),0))</f>
        <v>10</v>
      </c>
      <c r="L832" s="16" t="e">
        <f t="shared" ca="1" si="51"/>
        <v>#NAME?</v>
      </c>
      <c r="M832" s="153">
        <f ca="1">VLOOKUP($AB$2,'RF Mod'!$A$2:$G$12,4,FALSE)+VLOOKUP($AD$2,'RF Mod'!$I$2:$O$11,4,FALSE)+(TRUNC(6+(24-6)*(TRUNC(MOD(($Z832*1103515245 +12345)/ 65536, 32768),0)/32768),0))</f>
        <v>9</v>
      </c>
      <c r="N832" s="16">
        <f t="shared" ca="1" si="52"/>
        <v>-1</v>
      </c>
      <c r="O832" s="153">
        <f ca="1">VLOOKUP($AB$2,'RF Mod'!$A$2:$G$12,5,FALSE)+VLOOKUP($AD$2,'RF Mod'!$I$2:$O$11,5,FALSE)+(TRUNC(6+(24-6)*(TRUNC(MOD(($Z832*1103515245 +12345)/ 65536, 32768),0)/32768),0))</f>
        <v>12</v>
      </c>
      <c r="P832" s="16" t="e">
        <f t="shared" ca="1" si="53"/>
        <v>#NAME?</v>
      </c>
      <c r="Q832" s="153">
        <f ca="1">VLOOKUP($AB$2,'RF Mod'!$A$2:$G$12,6,FALSE)+VLOOKUP($AD$2,'RF Mod'!$I$2:$O$11,6,FALSE)+(TRUNC(6+(24-6)*(TRUNC(MOD(($Z832*1103515245 +12345)/ 65536, 32768),0)/32768),0))</f>
        <v>10</v>
      </c>
      <c r="R832" s="16" t="e">
        <f t="shared" ca="1" si="54"/>
        <v>#NAME?</v>
      </c>
      <c r="S832" s="154">
        <f t="shared" ca="1" si="59"/>
        <v>140</v>
      </c>
      <c r="T832" s="154">
        <f t="shared" ca="1" si="55"/>
        <v>160</v>
      </c>
      <c r="U832" s="16" t="str">
        <f t="shared" ca="1" si="56"/>
        <v>Dead</v>
      </c>
      <c r="V832" s="155">
        <f ca="1">IFERROR(__xludf.DUMMYFUNCTION("if(W832=""Middle Age"",QUERY(NPCVar!$K$2:$N1000, ""Select L where K = '""&amp;AB832&amp;""'""),if(W832=""Old"",QUERY(NPCVar!$K$2:$N1000, ""Select M where K = '""&amp;AB832&amp;""'""),if(W832=""Venerable"",QUERY(NPCVar!$K$2:$N1000, ""Select N where K = '""&amp;AB832&amp;""'""),fa"&amp;"lse)))*X832"),135)</f>
        <v>135</v>
      </c>
      <c r="W832" s="156" t="str">
        <f t="array" ref="W832">INDEX(NPCAgeType,TRUNC(1+(4-1)*(TRUNC(MOD((X832*1103515245 +12345)/ 65536, 32768),0)/32768),0))</f>
        <v>Old</v>
      </c>
      <c r="X832" s="117">
        <f t="shared" si="61"/>
        <v>0.8</v>
      </c>
      <c r="Y832" s="157" t="e">
        <f t="array" aca="1" ref="Y832" ca="1">LOOKUP(ABS(MAX(Z832 + MIN(ABS(INDIRECT("Class Jobs!B"&amp;MATCH(E832,'Class Jobs'!$A$1:$A1000,0)&amp;":"&amp;"AF"&amp;MATCH(E832,'Class Jobs'!$A$1:$A1000,0)&amp;"")-$Z832)) * SUM(IF(MIN(ABS(INDIRECT("Class Jobs!B"&amp;MATCH(E832,'Class Jobs'!$A$1:$A1000,0)&amp;":"&amp;"AF"&amp;MATCH(E832,'Class Jobs'!$A$1:$A1000,0)&amp;"")-$Z832))=ABS(INDIRECT("Class Jobs!B"&amp;MATCH(E832,'Class Jobs'!$A$1:$A1000,0)&amp;":"&amp;"AF"&amp;MATCH(E832,'Class Jobs'!$A$1:$A1000,0)&amp;"")-$Z832),SIGN(INDIRECT("Class Jobs!B"&amp;MATCH(E832,'Class Jobs'!$A$1:A1000,0)&amp;":"&amp;"AF"&amp;MATCH(E832,'Class Jobs'!$A$1:$A1000,0)&amp;"")-$Z832),0)),0)),INDIRECT("Class Jobs!B"&amp;MATCH(E832,'Class Jobs'!$A$1:$A1000,0)&amp;":"&amp;"AF"&amp;MATCH(E832,'Class Jobs'!$A$1:$A1000,1)&amp;""),'Class Jobs'!$B$1:$AF$1)</f>
        <v>#REF!</v>
      </c>
      <c r="Z832" s="158">
        <f t="shared" si="57"/>
        <v>0.32</v>
      </c>
      <c r="AA832" s="16" t="str">
        <f t="array" ref="AA832">INDEX(NPCGender,TRUNC(1+(COUNTA(NPCGender))*(TRUNC(MOD(($B832*1103515245 +12345)/ 65536, 32768),0)/32768),0))</f>
        <v>Male</v>
      </c>
      <c r="AB832" s="16" t="str">
        <f t="array" ref="AB832">INDEX(NPCRace,TRUNC(1+(COUNTA(NPCRace))*(TRUNC(MOD(($B832*1103515245 +12345)/ 65536, 32768),0)/32768),0))</f>
        <v>Gnome</v>
      </c>
      <c r="AC832" s="16" t="str">
        <f t="array" ref="AC832">INDEX(NPCAL,TRUNC(1+(COUNTA(NPCAL))*(TRUNC(MOD(($B832*1103515245 +12345)/ 65536, 32768),0)/32768),0))</f>
        <v>CG</v>
      </c>
      <c r="AD832" s="72" t="str">
        <f ca="1">IFERROR(__xludf.DUMMYFUNCTION("if(V832&lt;15,QUERY(NPCVar!C:D,""Select D WHERE C = '""&amp;D832&amp;""'""),if((TRUNC(1+10)*(TRUNC(MOD((ROW(H832)*1103515245 +12345)/ 65536, 32768),0)/32768)/10) &gt; 0.85,INDEX(NPCFaction,TRUNC(1+(counta(NPCFaction)-1)*(TRUNC(MOD(($B832*1103515245 +12345)/ 65536, 3276"&amp;"8),0)/32768),0)),QUERY(NPCVar!C:D,""Select D WHERE C = '""&amp;D832&amp;""'"")))"),"Magic Guild")</f>
        <v>Magic Guild</v>
      </c>
      <c r="AE832" s="108" t="e">
        <f t="shared" ca="1" si="58"/>
        <v>#NAME?</v>
      </c>
      <c r="AF832" s="159">
        <f ca="1">IFERROR(__xludf.DUMMYFUNCTION("AE832*(V832 / QUERY(NPCVar!$K$2:$N$12, ""Select N WHERE K='""&amp;AB832&amp;""'""))*TRUNC(1+10)*(TRUNC(MOD(($B832*1103515245 +12345)/ 65536, 32768),0)/32768)"),-0.104685974121093)</f>
        <v>-0.104685974121093</v>
      </c>
      <c r="AG832" s="16"/>
      <c r="AH832" s="77"/>
      <c r="AI832" s="114"/>
    </row>
    <row r="833" spans="1:35" ht="16.2">
      <c r="A833" s="53">
        <v>832</v>
      </c>
      <c r="B833" s="118">
        <f t="shared" si="60"/>
        <v>2.11151</v>
      </c>
      <c r="C833" s="72" t="str">
        <f t="array" ref="C833">INDEX(NPCFName,TRUNC(1+(COUNTA(NPCFName))*(TRUNC(MOD(($B833*1103515245 +12345)/ 65536, 32768),0)/32768),0))</f>
        <v>Duran</v>
      </c>
      <c r="D833" s="16" t="str">
        <f t="array" ref="D833">INDEX(NPCLName,TRUNC(1+(COUNTA(NPCLName))*(TRUNC(MOD(($B833*1103515245 +12345)/ 65536, 32768),0)/32768),0))</f>
        <v>Autumnorb</v>
      </c>
      <c r="E833" s="16" t="str">
        <f t="array" ref="E833">INDEX(NPCClass,TRUNC(1+(COUNTA(NPCClass))*(TRUNC(MOD(($B833*1103515245 +12345)/ 65536, 32768),0)/32768),0))</f>
        <v>Bard</v>
      </c>
      <c r="F833" s="76">
        <v>1</v>
      </c>
      <c r="G833" s="153">
        <f ca="1">VLOOKUP($AB$2,'RF Mod'!$A$2:$G$12,2,FALSE)+VLOOKUP($AD$2,'RF Mod'!$I$2:$O$11,2,FALSE)+(TRUNC(6+(24-6)*(TRUNC(MOD(($Z833*1103515245 +12345)/ 65536, 32768),0)/32768),0))</f>
        <v>4</v>
      </c>
      <c r="H833" s="16">
        <f t="shared" ca="1" si="49"/>
        <v>-3</v>
      </c>
      <c r="I833" s="153">
        <f ca="1">VLOOKUP($AB$2,'RF Mod'!$A$2:$G$12,3,FALSE)+VLOOKUP($AD$2,'RF Mod'!$I$2:$O$11,3,FALSE)+(TRUNC(6+(24-6)*(TRUNC(MOD(($Z833*1103515245 +12345)/ 65536, 32768),0)/32768),0))</f>
        <v>8</v>
      </c>
      <c r="J833" s="16">
        <f t="shared" ca="1" si="50"/>
        <v>-1</v>
      </c>
      <c r="K833" s="153">
        <f ca="1">VLOOKUP($AB$2,'RF Mod'!$A$2:$G$12,3,FALSE)+VLOOKUP($AD$2,'RF Mod'!$I$2:$O$11,3,FALSE)+(TRUNC(6+(24-6)*(TRUNC(MOD(($Z833*1103515245 +12345)/ 65536, 32768),0)/32768),0))</f>
        <v>8</v>
      </c>
      <c r="L833" s="16">
        <f t="shared" ca="1" si="51"/>
        <v>-1</v>
      </c>
      <c r="M833" s="153">
        <f ca="1">VLOOKUP($AB$2,'RF Mod'!$A$2:$G$12,4,FALSE)+VLOOKUP($AD$2,'RF Mod'!$I$2:$O$11,4,FALSE)+(TRUNC(6+(24-6)*(TRUNC(MOD(($Z833*1103515245 +12345)/ 65536, 32768),0)/32768),0))</f>
        <v>7</v>
      </c>
      <c r="N833" s="16">
        <f t="shared" ca="1" si="52"/>
        <v>-2</v>
      </c>
      <c r="O833" s="153">
        <f ca="1">VLOOKUP($AB$2,'RF Mod'!$A$2:$G$12,5,FALSE)+VLOOKUP($AD$2,'RF Mod'!$I$2:$O$11,5,FALSE)+(TRUNC(6+(24-6)*(TRUNC(MOD(($Z833*1103515245 +12345)/ 65536, 32768),0)/32768),0))</f>
        <v>10</v>
      </c>
      <c r="P833" s="16" t="e">
        <f t="shared" ca="1" si="53"/>
        <v>#NAME?</v>
      </c>
      <c r="Q833" s="153">
        <f ca="1">VLOOKUP($AB$2,'RF Mod'!$A$2:$G$12,6,FALSE)+VLOOKUP($AD$2,'RF Mod'!$I$2:$O$11,6,FALSE)+(TRUNC(6+(24-6)*(TRUNC(MOD(($Z833*1103515245 +12345)/ 65536, 32768),0)/32768),0))</f>
        <v>8</v>
      </c>
      <c r="R833" s="16">
        <f t="shared" ca="1" si="54"/>
        <v>-1</v>
      </c>
      <c r="S833" s="154">
        <f t="shared" ca="1" si="59"/>
        <v>10</v>
      </c>
      <c r="T833" s="154">
        <f t="shared" ca="1" si="55"/>
        <v>10</v>
      </c>
      <c r="U833" s="16" t="str">
        <f t="shared" ca="1" si="56"/>
        <v>Unconscious</v>
      </c>
      <c r="V833" s="155">
        <f ca="1">IFERROR(__xludf.DUMMYFUNCTION("if(W833=""Middle Age"",QUERY(NPCVar!$K$2:$N1000, ""Select L where K = '""&amp;AB833&amp;""'""),if(W833=""Old"",QUERY(NPCVar!$K$2:$N1000, ""Select M where K = '""&amp;AB833&amp;""'""),if(W833=""Venerable"",QUERY(NPCVar!$K$2:$N1000, ""Select N where K = '""&amp;AB833&amp;""'""),fa"&amp;"lse)))*X833"),6)</f>
        <v>6</v>
      </c>
      <c r="W833" s="156" t="str">
        <f t="array" ref="W833">INDEX(NPCAgeType,TRUNC(1+(4-1)*(TRUNC(MOD((X833*1103515245 +12345)/ 65536, 32768),0)/32768),0))</f>
        <v>Middle Age</v>
      </c>
      <c r="X833" s="117">
        <f t="shared" si="61"/>
        <v>0.3</v>
      </c>
      <c r="Y833" s="157" t="e">
        <f t="array" aca="1" ref="Y833" ca="1">LOOKUP(ABS(MAX(Z833 + MIN(ABS(INDIRECT("Class Jobs!B"&amp;MATCH(E833,'Class Jobs'!$A$1:$A1000,0)&amp;":"&amp;"AF"&amp;MATCH(E833,'Class Jobs'!$A$1:$A1000,0)&amp;"")-$Z833)) * SUM(IF(MIN(ABS(INDIRECT("Class Jobs!B"&amp;MATCH(E833,'Class Jobs'!$A$1:$A1000,0)&amp;":"&amp;"AF"&amp;MATCH(E833,'Class Jobs'!$A$1:$A1000,0)&amp;"")-$Z833))=ABS(INDIRECT("Class Jobs!B"&amp;MATCH(E833,'Class Jobs'!$A$1:$A1000,0)&amp;":"&amp;"AF"&amp;MATCH(E833,'Class Jobs'!$A$1:$A1000,0)&amp;"")-$Z833),SIGN(INDIRECT("Class Jobs!B"&amp;MATCH(E833,'Class Jobs'!$A$1:A1000,0)&amp;":"&amp;"AF"&amp;MATCH(E833,'Class Jobs'!$A$1:$A1000,0)&amp;"")-$Z833),0)),0)),INDIRECT("Class Jobs!B"&amp;MATCH(E833,'Class Jobs'!$A$1:$A1000,0)&amp;":"&amp;"AF"&amp;MATCH(E833,'Class Jobs'!$A$1:$A1000,1)&amp;""),'Class Jobs'!$B$1:$AF$1)</f>
        <v>#REF!</v>
      </c>
      <c r="Z833" s="158">
        <f t="shared" si="57"/>
        <v>0.09</v>
      </c>
      <c r="AA833" s="16" t="str">
        <f t="array" ref="AA833">INDEX(NPCGender,TRUNC(1+(COUNTA(NPCGender))*(TRUNC(MOD(($B833*1103515245 +12345)/ 65536, 32768),0)/32768),0))</f>
        <v>Male</v>
      </c>
      <c r="AB833" s="16" t="str">
        <f t="array" ref="AB833">INDEX(NPCRace,TRUNC(1+(COUNTA(NPCRace))*(TRUNC(MOD(($B833*1103515245 +12345)/ 65536, 32768),0)/32768),0))</f>
        <v>Dragonborn</v>
      </c>
      <c r="AC833" s="16" t="str">
        <f t="array" ref="AC833">INDEX(NPCAL,TRUNC(1+(COUNTA(NPCAL))*(TRUNC(MOD(($B833*1103515245 +12345)/ 65536, 32768),0)/32768),0))</f>
        <v>CN</v>
      </c>
      <c r="AD833" s="72" t="str">
        <f ca="1">IFERROR(__xludf.DUMMYFUNCTION("if(V833&lt;15,QUERY(NPCVar!C:D,""Select D WHERE C = '""&amp;D833&amp;""'""),if((TRUNC(1+10)*(TRUNC(MOD((ROW(H833)*1103515245 +12345)/ 65536, 32768),0)/32768)/10) &gt; 0.85,INDEX(NPCFaction,TRUNC(1+(counta(NPCFaction)-1)*(TRUNC(MOD(($B833*1103515245 +12345)/ 65536, 3276"&amp;"8),0)/32768),0)),QUERY(NPCVar!C:D,""Select D WHERE C = '""&amp;D833&amp;""'"")))"),"Royalty")</f>
        <v>Royalty</v>
      </c>
      <c r="AE833" s="108" t="e">
        <f t="shared" ca="1" si="58"/>
        <v>#NAME?</v>
      </c>
      <c r="AF833" s="159">
        <f ca="1">IFERROR(__xludf.DUMMYFUNCTION("AE833*(V833 / QUERY(NPCVar!$K$2:$N$12, ""Select N WHERE K='""&amp;AB833&amp;""'""))*TRUNC(1+10)*(TRUNC(MOD(($B833*1103515245 +12345)/ 65536, 32768),0)/32768)"),0.0140286254882812)</f>
        <v>1.40286254882812E-2</v>
      </c>
      <c r="AG833" s="16"/>
      <c r="AH833" s="77"/>
      <c r="AI833" s="114"/>
    </row>
    <row r="834" spans="1:35" ht="16.2">
      <c r="A834" s="53">
        <v>833</v>
      </c>
      <c r="B834" s="118">
        <f t="shared" ref="B834:B897" si="62">(TRUNC(1+(250000-1)*(TRUNC(MOD(((Seed*ROW())*1103515245 +12345)/ 65536, 32768),0)/32768),0))/100000</f>
        <v>1.10565</v>
      </c>
      <c r="C834" s="72" t="str">
        <f t="array" ref="C834">INDEX(NPCFName,TRUNC(1+(COUNTA(NPCFName))*(TRUNC(MOD(($B834*1103515245 +12345)/ 65536, 32768),0)/32768),0))</f>
        <v>Quiss</v>
      </c>
      <c r="D834" s="16" t="str">
        <f t="array" ref="D834">INDEX(NPCLName,TRUNC(1+(COUNTA(NPCLName))*(TRUNC(MOD(($B834*1103515245 +12345)/ 65536, 32768),0)/32768),0))</f>
        <v>Chestaxe</v>
      </c>
      <c r="E834" s="16" t="str">
        <f t="array" ref="E834">INDEX(NPCClass,TRUNC(1+(COUNTA(NPCClass))*(TRUNC(MOD(($B834*1103515245 +12345)/ 65536, 32768),0)/32768),0))</f>
        <v>Sorcerer</v>
      </c>
      <c r="F834" s="76">
        <v>8</v>
      </c>
      <c r="G834" s="153">
        <f ca="1">VLOOKUP($AB$2,'RF Mod'!$A$2:$G$12,2,FALSE)+VLOOKUP($AD$2,'RF Mod'!$I$2:$O$11,2,FALSE)+(TRUNC(6+(24-6)*(TRUNC(MOD(($Z834*1103515245 +12345)/ 65536, 32768),0)/32768),0))</f>
        <v>9</v>
      </c>
      <c r="H834" s="16">
        <f t="shared" ca="1" si="49"/>
        <v>-1</v>
      </c>
      <c r="I834" s="153">
        <f ca="1">VLOOKUP($AB$2,'RF Mod'!$A$2:$G$12,3,FALSE)+VLOOKUP($AD$2,'RF Mod'!$I$2:$O$11,3,FALSE)+(TRUNC(6+(24-6)*(TRUNC(MOD(($Z834*1103515245 +12345)/ 65536, 32768),0)/32768),0))</f>
        <v>13</v>
      </c>
      <c r="J834" s="16" t="e">
        <f t="shared" ca="1" si="50"/>
        <v>#NAME?</v>
      </c>
      <c r="K834" s="153">
        <f ca="1">VLOOKUP($AB$2,'RF Mod'!$A$2:$G$12,3,FALSE)+VLOOKUP($AD$2,'RF Mod'!$I$2:$O$11,3,FALSE)+(TRUNC(6+(24-6)*(TRUNC(MOD(($Z834*1103515245 +12345)/ 65536, 32768),0)/32768),0))</f>
        <v>13</v>
      </c>
      <c r="L834" s="16" t="e">
        <f t="shared" ca="1" si="51"/>
        <v>#NAME?</v>
      </c>
      <c r="M834" s="153">
        <f ca="1">VLOOKUP($AB$2,'RF Mod'!$A$2:$G$12,4,FALSE)+VLOOKUP($AD$2,'RF Mod'!$I$2:$O$11,4,FALSE)+(TRUNC(6+(24-6)*(TRUNC(MOD(($Z834*1103515245 +12345)/ 65536, 32768),0)/32768),0))</f>
        <v>12</v>
      </c>
      <c r="N834" s="16" t="e">
        <f t="shared" ca="1" si="52"/>
        <v>#NAME?</v>
      </c>
      <c r="O834" s="153">
        <f ca="1">VLOOKUP($AB$2,'RF Mod'!$A$2:$G$12,5,FALSE)+VLOOKUP($AD$2,'RF Mod'!$I$2:$O$11,5,FALSE)+(TRUNC(6+(24-6)*(TRUNC(MOD(($Z834*1103515245 +12345)/ 65536, 32768),0)/32768),0))</f>
        <v>15</v>
      </c>
      <c r="P834" s="16" t="e">
        <f t="shared" ca="1" si="53"/>
        <v>#NAME?</v>
      </c>
      <c r="Q834" s="153">
        <f ca="1">VLOOKUP($AB$2,'RF Mod'!$A$2:$G$12,6,FALSE)+VLOOKUP($AD$2,'RF Mod'!$I$2:$O$11,6,FALSE)+(TRUNC(6+(24-6)*(TRUNC(MOD(($Z834*1103515245 +12345)/ 65536, 32768),0)/32768),0))</f>
        <v>13</v>
      </c>
      <c r="R834" s="16" t="e">
        <f t="shared" ca="1" si="54"/>
        <v>#NAME?</v>
      </c>
      <c r="S834" s="154">
        <f t="shared" ca="1" si="59"/>
        <v>248</v>
      </c>
      <c r="T834" s="154">
        <f t="shared" ca="1" si="55"/>
        <v>192</v>
      </c>
      <c r="U834" s="16" t="str">
        <f t="shared" ca="1" si="56"/>
        <v>Bloody</v>
      </c>
      <c r="V834" s="155">
        <f ca="1">IFERROR(__xludf.DUMMYFUNCTION("if(W834=""Middle Age"",QUERY(NPCVar!$K$2:$N1000, ""Select L where K = '""&amp;AB834&amp;""'""),if(W834=""Old"",QUERY(NPCVar!$K$2:$N1000, ""Select M where K = '""&amp;AB834&amp;""'""),if(W834=""Venerable"",QUERY(NPCVar!$K$2:$N1000, ""Select N where K = '""&amp;AB834&amp;""'""),fa"&amp;"lse)))*X834"),280)</f>
        <v>280</v>
      </c>
      <c r="W834" s="156" t="str">
        <f t="array" ref="W834">INDEX(NPCAgeType,TRUNC(1+(4-1)*(TRUNC(MOD((X834*1103515245 +12345)/ 65536, 32768),0)/32768),0))</f>
        <v>Venerable</v>
      </c>
      <c r="X834" s="117">
        <f t="shared" si="61"/>
        <v>1.4</v>
      </c>
      <c r="Y834" s="157" t="e">
        <f t="array" aca="1" ref="Y834" ca="1">LOOKUP(ABS(MAX(Z834 + MIN(ABS(INDIRECT("Class Jobs!B"&amp;MATCH(E834,'Class Jobs'!$A$1:$A1000,0)&amp;":"&amp;"AF"&amp;MATCH(E834,'Class Jobs'!$A$1:$A1000,0)&amp;"")-$Z834)) * SUM(IF(MIN(ABS(INDIRECT("Class Jobs!B"&amp;MATCH(E834,'Class Jobs'!$A$1:$A1000,0)&amp;":"&amp;"AF"&amp;MATCH(E834,'Class Jobs'!$A$1:$A1000,0)&amp;"")-$Z834))=ABS(INDIRECT("Class Jobs!B"&amp;MATCH(E834,'Class Jobs'!$A$1:$A1000,0)&amp;":"&amp;"AF"&amp;MATCH(E834,'Class Jobs'!$A$1:$A1000,0)&amp;"")-$Z834),SIGN(INDIRECT("Class Jobs!B"&amp;MATCH(E834,'Class Jobs'!$A$1:A1000,0)&amp;":"&amp;"AF"&amp;MATCH(E834,'Class Jobs'!$A$1:$A1000,0)&amp;"")-$Z834),0)),0)),INDIRECT("Class Jobs!B"&amp;MATCH(E834,'Class Jobs'!$A$1:$A1000,0)&amp;":"&amp;"AF"&amp;MATCH(E834,'Class Jobs'!$A$1:$A1000,1)&amp;""),'Class Jobs'!$B$1:$AF$1)</f>
        <v>#REF!</v>
      </c>
      <c r="Z834" s="158">
        <f t="shared" si="57"/>
        <v>0.56999999999999995</v>
      </c>
      <c r="AA834" s="16" t="str">
        <f t="array" ref="AA834">INDEX(NPCGender,TRUNC(1+(COUNTA(NPCGender))*(TRUNC(MOD(($B834*1103515245 +12345)/ 65536, 32768),0)/32768),0))</f>
        <v>Female</v>
      </c>
      <c r="AB834" s="16" t="str">
        <f t="array" ref="AB834">INDEX(NPCRace,TRUNC(1+(COUNTA(NPCRace))*(TRUNC(MOD(($B834*1103515245 +12345)/ 65536, 32768),0)/32768),0))</f>
        <v>Halfling</v>
      </c>
      <c r="AC834" s="16" t="str">
        <f t="array" ref="AC834">INDEX(NPCAL,TRUNC(1+(COUNTA(NPCAL))*(TRUNC(MOD(($B834*1103515245 +12345)/ 65536, 32768),0)/32768),0))</f>
        <v>NE</v>
      </c>
      <c r="AD834" s="72" t="str">
        <f ca="1">IFERROR(__xludf.DUMMYFUNCTION("if(V834&lt;15,QUERY(NPCVar!C:D,""Select D WHERE C = '""&amp;D834&amp;""'""),if((TRUNC(1+10)*(TRUNC(MOD((ROW(H834)*1103515245 +12345)/ 65536, 32768),0)/32768)/10) &gt; 0.85,INDEX(NPCFaction,TRUNC(1+(counta(NPCFaction)-1)*(TRUNC(MOD(($B834*1103515245 +12345)/ 65536, 3276"&amp;"8),0)/32768),0)),QUERY(NPCVar!C:D,""Select D WHERE C = '""&amp;D834&amp;""'"")))"),"Farmers Guild")</f>
        <v>Farmers Guild</v>
      </c>
      <c r="AE834" s="108" t="e">
        <f t="shared" ca="1" si="58"/>
        <v>#NAME?</v>
      </c>
      <c r="AF834" s="159">
        <f ca="1">IFERROR(__xludf.DUMMYFUNCTION("AE834*(V834 / QUERY(NPCVar!$K$2:$N$12, ""Select N WHERE K='""&amp;AB834&amp;""'""))*TRUNC(1+10)*(TRUNC(MOD(($B834*1103515245 +12345)/ 65536, 32768),0)/32768)"),1.74988891601562)</f>
        <v>1.7498889160156199</v>
      </c>
      <c r="AG834" s="16"/>
      <c r="AH834" s="77"/>
      <c r="AI834" s="114"/>
    </row>
    <row r="835" spans="1:35" ht="16.2">
      <c r="A835" s="53">
        <v>834</v>
      </c>
      <c r="B835" s="118">
        <f t="shared" si="62"/>
        <v>9.98E-2</v>
      </c>
      <c r="C835" s="72" t="str">
        <f t="array" ref="C835">INDEX(NPCFName,TRUNC(1+(COUNTA(NPCFName))*(TRUNC(MOD(($B835*1103515245 +12345)/ 65536, 32768),0)/32768),0))</f>
        <v>Cevelt</v>
      </c>
      <c r="D835" s="16" t="str">
        <f t="array" ref="D835">INDEX(NPCLName,TRUNC(1+(COUNTA(NPCLName))*(TRUNC(MOD(($B835*1103515245 +12345)/ 65536, 32768),0)/32768),0))</f>
        <v>Crystalgazer</v>
      </c>
      <c r="E835" s="16" t="str">
        <f t="array" ref="E835">INDEX(NPCClass,TRUNC(1+(COUNTA(NPCClass))*(TRUNC(MOD(($B835*1103515245 +12345)/ 65536, 32768),0)/32768),0))</f>
        <v>Barbarian</v>
      </c>
      <c r="F835" s="76">
        <v>1</v>
      </c>
      <c r="G835" s="153">
        <f ca="1">VLOOKUP($AB$2,'RF Mod'!$A$2:$G$12,2,FALSE)+VLOOKUP($AD$2,'RF Mod'!$I$2:$O$11,2,FALSE)+(TRUNC(6+(24-6)*(TRUNC(MOD(($Z835*1103515245 +12345)/ 65536, 32768),0)/32768),0))</f>
        <v>4</v>
      </c>
      <c r="H835" s="16">
        <f t="shared" ca="1" si="49"/>
        <v>-3</v>
      </c>
      <c r="I835" s="153">
        <f ca="1">VLOOKUP($AB$2,'RF Mod'!$A$2:$G$12,3,FALSE)+VLOOKUP($AD$2,'RF Mod'!$I$2:$O$11,3,FALSE)+(TRUNC(6+(24-6)*(TRUNC(MOD(($Z835*1103515245 +12345)/ 65536, 32768),0)/32768),0))</f>
        <v>8</v>
      </c>
      <c r="J835" s="16">
        <f t="shared" ca="1" si="50"/>
        <v>-1</v>
      </c>
      <c r="K835" s="153">
        <f ca="1">VLOOKUP($AB$2,'RF Mod'!$A$2:$G$12,3,FALSE)+VLOOKUP($AD$2,'RF Mod'!$I$2:$O$11,3,FALSE)+(TRUNC(6+(24-6)*(TRUNC(MOD(($Z835*1103515245 +12345)/ 65536, 32768),0)/32768),0))</f>
        <v>8</v>
      </c>
      <c r="L835" s="16">
        <f t="shared" ca="1" si="51"/>
        <v>-1</v>
      </c>
      <c r="M835" s="153">
        <f ca="1">VLOOKUP($AB$2,'RF Mod'!$A$2:$G$12,4,FALSE)+VLOOKUP($AD$2,'RF Mod'!$I$2:$O$11,4,FALSE)+(TRUNC(6+(24-6)*(TRUNC(MOD(($Z835*1103515245 +12345)/ 65536, 32768),0)/32768),0))</f>
        <v>7</v>
      </c>
      <c r="N835" s="16">
        <f t="shared" ca="1" si="52"/>
        <v>-2</v>
      </c>
      <c r="O835" s="153">
        <f ca="1">VLOOKUP($AB$2,'RF Mod'!$A$2:$G$12,5,FALSE)+VLOOKUP($AD$2,'RF Mod'!$I$2:$O$11,5,FALSE)+(TRUNC(6+(24-6)*(TRUNC(MOD(($Z835*1103515245 +12345)/ 65536, 32768),0)/32768),0))</f>
        <v>10</v>
      </c>
      <c r="P835" s="16" t="e">
        <f t="shared" ca="1" si="53"/>
        <v>#NAME?</v>
      </c>
      <c r="Q835" s="153">
        <f ca="1">VLOOKUP($AB$2,'RF Mod'!$A$2:$G$12,6,FALSE)+VLOOKUP($AD$2,'RF Mod'!$I$2:$O$11,6,FALSE)+(TRUNC(6+(24-6)*(TRUNC(MOD(($Z835*1103515245 +12345)/ 65536, 32768),0)/32768),0))</f>
        <v>8</v>
      </c>
      <c r="R835" s="16">
        <f t="shared" ca="1" si="54"/>
        <v>-1</v>
      </c>
      <c r="S835" s="154">
        <f t="shared" ca="1" si="59"/>
        <v>10</v>
      </c>
      <c r="T835" s="154">
        <f t="shared" ca="1" si="55"/>
        <v>1</v>
      </c>
      <c r="U835" s="16" t="str">
        <f t="shared" ca="1" si="56"/>
        <v>Fine</v>
      </c>
      <c r="V835" s="155">
        <f ca="1">IFERROR(__xludf.DUMMYFUNCTION("if(W835=""Middle Age"",QUERY(NPCVar!$K$2:$N1000, ""Select L where K = '""&amp;AB835&amp;""'""),if(W835=""Old"",QUERY(NPCVar!$K$2:$N1000, ""Select M where K = '""&amp;AB835&amp;""'""),if(W835=""Venerable"",QUERY(NPCVar!$K$2:$N1000, ""Select N where K = '""&amp;AB835&amp;""'""),fa"&amp;"lse)))*X835"),4)</f>
        <v>4</v>
      </c>
      <c r="W835" s="156" t="str">
        <f t="array" ref="W835">INDEX(NPCAgeType,TRUNC(1+(4-1)*(TRUNC(MOD((X835*1103515245 +12345)/ 65536, 32768),0)/32768),0))</f>
        <v>Middle Age</v>
      </c>
      <c r="X835" s="117">
        <f t="shared" si="61"/>
        <v>0.2</v>
      </c>
      <c r="Y835" s="157" t="e">
        <f t="array" aca="1" ref="Y835" ca="1">LOOKUP(ABS(MAX(Z835 + MIN(ABS(INDIRECT("Class Jobs!B"&amp;MATCH(E835,'Class Jobs'!$A$1:$A1000,0)&amp;":"&amp;"AF"&amp;MATCH(E835,'Class Jobs'!$A$1:$A1000,0)&amp;"")-$Z835)) * SUM(IF(MIN(ABS(INDIRECT("Class Jobs!B"&amp;MATCH(E835,'Class Jobs'!$A$1:$A1000,0)&amp;":"&amp;"AF"&amp;MATCH(E835,'Class Jobs'!$A$1:$A1000,0)&amp;"")-$Z835))=ABS(INDIRECT("Class Jobs!B"&amp;MATCH(E835,'Class Jobs'!$A$1:$A1000,0)&amp;":"&amp;"AF"&amp;MATCH(E835,'Class Jobs'!$A$1:$A1000,0)&amp;"")-$Z835),SIGN(INDIRECT("Class Jobs!B"&amp;MATCH(E835,'Class Jobs'!$A$1:A1000,0)&amp;":"&amp;"AF"&amp;MATCH(E835,'Class Jobs'!$A$1:$A1000,0)&amp;"")-$Z835),0)),0)),INDIRECT("Class Jobs!B"&amp;MATCH(E835,'Class Jobs'!$A$1:$A1000,0)&amp;":"&amp;"AF"&amp;MATCH(E835,'Class Jobs'!$A$1:$A1000,1)&amp;""),'Class Jobs'!$B$1:$AF$1)</f>
        <v>#REF!</v>
      </c>
      <c r="Z835" s="158">
        <f t="shared" si="57"/>
        <v>0.06</v>
      </c>
      <c r="AA835" s="16" t="str">
        <f t="array" ref="AA835">INDEX(NPCGender,TRUNC(1+(COUNTA(NPCGender))*(TRUNC(MOD(($B835*1103515245 +12345)/ 65536, 32768),0)/32768),0))</f>
        <v>Male</v>
      </c>
      <c r="AB835" s="16" t="str">
        <f t="array" ref="AB835">INDEX(NPCRace,TRUNC(1+(COUNTA(NPCRace))*(TRUNC(MOD(($B835*1103515245 +12345)/ 65536, 32768),0)/32768),0))</f>
        <v>Dragonborn</v>
      </c>
      <c r="AC835" s="16" t="str">
        <f t="array" ref="AC835">INDEX(NPCAL,TRUNC(1+(COUNTA(NPCAL))*(TRUNC(MOD(($B835*1103515245 +12345)/ 65536, 32768),0)/32768),0))</f>
        <v>CN</v>
      </c>
      <c r="AD835" s="72" t="str">
        <f ca="1">IFERROR(__xludf.DUMMYFUNCTION("if(V835&lt;15,QUERY(NPCVar!C:D,""Select D WHERE C = '""&amp;D835&amp;""'""),if((TRUNC(1+10)*(TRUNC(MOD((ROW(H835)*1103515245 +12345)/ 65536, 32768),0)/32768)/10) &gt; 0.85,INDEX(NPCFaction,TRUNC(1+(counta(NPCFaction)-1)*(TRUNC(MOD(($B835*1103515245 +12345)/ 65536, 3276"&amp;"8),0)/32768),0)),QUERY(NPCVar!C:D,""Select D WHERE C = '""&amp;D835&amp;""'"")))"),"Death Guild")</f>
        <v>Death Guild</v>
      </c>
      <c r="AE835" s="108" t="e">
        <f t="shared" ca="1" si="58"/>
        <v>#NAME?</v>
      </c>
      <c r="AF835" s="159">
        <f ca="1">IFERROR(__xludf.DUMMYFUNCTION("AE835*(V835 / QUERY(NPCVar!$K$2:$N$12, ""Select N WHERE K='""&amp;AB835&amp;""'""))*TRUNC(1+10)*(TRUNC(MOD(($B835*1103515245 +12345)/ 65536, 32768),0)/32768)"),0.00845947265625)</f>
        <v>8.4594726562499997E-3</v>
      </c>
      <c r="AG835" s="16"/>
      <c r="AH835" s="77"/>
      <c r="AI835" s="114"/>
    </row>
    <row r="836" spans="1:35" ht="16.2">
      <c r="A836" s="53">
        <v>835</v>
      </c>
      <c r="B836" s="118">
        <f t="shared" si="62"/>
        <v>1.5939300000000001</v>
      </c>
      <c r="C836" s="72" t="str">
        <f t="array" ref="C836">INDEX(NPCFName,TRUNC(1+(COUNTA(NPCFName))*(TRUNC(MOD(($B836*1103515245 +12345)/ 65536, 32768),0)/32768),0))</f>
        <v>Jibar</v>
      </c>
      <c r="D836" s="16" t="str">
        <f t="array" ref="D836">INDEX(NPCLName,TRUNC(1+(COUNTA(NPCLName))*(TRUNC(MOD(($B836*1103515245 +12345)/ 65536, 32768),0)/32768),0))</f>
        <v>Deepcrest</v>
      </c>
      <c r="E836" s="16" t="str">
        <f t="array" ref="E836">INDEX(NPCClass,TRUNC(1+(COUNTA(NPCClass))*(TRUNC(MOD(($B836*1103515245 +12345)/ 65536, 32768),0)/32768),0))</f>
        <v>Cleric</v>
      </c>
      <c r="F836" s="76">
        <v>8</v>
      </c>
      <c r="G836" s="153">
        <f ca="1">VLOOKUP($AB$2,'RF Mod'!$A$2:$G$12,2,FALSE)+VLOOKUP($AD$2,'RF Mod'!$I$2:$O$11,2,FALSE)+(TRUNC(6+(24-6)*(TRUNC(MOD(($Z836*1103515245 +12345)/ 65536, 32768),0)/32768),0))</f>
        <v>11</v>
      </c>
      <c r="H836" s="16" t="e">
        <f t="shared" ca="1" si="49"/>
        <v>#NAME?</v>
      </c>
      <c r="I836" s="153">
        <f ca="1">VLOOKUP($AB$2,'RF Mod'!$A$2:$G$12,3,FALSE)+VLOOKUP($AD$2,'RF Mod'!$I$2:$O$11,3,FALSE)+(TRUNC(6+(24-6)*(TRUNC(MOD(($Z836*1103515245 +12345)/ 65536, 32768),0)/32768),0))</f>
        <v>15</v>
      </c>
      <c r="J836" s="16" t="e">
        <f t="shared" ca="1" si="50"/>
        <v>#NAME?</v>
      </c>
      <c r="K836" s="153">
        <f ca="1">VLOOKUP($AB$2,'RF Mod'!$A$2:$G$12,3,FALSE)+VLOOKUP($AD$2,'RF Mod'!$I$2:$O$11,3,FALSE)+(TRUNC(6+(24-6)*(TRUNC(MOD(($Z836*1103515245 +12345)/ 65536, 32768),0)/32768),0))</f>
        <v>15</v>
      </c>
      <c r="L836" s="16" t="e">
        <f t="shared" ca="1" si="51"/>
        <v>#NAME?</v>
      </c>
      <c r="M836" s="153">
        <f ca="1">VLOOKUP($AB$2,'RF Mod'!$A$2:$G$12,4,FALSE)+VLOOKUP($AD$2,'RF Mod'!$I$2:$O$11,4,FALSE)+(TRUNC(6+(24-6)*(TRUNC(MOD(($Z836*1103515245 +12345)/ 65536, 32768),0)/32768),0))</f>
        <v>14</v>
      </c>
      <c r="N836" s="16" t="e">
        <f t="shared" ca="1" si="52"/>
        <v>#NAME?</v>
      </c>
      <c r="O836" s="153">
        <f ca="1">VLOOKUP($AB$2,'RF Mod'!$A$2:$G$12,5,FALSE)+VLOOKUP($AD$2,'RF Mod'!$I$2:$O$11,5,FALSE)+(TRUNC(6+(24-6)*(TRUNC(MOD(($Z836*1103515245 +12345)/ 65536, 32768),0)/32768),0))</f>
        <v>17</v>
      </c>
      <c r="P836" s="16" t="e">
        <f t="shared" ca="1" si="53"/>
        <v>#NAME?</v>
      </c>
      <c r="Q836" s="153">
        <f ca="1">VLOOKUP($AB$2,'RF Mod'!$A$2:$G$12,6,FALSE)+VLOOKUP($AD$2,'RF Mod'!$I$2:$O$11,6,FALSE)+(TRUNC(6+(24-6)*(TRUNC(MOD(($Z836*1103515245 +12345)/ 65536, 32768),0)/32768),0))</f>
        <v>15</v>
      </c>
      <c r="R836" s="16" t="e">
        <f t="shared" ca="1" si="54"/>
        <v>#NAME?</v>
      </c>
      <c r="S836" s="154">
        <f t="shared" ca="1" si="59"/>
        <v>200</v>
      </c>
      <c r="T836" s="154">
        <f t="shared" ca="1" si="55"/>
        <v>128</v>
      </c>
      <c r="U836" s="16" t="str">
        <f t="shared" ca="1" si="56"/>
        <v>Bloody</v>
      </c>
      <c r="V836" s="155">
        <f ca="1">IFERROR(__xludf.DUMMYFUNCTION("if(W836=""Middle Age"",QUERY(NPCVar!$K$2:$N1000, ""Select L where K = '""&amp;AB836&amp;""'""),if(W836=""Old"",QUERY(NPCVar!$K$2:$N1000, ""Select M where K = '""&amp;AB836&amp;""'""),if(W836=""Venerable"",QUERY(NPCVar!$K$2:$N1000, ""Select N where K = '""&amp;AB836&amp;""'""),fa"&amp;"lse)))*X836"),55)</f>
        <v>55</v>
      </c>
      <c r="W836" s="156" t="str">
        <f t="array" ref="W836">INDEX(NPCAgeType,TRUNC(1+(4-1)*(TRUNC(MOD((X836*1103515245 +12345)/ 65536, 32768),0)/32768),0))</f>
        <v>Middle Age</v>
      </c>
      <c r="X836" s="117">
        <f t="shared" si="61"/>
        <v>2</v>
      </c>
      <c r="Y836" s="157" t="e">
        <f t="array" aca="1" ref="Y836" ca="1">LOOKUP(ABS(MAX(Z836 + MIN(ABS(INDIRECT("Class Jobs!B"&amp;MATCH(E836,'Class Jobs'!$A$1:$A1000,0)&amp;":"&amp;"AF"&amp;MATCH(E836,'Class Jobs'!$A$1:$A1000,0)&amp;"")-$Z836)) * SUM(IF(MIN(ABS(INDIRECT("Class Jobs!B"&amp;MATCH(E836,'Class Jobs'!$A$1:$A1000,0)&amp;":"&amp;"AF"&amp;MATCH(E836,'Class Jobs'!$A$1:$A1000,0)&amp;"")-$Z836))=ABS(INDIRECT("Class Jobs!B"&amp;MATCH(E836,'Class Jobs'!$A$1:$A1000,0)&amp;":"&amp;"AF"&amp;MATCH(E836,'Class Jobs'!$A$1:$A1000,0)&amp;"")-$Z836),SIGN(INDIRECT("Class Jobs!B"&amp;MATCH(E836,'Class Jobs'!$A$1:A1000,0)&amp;":"&amp;"AF"&amp;MATCH(E836,'Class Jobs'!$A$1:$A1000,0)&amp;"")-$Z836),0)),0)),INDIRECT("Class Jobs!B"&amp;MATCH(E836,'Class Jobs'!$A$1:$A1000,0)&amp;":"&amp;"AF"&amp;MATCH(E836,'Class Jobs'!$A$1:$A1000,1)&amp;""),'Class Jobs'!$B$1:$AF$1)</f>
        <v>#REF!</v>
      </c>
      <c r="Z836" s="158">
        <f t="shared" si="57"/>
        <v>0.82</v>
      </c>
      <c r="AA836" s="16" t="str">
        <f t="array" ref="AA836">INDEX(NPCGender,TRUNC(1+(COUNTA(NPCGender))*(TRUNC(MOD(($B836*1103515245 +12345)/ 65536, 32768),0)/32768),0))</f>
        <v>Neutral</v>
      </c>
      <c r="AB836" s="16" t="str">
        <f t="array" ref="AB836">INDEX(NPCRace,TRUNC(1+(COUNTA(NPCRace))*(TRUNC(MOD(($B836*1103515245 +12345)/ 65536, 32768),0)/32768),0))</f>
        <v>Genasi</v>
      </c>
      <c r="AC836" s="16" t="str">
        <f t="array" ref="AC836">INDEX(NPCAL,TRUNC(1+(COUNTA(NPCAL))*(TRUNC(MOD(($B836*1103515245 +12345)/ 65536, 32768),0)/32768),0))</f>
        <v>LN</v>
      </c>
      <c r="AD836" s="72" t="str">
        <f ca="1">IFERROR(__xludf.DUMMYFUNCTION("if(V836&lt;15,QUERY(NPCVar!C:D,""Select D WHERE C = '""&amp;D836&amp;""'""),if((TRUNC(1+10)*(TRUNC(MOD((ROW(H836)*1103515245 +12345)/ 65536, 32768),0)/32768)/10) &gt; 0.85,INDEX(NPCFaction,TRUNC(1+(counta(NPCFaction)-1)*(TRUNC(MOD(($B836*1103515245 +12345)/ 65536, 3276"&amp;"8),0)/32768),0)),QUERY(NPCVar!C:D,""Select D WHERE C = '""&amp;D836&amp;""'"")))"),"Adventures Guild")</f>
        <v>Adventures Guild</v>
      </c>
      <c r="AE836" s="108" t="e">
        <f t="shared" ca="1" si="58"/>
        <v>#NAME?</v>
      </c>
      <c r="AF836" s="159">
        <f ca="1">IFERROR(__xludf.DUMMYFUNCTION("AE836*(V836 / QUERY(NPCVar!$K$2:$N$12, ""Select N WHERE K='""&amp;AB836&amp;""'""))*TRUNC(1+10)*(TRUNC(MOD(($B836*1103515245 +12345)/ 65536, 32768),0)/32768)"),0.900967407226562)</f>
        <v>0.90096740722656199</v>
      </c>
      <c r="AG836" s="16"/>
      <c r="AH836" s="77"/>
      <c r="AI836" s="114"/>
    </row>
    <row r="837" spans="1:35" ht="16.2">
      <c r="A837" s="53">
        <v>836</v>
      </c>
      <c r="B837" s="118">
        <f t="shared" si="62"/>
        <v>0.58799999999999997</v>
      </c>
      <c r="C837" s="72" t="str">
        <f t="array" ref="C837">INDEX(NPCFName,TRUNC(1+(COUNTA(NPCFName))*(TRUNC(MOD(($B837*1103515245 +12345)/ 65536, 32768),0)/32768),0))</f>
        <v>Vider</v>
      </c>
      <c r="D837" s="16" t="str">
        <f t="array" ref="D837">INDEX(NPCLName,TRUNC(1+(COUNTA(NPCLName))*(TRUNC(MOD(($B837*1103515245 +12345)/ 65536, 32768),0)/32768),0))</f>
        <v>Stormdew</v>
      </c>
      <c r="E837" s="16" t="str">
        <f t="array" ref="E837">INDEX(NPCClass,TRUNC(1+(COUNTA(NPCClass))*(TRUNC(MOD(($B837*1103515245 +12345)/ 65536, 32768),0)/32768),0))</f>
        <v>Monk</v>
      </c>
      <c r="F837" s="76">
        <v>1</v>
      </c>
      <c r="G837" s="153">
        <f ca="1">VLOOKUP($AB$2,'RF Mod'!$A$2:$G$12,2,FALSE)+VLOOKUP($AD$2,'RF Mod'!$I$2:$O$11,2,FALSE)+(TRUNC(6+(24-6)*(TRUNC(MOD(($Z837*1103515245 +12345)/ 65536, 32768),0)/32768),0))</f>
        <v>6</v>
      </c>
      <c r="H837" s="16">
        <f t="shared" ca="1" si="49"/>
        <v>-2</v>
      </c>
      <c r="I837" s="153">
        <f ca="1">VLOOKUP($AB$2,'RF Mod'!$A$2:$G$12,3,FALSE)+VLOOKUP($AD$2,'RF Mod'!$I$2:$O$11,3,FALSE)+(TRUNC(6+(24-6)*(TRUNC(MOD(($Z837*1103515245 +12345)/ 65536, 32768),0)/32768),0))</f>
        <v>10</v>
      </c>
      <c r="J837" s="16" t="e">
        <f t="shared" ca="1" si="50"/>
        <v>#NAME?</v>
      </c>
      <c r="K837" s="153">
        <f ca="1">VLOOKUP($AB$2,'RF Mod'!$A$2:$G$12,3,FALSE)+VLOOKUP($AD$2,'RF Mod'!$I$2:$O$11,3,FALSE)+(TRUNC(6+(24-6)*(TRUNC(MOD(($Z837*1103515245 +12345)/ 65536, 32768),0)/32768),0))</f>
        <v>10</v>
      </c>
      <c r="L837" s="16" t="e">
        <f t="shared" ca="1" si="51"/>
        <v>#NAME?</v>
      </c>
      <c r="M837" s="153">
        <f ca="1">VLOOKUP($AB$2,'RF Mod'!$A$2:$G$12,4,FALSE)+VLOOKUP($AD$2,'RF Mod'!$I$2:$O$11,4,FALSE)+(TRUNC(6+(24-6)*(TRUNC(MOD(($Z837*1103515245 +12345)/ 65536, 32768),0)/32768),0))</f>
        <v>9</v>
      </c>
      <c r="N837" s="16">
        <f t="shared" ca="1" si="52"/>
        <v>-1</v>
      </c>
      <c r="O837" s="153">
        <f ca="1">VLOOKUP($AB$2,'RF Mod'!$A$2:$G$12,5,FALSE)+VLOOKUP($AD$2,'RF Mod'!$I$2:$O$11,5,FALSE)+(TRUNC(6+(24-6)*(TRUNC(MOD(($Z837*1103515245 +12345)/ 65536, 32768),0)/32768),0))</f>
        <v>12</v>
      </c>
      <c r="P837" s="16" t="e">
        <f t="shared" ca="1" si="53"/>
        <v>#NAME?</v>
      </c>
      <c r="Q837" s="153">
        <f ca="1">VLOOKUP($AB$2,'RF Mod'!$A$2:$G$12,6,FALSE)+VLOOKUP($AD$2,'RF Mod'!$I$2:$O$11,6,FALSE)+(TRUNC(6+(24-6)*(TRUNC(MOD(($Z837*1103515245 +12345)/ 65536, 32768),0)/32768),0))</f>
        <v>10</v>
      </c>
      <c r="R837" s="16" t="e">
        <f t="shared" ca="1" si="54"/>
        <v>#NAME?</v>
      </c>
      <c r="S837" s="154">
        <f t="shared" ca="1" si="59"/>
        <v>14</v>
      </c>
      <c r="T837" s="154">
        <f t="shared" ca="1" si="55"/>
        <v>8</v>
      </c>
      <c r="U837" s="16" t="str">
        <f t="shared" ca="1" si="56"/>
        <v>Bloody</v>
      </c>
      <c r="V837" s="155">
        <f ca="1">IFERROR(__xludf.DUMMYFUNCTION("if(W837=""Middle Age"",QUERY(NPCVar!$K$2:$N1000, ""Select L where K = '""&amp;AB837&amp;""'""),if(W837=""Old"",QUERY(NPCVar!$K$2:$N1000, ""Select M where K = '""&amp;AB837&amp;""'""),if(W837=""Venerable"",QUERY(NPCVar!$K$2:$N1000, ""Select N where K = '""&amp;AB837&amp;""'""),fa"&amp;"lse)))*X837"),135)</f>
        <v>135</v>
      </c>
      <c r="W837" s="156" t="str">
        <f t="array" ref="W837">INDEX(NPCAgeType,TRUNC(1+(4-1)*(TRUNC(MOD((X837*1103515245 +12345)/ 65536, 32768),0)/32768),0))</f>
        <v>Old</v>
      </c>
      <c r="X837" s="117">
        <f t="shared" si="61"/>
        <v>0.8</v>
      </c>
      <c r="Y837" s="157" t="e">
        <f t="array" aca="1" ref="Y837" ca="1">LOOKUP(ABS(MAX(Z837 + MIN(ABS(INDIRECT("Class Jobs!B"&amp;MATCH(E837,'Class Jobs'!$A$1:$A1000,0)&amp;":"&amp;"AF"&amp;MATCH(E837,'Class Jobs'!$A$1:$A1000,0)&amp;"")-$Z837)) * SUM(IF(MIN(ABS(INDIRECT("Class Jobs!B"&amp;MATCH(E837,'Class Jobs'!$A$1:$A1000,0)&amp;":"&amp;"AF"&amp;MATCH(E837,'Class Jobs'!$A$1:$A1000,0)&amp;"")-$Z837))=ABS(INDIRECT("Class Jobs!B"&amp;MATCH(E837,'Class Jobs'!$A$1:$A1000,0)&amp;":"&amp;"AF"&amp;MATCH(E837,'Class Jobs'!$A$1:$A1000,0)&amp;"")-$Z837),SIGN(INDIRECT("Class Jobs!B"&amp;MATCH(E837,'Class Jobs'!$A$1:A1000,0)&amp;":"&amp;"AF"&amp;MATCH(E837,'Class Jobs'!$A$1:$A1000,0)&amp;"")-$Z837),0)),0)),INDIRECT("Class Jobs!B"&amp;MATCH(E837,'Class Jobs'!$A$1:$A1000,0)&amp;":"&amp;"AF"&amp;MATCH(E837,'Class Jobs'!$A$1:$A1000,1)&amp;""),'Class Jobs'!$B$1:$AF$1)</f>
        <v>#REF!</v>
      </c>
      <c r="Z837" s="158">
        <f t="shared" si="57"/>
        <v>0.3</v>
      </c>
      <c r="AA837" s="16" t="str">
        <f t="array" ref="AA837">INDEX(NPCGender,TRUNC(1+(COUNTA(NPCGender))*(TRUNC(MOD(($B837*1103515245 +12345)/ 65536, 32768),0)/32768),0))</f>
        <v>Male</v>
      </c>
      <c r="AB837" s="16" t="str">
        <f t="array" ref="AB837">INDEX(NPCRace,TRUNC(1+(COUNTA(NPCRace))*(TRUNC(MOD(($B837*1103515245 +12345)/ 65536, 32768),0)/32768),0))</f>
        <v>Gnome</v>
      </c>
      <c r="AC837" s="16" t="str">
        <f t="array" ref="AC837">INDEX(NPCAL,TRUNC(1+(COUNTA(NPCAL))*(TRUNC(MOD(($B837*1103515245 +12345)/ 65536, 32768),0)/32768),0))</f>
        <v>CG</v>
      </c>
      <c r="AD837" s="72" t="str">
        <f ca="1">IFERROR(__xludf.DUMMYFUNCTION("if(V837&lt;15,QUERY(NPCVar!C:D,""Select D WHERE C = '""&amp;D837&amp;""'""),if((TRUNC(1+10)*(TRUNC(MOD((ROW(H837)*1103515245 +12345)/ 65536, 32768),0)/32768)/10) &gt; 0.85,INDEX(NPCFaction,TRUNC(1+(counta(NPCFaction)-1)*(TRUNC(MOD(($B837*1103515245 +12345)/ 65536, 3276"&amp;"8),0)/32768),0)),QUERY(NPCVar!C:D,""Select D WHERE C = '""&amp;D837&amp;""'"")))"),"Magic Guild")</f>
        <v>Magic Guild</v>
      </c>
      <c r="AE837" s="108" t="e">
        <f t="shared" ca="1" si="58"/>
        <v>#NAME?</v>
      </c>
      <c r="AF837" s="159">
        <f ca="1">IFERROR(__xludf.DUMMYFUNCTION("AE837*(V837 / QUERY(NPCVar!$K$2:$N$12, ""Select N WHERE K='""&amp;AB837&amp;""'""))*TRUNC(1+10)*(TRUNC(MOD(($B837*1103515245 +12345)/ 65536, 32768),0)/32768)"),0.398843994140624)</f>
        <v>0.39884399414062399</v>
      </c>
      <c r="AG837" s="16"/>
      <c r="AH837" s="77"/>
      <c r="AI837" s="114"/>
    </row>
    <row r="838" spans="1:35" ht="16.2">
      <c r="A838" s="53">
        <v>837</v>
      </c>
      <c r="B838" s="118">
        <f t="shared" si="62"/>
        <v>2.0821299999999998</v>
      </c>
      <c r="C838" s="72" t="str">
        <f t="array" ref="C838">INDEX(NPCFName,TRUNC(1+(COUNTA(NPCFName))*(TRUNC(MOD(($B838*1103515245 +12345)/ 65536, 32768),0)/32768),0))</f>
        <v>Darmor</v>
      </c>
      <c r="D838" s="16" t="str">
        <f t="array" ref="D838">INDEX(NPCLName,TRUNC(1+(COUNTA(NPCLName))*(TRUNC(MOD(($B838*1103515245 +12345)/ 65536, 32768),0)/32768),0))</f>
        <v>Autumnorb</v>
      </c>
      <c r="E838" s="16" t="str">
        <f t="array" ref="E838">INDEX(NPCClass,TRUNC(1+(COUNTA(NPCClass))*(TRUNC(MOD(($B838*1103515245 +12345)/ 65536, 32768),0)/32768),0))</f>
        <v>Barbarian</v>
      </c>
      <c r="F838" s="76">
        <v>1</v>
      </c>
      <c r="G838" s="153">
        <f ca="1">VLOOKUP($AB$2,'RF Mod'!$A$2:$G$12,2,FALSE)+VLOOKUP($AD$2,'RF Mod'!$I$2:$O$11,2,FALSE)+(TRUNC(6+(24-6)*(TRUNC(MOD(($Z838*1103515245 +12345)/ 65536, 32768),0)/32768),0))</f>
        <v>4</v>
      </c>
      <c r="H838" s="16">
        <f t="shared" ca="1" si="49"/>
        <v>-3</v>
      </c>
      <c r="I838" s="153">
        <f ca="1">VLOOKUP($AB$2,'RF Mod'!$A$2:$G$12,3,FALSE)+VLOOKUP($AD$2,'RF Mod'!$I$2:$O$11,3,FALSE)+(TRUNC(6+(24-6)*(TRUNC(MOD(($Z838*1103515245 +12345)/ 65536, 32768),0)/32768),0))</f>
        <v>8</v>
      </c>
      <c r="J838" s="16">
        <f t="shared" ca="1" si="50"/>
        <v>-1</v>
      </c>
      <c r="K838" s="153">
        <f ca="1">VLOOKUP($AB$2,'RF Mod'!$A$2:$G$12,3,FALSE)+VLOOKUP($AD$2,'RF Mod'!$I$2:$O$11,3,FALSE)+(TRUNC(6+(24-6)*(TRUNC(MOD(($Z838*1103515245 +12345)/ 65536, 32768),0)/32768),0))</f>
        <v>8</v>
      </c>
      <c r="L838" s="16">
        <f t="shared" ca="1" si="51"/>
        <v>-1</v>
      </c>
      <c r="M838" s="153">
        <f ca="1">VLOOKUP($AB$2,'RF Mod'!$A$2:$G$12,4,FALSE)+VLOOKUP($AD$2,'RF Mod'!$I$2:$O$11,4,FALSE)+(TRUNC(6+(24-6)*(TRUNC(MOD(($Z838*1103515245 +12345)/ 65536, 32768),0)/32768),0))</f>
        <v>7</v>
      </c>
      <c r="N838" s="16">
        <f t="shared" ca="1" si="52"/>
        <v>-2</v>
      </c>
      <c r="O838" s="153">
        <f ca="1">VLOOKUP($AB$2,'RF Mod'!$A$2:$G$12,5,FALSE)+VLOOKUP($AD$2,'RF Mod'!$I$2:$O$11,5,FALSE)+(TRUNC(6+(24-6)*(TRUNC(MOD(($Z838*1103515245 +12345)/ 65536, 32768),0)/32768),0))</f>
        <v>10</v>
      </c>
      <c r="P838" s="16" t="e">
        <f t="shared" ca="1" si="53"/>
        <v>#NAME?</v>
      </c>
      <c r="Q838" s="153">
        <f ca="1">VLOOKUP($AB$2,'RF Mod'!$A$2:$G$12,6,FALSE)+VLOOKUP($AD$2,'RF Mod'!$I$2:$O$11,6,FALSE)+(TRUNC(6+(24-6)*(TRUNC(MOD(($Z838*1103515245 +12345)/ 65536, 32768),0)/32768),0))</f>
        <v>8</v>
      </c>
      <c r="R838" s="16">
        <f t="shared" ca="1" si="54"/>
        <v>-1</v>
      </c>
      <c r="S838" s="154">
        <f t="shared" ca="1" si="59"/>
        <v>26</v>
      </c>
      <c r="T838" s="154">
        <f t="shared" ca="1" si="55"/>
        <v>17</v>
      </c>
      <c r="U838" s="16" t="str">
        <f t="shared" ca="1" si="56"/>
        <v>Bloody</v>
      </c>
      <c r="V838" s="155">
        <f ca="1">IFERROR(__xludf.DUMMYFUNCTION("if(W838=""Middle Age"",QUERY(NPCVar!$K$2:$N1000, ""Select L where K = '""&amp;AB838&amp;""'""),if(W838=""Old"",QUERY(NPCVar!$K$2:$N1000, ""Select M where K = '""&amp;AB838&amp;""'""),if(W838=""Venerable"",QUERY(NPCVar!$K$2:$N1000, ""Select N where K = '""&amp;AB838&amp;""'""),fa"&amp;"lse)))*X838"),4)</f>
        <v>4</v>
      </c>
      <c r="W838" s="156" t="str">
        <f t="array" ref="W838">INDEX(NPCAgeType,TRUNC(1+(4-1)*(TRUNC(MOD((X838*1103515245 +12345)/ 65536, 32768),0)/32768),0))</f>
        <v>Middle Age</v>
      </c>
      <c r="X838" s="117">
        <f t="shared" si="61"/>
        <v>0.2</v>
      </c>
      <c r="Y838" s="157" t="e">
        <f t="array" aca="1" ref="Y838" ca="1">LOOKUP(ABS(MAX(Z838 + MIN(ABS(INDIRECT("Class Jobs!B"&amp;MATCH(E838,'Class Jobs'!$A$1:$A1000,0)&amp;":"&amp;"AF"&amp;MATCH(E838,'Class Jobs'!$A$1:$A1000,0)&amp;"")-$Z838)) * SUM(IF(MIN(ABS(INDIRECT("Class Jobs!B"&amp;MATCH(E838,'Class Jobs'!$A$1:$A1000,0)&amp;":"&amp;"AF"&amp;MATCH(E838,'Class Jobs'!$A$1:$A1000,0)&amp;"")-$Z838))=ABS(INDIRECT("Class Jobs!B"&amp;MATCH(E838,'Class Jobs'!$A$1:$A1000,0)&amp;":"&amp;"AF"&amp;MATCH(E838,'Class Jobs'!$A$1:$A1000,0)&amp;"")-$Z838),SIGN(INDIRECT("Class Jobs!B"&amp;MATCH(E838,'Class Jobs'!$A$1:A1000,0)&amp;":"&amp;"AF"&amp;MATCH(E838,'Class Jobs'!$A$1:$A1000,0)&amp;"")-$Z838),0)),0)),INDIRECT("Class Jobs!B"&amp;MATCH(E838,'Class Jobs'!$A$1:$A1000,0)&amp;":"&amp;"AF"&amp;MATCH(E838,'Class Jobs'!$A$1:$A1000,1)&amp;""),'Class Jobs'!$B$1:$AF$1)</f>
        <v>#REF!</v>
      </c>
      <c r="Z838" s="158">
        <f t="shared" si="57"/>
        <v>7.0000000000000007E-2</v>
      </c>
      <c r="AA838" s="16" t="str">
        <f t="array" ref="AA838">INDEX(NPCGender,TRUNC(1+(COUNTA(NPCGender))*(TRUNC(MOD(($B838*1103515245 +12345)/ 65536, 32768),0)/32768),0))</f>
        <v>Male</v>
      </c>
      <c r="AB838" s="16" t="str">
        <f t="array" ref="AB838">INDEX(NPCRace,TRUNC(1+(COUNTA(NPCRace))*(TRUNC(MOD(($B838*1103515245 +12345)/ 65536, 32768),0)/32768),0))</f>
        <v>Dragonborn</v>
      </c>
      <c r="AC838" s="16" t="str">
        <f t="array" ref="AC838">INDEX(NPCAL,TRUNC(1+(COUNTA(NPCAL))*(TRUNC(MOD(($B838*1103515245 +12345)/ 65536, 32768),0)/32768),0))</f>
        <v>CN</v>
      </c>
      <c r="AD838" s="72" t="str">
        <f ca="1">IFERROR(__xludf.DUMMYFUNCTION("if(V838&lt;15,QUERY(NPCVar!C:D,""Select D WHERE C = '""&amp;D838&amp;""'""),if((TRUNC(1+10)*(TRUNC(MOD((ROW(H838)*1103515245 +12345)/ 65536, 32768),0)/32768)/10) &gt; 0.85,INDEX(NPCFaction,TRUNC(1+(counta(NPCFaction)-1)*(TRUNC(MOD(($B838*1103515245 +12345)/ 65536, 3276"&amp;"8),0)/32768),0)),QUERY(NPCVar!C:D,""Select D WHERE C = '""&amp;D838&amp;""'"")))"),"Royalty")</f>
        <v>Royalty</v>
      </c>
      <c r="AE838" s="108" t="e">
        <f t="shared" ca="1" si="58"/>
        <v>#NAME?</v>
      </c>
      <c r="AF838" s="159">
        <f ca="1">IFERROR(__xludf.DUMMYFUNCTION("AE838*(V838 / QUERY(NPCVar!$K$2:$N$12, ""Select N WHERE K='""&amp;AB838&amp;""'""))*TRUNC(1+10)*(TRUNC(MOD(($B838*1103515245 +12345)/ 65536, 32768),0)/32768)"),-0.00769073486328125)</f>
        <v>-7.6907348632812497E-3</v>
      </c>
      <c r="AG838" s="16"/>
      <c r="AH838" s="77"/>
      <c r="AI838" s="114"/>
    </row>
    <row r="839" spans="1:35" ht="16.2">
      <c r="A839" s="53">
        <v>838</v>
      </c>
      <c r="B839" s="118">
        <f t="shared" si="62"/>
        <v>1.0762799999999999</v>
      </c>
      <c r="C839" s="72" t="str">
        <f t="array" ref="C839">INDEX(NPCFName,TRUNC(1+(COUNTA(NPCFName))*(TRUNC(MOD(($B839*1103515245 +12345)/ 65536, 32768),0)/32768),0))</f>
        <v>Oxbaren</v>
      </c>
      <c r="D839" s="16" t="str">
        <f t="array" ref="D839">INDEX(NPCLName,TRUNC(1+(COUNTA(NPCLName))*(TRUNC(MOD(($B839*1103515245 +12345)/ 65536, 32768),0)/32768),0))</f>
        <v>Plainspirit</v>
      </c>
      <c r="E839" s="16" t="str">
        <f t="array" ref="E839">INDEX(NPCClass,TRUNC(1+(COUNTA(NPCClass))*(TRUNC(MOD(($B839*1103515245 +12345)/ 65536, 32768),0)/32768),0))</f>
        <v>Sorcerer</v>
      </c>
      <c r="F839" s="76">
        <v>8</v>
      </c>
      <c r="G839" s="153">
        <f ca="1">VLOOKUP($AB$2,'RF Mod'!$A$2:$G$12,2,FALSE)+VLOOKUP($AD$2,'RF Mod'!$I$2:$O$11,2,FALSE)+(TRUNC(6+(24-6)*(TRUNC(MOD(($Z839*1103515245 +12345)/ 65536, 32768),0)/32768),0))</f>
        <v>9</v>
      </c>
      <c r="H839" s="16">
        <f t="shared" ca="1" si="49"/>
        <v>-1</v>
      </c>
      <c r="I839" s="153">
        <f ca="1">VLOOKUP($AB$2,'RF Mod'!$A$2:$G$12,3,FALSE)+VLOOKUP($AD$2,'RF Mod'!$I$2:$O$11,3,FALSE)+(TRUNC(6+(24-6)*(TRUNC(MOD(($Z839*1103515245 +12345)/ 65536, 32768),0)/32768),0))</f>
        <v>13</v>
      </c>
      <c r="J839" s="16" t="e">
        <f t="shared" ca="1" si="50"/>
        <v>#NAME?</v>
      </c>
      <c r="K839" s="153">
        <f ca="1">VLOOKUP($AB$2,'RF Mod'!$A$2:$G$12,3,FALSE)+VLOOKUP($AD$2,'RF Mod'!$I$2:$O$11,3,FALSE)+(TRUNC(6+(24-6)*(TRUNC(MOD(($Z839*1103515245 +12345)/ 65536, 32768),0)/32768),0))</f>
        <v>13</v>
      </c>
      <c r="L839" s="16" t="e">
        <f t="shared" ca="1" si="51"/>
        <v>#NAME?</v>
      </c>
      <c r="M839" s="153">
        <f ca="1">VLOOKUP($AB$2,'RF Mod'!$A$2:$G$12,4,FALSE)+VLOOKUP($AD$2,'RF Mod'!$I$2:$O$11,4,FALSE)+(TRUNC(6+(24-6)*(TRUNC(MOD(($Z839*1103515245 +12345)/ 65536, 32768),0)/32768),0))</f>
        <v>12</v>
      </c>
      <c r="N839" s="16" t="e">
        <f t="shared" ca="1" si="52"/>
        <v>#NAME?</v>
      </c>
      <c r="O839" s="153">
        <f ca="1">VLOOKUP($AB$2,'RF Mod'!$A$2:$G$12,5,FALSE)+VLOOKUP($AD$2,'RF Mod'!$I$2:$O$11,5,FALSE)+(TRUNC(6+(24-6)*(TRUNC(MOD(($Z839*1103515245 +12345)/ 65536, 32768),0)/32768),0))</f>
        <v>15</v>
      </c>
      <c r="P839" s="16" t="e">
        <f t="shared" ca="1" si="53"/>
        <v>#NAME?</v>
      </c>
      <c r="Q839" s="153">
        <f ca="1">VLOOKUP($AB$2,'RF Mod'!$A$2:$G$12,6,FALSE)+VLOOKUP($AD$2,'RF Mod'!$I$2:$O$11,6,FALSE)+(TRUNC(6+(24-6)*(TRUNC(MOD(($Z839*1103515245 +12345)/ 65536, 32768),0)/32768),0))</f>
        <v>13</v>
      </c>
      <c r="R839" s="16" t="e">
        <f t="shared" ca="1" si="54"/>
        <v>#NAME?</v>
      </c>
      <c r="S839" s="154">
        <f t="shared" ca="1" si="59"/>
        <v>120</v>
      </c>
      <c r="T839" s="154">
        <f t="shared" ca="1" si="55"/>
        <v>7</v>
      </c>
      <c r="U839" s="16" t="str">
        <f t="shared" ca="1" si="56"/>
        <v>Fine</v>
      </c>
      <c r="V839" s="155">
        <f ca="1">IFERROR(__xludf.DUMMYFUNCTION("if(W839=""Middle Age"",QUERY(NPCVar!$K$2:$N1000, ""Select L where K = '""&amp;AB839&amp;""'""),if(W839=""Old"",QUERY(NPCVar!$K$2:$N1000, ""Select M where K = '""&amp;AB839&amp;""'""),if(W839=""Venerable"",QUERY(NPCVar!$K$2:$N1000, ""Select N where K = '""&amp;AB839&amp;""'""),fa"&amp;"lse)))*X839"),280)</f>
        <v>280</v>
      </c>
      <c r="W839" s="156" t="str">
        <f t="array" ref="W839">INDEX(NPCAgeType,TRUNC(1+(4-1)*(TRUNC(MOD((X839*1103515245 +12345)/ 65536, 32768),0)/32768),0))</f>
        <v>Venerable</v>
      </c>
      <c r="X839" s="117">
        <f t="shared" si="61"/>
        <v>1.4</v>
      </c>
      <c r="Y839" s="157" t="e">
        <f t="array" aca="1" ref="Y839" ca="1">LOOKUP(ABS(MAX(Z839 + MIN(ABS(INDIRECT("Class Jobs!B"&amp;MATCH(E839,'Class Jobs'!$A$1:$A1000,0)&amp;":"&amp;"AF"&amp;MATCH(E839,'Class Jobs'!$A$1:$A1000,0)&amp;"")-$Z839)) * SUM(IF(MIN(ABS(INDIRECT("Class Jobs!B"&amp;MATCH(E839,'Class Jobs'!$A$1:$A1000,0)&amp;":"&amp;"AF"&amp;MATCH(E839,'Class Jobs'!$A$1:$A1000,0)&amp;"")-$Z839))=ABS(INDIRECT("Class Jobs!B"&amp;MATCH(E839,'Class Jobs'!$A$1:$A1000,0)&amp;":"&amp;"AF"&amp;MATCH(E839,'Class Jobs'!$A$1:$A1000,0)&amp;"")-$Z839),SIGN(INDIRECT("Class Jobs!B"&amp;MATCH(E839,'Class Jobs'!$A$1:A1000,0)&amp;":"&amp;"AF"&amp;MATCH(E839,'Class Jobs'!$A$1:$A1000,0)&amp;"")-$Z839),0)),0)),INDIRECT("Class Jobs!B"&amp;MATCH(E839,'Class Jobs'!$A$1:$A1000,0)&amp;":"&amp;"AF"&amp;MATCH(E839,'Class Jobs'!$A$1:$A1000,1)&amp;""),'Class Jobs'!$B$1:$AF$1)</f>
        <v>#REF!</v>
      </c>
      <c r="Z839" s="158">
        <f t="shared" si="57"/>
        <v>0.55000000000000004</v>
      </c>
      <c r="AA839" s="16" t="str">
        <f t="array" ref="AA839">INDEX(NPCGender,TRUNC(1+(COUNTA(NPCGender))*(TRUNC(MOD(($B839*1103515245 +12345)/ 65536, 32768),0)/32768),0))</f>
        <v>Female</v>
      </c>
      <c r="AB839" s="16" t="str">
        <f t="array" ref="AB839">INDEX(NPCRace,TRUNC(1+(COUNTA(NPCRace))*(TRUNC(MOD(($B839*1103515245 +12345)/ 65536, 32768),0)/32768),0))</f>
        <v>Halfling</v>
      </c>
      <c r="AC839" s="16" t="str">
        <f t="array" ref="AC839">INDEX(NPCAL,TRUNC(1+(COUNTA(NPCAL))*(TRUNC(MOD(($B839*1103515245 +12345)/ 65536, 32768),0)/32768),0))</f>
        <v>NN</v>
      </c>
      <c r="AD839" s="72" t="str">
        <f ca="1">IFERROR(__xludf.DUMMYFUNCTION("if(V839&lt;15,QUERY(NPCVar!C:D,""Select D WHERE C = '""&amp;D839&amp;""'""),if((TRUNC(1+10)*(TRUNC(MOD((ROW(H839)*1103515245 +12345)/ 65536, 32768),0)/32768)/10) &gt; 0.85,INDEX(NPCFaction,TRUNC(1+(counta(NPCFaction)-1)*(TRUNC(MOD(($B839*1103515245 +12345)/ 65536, 3276"&amp;"8),0)/32768),0)),QUERY(NPCVar!C:D,""Select D WHERE C = '""&amp;D839&amp;""'"")))"),"Traders Guild")</f>
        <v>Traders Guild</v>
      </c>
      <c r="AE839" s="108" t="e">
        <f t="shared" ca="1" si="58"/>
        <v>#NAME?</v>
      </c>
      <c r="AF839" s="159">
        <f ca="1">IFERROR(__xludf.DUMMYFUNCTION("AE839*(V839 / QUERY(NPCVar!$K$2:$N$12, ""Select N WHERE K='""&amp;AB839&amp;""'""))*TRUNC(1+10)*(TRUNC(MOD(($B839*1103515245 +12345)/ 65536, 32768),0)/32768)"),5.96176635742187)</f>
        <v>5.9617663574218698</v>
      </c>
      <c r="AG839" s="16"/>
      <c r="AH839" s="77"/>
      <c r="AI839" s="114"/>
    </row>
    <row r="840" spans="1:35" ht="16.2">
      <c r="A840" s="53">
        <v>839</v>
      </c>
      <c r="B840" s="118">
        <f t="shared" si="62"/>
        <v>7.0419999999999996E-2</v>
      </c>
      <c r="C840" s="72" t="str">
        <f t="array" ref="C840">INDEX(NPCFName,TRUNC(1+(COUNTA(NPCFName))*(TRUNC(MOD(($B840*1103515245 +12345)/ 65536, 32768),0)/32768),0))</f>
        <v>Breanon</v>
      </c>
      <c r="D840" s="16" t="str">
        <f t="array" ref="D840">INDEX(NPCLName,TRUNC(1+(COUNTA(NPCLName))*(TRUNC(MOD(($B840*1103515245 +12345)/ 65536, 32768),0)/32768),0))</f>
        <v>Crystalgazer</v>
      </c>
      <c r="E840" s="16" t="str">
        <f t="array" ref="E840">INDEX(NPCClass,TRUNC(1+(COUNTA(NPCClass))*(TRUNC(MOD(($B840*1103515245 +12345)/ 65536, 32768),0)/32768),0))</f>
        <v>Barbarian</v>
      </c>
      <c r="F840" s="76">
        <v>1</v>
      </c>
      <c r="G840" s="153">
        <f ca="1">VLOOKUP($AB$2,'RF Mod'!$A$2:$G$12,2,FALSE)+VLOOKUP($AD$2,'RF Mod'!$I$2:$O$11,2,FALSE)+(TRUNC(6+(24-6)*(TRUNC(MOD(($Z840*1103515245 +12345)/ 65536, 32768),0)/32768),0))</f>
        <v>4</v>
      </c>
      <c r="H840" s="16">
        <f t="shared" ca="1" si="49"/>
        <v>-3</v>
      </c>
      <c r="I840" s="153">
        <f ca="1">VLOOKUP($AB$2,'RF Mod'!$A$2:$G$12,3,FALSE)+VLOOKUP($AD$2,'RF Mod'!$I$2:$O$11,3,FALSE)+(TRUNC(6+(24-6)*(TRUNC(MOD(($Z840*1103515245 +12345)/ 65536, 32768),0)/32768),0))</f>
        <v>8</v>
      </c>
      <c r="J840" s="16">
        <f t="shared" ca="1" si="50"/>
        <v>-1</v>
      </c>
      <c r="K840" s="153">
        <f ca="1">VLOOKUP($AB$2,'RF Mod'!$A$2:$G$12,3,FALSE)+VLOOKUP($AD$2,'RF Mod'!$I$2:$O$11,3,FALSE)+(TRUNC(6+(24-6)*(TRUNC(MOD(($Z840*1103515245 +12345)/ 65536, 32768),0)/32768),0))</f>
        <v>8</v>
      </c>
      <c r="L840" s="16">
        <f t="shared" ca="1" si="51"/>
        <v>-1</v>
      </c>
      <c r="M840" s="153">
        <f ca="1">VLOOKUP($AB$2,'RF Mod'!$A$2:$G$12,4,FALSE)+VLOOKUP($AD$2,'RF Mod'!$I$2:$O$11,4,FALSE)+(TRUNC(6+(24-6)*(TRUNC(MOD(($Z840*1103515245 +12345)/ 65536, 32768),0)/32768),0))</f>
        <v>7</v>
      </c>
      <c r="N840" s="16">
        <f t="shared" ca="1" si="52"/>
        <v>-2</v>
      </c>
      <c r="O840" s="153">
        <f ca="1">VLOOKUP($AB$2,'RF Mod'!$A$2:$G$12,5,FALSE)+VLOOKUP($AD$2,'RF Mod'!$I$2:$O$11,5,FALSE)+(TRUNC(6+(24-6)*(TRUNC(MOD(($Z840*1103515245 +12345)/ 65536, 32768),0)/32768),0))</f>
        <v>10</v>
      </c>
      <c r="P840" s="16" t="e">
        <f t="shared" ca="1" si="53"/>
        <v>#NAME?</v>
      </c>
      <c r="Q840" s="153">
        <f ca="1">VLOOKUP($AB$2,'RF Mod'!$A$2:$G$12,6,FALSE)+VLOOKUP($AD$2,'RF Mod'!$I$2:$O$11,6,FALSE)+(TRUNC(6+(24-6)*(TRUNC(MOD(($Z840*1103515245 +12345)/ 65536, 32768),0)/32768),0))</f>
        <v>8</v>
      </c>
      <c r="R840" s="16">
        <f t="shared" ca="1" si="54"/>
        <v>-1</v>
      </c>
      <c r="S840" s="154">
        <f t="shared" ca="1" si="59"/>
        <v>26</v>
      </c>
      <c r="T840" s="154">
        <f t="shared" ca="1" si="55"/>
        <v>31</v>
      </c>
      <c r="U840" s="16" t="str">
        <f t="shared" ca="1" si="56"/>
        <v>Dead</v>
      </c>
      <c r="V840" s="155">
        <f ca="1">IFERROR(__xludf.DUMMYFUNCTION("if(W840=""Middle Age"",QUERY(NPCVar!$K$2:$N1000, ""Select L where K = '""&amp;AB840&amp;""'""),if(W840=""Old"",QUERY(NPCVar!$K$2:$N1000, ""Select M where K = '""&amp;AB840&amp;""'""),if(W840=""Venerable"",QUERY(NPCVar!$K$2:$N1000, ""Select N where K = '""&amp;AB840&amp;""'""),fa"&amp;"lse)))*X840"),2)</f>
        <v>2</v>
      </c>
      <c r="W840" s="156" t="str">
        <f t="array" ref="W840">INDEX(NPCAgeType,TRUNC(1+(4-1)*(TRUNC(MOD((X840*1103515245 +12345)/ 65536, 32768),0)/32768),0))</f>
        <v>Middle Age</v>
      </c>
      <c r="X840" s="117">
        <f t="shared" si="61"/>
        <v>0.1</v>
      </c>
      <c r="Y840" s="157" t="e">
        <f t="array" aca="1" ref="Y840" ca="1">LOOKUP(ABS(MAX(Z840 + MIN(ABS(INDIRECT("Class Jobs!B"&amp;MATCH(E840,'Class Jobs'!$A$1:$A1000,0)&amp;":"&amp;"AF"&amp;MATCH(E840,'Class Jobs'!$A$1:$A1000,0)&amp;"")-$Z840)) * SUM(IF(MIN(ABS(INDIRECT("Class Jobs!B"&amp;MATCH(E840,'Class Jobs'!$A$1:$A1000,0)&amp;":"&amp;"AF"&amp;MATCH(E840,'Class Jobs'!$A$1:$A1000,0)&amp;"")-$Z840))=ABS(INDIRECT("Class Jobs!B"&amp;MATCH(E840,'Class Jobs'!$A$1:$A1000,0)&amp;":"&amp;"AF"&amp;MATCH(E840,'Class Jobs'!$A$1:$A1000,0)&amp;"")-$Z840),SIGN(INDIRECT("Class Jobs!B"&amp;MATCH(E840,'Class Jobs'!$A$1:A1000,0)&amp;":"&amp;"AF"&amp;MATCH(E840,'Class Jobs'!$A$1:$A1000,0)&amp;"")-$Z840),0)),0)),INDIRECT("Class Jobs!B"&amp;MATCH(E840,'Class Jobs'!$A$1:$A1000,0)&amp;":"&amp;"AF"&amp;MATCH(E840,'Class Jobs'!$A$1:$A1000,1)&amp;""),'Class Jobs'!$B$1:$AF$1)</f>
        <v>#REF!</v>
      </c>
      <c r="Z840" s="158">
        <f t="shared" si="57"/>
        <v>0.04</v>
      </c>
      <c r="AA840" s="16" t="str">
        <f t="array" ref="AA840">INDEX(NPCGender,TRUNC(1+(COUNTA(NPCGender))*(TRUNC(MOD(($B840*1103515245 +12345)/ 65536, 32768),0)/32768),0))</f>
        <v>Male</v>
      </c>
      <c r="AB840" s="16" t="str">
        <f t="array" ref="AB840">INDEX(NPCRace,TRUNC(1+(COUNTA(NPCRace))*(TRUNC(MOD(($B840*1103515245 +12345)/ 65536, 32768),0)/32768),0))</f>
        <v>Dragonborn</v>
      </c>
      <c r="AC840" s="16" t="str">
        <f t="array" ref="AC840">INDEX(NPCAL,TRUNC(1+(COUNTA(NPCAL))*(TRUNC(MOD(($B840*1103515245 +12345)/ 65536, 32768),0)/32768),0))</f>
        <v>CN</v>
      </c>
      <c r="AD840" s="72" t="str">
        <f ca="1">IFERROR(__xludf.DUMMYFUNCTION("if(V840&lt;15,QUERY(NPCVar!C:D,""Select D WHERE C = '""&amp;D840&amp;""'""),if((TRUNC(1+10)*(TRUNC(MOD((ROW(H840)*1103515245 +12345)/ 65536, 32768),0)/32768)/10) &gt; 0.85,INDEX(NPCFaction,TRUNC(1+(counta(NPCFaction)-1)*(TRUNC(MOD(($B840*1103515245 +12345)/ 65536, 3276"&amp;"8),0)/32768),0)),QUERY(NPCVar!C:D,""Select D WHERE C = '""&amp;D840&amp;""'"")))"),"Death Guild")</f>
        <v>Death Guild</v>
      </c>
      <c r="AE840" s="108" t="e">
        <f t="shared" ca="1" si="58"/>
        <v>#NAME?</v>
      </c>
      <c r="AF840" s="159">
        <f ca="1">IFERROR(__xludf.DUMMYFUNCTION("AE840*(V840 / QUERY(NPCVar!$K$2:$N$12, ""Select N WHERE K='""&amp;AB840&amp;""'""))*TRUNC(1+10)*(TRUNC(MOD(($B840*1103515245 +12345)/ 65536, 32768),0)/32768)"),-0.000994491577148437)</f>
        <v>-9.9449157714843702E-4</v>
      </c>
      <c r="AG840" s="16"/>
      <c r="AH840" s="77"/>
      <c r="AI840" s="114"/>
    </row>
    <row r="841" spans="1:35" ht="16.2">
      <c r="A841" s="53">
        <v>840</v>
      </c>
      <c r="B841" s="118">
        <f t="shared" si="62"/>
        <v>1.56456</v>
      </c>
      <c r="C841" s="72" t="str">
        <f t="array" ref="C841">INDEX(NPCFName,TRUNC(1+(COUNTA(NPCFName))*(TRUNC(MOD(($B841*1103515245 +12345)/ 65536, 32768),0)/32768),0))</f>
        <v>Hyten</v>
      </c>
      <c r="D841" s="16" t="str">
        <f t="array" ref="D841">INDEX(NPCLName,TRUNC(1+(COUNTA(NPCLName))*(TRUNC(MOD(($B841*1103515245 +12345)/ 65536, 32768),0)/32768),0))</f>
        <v>Deepcrest</v>
      </c>
      <c r="E841" s="16" t="str">
        <f t="array" ref="E841">INDEX(NPCClass,TRUNC(1+(COUNTA(NPCClass))*(TRUNC(MOD(($B841*1103515245 +12345)/ 65536, 32768),0)/32768),0))</f>
        <v>Cleric</v>
      </c>
      <c r="F841" s="76">
        <v>8</v>
      </c>
      <c r="G841" s="153">
        <f ca="1">VLOOKUP($AB$2,'RF Mod'!$A$2:$G$12,2,FALSE)+VLOOKUP($AD$2,'RF Mod'!$I$2:$O$11,2,FALSE)+(TRUNC(6+(24-6)*(TRUNC(MOD(($Z841*1103515245 +12345)/ 65536, 32768),0)/32768),0))</f>
        <v>11</v>
      </c>
      <c r="H841" s="16" t="e">
        <f t="shared" ca="1" si="49"/>
        <v>#NAME?</v>
      </c>
      <c r="I841" s="153">
        <f ca="1">VLOOKUP($AB$2,'RF Mod'!$A$2:$G$12,3,FALSE)+VLOOKUP($AD$2,'RF Mod'!$I$2:$O$11,3,FALSE)+(TRUNC(6+(24-6)*(TRUNC(MOD(($Z841*1103515245 +12345)/ 65536, 32768),0)/32768),0))</f>
        <v>15</v>
      </c>
      <c r="J841" s="16" t="e">
        <f t="shared" ca="1" si="50"/>
        <v>#NAME?</v>
      </c>
      <c r="K841" s="153">
        <f ca="1">VLOOKUP($AB$2,'RF Mod'!$A$2:$G$12,3,FALSE)+VLOOKUP($AD$2,'RF Mod'!$I$2:$O$11,3,FALSE)+(TRUNC(6+(24-6)*(TRUNC(MOD(($Z841*1103515245 +12345)/ 65536, 32768),0)/32768),0))</f>
        <v>15</v>
      </c>
      <c r="L841" s="16" t="e">
        <f t="shared" ca="1" si="51"/>
        <v>#NAME?</v>
      </c>
      <c r="M841" s="153">
        <f ca="1">VLOOKUP($AB$2,'RF Mod'!$A$2:$G$12,4,FALSE)+VLOOKUP($AD$2,'RF Mod'!$I$2:$O$11,4,FALSE)+(TRUNC(6+(24-6)*(TRUNC(MOD(($Z841*1103515245 +12345)/ 65536, 32768),0)/32768),0))</f>
        <v>14</v>
      </c>
      <c r="N841" s="16" t="e">
        <f t="shared" ca="1" si="52"/>
        <v>#NAME?</v>
      </c>
      <c r="O841" s="153">
        <f ca="1">VLOOKUP($AB$2,'RF Mod'!$A$2:$G$12,5,FALSE)+VLOOKUP($AD$2,'RF Mod'!$I$2:$O$11,5,FALSE)+(TRUNC(6+(24-6)*(TRUNC(MOD(($Z841*1103515245 +12345)/ 65536, 32768),0)/32768),0))</f>
        <v>17</v>
      </c>
      <c r="P841" s="16" t="e">
        <f t="shared" ca="1" si="53"/>
        <v>#NAME?</v>
      </c>
      <c r="Q841" s="153">
        <f ca="1">VLOOKUP($AB$2,'RF Mod'!$A$2:$G$12,6,FALSE)+VLOOKUP($AD$2,'RF Mod'!$I$2:$O$11,6,FALSE)+(TRUNC(6+(24-6)*(TRUNC(MOD(($Z841*1103515245 +12345)/ 65536, 32768),0)/32768),0))</f>
        <v>15</v>
      </c>
      <c r="R841" s="16" t="e">
        <f t="shared" ca="1" si="54"/>
        <v>#NAME?</v>
      </c>
      <c r="S841" s="154">
        <f t="shared" ca="1" si="59"/>
        <v>216</v>
      </c>
      <c r="T841" s="154">
        <f t="shared" ca="1" si="55"/>
        <v>54</v>
      </c>
      <c r="U841" s="16" t="str">
        <f t="shared" ca="1" si="56"/>
        <v>Fine</v>
      </c>
      <c r="V841" s="155">
        <f ca="1">IFERROR(__xludf.DUMMYFUNCTION("if(W841=""Middle Age"",QUERY(NPCVar!$K$2:$N1000, ""Select L where K = '""&amp;AB841&amp;""'""),if(W841=""Old"",QUERY(NPCVar!$K$2:$N1000, ""Select M where K = '""&amp;AB841&amp;""'""),if(W841=""Venerable"",QUERY(NPCVar!$K$2:$N1000, ""Select N where K = '""&amp;AB841&amp;""'""),fa"&amp;"lse)))*X841"),50)</f>
        <v>50</v>
      </c>
      <c r="W841" s="156" t="str">
        <f t="array" ref="W841">INDEX(NPCAgeType,TRUNC(1+(4-1)*(TRUNC(MOD((X841*1103515245 +12345)/ 65536, 32768),0)/32768),0))</f>
        <v>Middle Age</v>
      </c>
      <c r="X841" s="117">
        <f t="shared" si="61"/>
        <v>2</v>
      </c>
      <c r="Y841" s="157" t="e">
        <f t="array" aca="1" ref="Y841" ca="1">LOOKUP(ABS(MAX(Z841 + MIN(ABS(INDIRECT("Class Jobs!B"&amp;MATCH(E841,'Class Jobs'!$A$1:$A1000,0)&amp;":"&amp;"AF"&amp;MATCH(E841,'Class Jobs'!$A$1:$A1000,0)&amp;"")-$Z841)) * SUM(IF(MIN(ABS(INDIRECT("Class Jobs!B"&amp;MATCH(E841,'Class Jobs'!$A$1:$A1000,0)&amp;":"&amp;"AF"&amp;MATCH(E841,'Class Jobs'!$A$1:$A1000,0)&amp;"")-$Z841))=ABS(INDIRECT("Class Jobs!B"&amp;MATCH(E841,'Class Jobs'!$A$1:$A1000,0)&amp;":"&amp;"AF"&amp;MATCH(E841,'Class Jobs'!$A$1:$A1000,0)&amp;"")-$Z841),SIGN(INDIRECT("Class Jobs!B"&amp;MATCH(E841,'Class Jobs'!$A$1:A1000,0)&amp;":"&amp;"AF"&amp;MATCH(E841,'Class Jobs'!$A$1:$A1000,0)&amp;"")-$Z841),0)),0)),INDIRECT("Class Jobs!B"&amp;MATCH(E841,'Class Jobs'!$A$1:$A1000,0)&amp;":"&amp;"AF"&amp;MATCH(E841,'Class Jobs'!$A$1:$A1000,1)&amp;""),'Class Jobs'!$B$1:$AF$1)</f>
        <v>#REF!</v>
      </c>
      <c r="Z841" s="158">
        <f t="shared" si="57"/>
        <v>0.8</v>
      </c>
      <c r="AA841" s="16" t="str">
        <f t="array" ref="AA841">INDEX(NPCGender,TRUNC(1+(COUNTA(NPCGender))*(TRUNC(MOD(($B841*1103515245 +12345)/ 65536, 32768),0)/32768),0))</f>
        <v>Neutral</v>
      </c>
      <c r="AB841" s="16" t="str">
        <f t="array" ref="AB841">INDEX(NPCRace,TRUNC(1+(COUNTA(NPCRace))*(TRUNC(MOD(($B841*1103515245 +12345)/ 65536, 32768),0)/32768),0))</f>
        <v>Tiefling</v>
      </c>
      <c r="AC841" s="16" t="str">
        <f t="array" ref="AC841">INDEX(NPCAL,TRUNC(1+(COUNTA(NPCAL))*(TRUNC(MOD(($B841*1103515245 +12345)/ 65536, 32768),0)/32768),0))</f>
        <v>LN</v>
      </c>
      <c r="AD841" s="72" t="str">
        <f ca="1">IFERROR(__xludf.DUMMYFUNCTION("if(V841&lt;15,QUERY(NPCVar!C:D,""Select D WHERE C = '""&amp;D841&amp;""'""),if((TRUNC(1+10)*(TRUNC(MOD((ROW(H841)*1103515245 +12345)/ 65536, 32768),0)/32768)/10) &gt; 0.85,INDEX(NPCFaction,TRUNC(1+(counta(NPCFaction)-1)*(TRUNC(MOD(($B841*1103515245 +12345)/ 65536, 3276"&amp;"8),0)/32768),0)),QUERY(NPCVar!C:D,""Select D WHERE C = '""&amp;D841&amp;""'"")))"),"Adventures Guild")</f>
        <v>Adventures Guild</v>
      </c>
      <c r="AE841" s="108" t="e">
        <f t="shared" ca="1" si="58"/>
        <v>#NAME?</v>
      </c>
      <c r="AF841" s="159">
        <f ca="1">IFERROR(__xludf.DUMMYFUNCTION("AE841*(V841 / QUERY(NPCVar!$K$2:$N$12, ""Select N WHERE K='""&amp;AB841&amp;""'""))*TRUNC(1+10)*(TRUNC(MOD(($B841*1103515245 +12345)/ 65536, 32768),0)/32768)"),3.09522705078125)</f>
        <v>3.0952270507812498</v>
      </c>
      <c r="AG841" s="16"/>
      <c r="AH841" s="77"/>
      <c r="AI841" s="114"/>
    </row>
    <row r="842" spans="1:35" ht="16.2">
      <c r="A842" s="53">
        <v>841</v>
      </c>
      <c r="B842" s="118">
        <f t="shared" si="62"/>
        <v>0.55869999999999997</v>
      </c>
      <c r="C842" s="72" t="str">
        <f t="array" ref="C842">INDEX(NPCFName,TRUNC(1+(COUNTA(NPCFName))*(TRUNC(MOD(($B842*1103515245 +12345)/ 65536, 32768),0)/32768),0))</f>
        <v>Tithan</v>
      </c>
      <c r="D842" s="16" t="str">
        <f t="array" ref="D842">INDEX(NPCLName,TRUNC(1+(COUNTA(NPCLName))*(TRUNC(MOD(($B842*1103515245 +12345)/ 65536, 32768),0)/32768),0))</f>
        <v>Commonscream</v>
      </c>
      <c r="E842" s="16" t="str">
        <f t="array" ref="E842">INDEX(NPCClass,TRUNC(1+(COUNTA(NPCClass))*(TRUNC(MOD(($B842*1103515245 +12345)/ 65536, 32768),0)/32768),0))</f>
        <v>Monk</v>
      </c>
      <c r="F842" s="76">
        <v>3</v>
      </c>
      <c r="G842" s="153">
        <f ca="1">VLOOKUP($AB$2,'RF Mod'!$A$2:$G$12,2,FALSE)+VLOOKUP($AD$2,'RF Mod'!$I$2:$O$11,2,FALSE)+(TRUNC(6+(24-6)*(TRUNC(MOD(($Z842*1103515245 +12345)/ 65536, 32768),0)/32768),0))</f>
        <v>6</v>
      </c>
      <c r="H842" s="16">
        <f t="shared" ca="1" si="49"/>
        <v>-2</v>
      </c>
      <c r="I842" s="153">
        <f ca="1">VLOOKUP($AB$2,'RF Mod'!$A$2:$G$12,3,FALSE)+VLOOKUP($AD$2,'RF Mod'!$I$2:$O$11,3,FALSE)+(TRUNC(6+(24-6)*(TRUNC(MOD(($Z842*1103515245 +12345)/ 65536, 32768),0)/32768),0))</f>
        <v>10</v>
      </c>
      <c r="J842" s="16" t="e">
        <f t="shared" ca="1" si="50"/>
        <v>#NAME?</v>
      </c>
      <c r="K842" s="153">
        <f ca="1">VLOOKUP($AB$2,'RF Mod'!$A$2:$G$12,3,FALSE)+VLOOKUP($AD$2,'RF Mod'!$I$2:$O$11,3,FALSE)+(TRUNC(6+(24-6)*(TRUNC(MOD(($Z842*1103515245 +12345)/ 65536, 32768),0)/32768),0))</f>
        <v>10</v>
      </c>
      <c r="L842" s="16" t="e">
        <f t="shared" ca="1" si="51"/>
        <v>#NAME?</v>
      </c>
      <c r="M842" s="153">
        <f ca="1">VLOOKUP($AB$2,'RF Mod'!$A$2:$G$12,4,FALSE)+VLOOKUP($AD$2,'RF Mod'!$I$2:$O$11,4,FALSE)+(TRUNC(6+(24-6)*(TRUNC(MOD(($Z842*1103515245 +12345)/ 65536, 32768),0)/32768),0))</f>
        <v>9</v>
      </c>
      <c r="N842" s="16">
        <f t="shared" ca="1" si="52"/>
        <v>-1</v>
      </c>
      <c r="O842" s="153">
        <f ca="1">VLOOKUP($AB$2,'RF Mod'!$A$2:$G$12,5,FALSE)+VLOOKUP($AD$2,'RF Mod'!$I$2:$O$11,5,FALSE)+(TRUNC(6+(24-6)*(TRUNC(MOD(($Z842*1103515245 +12345)/ 65536, 32768),0)/32768),0))</f>
        <v>12</v>
      </c>
      <c r="P842" s="16" t="e">
        <f t="shared" ca="1" si="53"/>
        <v>#NAME?</v>
      </c>
      <c r="Q842" s="153">
        <f ca="1">VLOOKUP($AB$2,'RF Mod'!$A$2:$G$12,6,FALSE)+VLOOKUP($AD$2,'RF Mod'!$I$2:$O$11,6,FALSE)+(TRUNC(6+(24-6)*(TRUNC(MOD(($Z842*1103515245 +12345)/ 65536, 32768),0)/32768),0))</f>
        <v>10</v>
      </c>
      <c r="R842" s="16" t="e">
        <f t="shared" ca="1" si="54"/>
        <v>#NAME?</v>
      </c>
      <c r="S842" s="154">
        <f t="shared" ca="1" si="59"/>
        <v>36</v>
      </c>
      <c r="T842" s="154">
        <f t="shared" ca="1" si="55"/>
        <v>21</v>
      </c>
      <c r="U842" s="16" t="str">
        <f t="shared" ca="1" si="56"/>
        <v>Bloody</v>
      </c>
      <c r="V842" s="155">
        <f ca="1">IFERROR(__xludf.DUMMYFUNCTION("if(W842=""Middle Age"",QUERY(NPCVar!$K$2:$N1000, ""Select L where K = '""&amp;AB842&amp;""'""),if(W842=""Old"",QUERY(NPCVar!$K$2:$N1000, ""Select M where K = '""&amp;AB842&amp;""'""),if(W842=""Venerable"",QUERY(NPCVar!$K$2:$N1000, ""Select N where K = '""&amp;AB842&amp;""'""),fa"&amp;"lse)))*X842"),118.124999999999)</f>
        <v>118.12499999999901</v>
      </c>
      <c r="W842" s="156" t="str">
        <f t="array" ref="W842">INDEX(NPCAgeType,TRUNC(1+(4-1)*(TRUNC(MOD((X842*1103515245 +12345)/ 65536, 32768),0)/32768),0))</f>
        <v>Old</v>
      </c>
      <c r="X842" s="117">
        <f t="shared" si="61"/>
        <v>0.7</v>
      </c>
      <c r="Y842" s="157" t="e">
        <f t="array" aca="1" ref="Y842" ca="1">LOOKUP(ABS(MAX(Z842 + MIN(ABS(INDIRECT("Class Jobs!B"&amp;MATCH(E842,'Class Jobs'!$A$1:$A1000,0)&amp;":"&amp;"AF"&amp;MATCH(E842,'Class Jobs'!$A$1:$A1000,0)&amp;"")-$Z842)) * SUM(IF(MIN(ABS(INDIRECT("Class Jobs!B"&amp;MATCH(E842,'Class Jobs'!$A$1:$A1000,0)&amp;":"&amp;"AF"&amp;MATCH(E842,'Class Jobs'!$A$1:$A1000,0)&amp;"")-$Z842))=ABS(INDIRECT("Class Jobs!B"&amp;MATCH(E842,'Class Jobs'!$A$1:$A1000,0)&amp;":"&amp;"AF"&amp;MATCH(E842,'Class Jobs'!$A$1:$A1000,0)&amp;"")-$Z842),SIGN(INDIRECT("Class Jobs!B"&amp;MATCH(E842,'Class Jobs'!$A$1:A1000,0)&amp;":"&amp;"AF"&amp;MATCH(E842,'Class Jobs'!$A$1:$A1000,0)&amp;"")-$Z842),0)),0)),INDIRECT("Class Jobs!B"&amp;MATCH(E842,'Class Jobs'!$A$1:$A1000,0)&amp;":"&amp;"AF"&amp;MATCH(E842,'Class Jobs'!$A$1:$A1000,1)&amp;""),'Class Jobs'!$B$1:$AF$1)</f>
        <v>#REF!</v>
      </c>
      <c r="Z842" s="158">
        <f t="shared" si="57"/>
        <v>0.28999999999999998</v>
      </c>
      <c r="AA842" s="16" t="str">
        <f t="array" ref="AA842">INDEX(NPCGender,TRUNC(1+(COUNTA(NPCGender))*(TRUNC(MOD(($B842*1103515245 +12345)/ 65536, 32768),0)/32768),0))</f>
        <v>Male</v>
      </c>
      <c r="AB842" s="16" t="str">
        <f t="array" ref="AB842">INDEX(NPCRace,TRUNC(1+(COUNTA(NPCRace))*(TRUNC(MOD(($B842*1103515245 +12345)/ 65536, 32768),0)/32768),0))</f>
        <v>Gnome</v>
      </c>
      <c r="AC842" s="16" t="str">
        <f t="array" ref="AC842">INDEX(NPCAL,TRUNC(1+(COUNTA(NPCAL))*(TRUNC(MOD(($B842*1103515245 +12345)/ 65536, 32768),0)/32768),0))</f>
        <v>CG</v>
      </c>
      <c r="AD842" s="72" t="str">
        <f ca="1">IFERROR(__xludf.DUMMYFUNCTION("if(V842&lt;15,QUERY(NPCVar!C:D,""Select D WHERE C = '""&amp;D842&amp;""'""),if((TRUNC(1+10)*(TRUNC(MOD((ROW(H842)*1103515245 +12345)/ 65536, 32768),0)/32768)/10) &gt; 0.85,INDEX(NPCFaction,TRUNC(1+(counta(NPCFaction)-1)*(TRUNC(MOD(($B842*1103515245 +12345)/ 65536, 3276"&amp;"8),0)/32768),0)),QUERY(NPCVar!C:D,""Select D WHERE C = '""&amp;D842&amp;""'"")))"),"Necromancer")</f>
        <v>Necromancer</v>
      </c>
      <c r="AE842" s="108" t="e">
        <f t="shared" ca="1" si="58"/>
        <v>#NAME?</v>
      </c>
      <c r="AF842" s="159">
        <f ca="1">IFERROR(__xludf.DUMMYFUNCTION("AE842*(V842 / QUERY(NPCVar!$K$2:$N$12, ""Select N WHERE K='""&amp;AB842&amp;""'""))*TRUNC(1+10)*(TRUNC(MOD(($B842*1103515245 +12345)/ 65536, 32768),0)/32768)"),0)</f>
        <v>0</v>
      </c>
      <c r="AG842" s="16"/>
      <c r="AH842" s="77"/>
      <c r="AI842" s="114"/>
    </row>
    <row r="843" spans="1:35" ht="16.2">
      <c r="A843" s="53">
        <v>842</v>
      </c>
      <c r="B843" s="118">
        <f t="shared" si="62"/>
        <v>2.0528400000000002</v>
      </c>
      <c r="C843" s="72" t="str">
        <f t="array" ref="C843">INDEX(NPCFName,TRUNC(1+(COUNTA(NPCFName))*(TRUNC(MOD(($B843*1103515245 +12345)/ 65536, 32768),0)/32768),0))</f>
        <v>Ciroc</v>
      </c>
      <c r="D843" s="16" t="str">
        <f t="array" ref="D843">INDEX(NPCLName,TRUNC(1+(COUNTA(NPCLName))*(TRUNC(MOD(($B843*1103515245 +12345)/ 65536, 32768),0)/32768),0))</f>
        <v>Crystalgazer</v>
      </c>
      <c r="E843" s="16" t="str">
        <f t="array" ref="E843">INDEX(NPCClass,TRUNC(1+(COUNTA(NPCClass))*(TRUNC(MOD(($B843*1103515245 +12345)/ 65536, 32768),0)/32768),0))</f>
        <v>Barbarian</v>
      </c>
      <c r="F843" s="76">
        <v>1</v>
      </c>
      <c r="G843" s="153">
        <f ca="1">VLOOKUP($AB$2,'RF Mod'!$A$2:$G$12,2,FALSE)+VLOOKUP($AD$2,'RF Mod'!$I$2:$O$11,2,FALSE)+(TRUNC(6+(24-6)*(TRUNC(MOD(($Z843*1103515245 +12345)/ 65536, 32768),0)/32768),0))</f>
        <v>4</v>
      </c>
      <c r="H843" s="16">
        <f t="shared" ca="1" si="49"/>
        <v>-3</v>
      </c>
      <c r="I843" s="153">
        <f ca="1">VLOOKUP($AB$2,'RF Mod'!$A$2:$G$12,3,FALSE)+VLOOKUP($AD$2,'RF Mod'!$I$2:$O$11,3,FALSE)+(TRUNC(6+(24-6)*(TRUNC(MOD(($Z843*1103515245 +12345)/ 65536, 32768),0)/32768),0))</f>
        <v>8</v>
      </c>
      <c r="J843" s="16">
        <f t="shared" ca="1" si="50"/>
        <v>-1</v>
      </c>
      <c r="K843" s="153">
        <f ca="1">VLOOKUP($AB$2,'RF Mod'!$A$2:$G$12,3,FALSE)+VLOOKUP($AD$2,'RF Mod'!$I$2:$O$11,3,FALSE)+(TRUNC(6+(24-6)*(TRUNC(MOD(($Z843*1103515245 +12345)/ 65536, 32768),0)/32768),0))</f>
        <v>8</v>
      </c>
      <c r="L843" s="16">
        <f t="shared" ca="1" si="51"/>
        <v>-1</v>
      </c>
      <c r="M843" s="153">
        <f ca="1">VLOOKUP($AB$2,'RF Mod'!$A$2:$G$12,4,FALSE)+VLOOKUP($AD$2,'RF Mod'!$I$2:$O$11,4,FALSE)+(TRUNC(6+(24-6)*(TRUNC(MOD(($Z843*1103515245 +12345)/ 65536, 32768),0)/32768),0))</f>
        <v>7</v>
      </c>
      <c r="N843" s="16">
        <f t="shared" ca="1" si="52"/>
        <v>-2</v>
      </c>
      <c r="O843" s="153">
        <f ca="1">VLOOKUP($AB$2,'RF Mod'!$A$2:$G$12,5,FALSE)+VLOOKUP($AD$2,'RF Mod'!$I$2:$O$11,5,FALSE)+(TRUNC(6+(24-6)*(TRUNC(MOD(($Z843*1103515245 +12345)/ 65536, 32768),0)/32768),0))</f>
        <v>10</v>
      </c>
      <c r="P843" s="16" t="e">
        <f t="shared" ca="1" si="53"/>
        <v>#NAME?</v>
      </c>
      <c r="Q843" s="153">
        <f ca="1">VLOOKUP($AB$2,'RF Mod'!$A$2:$G$12,6,FALSE)+VLOOKUP($AD$2,'RF Mod'!$I$2:$O$11,6,FALSE)+(TRUNC(6+(24-6)*(TRUNC(MOD(($Z843*1103515245 +12345)/ 65536, 32768),0)/32768),0))</f>
        <v>8</v>
      </c>
      <c r="R843" s="16">
        <f t="shared" ca="1" si="54"/>
        <v>-1</v>
      </c>
      <c r="S843" s="154">
        <f t="shared" ca="1" si="59"/>
        <v>10</v>
      </c>
      <c r="T843" s="154">
        <f t="shared" ca="1" si="55"/>
        <v>6</v>
      </c>
      <c r="U843" s="16" t="str">
        <f t="shared" ca="1" si="56"/>
        <v>Bloody</v>
      </c>
      <c r="V843" s="155">
        <f ca="1">IFERROR(__xludf.DUMMYFUNCTION("if(W843=""Middle Age"",QUERY(NPCVar!$K$2:$N1000, ""Select L where K = '""&amp;AB843&amp;""'""),if(W843=""Old"",QUERY(NPCVar!$K$2:$N1000, ""Select M where K = '""&amp;AB843&amp;""'""),if(W843=""Venerable"",QUERY(NPCVar!$K$2:$N1000, ""Select N where K = '""&amp;AB843&amp;""'""),fa"&amp;"lse)))*X843"),4)</f>
        <v>4</v>
      </c>
      <c r="W843" s="156" t="str">
        <f t="array" ref="W843">INDEX(NPCAgeType,TRUNC(1+(4-1)*(TRUNC(MOD((X843*1103515245 +12345)/ 65536, 32768),0)/32768),0))</f>
        <v>Middle Age</v>
      </c>
      <c r="X843" s="117">
        <f t="shared" si="61"/>
        <v>0.2</v>
      </c>
      <c r="Y843" s="157" t="e">
        <f t="array" aca="1" ref="Y843" ca="1">LOOKUP(ABS(MAX(Z843 + MIN(ABS(INDIRECT("Class Jobs!B"&amp;MATCH(E843,'Class Jobs'!$A$1:$A1000,0)&amp;":"&amp;"AF"&amp;MATCH(E843,'Class Jobs'!$A$1:$A1000,0)&amp;"")-$Z843)) * SUM(IF(MIN(ABS(INDIRECT("Class Jobs!B"&amp;MATCH(E843,'Class Jobs'!$A$1:$A1000,0)&amp;":"&amp;"AF"&amp;MATCH(E843,'Class Jobs'!$A$1:$A1000,0)&amp;"")-$Z843))=ABS(INDIRECT("Class Jobs!B"&amp;MATCH(E843,'Class Jobs'!$A$1:$A1000,0)&amp;":"&amp;"AF"&amp;MATCH(E843,'Class Jobs'!$A$1:$A1000,0)&amp;"")-$Z843),SIGN(INDIRECT("Class Jobs!B"&amp;MATCH(E843,'Class Jobs'!$A$1:A1000,0)&amp;":"&amp;"AF"&amp;MATCH(E843,'Class Jobs'!$A$1:$A1000,0)&amp;"")-$Z843),0)),0)),INDIRECT("Class Jobs!B"&amp;MATCH(E843,'Class Jobs'!$A$1:$A1000,0)&amp;":"&amp;"AF"&amp;MATCH(E843,'Class Jobs'!$A$1:$A1000,1)&amp;""),'Class Jobs'!$B$1:$AF$1)</f>
        <v>#REF!</v>
      </c>
      <c r="Z843" s="158">
        <f t="shared" si="57"/>
        <v>0.06</v>
      </c>
      <c r="AA843" s="16" t="str">
        <f t="array" ref="AA843">INDEX(NPCGender,TRUNC(1+(COUNTA(NPCGender))*(TRUNC(MOD(($B843*1103515245 +12345)/ 65536, 32768),0)/32768),0))</f>
        <v>Male</v>
      </c>
      <c r="AB843" s="16" t="str">
        <f t="array" ref="AB843">INDEX(NPCRace,TRUNC(1+(COUNTA(NPCRace))*(TRUNC(MOD(($B843*1103515245 +12345)/ 65536, 32768),0)/32768),0))</f>
        <v>Dragonborn</v>
      </c>
      <c r="AC843" s="16" t="str">
        <f t="array" ref="AC843">INDEX(NPCAL,TRUNC(1+(COUNTA(NPCAL))*(TRUNC(MOD(($B843*1103515245 +12345)/ 65536, 32768),0)/32768),0))</f>
        <v>CN</v>
      </c>
      <c r="AD843" s="72" t="str">
        <f ca="1">IFERROR(__xludf.DUMMYFUNCTION("if(V843&lt;15,QUERY(NPCVar!C:D,""Select D WHERE C = '""&amp;D843&amp;""'""),if((TRUNC(1+10)*(TRUNC(MOD((ROW(H843)*1103515245 +12345)/ 65536, 32768),0)/32768)/10) &gt; 0.85,INDEX(NPCFaction,TRUNC(1+(counta(NPCFaction)-1)*(TRUNC(MOD(($B843*1103515245 +12345)/ 65536, 3276"&amp;"8),0)/32768),0)),QUERY(NPCVar!C:D,""Select D WHERE C = '""&amp;D843&amp;""'"")))"),"Death Guild")</f>
        <v>Death Guild</v>
      </c>
      <c r="AE843" s="108" t="e">
        <f t="shared" ca="1" si="58"/>
        <v>#NAME?</v>
      </c>
      <c r="AF843" s="159">
        <f ca="1">IFERROR(__xludf.DUMMYFUNCTION("AE843*(V843 / QUERY(NPCVar!$K$2:$N$12, ""Select N WHERE K='""&amp;AB843&amp;""'""))*TRUNC(1+10)*(TRUNC(MOD(($B843*1103515245 +12345)/ 65536, 32768),0)/32768)"),0.012071533203125)</f>
        <v>1.2071533203125E-2</v>
      </c>
      <c r="AG843" s="16"/>
      <c r="AH843" s="77"/>
      <c r="AI843" s="114"/>
    </row>
    <row r="844" spans="1:35" ht="16.2">
      <c r="A844" s="53">
        <v>843</v>
      </c>
      <c r="B844" s="118">
        <f t="shared" si="62"/>
        <v>1.04698</v>
      </c>
      <c r="C844" s="72" t="str">
        <f t="array" ref="C844">INDEX(NPCFName,TRUNC(1+(COUNTA(NPCFName))*(TRUNC(MOD(($B844*1103515245 +12345)/ 65536, 32768),0)/32768),0))</f>
        <v>Neowyld</v>
      </c>
      <c r="D844" s="16" t="str">
        <f t="array" ref="D844">INDEX(NPCLName,TRUNC(1+(COUNTA(NPCLName))*(TRUNC(MOD(($B844*1103515245 +12345)/ 65536, 32768),0)/32768),0))</f>
        <v>Plainspirit</v>
      </c>
      <c r="E844" s="16" t="str">
        <f t="array" ref="E844">INDEX(NPCClass,TRUNC(1+(COUNTA(NPCClass))*(TRUNC(MOD(($B844*1103515245 +12345)/ 65536, 32768),0)/32768),0))</f>
        <v>Sorcerer</v>
      </c>
      <c r="F844" s="76">
        <v>8</v>
      </c>
      <c r="G844" s="153">
        <f ca="1">VLOOKUP($AB$2,'RF Mod'!$A$2:$G$12,2,FALSE)+VLOOKUP($AD$2,'RF Mod'!$I$2:$O$11,2,FALSE)+(TRUNC(6+(24-6)*(TRUNC(MOD(($Z844*1103515245 +12345)/ 65536, 32768),0)/32768),0))</f>
        <v>8</v>
      </c>
      <c r="H844" s="16">
        <f t="shared" ca="1" si="49"/>
        <v>-1</v>
      </c>
      <c r="I844" s="153">
        <f ca="1">VLOOKUP($AB$2,'RF Mod'!$A$2:$G$12,3,FALSE)+VLOOKUP($AD$2,'RF Mod'!$I$2:$O$11,3,FALSE)+(TRUNC(6+(24-6)*(TRUNC(MOD(($Z844*1103515245 +12345)/ 65536, 32768),0)/32768),0))</f>
        <v>12</v>
      </c>
      <c r="J844" s="16" t="e">
        <f t="shared" ca="1" si="50"/>
        <v>#NAME?</v>
      </c>
      <c r="K844" s="153">
        <f ca="1">VLOOKUP($AB$2,'RF Mod'!$A$2:$G$12,3,FALSE)+VLOOKUP($AD$2,'RF Mod'!$I$2:$O$11,3,FALSE)+(TRUNC(6+(24-6)*(TRUNC(MOD(($Z844*1103515245 +12345)/ 65536, 32768),0)/32768),0))</f>
        <v>12</v>
      </c>
      <c r="L844" s="16" t="e">
        <f t="shared" ca="1" si="51"/>
        <v>#NAME?</v>
      </c>
      <c r="M844" s="153">
        <f ca="1">VLOOKUP($AB$2,'RF Mod'!$A$2:$G$12,4,FALSE)+VLOOKUP($AD$2,'RF Mod'!$I$2:$O$11,4,FALSE)+(TRUNC(6+(24-6)*(TRUNC(MOD(($Z844*1103515245 +12345)/ 65536, 32768),0)/32768),0))</f>
        <v>11</v>
      </c>
      <c r="N844" s="16" t="e">
        <f t="shared" ca="1" si="52"/>
        <v>#NAME?</v>
      </c>
      <c r="O844" s="153">
        <f ca="1">VLOOKUP($AB$2,'RF Mod'!$A$2:$G$12,5,FALSE)+VLOOKUP($AD$2,'RF Mod'!$I$2:$O$11,5,FALSE)+(TRUNC(6+(24-6)*(TRUNC(MOD(($Z844*1103515245 +12345)/ 65536, 32768),0)/32768),0))</f>
        <v>14</v>
      </c>
      <c r="P844" s="16" t="e">
        <f t="shared" ca="1" si="53"/>
        <v>#NAME?</v>
      </c>
      <c r="Q844" s="153">
        <f ca="1">VLOOKUP($AB$2,'RF Mod'!$A$2:$G$12,6,FALSE)+VLOOKUP($AD$2,'RF Mod'!$I$2:$O$11,6,FALSE)+(TRUNC(6+(24-6)*(TRUNC(MOD(($Z844*1103515245 +12345)/ 65536, 32768),0)/32768),0))</f>
        <v>12</v>
      </c>
      <c r="R844" s="16" t="e">
        <f t="shared" ca="1" si="54"/>
        <v>#NAME?</v>
      </c>
      <c r="S844" s="154">
        <f t="shared" ca="1" si="59"/>
        <v>128</v>
      </c>
      <c r="T844" s="154">
        <f t="shared" ca="1" si="55"/>
        <v>87</v>
      </c>
      <c r="U844" s="16" t="str">
        <f t="shared" ca="1" si="56"/>
        <v>Bloody</v>
      </c>
      <c r="V844" s="155">
        <f ca="1">IFERROR(__xludf.DUMMYFUNCTION("if(W844=""Middle Age"",QUERY(NPCVar!$K$2:$N1000, ""Select L where K = '""&amp;AB844&amp;""'""),if(W844=""Old"",QUERY(NPCVar!$K$2:$N1000, ""Select M where K = '""&amp;AB844&amp;""'""),if(W844=""Venerable"",QUERY(NPCVar!$K$2:$N1000, ""Select N where K = '""&amp;AB844&amp;""'""),fa"&amp;"lse)))*X844"),91)</f>
        <v>91</v>
      </c>
      <c r="W844" s="156" t="str">
        <f t="array" ref="W844">INDEX(NPCAgeType,TRUNC(1+(4-1)*(TRUNC(MOD((X844*1103515245 +12345)/ 65536, 32768),0)/32768),0))</f>
        <v>Venerable</v>
      </c>
      <c r="X844" s="117">
        <f t="shared" si="61"/>
        <v>1.3</v>
      </c>
      <c r="Y844" s="157" t="e">
        <f t="array" aca="1" ref="Y844" ca="1">LOOKUP(ABS(MAX(Z844 + MIN(ABS(INDIRECT("Class Jobs!B"&amp;MATCH(E844,'Class Jobs'!$A$1:$A1000,0)&amp;":"&amp;"AF"&amp;MATCH(E844,'Class Jobs'!$A$1:$A1000,0)&amp;"")-$Z844)) * SUM(IF(MIN(ABS(INDIRECT("Class Jobs!B"&amp;MATCH(E844,'Class Jobs'!$A$1:$A1000,0)&amp;":"&amp;"AF"&amp;MATCH(E844,'Class Jobs'!$A$1:$A1000,0)&amp;"")-$Z844))=ABS(INDIRECT("Class Jobs!B"&amp;MATCH(E844,'Class Jobs'!$A$1:$A1000,0)&amp;":"&amp;"AF"&amp;MATCH(E844,'Class Jobs'!$A$1:$A1000,0)&amp;"")-$Z844),SIGN(INDIRECT("Class Jobs!B"&amp;MATCH(E844,'Class Jobs'!$A$1:A1000,0)&amp;":"&amp;"AF"&amp;MATCH(E844,'Class Jobs'!$A$1:$A1000,0)&amp;"")-$Z844),0)),0)),INDIRECT("Class Jobs!B"&amp;MATCH(E844,'Class Jobs'!$A$1:$A1000,0)&amp;":"&amp;"AF"&amp;MATCH(E844,'Class Jobs'!$A$1:$A1000,1)&amp;""),'Class Jobs'!$B$1:$AF$1)</f>
        <v>#REF!</v>
      </c>
      <c r="Z844" s="158">
        <f t="shared" si="57"/>
        <v>0.54</v>
      </c>
      <c r="AA844" s="16" t="str">
        <f t="array" ref="AA844">INDEX(NPCGender,TRUNC(1+(COUNTA(NPCGender))*(TRUNC(MOD(($B844*1103515245 +12345)/ 65536, 32768),0)/32768),0))</f>
        <v>Female</v>
      </c>
      <c r="AB844" s="16" t="str">
        <f t="array" ref="AB844">INDEX(NPCRace,TRUNC(1+(COUNTA(NPCRace))*(TRUNC(MOD(($B844*1103515245 +12345)/ 65536, 32768),0)/32768),0))</f>
        <v>Half-Orc</v>
      </c>
      <c r="AC844" s="16" t="str">
        <f t="array" ref="AC844">INDEX(NPCAL,TRUNC(1+(COUNTA(NPCAL))*(TRUNC(MOD(($B844*1103515245 +12345)/ 65536, 32768),0)/32768),0))</f>
        <v>NN</v>
      </c>
      <c r="AD844" s="72" t="str">
        <f ca="1">IFERROR(__xludf.DUMMYFUNCTION("if(V844&lt;15,QUERY(NPCVar!C:D,""Select D WHERE C = '""&amp;D844&amp;""'""),if((TRUNC(1+10)*(TRUNC(MOD((ROW(H844)*1103515245 +12345)/ 65536, 32768),0)/32768)/10) &gt; 0.85,INDEX(NPCFaction,TRUNC(1+(counta(NPCFaction)-1)*(TRUNC(MOD(($B844*1103515245 +12345)/ 65536, 3276"&amp;"8),0)/32768),0)),QUERY(NPCVar!C:D,""Select D WHERE C = '""&amp;D844&amp;""'"")))"),"Traders Guild")</f>
        <v>Traders Guild</v>
      </c>
      <c r="AE844" s="108" t="e">
        <f t="shared" ca="1" si="58"/>
        <v>#NAME?</v>
      </c>
      <c r="AF844" s="159">
        <f ca="1">IFERROR(__xludf.DUMMYFUNCTION("AE844*(V844 / QUERY(NPCVar!$K$2:$N$12, ""Select N WHERE K='""&amp;AB844&amp;""'""))*TRUNC(1+10)*(TRUNC(MOD(($B844*1103515245 +12345)/ 65536, 32768),0)/32768)"),2.30799591064453)</f>
        <v>2.30799591064453</v>
      </c>
      <c r="AG844" s="16"/>
      <c r="AH844" s="77"/>
      <c r="AI844" s="114"/>
    </row>
    <row r="845" spans="1:35" ht="16.2">
      <c r="A845" s="53">
        <v>844</v>
      </c>
      <c r="B845" s="118">
        <f t="shared" si="62"/>
        <v>4.1050000000000003E-2</v>
      </c>
      <c r="C845" s="72" t="str">
        <f t="array" ref="C845">INDEX(NPCFName,TRUNC(1+(COUNTA(NPCFName))*(TRUNC(MOD(($B845*1103515245 +12345)/ 65536, 32768),0)/32768),0))</f>
        <v>Auden</v>
      </c>
      <c r="D845" s="16" t="str">
        <f t="array" ref="D845">INDEX(NPCLName,TRUNC(1+(COUNTA(NPCLName))*(TRUNC(MOD(($B845*1103515245 +12345)/ 65536, 32768),0)/32768),0))</f>
        <v>Stagfang</v>
      </c>
      <c r="E845" s="16" t="str">
        <f t="array" ref="E845">INDEX(NPCClass,TRUNC(1+(COUNTA(NPCClass))*(TRUNC(MOD(($B845*1103515245 +12345)/ 65536, 32768),0)/32768),0))</f>
        <v>Barbarian</v>
      </c>
      <c r="F845" s="76">
        <v>1</v>
      </c>
      <c r="G845" s="153">
        <f ca="1">VLOOKUP($AB$2,'RF Mod'!$A$2:$G$12,2,FALSE)+VLOOKUP($AD$2,'RF Mod'!$I$2:$O$11,2,FALSE)+(TRUNC(6+(24-6)*(TRUNC(MOD(($Z845*1103515245 +12345)/ 65536, 32768),0)/32768),0))</f>
        <v>4</v>
      </c>
      <c r="H845" s="16">
        <f t="shared" ca="1" si="49"/>
        <v>-3</v>
      </c>
      <c r="I845" s="153">
        <f ca="1">VLOOKUP($AB$2,'RF Mod'!$A$2:$G$12,3,FALSE)+VLOOKUP($AD$2,'RF Mod'!$I$2:$O$11,3,FALSE)+(TRUNC(6+(24-6)*(TRUNC(MOD(($Z845*1103515245 +12345)/ 65536, 32768),0)/32768),0))</f>
        <v>8</v>
      </c>
      <c r="J845" s="16">
        <f t="shared" ca="1" si="50"/>
        <v>-1</v>
      </c>
      <c r="K845" s="153">
        <f ca="1">VLOOKUP($AB$2,'RF Mod'!$A$2:$G$12,3,FALSE)+VLOOKUP($AD$2,'RF Mod'!$I$2:$O$11,3,FALSE)+(TRUNC(6+(24-6)*(TRUNC(MOD(($Z845*1103515245 +12345)/ 65536, 32768),0)/32768),0))</f>
        <v>8</v>
      </c>
      <c r="L845" s="16">
        <f t="shared" ca="1" si="51"/>
        <v>-1</v>
      </c>
      <c r="M845" s="153">
        <f ca="1">VLOOKUP($AB$2,'RF Mod'!$A$2:$G$12,4,FALSE)+VLOOKUP($AD$2,'RF Mod'!$I$2:$O$11,4,FALSE)+(TRUNC(6+(24-6)*(TRUNC(MOD(($Z845*1103515245 +12345)/ 65536, 32768),0)/32768),0))</f>
        <v>7</v>
      </c>
      <c r="N845" s="16">
        <f t="shared" ca="1" si="52"/>
        <v>-2</v>
      </c>
      <c r="O845" s="153">
        <f ca="1">VLOOKUP($AB$2,'RF Mod'!$A$2:$G$12,5,FALSE)+VLOOKUP($AD$2,'RF Mod'!$I$2:$O$11,5,FALSE)+(TRUNC(6+(24-6)*(TRUNC(MOD(($Z845*1103515245 +12345)/ 65536, 32768),0)/32768),0))</f>
        <v>10</v>
      </c>
      <c r="P845" s="16" t="e">
        <f t="shared" ca="1" si="53"/>
        <v>#NAME?</v>
      </c>
      <c r="Q845" s="153">
        <f ca="1">VLOOKUP($AB$2,'RF Mod'!$A$2:$G$12,6,FALSE)+VLOOKUP($AD$2,'RF Mod'!$I$2:$O$11,6,FALSE)+(TRUNC(6+(24-6)*(TRUNC(MOD(($Z845*1103515245 +12345)/ 65536, 32768),0)/32768),0))</f>
        <v>8</v>
      </c>
      <c r="R845" s="16">
        <f t="shared" ca="1" si="54"/>
        <v>-1</v>
      </c>
      <c r="S845" s="154">
        <f t="shared" ca="1" si="59"/>
        <v>10</v>
      </c>
      <c r="T845" s="154">
        <f t="shared" ca="1" si="55"/>
        <v>8</v>
      </c>
      <c r="U845" s="16" t="str">
        <f t="shared" ca="1" si="56"/>
        <v>Bloody</v>
      </c>
      <c r="V845" s="155">
        <f ca="1">IFERROR(__xludf.DUMMYFUNCTION("if(W845=""Middle Age"",QUERY(NPCVar!$K$2:$N1000, ""Select L where K = '""&amp;AB845&amp;""'""),if(W845=""Old"",QUERY(NPCVar!$K$2:$N1000, ""Select M where K = '""&amp;AB845&amp;""'""),if(W845=""Venerable"",QUERY(NPCVar!$K$2:$N1000, ""Select N where K = '""&amp;AB845&amp;""'""),fa"&amp;"lse)))*X845"),2)</f>
        <v>2</v>
      </c>
      <c r="W845" s="156" t="str">
        <f t="array" ref="W845">INDEX(NPCAgeType,TRUNC(1+(4-1)*(TRUNC(MOD((X845*1103515245 +12345)/ 65536, 32768),0)/32768),0))</f>
        <v>Middle Age</v>
      </c>
      <c r="X845" s="117">
        <f t="shared" si="61"/>
        <v>0.1</v>
      </c>
      <c r="Y845" s="157" t="e">
        <f t="array" aca="1" ref="Y845" ca="1">LOOKUP(ABS(MAX(Z845 + MIN(ABS(INDIRECT("Class Jobs!B"&amp;MATCH(E845,'Class Jobs'!$A$1:$A1000,0)&amp;":"&amp;"AF"&amp;MATCH(E845,'Class Jobs'!$A$1:$A1000,0)&amp;"")-$Z845)) * SUM(IF(MIN(ABS(INDIRECT("Class Jobs!B"&amp;MATCH(E845,'Class Jobs'!$A$1:$A1000,0)&amp;":"&amp;"AF"&amp;MATCH(E845,'Class Jobs'!$A$1:$A1000,0)&amp;"")-$Z845))=ABS(INDIRECT("Class Jobs!B"&amp;MATCH(E845,'Class Jobs'!$A$1:$A1000,0)&amp;":"&amp;"AF"&amp;MATCH(E845,'Class Jobs'!$A$1:$A1000,0)&amp;"")-$Z845),SIGN(INDIRECT("Class Jobs!B"&amp;MATCH(E845,'Class Jobs'!$A$1:A1000,0)&amp;":"&amp;"AF"&amp;MATCH(E845,'Class Jobs'!$A$1:$A1000,0)&amp;"")-$Z845),0)),0)),INDIRECT("Class Jobs!B"&amp;MATCH(E845,'Class Jobs'!$A$1:$A1000,0)&amp;":"&amp;"AF"&amp;MATCH(E845,'Class Jobs'!$A$1:$A1000,1)&amp;""),'Class Jobs'!$B$1:$AF$1)</f>
        <v>#REF!</v>
      </c>
      <c r="Z845" s="158">
        <f t="shared" si="57"/>
        <v>0.03</v>
      </c>
      <c r="AA845" s="16" t="str">
        <f t="array" ref="AA845">INDEX(NPCGender,TRUNC(1+(COUNTA(NPCGender))*(TRUNC(MOD(($B845*1103515245 +12345)/ 65536, 32768),0)/32768),0))</f>
        <v>Male</v>
      </c>
      <c r="AB845" s="16" t="str">
        <f t="array" ref="AB845">INDEX(NPCRace,TRUNC(1+(COUNTA(NPCRace))*(TRUNC(MOD(($B845*1103515245 +12345)/ 65536, 32768),0)/32768),0))</f>
        <v>Dragonborn</v>
      </c>
      <c r="AC845" s="16" t="str">
        <f t="array" ref="AC845">INDEX(NPCAL,TRUNC(1+(COUNTA(NPCAL))*(TRUNC(MOD(($B845*1103515245 +12345)/ 65536, 32768),0)/32768),0))</f>
        <v>CN</v>
      </c>
      <c r="AD845" s="72" t="str">
        <f ca="1">IFERROR(__xludf.DUMMYFUNCTION("if(V845&lt;15,QUERY(NPCVar!C:D,""Select D WHERE C = '""&amp;D845&amp;""'""),if((TRUNC(1+10)*(TRUNC(MOD((ROW(H845)*1103515245 +12345)/ 65536, 32768),0)/32768)/10) &gt; 0.85,INDEX(NPCFaction,TRUNC(1+(counta(NPCFaction)-1)*(TRUNC(MOD(($B845*1103515245 +12345)/ 65536, 3276"&amp;"8),0)/32768),0)),QUERY(NPCVar!C:D,""Select D WHERE C = '""&amp;D845&amp;""'"")))"),"Royalty")</f>
        <v>Royalty</v>
      </c>
      <c r="AE845" s="108" t="e">
        <f t="shared" ca="1" si="58"/>
        <v>#NAME?</v>
      </c>
      <c r="AF845" s="159">
        <f ca="1">IFERROR(__xludf.DUMMYFUNCTION("AE845*(V845 / QUERY(NPCVar!$K$2:$N$12, ""Select N WHERE K='""&amp;AB845&amp;""'""))*TRUNC(1+10)*(TRUNC(MOD(($B845*1103515245 +12345)/ 65536, 32768),0)/32768)"),0.00231964111328125)</f>
        <v>2.3196411132812502E-3</v>
      </c>
      <c r="AG845" s="16"/>
      <c r="AH845" s="77"/>
      <c r="AI845" s="114"/>
    </row>
    <row r="846" spans="1:35" ht="16.2">
      <c r="A846" s="53">
        <v>845</v>
      </c>
      <c r="B846" s="118">
        <f t="shared" si="62"/>
        <v>1.5351900000000001</v>
      </c>
      <c r="C846" s="72" t="str">
        <f t="array" ref="C846">INDEX(NPCFName,TRUNC(1+(COUNTA(NPCFName))*(TRUNC(MOD(($B846*1103515245 +12345)/ 65536, 32768),0)/32768),0))</f>
        <v>Gothar</v>
      </c>
      <c r="D846" s="16" t="str">
        <f t="array" ref="D846">INDEX(NPCLName,TRUNC(1+(COUNTA(NPCLName))*(TRUNC(MOD(($B846*1103515245 +12345)/ 65536, 32768),0)/32768),0))</f>
        <v>Truthdoom</v>
      </c>
      <c r="E846" s="16" t="str">
        <f t="array" ref="E846">INDEX(NPCClass,TRUNC(1+(COUNTA(NPCClass))*(TRUNC(MOD(($B846*1103515245 +12345)/ 65536, 32768),0)/32768),0))</f>
        <v>Cleric</v>
      </c>
      <c r="F846" s="76">
        <v>8</v>
      </c>
      <c r="G846" s="153">
        <f ca="1">VLOOKUP($AB$2,'RF Mod'!$A$2:$G$12,2,FALSE)+VLOOKUP($AD$2,'RF Mod'!$I$2:$O$11,2,FALSE)+(TRUNC(6+(24-6)*(TRUNC(MOD(($Z846*1103515245 +12345)/ 65536, 32768),0)/32768),0))</f>
        <v>11</v>
      </c>
      <c r="H846" s="16" t="e">
        <f t="shared" ca="1" si="49"/>
        <v>#NAME?</v>
      </c>
      <c r="I846" s="153">
        <f ca="1">VLOOKUP($AB$2,'RF Mod'!$A$2:$G$12,3,FALSE)+VLOOKUP($AD$2,'RF Mod'!$I$2:$O$11,3,FALSE)+(TRUNC(6+(24-6)*(TRUNC(MOD(($Z846*1103515245 +12345)/ 65536, 32768),0)/32768),0))</f>
        <v>15</v>
      </c>
      <c r="J846" s="16" t="e">
        <f t="shared" ca="1" si="50"/>
        <v>#NAME?</v>
      </c>
      <c r="K846" s="153">
        <f ca="1">VLOOKUP($AB$2,'RF Mod'!$A$2:$G$12,3,FALSE)+VLOOKUP($AD$2,'RF Mod'!$I$2:$O$11,3,FALSE)+(TRUNC(6+(24-6)*(TRUNC(MOD(($Z846*1103515245 +12345)/ 65536, 32768),0)/32768),0))</f>
        <v>15</v>
      </c>
      <c r="L846" s="16" t="e">
        <f t="shared" ca="1" si="51"/>
        <v>#NAME?</v>
      </c>
      <c r="M846" s="153">
        <f ca="1">VLOOKUP($AB$2,'RF Mod'!$A$2:$G$12,4,FALSE)+VLOOKUP($AD$2,'RF Mod'!$I$2:$O$11,4,FALSE)+(TRUNC(6+(24-6)*(TRUNC(MOD(($Z846*1103515245 +12345)/ 65536, 32768),0)/32768),0))</f>
        <v>14</v>
      </c>
      <c r="N846" s="16" t="e">
        <f t="shared" ca="1" si="52"/>
        <v>#NAME?</v>
      </c>
      <c r="O846" s="153">
        <f ca="1">VLOOKUP($AB$2,'RF Mod'!$A$2:$G$12,5,FALSE)+VLOOKUP($AD$2,'RF Mod'!$I$2:$O$11,5,FALSE)+(TRUNC(6+(24-6)*(TRUNC(MOD(($Z846*1103515245 +12345)/ 65536, 32768),0)/32768),0))</f>
        <v>17</v>
      </c>
      <c r="P846" s="16" t="e">
        <f t="shared" ca="1" si="53"/>
        <v>#NAME?</v>
      </c>
      <c r="Q846" s="153">
        <f ca="1">VLOOKUP($AB$2,'RF Mod'!$A$2:$G$12,6,FALSE)+VLOOKUP($AD$2,'RF Mod'!$I$2:$O$11,6,FALSE)+(TRUNC(6+(24-6)*(TRUNC(MOD(($Z846*1103515245 +12345)/ 65536, 32768),0)/32768),0))</f>
        <v>15</v>
      </c>
      <c r="R846" s="16" t="e">
        <f t="shared" ca="1" si="54"/>
        <v>#NAME?</v>
      </c>
      <c r="S846" s="154">
        <f t="shared" ca="1" si="59"/>
        <v>200</v>
      </c>
      <c r="T846" s="154">
        <f t="shared" ca="1" si="55"/>
        <v>12</v>
      </c>
      <c r="U846" s="16" t="str">
        <f t="shared" ca="1" si="56"/>
        <v>Fine</v>
      </c>
      <c r="V846" s="155">
        <f ca="1">IFERROR(__xludf.DUMMYFUNCTION("if(W846=""Middle Age"",QUERY(NPCVar!$K$2:$N1000, ""Select L where K = '""&amp;AB846&amp;""'""),if(W846=""Old"",QUERY(NPCVar!$K$2:$N1000, ""Select M where K = '""&amp;AB846&amp;""'""),if(W846=""Venerable"",QUERY(NPCVar!$K$2:$N1000, ""Select N where K = '""&amp;AB846&amp;""'""),fa"&amp;"lse)))*X846"),190)</f>
        <v>190</v>
      </c>
      <c r="W846" s="156" t="str">
        <f t="array" ref="W846">INDEX(NPCAgeType,TRUNC(1+(4-1)*(TRUNC(MOD((X846*1103515245 +12345)/ 65536, 32768),0)/32768),0))</f>
        <v>Venerable</v>
      </c>
      <c r="X846" s="117">
        <f t="shared" si="61"/>
        <v>1.9</v>
      </c>
      <c r="Y846" s="157" t="e">
        <f t="array" aca="1" ref="Y846" ca="1">LOOKUP(ABS(MAX(Z846 + MIN(ABS(INDIRECT("Class Jobs!B"&amp;MATCH(E846,'Class Jobs'!$A$1:$A1000,0)&amp;":"&amp;"AF"&amp;MATCH(E846,'Class Jobs'!$A$1:$A1000,0)&amp;"")-$Z846)) * SUM(IF(MIN(ABS(INDIRECT("Class Jobs!B"&amp;MATCH(E846,'Class Jobs'!$A$1:$A1000,0)&amp;":"&amp;"AF"&amp;MATCH(E846,'Class Jobs'!$A$1:$A1000,0)&amp;"")-$Z846))=ABS(INDIRECT("Class Jobs!B"&amp;MATCH(E846,'Class Jobs'!$A$1:$A1000,0)&amp;":"&amp;"AF"&amp;MATCH(E846,'Class Jobs'!$A$1:$A1000,0)&amp;"")-$Z846),SIGN(INDIRECT("Class Jobs!B"&amp;MATCH(E846,'Class Jobs'!$A$1:A1000,0)&amp;":"&amp;"AF"&amp;MATCH(E846,'Class Jobs'!$A$1:$A1000,0)&amp;"")-$Z846),0)),0)),INDIRECT("Class Jobs!B"&amp;MATCH(E846,'Class Jobs'!$A$1:$A1000,0)&amp;":"&amp;"AF"&amp;MATCH(E846,'Class Jobs'!$A$1:$A1000,1)&amp;""),'Class Jobs'!$B$1:$AF$1)</f>
        <v>#REF!</v>
      </c>
      <c r="Z846" s="158">
        <f t="shared" si="57"/>
        <v>0.79</v>
      </c>
      <c r="AA846" s="16" t="str">
        <f t="array" ref="AA846">INDEX(NPCGender,TRUNC(1+(COUNTA(NPCGender))*(TRUNC(MOD(($B846*1103515245 +12345)/ 65536, 32768),0)/32768),0))</f>
        <v>Neutral</v>
      </c>
      <c r="AB846" s="16" t="str">
        <f t="array" ref="AB846">INDEX(NPCRace,TRUNC(1+(COUNTA(NPCRace))*(TRUNC(MOD(($B846*1103515245 +12345)/ 65536, 32768),0)/32768),0))</f>
        <v>Tiefling</v>
      </c>
      <c r="AC846" s="16" t="str">
        <f t="array" ref="AC846">INDEX(NPCAL,TRUNC(1+(COUNTA(NPCAL))*(TRUNC(MOD(($B846*1103515245 +12345)/ 65536, 32768),0)/32768),0))</f>
        <v>LN</v>
      </c>
      <c r="AD846" s="72" t="str">
        <f ca="1">IFERROR(__xludf.DUMMYFUNCTION("if(V846&lt;15,QUERY(NPCVar!C:D,""Select D WHERE C = '""&amp;D846&amp;""'""),if((TRUNC(1+10)*(TRUNC(MOD((ROW(H846)*1103515245 +12345)/ 65536, 32768),0)/32768)/10) &gt; 0.85,INDEX(NPCFaction,TRUNC(1+(counta(NPCFaction)-1)*(TRUNC(MOD(($B846*1103515245 +12345)/ 65536, 3276"&amp;"8),0)/32768),0)),QUERY(NPCVar!C:D,""Select D WHERE C = '""&amp;D846&amp;""'"")))"),"Traverlers Guild")</f>
        <v>Traverlers Guild</v>
      </c>
      <c r="AE846" s="108" t="e">
        <f t="shared" ca="1" si="58"/>
        <v>#NAME?</v>
      </c>
      <c r="AF846" s="159">
        <f ca="1">IFERROR(__xludf.DUMMYFUNCTION("AE846*(V846 / QUERY(NPCVar!$K$2:$N$12, ""Select N WHERE K='""&amp;AB846&amp;""'""))*TRUNC(1+10)*(TRUNC(MOD(($B846*1103515245 +12345)/ 65536, 32768),0)/32768)"),4.94627380371093)</f>
        <v>4.9462738037109304</v>
      </c>
      <c r="AG846" s="16"/>
      <c r="AH846" s="77"/>
      <c r="AI846" s="114"/>
    </row>
    <row r="847" spans="1:35" ht="16.2">
      <c r="A847" s="53">
        <v>846</v>
      </c>
      <c r="B847" s="118">
        <f t="shared" si="62"/>
        <v>0.52932999999999997</v>
      </c>
      <c r="C847" s="72" t="str">
        <f t="array" ref="C847">INDEX(NPCFName,TRUNC(1+(COUNTA(NPCFName))*(TRUNC(MOD(($B847*1103515245 +12345)/ 65536, 32768),0)/32768),0))</f>
        <v>Soderman</v>
      </c>
      <c r="D847" s="16" t="str">
        <f t="array" ref="D847">INDEX(NPCLName,TRUNC(1+(COUNTA(NPCLName))*(TRUNC(MOD(($B847*1103515245 +12345)/ 65536, 32768),0)/32768),0))</f>
        <v>Commonscream</v>
      </c>
      <c r="E847" s="16" t="str">
        <f t="array" ref="E847">INDEX(NPCClass,TRUNC(1+(COUNTA(NPCClass))*(TRUNC(MOD(($B847*1103515245 +12345)/ 65536, 32768),0)/32768),0))</f>
        <v>Monk</v>
      </c>
      <c r="F847" s="76">
        <v>1</v>
      </c>
      <c r="G847" s="153">
        <f ca="1">VLOOKUP($AB$2,'RF Mod'!$A$2:$G$12,2,FALSE)+VLOOKUP($AD$2,'RF Mod'!$I$2:$O$11,2,FALSE)+(TRUNC(6+(24-6)*(TRUNC(MOD(($Z847*1103515245 +12345)/ 65536, 32768),0)/32768),0))</f>
        <v>6</v>
      </c>
      <c r="H847" s="16">
        <f t="shared" ca="1" si="49"/>
        <v>-2</v>
      </c>
      <c r="I847" s="153">
        <f ca="1">VLOOKUP($AB$2,'RF Mod'!$A$2:$G$12,3,FALSE)+VLOOKUP($AD$2,'RF Mod'!$I$2:$O$11,3,FALSE)+(TRUNC(6+(24-6)*(TRUNC(MOD(($Z847*1103515245 +12345)/ 65536, 32768),0)/32768),0))</f>
        <v>10</v>
      </c>
      <c r="J847" s="16" t="e">
        <f t="shared" ca="1" si="50"/>
        <v>#NAME?</v>
      </c>
      <c r="K847" s="153">
        <f ca="1">VLOOKUP($AB$2,'RF Mod'!$A$2:$G$12,3,FALSE)+VLOOKUP($AD$2,'RF Mod'!$I$2:$O$11,3,FALSE)+(TRUNC(6+(24-6)*(TRUNC(MOD(($Z847*1103515245 +12345)/ 65536, 32768),0)/32768),0))</f>
        <v>10</v>
      </c>
      <c r="L847" s="16" t="e">
        <f t="shared" ca="1" si="51"/>
        <v>#NAME?</v>
      </c>
      <c r="M847" s="153">
        <f ca="1">VLOOKUP($AB$2,'RF Mod'!$A$2:$G$12,4,FALSE)+VLOOKUP($AD$2,'RF Mod'!$I$2:$O$11,4,FALSE)+(TRUNC(6+(24-6)*(TRUNC(MOD(($Z847*1103515245 +12345)/ 65536, 32768),0)/32768),0))</f>
        <v>9</v>
      </c>
      <c r="N847" s="16">
        <f t="shared" ca="1" si="52"/>
        <v>-1</v>
      </c>
      <c r="O847" s="153">
        <f ca="1">VLOOKUP($AB$2,'RF Mod'!$A$2:$G$12,5,FALSE)+VLOOKUP($AD$2,'RF Mod'!$I$2:$O$11,5,FALSE)+(TRUNC(6+(24-6)*(TRUNC(MOD(($Z847*1103515245 +12345)/ 65536, 32768),0)/32768),0))</f>
        <v>12</v>
      </c>
      <c r="P847" s="16" t="e">
        <f t="shared" ca="1" si="53"/>
        <v>#NAME?</v>
      </c>
      <c r="Q847" s="153">
        <f ca="1">VLOOKUP($AB$2,'RF Mod'!$A$2:$G$12,6,FALSE)+VLOOKUP($AD$2,'RF Mod'!$I$2:$O$11,6,FALSE)+(TRUNC(6+(24-6)*(TRUNC(MOD(($Z847*1103515245 +12345)/ 65536, 32768),0)/32768),0))</f>
        <v>10</v>
      </c>
      <c r="R847" s="16" t="e">
        <f t="shared" ca="1" si="54"/>
        <v>#NAME?</v>
      </c>
      <c r="S847" s="154">
        <f t="shared" ca="1" si="59"/>
        <v>14</v>
      </c>
      <c r="T847" s="154">
        <f t="shared" ca="1" si="55"/>
        <v>8</v>
      </c>
      <c r="U847" s="16" t="str">
        <f t="shared" ca="1" si="56"/>
        <v>Bloody</v>
      </c>
      <c r="V847" s="155">
        <f ca="1">IFERROR(__xludf.DUMMYFUNCTION("if(W847=""Middle Age"",QUERY(NPCVar!$K$2:$N1000, ""Select L where K = '""&amp;AB847&amp;""'""),if(W847=""Old"",QUERY(NPCVar!$K$2:$N1000, ""Select M where K = '""&amp;AB847&amp;""'""),if(W847=""Venerable"",QUERY(NPCVar!$K$2:$N1000, ""Select N where K = '""&amp;AB847&amp;""'""),fa"&amp;"lse)))*X847"),196.875)</f>
        <v>196.875</v>
      </c>
      <c r="W847" s="156" t="str">
        <f t="array" ref="W847">INDEX(NPCAgeType,TRUNC(1+(4-1)*(TRUNC(MOD((X847*1103515245 +12345)/ 65536, 32768),0)/32768),0))</f>
        <v>Old</v>
      </c>
      <c r="X847" s="117">
        <f t="shared" si="61"/>
        <v>0.7</v>
      </c>
      <c r="Y847" s="157" t="e">
        <f t="array" aca="1" ref="Y847" ca="1">LOOKUP(ABS(MAX(Z847 + MIN(ABS(INDIRECT("Class Jobs!B"&amp;MATCH(E847,'Class Jobs'!$A$1:$A1000,0)&amp;":"&amp;"AF"&amp;MATCH(E847,'Class Jobs'!$A$1:$A1000,0)&amp;"")-$Z847)) * SUM(IF(MIN(ABS(INDIRECT("Class Jobs!B"&amp;MATCH(E847,'Class Jobs'!$A$1:$A1000,0)&amp;":"&amp;"AF"&amp;MATCH(E847,'Class Jobs'!$A$1:$A1000,0)&amp;"")-$Z847))=ABS(INDIRECT("Class Jobs!B"&amp;MATCH(E847,'Class Jobs'!$A$1:$A1000,0)&amp;":"&amp;"AF"&amp;MATCH(E847,'Class Jobs'!$A$1:$A1000,0)&amp;"")-$Z847),SIGN(INDIRECT("Class Jobs!B"&amp;MATCH(E847,'Class Jobs'!$A$1:A1000,0)&amp;":"&amp;"AF"&amp;MATCH(E847,'Class Jobs'!$A$1:$A1000,0)&amp;"")-$Z847),0)),0)),INDIRECT("Class Jobs!B"&amp;MATCH(E847,'Class Jobs'!$A$1:$A1000,0)&amp;":"&amp;"AF"&amp;MATCH(E847,'Class Jobs'!$A$1:$A1000,1)&amp;""),'Class Jobs'!$B$1:$AF$1)</f>
        <v>#REF!</v>
      </c>
      <c r="Z847" s="158">
        <f t="shared" si="57"/>
        <v>0.27</v>
      </c>
      <c r="AA847" s="16" t="str">
        <f t="array" ref="AA847">INDEX(NPCGender,TRUNC(1+(COUNTA(NPCGender))*(TRUNC(MOD(($B847*1103515245 +12345)/ 65536, 32768),0)/32768),0))</f>
        <v>Male</v>
      </c>
      <c r="AB847" s="16" t="str">
        <f t="array" ref="AB847">INDEX(NPCRace,TRUNC(1+(COUNTA(NPCRace))*(TRUNC(MOD(($B847*1103515245 +12345)/ 65536, 32768),0)/32768),0))</f>
        <v>Elf</v>
      </c>
      <c r="AC847" s="16" t="str">
        <f t="array" ref="AC847">INDEX(NPCAL,TRUNC(1+(COUNTA(NPCAL))*(TRUNC(MOD(($B847*1103515245 +12345)/ 65536, 32768),0)/32768),0))</f>
        <v>CG</v>
      </c>
      <c r="AD847" s="72" t="str">
        <f ca="1">IFERROR(__xludf.DUMMYFUNCTION("if(V847&lt;15,QUERY(NPCVar!C:D,""Select D WHERE C = '""&amp;D847&amp;""'""),if((TRUNC(1+10)*(TRUNC(MOD((ROW(H847)*1103515245 +12345)/ 65536, 32768),0)/32768)/10) &gt; 0.85,INDEX(NPCFaction,TRUNC(1+(counta(NPCFaction)-1)*(TRUNC(MOD(($B847*1103515245 +12345)/ 65536, 3276"&amp;"8),0)/32768),0)),QUERY(NPCVar!C:D,""Select D WHERE C = '""&amp;D847&amp;""'"")))"),"Necromancer")</f>
        <v>Necromancer</v>
      </c>
      <c r="AE847" s="108" t="e">
        <f t="shared" ca="1" si="58"/>
        <v>#NAME?</v>
      </c>
      <c r="AF847" s="159">
        <f ca="1">IFERROR(__xludf.DUMMYFUNCTION("AE847*(V847 / QUERY(NPCVar!$K$2:$N$12, ""Select N WHERE K='""&amp;AB847&amp;""'""))*TRUNC(1+10)*(TRUNC(MOD(($B847*1103515245 +12345)/ 65536, 32768),0)/32768)"),0.392704582214355)</f>
        <v>0.392704582214355</v>
      </c>
      <c r="AG847" s="16"/>
      <c r="AH847" s="77"/>
      <c r="AI847" s="114"/>
    </row>
    <row r="848" spans="1:35" ht="16.2">
      <c r="A848" s="53">
        <v>847</v>
      </c>
      <c r="B848" s="118">
        <f t="shared" si="62"/>
        <v>2.02346</v>
      </c>
      <c r="C848" s="72" t="str">
        <f t="array" ref="C848">INDEX(NPCFName,TRUNC(1+(COUNTA(NPCFName))*(TRUNC(MOD(($B848*1103515245 +12345)/ 65536, 32768),0)/32768),0))</f>
        <v>Bristan</v>
      </c>
      <c r="D848" s="16" t="str">
        <f t="array" ref="D848">INDEX(NPCLName,TRUNC(1+(COUNTA(NPCLName))*(TRUNC(MOD(($B848*1103515245 +12345)/ 65536, 32768),0)/32768),0))</f>
        <v>Crystalgazer</v>
      </c>
      <c r="E848" s="16" t="str">
        <f t="array" ref="E848">INDEX(NPCClass,TRUNC(1+(COUNTA(NPCClass))*(TRUNC(MOD(($B848*1103515245 +12345)/ 65536, 32768),0)/32768),0))</f>
        <v>Barbarian</v>
      </c>
      <c r="F848" s="76">
        <v>1</v>
      </c>
      <c r="G848" s="153">
        <f ca="1">VLOOKUP($AB$2,'RF Mod'!$A$2:$G$12,2,FALSE)+VLOOKUP($AD$2,'RF Mod'!$I$2:$O$11,2,FALSE)+(TRUNC(6+(24-6)*(TRUNC(MOD(($Z848*1103515245 +12345)/ 65536, 32768),0)/32768),0))</f>
        <v>4</v>
      </c>
      <c r="H848" s="16">
        <f t="shared" ca="1" si="49"/>
        <v>-3</v>
      </c>
      <c r="I848" s="153">
        <f ca="1">VLOOKUP($AB$2,'RF Mod'!$A$2:$G$12,3,FALSE)+VLOOKUP($AD$2,'RF Mod'!$I$2:$O$11,3,FALSE)+(TRUNC(6+(24-6)*(TRUNC(MOD(($Z848*1103515245 +12345)/ 65536, 32768),0)/32768),0))</f>
        <v>8</v>
      </c>
      <c r="J848" s="16">
        <f t="shared" ca="1" si="50"/>
        <v>-1</v>
      </c>
      <c r="K848" s="153">
        <f ca="1">VLOOKUP($AB$2,'RF Mod'!$A$2:$G$12,3,FALSE)+VLOOKUP($AD$2,'RF Mod'!$I$2:$O$11,3,FALSE)+(TRUNC(6+(24-6)*(TRUNC(MOD(($Z848*1103515245 +12345)/ 65536, 32768),0)/32768),0))</f>
        <v>8</v>
      </c>
      <c r="L848" s="16">
        <f t="shared" ca="1" si="51"/>
        <v>-1</v>
      </c>
      <c r="M848" s="153">
        <f ca="1">VLOOKUP($AB$2,'RF Mod'!$A$2:$G$12,4,FALSE)+VLOOKUP($AD$2,'RF Mod'!$I$2:$O$11,4,FALSE)+(TRUNC(6+(24-6)*(TRUNC(MOD(($Z848*1103515245 +12345)/ 65536, 32768),0)/32768),0))</f>
        <v>7</v>
      </c>
      <c r="N848" s="16">
        <f t="shared" ca="1" si="52"/>
        <v>-2</v>
      </c>
      <c r="O848" s="153">
        <f ca="1">VLOOKUP($AB$2,'RF Mod'!$A$2:$G$12,5,FALSE)+VLOOKUP($AD$2,'RF Mod'!$I$2:$O$11,5,FALSE)+(TRUNC(6+(24-6)*(TRUNC(MOD(($Z848*1103515245 +12345)/ 65536, 32768),0)/32768),0))</f>
        <v>10</v>
      </c>
      <c r="P848" s="16" t="e">
        <f t="shared" ca="1" si="53"/>
        <v>#NAME?</v>
      </c>
      <c r="Q848" s="153">
        <f ca="1">VLOOKUP($AB$2,'RF Mod'!$A$2:$G$12,6,FALSE)+VLOOKUP($AD$2,'RF Mod'!$I$2:$O$11,6,FALSE)+(TRUNC(6+(24-6)*(TRUNC(MOD(($Z848*1103515245 +12345)/ 65536, 32768),0)/32768),0))</f>
        <v>8</v>
      </c>
      <c r="R848" s="16">
        <f t="shared" ca="1" si="54"/>
        <v>-1</v>
      </c>
      <c r="S848" s="154">
        <f t="shared" ca="1" si="59"/>
        <v>10</v>
      </c>
      <c r="T848" s="154">
        <f t="shared" ca="1" si="55"/>
        <v>3</v>
      </c>
      <c r="U848" s="16" t="str">
        <f t="shared" ca="1" si="56"/>
        <v>Fine</v>
      </c>
      <c r="V848" s="155">
        <f ca="1">IFERROR(__xludf.DUMMYFUNCTION("if(W848=""Middle Age"",QUERY(NPCVar!$K$2:$N1000, ""Select L where K = '""&amp;AB848&amp;""'""),if(W848=""Old"",QUERY(NPCVar!$K$2:$N1000, ""Select M where K = '""&amp;AB848&amp;""'""),if(W848=""Venerable"",QUERY(NPCVar!$K$2:$N1000, ""Select N where K = '""&amp;AB848&amp;""'""),fa"&amp;"lse)))*X848"),2)</f>
        <v>2</v>
      </c>
      <c r="W848" s="156" t="str">
        <f t="array" ref="W848">INDEX(NPCAgeType,TRUNC(1+(4-1)*(TRUNC(MOD((X848*1103515245 +12345)/ 65536, 32768),0)/32768),0))</f>
        <v>Middle Age</v>
      </c>
      <c r="X848" s="117">
        <f t="shared" si="61"/>
        <v>0.1</v>
      </c>
      <c r="Y848" s="157" t="e">
        <f t="array" aca="1" ref="Y848" ca="1">LOOKUP(ABS(MAX(Z848 + MIN(ABS(INDIRECT("Class Jobs!B"&amp;MATCH(E848,'Class Jobs'!$A$1:$A1000,0)&amp;":"&amp;"AF"&amp;MATCH(E848,'Class Jobs'!$A$1:$A1000,0)&amp;"")-$Z848)) * SUM(IF(MIN(ABS(INDIRECT("Class Jobs!B"&amp;MATCH(E848,'Class Jobs'!$A$1:$A1000,0)&amp;":"&amp;"AF"&amp;MATCH(E848,'Class Jobs'!$A$1:$A1000,0)&amp;"")-$Z848))=ABS(INDIRECT("Class Jobs!B"&amp;MATCH(E848,'Class Jobs'!$A$1:$A1000,0)&amp;":"&amp;"AF"&amp;MATCH(E848,'Class Jobs'!$A$1:$A1000,0)&amp;"")-$Z848),SIGN(INDIRECT("Class Jobs!B"&amp;MATCH(E848,'Class Jobs'!$A$1:A1000,0)&amp;":"&amp;"AF"&amp;MATCH(E848,'Class Jobs'!$A$1:$A1000,0)&amp;"")-$Z848),0)),0)),INDIRECT("Class Jobs!B"&amp;MATCH(E848,'Class Jobs'!$A$1:$A1000,0)&amp;":"&amp;"AF"&amp;MATCH(E848,'Class Jobs'!$A$1:$A1000,1)&amp;""),'Class Jobs'!$B$1:$AF$1)</f>
        <v>#REF!</v>
      </c>
      <c r="Z848" s="158">
        <f t="shared" si="57"/>
        <v>0.04</v>
      </c>
      <c r="AA848" s="16" t="str">
        <f t="array" ref="AA848">INDEX(NPCGender,TRUNC(1+(COUNTA(NPCGender))*(TRUNC(MOD(($B848*1103515245 +12345)/ 65536, 32768),0)/32768),0))</f>
        <v>Male</v>
      </c>
      <c r="AB848" s="16" t="str">
        <f t="array" ref="AB848">INDEX(NPCRace,TRUNC(1+(COUNTA(NPCRace))*(TRUNC(MOD(($B848*1103515245 +12345)/ 65536, 32768),0)/32768),0))</f>
        <v>Dragonborn</v>
      </c>
      <c r="AC848" s="16" t="str">
        <f t="array" ref="AC848">INDEX(NPCAL,TRUNC(1+(COUNTA(NPCAL))*(TRUNC(MOD(($B848*1103515245 +12345)/ 65536, 32768),0)/32768),0))</f>
        <v>CN</v>
      </c>
      <c r="AD848" s="72" t="str">
        <f ca="1">IFERROR(__xludf.DUMMYFUNCTION("if(V848&lt;15,QUERY(NPCVar!C:D,""Select D WHERE C = '""&amp;D848&amp;""'""),if((TRUNC(1+10)*(TRUNC(MOD((ROW(H848)*1103515245 +12345)/ 65536, 32768),0)/32768)/10) &gt; 0.85,INDEX(NPCFaction,TRUNC(1+(counta(NPCFaction)-1)*(TRUNC(MOD(($B848*1103515245 +12345)/ 65536, 3276"&amp;"8),0)/32768),0)),QUERY(NPCVar!C:D,""Select D WHERE C = '""&amp;D848&amp;""'"")))"),"Death Guild")</f>
        <v>Death Guild</v>
      </c>
      <c r="AE848" s="108" t="e">
        <f t="shared" ca="1" si="58"/>
        <v>#NAME?</v>
      </c>
      <c r="AF848" s="159">
        <f ca="1">IFERROR(__xludf.DUMMYFUNCTION("AE848*(V848 / QUERY(NPCVar!$K$2:$N$12, ""Select N WHERE K='""&amp;AB848&amp;""'""))*TRUNC(1+10)*(TRUNC(MOD(($B848*1103515245 +12345)/ 65536, 32768),0)/32768)"),0)</f>
        <v>0</v>
      </c>
      <c r="AG848" s="16"/>
      <c r="AH848" s="77"/>
      <c r="AI848" s="114"/>
    </row>
    <row r="849" spans="1:35" ht="16.2">
      <c r="A849" s="53">
        <v>848</v>
      </c>
      <c r="B849" s="118">
        <f t="shared" si="62"/>
        <v>1.0176099999999999</v>
      </c>
      <c r="C849" s="72" t="str">
        <f t="array" ref="C849">INDEX(NPCFName,TRUNC(1+(COUNTA(NPCFName))*(TRUNC(MOD(($B849*1103515245 +12345)/ 65536, 32768),0)/32768),0))</f>
        <v>Merkesh</v>
      </c>
      <c r="D849" s="16" t="str">
        <f t="array" ref="D849">INDEX(NPCLName,TRUNC(1+(COUNTA(NPCLName))*(TRUNC(MOD(($B849*1103515245 +12345)/ 65536, 32768),0)/32768),0))</f>
        <v>Staghammer</v>
      </c>
      <c r="E849" s="16" t="str">
        <f t="array" ref="E849">INDEX(NPCClass,TRUNC(1+(COUNTA(NPCClass))*(TRUNC(MOD(($B849*1103515245 +12345)/ 65536, 32768),0)/32768),0))</f>
        <v>Sorcerer</v>
      </c>
      <c r="F849" s="76">
        <v>6</v>
      </c>
      <c r="G849" s="153">
        <f ca="1">VLOOKUP($AB$2,'RF Mod'!$A$2:$G$12,2,FALSE)+VLOOKUP($AD$2,'RF Mod'!$I$2:$O$11,2,FALSE)+(TRUNC(6+(24-6)*(TRUNC(MOD(($Z849*1103515245 +12345)/ 65536, 32768),0)/32768),0))</f>
        <v>8</v>
      </c>
      <c r="H849" s="16">
        <f t="shared" ca="1" si="49"/>
        <v>-1</v>
      </c>
      <c r="I849" s="153">
        <f ca="1">VLOOKUP($AB$2,'RF Mod'!$A$2:$G$12,3,FALSE)+VLOOKUP($AD$2,'RF Mod'!$I$2:$O$11,3,FALSE)+(TRUNC(6+(24-6)*(TRUNC(MOD(($Z849*1103515245 +12345)/ 65536, 32768),0)/32768),0))</f>
        <v>12</v>
      </c>
      <c r="J849" s="16" t="e">
        <f t="shared" ca="1" si="50"/>
        <v>#NAME?</v>
      </c>
      <c r="K849" s="153">
        <f ca="1">VLOOKUP($AB$2,'RF Mod'!$A$2:$G$12,3,FALSE)+VLOOKUP($AD$2,'RF Mod'!$I$2:$O$11,3,FALSE)+(TRUNC(6+(24-6)*(TRUNC(MOD(($Z849*1103515245 +12345)/ 65536, 32768),0)/32768),0))</f>
        <v>12</v>
      </c>
      <c r="L849" s="16" t="e">
        <f t="shared" ca="1" si="51"/>
        <v>#NAME?</v>
      </c>
      <c r="M849" s="153">
        <f ca="1">VLOOKUP($AB$2,'RF Mod'!$A$2:$G$12,4,FALSE)+VLOOKUP($AD$2,'RF Mod'!$I$2:$O$11,4,FALSE)+(TRUNC(6+(24-6)*(TRUNC(MOD(($Z849*1103515245 +12345)/ 65536, 32768),0)/32768),0))</f>
        <v>11</v>
      </c>
      <c r="N849" s="16" t="e">
        <f t="shared" ca="1" si="52"/>
        <v>#NAME?</v>
      </c>
      <c r="O849" s="153">
        <f ca="1">VLOOKUP($AB$2,'RF Mod'!$A$2:$G$12,5,FALSE)+VLOOKUP($AD$2,'RF Mod'!$I$2:$O$11,5,FALSE)+(TRUNC(6+(24-6)*(TRUNC(MOD(($Z849*1103515245 +12345)/ 65536, 32768),0)/32768),0))</f>
        <v>14</v>
      </c>
      <c r="P849" s="16" t="e">
        <f t="shared" ca="1" si="53"/>
        <v>#NAME?</v>
      </c>
      <c r="Q849" s="153">
        <f ca="1">VLOOKUP($AB$2,'RF Mod'!$A$2:$G$12,6,FALSE)+VLOOKUP($AD$2,'RF Mod'!$I$2:$O$11,6,FALSE)+(TRUNC(6+(24-6)*(TRUNC(MOD(($Z849*1103515245 +12345)/ 65536, 32768),0)/32768),0))</f>
        <v>12</v>
      </c>
      <c r="R849" s="16" t="e">
        <f t="shared" ca="1" si="54"/>
        <v>#NAME?</v>
      </c>
      <c r="S849" s="154">
        <f t="shared" ca="1" si="59"/>
        <v>84</v>
      </c>
      <c r="T849" s="154">
        <f t="shared" ca="1" si="55"/>
        <v>3</v>
      </c>
      <c r="U849" s="16" t="str">
        <f t="shared" ca="1" si="56"/>
        <v>Fine</v>
      </c>
      <c r="V849" s="155">
        <f ca="1">IFERROR(__xludf.DUMMYFUNCTION("if(W849=""Middle Age"",QUERY(NPCVar!$K$2:$N1000, ""Select L where K = '""&amp;AB849&amp;""'""),if(W849=""Old"",QUERY(NPCVar!$K$2:$N1000, ""Select M where K = '""&amp;AB849&amp;""'""),if(W849=""Venerable"",QUERY(NPCVar!$K$2:$N1000, ""Select N where K = '""&amp;AB849&amp;""'""),fa"&amp;"lse)))*X849"),91)</f>
        <v>91</v>
      </c>
      <c r="W849" s="156" t="str">
        <f t="array" ref="W849">INDEX(NPCAgeType,TRUNC(1+(4-1)*(TRUNC(MOD((X849*1103515245 +12345)/ 65536, 32768),0)/32768),0))</f>
        <v>Venerable</v>
      </c>
      <c r="X849" s="117">
        <f t="shared" si="61"/>
        <v>1.3</v>
      </c>
      <c r="Y849" s="157" t="e">
        <f t="array" aca="1" ref="Y849" ca="1">LOOKUP(ABS(MAX(Z849 + MIN(ABS(INDIRECT("Class Jobs!B"&amp;MATCH(E849,'Class Jobs'!$A$1:$A1000,0)&amp;":"&amp;"AF"&amp;MATCH(E849,'Class Jobs'!$A$1:$A1000,0)&amp;"")-$Z849)) * SUM(IF(MIN(ABS(INDIRECT("Class Jobs!B"&amp;MATCH(E849,'Class Jobs'!$A$1:$A1000,0)&amp;":"&amp;"AF"&amp;MATCH(E849,'Class Jobs'!$A$1:$A1000,0)&amp;"")-$Z849))=ABS(INDIRECT("Class Jobs!B"&amp;MATCH(E849,'Class Jobs'!$A$1:$A1000,0)&amp;":"&amp;"AF"&amp;MATCH(E849,'Class Jobs'!$A$1:$A1000,0)&amp;"")-$Z849),SIGN(INDIRECT("Class Jobs!B"&amp;MATCH(E849,'Class Jobs'!$A$1:A1000,0)&amp;":"&amp;"AF"&amp;MATCH(E849,'Class Jobs'!$A$1:$A1000,0)&amp;"")-$Z849),0)),0)),INDIRECT("Class Jobs!B"&amp;MATCH(E849,'Class Jobs'!$A$1:$A1000,0)&amp;":"&amp;"AF"&amp;MATCH(E849,'Class Jobs'!$A$1:$A1000,1)&amp;""),'Class Jobs'!$B$1:$AF$1)</f>
        <v>#REF!</v>
      </c>
      <c r="Z849" s="158">
        <f t="shared" si="57"/>
        <v>0.52</v>
      </c>
      <c r="AA849" s="16" t="str">
        <f t="array" ref="AA849">INDEX(NPCGender,TRUNC(1+(COUNTA(NPCGender))*(TRUNC(MOD(($B849*1103515245 +12345)/ 65536, 32768),0)/32768),0))</f>
        <v>Female</v>
      </c>
      <c r="AB849" s="16" t="str">
        <f t="array" ref="AB849">INDEX(NPCRace,TRUNC(1+(COUNTA(NPCRace))*(TRUNC(MOD(($B849*1103515245 +12345)/ 65536, 32768),0)/32768),0))</f>
        <v>Half-Orc</v>
      </c>
      <c r="AC849" s="16" t="str">
        <f t="array" ref="AC849">INDEX(NPCAL,TRUNC(1+(COUNTA(NPCAL))*(TRUNC(MOD(($B849*1103515245 +12345)/ 65536, 32768),0)/32768),0))</f>
        <v>NN</v>
      </c>
      <c r="AD849" s="72" t="str">
        <f ca="1">IFERROR(__xludf.DUMMYFUNCTION("if(V849&lt;15,QUERY(NPCVar!C:D,""Select D WHERE C = '""&amp;D849&amp;""'""),if((TRUNC(1+10)*(TRUNC(MOD((ROW(H849)*1103515245 +12345)/ 65536, 32768),0)/32768)/10) &gt; 0.85,INDEX(NPCFaction,TRUNC(1+(counta(NPCFaction)-1)*(TRUNC(MOD(($B849*1103515245 +12345)/ 65536, 3276"&amp;"8),0)/32768),0)),QUERY(NPCVar!C:D,""Select D WHERE C = '""&amp;D849&amp;""'"")))"),"Farmers Guild")</f>
        <v>Farmers Guild</v>
      </c>
      <c r="AE849" s="108" t="e">
        <f t="shared" ca="1" si="58"/>
        <v>#NAME?</v>
      </c>
      <c r="AF849" s="159">
        <f ca="1">IFERROR(__xludf.DUMMYFUNCTION("AE849*(V849 / QUERY(NPCVar!$K$2:$N$12, ""Select N WHERE K='""&amp;AB849&amp;""'""))*TRUNC(1+10)*(TRUNC(MOD(($B849*1103515245 +12345)/ 65536, 32768),0)/32768)"),5.98218994140625)</f>
        <v>5.9821899414062498</v>
      </c>
      <c r="AG849" s="16"/>
      <c r="AH849" s="77"/>
      <c r="AI849" s="114"/>
    </row>
    <row r="850" spans="1:35" ht="16.2">
      <c r="A850" s="53">
        <v>849</v>
      </c>
      <c r="B850" s="118">
        <f t="shared" si="62"/>
        <v>1.175E-2</v>
      </c>
      <c r="C850" s="72" t="str">
        <f t="array" ref="C850">INDEX(NPCFName,TRUNC(1+(COUNTA(NPCFName))*(TRUNC(MOD(($B850*1103515245 +12345)/ 65536, 32768),0)/32768),0))</f>
        <v>Aghon</v>
      </c>
      <c r="D850" s="16" t="str">
        <f t="array" ref="D850">INDEX(NPCLName,TRUNC(1+(COUNTA(NPCLName))*(TRUNC(MOD(($B850*1103515245 +12345)/ 65536, 32768),0)/32768),0))</f>
        <v>Stagfang</v>
      </c>
      <c r="E850" s="16" t="str">
        <f t="array" ref="E850">INDEX(NPCClass,TRUNC(1+(COUNTA(NPCClass))*(TRUNC(MOD(($B850*1103515245 +12345)/ 65536, 32768),0)/32768),0))</f>
        <v>Barbarian</v>
      </c>
      <c r="F850" s="76">
        <v>1</v>
      </c>
      <c r="G850" s="153">
        <f ca="1">VLOOKUP($AB$2,'RF Mod'!$A$2:$G$12,2,FALSE)+VLOOKUP($AD$2,'RF Mod'!$I$2:$O$11,2,FALSE)+(TRUNC(6+(24-6)*(TRUNC(MOD(($Z850*1103515245 +12345)/ 65536, 32768),0)/32768),0))</f>
        <v>4</v>
      </c>
      <c r="H850" s="16">
        <f t="shared" ca="1" si="49"/>
        <v>-3</v>
      </c>
      <c r="I850" s="153">
        <f ca="1">VLOOKUP($AB$2,'RF Mod'!$A$2:$G$12,3,FALSE)+VLOOKUP($AD$2,'RF Mod'!$I$2:$O$11,3,FALSE)+(TRUNC(6+(24-6)*(TRUNC(MOD(($Z850*1103515245 +12345)/ 65536, 32768),0)/32768),0))</f>
        <v>8</v>
      </c>
      <c r="J850" s="16">
        <f t="shared" ca="1" si="50"/>
        <v>-1</v>
      </c>
      <c r="K850" s="153">
        <f ca="1">VLOOKUP($AB$2,'RF Mod'!$A$2:$G$12,3,FALSE)+VLOOKUP($AD$2,'RF Mod'!$I$2:$O$11,3,FALSE)+(TRUNC(6+(24-6)*(TRUNC(MOD(($Z850*1103515245 +12345)/ 65536, 32768),0)/32768),0))</f>
        <v>8</v>
      </c>
      <c r="L850" s="16">
        <f t="shared" ca="1" si="51"/>
        <v>-1</v>
      </c>
      <c r="M850" s="153">
        <f ca="1">VLOOKUP($AB$2,'RF Mod'!$A$2:$G$12,4,FALSE)+VLOOKUP($AD$2,'RF Mod'!$I$2:$O$11,4,FALSE)+(TRUNC(6+(24-6)*(TRUNC(MOD(($Z850*1103515245 +12345)/ 65536, 32768),0)/32768),0))</f>
        <v>7</v>
      </c>
      <c r="N850" s="16">
        <f t="shared" ca="1" si="52"/>
        <v>-2</v>
      </c>
      <c r="O850" s="153">
        <f ca="1">VLOOKUP($AB$2,'RF Mod'!$A$2:$G$12,5,FALSE)+VLOOKUP($AD$2,'RF Mod'!$I$2:$O$11,5,FALSE)+(TRUNC(6+(24-6)*(TRUNC(MOD(($Z850*1103515245 +12345)/ 65536, 32768),0)/32768),0))</f>
        <v>10</v>
      </c>
      <c r="P850" s="16" t="e">
        <f t="shared" ca="1" si="53"/>
        <v>#NAME?</v>
      </c>
      <c r="Q850" s="153">
        <f ca="1">VLOOKUP($AB$2,'RF Mod'!$A$2:$G$12,6,FALSE)+VLOOKUP($AD$2,'RF Mod'!$I$2:$O$11,6,FALSE)+(TRUNC(6+(24-6)*(TRUNC(MOD(($Z850*1103515245 +12345)/ 65536, 32768),0)/32768),0))</f>
        <v>8</v>
      </c>
      <c r="R850" s="16">
        <f t="shared" ca="1" si="54"/>
        <v>-1</v>
      </c>
      <c r="S850" s="154">
        <f t="shared" ca="1" si="59"/>
        <v>10</v>
      </c>
      <c r="T850" s="154">
        <f t="shared" ca="1" si="55"/>
        <v>4</v>
      </c>
      <c r="U850" s="16" t="str">
        <f t="shared" ca="1" si="56"/>
        <v>Fine</v>
      </c>
      <c r="V850" s="155">
        <f ca="1">IFERROR(__xludf.DUMMYFUNCTION("if(W850=""Middle Age"",QUERY(NPCVar!$K$2:$N1000, ""Select L where K = '""&amp;AB850&amp;""'""),if(W850=""Old"",QUERY(NPCVar!$K$2:$N1000, ""Select M where K = '""&amp;AB850&amp;""'""),if(W850=""Venerable"",QUERY(NPCVar!$K$2:$N1000, ""Select N where K = '""&amp;AB850&amp;""'""),fa"&amp;"lse)))*X850"),2)</f>
        <v>2</v>
      </c>
      <c r="W850" s="156" t="str">
        <f t="array" ref="W850">INDEX(NPCAgeType,TRUNC(1+(4-1)*(TRUNC(MOD((X850*1103515245 +12345)/ 65536, 32768),0)/32768),0))</f>
        <v>Middle Age</v>
      </c>
      <c r="X850" s="117">
        <f t="shared" si="61"/>
        <v>0.1</v>
      </c>
      <c r="Y850" s="157" t="e">
        <f t="array" aca="1" ref="Y850" ca="1">LOOKUP(ABS(MAX(Z850 + MIN(ABS(INDIRECT("Class Jobs!B"&amp;MATCH(E850,'Class Jobs'!$A$1:$A1000,0)&amp;":"&amp;"AF"&amp;MATCH(E850,'Class Jobs'!$A$1:$A1000,0)&amp;"")-$Z850)) * SUM(IF(MIN(ABS(INDIRECT("Class Jobs!B"&amp;MATCH(E850,'Class Jobs'!$A$1:$A1000,0)&amp;":"&amp;"AF"&amp;MATCH(E850,'Class Jobs'!$A$1:$A1000,0)&amp;"")-$Z850))=ABS(INDIRECT("Class Jobs!B"&amp;MATCH(E850,'Class Jobs'!$A$1:$A1000,0)&amp;":"&amp;"AF"&amp;MATCH(E850,'Class Jobs'!$A$1:$A1000,0)&amp;"")-$Z850),SIGN(INDIRECT("Class Jobs!B"&amp;MATCH(E850,'Class Jobs'!$A$1:A1000,0)&amp;":"&amp;"AF"&amp;MATCH(E850,'Class Jobs'!$A$1:$A1000,0)&amp;"")-$Z850),0)),0)),INDIRECT("Class Jobs!B"&amp;MATCH(E850,'Class Jobs'!$A$1:$A1000,0)&amp;":"&amp;"AF"&amp;MATCH(E850,'Class Jobs'!$A$1:$A1000,1)&amp;""),'Class Jobs'!$B$1:$AF$1)</f>
        <v>#REF!</v>
      </c>
      <c r="Z850" s="158">
        <f t="shared" si="57"/>
        <v>0.01</v>
      </c>
      <c r="AA850" s="16" t="str">
        <f t="array" ref="AA850">INDEX(NPCGender,TRUNC(1+(COUNTA(NPCGender))*(TRUNC(MOD(($B850*1103515245 +12345)/ 65536, 32768),0)/32768),0))</f>
        <v>Male</v>
      </c>
      <c r="AB850" s="16" t="str">
        <f t="array" ref="AB850">INDEX(NPCRace,TRUNC(1+(COUNTA(NPCRace))*(TRUNC(MOD(($B850*1103515245 +12345)/ 65536, 32768),0)/32768),0))</f>
        <v>Dragonborn</v>
      </c>
      <c r="AC850" s="16" t="str">
        <f t="array" ref="AC850">INDEX(NPCAL,TRUNC(1+(COUNTA(NPCAL))*(TRUNC(MOD(($B850*1103515245 +12345)/ 65536, 32768),0)/32768),0))</f>
        <v>CN</v>
      </c>
      <c r="AD850" s="72" t="str">
        <f ca="1">IFERROR(__xludf.DUMMYFUNCTION("if(V850&lt;15,QUERY(NPCVar!C:D,""Select D WHERE C = '""&amp;D850&amp;""'""),if((TRUNC(1+10)*(TRUNC(MOD((ROW(H850)*1103515245 +12345)/ 65536, 32768),0)/32768)/10) &gt; 0.85,INDEX(NPCFaction,TRUNC(1+(counta(NPCFaction)-1)*(TRUNC(MOD(($B850*1103515245 +12345)/ 65536, 3276"&amp;"8),0)/32768),0)),QUERY(NPCVar!C:D,""Select D WHERE C = '""&amp;D850&amp;""'"")))"),"Royalty")</f>
        <v>Royalty</v>
      </c>
      <c r="AE850" s="108" t="e">
        <f t="shared" ca="1" si="58"/>
        <v>#NAME?</v>
      </c>
      <c r="AF850" s="159">
        <f ca="1">IFERROR(__xludf.DUMMYFUNCTION("AE850*(V850 / QUERY(NPCVar!$K$2:$N$12, ""Select N WHERE K='""&amp;AB850&amp;""'""))*TRUNC(1+10)*(TRUNC(MOD(($B850*1103515245 +12345)/ 65536, 32768),0)/32768)"),0)</f>
        <v>0</v>
      </c>
      <c r="AG850" s="16"/>
      <c r="AH850" s="77"/>
      <c r="AI850" s="114"/>
    </row>
    <row r="851" spans="1:35" ht="16.2">
      <c r="A851" s="53">
        <v>850</v>
      </c>
      <c r="B851" s="118">
        <f t="shared" si="62"/>
        <v>1.50589</v>
      </c>
      <c r="C851" s="72" t="str">
        <f t="array" ref="C851">INDEX(NPCFName,TRUNC(1+(COUNTA(NPCFName))*(TRUNC(MOD(($B851*1103515245 +12345)/ 65536, 32768),0)/32768),0))</f>
        <v>Fildon</v>
      </c>
      <c r="D851" s="16" t="str">
        <f t="array" ref="D851">INDEX(NPCLName,TRUNC(1+(COUNTA(NPCLName))*(TRUNC(MOD(($B851*1103515245 +12345)/ 65536, 32768),0)/32768),0))</f>
        <v>Truthdoom</v>
      </c>
      <c r="E851" s="16" t="str">
        <f t="array" ref="E851">INDEX(NPCClass,TRUNC(1+(COUNTA(NPCClass))*(TRUNC(MOD(($B851*1103515245 +12345)/ 65536, 32768),0)/32768),0))</f>
        <v>Cleric</v>
      </c>
      <c r="F851" s="76">
        <v>8</v>
      </c>
      <c r="G851" s="153">
        <f ca="1">VLOOKUP($AB$2,'RF Mod'!$A$2:$G$12,2,FALSE)+VLOOKUP($AD$2,'RF Mod'!$I$2:$O$11,2,FALSE)+(TRUNC(6+(24-6)*(TRUNC(MOD(($Z851*1103515245 +12345)/ 65536, 32768),0)/32768),0))</f>
        <v>11</v>
      </c>
      <c r="H851" s="16" t="e">
        <f t="shared" ca="1" si="49"/>
        <v>#NAME?</v>
      </c>
      <c r="I851" s="153">
        <f ca="1">VLOOKUP($AB$2,'RF Mod'!$A$2:$G$12,3,FALSE)+VLOOKUP($AD$2,'RF Mod'!$I$2:$O$11,3,FALSE)+(TRUNC(6+(24-6)*(TRUNC(MOD(($Z851*1103515245 +12345)/ 65536, 32768),0)/32768),0))</f>
        <v>15</v>
      </c>
      <c r="J851" s="16" t="e">
        <f t="shared" ca="1" si="50"/>
        <v>#NAME?</v>
      </c>
      <c r="K851" s="153">
        <f ca="1">VLOOKUP($AB$2,'RF Mod'!$A$2:$G$12,3,FALSE)+VLOOKUP($AD$2,'RF Mod'!$I$2:$O$11,3,FALSE)+(TRUNC(6+(24-6)*(TRUNC(MOD(($Z851*1103515245 +12345)/ 65536, 32768),0)/32768),0))</f>
        <v>15</v>
      </c>
      <c r="L851" s="16" t="e">
        <f t="shared" ca="1" si="51"/>
        <v>#NAME?</v>
      </c>
      <c r="M851" s="153">
        <f ca="1">VLOOKUP($AB$2,'RF Mod'!$A$2:$G$12,4,FALSE)+VLOOKUP($AD$2,'RF Mod'!$I$2:$O$11,4,FALSE)+(TRUNC(6+(24-6)*(TRUNC(MOD(($Z851*1103515245 +12345)/ 65536, 32768),0)/32768),0))</f>
        <v>14</v>
      </c>
      <c r="N851" s="16" t="e">
        <f t="shared" ca="1" si="52"/>
        <v>#NAME?</v>
      </c>
      <c r="O851" s="153">
        <f ca="1">VLOOKUP($AB$2,'RF Mod'!$A$2:$G$12,5,FALSE)+VLOOKUP($AD$2,'RF Mod'!$I$2:$O$11,5,FALSE)+(TRUNC(6+(24-6)*(TRUNC(MOD(($Z851*1103515245 +12345)/ 65536, 32768),0)/32768),0))</f>
        <v>17</v>
      </c>
      <c r="P851" s="16" t="e">
        <f t="shared" ca="1" si="53"/>
        <v>#NAME?</v>
      </c>
      <c r="Q851" s="153">
        <f ca="1">VLOOKUP($AB$2,'RF Mod'!$A$2:$G$12,6,FALSE)+VLOOKUP($AD$2,'RF Mod'!$I$2:$O$11,6,FALSE)+(TRUNC(6+(24-6)*(TRUNC(MOD(($Z851*1103515245 +12345)/ 65536, 32768),0)/32768),0))</f>
        <v>15</v>
      </c>
      <c r="R851" s="16" t="e">
        <f t="shared" ca="1" si="54"/>
        <v>#NAME?</v>
      </c>
      <c r="S851" s="154">
        <f t="shared" ca="1" si="59"/>
        <v>200</v>
      </c>
      <c r="T851" s="154">
        <f t="shared" ca="1" si="55"/>
        <v>9</v>
      </c>
      <c r="U851" s="16" t="str">
        <f t="shared" ca="1" si="56"/>
        <v>Fine</v>
      </c>
      <c r="V851" s="155">
        <f ca="1">IFERROR(__xludf.DUMMYFUNCTION("if(W851=""Middle Age"",QUERY(NPCVar!$K$2:$N1000, ""Select L where K = '""&amp;AB851&amp;""'""),if(W851=""Old"",QUERY(NPCVar!$K$2:$N1000, ""Select M where K = '""&amp;AB851&amp;""'""),if(W851=""Venerable"",QUERY(NPCVar!$K$2:$N1000, ""Select N where K = '""&amp;AB851&amp;""'""),fa"&amp;"lse)))*X851"),190)</f>
        <v>190</v>
      </c>
      <c r="W851" s="156" t="str">
        <f t="array" ref="W851">INDEX(NPCAgeType,TRUNC(1+(4-1)*(TRUNC(MOD((X851*1103515245 +12345)/ 65536, 32768),0)/32768),0))</f>
        <v>Venerable</v>
      </c>
      <c r="X851" s="117">
        <f t="shared" si="61"/>
        <v>1.9</v>
      </c>
      <c r="Y851" s="157" t="e">
        <f t="array" aca="1" ref="Y851" ca="1">LOOKUP(ABS(MAX(Z851 + MIN(ABS(INDIRECT("Class Jobs!B"&amp;MATCH(E851,'Class Jobs'!$A$1:$A1000,0)&amp;":"&amp;"AF"&amp;MATCH(E851,'Class Jobs'!$A$1:$A1000,0)&amp;"")-$Z851)) * SUM(IF(MIN(ABS(INDIRECT("Class Jobs!B"&amp;MATCH(E851,'Class Jobs'!$A$1:$A1000,0)&amp;":"&amp;"AF"&amp;MATCH(E851,'Class Jobs'!$A$1:$A1000,0)&amp;"")-$Z851))=ABS(INDIRECT("Class Jobs!B"&amp;MATCH(E851,'Class Jobs'!$A$1:$A1000,0)&amp;":"&amp;"AF"&amp;MATCH(E851,'Class Jobs'!$A$1:$A1000,0)&amp;"")-$Z851),SIGN(INDIRECT("Class Jobs!B"&amp;MATCH(E851,'Class Jobs'!$A$1:A1000,0)&amp;":"&amp;"AF"&amp;MATCH(E851,'Class Jobs'!$A$1:$A1000,0)&amp;"")-$Z851),0)),0)),INDIRECT("Class Jobs!B"&amp;MATCH(E851,'Class Jobs'!$A$1:$A1000,0)&amp;":"&amp;"AF"&amp;MATCH(E851,'Class Jobs'!$A$1:$A1000,1)&amp;""),'Class Jobs'!$B$1:$AF$1)</f>
        <v>#REF!</v>
      </c>
      <c r="Z851" s="158">
        <f t="shared" si="57"/>
        <v>0.77</v>
      </c>
      <c r="AA851" s="16" t="str">
        <f t="array" ref="AA851">INDEX(NPCGender,TRUNC(1+(COUNTA(NPCGender))*(TRUNC(MOD(($B851*1103515245 +12345)/ 65536, 32768),0)/32768),0))</f>
        <v>Neutral</v>
      </c>
      <c r="AB851" s="16" t="str">
        <f t="array" ref="AB851">INDEX(NPCRace,TRUNC(1+(COUNTA(NPCRace))*(TRUNC(MOD(($B851*1103515245 +12345)/ 65536, 32768),0)/32768),0))</f>
        <v>Tiefling</v>
      </c>
      <c r="AC851" s="16" t="str">
        <f t="array" ref="AC851">INDEX(NPCAL,TRUNC(1+(COUNTA(NPCAL))*(TRUNC(MOD(($B851*1103515245 +12345)/ 65536, 32768),0)/32768),0))</f>
        <v>LG</v>
      </c>
      <c r="AD851" s="72" t="str">
        <f ca="1">IFERROR(__xludf.DUMMYFUNCTION("if(V851&lt;15,QUERY(NPCVar!C:D,""Select D WHERE C = '""&amp;D851&amp;""'""),if((TRUNC(1+10)*(TRUNC(MOD((ROW(H851)*1103515245 +12345)/ 65536, 32768),0)/32768)/10) &gt; 0.85,INDEX(NPCFaction,TRUNC(1+(counta(NPCFaction)-1)*(TRUNC(MOD(($B851*1103515245 +12345)/ 65536, 3276"&amp;"8),0)/32768),0)),QUERY(NPCVar!C:D,""Select D WHERE C = '""&amp;D851&amp;""'"")))"),"Traverlers Guild")</f>
        <v>Traverlers Guild</v>
      </c>
      <c r="AE851" s="108" t="e">
        <f t="shared" ca="1" si="58"/>
        <v>#NAME?</v>
      </c>
      <c r="AF851" s="159">
        <f ca="1">IFERROR(__xludf.DUMMYFUNCTION("AE851*(V851 / QUERY(NPCVar!$K$2:$N$12, ""Select N WHERE K='""&amp;AB851&amp;""'""))*TRUNC(1+10)*(TRUNC(MOD(($B851*1103515245 +12345)/ 65536, 32768),0)/32768)"),14.5552478027343)</f>
        <v>14.5552478027343</v>
      </c>
      <c r="AG851" s="16"/>
      <c r="AH851" s="77"/>
      <c r="AI851" s="114"/>
    </row>
    <row r="852" spans="1:35" ht="16.2">
      <c r="A852" s="53">
        <v>851</v>
      </c>
      <c r="B852" s="118">
        <f t="shared" si="62"/>
        <v>0.50002999999999997</v>
      </c>
      <c r="C852" s="72" t="str">
        <f t="array" ref="C852">INDEX(NPCFName,TRUNC(1+(COUNTA(NPCFName))*(TRUNC(MOD(($B852*1103515245 +12345)/ 65536, 32768),0)/32768),0))</f>
        <v>Samon</v>
      </c>
      <c r="D852" s="16" t="str">
        <f t="array" ref="D852">INDEX(NPCLName,TRUNC(1+(COUNTA(NPCLName))*(TRUNC(MOD(($B852*1103515245 +12345)/ 65536, 32768),0)/32768),0))</f>
        <v>Tuskleaf</v>
      </c>
      <c r="E852" s="16" t="str">
        <f t="array" ref="E852">INDEX(NPCClass,TRUNC(1+(COUNTA(NPCClass))*(TRUNC(MOD(($B852*1103515245 +12345)/ 65536, 32768),0)/32768),0))</f>
        <v>Monk</v>
      </c>
      <c r="F852" s="76">
        <v>1</v>
      </c>
      <c r="G852" s="153">
        <f ca="1">VLOOKUP($AB$2,'RF Mod'!$A$2:$G$12,2,FALSE)+VLOOKUP($AD$2,'RF Mod'!$I$2:$O$11,2,FALSE)+(TRUNC(6+(24-6)*(TRUNC(MOD(($Z852*1103515245 +12345)/ 65536, 32768),0)/32768),0))</f>
        <v>6</v>
      </c>
      <c r="H852" s="16">
        <f t="shared" ca="1" si="49"/>
        <v>-2</v>
      </c>
      <c r="I852" s="153">
        <f ca="1">VLOOKUP($AB$2,'RF Mod'!$A$2:$G$12,3,FALSE)+VLOOKUP($AD$2,'RF Mod'!$I$2:$O$11,3,FALSE)+(TRUNC(6+(24-6)*(TRUNC(MOD(($Z852*1103515245 +12345)/ 65536, 32768),0)/32768),0))</f>
        <v>10</v>
      </c>
      <c r="J852" s="16" t="e">
        <f t="shared" ca="1" si="50"/>
        <v>#NAME?</v>
      </c>
      <c r="K852" s="153">
        <f ca="1">VLOOKUP($AB$2,'RF Mod'!$A$2:$G$12,3,FALSE)+VLOOKUP($AD$2,'RF Mod'!$I$2:$O$11,3,FALSE)+(TRUNC(6+(24-6)*(TRUNC(MOD(($Z852*1103515245 +12345)/ 65536, 32768),0)/32768),0))</f>
        <v>10</v>
      </c>
      <c r="L852" s="16" t="e">
        <f t="shared" ca="1" si="51"/>
        <v>#NAME?</v>
      </c>
      <c r="M852" s="153">
        <f ca="1">VLOOKUP($AB$2,'RF Mod'!$A$2:$G$12,4,FALSE)+VLOOKUP($AD$2,'RF Mod'!$I$2:$O$11,4,FALSE)+(TRUNC(6+(24-6)*(TRUNC(MOD(($Z852*1103515245 +12345)/ 65536, 32768),0)/32768),0))</f>
        <v>9</v>
      </c>
      <c r="N852" s="16">
        <f t="shared" ca="1" si="52"/>
        <v>-1</v>
      </c>
      <c r="O852" s="153">
        <f ca="1">VLOOKUP($AB$2,'RF Mod'!$A$2:$G$12,5,FALSE)+VLOOKUP($AD$2,'RF Mod'!$I$2:$O$11,5,FALSE)+(TRUNC(6+(24-6)*(TRUNC(MOD(($Z852*1103515245 +12345)/ 65536, 32768),0)/32768),0))</f>
        <v>12</v>
      </c>
      <c r="P852" s="16" t="e">
        <f t="shared" ca="1" si="53"/>
        <v>#NAME?</v>
      </c>
      <c r="Q852" s="153">
        <f ca="1">VLOOKUP($AB$2,'RF Mod'!$A$2:$G$12,6,FALSE)+VLOOKUP($AD$2,'RF Mod'!$I$2:$O$11,6,FALSE)+(TRUNC(6+(24-6)*(TRUNC(MOD(($Z852*1103515245 +12345)/ 65536, 32768),0)/32768),0))</f>
        <v>10</v>
      </c>
      <c r="R852" s="16" t="e">
        <f t="shared" ca="1" si="54"/>
        <v>#NAME?</v>
      </c>
      <c r="S852" s="154">
        <f t="shared" ca="1" si="59"/>
        <v>12</v>
      </c>
      <c r="T852" s="154">
        <f t="shared" ca="1" si="55"/>
        <v>5</v>
      </c>
      <c r="U852" s="16" t="str">
        <f t="shared" ca="1" si="56"/>
        <v>Fine</v>
      </c>
      <c r="V852" s="155">
        <f ca="1">IFERROR(__xludf.DUMMYFUNCTION("if(W852=""Middle Age"",QUERY(NPCVar!$K$2:$N1000, ""Select L where K = '""&amp;AB852&amp;""'""),if(W852=""Old"",QUERY(NPCVar!$K$2:$N1000, ""Select M where K = '""&amp;AB852&amp;""'""),if(W852=""Venerable"",QUERY(NPCVar!$K$2:$N1000, ""Select N where K = '""&amp;AB852&amp;""'""),fa"&amp;"lse)))*X852"),196.875)</f>
        <v>196.875</v>
      </c>
      <c r="W852" s="156" t="str">
        <f t="array" ref="W852">INDEX(NPCAgeType,TRUNC(1+(4-1)*(TRUNC(MOD((X852*1103515245 +12345)/ 65536, 32768),0)/32768),0))</f>
        <v>Old</v>
      </c>
      <c r="X852" s="117">
        <f t="shared" si="61"/>
        <v>0.7</v>
      </c>
      <c r="Y852" s="157" t="e">
        <f t="array" aca="1" ref="Y852" ca="1">LOOKUP(ABS(MAX(Z852 + MIN(ABS(INDIRECT("Class Jobs!B"&amp;MATCH(E852,'Class Jobs'!$A$1:$A1000,0)&amp;":"&amp;"AF"&amp;MATCH(E852,'Class Jobs'!$A$1:$A1000,0)&amp;"")-$Z852)) * SUM(IF(MIN(ABS(INDIRECT("Class Jobs!B"&amp;MATCH(E852,'Class Jobs'!$A$1:$A1000,0)&amp;":"&amp;"AF"&amp;MATCH(E852,'Class Jobs'!$A$1:$A1000,0)&amp;"")-$Z852))=ABS(INDIRECT("Class Jobs!B"&amp;MATCH(E852,'Class Jobs'!$A$1:$A1000,0)&amp;":"&amp;"AF"&amp;MATCH(E852,'Class Jobs'!$A$1:$A1000,0)&amp;"")-$Z852),SIGN(INDIRECT("Class Jobs!B"&amp;MATCH(E852,'Class Jobs'!$A$1:A1000,0)&amp;":"&amp;"AF"&amp;MATCH(E852,'Class Jobs'!$A$1:$A1000,0)&amp;"")-$Z852),0)),0)),INDIRECT("Class Jobs!B"&amp;MATCH(E852,'Class Jobs'!$A$1:$A1000,0)&amp;":"&amp;"AF"&amp;MATCH(E852,'Class Jobs'!$A$1:$A1000,1)&amp;""),'Class Jobs'!$B$1:$AF$1)</f>
        <v>#REF!</v>
      </c>
      <c r="Z852" s="158">
        <f t="shared" si="57"/>
        <v>0.26</v>
      </c>
      <c r="AA852" s="16" t="str">
        <f t="array" ref="AA852">INDEX(NPCGender,TRUNC(1+(COUNTA(NPCGender))*(TRUNC(MOD(($B852*1103515245 +12345)/ 65536, 32768),0)/32768),0))</f>
        <v>Male</v>
      </c>
      <c r="AB852" s="16" t="str">
        <f t="array" ref="AB852">INDEX(NPCRace,TRUNC(1+(COUNTA(NPCRace))*(TRUNC(MOD(($B852*1103515245 +12345)/ 65536, 32768),0)/32768),0))</f>
        <v>Elf</v>
      </c>
      <c r="AC852" s="16" t="str">
        <f t="array" ref="AC852">INDEX(NPCAL,TRUNC(1+(COUNTA(NPCAL))*(TRUNC(MOD(($B852*1103515245 +12345)/ 65536, 32768),0)/32768),0))</f>
        <v>CG</v>
      </c>
      <c r="AD852" s="72" t="str">
        <f ca="1">IFERROR(__xludf.DUMMYFUNCTION("if(V852&lt;15,QUERY(NPCVar!C:D,""Select D WHERE C = '""&amp;D852&amp;""'""),if((TRUNC(1+10)*(TRUNC(MOD((ROW(H852)*1103515245 +12345)/ 65536, 32768),0)/32768)/10) &gt; 0.85,INDEX(NPCFaction,TRUNC(1+(counta(NPCFaction)-1)*(TRUNC(MOD(($B852*1103515245 +12345)/ 65536, 3276"&amp;"8),0)/32768),0)),QUERY(NPCVar!C:D,""Select D WHERE C = '""&amp;D852&amp;""'"")))"),"Traders Guild")</f>
        <v>Traders Guild</v>
      </c>
      <c r="AE852" s="108" t="e">
        <f t="shared" ca="1" si="58"/>
        <v>#NAME?</v>
      </c>
      <c r="AF852" s="159">
        <f ca="1">IFERROR(__xludf.DUMMYFUNCTION("AE852*(V852 / QUERY(NPCVar!$K$2:$N$12, ""Select N WHERE K='""&amp;AB852&amp;""'""))*TRUNC(1+10)*(TRUNC(MOD(($B852*1103515245 +12345)/ 65536, 32768),0)/32768)"),0.0741878128051757)</f>
        <v>7.4187812805175696E-2</v>
      </c>
      <c r="AG852" s="16"/>
      <c r="AH852" s="77"/>
      <c r="AI852" s="114"/>
    </row>
    <row r="853" spans="1:35" ht="16.2">
      <c r="A853" s="53">
        <v>852</v>
      </c>
      <c r="B853" s="118">
        <f t="shared" si="62"/>
        <v>1.9940899999999999</v>
      </c>
      <c r="C853" s="72" t="str">
        <f t="array" ref="C853">INDEX(NPCFName,TRUNC(1+(COUNTA(NPCFName))*(TRUNC(MOD(($B853*1103515245 +12345)/ 65536, 32768),0)/32768),0))</f>
        <v>Balati</v>
      </c>
      <c r="D853" s="16" t="str">
        <f t="array" ref="D853">INDEX(NPCLName,TRUNC(1+(COUNTA(NPCLName))*(TRUNC(MOD(($B853*1103515245 +12345)/ 65536, 32768),0)/32768),0))</f>
        <v>Stagfang</v>
      </c>
      <c r="E853" s="16" t="str">
        <f t="array" ref="E853">INDEX(NPCClass,TRUNC(1+(COUNTA(NPCClass))*(TRUNC(MOD(($B853*1103515245 +12345)/ 65536, 32768),0)/32768),0))</f>
        <v>Barbarian</v>
      </c>
      <c r="F853" s="76">
        <v>1</v>
      </c>
      <c r="G853" s="153">
        <f ca="1">VLOOKUP($AB$2,'RF Mod'!$A$2:$G$12,2,FALSE)+VLOOKUP($AD$2,'RF Mod'!$I$2:$O$11,2,FALSE)+(TRUNC(6+(24-6)*(TRUNC(MOD(($Z853*1103515245 +12345)/ 65536, 32768),0)/32768),0))</f>
        <v>4</v>
      </c>
      <c r="H853" s="16">
        <f t="shared" ca="1" si="49"/>
        <v>-3</v>
      </c>
      <c r="I853" s="153">
        <f ca="1">VLOOKUP($AB$2,'RF Mod'!$A$2:$G$12,3,FALSE)+VLOOKUP($AD$2,'RF Mod'!$I$2:$O$11,3,FALSE)+(TRUNC(6+(24-6)*(TRUNC(MOD(($Z853*1103515245 +12345)/ 65536, 32768),0)/32768),0))</f>
        <v>8</v>
      </c>
      <c r="J853" s="16">
        <f t="shared" ca="1" si="50"/>
        <v>-1</v>
      </c>
      <c r="K853" s="153">
        <f ca="1">VLOOKUP($AB$2,'RF Mod'!$A$2:$G$12,3,FALSE)+VLOOKUP($AD$2,'RF Mod'!$I$2:$O$11,3,FALSE)+(TRUNC(6+(24-6)*(TRUNC(MOD(($Z853*1103515245 +12345)/ 65536, 32768),0)/32768),0))</f>
        <v>8</v>
      </c>
      <c r="L853" s="16">
        <f t="shared" ca="1" si="51"/>
        <v>-1</v>
      </c>
      <c r="M853" s="153">
        <f ca="1">VLOOKUP($AB$2,'RF Mod'!$A$2:$G$12,4,FALSE)+VLOOKUP($AD$2,'RF Mod'!$I$2:$O$11,4,FALSE)+(TRUNC(6+(24-6)*(TRUNC(MOD(($Z853*1103515245 +12345)/ 65536, 32768),0)/32768),0))</f>
        <v>7</v>
      </c>
      <c r="N853" s="16">
        <f t="shared" ca="1" si="52"/>
        <v>-2</v>
      </c>
      <c r="O853" s="153">
        <f ca="1">VLOOKUP($AB$2,'RF Mod'!$A$2:$G$12,5,FALSE)+VLOOKUP($AD$2,'RF Mod'!$I$2:$O$11,5,FALSE)+(TRUNC(6+(24-6)*(TRUNC(MOD(($Z853*1103515245 +12345)/ 65536, 32768),0)/32768),0))</f>
        <v>10</v>
      </c>
      <c r="P853" s="16" t="e">
        <f t="shared" ca="1" si="53"/>
        <v>#NAME?</v>
      </c>
      <c r="Q853" s="153">
        <f ca="1">VLOOKUP($AB$2,'RF Mod'!$A$2:$G$12,6,FALSE)+VLOOKUP($AD$2,'RF Mod'!$I$2:$O$11,6,FALSE)+(TRUNC(6+(24-6)*(TRUNC(MOD(($Z853*1103515245 +12345)/ 65536, 32768),0)/32768),0))</f>
        <v>8</v>
      </c>
      <c r="R853" s="16">
        <f t="shared" ca="1" si="54"/>
        <v>-1</v>
      </c>
      <c r="S853" s="154">
        <f t="shared" ca="1" si="59"/>
        <v>10</v>
      </c>
      <c r="T853" s="154">
        <f t="shared" ca="1" si="55"/>
        <v>10</v>
      </c>
      <c r="U853" s="16" t="str">
        <f t="shared" ca="1" si="56"/>
        <v>Unconscious</v>
      </c>
      <c r="V853" s="155">
        <f ca="1">IFERROR(__xludf.DUMMYFUNCTION("if(W853=""Middle Age"",QUERY(NPCVar!$K$2:$N1000, ""Select L where K = '""&amp;AB853&amp;""'""),if(W853=""Old"",QUERY(NPCVar!$K$2:$N1000, ""Select M where K = '""&amp;AB853&amp;""'""),if(W853=""Venerable"",QUERY(NPCVar!$K$2:$N1000, ""Select N where K = '""&amp;AB853&amp;""'""),fa"&amp;"lse)))*X853"),2)</f>
        <v>2</v>
      </c>
      <c r="W853" s="156" t="str">
        <f t="array" ref="W853">INDEX(NPCAgeType,TRUNC(1+(4-1)*(TRUNC(MOD((X853*1103515245 +12345)/ 65536, 32768),0)/32768),0))</f>
        <v>Middle Age</v>
      </c>
      <c r="X853" s="117">
        <f t="shared" si="61"/>
        <v>0.1</v>
      </c>
      <c r="Y853" s="157" t="e">
        <f t="array" aca="1" ref="Y853" ca="1">LOOKUP(ABS(MAX(Z853 + MIN(ABS(INDIRECT("Class Jobs!B"&amp;MATCH(E853,'Class Jobs'!$A$1:$A1000,0)&amp;":"&amp;"AF"&amp;MATCH(E853,'Class Jobs'!$A$1:$A1000,0)&amp;"")-$Z853)) * SUM(IF(MIN(ABS(INDIRECT("Class Jobs!B"&amp;MATCH(E853,'Class Jobs'!$A$1:$A1000,0)&amp;":"&amp;"AF"&amp;MATCH(E853,'Class Jobs'!$A$1:$A1000,0)&amp;"")-$Z853))=ABS(INDIRECT("Class Jobs!B"&amp;MATCH(E853,'Class Jobs'!$A$1:$A1000,0)&amp;":"&amp;"AF"&amp;MATCH(E853,'Class Jobs'!$A$1:$A1000,0)&amp;"")-$Z853),SIGN(INDIRECT("Class Jobs!B"&amp;MATCH(E853,'Class Jobs'!$A$1:A1000,0)&amp;":"&amp;"AF"&amp;MATCH(E853,'Class Jobs'!$A$1:$A1000,0)&amp;"")-$Z853),0)),0)),INDIRECT("Class Jobs!B"&amp;MATCH(E853,'Class Jobs'!$A$1:$A1000,0)&amp;":"&amp;"AF"&amp;MATCH(E853,'Class Jobs'!$A$1:$A1000,1)&amp;""),'Class Jobs'!$B$1:$AF$1)</f>
        <v>#REF!</v>
      </c>
      <c r="Z853" s="158">
        <f t="shared" si="57"/>
        <v>0.03</v>
      </c>
      <c r="AA853" s="16" t="str">
        <f t="array" ref="AA853">INDEX(NPCGender,TRUNC(1+(COUNTA(NPCGender))*(TRUNC(MOD(($B853*1103515245 +12345)/ 65536, 32768),0)/32768),0))</f>
        <v>Male</v>
      </c>
      <c r="AB853" s="16" t="str">
        <f t="array" ref="AB853">INDEX(NPCRace,TRUNC(1+(COUNTA(NPCRace))*(TRUNC(MOD(($B853*1103515245 +12345)/ 65536, 32768),0)/32768),0))</f>
        <v>Dragonborn</v>
      </c>
      <c r="AC853" s="16" t="str">
        <f t="array" ref="AC853">INDEX(NPCAL,TRUNC(1+(COUNTA(NPCAL))*(TRUNC(MOD(($B853*1103515245 +12345)/ 65536, 32768),0)/32768),0))</f>
        <v>CN</v>
      </c>
      <c r="AD853" s="72" t="str">
        <f ca="1">IFERROR(__xludf.DUMMYFUNCTION("if(V853&lt;15,QUERY(NPCVar!C:D,""Select D WHERE C = '""&amp;D853&amp;""'""),if((TRUNC(1+10)*(TRUNC(MOD((ROW(H853)*1103515245 +12345)/ 65536, 32768),0)/32768)/10) &gt; 0.85,INDEX(NPCFaction,TRUNC(1+(counta(NPCFaction)-1)*(TRUNC(MOD(($B853*1103515245 +12345)/ 65536, 3276"&amp;"8),0)/32768),0)),QUERY(NPCVar!C:D,""Select D WHERE C = '""&amp;D853&amp;""'"")))"),"Royalty")</f>
        <v>Royalty</v>
      </c>
      <c r="AE853" s="108" t="e">
        <f t="shared" ca="1" si="58"/>
        <v>#NAME?</v>
      </c>
      <c r="AF853" s="159">
        <f ca="1">IFERROR(__xludf.DUMMYFUNCTION("AE853*(V853 / QUERY(NPCVar!$K$2:$N$12, ""Select N WHERE K='""&amp;AB853&amp;""'""))*TRUNC(1+10)*(TRUNC(MOD(($B853*1103515245 +12345)/ 65536, 32768),0)/32768)"),0.00339469909667968)</f>
        <v>3.39469909667968E-3</v>
      </c>
      <c r="AG853" s="16"/>
      <c r="AH853" s="77"/>
      <c r="AI853" s="114"/>
    </row>
    <row r="854" spans="1:35" ht="16.2">
      <c r="A854" s="53">
        <v>853</v>
      </c>
      <c r="B854" s="118">
        <f t="shared" si="62"/>
        <v>0.98824000000000001</v>
      </c>
      <c r="C854" s="72" t="str">
        <f t="array" ref="C854">INDEX(NPCFName,TRUNC(1+(COUNTA(NPCFName))*(TRUNC(MOD(($B854*1103515245 +12345)/ 65536, 32768),0)/32768),0))</f>
        <v>Lidorn</v>
      </c>
      <c r="D854" s="16" t="str">
        <f t="array" ref="D854">INDEX(NPCLName,TRUNC(1+(COUNTA(NPCLName))*(TRUNC(MOD(($B854*1103515245 +12345)/ 65536, 32768),0)/32768),0))</f>
        <v>Staghammer</v>
      </c>
      <c r="E854" s="16" t="str">
        <f t="array" ref="E854">INDEX(NPCClass,TRUNC(1+(COUNTA(NPCClass))*(TRUNC(MOD(($B854*1103515245 +12345)/ 65536, 32768),0)/32768),0))</f>
        <v>Sorcerer</v>
      </c>
      <c r="F854" s="76">
        <v>8</v>
      </c>
      <c r="G854" s="153">
        <f ca="1">VLOOKUP($AB$2,'RF Mod'!$A$2:$G$12,2,FALSE)+VLOOKUP($AD$2,'RF Mod'!$I$2:$O$11,2,FALSE)+(TRUNC(6+(24-6)*(TRUNC(MOD(($Z854*1103515245 +12345)/ 65536, 32768),0)/32768),0))</f>
        <v>8</v>
      </c>
      <c r="H854" s="16">
        <f t="shared" ca="1" si="49"/>
        <v>-1</v>
      </c>
      <c r="I854" s="153">
        <f ca="1">VLOOKUP($AB$2,'RF Mod'!$A$2:$G$12,3,FALSE)+VLOOKUP($AD$2,'RF Mod'!$I$2:$O$11,3,FALSE)+(TRUNC(6+(24-6)*(TRUNC(MOD(($Z854*1103515245 +12345)/ 65536, 32768),0)/32768),0))</f>
        <v>12</v>
      </c>
      <c r="J854" s="16" t="e">
        <f t="shared" ca="1" si="50"/>
        <v>#NAME?</v>
      </c>
      <c r="K854" s="153">
        <f ca="1">VLOOKUP($AB$2,'RF Mod'!$A$2:$G$12,3,FALSE)+VLOOKUP($AD$2,'RF Mod'!$I$2:$O$11,3,FALSE)+(TRUNC(6+(24-6)*(TRUNC(MOD(($Z854*1103515245 +12345)/ 65536, 32768),0)/32768),0))</f>
        <v>12</v>
      </c>
      <c r="L854" s="16" t="e">
        <f t="shared" ca="1" si="51"/>
        <v>#NAME?</v>
      </c>
      <c r="M854" s="153">
        <f ca="1">VLOOKUP($AB$2,'RF Mod'!$A$2:$G$12,4,FALSE)+VLOOKUP($AD$2,'RF Mod'!$I$2:$O$11,4,FALSE)+(TRUNC(6+(24-6)*(TRUNC(MOD(($Z854*1103515245 +12345)/ 65536, 32768),0)/32768),0))</f>
        <v>11</v>
      </c>
      <c r="N854" s="16" t="e">
        <f t="shared" ca="1" si="52"/>
        <v>#NAME?</v>
      </c>
      <c r="O854" s="153">
        <f ca="1">VLOOKUP($AB$2,'RF Mod'!$A$2:$G$12,5,FALSE)+VLOOKUP($AD$2,'RF Mod'!$I$2:$O$11,5,FALSE)+(TRUNC(6+(24-6)*(TRUNC(MOD(($Z854*1103515245 +12345)/ 65536, 32768),0)/32768),0))</f>
        <v>14</v>
      </c>
      <c r="P854" s="16" t="e">
        <f t="shared" ca="1" si="53"/>
        <v>#NAME?</v>
      </c>
      <c r="Q854" s="153">
        <f ca="1">VLOOKUP($AB$2,'RF Mod'!$A$2:$G$12,6,FALSE)+VLOOKUP($AD$2,'RF Mod'!$I$2:$O$11,6,FALSE)+(TRUNC(6+(24-6)*(TRUNC(MOD(($Z854*1103515245 +12345)/ 65536, 32768),0)/32768),0))</f>
        <v>12</v>
      </c>
      <c r="R854" s="16" t="e">
        <f t="shared" ca="1" si="54"/>
        <v>#NAME?</v>
      </c>
      <c r="S854" s="154">
        <f t="shared" ca="1" si="59"/>
        <v>176</v>
      </c>
      <c r="T854" s="154">
        <f t="shared" ca="1" si="55"/>
        <v>95</v>
      </c>
      <c r="U854" s="16" t="str">
        <f t="shared" ca="1" si="56"/>
        <v>Bloody</v>
      </c>
      <c r="V854" s="155">
        <f ca="1">IFERROR(__xludf.DUMMYFUNCTION("if(W854=""Middle Age"",QUERY(NPCVar!$K$2:$N1000, ""Select L where K = '""&amp;AB854&amp;""'""),if(W854=""Old"",QUERY(NPCVar!$K$2:$N1000, ""Select M where K = '""&amp;AB854&amp;""'""),if(W854=""Venerable"",QUERY(NPCVar!$K$2:$N1000, ""Select N where K = '""&amp;AB854&amp;""'""),fa"&amp;"lse)))*X854"),91)</f>
        <v>91</v>
      </c>
      <c r="W854" s="156" t="str">
        <f t="array" ref="W854">INDEX(NPCAgeType,TRUNC(1+(4-1)*(TRUNC(MOD((X854*1103515245 +12345)/ 65536, 32768),0)/32768),0))</f>
        <v>Venerable</v>
      </c>
      <c r="X854" s="117">
        <f t="shared" si="61"/>
        <v>1.3</v>
      </c>
      <c r="Y854" s="157" t="e">
        <f t="array" aca="1" ref="Y854" ca="1">LOOKUP(ABS(MAX(Z854 + MIN(ABS(INDIRECT("Class Jobs!B"&amp;MATCH(E854,'Class Jobs'!$A$1:$A1000,0)&amp;":"&amp;"AF"&amp;MATCH(E854,'Class Jobs'!$A$1:$A1000,0)&amp;"")-$Z854)) * SUM(IF(MIN(ABS(INDIRECT("Class Jobs!B"&amp;MATCH(E854,'Class Jobs'!$A$1:$A1000,0)&amp;":"&amp;"AF"&amp;MATCH(E854,'Class Jobs'!$A$1:$A1000,0)&amp;"")-$Z854))=ABS(INDIRECT("Class Jobs!B"&amp;MATCH(E854,'Class Jobs'!$A$1:$A1000,0)&amp;":"&amp;"AF"&amp;MATCH(E854,'Class Jobs'!$A$1:$A1000,0)&amp;"")-$Z854),SIGN(INDIRECT("Class Jobs!B"&amp;MATCH(E854,'Class Jobs'!$A$1:A1000,0)&amp;":"&amp;"AF"&amp;MATCH(E854,'Class Jobs'!$A$1:$A1000,0)&amp;"")-$Z854),0)),0)),INDIRECT("Class Jobs!B"&amp;MATCH(E854,'Class Jobs'!$A$1:$A1000,0)&amp;":"&amp;"AF"&amp;MATCH(E854,'Class Jobs'!$A$1:$A1000,1)&amp;""),'Class Jobs'!$B$1:$AF$1)</f>
        <v>#REF!</v>
      </c>
      <c r="Z854" s="158">
        <f t="shared" si="57"/>
        <v>0.51</v>
      </c>
      <c r="AA854" s="16" t="str">
        <f t="array" ref="AA854">INDEX(NPCGender,TRUNC(1+(COUNTA(NPCGender))*(TRUNC(MOD(($B854*1103515245 +12345)/ 65536, 32768),0)/32768),0))</f>
        <v>Female</v>
      </c>
      <c r="AB854" s="16" t="str">
        <f t="array" ref="AB854">INDEX(NPCRace,TRUNC(1+(COUNTA(NPCRace))*(TRUNC(MOD(($B854*1103515245 +12345)/ 65536, 32768),0)/32768),0))</f>
        <v>Half-Orc</v>
      </c>
      <c r="AC854" s="16" t="str">
        <f t="array" ref="AC854">INDEX(NPCAL,TRUNC(1+(COUNTA(NPCAL))*(TRUNC(MOD(($B854*1103515245 +12345)/ 65536, 32768),0)/32768),0))</f>
        <v>NN</v>
      </c>
      <c r="AD854" s="72" t="str">
        <f ca="1">IFERROR(__xludf.DUMMYFUNCTION("if(V854&lt;15,QUERY(NPCVar!C:D,""Select D WHERE C = '""&amp;D854&amp;""'""),if((TRUNC(1+10)*(TRUNC(MOD((ROW(H854)*1103515245 +12345)/ 65536, 32768),0)/32768)/10) &gt; 0.85,INDEX(NPCFaction,TRUNC(1+(counta(NPCFaction)-1)*(TRUNC(MOD(($B854*1103515245 +12345)/ 65536, 3276"&amp;"8),0)/32768),0)),QUERY(NPCVar!C:D,""Select D WHERE C = '""&amp;D854&amp;""'"")))"),"Thieves Guild")</f>
        <v>Thieves Guild</v>
      </c>
      <c r="AE854" s="108" t="e">
        <f t="shared" ca="1" si="58"/>
        <v>#NAME?</v>
      </c>
      <c r="AF854" s="159">
        <f ca="1">IFERROR(__xludf.DUMMYFUNCTION("AE854*(V854 / QUERY(NPCVar!$K$2:$N$12, ""Select N WHERE K='""&amp;AB854&amp;""'""))*TRUNC(1+10)*(TRUNC(MOD(($B854*1103515245 +12345)/ 65536, 32768),0)/32768)"),2.9046875)</f>
        <v>2.9046875000000001</v>
      </c>
      <c r="AG854" s="16"/>
      <c r="AH854" s="77"/>
      <c r="AI854" s="114"/>
    </row>
    <row r="855" spans="1:35" ht="16.2">
      <c r="A855" s="53">
        <v>854</v>
      </c>
      <c r="B855" s="118">
        <f t="shared" si="62"/>
        <v>2.48237</v>
      </c>
      <c r="C855" s="72" t="str">
        <f t="array" ref="C855">INDEX(NPCFName,TRUNC(1+(COUNTA(NPCFName))*(TRUNC(MOD(($B855*1103515245 +12345)/ 65536, 32768),0)/32768),0))</f>
        <v>Suth</v>
      </c>
      <c r="D855" s="16" t="str">
        <f t="array" ref="D855">INDEX(NPCLName,TRUNC(1+(COUNTA(NPCLName))*(TRUNC(MOD(($B855*1103515245 +12345)/ 65536, 32768),0)/32768),0))</f>
        <v>Commonscream</v>
      </c>
      <c r="E855" s="16" t="str">
        <f t="array" ref="E855">INDEX(NPCClass,TRUNC(1+(COUNTA(NPCClass))*(TRUNC(MOD(($B855*1103515245 +12345)/ 65536, 32768),0)/32768),0))</f>
        <v>Monk</v>
      </c>
      <c r="F855" s="76">
        <v>1</v>
      </c>
      <c r="G855" s="153">
        <f ca="1">VLOOKUP($AB$2,'RF Mod'!$A$2:$G$12,2,FALSE)+VLOOKUP($AD$2,'RF Mod'!$I$2:$O$11,2,FALSE)+(TRUNC(6+(24-6)*(TRUNC(MOD(($Z855*1103515245 +12345)/ 65536, 32768),0)/32768),0))</f>
        <v>6</v>
      </c>
      <c r="H855" s="16">
        <f t="shared" ca="1" si="49"/>
        <v>-2</v>
      </c>
      <c r="I855" s="153">
        <f ca="1">VLOOKUP($AB$2,'RF Mod'!$A$2:$G$12,3,FALSE)+VLOOKUP($AD$2,'RF Mod'!$I$2:$O$11,3,FALSE)+(TRUNC(6+(24-6)*(TRUNC(MOD(($Z855*1103515245 +12345)/ 65536, 32768),0)/32768),0))</f>
        <v>10</v>
      </c>
      <c r="J855" s="16" t="e">
        <f t="shared" ca="1" si="50"/>
        <v>#NAME?</v>
      </c>
      <c r="K855" s="153">
        <f ca="1">VLOOKUP($AB$2,'RF Mod'!$A$2:$G$12,3,FALSE)+VLOOKUP($AD$2,'RF Mod'!$I$2:$O$11,3,FALSE)+(TRUNC(6+(24-6)*(TRUNC(MOD(($Z855*1103515245 +12345)/ 65536, 32768),0)/32768),0))</f>
        <v>10</v>
      </c>
      <c r="L855" s="16" t="e">
        <f t="shared" ca="1" si="51"/>
        <v>#NAME?</v>
      </c>
      <c r="M855" s="153">
        <f ca="1">VLOOKUP($AB$2,'RF Mod'!$A$2:$G$12,4,FALSE)+VLOOKUP($AD$2,'RF Mod'!$I$2:$O$11,4,FALSE)+(TRUNC(6+(24-6)*(TRUNC(MOD(($Z855*1103515245 +12345)/ 65536, 32768),0)/32768),0))</f>
        <v>9</v>
      </c>
      <c r="N855" s="16">
        <f t="shared" ca="1" si="52"/>
        <v>-1</v>
      </c>
      <c r="O855" s="153">
        <f ca="1">VLOOKUP($AB$2,'RF Mod'!$A$2:$G$12,5,FALSE)+VLOOKUP($AD$2,'RF Mod'!$I$2:$O$11,5,FALSE)+(TRUNC(6+(24-6)*(TRUNC(MOD(($Z855*1103515245 +12345)/ 65536, 32768),0)/32768),0))</f>
        <v>12</v>
      </c>
      <c r="P855" s="16" t="e">
        <f t="shared" ca="1" si="53"/>
        <v>#NAME?</v>
      </c>
      <c r="Q855" s="153">
        <f ca="1">VLOOKUP($AB$2,'RF Mod'!$A$2:$G$12,6,FALSE)+VLOOKUP($AD$2,'RF Mod'!$I$2:$O$11,6,FALSE)+(TRUNC(6+(24-6)*(TRUNC(MOD(($Z855*1103515245 +12345)/ 65536, 32768),0)/32768),0))</f>
        <v>10</v>
      </c>
      <c r="R855" s="16" t="e">
        <f t="shared" ca="1" si="54"/>
        <v>#NAME?</v>
      </c>
      <c r="S855" s="154">
        <f t="shared" ca="1" si="59"/>
        <v>16</v>
      </c>
      <c r="T855" s="154">
        <f t="shared" ca="1" si="55"/>
        <v>5</v>
      </c>
      <c r="U855" s="16" t="str">
        <f t="shared" ca="1" si="56"/>
        <v>Fine</v>
      </c>
      <c r="V855" s="155">
        <f ca="1">IFERROR(__xludf.DUMMYFUNCTION("if(W855=""Middle Age"",QUERY(NPCVar!$K$2:$N1000, ""Select L where K = '""&amp;AB855&amp;""'""),if(W855=""Old"",QUERY(NPCVar!$K$2:$N1000, ""Select M where K = '""&amp;AB855&amp;""'""),if(W855=""Venerable"",QUERY(NPCVar!$K$2:$N1000, ""Select N where K = '""&amp;AB855&amp;""'""),fa"&amp;"lse)))*X855"),118.124999999999)</f>
        <v>118.12499999999901</v>
      </c>
      <c r="W855" s="156" t="str">
        <f t="array" ref="W855">INDEX(NPCAgeType,TRUNC(1+(4-1)*(TRUNC(MOD((X855*1103515245 +12345)/ 65536, 32768),0)/32768),0))</f>
        <v>Old</v>
      </c>
      <c r="X855" s="117">
        <f t="shared" si="61"/>
        <v>0.7</v>
      </c>
      <c r="Y855" s="157" t="e">
        <f t="array" aca="1" ref="Y855" ca="1">LOOKUP(ABS(MAX(Z855 + MIN(ABS(INDIRECT("Class Jobs!B"&amp;MATCH(E855,'Class Jobs'!$A$1:$A1000,0)&amp;":"&amp;"AF"&amp;MATCH(E855,'Class Jobs'!$A$1:$A1000,0)&amp;"")-$Z855)) * SUM(IF(MIN(ABS(INDIRECT("Class Jobs!B"&amp;MATCH(E855,'Class Jobs'!$A$1:$A1000,0)&amp;":"&amp;"AF"&amp;MATCH(E855,'Class Jobs'!$A$1:$A1000,0)&amp;"")-$Z855))=ABS(INDIRECT("Class Jobs!B"&amp;MATCH(E855,'Class Jobs'!$A$1:$A1000,0)&amp;":"&amp;"AF"&amp;MATCH(E855,'Class Jobs'!$A$1:$A1000,0)&amp;"")-$Z855),SIGN(INDIRECT("Class Jobs!B"&amp;MATCH(E855,'Class Jobs'!$A$1:A1000,0)&amp;":"&amp;"AF"&amp;MATCH(E855,'Class Jobs'!$A$1:$A1000,0)&amp;"")-$Z855),0)),0)),INDIRECT("Class Jobs!B"&amp;MATCH(E855,'Class Jobs'!$A$1:$A1000,0)&amp;":"&amp;"AF"&amp;MATCH(E855,'Class Jobs'!$A$1:$A1000,1)&amp;""),'Class Jobs'!$B$1:$AF$1)</f>
        <v>#REF!</v>
      </c>
      <c r="Z855" s="158">
        <f t="shared" si="57"/>
        <v>0.28000000000000003</v>
      </c>
      <c r="AA855" s="16" t="str">
        <f t="array" ref="AA855">INDEX(NPCGender,TRUNC(1+(COUNTA(NPCGender))*(TRUNC(MOD(($B855*1103515245 +12345)/ 65536, 32768),0)/32768),0))</f>
        <v>Male</v>
      </c>
      <c r="AB855" s="16" t="str">
        <f t="array" ref="AB855">INDEX(NPCRace,TRUNC(1+(COUNTA(NPCRace))*(TRUNC(MOD(($B855*1103515245 +12345)/ 65536, 32768),0)/32768),0))</f>
        <v>Gnome</v>
      </c>
      <c r="AC855" s="16" t="str">
        <f t="array" ref="AC855">INDEX(NPCAL,TRUNC(1+(COUNTA(NPCAL))*(TRUNC(MOD(($B855*1103515245 +12345)/ 65536, 32768),0)/32768),0))</f>
        <v>CG</v>
      </c>
      <c r="AD855" s="72" t="str">
        <f ca="1">IFERROR(__xludf.DUMMYFUNCTION("if(V855&lt;15,QUERY(NPCVar!C:D,""Select D WHERE C = '""&amp;D855&amp;""'""),if((TRUNC(1+10)*(TRUNC(MOD((ROW(H855)*1103515245 +12345)/ 65536, 32768),0)/32768)/10) &gt; 0.85,INDEX(NPCFaction,TRUNC(1+(counta(NPCFaction)-1)*(TRUNC(MOD(($B855*1103515245 +12345)/ 65536, 3276"&amp;"8),0)/32768),0)),QUERY(NPCVar!C:D,""Select D WHERE C = '""&amp;D855&amp;""'"")))"),"Necromancer")</f>
        <v>Necromancer</v>
      </c>
      <c r="AE855" s="108" t="e">
        <f t="shared" ca="1" si="58"/>
        <v>#NAME?</v>
      </c>
      <c r="AF855" s="159">
        <f ca="1">IFERROR(__xludf.DUMMYFUNCTION("AE855*(V855 / QUERY(NPCVar!$K$2:$N$12, ""Select N WHERE K='""&amp;AB855&amp;""'""))*TRUNC(1+10)*(TRUNC(MOD(($B855*1103515245 +12345)/ 65536, 32768),0)/32768)"),0.47748435974121)</f>
        <v>0.47748435974121001</v>
      </c>
      <c r="AG855" s="16"/>
      <c r="AH855" s="77"/>
      <c r="AI855" s="114"/>
    </row>
    <row r="856" spans="1:35" ht="16.2">
      <c r="A856" s="53">
        <v>855</v>
      </c>
      <c r="B856" s="118">
        <f t="shared" si="62"/>
        <v>1.4765200000000001</v>
      </c>
      <c r="C856" s="72" t="str">
        <f t="array" ref="C856">INDEX(NPCFName,TRUNC(1+(COUNTA(NPCFName))*(TRUNC(MOD(($B856*1103515245 +12345)/ 65536, 32768),0)/32768),0))</f>
        <v>Enbane</v>
      </c>
      <c r="D856" s="16" t="str">
        <f t="array" ref="D856">INDEX(NPCLName,TRUNC(1+(COUNTA(NPCLName))*(TRUNC(MOD(($B856*1103515245 +12345)/ 65536, 32768),0)/32768),0))</f>
        <v>Sacredgloom</v>
      </c>
      <c r="E856" s="16" t="str">
        <f t="array" ref="E856">INDEX(NPCClass,TRUNC(1+(COUNTA(NPCClass))*(TRUNC(MOD(($B856*1103515245 +12345)/ 65536, 32768),0)/32768),0))</f>
        <v>Cleric</v>
      </c>
      <c r="F856" s="76">
        <v>8</v>
      </c>
      <c r="G856" s="153">
        <f ca="1">VLOOKUP($AB$2,'RF Mod'!$A$2:$G$12,2,FALSE)+VLOOKUP($AD$2,'RF Mod'!$I$2:$O$11,2,FALSE)+(TRUNC(6+(24-6)*(TRUNC(MOD(($Z856*1103515245 +12345)/ 65536, 32768),0)/32768),0))</f>
        <v>11</v>
      </c>
      <c r="H856" s="16" t="e">
        <f t="shared" ca="1" si="49"/>
        <v>#NAME?</v>
      </c>
      <c r="I856" s="153">
        <f ca="1">VLOOKUP($AB$2,'RF Mod'!$A$2:$G$12,3,FALSE)+VLOOKUP($AD$2,'RF Mod'!$I$2:$O$11,3,FALSE)+(TRUNC(6+(24-6)*(TRUNC(MOD(($Z856*1103515245 +12345)/ 65536, 32768),0)/32768),0))</f>
        <v>15</v>
      </c>
      <c r="J856" s="16" t="e">
        <f t="shared" ca="1" si="50"/>
        <v>#NAME?</v>
      </c>
      <c r="K856" s="153">
        <f ca="1">VLOOKUP($AB$2,'RF Mod'!$A$2:$G$12,3,FALSE)+VLOOKUP($AD$2,'RF Mod'!$I$2:$O$11,3,FALSE)+(TRUNC(6+(24-6)*(TRUNC(MOD(($Z856*1103515245 +12345)/ 65536, 32768),0)/32768),0))</f>
        <v>15</v>
      </c>
      <c r="L856" s="16" t="e">
        <f t="shared" ca="1" si="51"/>
        <v>#NAME?</v>
      </c>
      <c r="M856" s="153">
        <f ca="1">VLOOKUP($AB$2,'RF Mod'!$A$2:$G$12,4,FALSE)+VLOOKUP($AD$2,'RF Mod'!$I$2:$O$11,4,FALSE)+(TRUNC(6+(24-6)*(TRUNC(MOD(($Z856*1103515245 +12345)/ 65536, 32768),0)/32768),0))</f>
        <v>14</v>
      </c>
      <c r="N856" s="16" t="e">
        <f t="shared" ca="1" si="52"/>
        <v>#NAME?</v>
      </c>
      <c r="O856" s="153">
        <f ca="1">VLOOKUP($AB$2,'RF Mod'!$A$2:$G$12,5,FALSE)+VLOOKUP($AD$2,'RF Mod'!$I$2:$O$11,5,FALSE)+(TRUNC(6+(24-6)*(TRUNC(MOD(($Z856*1103515245 +12345)/ 65536, 32768),0)/32768),0))</f>
        <v>17</v>
      </c>
      <c r="P856" s="16" t="e">
        <f t="shared" ca="1" si="53"/>
        <v>#NAME?</v>
      </c>
      <c r="Q856" s="153">
        <f ca="1">VLOOKUP($AB$2,'RF Mod'!$A$2:$G$12,6,FALSE)+VLOOKUP($AD$2,'RF Mod'!$I$2:$O$11,6,FALSE)+(TRUNC(6+(24-6)*(TRUNC(MOD(($Z856*1103515245 +12345)/ 65536, 32768),0)/32768),0))</f>
        <v>15</v>
      </c>
      <c r="R856" s="16" t="e">
        <f t="shared" ca="1" si="54"/>
        <v>#NAME?</v>
      </c>
      <c r="S856" s="154">
        <f t="shared" ca="1" si="59"/>
        <v>136</v>
      </c>
      <c r="T856" s="154">
        <f t="shared" ca="1" si="55"/>
        <v>50</v>
      </c>
      <c r="U856" s="16" t="str">
        <f t="shared" ca="1" si="56"/>
        <v>Fine</v>
      </c>
      <c r="V856" s="155">
        <f ca="1">IFERROR(__xludf.DUMMYFUNCTION("if(W856=""Middle Age"",QUERY(NPCVar!$K$2:$N1000, ""Select L where K = '""&amp;AB856&amp;""'""),if(W856=""Old"",QUERY(NPCVar!$K$2:$N1000, ""Select M where K = '""&amp;AB856&amp;""'""),if(W856=""Venerable"",QUERY(NPCVar!$K$2:$N1000, ""Select N where K = '""&amp;AB856&amp;""'""),fa"&amp;"lse)))*X856"),190)</f>
        <v>190</v>
      </c>
      <c r="W856" s="156" t="str">
        <f t="array" ref="W856">INDEX(NPCAgeType,TRUNC(1+(4-1)*(TRUNC(MOD((X856*1103515245 +12345)/ 65536, 32768),0)/32768),0))</f>
        <v>Venerable</v>
      </c>
      <c r="X856" s="117">
        <f t="shared" si="61"/>
        <v>1.9</v>
      </c>
      <c r="Y856" s="157" t="e">
        <f t="array" aca="1" ref="Y856" ca="1">LOOKUP(ABS(MAX(Z856 + MIN(ABS(INDIRECT("Class Jobs!B"&amp;MATCH(E856,'Class Jobs'!$A$1:$A1000,0)&amp;":"&amp;"AF"&amp;MATCH(E856,'Class Jobs'!$A$1:$A1000,0)&amp;"")-$Z856)) * SUM(IF(MIN(ABS(INDIRECT("Class Jobs!B"&amp;MATCH(E856,'Class Jobs'!$A$1:$A1000,0)&amp;":"&amp;"AF"&amp;MATCH(E856,'Class Jobs'!$A$1:$A1000,0)&amp;"")-$Z856))=ABS(INDIRECT("Class Jobs!B"&amp;MATCH(E856,'Class Jobs'!$A$1:$A1000,0)&amp;":"&amp;"AF"&amp;MATCH(E856,'Class Jobs'!$A$1:$A1000,0)&amp;"")-$Z856),SIGN(INDIRECT("Class Jobs!B"&amp;MATCH(E856,'Class Jobs'!$A$1:A1000,0)&amp;":"&amp;"AF"&amp;MATCH(E856,'Class Jobs'!$A$1:$A1000,0)&amp;"")-$Z856),0)),0)),INDIRECT("Class Jobs!B"&amp;MATCH(E856,'Class Jobs'!$A$1:$A1000,0)&amp;":"&amp;"AF"&amp;MATCH(E856,'Class Jobs'!$A$1:$A1000,1)&amp;""),'Class Jobs'!$B$1:$AF$1)</f>
        <v>#REF!</v>
      </c>
      <c r="Z856" s="158">
        <f t="shared" si="57"/>
        <v>0.76</v>
      </c>
      <c r="AA856" s="16" t="str">
        <f t="array" ref="AA856">INDEX(NPCGender,TRUNC(1+(COUNTA(NPCGender))*(TRUNC(MOD(($B856*1103515245 +12345)/ 65536, 32768),0)/32768),0))</f>
        <v>Neutral</v>
      </c>
      <c r="AB856" s="16" t="str">
        <f t="array" ref="AB856">INDEX(NPCRace,TRUNC(1+(COUNTA(NPCRace))*(TRUNC(MOD(($B856*1103515245 +12345)/ 65536, 32768),0)/32768),0))</f>
        <v>Tiefling</v>
      </c>
      <c r="AC856" s="16" t="str">
        <f t="array" ref="AC856">INDEX(NPCAL,TRUNC(1+(COUNTA(NPCAL))*(TRUNC(MOD(($B856*1103515245 +12345)/ 65536, 32768),0)/32768),0))</f>
        <v>LG</v>
      </c>
      <c r="AD856" s="72" t="str">
        <f ca="1">IFERROR(__xludf.DUMMYFUNCTION("if(V856&lt;15,QUERY(NPCVar!C:D,""Select D WHERE C = '""&amp;D856&amp;""'""),if((TRUNC(1+10)*(TRUNC(MOD((ROW(H856)*1103515245 +12345)/ 65536, 32768),0)/32768)/10) &gt; 0.85,INDEX(NPCFaction,TRUNC(1+(counta(NPCFaction)-1)*(TRUNC(MOD(($B856*1103515245 +12345)/ 65536, 3276"&amp;"8),0)/32768),0)),QUERY(NPCVar!C:D,""Select D WHERE C = '""&amp;D856&amp;""'"")))"),"Magic Guild")</f>
        <v>Magic Guild</v>
      </c>
      <c r="AE856" s="108" t="e">
        <f t="shared" ca="1" si="58"/>
        <v>#NAME?</v>
      </c>
      <c r="AF856" s="159">
        <f ca="1">IFERROR(__xludf.DUMMYFUNCTION("AE856*(V856 / QUERY(NPCVar!$K$2:$N$12, ""Select N WHERE K='""&amp;AB856&amp;""'""))*TRUNC(1+10)*(TRUNC(MOD(($B856*1103515245 +12345)/ 65536, 32768),0)/32768)"),7.92870788574218)</f>
        <v>7.9287078857421802</v>
      </c>
      <c r="AG856" s="16"/>
      <c r="AH856" s="77"/>
      <c r="AI856" s="114"/>
    </row>
    <row r="857" spans="1:35" ht="16.2">
      <c r="A857" s="53">
        <v>856</v>
      </c>
      <c r="B857" s="118">
        <f t="shared" si="62"/>
        <v>0.47066000000000002</v>
      </c>
      <c r="C857" s="72" t="str">
        <f t="array" ref="C857">INDEX(NPCFName,TRUNC(1+(COUNTA(NPCFName))*(TRUNC(MOD(($B857*1103515245 +12345)/ 65536, 32768),0)/32768),0))</f>
        <v>Reth</v>
      </c>
      <c r="D857" s="16" t="str">
        <f t="array" ref="D857">INDEX(NPCLName,TRUNC(1+(COUNTA(NPCLName))*(TRUNC(MOD(($B857*1103515245 +12345)/ 65536, 32768),0)/32768),0))</f>
        <v>Tuskleaf</v>
      </c>
      <c r="E857" s="16" t="str">
        <f t="array" ref="E857">INDEX(NPCClass,TRUNC(1+(COUNTA(NPCClass))*(TRUNC(MOD(($B857*1103515245 +12345)/ 65536, 32768),0)/32768),0))</f>
        <v>Druid</v>
      </c>
      <c r="F857" s="76">
        <v>4</v>
      </c>
      <c r="G857" s="153">
        <f ca="1">VLOOKUP($AB$2,'RF Mod'!$A$2:$G$12,2,FALSE)+VLOOKUP($AD$2,'RF Mod'!$I$2:$O$11,2,FALSE)+(TRUNC(6+(24-6)*(TRUNC(MOD(($Z857*1103515245 +12345)/ 65536, 32768),0)/32768),0))</f>
        <v>6</v>
      </c>
      <c r="H857" s="16">
        <f t="shared" ca="1" si="49"/>
        <v>-2</v>
      </c>
      <c r="I857" s="153">
        <f ca="1">VLOOKUP($AB$2,'RF Mod'!$A$2:$G$12,3,FALSE)+VLOOKUP($AD$2,'RF Mod'!$I$2:$O$11,3,FALSE)+(TRUNC(6+(24-6)*(TRUNC(MOD(($Z857*1103515245 +12345)/ 65536, 32768),0)/32768),0))</f>
        <v>10</v>
      </c>
      <c r="J857" s="16" t="e">
        <f t="shared" ca="1" si="50"/>
        <v>#NAME?</v>
      </c>
      <c r="K857" s="153">
        <f ca="1">VLOOKUP($AB$2,'RF Mod'!$A$2:$G$12,3,FALSE)+VLOOKUP($AD$2,'RF Mod'!$I$2:$O$11,3,FALSE)+(TRUNC(6+(24-6)*(TRUNC(MOD(($Z857*1103515245 +12345)/ 65536, 32768),0)/32768),0))</f>
        <v>10</v>
      </c>
      <c r="L857" s="16" t="e">
        <f t="shared" ca="1" si="51"/>
        <v>#NAME?</v>
      </c>
      <c r="M857" s="153">
        <f ca="1">VLOOKUP($AB$2,'RF Mod'!$A$2:$G$12,4,FALSE)+VLOOKUP($AD$2,'RF Mod'!$I$2:$O$11,4,FALSE)+(TRUNC(6+(24-6)*(TRUNC(MOD(($Z857*1103515245 +12345)/ 65536, 32768),0)/32768),0))</f>
        <v>9</v>
      </c>
      <c r="N857" s="16">
        <f t="shared" ca="1" si="52"/>
        <v>-1</v>
      </c>
      <c r="O857" s="153">
        <f ca="1">VLOOKUP($AB$2,'RF Mod'!$A$2:$G$12,5,FALSE)+VLOOKUP($AD$2,'RF Mod'!$I$2:$O$11,5,FALSE)+(TRUNC(6+(24-6)*(TRUNC(MOD(($Z857*1103515245 +12345)/ 65536, 32768),0)/32768),0))</f>
        <v>12</v>
      </c>
      <c r="P857" s="16" t="e">
        <f t="shared" ca="1" si="53"/>
        <v>#NAME?</v>
      </c>
      <c r="Q857" s="153">
        <f ca="1">VLOOKUP($AB$2,'RF Mod'!$A$2:$G$12,6,FALSE)+VLOOKUP($AD$2,'RF Mod'!$I$2:$O$11,6,FALSE)+(TRUNC(6+(24-6)*(TRUNC(MOD(($Z857*1103515245 +12345)/ 65536, 32768),0)/32768),0))</f>
        <v>10</v>
      </c>
      <c r="R857" s="16" t="e">
        <f t="shared" ca="1" si="54"/>
        <v>#NAME?</v>
      </c>
      <c r="S857" s="154">
        <f t="shared" ca="1" si="59"/>
        <v>56</v>
      </c>
      <c r="T857" s="154">
        <f t="shared" ca="1" si="55"/>
        <v>61</v>
      </c>
      <c r="U857" s="16" t="str">
        <f t="shared" ca="1" si="56"/>
        <v>Dead</v>
      </c>
      <c r="V857" s="155">
        <f ca="1">IFERROR(__xludf.DUMMYFUNCTION("if(W857=""Middle Age"",QUERY(NPCVar!$K$2:$N1000, ""Select L where K = '""&amp;AB857&amp;""'""),if(W857=""Old"",QUERY(NPCVar!$K$2:$N1000, ""Select M where K = '""&amp;AB857&amp;""'""),if(W857=""Venerable"",QUERY(NPCVar!$K$2:$N1000, ""Select N where K = '""&amp;AB857&amp;""'""),fa"&amp;"lse)))*X857"),112.5)</f>
        <v>112.5</v>
      </c>
      <c r="W857" s="156" t="str">
        <f t="array" ref="W857">INDEX(NPCAgeType,TRUNC(1+(4-1)*(TRUNC(MOD((X857*1103515245 +12345)/ 65536, 32768),0)/32768),0))</f>
        <v>Middle Age</v>
      </c>
      <c r="X857" s="117">
        <f t="shared" si="61"/>
        <v>0.6</v>
      </c>
      <c r="Y857" s="157" t="e">
        <f t="array" aca="1" ref="Y857" ca="1">LOOKUP(ABS(MAX(Z857 + MIN(ABS(INDIRECT("Class Jobs!B"&amp;MATCH(E857,'Class Jobs'!$A$1:$A1000,0)&amp;":"&amp;"AF"&amp;MATCH(E857,'Class Jobs'!$A$1:$A1000,0)&amp;"")-$Z857)) * SUM(IF(MIN(ABS(INDIRECT("Class Jobs!B"&amp;MATCH(E857,'Class Jobs'!$A$1:$A1000,0)&amp;":"&amp;"AF"&amp;MATCH(E857,'Class Jobs'!$A$1:$A1000,0)&amp;"")-$Z857))=ABS(INDIRECT("Class Jobs!B"&amp;MATCH(E857,'Class Jobs'!$A$1:$A1000,0)&amp;":"&amp;"AF"&amp;MATCH(E857,'Class Jobs'!$A$1:$A1000,0)&amp;"")-$Z857),SIGN(INDIRECT("Class Jobs!B"&amp;MATCH(E857,'Class Jobs'!$A$1:A1000,0)&amp;":"&amp;"AF"&amp;MATCH(E857,'Class Jobs'!$A$1:$A1000,0)&amp;"")-$Z857),0)),0)),INDIRECT("Class Jobs!B"&amp;MATCH(E857,'Class Jobs'!$A$1:$A1000,0)&amp;":"&amp;"AF"&amp;MATCH(E857,'Class Jobs'!$A$1:$A1000,1)&amp;""),'Class Jobs'!$B$1:$AF$1)</f>
        <v>#REF!</v>
      </c>
      <c r="Z857" s="158">
        <f t="shared" si="57"/>
        <v>0.24</v>
      </c>
      <c r="AA857" s="16" t="str">
        <f t="array" ref="AA857">INDEX(NPCGender,TRUNC(1+(COUNTA(NPCGender))*(TRUNC(MOD(($B857*1103515245 +12345)/ 65536, 32768),0)/32768),0))</f>
        <v>Male</v>
      </c>
      <c r="AB857" s="16" t="str">
        <f t="array" ref="AB857">INDEX(NPCRace,TRUNC(1+(COUNTA(NPCRace))*(TRUNC(MOD(($B857*1103515245 +12345)/ 65536, 32768),0)/32768),0))</f>
        <v>Elf</v>
      </c>
      <c r="AC857" s="16" t="str">
        <f t="array" ref="AC857">INDEX(NPCAL,TRUNC(1+(COUNTA(NPCAL))*(TRUNC(MOD(($B857*1103515245 +12345)/ 65536, 32768),0)/32768),0))</f>
        <v>CG</v>
      </c>
      <c r="AD857" s="72" t="str">
        <f ca="1">IFERROR(__xludf.DUMMYFUNCTION("if(V857&lt;15,QUERY(NPCVar!C:D,""Select D WHERE C = '""&amp;D857&amp;""'""),if((TRUNC(1+10)*(TRUNC(MOD((ROW(H857)*1103515245 +12345)/ 65536, 32768),0)/32768)/10) &gt; 0.85,INDEX(NPCFaction,TRUNC(1+(counta(NPCFaction)-1)*(TRUNC(MOD(($B857*1103515245 +12345)/ 65536, 3276"&amp;"8),0)/32768),0)),QUERY(NPCVar!C:D,""Select D WHERE C = '""&amp;D857&amp;""'"")))"),"Magic Guild")</f>
        <v>Magic Guild</v>
      </c>
      <c r="AE857" s="108" t="e">
        <f t="shared" ca="1" si="58"/>
        <v>#NAME?</v>
      </c>
      <c r="AF857" s="159">
        <f ca="1">IFERROR(__xludf.DUMMYFUNCTION("AE857*(V857 / QUERY(NPCVar!$K$2:$N$12, ""Select N WHERE K='""&amp;AB857&amp;""'""))*TRUNC(1+10)*(TRUNC(MOD(($B857*1103515245 +12345)/ 65536, 32768),0)/32768)"),0.239433288574218)</f>
        <v>0.239433288574218</v>
      </c>
      <c r="AG857" s="16"/>
      <c r="AH857" s="77"/>
      <c r="AI857" s="114"/>
    </row>
    <row r="858" spans="1:35" ht="16.2">
      <c r="A858" s="53">
        <v>857</v>
      </c>
      <c r="B858" s="118">
        <f t="shared" si="62"/>
        <v>1.9648000000000001</v>
      </c>
      <c r="C858" s="72" t="str">
        <f t="array" ref="C858">INDEX(NPCFName,TRUNC(1+(COUNTA(NPCFName))*(TRUNC(MOD(($B858*1103515245 +12345)/ 65536, 32768),0)/32768),0))</f>
        <v>Airen</v>
      </c>
      <c r="D858" s="16" t="str">
        <f t="array" ref="D858">INDEX(NPCLName,TRUNC(1+(COUNTA(NPCLName))*(TRUNC(MOD(($B858*1103515245 +12345)/ 65536, 32768),0)/32768),0))</f>
        <v>Stagfang</v>
      </c>
      <c r="E858" s="16" t="str">
        <f t="array" ref="E858">INDEX(NPCClass,TRUNC(1+(COUNTA(NPCClass))*(TRUNC(MOD(($B858*1103515245 +12345)/ 65536, 32768),0)/32768),0))</f>
        <v>Barbarian</v>
      </c>
      <c r="F858" s="76">
        <v>1</v>
      </c>
      <c r="G858" s="153">
        <f ca="1">VLOOKUP($AB$2,'RF Mod'!$A$2:$G$12,2,FALSE)+VLOOKUP($AD$2,'RF Mod'!$I$2:$O$11,2,FALSE)+(TRUNC(6+(24-6)*(TRUNC(MOD(($Z858*1103515245 +12345)/ 65536, 32768),0)/32768),0))</f>
        <v>4</v>
      </c>
      <c r="H858" s="16">
        <f t="shared" ca="1" si="49"/>
        <v>-3</v>
      </c>
      <c r="I858" s="153">
        <f ca="1">VLOOKUP($AB$2,'RF Mod'!$A$2:$G$12,3,FALSE)+VLOOKUP($AD$2,'RF Mod'!$I$2:$O$11,3,FALSE)+(TRUNC(6+(24-6)*(TRUNC(MOD(($Z858*1103515245 +12345)/ 65536, 32768),0)/32768),0))</f>
        <v>8</v>
      </c>
      <c r="J858" s="16">
        <f t="shared" ca="1" si="50"/>
        <v>-1</v>
      </c>
      <c r="K858" s="153">
        <f ca="1">VLOOKUP($AB$2,'RF Mod'!$A$2:$G$12,3,FALSE)+VLOOKUP($AD$2,'RF Mod'!$I$2:$O$11,3,FALSE)+(TRUNC(6+(24-6)*(TRUNC(MOD(($Z858*1103515245 +12345)/ 65536, 32768),0)/32768),0))</f>
        <v>8</v>
      </c>
      <c r="L858" s="16">
        <f t="shared" ca="1" si="51"/>
        <v>-1</v>
      </c>
      <c r="M858" s="153">
        <f ca="1">VLOOKUP($AB$2,'RF Mod'!$A$2:$G$12,4,FALSE)+VLOOKUP($AD$2,'RF Mod'!$I$2:$O$11,4,FALSE)+(TRUNC(6+(24-6)*(TRUNC(MOD(($Z858*1103515245 +12345)/ 65536, 32768),0)/32768),0))</f>
        <v>7</v>
      </c>
      <c r="N858" s="16">
        <f t="shared" ca="1" si="52"/>
        <v>-2</v>
      </c>
      <c r="O858" s="153">
        <f ca="1">VLOOKUP($AB$2,'RF Mod'!$A$2:$G$12,5,FALSE)+VLOOKUP($AD$2,'RF Mod'!$I$2:$O$11,5,FALSE)+(TRUNC(6+(24-6)*(TRUNC(MOD(($Z858*1103515245 +12345)/ 65536, 32768),0)/32768),0))</f>
        <v>10</v>
      </c>
      <c r="P858" s="16" t="e">
        <f t="shared" ca="1" si="53"/>
        <v>#NAME?</v>
      </c>
      <c r="Q858" s="153">
        <f ca="1">VLOOKUP($AB$2,'RF Mod'!$A$2:$G$12,6,FALSE)+VLOOKUP($AD$2,'RF Mod'!$I$2:$O$11,6,FALSE)+(TRUNC(6+(24-6)*(TRUNC(MOD(($Z858*1103515245 +12345)/ 65536, 32768),0)/32768),0))</f>
        <v>8</v>
      </c>
      <c r="R858" s="16">
        <f t="shared" ca="1" si="54"/>
        <v>-1</v>
      </c>
      <c r="S858" s="154">
        <f t="shared" ca="1" si="59"/>
        <v>10</v>
      </c>
      <c r="T858" s="154">
        <f t="shared" ca="1" si="55"/>
        <v>3</v>
      </c>
      <c r="U858" s="16" t="str">
        <f t="shared" ca="1" si="56"/>
        <v>Fine</v>
      </c>
      <c r="V858" s="155">
        <f ca="1">IFERROR(__xludf.DUMMYFUNCTION("if(W858=""Middle Age"",QUERY(NPCVar!$K$2:$N1000, ""Select L where K = '""&amp;AB858&amp;""'""),if(W858=""Old"",QUERY(NPCVar!$K$2:$N1000, ""Select M where K = '""&amp;AB858&amp;""'""),if(W858=""Venerable"",QUERY(NPCVar!$K$2:$N1000, ""Select N where K = '""&amp;AB858&amp;""'""),fa"&amp;"lse)))*X858"),2)</f>
        <v>2</v>
      </c>
      <c r="W858" s="156" t="str">
        <f t="array" ref="W858">INDEX(NPCAgeType,TRUNC(1+(4-1)*(TRUNC(MOD((X858*1103515245 +12345)/ 65536, 32768),0)/32768),0))</f>
        <v>Middle Age</v>
      </c>
      <c r="X858" s="117">
        <f t="shared" si="61"/>
        <v>0.1</v>
      </c>
      <c r="Y858" s="157" t="e">
        <f t="array" aca="1" ref="Y858" ca="1">LOOKUP(ABS(MAX(Z858 + MIN(ABS(INDIRECT("Class Jobs!B"&amp;MATCH(E858,'Class Jobs'!$A$1:$A1000,0)&amp;":"&amp;"AF"&amp;MATCH(E858,'Class Jobs'!$A$1:$A1000,0)&amp;"")-$Z858)) * SUM(IF(MIN(ABS(INDIRECT("Class Jobs!B"&amp;MATCH(E858,'Class Jobs'!$A$1:$A1000,0)&amp;":"&amp;"AF"&amp;MATCH(E858,'Class Jobs'!$A$1:$A1000,0)&amp;"")-$Z858))=ABS(INDIRECT("Class Jobs!B"&amp;MATCH(E858,'Class Jobs'!$A$1:$A1000,0)&amp;":"&amp;"AF"&amp;MATCH(E858,'Class Jobs'!$A$1:$A1000,0)&amp;"")-$Z858),SIGN(INDIRECT("Class Jobs!B"&amp;MATCH(E858,'Class Jobs'!$A$1:A1000,0)&amp;":"&amp;"AF"&amp;MATCH(E858,'Class Jobs'!$A$1:$A1000,0)&amp;"")-$Z858),0)),0)),INDIRECT("Class Jobs!B"&amp;MATCH(E858,'Class Jobs'!$A$1:$A1000,0)&amp;":"&amp;"AF"&amp;MATCH(E858,'Class Jobs'!$A$1:$A1000,1)&amp;""),'Class Jobs'!$B$1:$AF$1)</f>
        <v>#REF!</v>
      </c>
      <c r="Z858" s="158">
        <f t="shared" si="57"/>
        <v>0.01</v>
      </c>
      <c r="AA858" s="16" t="str">
        <f t="array" ref="AA858">INDEX(NPCGender,TRUNC(1+(COUNTA(NPCGender))*(TRUNC(MOD(($B858*1103515245 +12345)/ 65536, 32768),0)/32768),0))</f>
        <v>Male</v>
      </c>
      <c r="AB858" s="16" t="str">
        <f t="array" ref="AB858">INDEX(NPCRace,TRUNC(1+(COUNTA(NPCRace))*(TRUNC(MOD(($B858*1103515245 +12345)/ 65536, 32768),0)/32768),0))</f>
        <v>Dragonborn</v>
      </c>
      <c r="AC858" s="16" t="str">
        <f t="array" ref="AC858">INDEX(NPCAL,TRUNC(1+(COUNTA(NPCAL))*(TRUNC(MOD(($B858*1103515245 +12345)/ 65536, 32768),0)/32768),0))</f>
        <v>CN</v>
      </c>
      <c r="AD858" s="72" t="str">
        <f ca="1">IFERROR(__xludf.DUMMYFUNCTION("if(V858&lt;15,QUERY(NPCVar!C:D,""Select D WHERE C = '""&amp;D858&amp;""'""),if((TRUNC(1+10)*(TRUNC(MOD((ROW(H858)*1103515245 +12345)/ 65536, 32768),0)/32768)/10) &gt; 0.85,INDEX(NPCFaction,TRUNC(1+(counta(NPCFaction)-1)*(TRUNC(MOD(($B858*1103515245 +12345)/ 65536, 3276"&amp;"8),0)/32768),0)),QUERY(NPCVar!C:D,""Select D WHERE C = '""&amp;D858&amp;""'"")))"),"Royalty")</f>
        <v>Royalty</v>
      </c>
      <c r="AE858" s="108" t="e">
        <f t="shared" ca="1" si="58"/>
        <v>#NAME?</v>
      </c>
      <c r="AF858" s="159">
        <f ca="1">IFERROR(__xludf.DUMMYFUNCTION("AE858*(V858 / QUERY(NPCVar!$K$2:$N$12, ""Select N WHERE K='""&amp;AB858&amp;""'""))*TRUNC(1+10)*(TRUNC(MOD(($B858*1103515245 +12345)/ 65536, 32768),0)/32768)"),0.00026519775390625)</f>
        <v>2.6519775390624998E-4</v>
      </c>
      <c r="AG858" s="16"/>
      <c r="AH858" s="77"/>
      <c r="AI858" s="114"/>
    </row>
    <row r="859" spans="1:35" ht="16.2">
      <c r="A859" s="53">
        <v>858</v>
      </c>
      <c r="B859" s="118">
        <f t="shared" si="62"/>
        <v>0.95894000000000001</v>
      </c>
      <c r="C859" s="72" t="str">
        <f t="array" ref="C859">INDEX(NPCFName,TRUNC(1+(COUNTA(NPCFName))*(TRUNC(MOD(($B859*1103515245 +12345)/ 65536, 32768),0)/32768),0))</f>
        <v>Kib</v>
      </c>
      <c r="D859" s="16" t="str">
        <f t="array" ref="D859">INDEX(NPCLName,TRUNC(1+(COUNTA(NPCLName))*(TRUNC(MOD(($B859*1103515245 +12345)/ 65536, 32768),0)/32768),0))</f>
        <v>Autumnglow</v>
      </c>
      <c r="E859" s="16" t="str">
        <f t="array" ref="E859">INDEX(NPCClass,TRUNC(1+(COUNTA(NPCClass))*(TRUNC(MOD(($B859*1103515245 +12345)/ 65536, 32768),0)/32768),0))</f>
        <v>Ranger</v>
      </c>
      <c r="F859" s="76">
        <v>8</v>
      </c>
      <c r="G859" s="153">
        <f ca="1">VLOOKUP($AB$2,'RF Mod'!$A$2:$G$12,2,FALSE)+VLOOKUP($AD$2,'RF Mod'!$I$2:$O$11,2,FALSE)+(TRUNC(6+(24-6)*(TRUNC(MOD(($Z859*1103515245 +12345)/ 65536, 32768),0)/32768),0))</f>
        <v>8</v>
      </c>
      <c r="H859" s="16">
        <f t="shared" ca="1" si="49"/>
        <v>-1</v>
      </c>
      <c r="I859" s="153">
        <f ca="1">VLOOKUP($AB$2,'RF Mod'!$A$2:$G$12,3,FALSE)+VLOOKUP($AD$2,'RF Mod'!$I$2:$O$11,3,FALSE)+(TRUNC(6+(24-6)*(TRUNC(MOD(($Z859*1103515245 +12345)/ 65536, 32768),0)/32768),0))</f>
        <v>12</v>
      </c>
      <c r="J859" s="16" t="e">
        <f t="shared" ca="1" si="50"/>
        <v>#NAME?</v>
      </c>
      <c r="K859" s="153">
        <f ca="1">VLOOKUP($AB$2,'RF Mod'!$A$2:$G$12,3,FALSE)+VLOOKUP($AD$2,'RF Mod'!$I$2:$O$11,3,FALSE)+(TRUNC(6+(24-6)*(TRUNC(MOD(($Z859*1103515245 +12345)/ 65536, 32768),0)/32768),0))</f>
        <v>12</v>
      </c>
      <c r="L859" s="16" t="e">
        <f t="shared" ca="1" si="51"/>
        <v>#NAME?</v>
      </c>
      <c r="M859" s="153">
        <f ca="1">VLOOKUP($AB$2,'RF Mod'!$A$2:$G$12,4,FALSE)+VLOOKUP($AD$2,'RF Mod'!$I$2:$O$11,4,FALSE)+(TRUNC(6+(24-6)*(TRUNC(MOD(($Z859*1103515245 +12345)/ 65536, 32768),0)/32768),0))</f>
        <v>11</v>
      </c>
      <c r="N859" s="16" t="e">
        <f t="shared" ca="1" si="52"/>
        <v>#NAME?</v>
      </c>
      <c r="O859" s="153">
        <f ca="1">VLOOKUP($AB$2,'RF Mod'!$A$2:$G$12,5,FALSE)+VLOOKUP($AD$2,'RF Mod'!$I$2:$O$11,5,FALSE)+(TRUNC(6+(24-6)*(TRUNC(MOD(($Z859*1103515245 +12345)/ 65536, 32768),0)/32768),0))</f>
        <v>14</v>
      </c>
      <c r="P859" s="16" t="e">
        <f t="shared" ca="1" si="53"/>
        <v>#NAME?</v>
      </c>
      <c r="Q859" s="153">
        <f ca="1">VLOOKUP($AB$2,'RF Mod'!$A$2:$G$12,6,FALSE)+VLOOKUP($AD$2,'RF Mod'!$I$2:$O$11,6,FALSE)+(TRUNC(6+(24-6)*(TRUNC(MOD(($Z859*1103515245 +12345)/ 65536, 32768),0)/32768),0))</f>
        <v>12</v>
      </c>
      <c r="R859" s="16" t="e">
        <f t="shared" ca="1" si="54"/>
        <v>#NAME?</v>
      </c>
      <c r="S859" s="154">
        <f t="shared" ca="1" si="59"/>
        <v>144</v>
      </c>
      <c r="T859" s="154">
        <f t="shared" ca="1" si="55"/>
        <v>142</v>
      </c>
      <c r="U859" s="16" t="str">
        <f t="shared" ca="1" si="56"/>
        <v>Bloody</v>
      </c>
      <c r="V859" s="155">
        <f ca="1">IFERROR(__xludf.DUMMYFUNCTION("if(W859=""Middle Age"",QUERY(NPCVar!$K$2:$N1000, ""Select L where K = '""&amp;AB859&amp;""'""),if(W859=""Old"",QUERY(NPCVar!$K$2:$N1000, ""Select M where K = '""&amp;AB859&amp;""'""),if(W859=""Venerable"",QUERY(NPCVar!$K$2:$N1000, ""Select N where K = '""&amp;AB859&amp;""'""),fa"&amp;"lse)))*X859"),31.5)</f>
        <v>31.5</v>
      </c>
      <c r="W859" s="156" t="str">
        <f t="array" ref="W859">INDEX(NPCAgeType,TRUNC(1+(4-1)*(TRUNC(MOD((X859*1103515245 +12345)/ 65536, 32768),0)/32768),0))</f>
        <v>Old</v>
      </c>
      <c r="X859" s="117">
        <f t="shared" si="61"/>
        <v>1.2</v>
      </c>
      <c r="Y859" s="157" t="e">
        <f t="array" aca="1" ref="Y859" ca="1">LOOKUP(ABS(MAX(Z859 + MIN(ABS(INDIRECT("Class Jobs!B"&amp;MATCH(E859,'Class Jobs'!$A$1:$A1000,0)&amp;":"&amp;"AF"&amp;MATCH(E859,'Class Jobs'!$A$1:$A1000,0)&amp;"")-$Z859)) * SUM(IF(MIN(ABS(INDIRECT("Class Jobs!B"&amp;MATCH(E859,'Class Jobs'!$A$1:$A1000,0)&amp;":"&amp;"AF"&amp;MATCH(E859,'Class Jobs'!$A$1:$A1000,0)&amp;"")-$Z859))=ABS(INDIRECT("Class Jobs!B"&amp;MATCH(E859,'Class Jobs'!$A$1:$A1000,0)&amp;":"&amp;"AF"&amp;MATCH(E859,'Class Jobs'!$A$1:$A1000,0)&amp;"")-$Z859),SIGN(INDIRECT("Class Jobs!B"&amp;MATCH(E859,'Class Jobs'!$A$1:A1000,0)&amp;":"&amp;"AF"&amp;MATCH(E859,'Class Jobs'!$A$1:$A1000,0)&amp;"")-$Z859),0)),0)),INDIRECT("Class Jobs!B"&amp;MATCH(E859,'Class Jobs'!$A$1:$A1000,0)&amp;":"&amp;"AF"&amp;MATCH(E859,'Class Jobs'!$A$1:$A1000,1)&amp;""),'Class Jobs'!$B$1:$AF$1)</f>
        <v>#REF!</v>
      </c>
      <c r="Z859" s="158">
        <f t="shared" si="57"/>
        <v>0.49</v>
      </c>
      <c r="AA859" s="16" t="str">
        <f t="array" ref="AA859">INDEX(NPCGender,TRUNC(1+(COUNTA(NPCGender))*(TRUNC(MOD(($B859*1103515245 +12345)/ 65536, 32768),0)/32768),0))</f>
        <v>Female</v>
      </c>
      <c r="AB859" s="16" t="str">
        <f t="array" ref="AB859">INDEX(NPCRace,TRUNC(1+(COUNTA(NPCRace))*(TRUNC(MOD(($B859*1103515245 +12345)/ 65536, 32768),0)/32768),0))</f>
        <v>Half-Orc</v>
      </c>
      <c r="AC859" s="16" t="str">
        <f t="array" ref="AC859">INDEX(NPCAL,TRUNC(1+(COUNTA(NPCAL))*(TRUNC(MOD(($B859*1103515245 +12345)/ 65536, 32768),0)/32768),0))</f>
        <v>NN</v>
      </c>
      <c r="AD859" s="72" t="str">
        <f ca="1">IFERROR(__xludf.DUMMYFUNCTION("if(V859&lt;15,QUERY(NPCVar!C:D,""Select D WHERE C = '""&amp;D859&amp;""'""),if((TRUNC(1+10)*(TRUNC(MOD((ROW(H859)*1103515245 +12345)/ 65536, 32768),0)/32768)/10) &gt; 0.85,INDEX(NPCFaction,TRUNC(1+(counta(NPCFaction)-1)*(TRUNC(MOD(($B859*1103515245 +12345)/ 65536, 3276"&amp;"8),0)/32768),0)),QUERY(NPCVar!C:D,""Select D WHERE C = '""&amp;D859&amp;""'"")))"),"Traders Guild")</f>
        <v>Traders Guild</v>
      </c>
      <c r="AE859" s="108" t="e">
        <f t="shared" ca="1" si="58"/>
        <v>#NAME?</v>
      </c>
      <c r="AF859" s="159">
        <f ca="1">IFERROR(__xludf.DUMMYFUNCTION("AE859*(V859 / QUERY(NPCVar!$K$2:$N$12, ""Select N WHERE K='""&amp;AB859&amp;""'""))*TRUNC(1+10)*(TRUNC(MOD(($B859*1103515245 +12345)/ 65536, 32768),0)/32768)"),2.43919830322265)</f>
        <v>2.4391983032226499</v>
      </c>
      <c r="AG859" s="16"/>
      <c r="AH859" s="77"/>
      <c r="AI859" s="114"/>
    </row>
    <row r="860" spans="1:35" ht="16.2">
      <c r="A860" s="53">
        <v>859</v>
      </c>
      <c r="B860" s="118">
        <f t="shared" si="62"/>
        <v>2.4530699999999999</v>
      </c>
      <c r="C860" s="72" t="str">
        <f t="array" ref="C860">INDEX(NPCFName,TRUNC(1+(COUNTA(NPCFName))*(TRUNC(MOD(($B860*1103515245 +12345)/ 65536, 32768),0)/32768),0))</f>
        <v>Sed</v>
      </c>
      <c r="D860" s="16" t="str">
        <f t="array" ref="D860">INDEX(NPCLName,TRUNC(1+(COUNTA(NPCLName))*(TRUNC(MOD(($B860*1103515245 +12345)/ 65536, 32768),0)/32768),0))</f>
        <v>Tuskleaf</v>
      </c>
      <c r="E860" s="16" t="str">
        <f t="array" ref="E860">INDEX(NPCClass,TRUNC(1+(COUNTA(NPCClass))*(TRUNC(MOD(($B860*1103515245 +12345)/ 65536, 32768),0)/32768),0))</f>
        <v>Monk</v>
      </c>
      <c r="F860" s="76">
        <v>1</v>
      </c>
      <c r="G860" s="153">
        <f ca="1">VLOOKUP($AB$2,'RF Mod'!$A$2:$G$12,2,FALSE)+VLOOKUP($AD$2,'RF Mod'!$I$2:$O$11,2,FALSE)+(TRUNC(6+(24-6)*(TRUNC(MOD(($Z860*1103515245 +12345)/ 65536, 32768),0)/32768),0))</f>
        <v>6</v>
      </c>
      <c r="H860" s="16">
        <f t="shared" ca="1" si="49"/>
        <v>-2</v>
      </c>
      <c r="I860" s="153">
        <f ca="1">VLOOKUP($AB$2,'RF Mod'!$A$2:$G$12,3,FALSE)+VLOOKUP($AD$2,'RF Mod'!$I$2:$O$11,3,FALSE)+(TRUNC(6+(24-6)*(TRUNC(MOD(($Z860*1103515245 +12345)/ 65536, 32768),0)/32768),0))</f>
        <v>10</v>
      </c>
      <c r="J860" s="16" t="e">
        <f t="shared" ca="1" si="50"/>
        <v>#NAME?</v>
      </c>
      <c r="K860" s="153">
        <f ca="1">VLOOKUP($AB$2,'RF Mod'!$A$2:$G$12,3,FALSE)+VLOOKUP($AD$2,'RF Mod'!$I$2:$O$11,3,FALSE)+(TRUNC(6+(24-6)*(TRUNC(MOD(($Z860*1103515245 +12345)/ 65536, 32768),0)/32768),0))</f>
        <v>10</v>
      </c>
      <c r="L860" s="16" t="e">
        <f t="shared" ca="1" si="51"/>
        <v>#NAME?</v>
      </c>
      <c r="M860" s="153">
        <f ca="1">VLOOKUP($AB$2,'RF Mod'!$A$2:$G$12,4,FALSE)+VLOOKUP($AD$2,'RF Mod'!$I$2:$O$11,4,FALSE)+(TRUNC(6+(24-6)*(TRUNC(MOD(($Z860*1103515245 +12345)/ 65536, 32768),0)/32768),0))</f>
        <v>9</v>
      </c>
      <c r="N860" s="16">
        <f t="shared" ca="1" si="52"/>
        <v>-1</v>
      </c>
      <c r="O860" s="153">
        <f ca="1">VLOOKUP($AB$2,'RF Mod'!$A$2:$G$12,5,FALSE)+VLOOKUP($AD$2,'RF Mod'!$I$2:$O$11,5,FALSE)+(TRUNC(6+(24-6)*(TRUNC(MOD(($Z860*1103515245 +12345)/ 65536, 32768),0)/32768),0))</f>
        <v>12</v>
      </c>
      <c r="P860" s="16" t="e">
        <f t="shared" ca="1" si="53"/>
        <v>#NAME?</v>
      </c>
      <c r="Q860" s="153">
        <f ca="1">VLOOKUP($AB$2,'RF Mod'!$A$2:$G$12,6,FALSE)+VLOOKUP($AD$2,'RF Mod'!$I$2:$O$11,6,FALSE)+(TRUNC(6+(24-6)*(TRUNC(MOD(($Z860*1103515245 +12345)/ 65536, 32768),0)/32768),0))</f>
        <v>10</v>
      </c>
      <c r="R860" s="16" t="e">
        <f t="shared" ca="1" si="54"/>
        <v>#NAME?</v>
      </c>
      <c r="S860" s="154">
        <f t="shared" ca="1" si="59"/>
        <v>12</v>
      </c>
      <c r="T860" s="154">
        <f t="shared" ca="1" si="55"/>
        <v>1</v>
      </c>
      <c r="U860" s="16" t="str">
        <f t="shared" ca="1" si="56"/>
        <v>Fine</v>
      </c>
      <c r="V860" s="155">
        <f ca="1">IFERROR(__xludf.DUMMYFUNCTION("if(W860=""Middle Age"",QUERY(NPCVar!$K$2:$N1000, ""Select L where K = '""&amp;AB860&amp;""'""),if(W860=""Old"",QUERY(NPCVar!$K$2:$N1000, ""Select M where K = '""&amp;AB860&amp;""'""),if(W860=""Venerable"",QUERY(NPCVar!$K$2:$N1000, ""Select N where K = '""&amp;AB860&amp;""'""),fa"&amp;"lse)))*X860"),196.875)</f>
        <v>196.875</v>
      </c>
      <c r="W860" s="156" t="str">
        <f t="array" ref="W860">INDEX(NPCAgeType,TRUNC(1+(4-1)*(TRUNC(MOD((X860*1103515245 +12345)/ 65536, 32768),0)/32768),0))</f>
        <v>Old</v>
      </c>
      <c r="X860" s="117">
        <f t="shared" si="61"/>
        <v>0.7</v>
      </c>
      <c r="Y860" s="157" t="e">
        <f t="array" aca="1" ref="Y860" ca="1">LOOKUP(ABS(MAX(Z860 + MIN(ABS(INDIRECT("Class Jobs!B"&amp;MATCH(E860,'Class Jobs'!$A$1:$A1000,0)&amp;":"&amp;"AF"&amp;MATCH(E860,'Class Jobs'!$A$1:$A1000,0)&amp;"")-$Z860)) * SUM(IF(MIN(ABS(INDIRECT("Class Jobs!B"&amp;MATCH(E860,'Class Jobs'!$A$1:$A1000,0)&amp;":"&amp;"AF"&amp;MATCH(E860,'Class Jobs'!$A$1:$A1000,0)&amp;"")-$Z860))=ABS(INDIRECT("Class Jobs!B"&amp;MATCH(E860,'Class Jobs'!$A$1:$A1000,0)&amp;":"&amp;"AF"&amp;MATCH(E860,'Class Jobs'!$A$1:$A1000,0)&amp;"")-$Z860),SIGN(INDIRECT("Class Jobs!B"&amp;MATCH(E860,'Class Jobs'!$A$1:A1000,0)&amp;":"&amp;"AF"&amp;MATCH(E860,'Class Jobs'!$A$1:$A1000,0)&amp;"")-$Z860),0)),0)),INDIRECT("Class Jobs!B"&amp;MATCH(E860,'Class Jobs'!$A$1:$A1000,0)&amp;":"&amp;"AF"&amp;MATCH(E860,'Class Jobs'!$A$1:$A1000,1)&amp;""),'Class Jobs'!$B$1:$AF$1)</f>
        <v>#REF!</v>
      </c>
      <c r="Z860" s="158">
        <f t="shared" si="57"/>
        <v>0.26</v>
      </c>
      <c r="AA860" s="16" t="str">
        <f t="array" ref="AA860">INDEX(NPCGender,TRUNC(1+(COUNTA(NPCGender))*(TRUNC(MOD(($B860*1103515245 +12345)/ 65536, 32768),0)/32768),0))</f>
        <v>Male</v>
      </c>
      <c r="AB860" s="16" t="str">
        <f t="array" ref="AB860">INDEX(NPCRace,TRUNC(1+(COUNTA(NPCRace))*(TRUNC(MOD(($B860*1103515245 +12345)/ 65536, 32768),0)/32768),0))</f>
        <v>Elf</v>
      </c>
      <c r="AC860" s="16" t="str">
        <f t="array" ref="AC860">INDEX(NPCAL,TRUNC(1+(COUNTA(NPCAL))*(TRUNC(MOD(($B860*1103515245 +12345)/ 65536, 32768),0)/32768),0))</f>
        <v>CG</v>
      </c>
      <c r="AD860" s="72" t="str">
        <f ca="1">IFERROR(__xludf.DUMMYFUNCTION("if(V860&lt;15,QUERY(NPCVar!C:D,""Select D WHERE C = '""&amp;D860&amp;""'""),if((TRUNC(1+10)*(TRUNC(MOD((ROW(H860)*1103515245 +12345)/ 65536, 32768),0)/32768)/10) &gt; 0.85,INDEX(NPCFaction,TRUNC(1+(counta(NPCFaction)-1)*(TRUNC(MOD(($B860*1103515245 +12345)/ 65536, 3276"&amp;"8),0)/32768),0)),QUERY(NPCVar!C:D,""Select D WHERE C = '""&amp;D860&amp;""'"")))"),"Traders Guild")</f>
        <v>Traders Guild</v>
      </c>
      <c r="AE860" s="108" t="e">
        <f t="shared" ca="1" si="58"/>
        <v>#NAME?</v>
      </c>
      <c r="AF860" s="159">
        <f ca="1">IFERROR(__xludf.DUMMYFUNCTION("AE860*(V860 / QUERY(NPCVar!$K$2:$N$12, ""Select N WHERE K='""&amp;AB860&amp;""'""))*TRUNC(1+10)*(TRUNC(MOD(($B860*1103515245 +12345)/ 65536, 32768),0)/32768)"),0.150455245971679)</f>
        <v>0.150455245971679</v>
      </c>
      <c r="AG860" s="16"/>
      <c r="AH860" s="77"/>
      <c r="AI860" s="114"/>
    </row>
    <row r="861" spans="1:35" ht="16.2">
      <c r="A861" s="53">
        <v>860</v>
      </c>
      <c r="B861" s="118">
        <f t="shared" si="62"/>
        <v>1.44722</v>
      </c>
      <c r="C861" s="72" t="str">
        <f t="array" ref="C861">INDEX(NPCFName,TRUNC(1+(COUNTA(NPCFName))*(TRUNC(MOD(($B861*1103515245 +12345)/ 65536, 32768),0)/32768),0))</f>
        <v>Dokoran</v>
      </c>
      <c r="D861" s="16" t="str">
        <f t="array" ref="D861">INDEX(NPCLName,TRUNC(1+(COUNTA(NPCLName))*(TRUNC(MOD(($B861*1103515245 +12345)/ 65536, 32768),0)/32768),0))</f>
        <v>Sacredgloom</v>
      </c>
      <c r="E861" s="16" t="str">
        <f t="array" ref="E861">INDEX(NPCClass,TRUNC(1+(COUNTA(NPCClass))*(TRUNC(MOD(($B861*1103515245 +12345)/ 65536, 32768),0)/32768),0))</f>
        <v>None</v>
      </c>
      <c r="F861" s="76">
        <v>8</v>
      </c>
      <c r="G861" s="153">
        <f ca="1">VLOOKUP($AB$2,'RF Mod'!$A$2:$G$12,2,FALSE)+VLOOKUP($AD$2,'RF Mod'!$I$2:$O$11,2,FALSE)+(TRUNC(6+(24-6)*(TRUNC(MOD(($Z861*1103515245 +12345)/ 65536, 32768),0)/32768),0))</f>
        <v>10</v>
      </c>
      <c r="H861" s="16" t="e">
        <f t="shared" ca="1" si="49"/>
        <v>#NAME?</v>
      </c>
      <c r="I861" s="153">
        <f ca="1">VLOOKUP($AB$2,'RF Mod'!$A$2:$G$12,3,FALSE)+VLOOKUP($AD$2,'RF Mod'!$I$2:$O$11,3,FALSE)+(TRUNC(6+(24-6)*(TRUNC(MOD(($Z861*1103515245 +12345)/ 65536, 32768),0)/32768),0))</f>
        <v>14</v>
      </c>
      <c r="J861" s="16" t="e">
        <f t="shared" ca="1" si="50"/>
        <v>#NAME?</v>
      </c>
      <c r="K861" s="153">
        <f ca="1">VLOOKUP($AB$2,'RF Mod'!$A$2:$G$12,3,FALSE)+VLOOKUP($AD$2,'RF Mod'!$I$2:$O$11,3,FALSE)+(TRUNC(6+(24-6)*(TRUNC(MOD(($Z861*1103515245 +12345)/ 65536, 32768),0)/32768),0))</f>
        <v>14</v>
      </c>
      <c r="L861" s="16" t="e">
        <f t="shared" ca="1" si="51"/>
        <v>#NAME?</v>
      </c>
      <c r="M861" s="153">
        <f ca="1">VLOOKUP($AB$2,'RF Mod'!$A$2:$G$12,4,FALSE)+VLOOKUP($AD$2,'RF Mod'!$I$2:$O$11,4,FALSE)+(TRUNC(6+(24-6)*(TRUNC(MOD(($Z861*1103515245 +12345)/ 65536, 32768),0)/32768),0))</f>
        <v>13</v>
      </c>
      <c r="N861" s="16" t="e">
        <f t="shared" ca="1" si="52"/>
        <v>#NAME?</v>
      </c>
      <c r="O861" s="153">
        <f ca="1">VLOOKUP($AB$2,'RF Mod'!$A$2:$G$12,5,FALSE)+VLOOKUP($AD$2,'RF Mod'!$I$2:$O$11,5,FALSE)+(TRUNC(6+(24-6)*(TRUNC(MOD(($Z861*1103515245 +12345)/ 65536, 32768),0)/32768),0))</f>
        <v>16</v>
      </c>
      <c r="P861" s="16" t="e">
        <f t="shared" ca="1" si="53"/>
        <v>#NAME?</v>
      </c>
      <c r="Q861" s="153">
        <f ca="1">VLOOKUP($AB$2,'RF Mod'!$A$2:$G$12,6,FALSE)+VLOOKUP($AD$2,'RF Mod'!$I$2:$O$11,6,FALSE)+(TRUNC(6+(24-6)*(TRUNC(MOD(($Z861*1103515245 +12345)/ 65536, 32768),0)/32768),0))</f>
        <v>14</v>
      </c>
      <c r="R861" s="16" t="e">
        <f t="shared" ca="1" si="54"/>
        <v>#NAME?</v>
      </c>
      <c r="S861" s="154">
        <f t="shared" ca="1" si="59"/>
        <v>208</v>
      </c>
      <c r="T861" s="154">
        <f t="shared" ca="1" si="55"/>
        <v>143</v>
      </c>
      <c r="U861" s="16" t="str">
        <f t="shared" ca="1" si="56"/>
        <v>Bloody</v>
      </c>
      <c r="V861" s="155">
        <f ca="1">IFERROR(__xludf.DUMMYFUNCTION("if(W861=""Middle Age"",QUERY(NPCVar!$K$2:$N1000, ""Select L where K = '""&amp;AB861&amp;""'""),if(W861=""Old"",QUERY(NPCVar!$K$2:$N1000, ""Select M where K = '""&amp;AB861&amp;""'""),if(W861=""Venerable"",QUERY(NPCVar!$K$2:$N1000, ""Select N where K = '""&amp;AB861&amp;""'""),fa"&amp;"lse)))*X861"),180)</f>
        <v>180</v>
      </c>
      <c r="W861" s="156" t="str">
        <f t="array" ref="W861">INDEX(NPCAgeType,TRUNC(1+(4-1)*(TRUNC(MOD((X861*1103515245 +12345)/ 65536, 32768),0)/32768),0))</f>
        <v>Venerable</v>
      </c>
      <c r="X861" s="117">
        <f t="shared" si="61"/>
        <v>1.8</v>
      </c>
      <c r="Y861" s="157" t="e">
        <f t="array" aca="1" ref="Y861" ca="1">LOOKUP(ABS(MAX(Z861 + MIN(ABS(INDIRECT("Class Jobs!B"&amp;MATCH(E861,'Class Jobs'!$A$1:$A1000,0)&amp;":"&amp;"AF"&amp;MATCH(E861,'Class Jobs'!$A$1:$A1000,0)&amp;"")-$Z861)) * SUM(IF(MIN(ABS(INDIRECT("Class Jobs!B"&amp;MATCH(E861,'Class Jobs'!$A$1:$A1000,0)&amp;":"&amp;"AF"&amp;MATCH(E861,'Class Jobs'!$A$1:$A1000,0)&amp;"")-$Z861))=ABS(INDIRECT("Class Jobs!B"&amp;MATCH(E861,'Class Jobs'!$A$1:$A1000,0)&amp;":"&amp;"AF"&amp;MATCH(E861,'Class Jobs'!$A$1:$A1000,0)&amp;"")-$Z861),SIGN(INDIRECT("Class Jobs!B"&amp;MATCH(E861,'Class Jobs'!$A$1:A1000,0)&amp;":"&amp;"AF"&amp;MATCH(E861,'Class Jobs'!$A$1:$A1000,0)&amp;"")-$Z861),0)),0)),INDIRECT("Class Jobs!B"&amp;MATCH(E861,'Class Jobs'!$A$1:$A1000,0)&amp;":"&amp;"AF"&amp;MATCH(E861,'Class Jobs'!$A$1:$A1000,1)&amp;""),'Class Jobs'!$B$1:$AF$1)</f>
        <v>#REF!</v>
      </c>
      <c r="Z861" s="158">
        <f t="shared" si="57"/>
        <v>0.74</v>
      </c>
      <c r="AA861" s="16" t="str">
        <f t="array" ref="AA861">INDEX(NPCGender,TRUNC(1+(COUNTA(NPCGender))*(TRUNC(MOD(($B861*1103515245 +12345)/ 65536, 32768),0)/32768),0))</f>
        <v>Neutral</v>
      </c>
      <c r="AB861" s="16" t="str">
        <f t="array" ref="AB861">INDEX(NPCRace,TRUNC(1+(COUNTA(NPCRace))*(TRUNC(MOD(($B861*1103515245 +12345)/ 65536, 32768),0)/32768),0))</f>
        <v>Tiefling</v>
      </c>
      <c r="AC861" s="16" t="str">
        <f t="array" ref="AC861">INDEX(NPCAL,TRUNC(1+(COUNTA(NPCAL))*(TRUNC(MOD(($B861*1103515245 +12345)/ 65536, 32768),0)/32768),0))</f>
        <v>LG</v>
      </c>
      <c r="AD861" s="72" t="str">
        <f ca="1">IFERROR(__xludf.DUMMYFUNCTION("if(V861&lt;15,QUERY(NPCVar!C:D,""Select D WHERE C = '""&amp;D861&amp;""'""),if((TRUNC(1+10)*(TRUNC(MOD((ROW(H861)*1103515245 +12345)/ 65536, 32768),0)/32768)/10) &gt; 0.85,INDEX(NPCFaction,TRUNC(1+(counta(NPCFaction)-1)*(TRUNC(MOD(($B861*1103515245 +12345)/ 65536, 3276"&amp;"8),0)/32768),0)),QUERY(NPCVar!C:D,""Select D WHERE C = '""&amp;D861&amp;""'"")))"),"Adventures Guild")</f>
        <v>Adventures Guild</v>
      </c>
      <c r="AE861" s="108" t="e">
        <f t="shared" ca="1" si="58"/>
        <v>#NAME?</v>
      </c>
      <c r="AF861" s="159">
        <f ca="1">IFERROR(__xludf.DUMMYFUNCTION("AE861*(V861 / QUERY(NPCVar!$K$2:$N$12, ""Select N WHERE K='""&amp;AB861&amp;""'""))*TRUNC(1+10)*(TRUNC(MOD(($B861*1103515245 +12345)/ 65536, 32768),0)/32768)"),14.72431640625)</f>
        <v>14.724316406250001</v>
      </c>
      <c r="AG861" s="16"/>
      <c r="AH861" s="77"/>
      <c r="AI861" s="114"/>
    </row>
    <row r="862" spans="1:35" ht="16.2">
      <c r="A862" s="53">
        <v>861</v>
      </c>
      <c r="B862" s="118">
        <f t="shared" si="62"/>
        <v>0.44129000000000002</v>
      </c>
      <c r="C862" s="72" t="str">
        <f t="array" ref="C862">INDEX(NPCFName,TRUNC(1+(COUNTA(NPCFName))*(TRUNC(MOD(($B862*1103515245 +12345)/ 65536, 32768),0)/32768),0))</f>
        <v>Phoenix</v>
      </c>
      <c r="D862" s="16" t="str">
        <f t="array" ref="D862">INDEX(NPCLName,TRUNC(1+(COUNTA(NPCLName))*(TRUNC(MOD(($B862*1103515245 +12345)/ 65536, 32768),0)/32768),0))</f>
        <v>Stillsun</v>
      </c>
      <c r="E862" s="16" t="str">
        <f t="array" ref="E862">INDEX(NPCClass,TRUNC(1+(COUNTA(NPCClass))*(TRUNC(MOD(($B862*1103515245 +12345)/ 65536, 32768),0)/32768),0))</f>
        <v>Druid</v>
      </c>
      <c r="F862" s="76">
        <v>1</v>
      </c>
      <c r="G862" s="153">
        <f ca="1">VLOOKUP($AB$2,'RF Mod'!$A$2:$G$12,2,FALSE)+VLOOKUP($AD$2,'RF Mod'!$I$2:$O$11,2,FALSE)+(TRUNC(6+(24-6)*(TRUNC(MOD(($Z862*1103515245 +12345)/ 65536, 32768),0)/32768),0))</f>
        <v>6</v>
      </c>
      <c r="H862" s="16">
        <f t="shared" ca="1" si="49"/>
        <v>-2</v>
      </c>
      <c r="I862" s="153">
        <f ca="1">VLOOKUP($AB$2,'RF Mod'!$A$2:$G$12,3,FALSE)+VLOOKUP($AD$2,'RF Mod'!$I$2:$O$11,3,FALSE)+(TRUNC(6+(24-6)*(TRUNC(MOD(($Z862*1103515245 +12345)/ 65536, 32768),0)/32768),0))</f>
        <v>10</v>
      </c>
      <c r="J862" s="16" t="e">
        <f t="shared" ca="1" si="50"/>
        <v>#NAME?</v>
      </c>
      <c r="K862" s="153">
        <f ca="1">VLOOKUP($AB$2,'RF Mod'!$A$2:$G$12,3,FALSE)+VLOOKUP($AD$2,'RF Mod'!$I$2:$O$11,3,FALSE)+(TRUNC(6+(24-6)*(TRUNC(MOD(($Z862*1103515245 +12345)/ 65536, 32768),0)/32768),0))</f>
        <v>10</v>
      </c>
      <c r="L862" s="16" t="e">
        <f t="shared" ca="1" si="51"/>
        <v>#NAME?</v>
      </c>
      <c r="M862" s="153">
        <f ca="1">VLOOKUP($AB$2,'RF Mod'!$A$2:$G$12,4,FALSE)+VLOOKUP($AD$2,'RF Mod'!$I$2:$O$11,4,FALSE)+(TRUNC(6+(24-6)*(TRUNC(MOD(($Z862*1103515245 +12345)/ 65536, 32768),0)/32768),0))</f>
        <v>9</v>
      </c>
      <c r="N862" s="16">
        <f t="shared" ca="1" si="52"/>
        <v>-1</v>
      </c>
      <c r="O862" s="153">
        <f ca="1">VLOOKUP($AB$2,'RF Mod'!$A$2:$G$12,5,FALSE)+VLOOKUP($AD$2,'RF Mod'!$I$2:$O$11,5,FALSE)+(TRUNC(6+(24-6)*(TRUNC(MOD(($Z862*1103515245 +12345)/ 65536, 32768),0)/32768),0))</f>
        <v>12</v>
      </c>
      <c r="P862" s="16" t="e">
        <f t="shared" ca="1" si="53"/>
        <v>#NAME?</v>
      </c>
      <c r="Q862" s="153">
        <f ca="1">VLOOKUP($AB$2,'RF Mod'!$A$2:$G$12,6,FALSE)+VLOOKUP($AD$2,'RF Mod'!$I$2:$O$11,6,FALSE)+(TRUNC(6+(24-6)*(TRUNC(MOD(($Z862*1103515245 +12345)/ 65536, 32768),0)/32768),0))</f>
        <v>10</v>
      </c>
      <c r="R862" s="16" t="e">
        <f t="shared" ca="1" si="54"/>
        <v>#NAME?</v>
      </c>
      <c r="S862" s="154">
        <f t="shared" ca="1" si="59"/>
        <v>12</v>
      </c>
      <c r="T862" s="154">
        <f t="shared" ca="1" si="55"/>
        <v>4</v>
      </c>
      <c r="U862" s="16" t="str">
        <f t="shared" ca="1" si="56"/>
        <v>Fine</v>
      </c>
      <c r="V862" s="155">
        <f ca="1">IFERROR(__xludf.DUMMYFUNCTION("if(W862=""Middle Age"",QUERY(NPCVar!$K$2:$N1000, ""Select L where K = '""&amp;AB862&amp;""'""),if(W862=""Old"",QUERY(NPCVar!$K$2:$N1000, ""Select M where K = '""&amp;AB862&amp;""'""),if(W862=""Venerable"",QUERY(NPCVar!$K$2:$N1000, ""Select N where K = '""&amp;AB862&amp;""'""),fa"&amp;"lse)))*X862"),112.5)</f>
        <v>112.5</v>
      </c>
      <c r="W862" s="156" t="str">
        <f t="array" ref="W862">INDEX(NPCAgeType,TRUNC(1+(4-1)*(TRUNC(MOD((X862*1103515245 +12345)/ 65536, 32768),0)/32768),0))</f>
        <v>Middle Age</v>
      </c>
      <c r="X862" s="117">
        <f t="shared" si="61"/>
        <v>0.6</v>
      </c>
      <c r="Y862" s="157" t="e">
        <f t="array" aca="1" ref="Y862" ca="1">LOOKUP(ABS(MAX(Z862 + MIN(ABS(INDIRECT("Class Jobs!B"&amp;MATCH(E862,'Class Jobs'!$A$1:$A1000,0)&amp;":"&amp;"AF"&amp;MATCH(E862,'Class Jobs'!$A$1:$A1000,0)&amp;"")-$Z862)) * SUM(IF(MIN(ABS(INDIRECT("Class Jobs!B"&amp;MATCH(E862,'Class Jobs'!$A$1:$A1000,0)&amp;":"&amp;"AF"&amp;MATCH(E862,'Class Jobs'!$A$1:$A1000,0)&amp;"")-$Z862))=ABS(INDIRECT("Class Jobs!B"&amp;MATCH(E862,'Class Jobs'!$A$1:$A1000,0)&amp;":"&amp;"AF"&amp;MATCH(E862,'Class Jobs'!$A$1:$A1000,0)&amp;"")-$Z862),SIGN(INDIRECT("Class Jobs!B"&amp;MATCH(E862,'Class Jobs'!$A$1:A1000,0)&amp;":"&amp;"AF"&amp;MATCH(E862,'Class Jobs'!$A$1:$A1000,0)&amp;"")-$Z862),0)),0)),INDIRECT("Class Jobs!B"&amp;MATCH(E862,'Class Jobs'!$A$1:$A1000,0)&amp;":"&amp;"AF"&amp;MATCH(E862,'Class Jobs'!$A$1:$A1000,1)&amp;""),'Class Jobs'!$B$1:$AF$1)</f>
        <v>#REF!</v>
      </c>
      <c r="Z862" s="158">
        <f t="shared" si="57"/>
        <v>0.23</v>
      </c>
      <c r="AA862" s="16" t="str">
        <f t="array" ref="AA862">INDEX(NPCGender,TRUNC(1+(COUNTA(NPCGender))*(TRUNC(MOD(($B862*1103515245 +12345)/ 65536, 32768),0)/32768),0))</f>
        <v>Male</v>
      </c>
      <c r="AB862" s="16" t="str">
        <f t="array" ref="AB862">INDEX(NPCRace,TRUNC(1+(COUNTA(NPCRace))*(TRUNC(MOD(($B862*1103515245 +12345)/ 65536, 32768),0)/32768),0))</f>
        <v>Elf</v>
      </c>
      <c r="AC862" s="16" t="str">
        <f t="array" ref="AC862">INDEX(NPCAL,TRUNC(1+(COUNTA(NPCAL))*(TRUNC(MOD(($B862*1103515245 +12345)/ 65536, 32768),0)/32768),0))</f>
        <v>CG</v>
      </c>
      <c r="AD862" s="72" t="str">
        <f ca="1">IFERROR(__xludf.DUMMYFUNCTION("if(V862&lt;15,QUERY(NPCVar!C:D,""Select D WHERE C = '""&amp;D862&amp;""'""),if((TRUNC(1+10)*(TRUNC(MOD((ROW(H862)*1103515245 +12345)/ 65536, 32768),0)/32768)/10) &gt; 0.85,INDEX(NPCFaction,TRUNC(1+(counta(NPCFaction)-1)*(TRUNC(MOD(($B862*1103515245 +12345)/ 65536, 3276"&amp;"8),0)/32768),0)),QUERY(NPCVar!C:D,""Select D WHERE C = '""&amp;D862&amp;""'"")))"),"Traders Guild")</f>
        <v>Traders Guild</v>
      </c>
      <c r="AE862" s="108" t="e">
        <f t="shared" ca="1" si="58"/>
        <v>#NAME?</v>
      </c>
      <c r="AF862" s="159">
        <f ca="1">IFERROR(__xludf.DUMMYFUNCTION("AE862*(V862 / QUERY(NPCVar!$K$2:$N$12, ""Select N WHERE K='""&amp;AB862&amp;""'""))*TRUNC(1+10)*(TRUNC(MOD(($B862*1103515245 +12345)/ 65536, 32768),0)/32768)"),0.0748260498046874)</f>
        <v>7.4826049804687406E-2</v>
      </c>
      <c r="AG862" s="16"/>
      <c r="AH862" s="77"/>
      <c r="AI862" s="114"/>
    </row>
    <row r="863" spans="1:35" ht="16.2">
      <c r="A863" s="53">
        <v>862</v>
      </c>
      <c r="B863" s="118">
        <f t="shared" si="62"/>
        <v>1.9354199999999999</v>
      </c>
      <c r="C863" s="72" t="str">
        <f t="array" ref="C863">INDEX(NPCFName,TRUNC(1+(COUNTA(NPCFName))*(TRUNC(MOD(($B863*1103515245 +12345)/ 65536, 32768),0)/32768),0))</f>
        <v>Zessfar</v>
      </c>
      <c r="D863" s="16" t="str">
        <f t="array" ref="D863">INDEX(NPCLName,TRUNC(1+(COUNTA(NPCLName))*(TRUNC(MOD(($B863*1103515245 +12345)/ 65536, 32768),0)/32768),0))</f>
        <v>Stillspell</v>
      </c>
      <c r="E863" s="16" t="str">
        <f t="array" ref="E863">INDEX(NPCClass,TRUNC(1+(COUNTA(NPCClass))*(TRUNC(MOD(($B863*1103515245 +12345)/ 65536, 32768),0)/32768),0))</f>
        <v>Wizard</v>
      </c>
      <c r="F863" s="76">
        <v>8</v>
      </c>
      <c r="G863" s="153">
        <f ca="1">VLOOKUP($AB$2,'RF Mod'!$A$2:$G$12,2,FALSE)+VLOOKUP($AD$2,'RF Mod'!$I$2:$O$11,2,FALSE)+(TRUNC(6+(24-6)*(TRUNC(MOD(($Z863*1103515245 +12345)/ 65536, 32768),0)/32768),0))</f>
        <v>13</v>
      </c>
      <c r="H863" s="16" t="e">
        <f t="shared" ca="1" si="49"/>
        <v>#NAME?</v>
      </c>
      <c r="I863" s="153">
        <f ca="1">VLOOKUP($AB$2,'RF Mod'!$A$2:$G$12,3,FALSE)+VLOOKUP($AD$2,'RF Mod'!$I$2:$O$11,3,FALSE)+(TRUNC(6+(24-6)*(TRUNC(MOD(($Z863*1103515245 +12345)/ 65536, 32768),0)/32768),0))</f>
        <v>17</v>
      </c>
      <c r="J863" s="16" t="e">
        <f t="shared" ca="1" si="50"/>
        <v>#NAME?</v>
      </c>
      <c r="K863" s="153">
        <f ca="1">VLOOKUP($AB$2,'RF Mod'!$A$2:$G$12,3,FALSE)+VLOOKUP($AD$2,'RF Mod'!$I$2:$O$11,3,FALSE)+(TRUNC(6+(24-6)*(TRUNC(MOD(($Z863*1103515245 +12345)/ 65536, 32768),0)/32768),0))</f>
        <v>17</v>
      </c>
      <c r="L863" s="16" t="e">
        <f t="shared" ca="1" si="51"/>
        <v>#NAME?</v>
      </c>
      <c r="M863" s="153">
        <f ca="1">VLOOKUP($AB$2,'RF Mod'!$A$2:$G$12,4,FALSE)+VLOOKUP($AD$2,'RF Mod'!$I$2:$O$11,4,FALSE)+(TRUNC(6+(24-6)*(TRUNC(MOD(($Z863*1103515245 +12345)/ 65536, 32768),0)/32768),0))</f>
        <v>16</v>
      </c>
      <c r="N863" s="16" t="e">
        <f t="shared" ca="1" si="52"/>
        <v>#NAME?</v>
      </c>
      <c r="O863" s="153">
        <f ca="1">VLOOKUP($AB$2,'RF Mod'!$A$2:$G$12,5,FALSE)+VLOOKUP($AD$2,'RF Mod'!$I$2:$O$11,5,FALSE)+(TRUNC(6+(24-6)*(TRUNC(MOD(($Z863*1103515245 +12345)/ 65536, 32768),0)/32768),0))</f>
        <v>19</v>
      </c>
      <c r="P863" s="16" t="e">
        <f t="shared" ca="1" si="53"/>
        <v>#NAME?</v>
      </c>
      <c r="Q863" s="153">
        <f ca="1">VLOOKUP($AB$2,'RF Mod'!$A$2:$G$12,6,FALSE)+VLOOKUP($AD$2,'RF Mod'!$I$2:$O$11,6,FALSE)+(TRUNC(6+(24-6)*(TRUNC(MOD(($Z863*1103515245 +12345)/ 65536, 32768),0)/32768),0))</f>
        <v>17</v>
      </c>
      <c r="R863" s="16" t="e">
        <f t="shared" ca="1" si="54"/>
        <v>#NAME?</v>
      </c>
      <c r="S863" s="154">
        <f t="shared" ca="1" si="59"/>
        <v>200</v>
      </c>
      <c r="T863" s="154">
        <f t="shared" ca="1" si="55"/>
        <v>14</v>
      </c>
      <c r="U863" s="16" t="str">
        <f t="shared" ca="1" si="56"/>
        <v>Fine</v>
      </c>
      <c r="V863" s="155">
        <f ca="1">IFERROR(__xludf.DUMMYFUNCTION("if(W863=""Middle Age"",QUERY(NPCVar!$K$2:$N1000, ""Select L where K = '""&amp;AB863&amp;""'""),if(W863=""Old"",QUERY(NPCVar!$K$2:$N1000, ""Select M where K = '""&amp;AB863&amp;""'""),if(W863=""Venerable"",QUERY(NPCVar!$K$2:$N1000, ""Select N where K = '""&amp;AB863&amp;""'""),fa"&amp;"lse)))*X863"),72)</f>
        <v>72</v>
      </c>
      <c r="W863" s="156" t="str">
        <f t="array" ref="W863">INDEX(NPCAgeType,TRUNC(1+(4-1)*(TRUNC(MOD((X863*1103515245 +12345)/ 65536, 32768),0)/32768),0))</f>
        <v>Middle Age</v>
      </c>
      <c r="X863" s="117">
        <f t="shared" si="61"/>
        <v>2.4</v>
      </c>
      <c r="Y863" s="157" t="e">
        <f t="array" aca="1" ref="Y863" ca="1">LOOKUP(ABS(MAX(Z863 + MIN(ABS(INDIRECT("Class Jobs!B"&amp;MATCH(E863,'Class Jobs'!$A$1:$A1000,0)&amp;":"&amp;"AF"&amp;MATCH(E863,'Class Jobs'!$A$1:$A1000,0)&amp;"")-$Z863)) * SUM(IF(MIN(ABS(INDIRECT("Class Jobs!B"&amp;MATCH(E863,'Class Jobs'!$A$1:$A1000,0)&amp;":"&amp;"AF"&amp;MATCH(E863,'Class Jobs'!$A$1:$A1000,0)&amp;"")-$Z863))=ABS(INDIRECT("Class Jobs!B"&amp;MATCH(E863,'Class Jobs'!$A$1:$A1000,0)&amp;":"&amp;"AF"&amp;MATCH(E863,'Class Jobs'!$A$1:$A1000,0)&amp;"")-$Z863),SIGN(INDIRECT("Class Jobs!B"&amp;MATCH(E863,'Class Jobs'!$A$1:A1000,0)&amp;":"&amp;"AF"&amp;MATCH(E863,'Class Jobs'!$A$1:$A1000,0)&amp;"")-$Z863),0)),0)),INDIRECT("Class Jobs!B"&amp;MATCH(E863,'Class Jobs'!$A$1:$A1000,0)&amp;":"&amp;"AF"&amp;MATCH(E863,'Class Jobs'!$A$1:$A1000,1)&amp;""),'Class Jobs'!$B$1:$AF$1)</f>
        <v>#REF!</v>
      </c>
      <c r="Z863" s="158">
        <f t="shared" si="57"/>
        <v>0.99</v>
      </c>
      <c r="AA863" s="16" t="str">
        <f t="array" ref="AA863">INDEX(NPCGender,TRUNC(1+(COUNTA(NPCGender))*(TRUNC(MOD(($B863*1103515245 +12345)/ 65536, 32768),0)/32768),0))</f>
        <v>Neutral</v>
      </c>
      <c r="AB863" s="16" t="str">
        <f t="array" ref="AB863">INDEX(NPCRace,TRUNC(1+(COUNTA(NPCRace))*(TRUNC(MOD(($B863*1103515245 +12345)/ 65536, 32768),0)/32768),0))</f>
        <v>Goliath</v>
      </c>
      <c r="AC863" s="16" t="str">
        <f t="array" ref="AC863">INDEX(NPCAL,TRUNC(1+(COUNTA(NPCAL))*(TRUNC(MOD(($B863*1103515245 +12345)/ 65536, 32768),0)/32768),0))</f>
        <v>LE</v>
      </c>
      <c r="AD863" s="72" t="str">
        <f ca="1">IFERROR(__xludf.DUMMYFUNCTION("if(V863&lt;15,QUERY(NPCVar!C:D,""Select D WHERE C = '""&amp;D863&amp;""'""),if((TRUNC(1+10)*(TRUNC(MOD((ROW(H863)*1103515245 +12345)/ 65536, 32768),0)/32768)/10) &gt; 0.85,INDEX(NPCFaction,TRUNC(1+(counta(NPCFaction)-1)*(TRUNC(MOD(($B863*1103515245 +12345)/ 65536, 3276"&amp;"8),0)/32768),0)),QUERY(NPCVar!C:D,""Select D WHERE C = '""&amp;D863&amp;""'"")))"),"Followers of Isis")</f>
        <v>Followers of Isis</v>
      </c>
      <c r="AE863" s="108" t="e">
        <f t="shared" ca="1" si="58"/>
        <v>#NAME?</v>
      </c>
      <c r="AF863" s="159">
        <f ca="1">IFERROR(__xludf.DUMMYFUNCTION("AE863*(V863 / QUERY(NPCVar!$K$2:$N$12, ""Select N WHERE K='""&amp;AB863&amp;""'""))*TRUNC(1+10)*(TRUNC(MOD(($B863*1103515245 +12345)/ 65536, 32768),0)/32768)"),6.56394653320312)</f>
        <v>6.5639465332031204</v>
      </c>
      <c r="AG863" s="16"/>
      <c r="AH863" s="77"/>
      <c r="AI863" s="114"/>
    </row>
    <row r="864" spans="1:35" ht="16.2">
      <c r="A864" s="53">
        <v>863</v>
      </c>
      <c r="B864" s="118">
        <f t="shared" si="62"/>
        <v>0.92957000000000001</v>
      </c>
      <c r="C864" s="72" t="str">
        <f t="array" ref="C864">INDEX(NPCFName,TRUNC(1+(COUNTA(NPCFName))*(TRUNC(MOD(($B864*1103515245 +12345)/ 65536, 32768),0)/32768),0))</f>
        <v>Irefist</v>
      </c>
      <c r="D864" s="16" t="str">
        <f t="array" ref="D864">INDEX(NPCLName,TRUNC(1+(COUNTA(NPCLName))*(TRUNC(MOD(($B864*1103515245 +12345)/ 65536, 32768),0)/32768),0))</f>
        <v>Autumnglow</v>
      </c>
      <c r="E864" s="16" t="str">
        <f t="array" ref="E864">INDEX(NPCClass,TRUNC(1+(COUNTA(NPCClass))*(TRUNC(MOD(($B864*1103515245 +12345)/ 65536, 32768),0)/32768),0))</f>
        <v>Ranger</v>
      </c>
      <c r="F864" s="76">
        <v>7</v>
      </c>
      <c r="G864" s="153">
        <f ca="1">VLOOKUP($AB$2,'RF Mod'!$A$2:$G$12,2,FALSE)+VLOOKUP($AD$2,'RF Mod'!$I$2:$O$11,2,FALSE)+(TRUNC(6+(24-6)*(TRUNC(MOD(($Z864*1103515245 +12345)/ 65536, 32768),0)/32768),0))</f>
        <v>8</v>
      </c>
      <c r="H864" s="16">
        <f t="shared" ca="1" si="49"/>
        <v>-1</v>
      </c>
      <c r="I864" s="153">
        <f ca="1">VLOOKUP($AB$2,'RF Mod'!$A$2:$G$12,3,FALSE)+VLOOKUP($AD$2,'RF Mod'!$I$2:$O$11,3,FALSE)+(TRUNC(6+(24-6)*(TRUNC(MOD(($Z864*1103515245 +12345)/ 65536, 32768),0)/32768),0))</f>
        <v>12</v>
      </c>
      <c r="J864" s="16" t="e">
        <f t="shared" ca="1" si="50"/>
        <v>#NAME?</v>
      </c>
      <c r="K864" s="153">
        <f ca="1">VLOOKUP($AB$2,'RF Mod'!$A$2:$G$12,3,FALSE)+VLOOKUP($AD$2,'RF Mod'!$I$2:$O$11,3,FALSE)+(TRUNC(6+(24-6)*(TRUNC(MOD(($Z864*1103515245 +12345)/ 65536, 32768),0)/32768),0))</f>
        <v>12</v>
      </c>
      <c r="L864" s="16" t="e">
        <f t="shared" ca="1" si="51"/>
        <v>#NAME?</v>
      </c>
      <c r="M864" s="153">
        <f ca="1">VLOOKUP($AB$2,'RF Mod'!$A$2:$G$12,4,FALSE)+VLOOKUP($AD$2,'RF Mod'!$I$2:$O$11,4,FALSE)+(TRUNC(6+(24-6)*(TRUNC(MOD(($Z864*1103515245 +12345)/ 65536, 32768),0)/32768),0))</f>
        <v>11</v>
      </c>
      <c r="N864" s="16" t="e">
        <f t="shared" ca="1" si="52"/>
        <v>#NAME?</v>
      </c>
      <c r="O864" s="153">
        <f ca="1">VLOOKUP($AB$2,'RF Mod'!$A$2:$G$12,5,FALSE)+VLOOKUP($AD$2,'RF Mod'!$I$2:$O$11,5,FALSE)+(TRUNC(6+(24-6)*(TRUNC(MOD(($Z864*1103515245 +12345)/ 65536, 32768),0)/32768),0))</f>
        <v>14</v>
      </c>
      <c r="P864" s="16" t="e">
        <f t="shared" ca="1" si="53"/>
        <v>#NAME?</v>
      </c>
      <c r="Q864" s="153">
        <f ca="1">VLOOKUP($AB$2,'RF Mod'!$A$2:$G$12,6,FALSE)+VLOOKUP($AD$2,'RF Mod'!$I$2:$O$11,6,FALSE)+(TRUNC(6+(24-6)*(TRUNC(MOD(($Z864*1103515245 +12345)/ 65536, 32768),0)/32768),0))</f>
        <v>12</v>
      </c>
      <c r="R864" s="16" t="e">
        <f t="shared" ca="1" si="54"/>
        <v>#NAME?</v>
      </c>
      <c r="S864" s="154">
        <f t="shared" ca="1" si="59"/>
        <v>182</v>
      </c>
      <c r="T864" s="154">
        <f t="shared" ca="1" si="55"/>
        <v>34</v>
      </c>
      <c r="U864" s="16" t="str">
        <f t="shared" ca="1" si="56"/>
        <v>Fine</v>
      </c>
      <c r="V864" s="155">
        <f ca="1">IFERROR(__xludf.DUMMYFUNCTION("if(W864=""Middle Age"",QUERY(NPCVar!$K$2:$N1000, ""Select L where K = '""&amp;AB864&amp;""'""),if(W864=""Old"",QUERY(NPCVar!$K$2:$N1000, ""Select M where K = '""&amp;AB864&amp;""'""),if(W864=""Venerable"",QUERY(NPCVar!$K$2:$N1000, ""Select N where K = '""&amp;AB864&amp;""'""),fa"&amp;"lse)))*X864"),31.5)</f>
        <v>31.5</v>
      </c>
      <c r="W864" s="156" t="str">
        <f t="array" ref="W864">INDEX(NPCAgeType,TRUNC(1+(4-1)*(TRUNC(MOD((X864*1103515245 +12345)/ 65536, 32768),0)/32768),0))</f>
        <v>Old</v>
      </c>
      <c r="X864" s="117">
        <f t="shared" si="61"/>
        <v>1.2</v>
      </c>
      <c r="Y864" s="157" t="e">
        <f t="array" aca="1" ref="Y864" ca="1">LOOKUP(ABS(MAX(Z864 + MIN(ABS(INDIRECT("Class Jobs!B"&amp;MATCH(E864,'Class Jobs'!$A$1:$A1000,0)&amp;":"&amp;"AF"&amp;MATCH(E864,'Class Jobs'!$A$1:$A1000,0)&amp;"")-$Z864)) * SUM(IF(MIN(ABS(INDIRECT("Class Jobs!B"&amp;MATCH(E864,'Class Jobs'!$A$1:$A1000,0)&amp;":"&amp;"AF"&amp;MATCH(E864,'Class Jobs'!$A$1:$A1000,0)&amp;"")-$Z864))=ABS(INDIRECT("Class Jobs!B"&amp;MATCH(E864,'Class Jobs'!$A$1:$A1000,0)&amp;":"&amp;"AF"&amp;MATCH(E864,'Class Jobs'!$A$1:$A1000,0)&amp;"")-$Z864),SIGN(INDIRECT("Class Jobs!B"&amp;MATCH(E864,'Class Jobs'!$A$1:A1000,0)&amp;":"&amp;"AF"&amp;MATCH(E864,'Class Jobs'!$A$1:$A1000,0)&amp;"")-$Z864),0)),0)),INDIRECT("Class Jobs!B"&amp;MATCH(E864,'Class Jobs'!$A$1:$A1000,0)&amp;":"&amp;"AF"&amp;MATCH(E864,'Class Jobs'!$A$1:$A1000,1)&amp;""),'Class Jobs'!$B$1:$AF$1)</f>
        <v>#REF!</v>
      </c>
      <c r="Z864" s="158">
        <f t="shared" si="57"/>
        <v>0.48</v>
      </c>
      <c r="AA864" s="16" t="str">
        <f t="array" ref="AA864">INDEX(NPCGender,TRUNC(1+(COUNTA(NPCGender))*(TRUNC(MOD(($B864*1103515245 +12345)/ 65536, 32768),0)/32768),0))</f>
        <v>Female</v>
      </c>
      <c r="AB864" s="16" t="str">
        <f t="array" ref="AB864">INDEX(NPCRace,TRUNC(1+(COUNTA(NPCRace))*(TRUNC(MOD(($B864*1103515245 +12345)/ 65536, 32768),0)/32768),0))</f>
        <v>Half-Orc</v>
      </c>
      <c r="AC864" s="16" t="str">
        <f t="array" ref="AC864">INDEX(NPCAL,TRUNC(1+(COUNTA(NPCAL))*(TRUNC(MOD(($B864*1103515245 +12345)/ 65536, 32768),0)/32768),0))</f>
        <v>NN</v>
      </c>
      <c r="AD864" s="72" t="str">
        <f ca="1">IFERROR(__xludf.DUMMYFUNCTION("if(V864&lt;15,QUERY(NPCVar!C:D,""Select D WHERE C = '""&amp;D864&amp;""'""),if((TRUNC(1+10)*(TRUNC(MOD((ROW(H864)*1103515245 +12345)/ 65536, 32768),0)/32768)/10) &gt; 0.85,INDEX(NPCFaction,TRUNC(1+(counta(NPCFaction)-1)*(TRUNC(MOD(($B864*1103515245 +12345)/ 65536, 3276"&amp;"8),0)/32768),0)),QUERY(NPCVar!C:D,""Select D WHERE C = '""&amp;D864&amp;""'"")))"),"Thieves Guild")</f>
        <v>Thieves Guild</v>
      </c>
      <c r="AE864" s="108" t="e">
        <f t="shared" ca="1" si="58"/>
        <v>#NAME?</v>
      </c>
      <c r="AF864" s="159">
        <f ca="1">IFERROR(__xludf.DUMMYFUNCTION("AE864*(V864 / QUERY(NPCVar!$K$2:$N$12, ""Select N WHERE K='""&amp;AB864&amp;""'""))*TRUNC(1+10)*(TRUNC(MOD(($B864*1103515245 +12345)/ 65536, 32768),0)/32768)"),1.41865356445312)</f>
        <v>1.41865356445312</v>
      </c>
      <c r="AG864" s="16"/>
      <c r="AH864" s="77"/>
      <c r="AI864" s="114"/>
    </row>
    <row r="865" spans="1:35" ht="16.2">
      <c r="A865" s="53">
        <v>864</v>
      </c>
      <c r="B865" s="118">
        <f t="shared" si="62"/>
        <v>2.4237000000000002</v>
      </c>
      <c r="C865" s="72" t="str">
        <f t="array" ref="C865">INDEX(NPCFName,TRUNC(1+(COUNTA(NPCFName))*(TRUNC(MOD(($B865*1103515245 +12345)/ 65536, 32768),0)/32768),0))</f>
        <v>Rikar</v>
      </c>
      <c r="D865" s="16" t="str">
        <f t="array" ref="D865">INDEX(NPCLName,TRUNC(1+(COUNTA(NPCLName))*(TRUNC(MOD(($B865*1103515245 +12345)/ 65536, 32768),0)/32768),0))</f>
        <v>Tuskleaf</v>
      </c>
      <c r="E865" s="16" t="str">
        <f t="array" ref="E865">INDEX(NPCClass,TRUNC(1+(COUNTA(NPCClass))*(TRUNC(MOD(($B865*1103515245 +12345)/ 65536, 32768),0)/32768),0))</f>
        <v>Druid</v>
      </c>
      <c r="F865" s="76">
        <v>3</v>
      </c>
      <c r="G865" s="153">
        <f ca="1">VLOOKUP($AB$2,'RF Mod'!$A$2:$G$12,2,FALSE)+VLOOKUP($AD$2,'RF Mod'!$I$2:$O$11,2,FALSE)+(TRUNC(6+(24-6)*(TRUNC(MOD(($Z865*1103515245 +12345)/ 65536, 32768),0)/32768),0))</f>
        <v>6</v>
      </c>
      <c r="H865" s="16">
        <f t="shared" ca="1" si="49"/>
        <v>-2</v>
      </c>
      <c r="I865" s="153">
        <f ca="1">VLOOKUP($AB$2,'RF Mod'!$A$2:$G$12,3,FALSE)+VLOOKUP($AD$2,'RF Mod'!$I$2:$O$11,3,FALSE)+(TRUNC(6+(24-6)*(TRUNC(MOD(($Z865*1103515245 +12345)/ 65536, 32768),0)/32768),0))</f>
        <v>10</v>
      </c>
      <c r="J865" s="16" t="e">
        <f t="shared" ca="1" si="50"/>
        <v>#NAME?</v>
      </c>
      <c r="K865" s="153">
        <f ca="1">VLOOKUP($AB$2,'RF Mod'!$A$2:$G$12,3,FALSE)+VLOOKUP($AD$2,'RF Mod'!$I$2:$O$11,3,FALSE)+(TRUNC(6+(24-6)*(TRUNC(MOD(($Z865*1103515245 +12345)/ 65536, 32768),0)/32768),0))</f>
        <v>10</v>
      </c>
      <c r="L865" s="16" t="e">
        <f t="shared" ca="1" si="51"/>
        <v>#NAME?</v>
      </c>
      <c r="M865" s="153">
        <f ca="1">VLOOKUP($AB$2,'RF Mod'!$A$2:$G$12,4,FALSE)+VLOOKUP($AD$2,'RF Mod'!$I$2:$O$11,4,FALSE)+(TRUNC(6+(24-6)*(TRUNC(MOD(($Z865*1103515245 +12345)/ 65536, 32768),0)/32768),0))</f>
        <v>9</v>
      </c>
      <c r="N865" s="16">
        <f t="shared" ca="1" si="52"/>
        <v>-1</v>
      </c>
      <c r="O865" s="153">
        <f ca="1">VLOOKUP($AB$2,'RF Mod'!$A$2:$G$12,5,FALSE)+VLOOKUP($AD$2,'RF Mod'!$I$2:$O$11,5,FALSE)+(TRUNC(6+(24-6)*(TRUNC(MOD(($Z865*1103515245 +12345)/ 65536, 32768),0)/32768),0))</f>
        <v>12</v>
      </c>
      <c r="P865" s="16" t="e">
        <f t="shared" ca="1" si="53"/>
        <v>#NAME?</v>
      </c>
      <c r="Q865" s="153">
        <f ca="1">VLOOKUP($AB$2,'RF Mod'!$A$2:$G$12,6,FALSE)+VLOOKUP($AD$2,'RF Mod'!$I$2:$O$11,6,FALSE)+(TRUNC(6+(24-6)*(TRUNC(MOD(($Z865*1103515245 +12345)/ 65536, 32768),0)/32768),0))</f>
        <v>10</v>
      </c>
      <c r="R865" s="16" t="e">
        <f t="shared" ca="1" si="54"/>
        <v>#NAME?</v>
      </c>
      <c r="S865" s="154">
        <f t="shared" ca="1" si="59"/>
        <v>42</v>
      </c>
      <c r="T865" s="154">
        <f t="shared" ca="1" si="55"/>
        <v>25</v>
      </c>
      <c r="U865" s="16" t="str">
        <f t="shared" ca="1" si="56"/>
        <v>Bloody</v>
      </c>
      <c r="V865" s="155">
        <f ca="1">IFERROR(__xludf.DUMMYFUNCTION("if(W865=""Middle Age"",QUERY(NPCVar!$K$2:$N1000, ""Select L where K = '""&amp;AB865&amp;""'""),if(W865=""Old"",QUERY(NPCVar!$K$2:$N1000, ""Select M where K = '""&amp;AB865&amp;""'""),if(W865=""Venerable"",QUERY(NPCVar!$K$2:$N1000, ""Select N where K = '""&amp;AB865&amp;""'""),fa"&amp;"lse)))*X865"),112.5)</f>
        <v>112.5</v>
      </c>
      <c r="W865" s="156" t="str">
        <f t="array" ref="W865">INDEX(NPCAgeType,TRUNC(1+(4-1)*(TRUNC(MOD((X865*1103515245 +12345)/ 65536, 32768),0)/32768),0))</f>
        <v>Middle Age</v>
      </c>
      <c r="X865" s="117">
        <f t="shared" si="61"/>
        <v>0.6</v>
      </c>
      <c r="Y865" s="157" t="e">
        <f t="array" aca="1" ref="Y865" ca="1">LOOKUP(ABS(MAX(Z865 + MIN(ABS(INDIRECT("Class Jobs!B"&amp;MATCH(E865,'Class Jobs'!$A$1:$A1000,0)&amp;":"&amp;"AF"&amp;MATCH(E865,'Class Jobs'!$A$1:$A1000,0)&amp;"")-$Z865)) * SUM(IF(MIN(ABS(INDIRECT("Class Jobs!B"&amp;MATCH(E865,'Class Jobs'!$A$1:$A1000,0)&amp;":"&amp;"AF"&amp;MATCH(E865,'Class Jobs'!$A$1:$A1000,0)&amp;"")-$Z865))=ABS(INDIRECT("Class Jobs!B"&amp;MATCH(E865,'Class Jobs'!$A$1:$A1000,0)&amp;":"&amp;"AF"&amp;MATCH(E865,'Class Jobs'!$A$1:$A1000,0)&amp;"")-$Z865),SIGN(INDIRECT("Class Jobs!B"&amp;MATCH(E865,'Class Jobs'!$A$1:A1000,0)&amp;":"&amp;"AF"&amp;MATCH(E865,'Class Jobs'!$A$1:$A1000,0)&amp;"")-$Z865),0)),0)),INDIRECT("Class Jobs!B"&amp;MATCH(E865,'Class Jobs'!$A$1:$A1000,0)&amp;":"&amp;"AF"&amp;MATCH(E865,'Class Jobs'!$A$1:$A1000,1)&amp;""),'Class Jobs'!$B$1:$AF$1)</f>
        <v>#REF!</v>
      </c>
      <c r="Z865" s="158">
        <f t="shared" si="57"/>
        <v>0.25</v>
      </c>
      <c r="AA865" s="16" t="str">
        <f t="array" ref="AA865">INDEX(NPCGender,TRUNC(1+(COUNTA(NPCGender))*(TRUNC(MOD(($B865*1103515245 +12345)/ 65536, 32768),0)/32768),0))</f>
        <v>Male</v>
      </c>
      <c r="AB865" s="16" t="str">
        <f t="array" ref="AB865">INDEX(NPCRace,TRUNC(1+(COUNTA(NPCRace))*(TRUNC(MOD(($B865*1103515245 +12345)/ 65536, 32768),0)/32768),0))</f>
        <v>Elf</v>
      </c>
      <c r="AC865" s="16" t="str">
        <f t="array" ref="AC865">INDEX(NPCAL,TRUNC(1+(COUNTA(NPCAL))*(TRUNC(MOD(($B865*1103515245 +12345)/ 65536, 32768),0)/32768),0))</f>
        <v>CG</v>
      </c>
      <c r="AD865" s="72" t="str">
        <f ca="1">IFERROR(__xludf.DUMMYFUNCTION("if(V865&lt;15,QUERY(NPCVar!C:D,""Select D WHERE C = '""&amp;D865&amp;""'""),if((TRUNC(1+10)*(TRUNC(MOD((ROW(H865)*1103515245 +12345)/ 65536, 32768),0)/32768)/10) &gt; 0.85,INDEX(NPCFaction,TRUNC(1+(counta(NPCFaction)-1)*(TRUNC(MOD(($B865*1103515245 +12345)/ 65536, 3276"&amp;"8),0)/32768),0)),QUERY(NPCVar!C:D,""Select D WHERE C = '""&amp;D865&amp;""'"")))"),"Magic Guild")</f>
        <v>Magic Guild</v>
      </c>
      <c r="AE865" s="108" t="e">
        <f t="shared" ca="1" si="58"/>
        <v>#NAME?</v>
      </c>
      <c r="AF865" s="159">
        <f ca="1">IFERROR(__xludf.DUMMYFUNCTION("AE865*(V865 / QUERY(NPCVar!$K$2:$N$12, ""Select N WHERE K='""&amp;AB865&amp;""'""))*TRUNC(1+10)*(TRUNC(MOD(($B865*1103515245 +12345)/ 65536, 32768),0)/32768)"),0.283498077392578)</f>
        <v>0.28349807739257799</v>
      </c>
      <c r="AG865" s="16"/>
      <c r="AH865" s="77"/>
      <c r="AI865" s="114"/>
    </row>
    <row r="866" spans="1:35" ht="16.2">
      <c r="A866" s="53">
        <v>865</v>
      </c>
      <c r="B866" s="118">
        <f t="shared" si="62"/>
        <v>1.4178500000000001</v>
      </c>
      <c r="C866" s="72" t="str">
        <f t="array" ref="C866">INDEX(NPCFName,TRUNC(1+(COUNTA(NPCFName))*(TRUNC(MOD(($B866*1103515245 +12345)/ 65536, 32768),0)/32768),0))</f>
        <v>Cyton</v>
      </c>
      <c r="D866" s="16" t="str">
        <f t="array" ref="D866">INDEX(NPCLName,TRUNC(1+(COUNTA(NPCLName))*(TRUNC(MOD(($B866*1103515245 +12345)/ 65536, 32768),0)/32768),0))</f>
        <v>Rockspell</v>
      </c>
      <c r="E866" s="16" t="str">
        <f t="array" ref="E866">INDEX(NPCClass,TRUNC(1+(COUNTA(NPCClass))*(TRUNC(MOD(($B866*1103515245 +12345)/ 65536, 32768),0)/32768),0))</f>
        <v>None</v>
      </c>
      <c r="F866" s="76">
        <v>8</v>
      </c>
      <c r="G866" s="153">
        <f ca="1">VLOOKUP($AB$2,'RF Mod'!$A$2:$G$12,2,FALSE)+VLOOKUP($AD$2,'RF Mod'!$I$2:$O$11,2,FALSE)+(TRUNC(6+(24-6)*(TRUNC(MOD(($Z866*1103515245 +12345)/ 65536, 32768),0)/32768),0))</f>
        <v>10</v>
      </c>
      <c r="H866" s="16" t="e">
        <f t="shared" ca="1" si="49"/>
        <v>#NAME?</v>
      </c>
      <c r="I866" s="153">
        <f ca="1">VLOOKUP($AB$2,'RF Mod'!$A$2:$G$12,3,FALSE)+VLOOKUP($AD$2,'RF Mod'!$I$2:$O$11,3,FALSE)+(TRUNC(6+(24-6)*(TRUNC(MOD(($Z866*1103515245 +12345)/ 65536, 32768),0)/32768),0))</f>
        <v>14</v>
      </c>
      <c r="J866" s="16" t="e">
        <f t="shared" ca="1" si="50"/>
        <v>#NAME?</v>
      </c>
      <c r="K866" s="153">
        <f ca="1">VLOOKUP($AB$2,'RF Mod'!$A$2:$G$12,3,FALSE)+VLOOKUP($AD$2,'RF Mod'!$I$2:$O$11,3,FALSE)+(TRUNC(6+(24-6)*(TRUNC(MOD(($Z866*1103515245 +12345)/ 65536, 32768),0)/32768),0))</f>
        <v>14</v>
      </c>
      <c r="L866" s="16" t="e">
        <f t="shared" ca="1" si="51"/>
        <v>#NAME?</v>
      </c>
      <c r="M866" s="153">
        <f ca="1">VLOOKUP($AB$2,'RF Mod'!$A$2:$G$12,4,FALSE)+VLOOKUP($AD$2,'RF Mod'!$I$2:$O$11,4,FALSE)+(TRUNC(6+(24-6)*(TRUNC(MOD(($Z866*1103515245 +12345)/ 65536, 32768),0)/32768),0))</f>
        <v>13</v>
      </c>
      <c r="N866" s="16" t="e">
        <f t="shared" ca="1" si="52"/>
        <v>#NAME?</v>
      </c>
      <c r="O866" s="153">
        <f ca="1">VLOOKUP($AB$2,'RF Mod'!$A$2:$G$12,5,FALSE)+VLOOKUP($AD$2,'RF Mod'!$I$2:$O$11,5,FALSE)+(TRUNC(6+(24-6)*(TRUNC(MOD(($Z866*1103515245 +12345)/ 65536, 32768),0)/32768),0))</f>
        <v>16</v>
      </c>
      <c r="P866" s="16" t="e">
        <f t="shared" ca="1" si="53"/>
        <v>#NAME?</v>
      </c>
      <c r="Q866" s="153">
        <f ca="1">VLOOKUP($AB$2,'RF Mod'!$A$2:$G$12,6,FALSE)+VLOOKUP($AD$2,'RF Mod'!$I$2:$O$11,6,FALSE)+(TRUNC(6+(24-6)*(TRUNC(MOD(($Z866*1103515245 +12345)/ 65536, 32768),0)/32768),0))</f>
        <v>14</v>
      </c>
      <c r="R866" s="16" t="e">
        <f t="shared" ca="1" si="54"/>
        <v>#NAME?</v>
      </c>
      <c r="S866" s="154">
        <f t="shared" ca="1" si="59"/>
        <v>192</v>
      </c>
      <c r="T866" s="154">
        <f t="shared" ca="1" si="55"/>
        <v>13</v>
      </c>
      <c r="U866" s="16" t="str">
        <f t="shared" ca="1" si="56"/>
        <v>Fine</v>
      </c>
      <c r="V866" s="155">
        <f ca="1">IFERROR(__xludf.DUMMYFUNCTION("if(W866=""Middle Age"",QUERY(NPCVar!$K$2:$N1000, ""Select L where K = '""&amp;AB866&amp;""'""),if(W866=""Old"",QUERY(NPCVar!$K$2:$N1000, ""Select M where K = '""&amp;AB866&amp;""'""),if(W866=""Venerable"",QUERY(NPCVar!$K$2:$N1000, ""Select N where K = '""&amp;AB866&amp;""'""),fa"&amp;"lse)))*X866"),180)</f>
        <v>180</v>
      </c>
      <c r="W866" s="156" t="str">
        <f t="array" ref="W866">INDEX(NPCAgeType,TRUNC(1+(4-1)*(TRUNC(MOD((X866*1103515245 +12345)/ 65536, 32768),0)/32768),0))</f>
        <v>Venerable</v>
      </c>
      <c r="X866" s="117">
        <f t="shared" si="61"/>
        <v>1.8</v>
      </c>
      <c r="Y866" s="157" t="e">
        <f t="array" aca="1" ref="Y866" ca="1">LOOKUP(ABS(MAX(Z866 + MIN(ABS(INDIRECT("Class Jobs!B"&amp;MATCH(E866,'Class Jobs'!$A$1:$A1000,0)&amp;":"&amp;"AF"&amp;MATCH(E866,'Class Jobs'!$A$1:$A1000,0)&amp;"")-$Z866)) * SUM(IF(MIN(ABS(INDIRECT("Class Jobs!B"&amp;MATCH(E866,'Class Jobs'!$A$1:$A1000,0)&amp;":"&amp;"AF"&amp;MATCH(E866,'Class Jobs'!$A$1:$A1000,0)&amp;"")-$Z866))=ABS(INDIRECT("Class Jobs!B"&amp;MATCH(E866,'Class Jobs'!$A$1:$A1000,0)&amp;":"&amp;"AF"&amp;MATCH(E866,'Class Jobs'!$A$1:$A1000,0)&amp;"")-$Z866),SIGN(INDIRECT("Class Jobs!B"&amp;MATCH(E866,'Class Jobs'!$A$1:A1000,0)&amp;":"&amp;"AF"&amp;MATCH(E866,'Class Jobs'!$A$1:$A1000,0)&amp;"")-$Z866),0)),0)),INDIRECT("Class Jobs!B"&amp;MATCH(E866,'Class Jobs'!$A$1:$A1000,0)&amp;":"&amp;"AF"&amp;MATCH(E866,'Class Jobs'!$A$1:$A1000,1)&amp;""),'Class Jobs'!$B$1:$AF$1)</f>
        <v>#REF!</v>
      </c>
      <c r="Z866" s="158">
        <f t="shared" si="57"/>
        <v>0.73</v>
      </c>
      <c r="AA866" s="16" t="str">
        <f t="array" ref="AA866">INDEX(NPCGender,TRUNC(1+(COUNTA(NPCGender))*(TRUNC(MOD(($B866*1103515245 +12345)/ 65536, 32768),0)/32768),0))</f>
        <v>Neutral</v>
      </c>
      <c r="AB866" s="16" t="str">
        <f t="array" ref="AB866">INDEX(NPCRace,TRUNC(1+(COUNTA(NPCRace))*(TRUNC(MOD(($B866*1103515245 +12345)/ 65536, 32768),0)/32768),0))</f>
        <v>Tiefling</v>
      </c>
      <c r="AC866" s="16" t="str">
        <f t="array" ref="AC866">INDEX(NPCAL,TRUNC(1+(COUNTA(NPCAL))*(TRUNC(MOD(($B866*1103515245 +12345)/ 65536, 32768),0)/32768),0))</f>
        <v>LG</v>
      </c>
      <c r="AD866" s="72" t="str">
        <f ca="1">IFERROR(__xludf.DUMMYFUNCTION("if(V866&lt;15,QUERY(NPCVar!C:D,""Select D WHERE C = '""&amp;D866&amp;""'""),if((TRUNC(1+10)*(TRUNC(MOD((ROW(H866)*1103515245 +12345)/ 65536, 32768),0)/32768)/10) &gt; 0.85,INDEX(NPCFaction,TRUNC(1+(counta(NPCFaction)-1)*(TRUNC(MOD(($B866*1103515245 +12345)/ 65536, 3276"&amp;"8),0)/32768),0)),QUERY(NPCVar!C:D,""Select D WHERE C = '""&amp;D866&amp;""'"")))"),"Traverlers Guild")</f>
        <v>Traverlers Guild</v>
      </c>
      <c r="AE866" s="108" t="e">
        <f t="shared" ca="1" si="58"/>
        <v>#NAME?</v>
      </c>
      <c r="AF866" s="159">
        <f ca="1">IFERROR(__xludf.DUMMYFUNCTION("AE866*(V866 / QUERY(NPCVar!$K$2:$N$12, ""Select N WHERE K='""&amp;AB866&amp;""'""))*TRUNC(1+10)*(TRUNC(MOD(($B866*1103515245 +12345)/ 65536, 32768),0)/32768)"),8.65549072265625)</f>
        <v>8.6554907226562499</v>
      </c>
      <c r="AG866" s="16"/>
      <c r="AH866" s="77"/>
      <c r="AI866" s="114"/>
    </row>
    <row r="867" spans="1:35" ht="16.2">
      <c r="A867" s="53">
        <v>866</v>
      </c>
      <c r="B867" s="118">
        <f t="shared" si="62"/>
        <v>0.41199000000000002</v>
      </c>
      <c r="C867" s="72" t="str">
        <f t="array" ref="C867">INDEX(NPCFName,TRUNC(1+(COUNTA(NPCFName))*(TRUNC(MOD(($B867*1103515245 +12345)/ 65536, 32768),0)/32768),0))</f>
        <v>Nythil</v>
      </c>
      <c r="D867" s="16" t="str">
        <f t="array" ref="D867">INDEX(NPCLName,TRUNC(1+(COUNTA(NPCLName))*(TRUNC(MOD(($B867*1103515245 +12345)/ 65536, 32768),0)/32768),0))</f>
        <v>Stillsun</v>
      </c>
      <c r="E867" s="16" t="str">
        <f t="array" ref="E867">INDEX(NPCClass,TRUNC(1+(COUNTA(NPCClass))*(TRUNC(MOD(($B867*1103515245 +12345)/ 65536, 32768),0)/32768),0))</f>
        <v>Druid</v>
      </c>
      <c r="F867" s="76">
        <v>2</v>
      </c>
      <c r="G867" s="153">
        <f ca="1">VLOOKUP($AB$2,'RF Mod'!$A$2:$G$12,2,FALSE)+VLOOKUP($AD$2,'RF Mod'!$I$2:$O$11,2,FALSE)+(TRUNC(6+(24-6)*(TRUNC(MOD(($Z867*1103515245 +12345)/ 65536, 32768),0)/32768),0))</f>
        <v>5</v>
      </c>
      <c r="H867" s="16">
        <f t="shared" ca="1" si="49"/>
        <v>-3</v>
      </c>
      <c r="I867" s="153">
        <f ca="1">VLOOKUP($AB$2,'RF Mod'!$A$2:$G$12,3,FALSE)+VLOOKUP($AD$2,'RF Mod'!$I$2:$O$11,3,FALSE)+(TRUNC(6+(24-6)*(TRUNC(MOD(($Z867*1103515245 +12345)/ 65536, 32768),0)/32768),0))</f>
        <v>9</v>
      </c>
      <c r="J867" s="16">
        <f t="shared" ca="1" si="50"/>
        <v>-1</v>
      </c>
      <c r="K867" s="153">
        <f ca="1">VLOOKUP($AB$2,'RF Mod'!$A$2:$G$12,3,FALSE)+VLOOKUP($AD$2,'RF Mod'!$I$2:$O$11,3,FALSE)+(TRUNC(6+(24-6)*(TRUNC(MOD(($Z867*1103515245 +12345)/ 65536, 32768),0)/32768),0))</f>
        <v>9</v>
      </c>
      <c r="L867" s="16">
        <f t="shared" ca="1" si="51"/>
        <v>-1</v>
      </c>
      <c r="M867" s="153">
        <f ca="1">VLOOKUP($AB$2,'RF Mod'!$A$2:$G$12,4,FALSE)+VLOOKUP($AD$2,'RF Mod'!$I$2:$O$11,4,FALSE)+(TRUNC(6+(24-6)*(TRUNC(MOD(($Z867*1103515245 +12345)/ 65536, 32768),0)/32768),0))</f>
        <v>8</v>
      </c>
      <c r="N867" s="16">
        <f t="shared" ca="1" si="52"/>
        <v>-1</v>
      </c>
      <c r="O867" s="153">
        <f ca="1">VLOOKUP($AB$2,'RF Mod'!$A$2:$G$12,5,FALSE)+VLOOKUP($AD$2,'RF Mod'!$I$2:$O$11,5,FALSE)+(TRUNC(6+(24-6)*(TRUNC(MOD(($Z867*1103515245 +12345)/ 65536, 32768),0)/32768),0))</f>
        <v>11</v>
      </c>
      <c r="P867" s="16" t="e">
        <f t="shared" ca="1" si="53"/>
        <v>#NAME?</v>
      </c>
      <c r="Q867" s="153">
        <f ca="1">VLOOKUP($AB$2,'RF Mod'!$A$2:$G$12,6,FALSE)+VLOOKUP($AD$2,'RF Mod'!$I$2:$O$11,6,FALSE)+(TRUNC(6+(24-6)*(TRUNC(MOD(($Z867*1103515245 +12345)/ 65536, 32768),0)/32768),0))</f>
        <v>9</v>
      </c>
      <c r="R867" s="16">
        <f t="shared" ca="1" si="54"/>
        <v>-1</v>
      </c>
      <c r="S867" s="154">
        <f t="shared" ca="1" si="59"/>
        <v>54</v>
      </c>
      <c r="T867" s="154">
        <f t="shared" ca="1" si="55"/>
        <v>60</v>
      </c>
      <c r="U867" s="16" t="str">
        <f t="shared" ca="1" si="56"/>
        <v>Dead</v>
      </c>
      <c r="V867" s="155">
        <f ca="1">IFERROR(__xludf.DUMMYFUNCTION("if(W867=""Middle Age"",QUERY(NPCVar!$K$2:$N1000, ""Select L where K = '""&amp;AB867&amp;""'""),if(W867=""Old"",QUERY(NPCVar!$K$2:$N1000, ""Select M where K = '""&amp;AB867&amp;""'""),if(W867=""Venerable"",QUERY(NPCVar!$K$2:$N1000, ""Select N where K = '""&amp;AB867&amp;""'""),fa"&amp;"lse)))*X867"),112.5)</f>
        <v>112.5</v>
      </c>
      <c r="W867" s="156" t="str">
        <f t="array" ref="W867">INDEX(NPCAgeType,TRUNC(1+(4-1)*(TRUNC(MOD((X867*1103515245 +12345)/ 65536, 32768),0)/32768),0))</f>
        <v>Middle Age</v>
      </c>
      <c r="X867" s="117">
        <f t="shared" si="61"/>
        <v>0.6</v>
      </c>
      <c r="Y867" s="157" t="e">
        <f t="array" aca="1" ref="Y867" ca="1">LOOKUP(ABS(MAX(Z867 + MIN(ABS(INDIRECT("Class Jobs!B"&amp;MATCH(E867,'Class Jobs'!$A$1:$A1000,0)&amp;":"&amp;"AF"&amp;MATCH(E867,'Class Jobs'!$A$1:$A1000,0)&amp;"")-$Z867)) * SUM(IF(MIN(ABS(INDIRECT("Class Jobs!B"&amp;MATCH(E867,'Class Jobs'!$A$1:$A1000,0)&amp;":"&amp;"AF"&amp;MATCH(E867,'Class Jobs'!$A$1:$A1000,0)&amp;"")-$Z867))=ABS(INDIRECT("Class Jobs!B"&amp;MATCH(E867,'Class Jobs'!$A$1:$A1000,0)&amp;":"&amp;"AF"&amp;MATCH(E867,'Class Jobs'!$A$1:$A1000,0)&amp;"")-$Z867),SIGN(INDIRECT("Class Jobs!B"&amp;MATCH(E867,'Class Jobs'!$A$1:A1000,0)&amp;":"&amp;"AF"&amp;MATCH(E867,'Class Jobs'!$A$1:$A1000,0)&amp;"")-$Z867),0)),0)),INDIRECT("Class Jobs!B"&amp;MATCH(E867,'Class Jobs'!$A$1:$A1000,0)&amp;":"&amp;"AF"&amp;MATCH(E867,'Class Jobs'!$A$1:$A1000,1)&amp;""),'Class Jobs'!$B$1:$AF$1)</f>
        <v>#REF!</v>
      </c>
      <c r="Z867" s="158">
        <f t="shared" si="57"/>
        <v>0.21</v>
      </c>
      <c r="AA867" s="16" t="str">
        <f t="array" ref="AA867">INDEX(NPCGender,TRUNC(1+(COUNTA(NPCGender))*(TRUNC(MOD(($B867*1103515245 +12345)/ 65536, 32768),0)/32768),0))</f>
        <v>Male</v>
      </c>
      <c r="AB867" s="16" t="str">
        <f t="array" ref="AB867">INDEX(NPCRace,TRUNC(1+(COUNTA(NPCRace))*(TRUNC(MOD(($B867*1103515245 +12345)/ 65536, 32768),0)/32768),0))</f>
        <v>Elf</v>
      </c>
      <c r="AC867" s="16" t="str">
        <f t="array" ref="AC867">INDEX(NPCAL,TRUNC(1+(COUNTA(NPCAL))*(TRUNC(MOD(($B867*1103515245 +12345)/ 65536, 32768),0)/32768),0))</f>
        <v>CE</v>
      </c>
      <c r="AD867" s="72" t="str">
        <f ca="1">IFERROR(__xludf.DUMMYFUNCTION("if(V867&lt;15,QUERY(NPCVar!C:D,""Select D WHERE C = '""&amp;D867&amp;""'""),if((TRUNC(1+10)*(TRUNC(MOD((ROW(H867)*1103515245 +12345)/ 65536, 32768),0)/32768)/10) &gt; 0.85,INDEX(NPCFaction,TRUNC(1+(counta(NPCFaction)-1)*(TRUNC(MOD(($B867*1103515245 +12345)/ 65536, 3276"&amp;"8),0)/32768),0)),QUERY(NPCVar!C:D,""Select D WHERE C = '""&amp;D867&amp;""'"")))"),"Necromancer")</f>
        <v>Necromancer</v>
      </c>
      <c r="AE867" s="108" t="e">
        <f t="shared" ca="1" si="58"/>
        <v>#NAME?</v>
      </c>
      <c r="AF867" s="159">
        <f ca="1">IFERROR(__xludf.DUMMYFUNCTION("AE867*(V867 / QUERY(NPCVar!$K$2:$N$12, ""Select N WHERE K='""&amp;AB867&amp;""'""))*TRUNC(1+10)*(TRUNC(MOD(($B867*1103515245 +12345)/ 65536, 32768),0)/32768)"),-0.0698611450195312)</f>
        <v>-6.9861145019531196E-2</v>
      </c>
      <c r="AG867" s="16"/>
      <c r="AH867" s="77"/>
      <c r="AI867" s="114"/>
    </row>
    <row r="868" spans="1:35" ht="16.2">
      <c r="A868" s="53">
        <v>867</v>
      </c>
      <c r="B868" s="118">
        <f t="shared" si="62"/>
        <v>1.9061300000000001</v>
      </c>
      <c r="C868" s="72" t="str">
        <f t="array" ref="C868">INDEX(NPCFName,TRUNC(1+(COUNTA(NPCFName))*(TRUNC(MOD(($B868*1103515245 +12345)/ 65536, 32768),0)/32768),0))</f>
        <v>Wilte</v>
      </c>
      <c r="D868" s="16" t="str">
        <f t="array" ref="D868">INDEX(NPCLName,TRUNC(1+(COUNTA(NPCLName))*(TRUNC(MOD(($B868*1103515245 +12345)/ 65536, 32768),0)/32768),0))</f>
        <v>Stillspell</v>
      </c>
      <c r="E868" s="16" t="str">
        <f t="array" ref="E868">INDEX(NPCClass,TRUNC(1+(COUNTA(NPCClass))*(TRUNC(MOD(($B868*1103515245 +12345)/ 65536, 32768),0)/32768),0))</f>
        <v>Wizard</v>
      </c>
      <c r="F868" s="76">
        <v>8</v>
      </c>
      <c r="G868" s="153">
        <f ca="1">VLOOKUP($AB$2,'RF Mod'!$A$2:$G$12,2,FALSE)+VLOOKUP($AD$2,'RF Mod'!$I$2:$O$11,2,FALSE)+(TRUNC(6+(24-6)*(TRUNC(MOD(($Z868*1103515245 +12345)/ 65536, 32768),0)/32768),0))</f>
        <v>12</v>
      </c>
      <c r="H868" s="16" t="e">
        <f t="shared" ca="1" si="49"/>
        <v>#NAME?</v>
      </c>
      <c r="I868" s="153">
        <f ca="1">VLOOKUP($AB$2,'RF Mod'!$A$2:$G$12,3,FALSE)+VLOOKUP($AD$2,'RF Mod'!$I$2:$O$11,3,FALSE)+(TRUNC(6+(24-6)*(TRUNC(MOD(($Z868*1103515245 +12345)/ 65536, 32768),0)/32768),0))</f>
        <v>16</v>
      </c>
      <c r="J868" s="16" t="e">
        <f t="shared" ca="1" si="50"/>
        <v>#NAME?</v>
      </c>
      <c r="K868" s="153">
        <f ca="1">VLOOKUP($AB$2,'RF Mod'!$A$2:$G$12,3,FALSE)+VLOOKUP($AD$2,'RF Mod'!$I$2:$O$11,3,FALSE)+(TRUNC(6+(24-6)*(TRUNC(MOD(($Z868*1103515245 +12345)/ 65536, 32768),0)/32768),0))</f>
        <v>16</v>
      </c>
      <c r="L868" s="16" t="e">
        <f t="shared" ca="1" si="51"/>
        <v>#NAME?</v>
      </c>
      <c r="M868" s="153">
        <f ca="1">VLOOKUP($AB$2,'RF Mod'!$A$2:$G$12,4,FALSE)+VLOOKUP($AD$2,'RF Mod'!$I$2:$O$11,4,FALSE)+(TRUNC(6+(24-6)*(TRUNC(MOD(($Z868*1103515245 +12345)/ 65536, 32768),0)/32768),0))</f>
        <v>15</v>
      </c>
      <c r="N868" s="16" t="e">
        <f t="shared" ca="1" si="52"/>
        <v>#NAME?</v>
      </c>
      <c r="O868" s="153">
        <f ca="1">VLOOKUP($AB$2,'RF Mod'!$A$2:$G$12,5,FALSE)+VLOOKUP($AD$2,'RF Mod'!$I$2:$O$11,5,FALSE)+(TRUNC(6+(24-6)*(TRUNC(MOD(($Z868*1103515245 +12345)/ 65536, 32768),0)/32768),0))</f>
        <v>18</v>
      </c>
      <c r="P868" s="16" t="e">
        <f t="shared" ca="1" si="53"/>
        <v>#NAME?</v>
      </c>
      <c r="Q868" s="153">
        <f ca="1">VLOOKUP($AB$2,'RF Mod'!$A$2:$G$12,6,FALSE)+VLOOKUP($AD$2,'RF Mod'!$I$2:$O$11,6,FALSE)+(TRUNC(6+(24-6)*(TRUNC(MOD(($Z868*1103515245 +12345)/ 65536, 32768),0)/32768),0))</f>
        <v>16</v>
      </c>
      <c r="R868" s="16" t="e">
        <f t="shared" ca="1" si="54"/>
        <v>#NAME?</v>
      </c>
      <c r="S868" s="154">
        <f t="shared" ca="1" si="59"/>
        <v>272</v>
      </c>
      <c r="T868" s="154">
        <f t="shared" ca="1" si="55"/>
        <v>191</v>
      </c>
      <c r="U868" s="16" t="str">
        <f t="shared" ca="1" si="56"/>
        <v>Bloody</v>
      </c>
      <c r="V868" s="155">
        <f ca="1">IFERROR(__xludf.DUMMYFUNCTION("if(W868=""Middle Age"",QUERY(NPCVar!$K$2:$N1000, ""Select L where K = '""&amp;AB868&amp;""'""),if(W868=""Old"",QUERY(NPCVar!$K$2:$N1000, ""Select M where K = '""&amp;AB868&amp;""'""),if(W868=""Venerable"",QUERY(NPCVar!$K$2:$N1000, ""Select N where K = '""&amp;AB868&amp;""'""),fa"&amp;"lse)))*X868"),72)</f>
        <v>72</v>
      </c>
      <c r="W868" s="156" t="str">
        <f t="array" ref="W868">INDEX(NPCAgeType,TRUNC(1+(4-1)*(TRUNC(MOD((X868*1103515245 +12345)/ 65536, 32768),0)/32768),0))</f>
        <v>Middle Age</v>
      </c>
      <c r="X868" s="117">
        <f t="shared" si="61"/>
        <v>2.4</v>
      </c>
      <c r="Y868" s="157" t="e">
        <f t="array" aca="1" ref="Y868" ca="1">LOOKUP(ABS(MAX(Z868 + MIN(ABS(INDIRECT("Class Jobs!B"&amp;MATCH(E868,'Class Jobs'!$A$1:$A1000,0)&amp;":"&amp;"AF"&amp;MATCH(E868,'Class Jobs'!$A$1:$A1000,0)&amp;"")-$Z868)) * SUM(IF(MIN(ABS(INDIRECT("Class Jobs!B"&amp;MATCH(E868,'Class Jobs'!$A$1:$A1000,0)&amp;":"&amp;"AF"&amp;MATCH(E868,'Class Jobs'!$A$1:$A1000,0)&amp;"")-$Z868))=ABS(INDIRECT("Class Jobs!B"&amp;MATCH(E868,'Class Jobs'!$A$1:$A1000,0)&amp;":"&amp;"AF"&amp;MATCH(E868,'Class Jobs'!$A$1:$A1000,0)&amp;"")-$Z868),SIGN(INDIRECT("Class Jobs!B"&amp;MATCH(E868,'Class Jobs'!$A$1:A1000,0)&amp;":"&amp;"AF"&amp;MATCH(E868,'Class Jobs'!$A$1:$A1000,0)&amp;"")-$Z868),0)),0)),INDIRECT("Class Jobs!B"&amp;MATCH(E868,'Class Jobs'!$A$1:$A1000,0)&amp;":"&amp;"AF"&amp;MATCH(E868,'Class Jobs'!$A$1:$A1000,1)&amp;""),'Class Jobs'!$B$1:$AF$1)</f>
        <v>#REF!</v>
      </c>
      <c r="Z868" s="158">
        <f t="shared" si="57"/>
        <v>0.97</v>
      </c>
      <c r="AA868" s="16" t="str">
        <f t="array" ref="AA868">INDEX(NPCGender,TRUNC(1+(COUNTA(NPCGender))*(TRUNC(MOD(($B868*1103515245 +12345)/ 65536, 32768),0)/32768),0))</f>
        <v>Neutral</v>
      </c>
      <c r="AB868" s="16" t="str">
        <f t="array" ref="AB868">INDEX(NPCRace,TRUNC(1+(COUNTA(NPCRace))*(TRUNC(MOD(($B868*1103515245 +12345)/ 65536, 32768),0)/32768),0))</f>
        <v>Goliath</v>
      </c>
      <c r="AC868" s="16" t="str">
        <f t="array" ref="AC868">INDEX(NPCAL,TRUNC(1+(COUNTA(NPCAL))*(TRUNC(MOD(($B868*1103515245 +12345)/ 65536, 32768),0)/32768),0))</f>
        <v>LE</v>
      </c>
      <c r="AD868" s="72" t="str">
        <f ca="1">IFERROR(__xludf.DUMMYFUNCTION("if(V868&lt;15,QUERY(NPCVar!C:D,""Select D WHERE C = '""&amp;D868&amp;""'""),if((TRUNC(1+10)*(TRUNC(MOD((ROW(H868)*1103515245 +12345)/ 65536, 32768),0)/32768)/10) &gt; 0.85,INDEX(NPCFaction,TRUNC(1+(counta(NPCFaction)-1)*(TRUNC(MOD(($B868*1103515245 +12345)/ 65536, 3276"&amp;"8),0)/32768),0)),QUERY(NPCVar!C:D,""Select D WHERE C = '""&amp;D868&amp;""'"")))"),"Followers of Isis")</f>
        <v>Followers of Isis</v>
      </c>
      <c r="AE868" s="108" t="e">
        <f t="shared" ca="1" si="58"/>
        <v>#NAME?</v>
      </c>
      <c r="AF868" s="159">
        <f ca="1">IFERROR(__xludf.DUMMYFUNCTION("AE868*(V868 / QUERY(NPCVar!$K$2:$N$12, ""Select N WHERE K='""&amp;AB868&amp;""'""))*TRUNC(1+10)*(TRUNC(MOD(($B868*1103515245 +12345)/ 65536, 32768),0)/32768)"),3.8787890625)</f>
        <v>3.8787890625000001</v>
      </c>
      <c r="AG868" s="16"/>
      <c r="AH868" s="77"/>
      <c r="AI868" s="114"/>
    </row>
    <row r="869" spans="1:35" ht="16.2">
      <c r="A869" s="53">
        <v>868</v>
      </c>
      <c r="B869" s="118">
        <f t="shared" si="62"/>
        <v>0.90027000000000001</v>
      </c>
      <c r="C869" s="72" t="str">
        <f t="array" ref="C869">INDEX(NPCFName,TRUNC(1+(COUNTA(NPCFName))*(TRUNC(MOD(($B869*1103515245 +12345)/ 65536, 32768),0)/32768),0))</f>
        <v>Gyin</v>
      </c>
      <c r="D869" s="16" t="str">
        <f t="array" ref="D869">INDEX(NPCLName,TRUNC(1+(COUNTA(NPCLName))*(TRUNC(MOD(($B869*1103515245 +12345)/ 65536, 32768),0)/32768),0))</f>
        <v>Saurflame</v>
      </c>
      <c r="E869" s="16" t="str">
        <f t="array" ref="E869">INDEX(NPCClass,TRUNC(1+(COUNTA(NPCClass))*(TRUNC(MOD(($B869*1103515245 +12345)/ 65536, 32768),0)/32768),0))</f>
        <v>Ranger</v>
      </c>
      <c r="F869" s="76">
        <v>8</v>
      </c>
      <c r="G869" s="153">
        <f ca="1">VLOOKUP($AB$2,'RF Mod'!$A$2:$G$12,2,FALSE)+VLOOKUP($AD$2,'RF Mod'!$I$2:$O$11,2,FALSE)+(TRUNC(6+(24-6)*(TRUNC(MOD(($Z869*1103515245 +12345)/ 65536, 32768),0)/32768),0))</f>
        <v>8</v>
      </c>
      <c r="H869" s="16">
        <f t="shared" ca="1" si="49"/>
        <v>-1</v>
      </c>
      <c r="I869" s="153">
        <f ca="1">VLOOKUP($AB$2,'RF Mod'!$A$2:$G$12,3,FALSE)+VLOOKUP($AD$2,'RF Mod'!$I$2:$O$11,3,FALSE)+(TRUNC(6+(24-6)*(TRUNC(MOD(($Z869*1103515245 +12345)/ 65536, 32768),0)/32768),0))</f>
        <v>12</v>
      </c>
      <c r="J869" s="16" t="e">
        <f t="shared" ca="1" si="50"/>
        <v>#NAME?</v>
      </c>
      <c r="K869" s="153">
        <f ca="1">VLOOKUP($AB$2,'RF Mod'!$A$2:$G$12,3,FALSE)+VLOOKUP($AD$2,'RF Mod'!$I$2:$O$11,3,FALSE)+(TRUNC(6+(24-6)*(TRUNC(MOD(($Z869*1103515245 +12345)/ 65536, 32768),0)/32768),0))</f>
        <v>12</v>
      </c>
      <c r="L869" s="16" t="e">
        <f t="shared" ca="1" si="51"/>
        <v>#NAME?</v>
      </c>
      <c r="M869" s="153">
        <f ca="1">VLOOKUP($AB$2,'RF Mod'!$A$2:$G$12,4,FALSE)+VLOOKUP($AD$2,'RF Mod'!$I$2:$O$11,4,FALSE)+(TRUNC(6+(24-6)*(TRUNC(MOD(($Z869*1103515245 +12345)/ 65536, 32768),0)/32768),0))</f>
        <v>11</v>
      </c>
      <c r="N869" s="16" t="e">
        <f t="shared" ca="1" si="52"/>
        <v>#NAME?</v>
      </c>
      <c r="O869" s="153">
        <f ca="1">VLOOKUP($AB$2,'RF Mod'!$A$2:$G$12,5,FALSE)+VLOOKUP($AD$2,'RF Mod'!$I$2:$O$11,5,FALSE)+(TRUNC(6+(24-6)*(TRUNC(MOD(($Z869*1103515245 +12345)/ 65536, 32768),0)/32768),0))</f>
        <v>14</v>
      </c>
      <c r="P869" s="16" t="e">
        <f t="shared" ca="1" si="53"/>
        <v>#NAME?</v>
      </c>
      <c r="Q869" s="153">
        <f ca="1">VLOOKUP($AB$2,'RF Mod'!$A$2:$G$12,6,FALSE)+VLOOKUP($AD$2,'RF Mod'!$I$2:$O$11,6,FALSE)+(TRUNC(6+(24-6)*(TRUNC(MOD(($Z869*1103515245 +12345)/ 65536, 32768),0)/32768),0))</f>
        <v>12</v>
      </c>
      <c r="R869" s="16" t="e">
        <f t="shared" ca="1" si="54"/>
        <v>#NAME?</v>
      </c>
      <c r="S869" s="154">
        <f t="shared" ca="1" si="59"/>
        <v>144</v>
      </c>
      <c r="T869" s="154">
        <f t="shared" ca="1" si="55"/>
        <v>18</v>
      </c>
      <c r="U869" s="16" t="str">
        <f t="shared" ca="1" si="56"/>
        <v>Fine</v>
      </c>
      <c r="V869" s="155">
        <f ca="1">IFERROR(__xludf.DUMMYFUNCTION("if(W869=""Middle Age"",QUERY(NPCVar!$K$2:$N1000, ""Select L where K = '""&amp;AB869&amp;""'""),if(W869=""Old"",QUERY(NPCVar!$K$2:$N1000, ""Select M where K = '""&amp;AB869&amp;""'""),if(W869=""Venerable"",QUERY(NPCVar!$K$2:$N1000, ""Select N where K = '""&amp;AB869&amp;""'""),fa"&amp;"lse)))*X869"),31.5)</f>
        <v>31.5</v>
      </c>
      <c r="W869" s="156" t="str">
        <f t="array" ref="W869">INDEX(NPCAgeType,TRUNC(1+(4-1)*(TRUNC(MOD((X869*1103515245 +12345)/ 65536, 32768),0)/32768),0))</f>
        <v>Old</v>
      </c>
      <c r="X869" s="117">
        <f t="shared" si="61"/>
        <v>1.2</v>
      </c>
      <c r="Y869" s="157" t="e">
        <f t="array" aca="1" ref="Y869" ca="1">LOOKUP(ABS(MAX(Z869 + MIN(ABS(INDIRECT("Class Jobs!B"&amp;MATCH(E869,'Class Jobs'!$A$1:$A1000,0)&amp;":"&amp;"AF"&amp;MATCH(E869,'Class Jobs'!$A$1:$A1000,0)&amp;"")-$Z869)) * SUM(IF(MIN(ABS(INDIRECT("Class Jobs!B"&amp;MATCH(E869,'Class Jobs'!$A$1:$A1000,0)&amp;":"&amp;"AF"&amp;MATCH(E869,'Class Jobs'!$A$1:$A1000,0)&amp;"")-$Z869))=ABS(INDIRECT("Class Jobs!B"&amp;MATCH(E869,'Class Jobs'!$A$1:$A1000,0)&amp;":"&amp;"AF"&amp;MATCH(E869,'Class Jobs'!$A$1:$A1000,0)&amp;"")-$Z869),SIGN(INDIRECT("Class Jobs!B"&amp;MATCH(E869,'Class Jobs'!$A$1:A1000,0)&amp;":"&amp;"AF"&amp;MATCH(E869,'Class Jobs'!$A$1:$A1000,0)&amp;"")-$Z869),0)),0)),INDIRECT("Class Jobs!B"&amp;MATCH(E869,'Class Jobs'!$A$1:$A1000,0)&amp;":"&amp;"AF"&amp;MATCH(E869,'Class Jobs'!$A$1:$A1000,1)&amp;""),'Class Jobs'!$B$1:$AF$1)</f>
        <v>#REF!</v>
      </c>
      <c r="Z869" s="158">
        <f t="shared" si="57"/>
        <v>0.46</v>
      </c>
      <c r="AA869" s="16" t="str">
        <f t="array" ref="AA869">INDEX(NPCGender,TRUNC(1+(COUNTA(NPCGender))*(TRUNC(MOD(($B869*1103515245 +12345)/ 65536, 32768),0)/32768),0))</f>
        <v>Female</v>
      </c>
      <c r="AB869" s="16" t="str">
        <f t="array" ref="AB869">INDEX(NPCRace,TRUNC(1+(COUNTA(NPCRace))*(TRUNC(MOD(($B869*1103515245 +12345)/ 65536, 32768),0)/32768),0))</f>
        <v>Half-Orc</v>
      </c>
      <c r="AC869" s="16" t="str">
        <f t="array" ref="AC869">INDEX(NPCAL,TRUNC(1+(COUNTA(NPCAL))*(TRUNC(MOD(($B869*1103515245 +12345)/ 65536, 32768),0)/32768),0))</f>
        <v>NN</v>
      </c>
      <c r="AD869" s="72" t="str">
        <f ca="1">IFERROR(__xludf.DUMMYFUNCTION("if(V869&lt;15,QUERY(NPCVar!C:D,""Select D WHERE C = '""&amp;D869&amp;""'""),if((TRUNC(1+10)*(TRUNC(MOD((ROW(H869)*1103515245 +12345)/ 65536, 32768),0)/32768)/10) &gt; 0.85,INDEX(NPCFaction,TRUNC(1+(counta(NPCFaction)-1)*(TRUNC(MOD(($B869*1103515245 +12345)/ 65536, 3276"&amp;"8),0)/32768),0)),QUERY(NPCVar!C:D,""Select D WHERE C = '""&amp;D869&amp;""'"")))"),"Farmers Guild")</f>
        <v>Farmers Guild</v>
      </c>
      <c r="AE869" s="108" t="e">
        <f t="shared" ca="1" si="58"/>
        <v>#NAME?</v>
      </c>
      <c r="AF869" s="159">
        <f ca="1">IFERROR(__xludf.DUMMYFUNCTION("AE869*(V869 / QUERY(NPCVar!$K$2:$N$12, ""Select N WHERE K='""&amp;AB869&amp;""'""))*TRUNC(1+10)*(TRUNC(MOD(($B869*1103515245 +12345)/ 65536, 32768),0)/32768)"),0.457989807128906)</f>
        <v>0.45798980712890602</v>
      </c>
      <c r="AG869" s="16"/>
      <c r="AH869" s="77"/>
      <c r="AI869" s="114"/>
    </row>
    <row r="870" spans="1:35" ht="16.2">
      <c r="A870" s="53">
        <v>869</v>
      </c>
      <c r="B870" s="118">
        <f t="shared" si="62"/>
        <v>2.3943300000000001</v>
      </c>
      <c r="C870" s="72" t="str">
        <f t="array" ref="C870">INDEX(NPCFName,TRUNC(1+(COUNTA(NPCFName))*(TRUNC(MOD(($B870*1103515245 +12345)/ 65536, 32768),0)/32768),0))</f>
        <v>Ponith</v>
      </c>
      <c r="D870" s="16" t="str">
        <f t="array" ref="D870">INDEX(NPCLName,TRUNC(1+(COUNTA(NPCLName))*(TRUNC(MOD(($B870*1103515245 +12345)/ 65536, 32768),0)/32768),0))</f>
        <v>Stillsun</v>
      </c>
      <c r="E870" s="16" t="str">
        <f t="array" ref="E870">INDEX(NPCClass,TRUNC(1+(COUNTA(NPCClass))*(TRUNC(MOD(($B870*1103515245 +12345)/ 65536, 32768),0)/32768),0))</f>
        <v>Druid</v>
      </c>
      <c r="F870" s="76">
        <v>1</v>
      </c>
      <c r="G870" s="153">
        <f ca="1">VLOOKUP($AB$2,'RF Mod'!$A$2:$G$12,2,FALSE)+VLOOKUP($AD$2,'RF Mod'!$I$2:$O$11,2,FALSE)+(TRUNC(6+(24-6)*(TRUNC(MOD(($Z870*1103515245 +12345)/ 65536, 32768),0)/32768),0))</f>
        <v>6</v>
      </c>
      <c r="H870" s="16">
        <f t="shared" ca="1" si="49"/>
        <v>-2</v>
      </c>
      <c r="I870" s="153">
        <f ca="1">VLOOKUP($AB$2,'RF Mod'!$A$2:$G$12,3,FALSE)+VLOOKUP($AD$2,'RF Mod'!$I$2:$O$11,3,FALSE)+(TRUNC(6+(24-6)*(TRUNC(MOD(($Z870*1103515245 +12345)/ 65536, 32768),0)/32768),0))</f>
        <v>10</v>
      </c>
      <c r="J870" s="16" t="e">
        <f t="shared" ca="1" si="50"/>
        <v>#NAME?</v>
      </c>
      <c r="K870" s="153">
        <f ca="1">VLOOKUP($AB$2,'RF Mod'!$A$2:$G$12,3,FALSE)+VLOOKUP($AD$2,'RF Mod'!$I$2:$O$11,3,FALSE)+(TRUNC(6+(24-6)*(TRUNC(MOD(($Z870*1103515245 +12345)/ 65536, 32768),0)/32768),0))</f>
        <v>10</v>
      </c>
      <c r="L870" s="16" t="e">
        <f t="shared" ca="1" si="51"/>
        <v>#NAME?</v>
      </c>
      <c r="M870" s="153">
        <f ca="1">VLOOKUP($AB$2,'RF Mod'!$A$2:$G$12,4,FALSE)+VLOOKUP($AD$2,'RF Mod'!$I$2:$O$11,4,FALSE)+(TRUNC(6+(24-6)*(TRUNC(MOD(($Z870*1103515245 +12345)/ 65536, 32768),0)/32768),0))</f>
        <v>9</v>
      </c>
      <c r="N870" s="16">
        <f t="shared" ca="1" si="52"/>
        <v>-1</v>
      </c>
      <c r="O870" s="153">
        <f ca="1">VLOOKUP($AB$2,'RF Mod'!$A$2:$G$12,5,FALSE)+VLOOKUP($AD$2,'RF Mod'!$I$2:$O$11,5,FALSE)+(TRUNC(6+(24-6)*(TRUNC(MOD(($Z870*1103515245 +12345)/ 65536, 32768),0)/32768),0))</f>
        <v>12</v>
      </c>
      <c r="P870" s="16" t="e">
        <f t="shared" ca="1" si="53"/>
        <v>#NAME?</v>
      </c>
      <c r="Q870" s="153">
        <f ca="1">VLOOKUP($AB$2,'RF Mod'!$A$2:$G$12,6,FALSE)+VLOOKUP($AD$2,'RF Mod'!$I$2:$O$11,6,FALSE)+(TRUNC(6+(24-6)*(TRUNC(MOD(($Z870*1103515245 +12345)/ 65536, 32768),0)/32768),0))</f>
        <v>10</v>
      </c>
      <c r="R870" s="16" t="e">
        <f t="shared" ca="1" si="54"/>
        <v>#NAME?</v>
      </c>
      <c r="S870" s="154">
        <f t="shared" ca="1" si="59"/>
        <v>12</v>
      </c>
      <c r="T870" s="154">
        <f t="shared" ca="1" si="55"/>
        <v>10</v>
      </c>
      <c r="U870" s="16" t="str">
        <f t="shared" ca="1" si="56"/>
        <v>Bloody</v>
      </c>
      <c r="V870" s="155">
        <f ca="1">IFERROR(__xludf.DUMMYFUNCTION("if(W870=""Middle Age"",QUERY(NPCVar!$K$2:$N1000, ""Select L where K = '""&amp;AB870&amp;""'""),if(W870=""Old"",QUERY(NPCVar!$K$2:$N1000, ""Select M where K = '""&amp;AB870&amp;""'""),if(W870=""Venerable"",QUERY(NPCVar!$K$2:$N1000, ""Select N where K = '""&amp;AB870&amp;""'""),fa"&amp;"lse)))*X870"),112.5)</f>
        <v>112.5</v>
      </c>
      <c r="W870" s="156" t="str">
        <f t="array" ref="W870">INDEX(NPCAgeType,TRUNC(1+(4-1)*(TRUNC(MOD((X870*1103515245 +12345)/ 65536, 32768),0)/32768),0))</f>
        <v>Middle Age</v>
      </c>
      <c r="X870" s="117">
        <f t="shared" si="61"/>
        <v>0.6</v>
      </c>
      <c r="Y870" s="157" t="e">
        <f t="array" aca="1" ref="Y870" ca="1">LOOKUP(ABS(MAX(Z870 + MIN(ABS(INDIRECT("Class Jobs!B"&amp;MATCH(E870,'Class Jobs'!$A$1:$A1000,0)&amp;":"&amp;"AF"&amp;MATCH(E870,'Class Jobs'!$A$1:$A1000,0)&amp;"")-$Z870)) * SUM(IF(MIN(ABS(INDIRECT("Class Jobs!B"&amp;MATCH(E870,'Class Jobs'!$A$1:$A1000,0)&amp;":"&amp;"AF"&amp;MATCH(E870,'Class Jobs'!$A$1:$A1000,0)&amp;"")-$Z870))=ABS(INDIRECT("Class Jobs!B"&amp;MATCH(E870,'Class Jobs'!$A$1:$A1000,0)&amp;":"&amp;"AF"&amp;MATCH(E870,'Class Jobs'!$A$1:$A1000,0)&amp;"")-$Z870),SIGN(INDIRECT("Class Jobs!B"&amp;MATCH(E870,'Class Jobs'!$A$1:A1000,0)&amp;":"&amp;"AF"&amp;MATCH(E870,'Class Jobs'!$A$1:$A1000,0)&amp;"")-$Z870),0)),0)),INDIRECT("Class Jobs!B"&amp;MATCH(E870,'Class Jobs'!$A$1:$A1000,0)&amp;":"&amp;"AF"&amp;MATCH(E870,'Class Jobs'!$A$1:$A1000,1)&amp;""),'Class Jobs'!$B$1:$AF$1)</f>
        <v>#REF!</v>
      </c>
      <c r="Z870" s="158">
        <f t="shared" si="57"/>
        <v>0.23</v>
      </c>
      <c r="AA870" s="16" t="str">
        <f t="array" ref="AA870">INDEX(NPCGender,TRUNC(1+(COUNTA(NPCGender))*(TRUNC(MOD(($B870*1103515245 +12345)/ 65536, 32768),0)/32768),0))</f>
        <v>Male</v>
      </c>
      <c r="AB870" s="16" t="str">
        <f t="array" ref="AB870">INDEX(NPCRace,TRUNC(1+(COUNTA(NPCRace))*(TRUNC(MOD(($B870*1103515245 +12345)/ 65536, 32768),0)/32768),0))</f>
        <v>Elf</v>
      </c>
      <c r="AC870" s="16" t="str">
        <f t="array" ref="AC870">INDEX(NPCAL,TRUNC(1+(COUNTA(NPCAL))*(TRUNC(MOD(($B870*1103515245 +12345)/ 65536, 32768),0)/32768),0))</f>
        <v>CG</v>
      </c>
      <c r="AD870" s="72" t="str">
        <f ca="1">IFERROR(__xludf.DUMMYFUNCTION("if(V870&lt;15,QUERY(NPCVar!C:D,""Select D WHERE C = '""&amp;D870&amp;""'""),if((TRUNC(1+10)*(TRUNC(MOD((ROW(H870)*1103515245 +12345)/ 65536, 32768),0)/32768)/10) &gt; 0.85,INDEX(NPCFaction,TRUNC(1+(counta(NPCFaction)-1)*(TRUNC(MOD(($B870*1103515245 +12345)/ 65536, 3276"&amp;"8),0)/32768),0)),QUERY(NPCVar!C:D,""Select D WHERE C = '""&amp;D870&amp;""'"")))"),"Necromancer")</f>
        <v>Necromancer</v>
      </c>
      <c r="AE870" s="108" t="e">
        <f t="shared" ca="1" si="58"/>
        <v>#NAME?</v>
      </c>
      <c r="AF870" s="159">
        <f ca="1">IFERROR(__xludf.DUMMYFUNCTION("AE870*(V870 / QUERY(NPCVar!$K$2:$N$12, ""Select N WHERE K='""&amp;AB870&amp;""'""))*TRUNC(1+10)*(TRUNC(MOD(($B870*1103515245 +12345)/ 65536, 32768),0)/32768)"),0.114021606445312)</f>
        <v>0.11402160644531199</v>
      </c>
      <c r="AG870" s="16"/>
      <c r="AH870" s="77"/>
      <c r="AI870" s="114"/>
    </row>
    <row r="871" spans="1:35" ht="16.2">
      <c r="A871" s="53">
        <v>870</v>
      </c>
      <c r="B871" s="118">
        <f t="shared" si="62"/>
        <v>1.3884700000000001</v>
      </c>
      <c r="C871" s="72" t="str">
        <f t="array" ref="C871">INDEX(NPCFName,TRUNC(1+(COUNTA(NPCFName))*(TRUNC(MOD(($B871*1103515245 +12345)/ 65536, 32768),0)/32768),0))</f>
        <v>Celbahr</v>
      </c>
      <c r="D871" s="16" t="str">
        <f t="array" ref="D871">INDEX(NPCLName,TRUNC(1+(COUNTA(NPCLName))*(TRUNC(MOD(($B871*1103515245 +12345)/ 65536, 32768),0)/32768),0))</f>
        <v>Rockspell</v>
      </c>
      <c r="E871" s="16" t="str">
        <f t="array" ref="E871">INDEX(NPCClass,TRUNC(1+(COUNTA(NPCClass))*(TRUNC(MOD(($B871*1103515245 +12345)/ 65536, 32768),0)/32768),0))</f>
        <v>None</v>
      </c>
      <c r="F871" s="76">
        <v>8</v>
      </c>
      <c r="G871" s="153">
        <f ca="1">VLOOKUP($AB$2,'RF Mod'!$A$2:$G$12,2,FALSE)+VLOOKUP($AD$2,'RF Mod'!$I$2:$O$11,2,FALSE)+(TRUNC(6+(24-6)*(TRUNC(MOD(($Z871*1103515245 +12345)/ 65536, 32768),0)/32768),0))</f>
        <v>10</v>
      </c>
      <c r="H871" s="16" t="e">
        <f t="shared" ca="1" si="49"/>
        <v>#NAME?</v>
      </c>
      <c r="I871" s="153">
        <f ca="1">VLOOKUP($AB$2,'RF Mod'!$A$2:$G$12,3,FALSE)+VLOOKUP($AD$2,'RF Mod'!$I$2:$O$11,3,FALSE)+(TRUNC(6+(24-6)*(TRUNC(MOD(($Z871*1103515245 +12345)/ 65536, 32768),0)/32768),0))</f>
        <v>14</v>
      </c>
      <c r="J871" s="16" t="e">
        <f t="shared" ca="1" si="50"/>
        <v>#NAME?</v>
      </c>
      <c r="K871" s="153">
        <f ca="1">VLOOKUP($AB$2,'RF Mod'!$A$2:$G$12,3,FALSE)+VLOOKUP($AD$2,'RF Mod'!$I$2:$O$11,3,FALSE)+(TRUNC(6+(24-6)*(TRUNC(MOD(($Z871*1103515245 +12345)/ 65536, 32768),0)/32768),0))</f>
        <v>14</v>
      </c>
      <c r="L871" s="16" t="e">
        <f t="shared" ca="1" si="51"/>
        <v>#NAME?</v>
      </c>
      <c r="M871" s="153">
        <f ca="1">VLOOKUP($AB$2,'RF Mod'!$A$2:$G$12,4,FALSE)+VLOOKUP($AD$2,'RF Mod'!$I$2:$O$11,4,FALSE)+(TRUNC(6+(24-6)*(TRUNC(MOD(($Z871*1103515245 +12345)/ 65536, 32768),0)/32768),0))</f>
        <v>13</v>
      </c>
      <c r="N871" s="16" t="e">
        <f t="shared" ca="1" si="52"/>
        <v>#NAME?</v>
      </c>
      <c r="O871" s="153">
        <f ca="1">VLOOKUP($AB$2,'RF Mod'!$A$2:$G$12,5,FALSE)+VLOOKUP($AD$2,'RF Mod'!$I$2:$O$11,5,FALSE)+(TRUNC(6+(24-6)*(TRUNC(MOD(($Z871*1103515245 +12345)/ 65536, 32768),0)/32768),0))</f>
        <v>16</v>
      </c>
      <c r="P871" s="16" t="e">
        <f t="shared" ca="1" si="53"/>
        <v>#NAME?</v>
      </c>
      <c r="Q871" s="153">
        <f ca="1">VLOOKUP($AB$2,'RF Mod'!$A$2:$G$12,6,FALSE)+VLOOKUP($AD$2,'RF Mod'!$I$2:$O$11,6,FALSE)+(TRUNC(6+(24-6)*(TRUNC(MOD(($Z871*1103515245 +12345)/ 65536, 32768),0)/32768),0))</f>
        <v>14</v>
      </c>
      <c r="R871" s="16" t="e">
        <f t="shared" ca="1" si="54"/>
        <v>#NAME?</v>
      </c>
      <c r="S871" s="154">
        <f t="shared" ca="1" si="59"/>
        <v>192</v>
      </c>
      <c r="T871" s="154">
        <f t="shared" ca="1" si="55"/>
        <v>96</v>
      </c>
      <c r="U871" s="16" t="str">
        <f t="shared" ca="1" si="56"/>
        <v>Fine</v>
      </c>
      <c r="V871" s="155">
        <f ca="1">IFERROR(__xludf.DUMMYFUNCTION("if(W871=""Middle Age"",QUERY(NPCVar!$K$2:$N1000, ""Select L where K = '""&amp;AB871&amp;""'""),if(W871=""Old"",QUERY(NPCVar!$K$2:$N1000, ""Select M where K = '""&amp;AB871&amp;""'""),if(W871=""Venerable"",QUERY(NPCVar!$K$2:$N1000, ""Select N where K = '""&amp;AB871&amp;""'""),fa"&amp;"lse)))*X871"),162)</f>
        <v>162</v>
      </c>
      <c r="W871" s="156" t="str">
        <f t="array" ref="W871">INDEX(NPCAgeType,TRUNC(1+(4-1)*(TRUNC(MOD((X871*1103515245 +12345)/ 65536, 32768),0)/32768),0))</f>
        <v>Venerable</v>
      </c>
      <c r="X871" s="117">
        <f t="shared" si="61"/>
        <v>1.8</v>
      </c>
      <c r="Y871" s="157" t="e">
        <f t="array" aca="1" ref="Y871" ca="1">LOOKUP(ABS(MAX(Z871 + MIN(ABS(INDIRECT("Class Jobs!B"&amp;MATCH(E871,'Class Jobs'!$A$1:$A1000,0)&amp;":"&amp;"AF"&amp;MATCH(E871,'Class Jobs'!$A$1:$A1000,0)&amp;"")-$Z871)) * SUM(IF(MIN(ABS(INDIRECT("Class Jobs!B"&amp;MATCH(E871,'Class Jobs'!$A$1:$A1000,0)&amp;":"&amp;"AF"&amp;MATCH(E871,'Class Jobs'!$A$1:$A1000,0)&amp;"")-$Z871))=ABS(INDIRECT("Class Jobs!B"&amp;MATCH(E871,'Class Jobs'!$A$1:$A1000,0)&amp;":"&amp;"AF"&amp;MATCH(E871,'Class Jobs'!$A$1:$A1000,0)&amp;"")-$Z871),SIGN(INDIRECT("Class Jobs!B"&amp;MATCH(E871,'Class Jobs'!$A$1:A1000,0)&amp;":"&amp;"AF"&amp;MATCH(E871,'Class Jobs'!$A$1:$A1000,0)&amp;"")-$Z871),0)),0)),INDIRECT("Class Jobs!B"&amp;MATCH(E871,'Class Jobs'!$A$1:$A1000,0)&amp;":"&amp;"AF"&amp;MATCH(E871,'Class Jobs'!$A$1:$A1000,1)&amp;""),'Class Jobs'!$B$1:$AF$1)</f>
        <v>#REF!</v>
      </c>
      <c r="Z871" s="158">
        <f t="shared" si="57"/>
        <v>0.71</v>
      </c>
      <c r="AA871" s="16" t="str">
        <f t="array" ref="AA871">INDEX(NPCGender,TRUNC(1+(COUNTA(NPCGender))*(TRUNC(MOD(($B871*1103515245 +12345)/ 65536, 32768),0)/32768),0))</f>
        <v>Neutral</v>
      </c>
      <c r="AB871" s="16" t="str">
        <f t="array" ref="AB871">INDEX(NPCRace,TRUNC(1+(COUNTA(NPCRace))*(TRUNC(MOD(($B871*1103515245 +12345)/ 65536, 32768),0)/32768),0))</f>
        <v>Human</v>
      </c>
      <c r="AC871" s="16" t="str">
        <f t="array" ref="AC871">INDEX(NPCAL,TRUNC(1+(COUNTA(NPCAL))*(TRUNC(MOD(($B871*1103515245 +12345)/ 65536, 32768),0)/32768),0))</f>
        <v>LG</v>
      </c>
      <c r="AD871" s="72" t="str">
        <f ca="1">IFERROR(__xludf.DUMMYFUNCTION("if(V871&lt;15,QUERY(NPCVar!C:D,""Select D WHERE C = '""&amp;D871&amp;""'""),if((TRUNC(1+10)*(TRUNC(MOD((ROW(H871)*1103515245 +12345)/ 65536, 32768),0)/32768)/10) &gt; 0.85,INDEX(NPCFaction,TRUNC(1+(counta(NPCFaction)-1)*(TRUNC(MOD(($B871*1103515245 +12345)/ 65536, 3276"&amp;"8),0)/32768),0)),QUERY(NPCVar!C:D,""Select D WHERE C = '""&amp;D871&amp;""'"")))"),"Traverlers Guild")</f>
        <v>Traverlers Guild</v>
      </c>
      <c r="AE871" s="108" t="e">
        <f t="shared" ca="1" si="58"/>
        <v>#NAME?</v>
      </c>
      <c r="AF871" s="159">
        <f ca="1">IFERROR(__xludf.DUMMYFUNCTION("AE871*(V871 / QUERY(NPCVar!$K$2:$N$12, ""Select N WHERE K='""&amp;AB871&amp;""'""))*TRUNC(1+10)*(TRUNC(MOD(($B871*1103515245 +12345)/ 65536, 32768),0)/32768)"),2.82534301757812)</f>
        <v>2.82534301757812</v>
      </c>
      <c r="AG871" s="16"/>
      <c r="AH871" s="77"/>
      <c r="AI871" s="114"/>
    </row>
    <row r="872" spans="1:35" ht="16.2">
      <c r="A872" s="53">
        <v>871</v>
      </c>
      <c r="B872" s="118">
        <f t="shared" si="62"/>
        <v>0.38262000000000002</v>
      </c>
      <c r="C872" s="72" t="str">
        <f t="array" ref="C872">INDEX(NPCFName,TRUNC(1+(COUNTA(NPCFName))*(TRUNC(MOD(($B872*1103515245 +12345)/ 65536, 32768),0)/32768),0))</f>
        <v>Miphates</v>
      </c>
      <c r="D872" s="16" t="str">
        <f t="array" ref="D872">INDEX(NPCLName,TRUNC(1+(COUNTA(NPCLName))*(TRUNC(MOD(($B872*1103515245 +12345)/ 65536, 32768),0)/32768),0))</f>
        <v>Ashcloud</v>
      </c>
      <c r="E872" s="16" t="str">
        <f t="array" ref="E872">INDEX(NPCClass,TRUNC(1+(COUNTA(NPCClass))*(TRUNC(MOD(($B872*1103515245 +12345)/ 65536, 32768),0)/32768),0))</f>
        <v>Druid</v>
      </c>
      <c r="F872" s="76">
        <v>1</v>
      </c>
      <c r="G872" s="153">
        <f ca="1">VLOOKUP($AB$2,'RF Mod'!$A$2:$G$12,2,FALSE)+VLOOKUP($AD$2,'RF Mod'!$I$2:$O$11,2,FALSE)+(TRUNC(6+(24-6)*(TRUNC(MOD(($Z872*1103515245 +12345)/ 65536, 32768),0)/32768),0))</f>
        <v>5</v>
      </c>
      <c r="H872" s="16">
        <f t="shared" ca="1" si="49"/>
        <v>-3</v>
      </c>
      <c r="I872" s="153">
        <f ca="1">VLOOKUP($AB$2,'RF Mod'!$A$2:$G$12,3,FALSE)+VLOOKUP($AD$2,'RF Mod'!$I$2:$O$11,3,FALSE)+(TRUNC(6+(24-6)*(TRUNC(MOD(($Z872*1103515245 +12345)/ 65536, 32768),0)/32768),0))</f>
        <v>9</v>
      </c>
      <c r="J872" s="16">
        <f t="shared" ca="1" si="50"/>
        <v>-1</v>
      </c>
      <c r="K872" s="153">
        <f ca="1">VLOOKUP($AB$2,'RF Mod'!$A$2:$G$12,3,FALSE)+VLOOKUP($AD$2,'RF Mod'!$I$2:$O$11,3,FALSE)+(TRUNC(6+(24-6)*(TRUNC(MOD(($Z872*1103515245 +12345)/ 65536, 32768),0)/32768),0))</f>
        <v>9</v>
      </c>
      <c r="L872" s="16">
        <f t="shared" ca="1" si="51"/>
        <v>-1</v>
      </c>
      <c r="M872" s="153">
        <f ca="1">VLOOKUP($AB$2,'RF Mod'!$A$2:$G$12,4,FALSE)+VLOOKUP($AD$2,'RF Mod'!$I$2:$O$11,4,FALSE)+(TRUNC(6+(24-6)*(TRUNC(MOD(($Z872*1103515245 +12345)/ 65536, 32768),0)/32768),0))</f>
        <v>8</v>
      </c>
      <c r="N872" s="16">
        <f t="shared" ca="1" si="52"/>
        <v>-1</v>
      </c>
      <c r="O872" s="153">
        <f ca="1">VLOOKUP($AB$2,'RF Mod'!$A$2:$G$12,5,FALSE)+VLOOKUP($AD$2,'RF Mod'!$I$2:$O$11,5,FALSE)+(TRUNC(6+(24-6)*(TRUNC(MOD(($Z872*1103515245 +12345)/ 65536, 32768),0)/32768),0))</f>
        <v>11</v>
      </c>
      <c r="P872" s="16" t="e">
        <f t="shared" ca="1" si="53"/>
        <v>#NAME?</v>
      </c>
      <c r="Q872" s="153">
        <f ca="1">VLOOKUP($AB$2,'RF Mod'!$A$2:$G$12,6,FALSE)+VLOOKUP($AD$2,'RF Mod'!$I$2:$O$11,6,FALSE)+(TRUNC(6+(24-6)*(TRUNC(MOD(($Z872*1103515245 +12345)/ 65536, 32768),0)/32768),0))</f>
        <v>9</v>
      </c>
      <c r="R872" s="16">
        <f t="shared" ca="1" si="54"/>
        <v>-1</v>
      </c>
      <c r="S872" s="154">
        <f t="shared" ca="1" si="59"/>
        <v>11</v>
      </c>
      <c r="T872" s="154">
        <f t="shared" ca="1" si="55"/>
        <v>6</v>
      </c>
      <c r="U872" s="16" t="str">
        <f t="shared" ca="1" si="56"/>
        <v>Bloody</v>
      </c>
      <c r="V872" s="155">
        <f ca="1">IFERROR(__xludf.DUMMYFUNCTION("if(W872=""Middle Age"",QUERY(NPCVar!$K$2:$N1000, ""Select L where K = '""&amp;AB872&amp;""'""),if(W872=""Old"",QUERY(NPCVar!$K$2:$N1000, ""Select M where K = '""&amp;AB872&amp;""'""),if(W872=""Venerable"",QUERY(NPCVar!$K$2:$N1000, ""Select N where K = '""&amp;AB872&amp;""'""),fa"&amp;"lse)))*X872"),93.75)</f>
        <v>93.75</v>
      </c>
      <c r="W872" s="156" t="str">
        <f t="array" ref="W872">INDEX(NPCAgeType,TRUNC(1+(4-1)*(TRUNC(MOD((X872*1103515245 +12345)/ 65536, 32768),0)/32768),0))</f>
        <v>Middle Age</v>
      </c>
      <c r="X872" s="117">
        <f t="shared" si="61"/>
        <v>0.5</v>
      </c>
      <c r="Y872" s="157" t="e">
        <f t="array" aca="1" ref="Y872" ca="1">LOOKUP(ABS(MAX(Z872 + MIN(ABS(INDIRECT("Class Jobs!B"&amp;MATCH(E872,'Class Jobs'!$A$1:$A1000,0)&amp;":"&amp;"AF"&amp;MATCH(E872,'Class Jobs'!$A$1:$A1000,0)&amp;"")-$Z872)) * SUM(IF(MIN(ABS(INDIRECT("Class Jobs!B"&amp;MATCH(E872,'Class Jobs'!$A$1:$A1000,0)&amp;":"&amp;"AF"&amp;MATCH(E872,'Class Jobs'!$A$1:$A1000,0)&amp;"")-$Z872))=ABS(INDIRECT("Class Jobs!B"&amp;MATCH(E872,'Class Jobs'!$A$1:$A1000,0)&amp;":"&amp;"AF"&amp;MATCH(E872,'Class Jobs'!$A$1:$A1000,0)&amp;"")-$Z872),SIGN(INDIRECT("Class Jobs!B"&amp;MATCH(E872,'Class Jobs'!$A$1:A1000,0)&amp;":"&amp;"AF"&amp;MATCH(E872,'Class Jobs'!$A$1:$A1000,0)&amp;"")-$Z872),0)),0)),INDIRECT("Class Jobs!B"&amp;MATCH(E872,'Class Jobs'!$A$1:$A1000,0)&amp;":"&amp;"AF"&amp;MATCH(E872,'Class Jobs'!$A$1:$A1000,1)&amp;""),'Class Jobs'!$B$1:$AF$1)</f>
        <v>#REF!</v>
      </c>
      <c r="Z872" s="158">
        <f t="shared" si="57"/>
        <v>0.2</v>
      </c>
      <c r="AA872" s="16" t="str">
        <f t="array" ref="AA872">INDEX(NPCGender,TRUNC(1+(COUNTA(NPCGender))*(TRUNC(MOD(($B872*1103515245 +12345)/ 65536, 32768),0)/32768),0))</f>
        <v>Male</v>
      </c>
      <c r="AB872" s="16" t="str">
        <f t="array" ref="AB872">INDEX(NPCRace,TRUNC(1+(COUNTA(NPCRace))*(TRUNC(MOD(($B872*1103515245 +12345)/ 65536, 32768),0)/32768),0))</f>
        <v>Elf</v>
      </c>
      <c r="AC872" s="16" t="str">
        <f t="array" ref="AC872">INDEX(NPCAL,TRUNC(1+(COUNTA(NPCAL))*(TRUNC(MOD(($B872*1103515245 +12345)/ 65536, 32768),0)/32768),0))</f>
        <v>CE</v>
      </c>
      <c r="AD872" s="72" t="str">
        <f ca="1">IFERROR(__xludf.DUMMYFUNCTION("if(V872&lt;15,QUERY(NPCVar!C:D,""Select D WHERE C = '""&amp;D872&amp;""'""),if((TRUNC(1+10)*(TRUNC(MOD((ROW(H872)*1103515245 +12345)/ 65536, 32768),0)/32768)/10) &gt; 0.85,INDEX(NPCFaction,TRUNC(1+(counta(NPCFaction)-1)*(TRUNC(MOD(($B872*1103515245 +12345)/ 65536, 3276"&amp;"8),0)/32768),0)),QUERY(NPCVar!C:D,""Select D WHERE C = '""&amp;D872&amp;""'"")))"),"Magic Guild")</f>
        <v>Magic Guild</v>
      </c>
      <c r="AE872" s="108" t="e">
        <f t="shared" ca="1" si="58"/>
        <v>#NAME?</v>
      </c>
      <c r="AF872" s="159">
        <f ca="1">IFERROR(__xludf.DUMMYFUNCTION("AE872*(V872 / QUERY(NPCVar!$K$2:$N$12, ""Select N WHERE K='""&amp;AB872&amp;""'""))*TRUNC(1+10)*(TRUNC(MOD(($B872*1103515245 +12345)/ 65536, 32768),0)/32768)"),0.0810951232910156)</f>
        <v>8.1095123291015606E-2</v>
      </c>
      <c r="AG872" s="16"/>
      <c r="AH872" s="77"/>
      <c r="AI872" s="114"/>
    </row>
    <row r="873" spans="1:35" ht="16.2">
      <c r="A873" s="53">
        <v>872</v>
      </c>
      <c r="B873" s="118">
        <f t="shared" si="62"/>
        <v>1.8767499999999999</v>
      </c>
      <c r="C873" s="72" t="str">
        <f t="array" ref="C873">INDEX(NPCFName,TRUNC(1+(COUNTA(NPCFName))*(TRUNC(MOD(($B873*1103515245 +12345)/ 65536, 32768),0)/32768),0))</f>
        <v>Valkeri</v>
      </c>
      <c r="D873" s="16" t="str">
        <f t="array" ref="D873">INDEX(NPCLName,TRUNC(1+(COUNTA(NPCLName))*(TRUNC(MOD(($B873*1103515245 +12345)/ 65536, 32768),0)/32768),0))</f>
        <v>Marblearm</v>
      </c>
      <c r="E873" s="16" t="str">
        <f t="array" ref="E873">INDEX(NPCClass,TRUNC(1+(COUNTA(NPCClass))*(TRUNC(MOD(($B873*1103515245 +12345)/ 65536, 32768),0)/32768),0))</f>
        <v>Wizard</v>
      </c>
      <c r="F873" s="76">
        <v>8</v>
      </c>
      <c r="G873" s="153">
        <f ca="1">VLOOKUP($AB$2,'RF Mod'!$A$2:$G$12,2,FALSE)+VLOOKUP($AD$2,'RF Mod'!$I$2:$O$11,2,FALSE)+(TRUNC(6+(24-6)*(TRUNC(MOD(($Z873*1103515245 +12345)/ 65536, 32768),0)/32768),0))</f>
        <v>12</v>
      </c>
      <c r="H873" s="16" t="e">
        <f t="shared" ca="1" si="49"/>
        <v>#NAME?</v>
      </c>
      <c r="I873" s="153">
        <f ca="1">VLOOKUP($AB$2,'RF Mod'!$A$2:$G$12,3,FALSE)+VLOOKUP($AD$2,'RF Mod'!$I$2:$O$11,3,FALSE)+(TRUNC(6+(24-6)*(TRUNC(MOD(($Z873*1103515245 +12345)/ 65536, 32768),0)/32768),0))</f>
        <v>16</v>
      </c>
      <c r="J873" s="16" t="e">
        <f t="shared" ca="1" si="50"/>
        <v>#NAME?</v>
      </c>
      <c r="K873" s="153">
        <f ca="1">VLOOKUP($AB$2,'RF Mod'!$A$2:$G$12,3,FALSE)+VLOOKUP($AD$2,'RF Mod'!$I$2:$O$11,3,FALSE)+(TRUNC(6+(24-6)*(TRUNC(MOD(($Z873*1103515245 +12345)/ 65536, 32768),0)/32768),0))</f>
        <v>16</v>
      </c>
      <c r="L873" s="16" t="e">
        <f t="shared" ca="1" si="51"/>
        <v>#NAME?</v>
      </c>
      <c r="M873" s="153">
        <f ca="1">VLOOKUP($AB$2,'RF Mod'!$A$2:$G$12,4,FALSE)+VLOOKUP($AD$2,'RF Mod'!$I$2:$O$11,4,FALSE)+(TRUNC(6+(24-6)*(TRUNC(MOD(($Z873*1103515245 +12345)/ 65536, 32768),0)/32768),0))</f>
        <v>15</v>
      </c>
      <c r="N873" s="16" t="e">
        <f t="shared" ca="1" si="52"/>
        <v>#NAME?</v>
      </c>
      <c r="O873" s="153">
        <f ca="1">VLOOKUP($AB$2,'RF Mod'!$A$2:$G$12,5,FALSE)+VLOOKUP($AD$2,'RF Mod'!$I$2:$O$11,5,FALSE)+(TRUNC(6+(24-6)*(TRUNC(MOD(($Z873*1103515245 +12345)/ 65536, 32768),0)/32768),0))</f>
        <v>18</v>
      </c>
      <c r="P873" s="16" t="e">
        <f t="shared" ca="1" si="53"/>
        <v>#NAME?</v>
      </c>
      <c r="Q873" s="153">
        <f ca="1">VLOOKUP($AB$2,'RF Mod'!$A$2:$G$12,6,FALSE)+VLOOKUP($AD$2,'RF Mod'!$I$2:$O$11,6,FALSE)+(TRUNC(6+(24-6)*(TRUNC(MOD(($Z873*1103515245 +12345)/ 65536, 32768),0)/32768),0))</f>
        <v>16</v>
      </c>
      <c r="R873" s="16" t="e">
        <f t="shared" ca="1" si="54"/>
        <v>#NAME?</v>
      </c>
      <c r="S873" s="154">
        <f t="shared" ca="1" si="59"/>
        <v>224</v>
      </c>
      <c r="T873" s="154">
        <f t="shared" ca="1" si="55"/>
        <v>93</v>
      </c>
      <c r="U873" s="16" t="str">
        <f t="shared" ca="1" si="56"/>
        <v>Fine</v>
      </c>
      <c r="V873" s="155">
        <f ca="1">IFERROR(__xludf.DUMMYFUNCTION("if(W873=""Middle Age"",QUERY(NPCVar!$K$2:$N1000, ""Select L where K = '""&amp;AB873&amp;""'""),if(W873=""Old"",QUERY(NPCVar!$K$2:$N1000, ""Select M where K = '""&amp;AB873&amp;""'""),if(W873=""Venerable"",QUERY(NPCVar!$K$2:$N1000, ""Select N where K = '""&amp;AB873&amp;""'""),fa"&amp;"lse)))*X873"),72)</f>
        <v>72</v>
      </c>
      <c r="W873" s="156" t="str">
        <f t="array" ref="W873">INDEX(NPCAgeType,TRUNC(1+(4-1)*(TRUNC(MOD((X873*1103515245 +12345)/ 65536, 32768),0)/32768),0))</f>
        <v>Middle Age</v>
      </c>
      <c r="X873" s="117">
        <f t="shared" si="61"/>
        <v>2.4</v>
      </c>
      <c r="Y873" s="157" t="e">
        <f t="array" aca="1" ref="Y873" ca="1">LOOKUP(ABS(MAX(Z873 + MIN(ABS(INDIRECT("Class Jobs!B"&amp;MATCH(E873,'Class Jobs'!$A$1:$A1000,0)&amp;":"&amp;"AF"&amp;MATCH(E873,'Class Jobs'!$A$1:$A1000,0)&amp;"")-$Z873)) * SUM(IF(MIN(ABS(INDIRECT("Class Jobs!B"&amp;MATCH(E873,'Class Jobs'!$A$1:$A1000,0)&amp;":"&amp;"AF"&amp;MATCH(E873,'Class Jobs'!$A$1:$A1000,0)&amp;"")-$Z873))=ABS(INDIRECT("Class Jobs!B"&amp;MATCH(E873,'Class Jobs'!$A$1:$A1000,0)&amp;":"&amp;"AF"&amp;MATCH(E873,'Class Jobs'!$A$1:$A1000,0)&amp;"")-$Z873),SIGN(INDIRECT("Class Jobs!B"&amp;MATCH(E873,'Class Jobs'!$A$1:A1000,0)&amp;":"&amp;"AF"&amp;MATCH(E873,'Class Jobs'!$A$1:$A1000,0)&amp;"")-$Z873),0)),0)),INDIRECT("Class Jobs!B"&amp;MATCH(E873,'Class Jobs'!$A$1:$A1000,0)&amp;":"&amp;"AF"&amp;MATCH(E873,'Class Jobs'!$A$1:$A1000,1)&amp;""),'Class Jobs'!$B$1:$AF$1)</f>
        <v>#REF!</v>
      </c>
      <c r="Z873" s="158">
        <f t="shared" si="57"/>
        <v>0.96</v>
      </c>
      <c r="AA873" s="16" t="str">
        <f t="array" ref="AA873">INDEX(NPCGender,TRUNC(1+(COUNTA(NPCGender))*(TRUNC(MOD(($B873*1103515245 +12345)/ 65536, 32768),0)/32768),0))</f>
        <v>Neutral</v>
      </c>
      <c r="AB873" s="16" t="str">
        <f t="array" ref="AB873">INDEX(NPCRace,TRUNC(1+(COUNTA(NPCRace))*(TRUNC(MOD(($B873*1103515245 +12345)/ 65536, 32768),0)/32768),0))</f>
        <v>Goliath</v>
      </c>
      <c r="AC873" s="16" t="str">
        <f t="array" ref="AC873">INDEX(NPCAL,TRUNC(1+(COUNTA(NPCAL))*(TRUNC(MOD(($B873*1103515245 +12345)/ 65536, 32768),0)/32768),0))</f>
        <v>LE</v>
      </c>
      <c r="AD873" s="72" t="str">
        <f ca="1">IFERROR(__xludf.DUMMYFUNCTION("if(V873&lt;15,QUERY(NPCVar!C:D,""Select D WHERE C = '""&amp;D873&amp;""'""),if((TRUNC(1+10)*(TRUNC(MOD((ROW(H873)*1103515245 +12345)/ 65536, 32768),0)/32768)/10) &gt; 0.85,INDEX(NPCFaction,TRUNC(1+(counta(NPCFaction)-1)*(TRUNC(MOD(($B873*1103515245 +12345)/ 65536, 3276"&amp;"8),0)/32768),0)),QUERY(NPCVar!C:D,""Select D WHERE C = '""&amp;D873&amp;""'"")))"),"Thieves Guild")</f>
        <v>Thieves Guild</v>
      </c>
      <c r="AE873" s="108" t="e">
        <f t="shared" ca="1" si="58"/>
        <v>#NAME?</v>
      </c>
      <c r="AF873" s="159">
        <f ca="1">IFERROR(__xludf.DUMMYFUNCTION("AE873*(V873 / QUERY(NPCVar!$K$2:$N$12, ""Select N WHERE K='""&amp;AB873&amp;""'""))*TRUNC(1+10)*(TRUNC(MOD(($B873*1103515245 +12345)/ 65536, 32768),0)/32768)"),1.27298950195312)</f>
        <v>1.2729895019531201</v>
      </c>
      <c r="AG873" s="16"/>
      <c r="AH873" s="77"/>
      <c r="AI873" s="114"/>
    </row>
    <row r="874" spans="1:35" ht="16.2">
      <c r="A874" s="53">
        <v>873</v>
      </c>
      <c r="B874" s="118">
        <f t="shared" si="62"/>
        <v>0.87090000000000001</v>
      </c>
      <c r="C874" s="72" t="str">
        <f t="array" ref="C874">INDEX(NPCFName,TRUNC(1+(COUNTA(NPCFName))*(TRUNC(MOD(($B874*1103515245 +12345)/ 65536, 32768),0)/32768),0))</f>
        <v>Gai</v>
      </c>
      <c r="D874" s="16" t="str">
        <f t="array" ref="D874">INDEX(NPCLName,TRUNC(1+(COUNTA(NPCLName))*(TRUNC(MOD(($B874*1103515245 +12345)/ 65536, 32768),0)/32768),0))</f>
        <v>Saurflame</v>
      </c>
      <c r="E874" s="16" t="str">
        <f t="array" ref="E874">INDEX(NPCClass,TRUNC(1+(COUNTA(NPCClass))*(TRUNC(MOD(($B874*1103515245 +12345)/ 65536, 32768),0)/32768),0))</f>
        <v>Ranger</v>
      </c>
      <c r="F874" s="76">
        <v>5</v>
      </c>
      <c r="G874" s="153">
        <f ca="1">VLOOKUP($AB$2,'RF Mod'!$A$2:$G$12,2,FALSE)+VLOOKUP($AD$2,'RF Mod'!$I$2:$O$11,2,FALSE)+(TRUNC(6+(24-6)*(TRUNC(MOD(($Z874*1103515245 +12345)/ 65536, 32768),0)/32768),0))</f>
        <v>8</v>
      </c>
      <c r="H874" s="16">
        <f t="shared" ca="1" si="49"/>
        <v>-1</v>
      </c>
      <c r="I874" s="153">
        <f ca="1">VLOOKUP($AB$2,'RF Mod'!$A$2:$G$12,3,FALSE)+VLOOKUP($AD$2,'RF Mod'!$I$2:$O$11,3,FALSE)+(TRUNC(6+(24-6)*(TRUNC(MOD(($Z874*1103515245 +12345)/ 65536, 32768),0)/32768),0))</f>
        <v>12</v>
      </c>
      <c r="J874" s="16" t="e">
        <f t="shared" ca="1" si="50"/>
        <v>#NAME?</v>
      </c>
      <c r="K874" s="153">
        <f ca="1">VLOOKUP($AB$2,'RF Mod'!$A$2:$G$12,3,FALSE)+VLOOKUP($AD$2,'RF Mod'!$I$2:$O$11,3,FALSE)+(TRUNC(6+(24-6)*(TRUNC(MOD(($Z874*1103515245 +12345)/ 65536, 32768),0)/32768),0))</f>
        <v>12</v>
      </c>
      <c r="L874" s="16" t="e">
        <f t="shared" ca="1" si="51"/>
        <v>#NAME?</v>
      </c>
      <c r="M874" s="153">
        <f ca="1">VLOOKUP($AB$2,'RF Mod'!$A$2:$G$12,4,FALSE)+VLOOKUP($AD$2,'RF Mod'!$I$2:$O$11,4,FALSE)+(TRUNC(6+(24-6)*(TRUNC(MOD(($Z874*1103515245 +12345)/ 65536, 32768),0)/32768),0))</f>
        <v>11</v>
      </c>
      <c r="N874" s="16" t="e">
        <f t="shared" ca="1" si="52"/>
        <v>#NAME?</v>
      </c>
      <c r="O874" s="153">
        <f ca="1">VLOOKUP($AB$2,'RF Mod'!$A$2:$G$12,5,FALSE)+VLOOKUP($AD$2,'RF Mod'!$I$2:$O$11,5,FALSE)+(TRUNC(6+(24-6)*(TRUNC(MOD(($Z874*1103515245 +12345)/ 65536, 32768),0)/32768),0))</f>
        <v>14</v>
      </c>
      <c r="P874" s="16" t="e">
        <f t="shared" ca="1" si="53"/>
        <v>#NAME?</v>
      </c>
      <c r="Q874" s="153">
        <f ca="1">VLOOKUP($AB$2,'RF Mod'!$A$2:$G$12,6,FALSE)+VLOOKUP($AD$2,'RF Mod'!$I$2:$O$11,6,FALSE)+(TRUNC(6+(24-6)*(TRUNC(MOD(($Z874*1103515245 +12345)/ 65536, 32768),0)/32768),0))</f>
        <v>12</v>
      </c>
      <c r="R874" s="16" t="e">
        <f t="shared" ca="1" si="54"/>
        <v>#NAME?</v>
      </c>
      <c r="S874" s="154">
        <f t="shared" ca="1" si="59"/>
        <v>130</v>
      </c>
      <c r="T874" s="154">
        <f t="shared" ca="1" si="55"/>
        <v>54</v>
      </c>
      <c r="U874" s="16" t="str">
        <f t="shared" ca="1" si="56"/>
        <v>Fine</v>
      </c>
      <c r="V874" s="155">
        <f ca="1">IFERROR(__xludf.DUMMYFUNCTION("if(W874=""Middle Age"",QUERY(NPCVar!$K$2:$N1000, ""Select L where K = '""&amp;AB874&amp;""'""),if(W874=""Old"",QUERY(NPCVar!$K$2:$N1000, ""Select M where K = '""&amp;AB874&amp;""'""),if(W874=""Venerable"",QUERY(NPCVar!$K$2:$N1000, ""Select N where K = '""&amp;AB874&amp;""'""),fa"&amp;"lse)))*X874"),74.25)</f>
        <v>74.25</v>
      </c>
      <c r="W874" s="156" t="str">
        <f t="array" ref="W874">INDEX(NPCAgeType,TRUNC(1+(4-1)*(TRUNC(MOD((X874*1103515245 +12345)/ 65536, 32768),0)/32768),0))</f>
        <v>Old</v>
      </c>
      <c r="X874" s="117">
        <f t="shared" si="61"/>
        <v>1.1000000000000001</v>
      </c>
      <c r="Y874" s="157" t="e">
        <f t="array" aca="1" ref="Y874" ca="1">LOOKUP(ABS(MAX(Z874 + MIN(ABS(INDIRECT("Class Jobs!B"&amp;MATCH(E874,'Class Jobs'!$A$1:$A1000,0)&amp;":"&amp;"AF"&amp;MATCH(E874,'Class Jobs'!$A$1:$A1000,0)&amp;"")-$Z874)) * SUM(IF(MIN(ABS(INDIRECT("Class Jobs!B"&amp;MATCH(E874,'Class Jobs'!$A$1:$A1000,0)&amp;":"&amp;"AF"&amp;MATCH(E874,'Class Jobs'!$A$1:$A1000,0)&amp;"")-$Z874))=ABS(INDIRECT("Class Jobs!B"&amp;MATCH(E874,'Class Jobs'!$A$1:$A1000,0)&amp;":"&amp;"AF"&amp;MATCH(E874,'Class Jobs'!$A$1:$A1000,0)&amp;"")-$Z874),SIGN(INDIRECT("Class Jobs!B"&amp;MATCH(E874,'Class Jobs'!$A$1:A1000,0)&amp;":"&amp;"AF"&amp;MATCH(E874,'Class Jobs'!$A$1:$A1000,0)&amp;"")-$Z874),0)),0)),INDIRECT("Class Jobs!B"&amp;MATCH(E874,'Class Jobs'!$A$1:$A1000,0)&amp;":"&amp;"AF"&amp;MATCH(E874,'Class Jobs'!$A$1:$A1000,1)&amp;""),'Class Jobs'!$B$1:$AF$1)</f>
        <v>#REF!</v>
      </c>
      <c r="Z874" s="158">
        <f t="shared" si="57"/>
        <v>0.45</v>
      </c>
      <c r="AA874" s="16" t="str">
        <f t="array" ref="AA874">INDEX(NPCGender,TRUNC(1+(COUNTA(NPCGender))*(TRUNC(MOD(($B874*1103515245 +12345)/ 65536, 32768),0)/32768),0))</f>
        <v>Female</v>
      </c>
      <c r="AB874" s="16" t="str">
        <f t="array" ref="AB874">INDEX(NPCRace,TRUNC(1+(COUNTA(NPCRace))*(TRUNC(MOD(($B874*1103515245 +12345)/ 65536, 32768),0)/32768),0))</f>
        <v>Half-Elf</v>
      </c>
      <c r="AC874" s="16" t="str">
        <f t="array" ref="AC874">INDEX(NPCAL,TRUNC(1+(COUNTA(NPCAL))*(TRUNC(MOD(($B874*1103515245 +12345)/ 65536, 32768),0)/32768),0))</f>
        <v>NN</v>
      </c>
      <c r="AD874" s="72" t="str">
        <f ca="1">IFERROR(__xludf.DUMMYFUNCTION("if(V874&lt;15,QUERY(NPCVar!C:D,""Select D WHERE C = '""&amp;D874&amp;""'""),if((TRUNC(1+10)*(TRUNC(MOD((ROW(H874)*1103515245 +12345)/ 65536, 32768),0)/32768)/10) &gt; 0.85,INDEX(NPCFaction,TRUNC(1+(counta(NPCFaction)-1)*(TRUNC(MOD(($B874*1103515245 +12345)/ 65536, 3276"&amp;"8),0)/32768),0)),QUERY(NPCVar!C:D,""Select D WHERE C = '""&amp;D874&amp;""'"")))"),"Farmers Guild")</f>
        <v>Farmers Guild</v>
      </c>
      <c r="AE874" s="108" t="e">
        <f t="shared" ca="1" si="58"/>
        <v>#NAME?</v>
      </c>
      <c r="AF874" s="159">
        <f ca="1">IFERROR(__xludf.DUMMYFUNCTION("AE874*(V874 / QUERY(NPCVar!$K$2:$N$12, ""Select N WHERE K='""&amp;AB874&amp;""'""))*TRUNC(1+10)*(TRUNC(MOD(($B874*1103515245 +12345)/ 65536, 32768),0)/32768)"),1.4214028930664)</f>
        <v>1.4214028930664</v>
      </c>
      <c r="AG874" s="16"/>
      <c r="AH874" s="77"/>
      <c r="AI874" s="114"/>
    </row>
    <row r="875" spans="1:35" ht="16.2">
      <c r="A875" s="53">
        <v>874</v>
      </c>
      <c r="B875" s="118">
        <f t="shared" si="62"/>
        <v>2.36503</v>
      </c>
      <c r="C875" s="72" t="str">
        <f t="array" ref="C875">INDEX(NPCFName,TRUNC(1+(COUNTA(NPCFName))*(TRUNC(MOD(($B875*1103515245 +12345)/ 65536, 32768),0)/32768),0))</f>
        <v>Ohethlic</v>
      </c>
      <c r="D875" s="16" t="str">
        <f t="array" ref="D875">INDEX(NPCLName,TRUNC(1+(COUNTA(NPCLName))*(TRUNC(MOD(($B875*1103515245 +12345)/ 65536, 32768),0)/32768),0))</f>
        <v>Stillsun</v>
      </c>
      <c r="E875" s="16" t="str">
        <f t="array" ref="E875">INDEX(NPCClass,TRUNC(1+(COUNTA(NPCClass))*(TRUNC(MOD(($B875*1103515245 +12345)/ 65536, 32768),0)/32768),0))</f>
        <v>Druid</v>
      </c>
      <c r="F875" s="76">
        <v>2</v>
      </c>
      <c r="G875" s="153">
        <f ca="1">VLOOKUP($AB$2,'RF Mod'!$A$2:$G$12,2,FALSE)+VLOOKUP($AD$2,'RF Mod'!$I$2:$O$11,2,FALSE)+(TRUNC(6+(24-6)*(TRUNC(MOD(($Z875*1103515245 +12345)/ 65536, 32768),0)/32768),0))</f>
        <v>6</v>
      </c>
      <c r="H875" s="16">
        <f t="shared" ca="1" si="49"/>
        <v>-2</v>
      </c>
      <c r="I875" s="153">
        <f ca="1">VLOOKUP($AB$2,'RF Mod'!$A$2:$G$12,3,FALSE)+VLOOKUP($AD$2,'RF Mod'!$I$2:$O$11,3,FALSE)+(TRUNC(6+(24-6)*(TRUNC(MOD(($Z875*1103515245 +12345)/ 65536, 32768),0)/32768),0))</f>
        <v>10</v>
      </c>
      <c r="J875" s="16" t="e">
        <f t="shared" ca="1" si="50"/>
        <v>#NAME?</v>
      </c>
      <c r="K875" s="153">
        <f ca="1">VLOOKUP($AB$2,'RF Mod'!$A$2:$G$12,3,FALSE)+VLOOKUP($AD$2,'RF Mod'!$I$2:$O$11,3,FALSE)+(TRUNC(6+(24-6)*(TRUNC(MOD(($Z875*1103515245 +12345)/ 65536, 32768),0)/32768),0))</f>
        <v>10</v>
      </c>
      <c r="L875" s="16" t="e">
        <f t="shared" ca="1" si="51"/>
        <v>#NAME?</v>
      </c>
      <c r="M875" s="153">
        <f ca="1">VLOOKUP($AB$2,'RF Mod'!$A$2:$G$12,4,FALSE)+VLOOKUP($AD$2,'RF Mod'!$I$2:$O$11,4,FALSE)+(TRUNC(6+(24-6)*(TRUNC(MOD(($Z875*1103515245 +12345)/ 65536, 32768),0)/32768),0))</f>
        <v>9</v>
      </c>
      <c r="N875" s="16">
        <f t="shared" ca="1" si="52"/>
        <v>-1</v>
      </c>
      <c r="O875" s="153">
        <f ca="1">VLOOKUP($AB$2,'RF Mod'!$A$2:$G$12,5,FALSE)+VLOOKUP($AD$2,'RF Mod'!$I$2:$O$11,5,FALSE)+(TRUNC(6+(24-6)*(TRUNC(MOD(($Z875*1103515245 +12345)/ 65536, 32768),0)/32768),0))</f>
        <v>12</v>
      </c>
      <c r="P875" s="16" t="e">
        <f t="shared" ca="1" si="53"/>
        <v>#NAME?</v>
      </c>
      <c r="Q875" s="153">
        <f ca="1">VLOOKUP($AB$2,'RF Mod'!$A$2:$G$12,6,FALSE)+VLOOKUP($AD$2,'RF Mod'!$I$2:$O$11,6,FALSE)+(TRUNC(6+(24-6)*(TRUNC(MOD(($Z875*1103515245 +12345)/ 65536, 32768),0)/32768),0))</f>
        <v>10</v>
      </c>
      <c r="R875" s="16" t="e">
        <f t="shared" ca="1" si="54"/>
        <v>#NAME?</v>
      </c>
      <c r="S875" s="154">
        <f t="shared" ca="1" si="59"/>
        <v>24</v>
      </c>
      <c r="T875" s="154">
        <f t="shared" ca="1" si="55"/>
        <v>16</v>
      </c>
      <c r="U875" s="16" t="str">
        <f t="shared" ca="1" si="56"/>
        <v>Bloody</v>
      </c>
      <c r="V875" s="155">
        <f ca="1">IFERROR(__xludf.DUMMYFUNCTION("if(W875=""Middle Age"",QUERY(NPCVar!$K$2:$N1000, ""Select L where K = '""&amp;AB875&amp;""'""),if(W875=""Old"",QUERY(NPCVar!$K$2:$N1000, ""Select M where K = '""&amp;AB875&amp;""'""),if(W875=""Venerable"",QUERY(NPCVar!$K$2:$N1000, ""Select N where K = '""&amp;AB875&amp;""'""),fa"&amp;"lse)))*X875"),112.5)</f>
        <v>112.5</v>
      </c>
      <c r="W875" s="156" t="str">
        <f t="array" ref="W875">INDEX(NPCAgeType,TRUNC(1+(4-1)*(TRUNC(MOD((X875*1103515245 +12345)/ 65536, 32768),0)/32768),0))</f>
        <v>Middle Age</v>
      </c>
      <c r="X875" s="117">
        <f t="shared" si="61"/>
        <v>0.6</v>
      </c>
      <c r="Y875" s="157" t="e">
        <f t="array" aca="1" ref="Y875" ca="1">LOOKUP(ABS(MAX(Z875 + MIN(ABS(INDIRECT("Class Jobs!B"&amp;MATCH(E875,'Class Jobs'!$A$1:$A1000,0)&amp;":"&amp;"AF"&amp;MATCH(E875,'Class Jobs'!$A$1:$A1000,0)&amp;"")-$Z875)) * SUM(IF(MIN(ABS(INDIRECT("Class Jobs!B"&amp;MATCH(E875,'Class Jobs'!$A$1:$A1000,0)&amp;":"&amp;"AF"&amp;MATCH(E875,'Class Jobs'!$A$1:$A1000,0)&amp;"")-$Z875))=ABS(INDIRECT("Class Jobs!B"&amp;MATCH(E875,'Class Jobs'!$A$1:$A1000,0)&amp;":"&amp;"AF"&amp;MATCH(E875,'Class Jobs'!$A$1:$A1000,0)&amp;"")-$Z875),SIGN(INDIRECT("Class Jobs!B"&amp;MATCH(E875,'Class Jobs'!$A$1:A1000,0)&amp;":"&amp;"AF"&amp;MATCH(E875,'Class Jobs'!$A$1:$A1000,0)&amp;"")-$Z875),0)),0)),INDIRECT("Class Jobs!B"&amp;MATCH(E875,'Class Jobs'!$A$1:$A1000,0)&amp;":"&amp;"AF"&amp;MATCH(E875,'Class Jobs'!$A$1:$A1000,1)&amp;""),'Class Jobs'!$B$1:$AF$1)</f>
        <v>#REF!</v>
      </c>
      <c r="Z875" s="158">
        <f t="shared" si="57"/>
        <v>0.22</v>
      </c>
      <c r="AA875" s="16" t="str">
        <f t="array" ref="AA875">INDEX(NPCGender,TRUNC(1+(COUNTA(NPCGender))*(TRUNC(MOD(($B875*1103515245 +12345)/ 65536, 32768),0)/32768),0))</f>
        <v>Male</v>
      </c>
      <c r="AB875" s="16" t="str">
        <f t="array" ref="AB875">INDEX(NPCRace,TRUNC(1+(COUNTA(NPCRace))*(TRUNC(MOD(($B875*1103515245 +12345)/ 65536, 32768),0)/32768),0))</f>
        <v>Elf</v>
      </c>
      <c r="AC875" s="16" t="str">
        <f t="array" ref="AC875">INDEX(NPCAL,TRUNC(1+(COUNTA(NPCAL))*(TRUNC(MOD(($B875*1103515245 +12345)/ 65536, 32768),0)/32768),0))</f>
        <v>CE</v>
      </c>
      <c r="AD875" s="72" t="str">
        <f ca="1">IFERROR(__xludf.DUMMYFUNCTION("if(V875&lt;15,QUERY(NPCVar!C:D,""Select D WHERE C = '""&amp;D875&amp;""'""),if((TRUNC(1+10)*(TRUNC(MOD((ROW(H875)*1103515245 +12345)/ 65536, 32768),0)/32768)/10) &gt; 0.85,INDEX(NPCFaction,TRUNC(1+(counta(NPCFaction)-1)*(TRUNC(MOD(($B875*1103515245 +12345)/ 65536, 3276"&amp;"8),0)/32768),0)),QUERY(NPCVar!C:D,""Select D WHERE C = '""&amp;D875&amp;""'"")))"),"Necromancer")</f>
        <v>Necromancer</v>
      </c>
      <c r="AE875" s="108" t="e">
        <f t="shared" ca="1" si="58"/>
        <v>#NAME?</v>
      </c>
      <c r="AF875" s="159">
        <f ca="1">IFERROR(__xludf.DUMMYFUNCTION("AE875*(V875 / QUERY(NPCVar!$K$2:$N$12, ""Select N WHERE K='""&amp;AB875&amp;""'""))*TRUNC(1+10)*(TRUNC(MOD(($B875*1103515245 +12345)/ 65536, 32768),0)/32768)"),0)</f>
        <v>0</v>
      </c>
      <c r="AG875" s="16"/>
      <c r="AH875" s="77"/>
      <c r="AI875" s="114"/>
    </row>
    <row r="876" spans="1:35" ht="16.2">
      <c r="A876" s="53">
        <v>875</v>
      </c>
      <c r="B876" s="118">
        <f t="shared" si="62"/>
        <v>1.3591800000000001</v>
      </c>
      <c r="C876" s="72" t="str">
        <f t="array" ref="C876">INDEX(NPCFName,TRUNC(1+(COUNTA(NPCFName))*(TRUNC(MOD(($B876*1103515245 +12345)/ 65536, 32768),0)/32768),0))</f>
        <v>Bildon</v>
      </c>
      <c r="D876" s="16" t="str">
        <f t="array" ref="D876">INDEX(NPCLName,TRUNC(1+(COUNTA(NPCLName))*(TRUNC(MOD(($B876*1103515245 +12345)/ 65536, 32768),0)/32768),0))</f>
        <v>Emberhell</v>
      </c>
      <c r="E876" s="16" t="str">
        <f t="array" ref="E876">INDEX(NPCClass,TRUNC(1+(COUNTA(NPCClass))*(TRUNC(MOD(($B876*1103515245 +12345)/ 65536, 32768),0)/32768),0))</f>
        <v>None</v>
      </c>
      <c r="F876" s="76">
        <v>8</v>
      </c>
      <c r="G876" s="153">
        <f ca="1">VLOOKUP($AB$2,'RF Mod'!$A$2:$G$12,2,FALSE)+VLOOKUP($AD$2,'RF Mod'!$I$2:$O$11,2,FALSE)+(TRUNC(6+(24-6)*(TRUNC(MOD(($Z876*1103515245 +12345)/ 65536, 32768),0)/32768),0))</f>
        <v>10</v>
      </c>
      <c r="H876" s="16" t="e">
        <f t="shared" ca="1" si="49"/>
        <v>#NAME?</v>
      </c>
      <c r="I876" s="153">
        <f ca="1">VLOOKUP($AB$2,'RF Mod'!$A$2:$G$12,3,FALSE)+VLOOKUP($AD$2,'RF Mod'!$I$2:$O$11,3,FALSE)+(TRUNC(6+(24-6)*(TRUNC(MOD(($Z876*1103515245 +12345)/ 65536, 32768),0)/32768),0))</f>
        <v>14</v>
      </c>
      <c r="J876" s="16" t="e">
        <f t="shared" ca="1" si="50"/>
        <v>#NAME?</v>
      </c>
      <c r="K876" s="153">
        <f ca="1">VLOOKUP($AB$2,'RF Mod'!$A$2:$G$12,3,FALSE)+VLOOKUP($AD$2,'RF Mod'!$I$2:$O$11,3,FALSE)+(TRUNC(6+(24-6)*(TRUNC(MOD(($Z876*1103515245 +12345)/ 65536, 32768),0)/32768),0))</f>
        <v>14</v>
      </c>
      <c r="L876" s="16" t="e">
        <f t="shared" ca="1" si="51"/>
        <v>#NAME?</v>
      </c>
      <c r="M876" s="153">
        <f ca="1">VLOOKUP($AB$2,'RF Mod'!$A$2:$G$12,4,FALSE)+VLOOKUP($AD$2,'RF Mod'!$I$2:$O$11,4,FALSE)+(TRUNC(6+(24-6)*(TRUNC(MOD(($Z876*1103515245 +12345)/ 65536, 32768),0)/32768),0))</f>
        <v>13</v>
      </c>
      <c r="N876" s="16" t="e">
        <f t="shared" ca="1" si="52"/>
        <v>#NAME?</v>
      </c>
      <c r="O876" s="153">
        <f ca="1">VLOOKUP($AB$2,'RF Mod'!$A$2:$G$12,5,FALSE)+VLOOKUP($AD$2,'RF Mod'!$I$2:$O$11,5,FALSE)+(TRUNC(6+(24-6)*(TRUNC(MOD(($Z876*1103515245 +12345)/ 65536, 32768),0)/32768),0))</f>
        <v>16</v>
      </c>
      <c r="P876" s="16" t="e">
        <f t="shared" ca="1" si="53"/>
        <v>#NAME?</v>
      </c>
      <c r="Q876" s="153">
        <f ca="1">VLOOKUP($AB$2,'RF Mod'!$A$2:$G$12,6,FALSE)+VLOOKUP($AD$2,'RF Mod'!$I$2:$O$11,6,FALSE)+(TRUNC(6+(24-6)*(TRUNC(MOD(($Z876*1103515245 +12345)/ 65536, 32768),0)/32768),0))</f>
        <v>14</v>
      </c>
      <c r="R876" s="16" t="e">
        <f t="shared" ca="1" si="54"/>
        <v>#NAME?</v>
      </c>
      <c r="S876" s="154">
        <f t="shared" ca="1" si="59"/>
        <v>224</v>
      </c>
      <c r="T876" s="154">
        <f t="shared" ca="1" si="55"/>
        <v>75</v>
      </c>
      <c r="U876" s="16" t="str">
        <f t="shared" ca="1" si="56"/>
        <v>Fine</v>
      </c>
      <c r="V876" s="155">
        <f ca="1">IFERROR(__xludf.DUMMYFUNCTION("if(W876=""Middle Age"",QUERY(NPCVar!$K$2:$N1000, ""Select L where K = '""&amp;AB876&amp;""'""),if(W876=""Old"",QUERY(NPCVar!$K$2:$N1000, ""Select M where K = '""&amp;AB876&amp;""'""),if(W876=""Venerable"",QUERY(NPCVar!$K$2:$N1000, ""Select N where K = '""&amp;AB876&amp;""'""),fa"&amp;"lse)))*X876"),153)</f>
        <v>153</v>
      </c>
      <c r="W876" s="156" t="str">
        <f t="array" ref="W876">INDEX(NPCAgeType,TRUNC(1+(4-1)*(TRUNC(MOD((X876*1103515245 +12345)/ 65536, 32768),0)/32768),0))</f>
        <v>Venerable</v>
      </c>
      <c r="X876" s="117">
        <f t="shared" si="61"/>
        <v>1.7</v>
      </c>
      <c r="Y876" s="157" t="e">
        <f t="array" aca="1" ref="Y876" ca="1">LOOKUP(ABS(MAX(Z876 + MIN(ABS(INDIRECT("Class Jobs!B"&amp;MATCH(E876,'Class Jobs'!$A$1:$A1000,0)&amp;":"&amp;"AF"&amp;MATCH(E876,'Class Jobs'!$A$1:$A1000,0)&amp;"")-$Z876)) * SUM(IF(MIN(ABS(INDIRECT("Class Jobs!B"&amp;MATCH(E876,'Class Jobs'!$A$1:$A1000,0)&amp;":"&amp;"AF"&amp;MATCH(E876,'Class Jobs'!$A$1:$A1000,0)&amp;"")-$Z876))=ABS(INDIRECT("Class Jobs!B"&amp;MATCH(E876,'Class Jobs'!$A$1:$A1000,0)&amp;":"&amp;"AF"&amp;MATCH(E876,'Class Jobs'!$A$1:$A1000,0)&amp;"")-$Z876),SIGN(INDIRECT("Class Jobs!B"&amp;MATCH(E876,'Class Jobs'!$A$1:A1000,0)&amp;":"&amp;"AF"&amp;MATCH(E876,'Class Jobs'!$A$1:$A1000,0)&amp;"")-$Z876),0)),0)),INDIRECT("Class Jobs!B"&amp;MATCH(E876,'Class Jobs'!$A$1:$A1000,0)&amp;":"&amp;"AF"&amp;MATCH(E876,'Class Jobs'!$A$1:$A1000,1)&amp;""),'Class Jobs'!$B$1:$AF$1)</f>
        <v>#REF!</v>
      </c>
      <c r="Z876" s="158">
        <f t="shared" si="57"/>
        <v>0.7</v>
      </c>
      <c r="AA876" s="16" t="str">
        <f t="array" ref="AA876">INDEX(NPCGender,TRUNC(1+(COUNTA(NPCGender))*(TRUNC(MOD(($B876*1103515245 +12345)/ 65536, 32768),0)/32768),0))</f>
        <v>Neutral</v>
      </c>
      <c r="AB876" s="16" t="str">
        <f t="array" ref="AB876">INDEX(NPCRace,TRUNC(1+(COUNTA(NPCRace))*(TRUNC(MOD(($B876*1103515245 +12345)/ 65536, 32768),0)/32768),0))</f>
        <v>Human</v>
      </c>
      <c r="AC876" s="16" t="str">
        <f t="array" ref="AC876">INDEX(NPCAL,TRUNC(1+(COUNTA(NPCAL))*(TRUNC(MOD(($B876*1103515245 +12345)/ 65536, 32768),0)/32768),0))</f>
        <v>LG</v>
      </c>
      <c r="AD876" s="72" t="str">
        <f ca="1">IFERROR(__xludf.DUMMYFUNCTION("if(V876&lt;15,QUERY(NPCVar!C:D,""Select D WHERE C = '""&amp;D876&amp;""'""),if((TRUNC(1+10)*(TRUNC(MOD((ROW(H876)*1103515245 +12345)/ 65536, 32768),0)/32768)/10) &gt; 0.85,INDEX(NPCFaction,TRUNC(1+(counta(NPCFaction)-1)*(TRUNC(MOD(($B876*1103515245 +12345)/ 65536, 3276"&amp;"8),0)/32768),0)),QUERY(NPCVar!C:D,""Select D WHERE C = '""&amp;D876&amp;""'"")))"),"Adventures Guild")</f>
        <v>Adventures Guild</v>
      </c>
      <c r="AE876" s="108" t="e">
        <f t="shared" ca="1" si="58"/>
        <v>#NAME?</v>
      </c>
      <c r="AF876" s="159">
        <f ca="1">IFERROR(__xludf.DUMMYFUNCTION("AE876*(V876 / QUERY(NPCVar!$K$2:$N$12, ""Select N WHERE K='""&amp;AB876&amp;""'""))*TRUNC(1+10)*(TRUNC(MOD(($B876*1103515245 +12345)/ 65536, 32768),0)/32768)"),9.14238708496093)</f>
        <v>9.1423870849609301</v>
      </c>
      <c r="AG876" s="16"/>
      <c r="AH876" s="77"/>
      <c r="AI876" s="114"/>
    </row>
    <row r="877" spans="1:35" ht="16.2">
      <c r="A877" s="53">
        <v>876</v>
      </c>
      <c r="B877" s="118">
        <f t="shared" si="62"/>
        <v>0.35332000000000002</v>
      </c>
      <c r="C877" s="72" t="str">
        <f t="array" ref="C877">INDEX(NPCFName,TRUNC(1+(COUNTA(NPCFName))*(TRUNC(MOD(($B877*1103515245 +12345)/ 65536, 32768),0)/32768),0))</f>
        <v>Ma</v>
      </c>
      <c r="D877" s="16" t="str">
        <f t="array" ref="D877">INDEX(NPCLName,TRUNC(1+(COUNTA(NPCLName))*(TRUNC(MOD(($B877*1103515245 +12345)/ 65536, 32768),0)/32768),0))</f>
        <v>Ashcloud</v>
      </c>
      <c r="E877" s="16" t="str">
        <f t="array" ref="E877">INDEX(NPCClass,TRUNC(1+(COUNTA(NPCClass))*(TRUNC(MOD(($B877*1103515245 +12345)/ 65536, 32768),0)/32768),0))</f>
        <v>Druid</v>
      </c>
      <c r="F877" s="76">
        <v>1</v>
      </c>
      <c r="G877" s="153">
        <f ca="1">VLOOKUP($AB$2,'RF Mod'!$A$2:$G$12,2,FALSE)+VLOOKUP($AD$2,'RF Mod'!$I$2:$O$11,2,FALSE)+(TRUNC(6+(24-6)*(TRUNC(MOD(($Z877*1103515245 +12345)/ 65536, 32768),0)/32768),0))</f>
        <v>5</v>
      </c>
      <c r="H877" s="16">
        <f t="shared" ca="1" si="49"/>
        <v>-3</v>
      </c>
      <c r="I877" s="153">
        <f ca="1">VLOOKUP($AB$2,'RF Mod'!$A$2:$G$12,3,FALSE)+VLOOKUP($AD$2,'RF Mod'!$I$2:$O$11,3,FALSE)+(TRUNC(6+(24-6)*(TRUNC(MOD(($Z877*1103515245 +12345)/ 65536, 32768),0)/32768),0))</f>
        <v>9</v>
      </c>
      <c r="J877" s="16">
        <f t="shared" ca="1" si="50"/>
        <v>-1</v>
      </c>
      <c r="K877" s="153">
        <f ca="1">VLOOKUP($AB$2,'RF Mod'!$A$2:$G$12,3,FALSE)+VLOOKUP($AD$2,'RF Mod'!$I$2:$O$11,3,FALSE)+(TRUNC(6+(24-6)*(TRUNC(MOD(($Z877*1103515245 +12345)/ 65536, 32768),0)/32768),0))</f>
        <v>9</v>
      </c>
      <c r="L877" s="16">
        <f t="shared" ca="1" si="51"/>
        <v>-1</v>
      </c>
      <c r="M877" s="153">
        <f ca="1">VLOOKUP($AB$2,'RF Mod'!$A$2:$G$12,4,FALSE)+VLOOKUP($AD$2,'RF Mod'!$I$2:$O$11,4,FALSE)+(TRUNC(6+(24-6)*(TRUNC(MOD(($Z877*1103515245 +12345)/ 65536, 32768),0)/32768),0))</f>
        <v>8</v>
      </c>
      <c r="N877" s="16">
        <f t="shared" ca="1" si="52"/>
        <v>-1</v>
      </c>
      <c r="O877" s="153">
        <f ca="1">VLOOKUP($AB$2,'RF Mod'!$A$2:$G$12,5,FALSE)+VLOOKUP($AD$2,'RF Mod'!$I$2:$O$11,5,FALSE)+(TRUNC(6+(24-6)*(TRUNC(MOD(($Z877*1103515245 +12345)/ 65536, 32768),0)/32768),0))</f>
        <v>11</v>
      </c>
      <c r="P877" s="16" t="e">
        <f t="shared" ca="1" si="53"/>
        <v>#NAME?</v>
      </c>
      <c r="Q877" s="153">
        <f ca="1">VLOOKUP($AB$2,'RF Mod'!$A$2:$G$12,6,FALSE)+VLOOKUP($AD$2,'RF Mod'!$I$2:$O$11,6,FALSE)+(TRUNC(6+(24-6)*(TRUNC(MOD(($Z877*1103515245 +12345)/ 65536, 32768),0)/32768),0))</f>
        <v>9</v>
      </c>
      <c r="R877" s="16">
        <f t="shared" ca="1" si="54"/>
        <v>-1</v>
      </c>
      <c r="S877" s="154">
        <f t="shared" ca="1" si="59"/>
        <v>27</v>
      </c>
      <c r="T877" s="154">
        <f t="shared" ca="1" si="55"/>
        <v>5</v>
      </c>
      <c r="U877" s="16" t="str">
        <f t="shared" ca="1" si="56"/>
        <v>Fine</v>
      </c>
      <c r="V877" s="155">
        <f ca="1">IFERROR(__xludf.DUMMYFUNCTION("if(W877=""Middle Age"",QUERY(NPCVar!$K$2:$N1000, ""Select L where K = '""&amp;AB877&amp;""'""),if(W877=""Old"",QUERY(NPCVar!$K$2:$N1000, ""Select M where K = '""&amp;AB877&amp;""'""),if(W877=""Venerable"",QUERY(NPCVar!$K$2:$N1000, ""Select N where K = '""&amp;AB877&amp;""'""),fa"&amp;"lse)))*X877"),40)</f>
        <v>40</v>
      </c>
      <c r="W877" s="156" t="str">
        <f t="array" ref="W877">INDEX(NPCAgeType,TRUNC(1+(4-1)*(TRUNC(MOD((X877*1103515245 +12345)/ 65536, 32768),0)/32768),0))</f>
        <v>Middle Age</v>
      </c>
      <c r="X877" s="117">
        <f t="shared" si="61"/>
        <v>0.5</v>
      </c>
      <c r="Y877" s="157" t="e">
        <f t="array" aca="1" ref="Y877" ca="1">LOOKUP(ABS(MAX(Z877 + MIN(ABS(INDIRECT("Class Jobs!B"&amp;MATCH(E877,'Class Jobs'!$A$1:$A1000,0)&amp;":"&amp;"AF"&amp;MATCH(E877,'Class Jobs'!$A$1:$A1000,0)&amp;"")-$Z877)) * SUM(IF(MIN(ABS(INDIRECT("Class Jobs!B"&amp;MATCH(E877,'Class Jobs'!$A$1:$A1000,0)&amp;":"&amp;"AF"&amp;MATCH(E877,'Class Jobs'!$A$1:$A1000,0)&amp;"")-$Z877))=ABS(INDIRECT("Class Jobs!B"&amp;MATCH(E877,'Class Jobs'!$A$1:$A1000,0)&amp;":"&amp;"AF"&amp;MATCH(E877,'Class Jobs'!$A$1:$A1000,0)&amp;"")-$Z877),SIGN(INDIRECT("Class Jobs!B"&amp;MATCH(E877,'Class Jobs'!$A$1:A1000,0)&amp;":"&amp;"AF"&amp;MATCH(E877,'Class Jobs'!$A$1:$A1000,0)&amp;"")-$Z877),0)),0)),INDIRECT("Class Jobs!B"&amp;MATCH(E877,'Class Jobs'!$A$1:$A1000,0)&amp;":"&amp;"AF"&amp;MATCH(E877,'Class Jobs'!$A$1:$A1000,1)&amp;""),'Class Jobs'!$B$1:$AF$1)</f>
        <v>#REF!</v>
      </c>
      <c r="Z877" s="158">
        <f t="shared" si="57"/>
        <v>0.18</v>
      </c>
      <c r="AA877" s="16" t="str">
        <f t="array" ref="AA877">INDEX(NPCGender,TRUNC(1+(COUNTA(NPCGender))*(TRUNC(MOD(($B877*1103515245 +12345)/ 65536, 32768),0)/32768),0))</f>
        <v>Male</v>
      </c>
      <c r="AB877" s="16" t="str">
        <f t="array" ref="AB877">INDEX(NPCRace,TRUNC(1+(COUNTA(NPCRace))*(TRUNC(MOD(($B877*1103515245 +12345)/ 65536, 32768),0)/32768),0))</f>
        <v>Dwarf</v>
      </c>
      <c r="AC877" s="16" t="str">
        <f t="array" ref="AC877">INDEX(NPCAL,TRUNC(1+(COUNTA(NPCAL))*(TRUNC(MOD(($B877*1103515245 +12345)/ 65536, 32768),0)/32768),0))</f>
        <v>CE</v>
      </c>
      <c r="AD877" s="72" t="str">
        <f ca="1">IFERROR(__xludf.DUMMYFUNCTION("if(V877&lt;15,QUERY(NPCVar!C:D,""Select D WHERE C = '""&amp;D877&amp;""'""),if((TRUNC(1+10)*(TRUNC(MOD((ROW(H877)*1103515245 +12345)/ 65536, 32768),0)/32768)/10) &gt; 0.85,INDEX(NPCFaction,TRUNC(1+(counta(NPCFaction)-1)*(TRUNC(MOD(($B877*1103515245 +12345)/ 65536, 3276"&amp;"8),0)/32768),0)),QUERY(NPCVar!C:D,""Select D WHERE C = '""&amp;D877&amp;""'"")))"),"Magic Guild")</f>
        <v>Magic Guild</v>
      </c>
      <c r="AE877" s="108" t="e">
        <f t="shared" ca="1" si="58"/>
        <v>#NAME?</v>
      </c>
      <c r="AF877" s="159">
        <f ca="1">IFERROR(__xludf.DUMMYFUNCTION("AE877*(V877 / QUERY(NPCVar!$K$2:$N$12, ""Select N WHERE K='""&amp;AB877&amp;""'""))*TRUNC(1+10)*(TRUNC(MOD(($B877*1103515245 +12345)/ 65536, 32768),0)/32768)"),-0.0249629974365234)</f>
        <v>-2.4962997436523401E-2</v>
      </c>
      <c r="AG877" s="16"/>
      <c r="AH877" s="77"/>
      <c r="AI877" s="114"/>
    </row>
    <row r="878" spans="1:35" ht="16.2">
      <c r="A878" s="53">
        <v>877</v>
      </c>
      <c r="B878" s="118">
        <f t="shared" si="62"/>
        <v>1.84738</v>
      </c>
      <c r="C878" s="72" t="str">
        <f t="array" ref="C878">INDEX(NPCFName,TRUNC(1+(COUNTA(NPCFName))*(TRUNC(MOD(($B878*1103515245 +12345)/ 65536, 32768),0)/32768),0))</f>
        <v>Tibers</v>
      </c>
      <c r="D878" s="16" t="str">
        <f t="array" ref="D878">INDEX(NPCLName,TRUNC(1+(COUNTA(NPCLName))*(TRUNC(MOD(($B878*1103515245 +12345)/ 65536, 32768),0)/32768),0))</f>
        <v>Marblearm</v>
      </c>
      <c r="E878" s="16" t="str">
        <f t="array" ref="E878">INDEX(NPCClass,TRUNC(1+(COUNTA(NPCClass))*(TRUNC(MOD(($B878*1103515245 +12345)/ 65536, 32768),0)/32768),0))</f>
        <v>Wizard</v>
      </c>
      <c r="F878" s="76">
        <v>8</v>
      </c>
      <c r="G878" s="153">
        <f ca="1">VLOOKUP($AB$2,'RF Mod'!$A$2:$G$12,2,FALSE)+VLOOKUP($AD$2,'RF Mod'!$I$2:$O$11,2,FALSE)+(TRUNC(6+(24-6)*(TRUNC(MOD(($Z878*1103515245 +12345)/ 65536, 32768),0)/32768),0))</f>
        <v>12</v>
      </c>
      <c r="H878" s="16" t="e">
        <f t="shared" ca="1" si="49"/>
        <v>#NAME?</v>
      </c>
      <c r="I878" s="153">
        <f ca="1">VLOOKUP($AB$2,'RF Mod'!$A$2:$G$12,3,FALSE)+VLOOKUP($AD$2,'RF Mod'!$I$2:$O$11,3,FALSE)+(TRUNC(6+(24-6)*(TRUNC(MOD(($Z878*1103515245 +12345)/ 65536, 32768),0)/32768),0))</f>
        <v>16</v>
      </c>
      <c r="J878" s="16" t="e">
        <f t="shared" ca="1" si="50"/>
        <v>#NAME?</v>
      </c>
      <c r="K878" s="153">
        <f ca="1">VLOOKUP($AB$2,'RF Mod'!$A$2:$G$12,3,FALSE)+VLOOKUP($AD$2,'RF Mod'!$I$2:$O$11,3,FALSE)+(TRUNC(6+(24-6)*(TRUNC(MOD(($Z878*1103515245 +12345)/ 65536, 32768),0)/32768),0))</f>
        <v>16</v>
      </c>
      <c r="L878" s="16" t="e">
        <f t="shared" ca="1" si="51"/>
        <v>#NAME?</v>
      </c>
      <c r="M878" s="153">
        <f ca="1">VLOOKUP($AB$2,'RF Mod'!$A$2:$G$12,4,FALSE)+VLOOKUP($AD$2,'RF Mod'!$I$2:$O$11,4,FALSE)+(TRUNC(6+(24-6)*(TRUNC(MOD(($Z878*1103515245 +12345)/ 65536, 32768),0)/32768),0))</f>
        <v>15</v>
      </c>
      <c r="N878" s="16" t="e">
        <f t="shared" ca="1" si="52"/>
        <v>#NAME?</v>
      </c>
      <c r="O878" s="153">
        <f ca="1">VLOOKUP($AB$2,'RF Mod'!$A$2:$G$12,5,FALSE)+VLOOKUP($AD$2,'RF Mod'!$I$2:$O$11,5,FALSE)+(TRUNC(6+(24-6)*(TRUNC(MOD(($Z878*1103515245 +12345)/ 65536, 32768),0)/32768),0))</f>
        <v>18</v>
      </c>
      <c r="P878" s="16" t="e">
        <f t="shared" ca="1" si="53"/>
        <v>#NAME?</v>
      </c>
      <c r="Q878" s="153">
        <f ca="1">VLOOKUP($AB$2,'RF Mod'!$A$2:$G$12,6,FALSE)+VLOOKUP($AD$2,'RF Mod'!$I$2:$O$11,6,FALSE)+(TRUNC(6+(24-6)*(TRUNC(MOD(($Z878*1103515245 +12345)/ 65536, 32768),0)/32768),0))</f>
        <v>16</v>
      </c>
      <c r="R878" s="16" t="e">
        <f t="shared" ca="1" si="54"/>
        <v>#NAME?</v>
      </c>
      <c r="S878" s="154">
        <f t="shared" ca="1" si="59"/>
        <v>160</v>
      </c>
      <c r="T878" s="154">
        <f t="shared" ca="1" si="55"/>
        <v>190</v>
      </c>
      <c r="U878" s="16" t="str">
        <f t="shared" ca="1" si="56"/>
        <v>Dead</v>
      </c>
      <c r="V878" s="155">
        <f ca="1">IFERROR(__xludf.DUMMYFUNCTION("if(W878=""Middle Age"",QUERY(NPCVar!$K$2:$N1000, ""Select L where K = '""&amp;AB878&amp;""'""),if(W878=""Old"",QUERY(NPCVar!$K$2:$N1000, ""Select M where K = '""&amp;AB878&amp;""'""),if(W878=""Venerable"",QUERY(NPCVar!$K$2:$N1000, ""Select N where K = '""&amp;AB878&amp;""'""),fa"&amp;"lse)))*X878"),69)</f>
        <v>69</v>
      </c>
      <c r="W878" s="156" t="str">
        <f t="array" ref="W878">INDEX(NPCAgeType,TRUNC(1+(4-1)*(TRUNC(MOD((X878*1103515245 +12345)/ 65536, 32768),0)/32768),0))</f>
        <v>Middle Age</v>
      </c>
      <c r="X878" s="117">
        <f t="shared" si="61"/>
        <v>2.2999999999999998</v>
      </c>
      <c r="Y878" s="157" t="e">
        <f t="array" aca="1" ref="Y878" ca="1">LOOKUP(ABS(MAX(Z878 + MIN(ABS(INDIRECT("Class Jobs!B"&amp;MATCH(E878,'Class Jobs'!$A$1:$A1000,0)&amp;":"&amp;"AF"&amp;MATCH(E878,'Class Jobs'!$A$1:$A1000,0)&amp;"")-$Z878)) * SUM(IF(MIN(ABS(INDIRECT("Class Jobs!B"&amp;MATCH(E878,'Class Jobs'!$A$1:$A1000,0)&amp;":"&amp;"AF"&amp;MATCH(E878,'Class Jobs'!$A$1:$A1000,0)&amp;"")-$Z878))=ABS(INDIRECT("Class Jobs!B"&amp;MATCH(E878,'Class Jobs'!$A$1:$A1000,0)&amp;":"&amp;"AF"&amp;MATCH(E878,'Class Jobs'!$A$1:$A1000,0)&amp;"")-$Z878),SIGN(INDIRECT("Class Jobs!B"&amp;MATCH(E878,'Class Jobs'!$A$1:A1000,0)&amp;":"&amp;"AF"&amp;MATCH(E878,'Class Jobs'!$A$1:$A1000,0)&amp;"")-$Z878),0)),0)),INDIRECT("Class Jobs!B"&amp;MATCH(E878,'Class Jobs'!$A$1:$A1000,0)&amp;":"&amp;"AF"&amp;MATCH(E878,'Class Jobs'!$A$1:$A1000,1)&amp;""),'Class Jobs'!$B$1:$AF$1)</f>
        <v>#REF!</v>
      </c>
      <c r="Z878" s="158">
        <f t="shared" si="57"/>
        <v>0.94</v>
      </c>
      <c r="AA878" s="16" t="str">
        <f t="array" ref="AA878">INDEX(NPCGender,TRUNC(1+(COUNTA(NPCGender))*(TRUNC(MOD(($B878*1103515245 +12345)/ 65536, 32768),0)/32768),0))</f>
        <v>Neutral</v>
      </c>
      <c r="AB878" s="16" t="str">
        <f t="array" ref="AB878">INDEX(NPCRace,TRUNC(1+(COUNTA(NPCRace))*(TRUNC(MOD(($B878*1103515245 +12345)/ 65536, 32768),0)/32768),0))</f>
        <v>Goliath</v>
      </c>
      <c r="AC878" s="16" t="str">
        <f t="array" ref="AC878">INDEX(NPCAL,TRUNC(1+(COUNTA(NPCAL))*(TRUNC(MOD(($B878*1103515245 +12345)/ 65536, 32768),0)/32768),0))</f>
        <v>LE</v>
      </c>
      <c r="AD878" s="72" t="str">
        <f ca="1">IFERROR(__xludf.DUMMYFUNCTION("if(V878&lt;15,QUERY(NPCVar!C:D,""Select D WHERE C = '""&amp;D878&amp;""'""),if((TRUNC(1+10)*(TRUNC(MOD((ROW(H878)*1103515245 +12345)/ 65536, 32768),0)/32768)/10) &gt; 0.85,INDEX(NPCFaction,TRUNC(1+(counta(NPCFaction)-1)*(TRUNC(MOD(($B878*1103515245 +12345)/ 65536, 3276"&amp;"8),0)/32768),0)),QUERY(NPCVar!C:D,""Select D WHERE C = '""&amp;D878&amp;""'"")))"),"Thieves Guild")</f>
        <v>Thieves Guild</v>
      </c>
      <c r="AE878" s="108" t="e">
        <f t="shared" ca="1" si="58"/>
        <v>#NAME?</v>
      </c>
      <c r="AF878" s="159">
        <f ca="1">IFERROR(__xludf.DUMMYFUNCTION("AE878*(V878 / QUERY(NPCVar!$K$2:$N$12, ""Select N WHERE K='""&amp;AB878&amp;""'""))*TRUNC(1+10)*(TRUNC(MOD(($B878*1103515245 +12345)/ 65536, 32768),0)/32768)"),4.20293624877929)</f>
        <v>4.2029362487792898</v>
      </c>
      <c r="AG878" s="16"/>
      <c r="AH878" s="77"/>
      <c r="AI878" s="114"/>
    </row>
    <row r="879" spans="1:35" ht="16.2">
      <c r="A879" s="53">
        <v>878</v>
      </c>
      <c r="B879" s="118">
        <f t="shared" si="62"/>
        <v>0.84152000000000005</v>
      </c>
      <c r="C879" s="72" t="str">
        <f t="array" ref="C879">INDEX(NPCFName,TRUNC(1+(COUNTA(NPCFName))*(TRUNC(MOD(($B879*1103515245 +12345)/ 65536, 32768),0)/32768),0))</f>
        <v>Etburn</v>
      </c>
      <c r="D879" s="16" t="str">
        <f t="array" ref="D879">INDEX(NPCLName,TRUNC(1+(COUNTA(NPCLName))*(TRUNC(MOD(($B879*1103515245 +12345)/ 65536, 32768),0)/32768),0))</f>
        <v>Windshade</v>
      </c>
      <c r="E879" s="16" t="str">
        <f t="array" ref="E879">INDEX(NPCClass,TRUNC(1+(COUNTA(NPCClass))*(TRUNC(MOD(($B879*1103515245 +12345)/ 65536, 32768),0)/32768),0))</f>
        <v>Ranger</v>
      </c>
      <c r="F879" s="76">
        <v>6</v>
      </c>
      <c r="G879" s="153">
        <f ca="1">VLOOKUP($AB$2,'RF Mod'!$A$2:$G$12,2,FALSE)+VLOOKUP($AD$2,'RF Mod'!$I$2:$O$11,2,FALSE)+(TRUNC(6+(24-6)*(TRUNC(MOD(($Z879*1103515245 +12345)/ 65536, 32768),0)/32768),0))</f>
        <v>7</v>
      </c>
      <c r="H879" s="16">
        <f t="shared" ca="1" si="49"/>
        <v>-2</v>
      </c>
      <c r="I879" s="153">
        <f ca="1">VLOOKUP($AB$2,'RF Mod'!$A$2:$G$12,3,FALSE)+VLOOKUP($AD$2,'RF Mod'!$I$2:$O$11,3,FALSE)+(TRUNC(6+(24-6)*(TRUNC(MOD(($Z879*1103515245 +12345)/ 65536, 32768),0)/32768),0))</f>
        <v>11</v>
      </c>
      <c r="J879" s="16" t="e">
        <f t="shared" ca="1" si="50"/>
        <v>#NAME?</v>
      </c>
      <c r="K879" s="153">
        <f ca="1">VLOOKUP($AB$2,'RF Mod'!$A$2:$G$12,3,FALSE)+VLOOKUP($AD$2,'RF Mod'!$I$2:$O$11,3,FALSE)+(TRUNC(6+(24-6)*(TRUNC(MOD(($Z879*1103515245 +12345)/ 65536, 32768),0)/32768),0))</f>
        <v>11</v>
      </c>
      <c r="L879" s="16" t="e">
        <f t="shared" ca="1" si="51"/>
        <v>#NAME?</v>
      </c>
      <c r="M879" s="153">
        <f ca="1">VLOOKUP($AB$2,'RF Mod'!$A$2:$G$12,4,FALSE)+VLOOKUP($AD$2,'RF Mod'!$I$2:$O$11,4,FALSE)+(TRUNC(6+(24-6)*(TRUNC(MOD(($Z879*1103515245 +12345)/ 65536, 32768),0)/32768),0))</f>
        <v>10</v>
      </c>
      <c r="N879" s="16" t="e">
        <f t="shared" ca="1" si="52"/>
        <v>#NAME?</v>
      </c>
      <c r="O879" s="153">
        <f ca="1">VLOOKUP($AB$2,'RF Mod'!$A$2:$G$12,5,FALSE)+VLOOKUP($AD$2,'RF Mod'!$I$2:$O$11,5,FALSE)+(TRUNC(6+(24-6)*(TRUNC(MOD(($Z879*1103515245 +12345)/ 65536, 32768),0)/32768),0))</f>
        <v>13</v>
      </c>
      <c r="P879" s="16" t="e">
        <f t="shared" ca="1" si="53"/>
        <v>#NAME?</v>
      </c>
      <c r="Q879" s="153">
        <f ca="1">VLOOKUP($AB$2,'RF Mod'!$A$2:$G$12,6,FALSE)+VLOOKUP($AD$2,'RF Mod'!$I$2:$O$11,6,FALSE)+(TRUNC(6+(24-6)*(TRUNC(MOD(($Z879*1103515245 +12345)/ 65536, 32768),0)/32768),0))</f>
        <v>11</v>
      </c>
      <c r="R879" s="16" t="e">
        <f t="shared" ca="1" si="54"/>
        <v>#NAME?</v>
      </c>
      <c r="S879" s="154">
        <f t="shared" ca="1" si="59"/>
        <v>78</v>
      </c>
      <c r="T879" s="154">
        <f t="shared" ca="1" si="55"/>
        <v>80</v>
      </c>
      <c r="U879" s="16" t="str">
        <f t="shared" ca="1" si="56"/>
        <v>Dead</v>
      </c>
      <c r="V879" s="155">
        <f ca="1">IFERROR(__xludf.DUMMYFUNCTION("if(W879=""Middle Age"",QUERY(NPCVar!$K$2:$N1000, ""Select L where K = '""&amp;AB879&amp;""'""),if(W879=""Old"",QUERY(NPCVar!$K$2:$N1000, ""Select M where K = '""&amp;AB879&amp;""'""),if(W879=""Venerable"",QUERY(NPCVar!$K$2:$N1000, ""Select N where K = '""&amp;AB879&amp;""'""),fa"&amp;"lse)))*X879"),74.25)</f>
        <v>74.25</v>
      </c>
      <c r="W879" s="156" t="str">
        <f t="array" ref="W879">INDEX(NPCAgeType,TRUNC(1+(4-1)*(TRUNC(MOD((X879*1103515245 +12345)/ 65536, 32768),0)/32768),0))</f>
        <v>Old</v>
      </c>
      <c r="X879" s="117">
        <f t="shared" si="61"/>
        <v>1.1000000000000001</v>
      </c>
      <c r="Y879" s="157" t="e">
        <f t="array" aca="1" ref="Y879" ca="1">LOOKUP(ABS(MAX(Z879 + MIN(ABS(INDIRECT("Class Jobs!B"&amp;MATCH(E879,'Class Jobs'!$A$1:$A1000,0)&amp;":"&amp;"AF"&amp;MATCH(E879,'Class Jobs'!$A$1:$A1000,0)&amp;"")-$Z879)) * SUM(IF(MIN(ABS(INDIRECT("Class Jobs!B"&amp;MATCH(E879,'Class Jobs'!$A$1:$A1000,0)&amp;":"&amp;"AF"&amp;MATCH(E879,'Class Jobs'!$A$1:$A1000,0)&amp;"")-$Z879))=ABS(INDIRECT("Class Jobs!B"&amp;MATCH(E879,'Class Jobs'!$A$1:$A1000,0)&amp;":"&amp;"AF"&amp;MATCH(E879,'Class Jobs'!$A$1:$A1000,0)&amp;"")-$Z879),SIGN(INDIRECT("Class Jobs!B"&amp;MATCH(E879,'Class Jobs'!$A$1:A1000,0)&amp;":"&amp;"AF"&amp;MATCH(E879,'Class Jobs'!$A$1:$A1000,0)&amp;"")-$Z879),0)),0)),INDIRECT("Class Jobs!B"&amp;MATCH(E879,'Class Jobs'!$A$1:$A1000,0)&amp;":"&amp;"AF"&amp;MATCH(E879,'Class Jobs'!$A$1:$A1000,1)&amp;""),'Class Jobs'!$B$1:$AF$1)</f>
        <v>#REF!</v>
      </c>
      <c r="Z879" s="158">
        <f t="shared" si="57"/>
        <v>0.43</v>
      </c>
      <c r="AA879" s="16" t="str">
        <f t="array" ref="AA879">INDEX(NPCGender,TRUNC(1+(COUNTA(NPCGender))*(TRUNC(MOD(($B879*1103515245 +12345)/ 65536, 32768),0)/32768),0))</f>
        <v>Female</v>
      </c>
      <c r="AB879" s="16" t="str">
        <f t="array" ref="AB879">INDEX(NPCRace,TRUNC(1+(COUNTA(NPCRace))*(TRUNC(MOD(($B879*1103515245 +12345)/ 65536, 32768),0)/32768),0))</f>
        <v>Half-Elf</v>
      </c>
      <c r="AC879" s="16" t="str">
        <f t="array" ref="AC879">INDEX(NPCAL,TRUNC(1+(COUNTA(NPCAL))*(TRUNC(MOD(($B879*1103515245 +12345)/ 65536, 32768),0)/32768),0))</f>
        <v>NG</v>
      </c>
      <c r="AD879" s="72" t="str">
        <f ca="1">IFERROR(__xludf.DUMMYFUNCTION("if(V879&lt;15,QUERY(NPCVar!C:D,""Select D WHERE C = '""&amp;D879&amp;""'""),if((TRUNC(1+10)*(TRUNC(MOD((ROW(H879)*1103515245 +12345)/ 65536, 32768),0)/32768)/10) &gt; 0.85,INDEX(NPCFaction,TRUNC(1+(counta(NPCFaction)-1)*(TRUNC(MOD(($B879*1103515245 +12345)/ 65536, 3276"&amp;"8),0)/32768),0)),QUERY(NPCVar!C:D,""Select D WHERE C = '""&amp;D879&amp;""'"")))"),"Traders Guild")</f>
        <v>Traders Guild</v>
      </c>
      <c r="AE879" s="108" t="e">
        <f t="shared" ca="1" si="58"/>
        <v>#NAME?</v>
      </c>
      <c r="AF879" s="159">
        <f ca="1">IFERROR(__xludf.DUMMYFUNCTION("AE879*(V879 / QUERY(NPCVar!$K$2:$N$12, ""Select N WHERE K='""&amp;AB879&amp;""'""))*TRUNC(1+10)*(TRUNC(MOD(($B879*1103515245 +12345)/ 65536, 32768),0)/32768)"),0.196203117370605)</f>
        <v>0.196203117370605</v>
      </c>
      <c r="AG879" s="16"/>
      <c r="AH879" s="77"/>
      <c r="AI879" s="114"/>
    </row>
    <row r="880" spans="1:35" ht="16.2">
      <c r="A880" s="53">
        <v>879</v>
      </c>
      <c r="B880" s="118">
        <f t="shared" si="62"/>
        <v>2.3356599999999998</v>
      </c>
      <c r="C880" s="72" t="str">
        <f t="array" ref="C880">INDEX(NPCFName,TRUNC(1+(COUNTA(NPCFName))*(TRUNC(MOD(($B880*1103515245 +12345)/ 65536, 32768),0)/32768),0))</f>
        <v>Mufar</v>
      </c>
      <c r="D880" s="16" t="str">
        <f t="array" ref="D880">INDEX(NPCLName,TRUNC(1+(COUNTA(NPCLName))*(TRUNC(MOD(($B880*1103515245 +12345)/ 65536, 32768),0)/32768),0))</f>
        <v>Stillsun</v>
      </c>
      <c r="E880" s="16" t="str">
        <f t="array" ref="E880">INDEX(NPCClass,TRUNC(1+(COUNTA(NPCClass))*(TRUNC(MOD(($B880*1103515245 +12345)/ 65536, 32768),0)/32768),0))</f>
        <v>Druid</v>
      </c>
      <c r="F880" s="76">
        <v>1</v>
      </c>
      <c r="G880" s="153">
        <f ca="1">VLOOKUP($AB$2,'RF Mod'!$A$2:$G$12,2,FALSE)+VLOOKUP($AD$2,'RF Mod'!$I$2:$O$11,2,FALSE)+(TRUNC(6+(24-6)*(TRUNC(MOD(($Z880*1103515245 +12345)/ 65536, 32768),0)/32768),0))</f>
        <v>5</v>
      </c>
      <c r="H880" s="16">
        <f t="shared" ca="1" si="49"/>
        <v>-3</v>
      </c>
      <c r="I880" s="153">
        <f ca="1">VLOOKUP($AB$2,'RF Mod'!$A$2:$G$12,3,FALSE)+VLOOKUP($AD$2,'RF Mod'!$I$2:$O$11,3,FALSE)+(TRUNC(6+(24-6)*(TRUNC(MOD(($Z880*1103515245 +12345)/ 65536, 32768),0)/32768),0))</f>
        <v>9</v>
      </c>
      <c r="J880" s="16">
        <f t="shared" ca="1" si="50"/>
        <v>-1</v>
      </c>
      <c r="K880" s="153">
        <f ca="1">VLOOKUP($AB$2,'RF Mod'!$A$2:$G$12,3,FALSE)+VLOOKUP($AD$2,'RF Mod'!$I$2:$O$11,3,FALSE)+(TRUNC(6+(24-6)*(TRUNC(MOD(($Z880*1103515245 +12345)/ 65536, 32768),0)/32768),0))</f>
        <v>9</v>
      </c>
      <c r="L880" s="16">
        <f t="shared" ca="1" si="51"/>
        <v>-1</v>
      </c>
      <c r="M880" s="153">
        <f ca="1">VLOOKUP($AB$2,'RF Mod'!$A$2:$G$12,4,FALSE)+VLOOKUP($AD$2,'RF Mod'!$I$2:$O$11,4,FALSE)+(TRUNC(6+(24-6)*(TRUNC(MOD(($Z880*1103515245 +12345)/ 65536, 32768),0)/32768),0))</f>
        <v>8</v>
      </c>
      <c r="N880" s="16">
        <f t="shared" ca="1" si="52"/>
        <v>-1</v>
      </c>
      <c r="O880" s="153">
        <f ca="1">VLOOKUP($AB$2,'RF Mod'!$A$2:$G$12,5,FALSE)+VLOOKUP($AD$2,'RF Mod'!$I$2:$O$11,5,FALSE)+(TRUNC(6+(24-6)*(TRUNC(MOD(($Z880*1103515245 +12345)/ 65536, 32768),0)/32768),0))</f>
        <v>11</v>
      </c>
      <c r="P880" s="16" t="e">
        <f t="shared" ca="1" si="53"/>
        <v>#NAME?</v>
      </c>
      <c r="Q880" s="153">
        <f ca="1">VLOOKUP($AB$2,'RF Mod'!$A$2:$G$12,6,FALSE)+VLOOKUP($AD$2,'RF Mod'!$I$2:$O$11,6,FALSE)+(TRUNC(6+(24-6)*(TRUNC(MOD(($Z880*1103515245 +12345)/ 65536, 32768),0)/32768),0))</f>
        <v>9</v>
      </c>
      <c r="R880" s="16">
        <f t="shared" ca="1" si="54"/>
        <v>-1</v>
      </c>
      <c r="S880" s="154">
        <f t="shared" ca="1" si="59"/>
        <v>11</v>
      </c>
      <c r="T880" s="154">
        <f t="shared" ca="1" si="55"/>
        <v>4</v>
      </c>
      <c r="U880" s="16" t="str">
        <f t="shared" ca="1" si="56"/>
        <v>Fine</v>
      </c>
      <c r="V880" s="155">
        <f ca="1">IFERROR(__xludf.DUMMYFUNCTION("if(W880=""Middle Age"",QUERY(NPCVar!$K$2:$N1000, ""Select L where K = '""&amp;AB880&amp;""'""),if(W880=""Old"",QUERY(NPCVar!$K$2:$N1000, ""Select M where K = '""&amp;AB880&amp;""'""),if(W880=""Venerable"",QUERY(NPCVar!$K$2:$N1000, ""Select N where K = '""&amp;AB880&amp;""'""),fa"&amp;"lse)))*X880"),93.75)</f>
        <v>93.75</v>
      </c>
      <c r="W880" s="156" t="str">
        <f t="array" ref="W880">INDEX(NPCAgeType,TRUNC(1+(4-1)*(TRUNC(MOD((X880*1103515245 +12345)/ 65536, 32768),0)/32768),0))</f>
        <v>Middle Age</v>
      </c>
      <c r="X880" s="117">
        <f t="shared" si="61"/>
        <v>0.5</v>
      </c>
      <c r="Y880" s="157" t="e">
        <f t="array" aca="1" ref="Y880" ca="1">LOOKUP(ABS(MAX(Z880 + MIN(ABS(INDIRECT("Class Jobs!B"&amp;MATCH(E880,'Class Jobs'!$A$1:$A1000,0)&amp;":"&amp;"AF"&amp;MATCH(E880,'Class Jobs'!$A$1:$A1000,0)&amp;"")-$Z880)) * SUM(IF(MIN(ABS(INDIRECT("Class Jobs!B"&amp;MATCH(E880,'Class Jobs'!$A$1:$A1000,0)&amp;":"&amp;"AF"&amp;MATCH(E880,'Class Jobs'!$A$1:$A1000,0)&amp;"")-$Z880))=ABS(INDIRECT("Class Jobs!B"&amp;MATCH(E880,'Class Jobs'!$A$1:$A1000,0)&amp;":"&amp;"AF"&amp;MATCH(E880,'Class Jobs'!$A$1:$A1000,0)&amp;"")-$Z880),SIGN(INDIRECT("Class Jobs!B"&amp;MATCH(E880,'Class Jobs'!$A$1:A1000,0)&amp;":"&amp;"AF"&amp;MATCH(E880,'Class Jobs'!$A$1:$A1000,0)&amp;"")-$Z880),0)),0)),INDIRECT("Class Jobs!B"&amp;MATCH(E880,'Class Jobs'!$A$1:$A1000,0)&amp;":"&amp;"AF"&amp;MATCH(E880,'Class Jobs'!$A$1:$A1000,1)&amp;""),'Class Jobs'!$B$1:$AF$1)</f>
        <v>#REF!</v>
      </c>
      <c r="Z880" s="158">
        <f t="shared" si="57"/>
        <v>0.2</v>
      </c>
      <c r="AA880" s="16" t="str">
        <f t="array" ref="AA880">INDEX(NPCGender,TRUNC(1+(COUNTA(NPCGender))*(TRUNC(MOD(($B880*1103515245 +12345)/ 65536, 32768),0)/32768),0))</f>
        <v>Male</v>
      </c>
      <c r="AB880" s="16" t="str">
        <f t="array" ref="AB880">INDEX(NPCRace,TRUNC(1+(COUNTA(NPCRace))*(TRUNC(MOD(($B880*1103515245 +12345)/ 65536, 32768),0)/32768),0))</f>
        <v>Elf</v>
      </c>
      <c r="AC880" s="16" t="str">
        <f t="array" ref="AC880">INDEX(NPCAL,TRUNC(1+(COUNTA(NPCAL))*(TRUNC(MOD(($B880*1103515245 +12345)/ 65536, 32768),0)/32768),0))</f>
        <v>CE</v>
      </c>
      <c r="AD880" s="72" t="str">
        <f ca="1">IFERROR(__xludf.DUMMYFUNCTION("if(V880&lt;15,QUERY(NPCVar!C:D,""Select D WHERE C = '""&amp;D880&amp;""'""),if((TRUNC(1+10)*(TRUNC(MOD((ROW(H880)*1103515245 +12345)/ 65536, 32768),0)/32768)/10) &gt; 0.85,INDEX(NPCFaction,TRUNC(1+(counta(NPCFaction)-1)*(TRUNC(MOD(($B880*1103515245 +12345)/ 65536, 3276"&amp;"8),0)/32768),0)),QUERY(NPCVar!C:D,""Select D WHERE C = '""&amp;D880&amp;""'"")))"),"Necromancer")</f>
        <v>Necromancer</v>
      </c>
      <c r="AE880" s="108" t="e">
        <f t="shared" ca="1" si="58"/>
        <v>#NAME?</v>
      </c>
      <c r="AF880" s="159">
        <f ca="1">IFERROR(__xludf.DUMMYFUNCTION("AE880*(V880 / QUERY(NPCVar!$K$2:$N$12, ""Select N WHERE K='""&amp;AB880&amp;""'""))*TRUNC(1+10)*(TRUNC(MOD(($B880*1103515245 +12345)/ 65536, 32768),0)/32768)"),0.110107421874999)</f>
        <v>0.110107421874999</v>
      </c>
      <c r="AG880" s="16"/>
      <c r="AH880" s="77"/>
      <c r="AI880" s="114"/>
    </row>
    <row r="881" spans="1:35" ht="16.2">
      <c r="A881" s="53">
        <v>880</v>
      </c>
      <c r="B881" s="118">
        <f t="shared" si="62"/>
        <v>1.3298000000000001</v>
      </c>
      <c r="C881" s="72" t="str">
        <f t="array" ref="C881">INDEX(NPCFName,TRUNC(1+(COUNTA(NPCFName))*(TRUNC(MOD(($B881*1103515245 +12345)/ 65536, 32768),0)/32768),0))</f>
        <v>Atar</v>
      </c>
      <c r="D881" s="16" t="str">
        <f t="array" ref="D881">INDEX(NPCLName,TRUNC(1+(COUNTA(NPCLName))*(TRUNC(MOD(($B881*1103515245 +12345)/ 65536, 32768),0)/32768),0))</f>
        <v>Emberhell</v>
      </c>
      <c r="E881" s="16" t="str">
        <f t="array" ref="E881">INDEX(NPCClass,TRUNC(1+(COUNTA(NPCClass))*(TRUNC(MOD(($B881*1103515245 +12345)/ 65536, 32768),0)/32768),0))</f>
        <v>None</v>
      </c>
      <c r="F881" s="76">
        <v>8</v>
      </c>
      <c r="G881" s="153">
        <f ca="1">VLOOKUP($AB$2,'RF Mod'!$A$2:$G$12,2,FALSE)+VLOOKUP($AD$2,'RF Mod'!$I$2:$O$11,2,FALSE)+(TRUNC(6+(24-6)*(TRUNC(MOD(($Z881*1103515245 +12345)/ 65536, 32768),0)/32768),0))</f>
        <v>10</v>
      </c>
      <c r="H881" s="16" t="e">
        <f t="shared" ca="1" si="49"/>
        <v>#NAME?</v>
      </c>
      <c r="I881" s="153">
        <f ca="1">VLOOKUP($AB$2,'RF Mod'!$A$2:$G$12,3,FALSE)+VLOOKUP($AD$2,'RF Mod'!$I$2:$O$11,3,FALSE)+(TRUNC(6+(24-6)*(TRUNC(MOD(($Z881*1103515245 +12345)/ 65536, 32768),0)/32768),0))</f>
        <v>14</v>
      </c>
      <c r="J881" s="16" t="e">
        <f t="shared" ca="1" si="50"/>
        <v>#NAME?</v>
      </c>
      <c r="K881" s="153">
        <f ca="1">VLOOKUP($AB$2,'RF Mod'!$A$2:$G$12,3,FALSE)+VLOOKUP($AD$2,'RF Mod'!$I$2:$O$11,3,FALSE)+(TRUNC(6+(24-6)*(TRUNC(MOD(($Z881*1103515245 +12345)/ 65536, 32768),0)/32768),0))</f>
        <v>14</v>
      </c>
      <c r="L881" s="16" t="e">
        <f t="shared" ca="1" si="51"/>
        <v>#NAME?</v>
      </c>
      <c r="M881" s="153">
        <f ca="1">VLOOKUP($AB$2,'RF Mod'!$A$2:$G$12,4,FALSE)+VLOOKUP($AD$2,'RF Mod'!$I$2:$O$11,4,FALSE)+(TRUNC(6+(24-6)*(TRUNC(MOD(($Z881*1103515245 +12345)/ 65536, 32768),0)/32768),0))</f>
        <v>13</v>
      </c>
      <c r="N881" s="16" t="e">
        <f t="shared" ca="1" si="52"/>
        <v>#NAME?</v>
      </c>
      <c r="O881" s="153">
        <f ca="1">VLOOKUP($AB$2,'RF Mod'!$A$2:$G$12,5,FALSE)+VLOOKUP($AD$2,'RF Mod'!$I$2:$O$11,5,FALSE)+(TRUNC(6+(24-6)*(TRUNC(MOD(($Z881*1103515245 +12345)/ 65536, 32768),0)/32768),0))</f>
        <v>16</v>
      </c>
      <c r="P881" s="16" t="e">
        <f t="shared" ca="1" si="53"/>
        <v>#NAME?</v>
      </c>
      <c r="Q881" s="153">
        <f ca="1">VLOOKUP($AB$2,'RF Mod'!$A$2:$G$12,6,FALSE)+VLOOKUP($AD$2,'RF Mod'!$I$2:$O$11,6,FALSE)+(TRUNC(6+(24-6)*(TRUNC(MOD(($Z881*1103515245 +12345)/ 65536, 32768),0)/32768),0))</f>
        <v>14</v>
      </c>
      <c r="R881" s="16" t="e">
        <f t="shared" ca="1" si="54"/>
        <v>#NAME?</v>
      </c>
      <c r="S881" s="154">
        <f t="shared" ca="1" si="59"/>
        <v>256</v>
      </c>
      <c r="T881" s="154">
        <f t="shared" ca="1" si="55"/>
        <v>272</v>
      </c>
      <c r="U881" s="16" t="str">
        <f t="shared" ca="1" si="56"/>
        <v>Dead</v>
      </c>
      <c r="V881" s="155">
        <f ca="1">IFERROR(__xludf.DUMMYFUNCTION("if(W881=""Middle Age"",QUERY(NPCVar!$K$2:$N1000, ""Select L where K = '""&amp;AB881&amp;""'""),if(W881=""Old"",QUERY(NPCVar!$K$2:$N1000, ""Select M where K = '""&amp;AB881&amp;""'""),if(W881=""Venerable"",QUERY(NPCVar!$K$2:$N1000, ""Select N where K = '""&amp;AB881&amp;""'""),fa"&amp;"lse)))*X881"),153)</f>
        <v>153</v>
      </c>
      <c r="W881" s="156" t="str">
        <f t="array" ref="W881">INDEX(NPCAgeType,TRUNC(1+(4-1)*(TRUNC(MOD((X881*1103515245 +12345)/ 65536, 32768),0)/32768),0))</f>
        <v>Venerable</v>
      </c>
      <c r="X881" s="117">
        <f t="shared" si="61"/>
        <v>1.7</v>
      </c>
      <c r="Y881" s="157" t="e">
        <f t="array" aca="1" ref="Y881" ca="1">LOOKUP(ABS(MAX(Z881 + MIN(ABS(INDIRECT("Class Jobs!B"&amp;MATCH(E881,'Class Jobs'!$A$1:$A1000,0)&amp;":"&amp;"AF"&amp;MATCH(E881,'Class Jobs'!$A$1:$A1000,0)&amp;"")-$Z881)) * SUM(IF(MIN(ABS(INDIRECT("Class Jobs!B"&amp;MATCH(E881,'Class Jobs'!$A$1:$A1000,0)&amp;":"&amp;"AF"&amp;MATCH(E881,'Class Jobs'!$A$1:$A1000,0)&amp;"")-$Z881))=ABS(INDIRECT("Class Jobs!B"&amp;MATCH(E881,'Class Jobs'!$A$1:$A1000,0)&amp;":"&amp;"AF"&amp;MATCH(E881,'Class Jobs'!$A$1:$A1000,0)&amp;"")-$Z881),SIGN(INDIRECT("Class Jobs!B"&amp;MATCH(E881,'Class Jobs'!$A$1:A1000,0)&amp;":"&amp;"AF"&amp;MATCH(E881,'Class Jobs'!$A$1:$A1000,0)&amp;"")-$Z881),0)),0)),INDIRECT("Class Jobs!B"&amp;MATCH(E881,'Class Jobs'!$A$1:$A1000,0)&amp;":"&amp;"AF"&amp;MATCH(E881,'Class Jobs'!$A$1:$A1000,1)&amp;""),'Class Jobs'!$B$1:$AF$1)</f>
        <v>#REF!</v>
      </c>
      <c r="Z881" s="158">
        <f t="shared" si="57"/>
        <v>0.68</v>
      </c>
      <c r="AA881" s="16" t="str">
        <f t="array" ref="AA881">INDEX(NPCGender,TRUNC(1+(COUNTA(NPCGender))*(TRUNC(MOD(($B881*1103515245 +12345)/ 65536, 32768),0)/32768),0))</f>
        <v>Neutral</v>
      </c>
      <c r="AB881" s="16" t="str">
        <f t="array" ref="AB881">INDEX(NPCRace,TRUNC(1+(COUNTA(NPCRace))*(TRUNC(MOD(($B881*1103515245 +12345)/ 65536, 32768),0)/32768),0))</f>
        <v>Human</v>
      </c>
      <c r="AC881" s="16" t="str">
        <f t="array" ref="AC881">INDEX(NPCAL,TRUNC(1+(COUNTA(NPCAL))*(TRUNC(MOD(($B881*1103515245 +12345)/ 65536, 32768),0)/32768),0))</f>
        <v>LG</v>
      </c>
      <c r="AD881" s="72" t="str">
        <f ca="1">IFERROR(__xludf.DUMMYFUNCTION("if(V881&lt;15,QUERY(NPCVar!C:D,""Select D WHERE C = '""&amp;D881&amp;""'""),if((TRUNC(1+10)*(TRUNC(MOD((ROW(H881)*1103515245 +12345)/ 65536, 32768),0)/32768)/10) &gt; 0.85,INDEX(NPCFaction,TRUNC(1+(counta(NPCFaction)-1)*(TRUNC(MOD(($B881*1103515245 +12345)/ 65536, 3276"&amp;"8),0)/32768),0)),QUERY(NPCVar!C:D,""Select D WHERE C = '""&amp;D881&amp;""'"")))"),"Adventures Guild")</f>
        <v>Adventures Guild</v>
      </c>
      <c r="AE881" s="108" t="e">
        <f t="shared" ca="1" si="58"/>
        <v>#NAME?</v>
      </c>
      <c r="AF881" s="159">
        <f ca="1">IFERROR(__xludf.DUMMYFUNCTION("AE881*(V881 / QUERY(NPCVar!$K$2:$N$12, ""Select N WHERE K='""&amp;AB881&amp;""'""))*TRUNC(1+10)*(TRUNC(MOD(($B881*1103515245 +12345)/ 65536, 32768),0)/32768)"),3.83342010498046)</f>
        <v>3.8334201049804602</v>
      </c>
      <c r="AG881" s="16"/>
      <c r="AH881" s="77"/>
      <c r="AI881" s="114"/>
    </row>
    <row r="882" spans="1:35" ht="16.2">
      <c r="A882" s="53">
        <v>881</v>
      </c>
      <c r="B882" s="118">
        <f t="shared" si="62"/>
        <v>0.32395000000000002</v>
      </c>
      <c r="C882" s="72" t="str">
        <f t="array" ref="C882">INDEX(NPCFName,TRUNC(1+(COUNTA(NPCFName))*(TRUNC(MOD(($B882*1103515245 +12345)/ 65536, 32768),0)/32768),0))</f>
        <v>Kolmorn</v>
      </c>
      <c r="D882" s="16" t="str">
        <f t="array" ref="D882">INDEX(NPCLName,TRUNC(1+(COUNTA(NPCLName))*(TRUNC(MOD(($B882*1103515245 +12345)/ 65536, 32768),0)/32768),0))</f>
        <v>Fistwing</v>
      </c>
      <c r="E882" s="16" t="str">
        <f t="array" ref="E882">INDEX(NPCClass,TRUNC(1+(COUNTA(NPCClass))*(TRUNC(MOD(($B882*1103515245 +12345)/ 65536, 32768),0)/32768),0))</f>
        <v>Bard</v>
      </c>
      <c r="F882" s="76">
        <v>1</v>
      </c>
      <c r="G882" s="153">
        <f ca="1">VLOOKUP($AB$2,'RF Mod'!$A$2:$G$12,2,FALSE)+VLOOKUP($AD$2,'RF Mod'!$I$2:$O$11,2,FALSE)+(TRUNC(6+(24-6)*(TRUNC(MOD(($Z882*1103515245 +12345)/ 65536, 32768),0)/32768),0))</f>
        <v>5</v>
      </c>
      <c r="H882" s="16">
        <f t="shared" ca="1" si="49"/>
        <v>-3</v>
      </c>
      <c r="I882" s="153">
        <f ca="1">VLOOKUP($AB$2,'RF Mod'!$A$2:$G$12,3,FALSE)+VLOOKUP($AD$2,'RF Mod'!$I$2:$O$11,3,FALSE)+(TRUNC(6+(24-6)*(TRUNC(MOD(($Z882*1103515245 +12345)/ 65536, 32768),0)/32768),0))</f>
        <v>9</v>
      </c>
      <c r="J882" s="16">
        <f t="shared" ca="1" si="50"/>
        <v>-1</v>
      </c>
      <c r="K882" s="153">
        <f ca="1">VLOOKUP($AB$2,'RF Mod'!$A$2:$G$12,3,FALSE)+VLOOKUP($AD$2,'RF Mod'!$I$2:$O$11,3,FALSE)+(TRUNC(6+(24-6)*(TRUNC(MOD(($Z882*1103515245 +12345)/ 65536, 32768),0)/32768),0))</f>
        <v>9</v>
      </c>
      <c r="L882" s="16">
        <f t="shared" ca="1" si="51"/>
        <v>-1</v>
      </c>
      <c r="M882" s="153">
        <f ca="1">VLOOKUP($AB$2,'RF Mod'!$A$2:$G$12,4,FALSE)+VLOOKUP($AD$2,'RF Mod'!$I$2:$O$11,4,FALSE)+(TRUNC(6+(24-6)*(TRUNC(MOD(($Z882*1103515245 +12345)/ 65536, 32768),0)/32768),0))</f>
        <v>8</v>
      </c>
      <c r="N882" s="16">
        <f t="shared" ca="1" si="52"/>
        <v>-1</v>
      </c>
      <c r="O882" s="153">
        <f ca="1">VLOOKUP($AB$2,'RF Mod'!$A$2:$G$12,5,FALSE)+VLOOKUP($AD$2,'RF Mod'!$I$2:$O$11,5,FALSE)+(TRUNC(6+(24-6)*(TRUNC(MOD(($Z882*1103515245 +12345)/ 65536, 32768),0)/32768),0))</f>
        <v>11</v>
      </c>
      <c r="P882" s="16" t="e">
        <f t="shared" ca="1" si="53"/>
        <v>#NAME?</v>
      </c>
      <c r="Q882" s="153">
        <f ca="1">VLOOKUP($AB$2,'RF Mod'!$A$2:$G$12,6,FALSE)+VLOOKUP($AD$2,'RF Mod'!$I$2:$O$11,6,FALSE)+(TRUNC(6+(24-6)*(TRUNC(MOD(($Z882*1103515245 +12345)/ 65536, 32768),0)/32768),0))</f>
        <v>9</v>
      </c>
      <c r="R882" s="16">
        <f t="shared" ca="1" si="54"/>
        <v>-1</v>
      </c>
      <c r="S882" s="154">
        <f t="shared" ca="1" si="59"/>
        <v>11</v>
      </c>
      <c r="T882" s="154">
        <f t="shared" ca="1" si="55"/>
        <v>1</v>
      </c>
      <c r="U882" s="16" t="str">
        <f t="shared" ca="1" si="56"/>
        <v>Fine</v>
      </c>
      <c r="V882" s="155">
        <f ca="1">IFERROR(__xludf.DUMMYFUNCTION("if(W882=""Middle Age"",QUERY(NPCVar!$K$2:$N1000, ""Select L where K = '""&amp;AB882&amp;""'""),if(W882=""Old"",QUERY(NPCVar!$K$2:$N1000, ""Select M where K = '""&amp;AB882&amp;""'""),if(W882=""Venerable"",QUERY(NPCVar!$K$2:$N1000, ""Select N where K = '""&amp;AB882&amp;""'""),fa"&amp;"lse)))*X882"),32)</f>
        <v>32</v>
      </c>
      <c r="W882" s="156" t="str">
        <f t="array" ref="W882">INDEX(NPCAgeType,TRUNC(1+(4-1)*(TRUNC(MOD((X882*1103515245 +12345)/ 65536, 32768),0)/32768),0))</f>
        <v>Middle Age</v>
      </c>
      <c r="X882" s="117">
        <f t="shared" si="61"/>
        <v>0.4</v>
      </c>
      <c r="Y882" s="157" t="e">
        <f t="array" aca="1" ref="Y882" ca="1">LOOKUP(ABS(MAX(Z882 + MIN(ABS(INDIRECT("Class Jobs!B"&amp;MATCH(E882,'Class Jobs'!$A$1:$A1000,0)&amp;":"&amp;"AF"&amp;MATCH(E882,'Class Jobs'!$A$1:$A1000,0)&amp;"")-$Z882)) * SUM(IF(MIN(ABS(INDIRECT("Class Jobs!B"&amp;MATCH(E882,'Class Jobs'!$A$1:$A1000,0)&amp;":"&amp;"AF"&amp;MATCH(E882,'Class Jobs'!$A$1:$A1000,0)&amp;"")-$Z882))=ABS(INDIRECT("Class Jobs!B"&amp;MATCH(E882,'Class Jobs'!$A$1:$A1000,0)&amp;":"&amp;"AF"&amp;MATCH(E882,'Class Jobs'!$A$1:$A1000,0)&amp;"")-$Z882),SIGN(INDIRECT("Class Jobs!B"&amp;MATCH(E882,'Class Jobs'!$A$1:A1000,0)&amp;":"&amp;"AF"&amp;MATCH(E882,'Class Jobs'!$A$1:$A1000,0)&amp;"")-$Z882),0)),0)),INDIRECT("Class Jobs!B"&amp;MATCH(E882,'Class Jobs'!$A$1:$A1000,0)&amp;":"&amp;"AF"&amp;MATCH(E882,'Class Jobs'!$A$1:$A1000,1)&amp;""),'Class Jobs'!$B$1:$AF$1)</f>
        <v>#REF!</v>
      </c>
      <c r="Z882" s="158">
        <f t="shared" si="57"/>
        <v>0.17</v>
      </c>
      <c r="AA882" s="16" t="str">
        <f t="array" ref="AA882">INDEX(NPCGender,TRUNC(1+(COUNTA(NPCGender))*(TRUNC(MOD(($B882*1103515245 +12345)/ 65536, 32768),0)/32768),0))</f>
        <v>Male</v>
      </c>
      <c r="AB882" s="16" t="str">
        <f t="array" ref="AB882">INDEX(NPCRace,TRUNC(1+(COUNTA(NPCRace))*(TRUNC(MOD(($B882*1103515245 +12345)/ 65536, 32768),0)/32768),0))</f>
        <v>Dwarf</v>
      </c>
      <c r="AC882" s="16" t="str">
        <f t="array" ref="AC882">INDEX(NPCAL,TRUNC(1+(COUNTA(NPCAL))*(TRUNC(MOD(($B882*1103515245 +12345)/ 65536, 32768),0)/32768),0))</f>
        <v>CE</v>
      </c>
      <c r="AD882" s="72" t="str">
        <f ca="1">IFERROR(__xludf.DUMMYFUNCTION("if(V882&lt;15,QUERY(NPCVar!C:D,""Select D WHERE C = '""&amp;D882&amp;""'""),if((TRUNC(1+10)*(TRUNC(MOD((ROW(H882)*1103515245 +12345)/ 65536, 32768),0)/32768)/10) &gt; 0.85,INDEX(NPCFaction,TRUNC(1+(counta(NPCFaction)-1)*(TRUNC(MOD(($B882*1103515245 +12345)/ 65536, 3276"&amp;"8),0)/32768),0)),QUERY(NPCVar!C:D,""Select D WHERE C = '""&amp;D882&amp;""'"")))"),"Royalty")</f>
        <v>Royalty</v>
      </c>
      <c r="AE882" s="108" t="e">
        <f t="shared" ca="1" si="58"/>
        <v>#NAME?</v>
      </c>
      <c r="AF882" s="159">
        <f ca="1">IFERROR(__xludf.DUMMYFUNCTION("AE882*(V882 / QUERY(NPCVar!$K$2:$N$12, ""Select N WHERE K='""&amp;AB882&amp;""'""))*TRUNC(1+10)*(TRUNC(MOD(($B882*1103515245 +12345)/ 65536, 32768),0)/32768)"),0.07323486328125)</f>
        <v>7.3234863281250007E-2</v>
      </c>
      <c r="AG882" s="16"/>
      <c r="AH882" s="77"/>
      <c r="AI882" s="114"/>
    </row>
    <row r="883" spans="1:35" ht="16.2">
      <c r="A883" s="53">
        <v>882</v>
      </c>
      <c r="B883" s="118">
        <f t="shared" si="62"/>
        <v>1.8180799999999999</v>
      </c>
      <c r="C883" s="72" t="str">
        <f t="array" ref="C883">INDEX(NPCFName,TRUNC(1+(COUNTA(NPCFName))*(TRUNC(MOD(($B883*1103515245 +12345)/ 65536, 32768),0)/32768),0))</f>
        <v>Shardo</v>
      </c>
      <c r="D883" s="16" t="str">
        <f t="array" ref="D883">INDEX(NPCLName,TRUNC(1+(COUNTA(NPCLName))*(TRUNC(MOD(($B883*1103515245 +12345)/ 65536, 32768),0)/32768),0))</f>
        <v>Marblearm</v>
      </c>
      <c r="E883" s="16" t="str">
        <f t="array" ref="E883">INDEX(NPCClass,TRUNC(1+(COUNTA(NPCClass))*(TRUNC(MOD(($B883*1103515245 +12345)/ 65536, 32768),0)/32768),0))</f>
        <v>Wizard</v>
      </c>
      <c r="F883" s="76">
        <v>8</v>
      </c>
      <c r="G883" s="153">
        <f ca="1">VLOOKUP($AB$2,'RF Mod'!$A$2:$G$12,2,FALSE)+VLOOKUP($AD$2,'RF Mod'!$I$2:$O$11,2,FALSE)+(TRUNC(6+(24-6)*(TRUNC(MOD(($Z883*1103515245 +12345)/ 65536, 32768),0)/32768),0))</f>
        <v>12</v>
      </c>
      <c r="H883" s="16" t="e">
        <f t="shared" ca="1" si="49"/>
        <v>#NAME?</v>
      </c>
      <c r="I883" s="153">
        <f ca="1">VLOOKUP($AB$2,'RF Mod'!$A$2:$G$12,3,FALSE)+VLOOKUP($AD$2,'RF Mod'!$I$2:$O$11,3,FALSE)+(TRUNC(6+(24-6)*(TRUNC(MOD(($Z883*1103515245 +12345)/ 65536, 32768),0)/32768),0))</f>
        <v>16</v>
      </c>
      <c r="J883" s="16" t="e">
        <f t="shared" ca="1" si="50"/>
        <v>#NAME?</v>
      </c>
      <c r="K883" s="153">
        <f ca="1">VLOOKUP($AB$2,'RF Mod'!$A$2:$G$12,3,FALSE)+VLOOKUP($AD$2,'RF Mod'!$I$2:$O$11,3,FALSE)+(TRUNC(6+(24-6)*(TRUNC(MOD(($Z883*1103515245 +12345)/ 65536, 32768),0)/32768),0))</f>
        <v>16</v>
      </c>
      <c r="L883" s="16" t="e">
        <f t="shared" ca="1" si="51"/>
        <v>#NAME?</v>
      </c>
      <c r="M883" s="153">
        <f ca="1">VLOOKUP($AB$2,'RF Mod'!$A$2:$G$12,4,FALSE)+VLOOKUP($AD$2,'RF Mod'!$I$2:$O$11,4,FALSE)+(TRUNC(6+(24-6)*(TRUNC(MOD(($Z883*1103515245 +12345)/ 65536, 32768),0)/32768),0))</f>
        <v>15</v>
      </c>
      <c r="N883" s="16" t="e">
        <f t="shared" ca="1" si="52"/>
        <v>#NAME?</v>
      </c>
      <c r="O883" s="153">
        <f ca="1">VLOOKUP($AB$2,'RF Mod'!$A$2:$G$12,5,FALSE)+VLOOKUP($AD$2,'RF Mod'!$I$2:$O$11,5,FALSE)+(TRUNC(6+(24-6)*(TRUNC(MOD(($Z883*1103515245 +12345)/ 65536, 32768),0)/32768),0))</f>
        <v>18</v>
      </c>
      <c r="P883" s="16" t="e">
        <f t="shared" ca="1" si="53"/>
        <v>#NAME?</v>
      </c>
      <c r="Q883" s="153">
        <f ca="1">VLOOKUP($AB$2,'RF Mod'!$A$2:$G$12,6,FALSE)+VLOOKUP($AD$2,'RF Mod'!$I$2:$O$11,6,FALSE)+(TRUNC(6+(24-6)*(TRUNC(MOD(($Z883*1103515245 +12345)/ 65536, 32768),0)/32768),0))</f>
        <v>16</v>
      </c>
      <c r="R883" s="16" t="e">
        <f t="shared" ca="1" si="54"/>
        <v>#NAME?</v>
      </c>
      <c r="S883" s="154">
        <f t="shared" ca="1" si="59"/>
        <v>160</v>
      </c>
      <c r="T883" s="154">
        <f t="shared" ca="1" si="55"/>
        <v>27</v>
      </c>
      <c r="U883" s="16" t="str">
        <f t="shared" ca="1" si="56"/>
        <v>Fine</v>
      </c>
      <c r="V883" s="155">
        <f ca="1">IFERROR(__xludf.DUMMYFUNCTION("if(W883=""Middle Age"",QUERY(NPCVar!$K$2:$N1000, ""Select L where K = '""&amp;AB883&amp;""'""),if(W883=""Old"",QUERY(NPCVar!$K$2:$N1000, ""Select M where K = '""&amp;AB883&amp;""'""),if(W883=""Venerable"",QUERY(NPCVar!$K$2:$N1000, ""Select N where K = '""&amp;AB883&amp;""'""),fa"&amp;"lse)))*X883"),69)</f>
        <v>69</v>
      </c>
      <c r="W883" s="156" t="str">
        <f t="array" ref="W883">INDEX(NPCAgeType,TRUNC(1+(4-1)*(TRUNC(MOD((X883*1103515245 +12345)/ 65536, 32768),0)/32768),0))</f>
        <v>Middle Age</v>
      </c>
      <c r="X883" s="117">
        <f t="shared" si="61"/>
        <v>2.2999999999999998</v>
      </c>
      <c r="Y883" s="157" t="e">
        <f t="array" aca="1" ref="Y883" ca="1">LOOKUP(ABS(MAX(Z883 + MIN(ABS(INDIRECT("Class Jobs!B"&amp;MATCH(E883,'Class Jobs'!$A$1:$A1000,0)&amp;":"&amp;"AF"&amp;MATCH(E883,'Class Jobs'!$A$1:$A1000,0)&amp;"")-$Z883)) * SUM(IF(MIN(ABS(INDIRECT("Class Jobs!B"&amp;MATCH(E883,'Class Jobs'!$A$1:$A1000,0)&amp;":"&amp;"AF"&amp;MATCH(E883,'Class Jobs'!$A$1:$A1000,0)&amp;"")-$Z883))=ABS(INDIRECT("Class Jobs!B"&amp;MATCH(E883,'Class Jobs'!$A$1:$A1000,0)&amp;":"&amp;"AF"&amp;MATCH(E883,'Class Jobs'!$A$1:$A1000,0)&amp;"")-$Z883),SIGN(INDIRECT("Class Jobs!B"&amp;MATCH(E883,'Class Jobs'!$A$1:A1000,0)&amp;":"&amp;"AF"&amp;MATCH(E883,'Class Jobs'!$A$1:$A1000,0)&amp;"")-$Z883),0)),0)),INDIRECT("Class Jobs!B"&amp;MATCH(E883,'Class Jobs'!$A$1:$A1000,0)&amp;":"&amp;"AF"&amp;MATCH(E883,'Class Jobs'!$A$1:$A1000,1)&amp;""),'Class Jobs'!$B$1:$AF$1)</f>
        <v>#REF!</v>
      </c>
      <c r="Z883" s="158">
        <f t="shared" si="57"/>
        <v>0.93</v>
      </c>
      <c r="AA883" s="16" t="str">
        <f t="array" ref="AA883">INDEX(NPCGender,TRUNC(1+(COUNTA(NPCGender))*(TRUNC(MOD(($B883*1103515245 +12345)/ 65536, 32768),0)/32768),0))</f>
        <v>Neutral</v>
      </c>
      <c r="AB883" s="16" t="str">
        <f t="array" ref="AB883">INDEX(NPCRace,TRUNC(1+(COUNTA(NPCRace))*(TRUNC(MOD(($B883*1103515245 +12345)/ 65536, 32768),0)/32768),0))</f>
        <v>Goliath</v>
      </c>
      <c r="AC883" s="16" t="str">
        <f t="array" ref="AC883">INDEX(NPCAL,TRUNC(1+(COUNTA(NPCAL))*(TRUNC(MOD(($B883*1103515245 +12345)/ 65536, 32768),0)/32768),0))</f>
        <v>LE</v>
      </c>
      <c r="AD883" s="72" t="str">
        <f ca="1">IFERROR(__xludf.DUMMYFUNCTION("if(V883&lt;15,QUERY(NPCVar!C:D,""Select D WHERE C = '""&amp;D883&amp;""'""),if((TRUNC(1+10)*(TRUNC(MOD((ROW(H883)*1103515245 +12345)/ 65536, 32768),0)/32768)/10) &gt; 0.85,INDEX(NPCFaction,TRUNC(1+(counta(NPCFaction)-1)*(TRUNC(MOD(($B883*1103515245 +12345)/ 65536, 3276"&amp;"8),0)/32768),0)),QUERY(NPCVar!C:D,""Select D WHERE C = '""&amp;D883&amp;""'"")))"),"Thieves Guild")</f>
        <v>Thieves Guild</v>
      </c>
      <c r="AE883" s="108" t="e">
        <f t="shared" ca="1" si="58"/>
        <v>#NAME?</v>
      </c>
      <c r="AF883" s="159">
        <f ca="1">IFERROR(__xludf.DUMMYFUNCTION("AE883*(V883 / QUERY(NPCVar!$K$2:$N$12, ""Select N WHERE K='""&amp;AB883&amp;""'""))*TRUNC(1+10)*(TRUNC(MOD(($B883*1103515245 +12345)/ 65536, 32768),0)/32768)"),2.36361358642578)</f>
        <v>2.3636135864257799</v>
      </c>
      <c r="AG883" s="16"/>
      <c r="AH883" s="77"/>
      <c r="AI883" s="114"/>
    </row>
    <row r="884" spans="1:35" ht="16.2">
      <c r="A884" s="53">
        <v>883</v>
      </c>
      <c r="B884" s="118">
        <f t="shared" si="62"/>
        <v>0.81223000000000001</v>
      </c>
      <c r="C884" s="72" t="str">
        <f t="array" ref="C884">INDEX(NPCFName,TRUNC(1+(COUNTA(NPCFName))*(TRUNC(MOD(($B884*1103515245 +12345)/ 65536, 32768),0)/32768),0))</f>
        <v>Durmark</v>
      </c>
      <c r="D884" s="16" t="str">
        <f t="array" ref="D884">INDEX(NPCLName,TRUNC(1+(COUNTA(NPCLName))*(TRUNC(MOD(($B884*1103515245 +12345)/ 65536, 32768),0)/32768),0))</f>
        <v>Windshade</v>
      </c>
      <c r="E884" s="16" t="str">
        <f t="array" ref="E884">INDEX(NPCClass,TRUNC(1+(COUNTA(NPCClass))*(TRUNC(MOD(($B884*1103515245 +12345)/ 65536, 32768),0)/32768),0))</f>
        <v>Ranger</v>
      </c>
      <c r="F884" s="76">
        <v>2</v>
      </c>
      <c r="G884" s="153">
        <f ca="1">VLOOKUP($AB$2,'RF Mod'!$A$2:$G$12,2,FALSE)+VLOOKUP($AD$2,'RF Mod'!$I$2:$O$11,2,FALSE)+(TRUNC(6+(24-6)*(TRUNC(MOD(($Z884*1103515245 +12345)/ 65536, 32768),0)/32768),0))</f>
        <v>7</v>
      </c>
      <c r="H884" s="16">
        <f t="shared" ca="1" si="49"/>
        <v>-2</v>
      </c>
      <c r="I884" s="153">
        <f ca="1">VLOOKUP($AB$2,'RF Mod'!$A$2:$G$12,3,FALSE)+VLOOKUP($AD$2,'RF Mod'!$I$2:$O$11,3,FALSE)+(TRUNC(6+(24-6)*(TRUNC(MOD(($Z884*1103515245 +12345)/ 65536, 32768),0)/32768),0))</f>
        <v>11</v>
      </c>
      <c r="J884" s="16" t="e">
        <f t="shared" ca="1" si="50"/>
        <v>#NAME?</v>
      </c>
      <c r="K884" s="153">
        <f ca="1">VLOOKUP($AB$2,'RF Mod'!$A$2:$G$12,3,FALSE)+VLOOKUP($AD$2,'RF Mod'!$I$2:$O$11,3,FALSE)+(TRUNC(6+(24-6)*(TRUNC(MOD(($Z884*1103515245 +12345)/ 65536, 32768),0)/32768),0))</f>
        <v>11</v>
      </c>
      <c r="L884" s="16" t="e">
        <f t="shared" ca="1" si="51"/>
        <v>#NAME?</v>
      </c>
      <c r="M884" s="153">
        <f ca="1">VLOOKUP($AB$2,'RF Mod'!$A$2:$G$12,4,FALSE)+VLOOKUP($AD$2,'RF Mod'!$I$2:$O$11,4,FALSE)+(TRUNC(6+(24-6)*(TRUNC(MOD(($Z884*1103515245 +12345)/ 65536, 32768),0)/32768),0))</f>
        <v>10</v>
      </c>
      <c r="N884" s="16" t="e">
        <f t="shared" ca="1" si="52"/>
        <v>#NAME?</v>
      </c>
      <c r="O884" s="153">
        <f ca="1">VLOOKUP($AB$2,'RF Mod'!$A$2:$G$12,5,FALSE)+VLOOKUP($AD$2,'RF Mod'!$I$2:$O$11,5,FALSE)+(TRUNC(6+(24-6)*(TRUNC(MOD(($Z884*1103515245 +12345)/ 65536, 32768),0)/32768),0))</f>
        <v>13</v>
      </c>
      <c r="P884" s="16" t="e">
        <f t="shared" ca="1" si="53"/>
        <v>#NAME?</v>
      </c>
      <c r="Q884" s="153">
        <f ca="1">VLOOKUP($AB$2,'RF Mod'!$A$2:$G$12,6,FALSE)+VLOOKUP($AD$2,'RF Mod'!$I$2:$O$11,6,FALSE)+(TRUNC(6+(24-6)*(TRUNC(MOD(($Z884*1103515245 +12345)/ 65536, 32768),0)/32768),0))</f>
        <v>11</v>
      </c>
      <c r="R884" s="16" t="e">
        <f t="shared" ca="1" si="54"/>
        <v>#NAME?</v>
      </c>
      <c r="S884" s="154">
        <f t="shared" ca="1" si="59"/>
        <v>46</v>
      </c>
      <c r="T884" s="154">
        <f t="shared" ca="1" si="55"/>
        <v>14</v>
      </c>
      <c r="U884" s="16" t="str">
        <f t="shared" ca="1" si="56"/>
        <v>Fine</v>
      </c>
      <c r="V884" s="155">
        <f ca="1">IFERROR(__xludf.DUMMYFUNCTION("if(W884=""Middle Age"",QUERY(NPCVar!$K$2:$N1000, ""Select L where K = '""&amp;AB884&amp;""'""),if(W884=""Old"",QUERY(NPCVar!$K$2:$N1000, ""Select M where K = '""&amp;AB884&amp;""'""),if(W884=""Venerable"",QUERY(NPCVar!$K$2:$N1000, ""Select N where K = '""&amp;AB884&amp;""'""),fa"&amp;"lse)))*X884"),74.25)</f>
        <v>74.25</v>
      </c>
      <c r="W884" s="156" t="str">
        <f t="array" ref="W884">INDEX(NPCAgeType,TRUNC(1+(4-1)*(TRUNC(MOD((X884*1103515245 +12345)/ 65536, 32768),0)/32768),0))</f>
        <v>Old</v>
      </c>
      <c r="X884" s="117">
        <f t="shared" si="61"/>
        <v>1.1000000000000001</v>
      </c>
      <c r="Y884" s="157" t="e">
        <f t="array" aca="1" ref="Y884" ca="1">LOOKUP(ABS(MAX(Z884 + MIN(ABS(INDIRECT("Class Jobs!B"&amp;MATCH(E884,'Class Jobs'!$A$1:$A1000,0)&amp;":"&amp;"AF"&amp;MATCH(E884,'Class Jobs'!$A$1:$A1000,0)&amp;"")-$Z884)) * SUM(IF(MIN(ABS(INDIRECT("Class Jobs!B"&amp;MATCH(E884,'Class Jobs'!$A$1:$A1000,0)&amp;":"&amp;"AF"&amp;MATCH(E884,'Class Jobs'!$A$1:$A1000,0)&amp;"")-$Z884))=ABS(INDIRECT("Class Jobs!B"&amp;MATCH(E884,'Class Jobs'!$A$1:$A1000,0)&amp;":"&amp;"AF"&amp;MATCH(E884,'Class Jobs'!$A$1:$A1000,0)&amp;"")-$Z884),SIGN(INDIRECT("Class Jobs!B"&amp;MATCH(E884,'Class Jobs'!$A$1:A1000,0)&amp;":"&amp;"AF"&amp;MATCH(E884,'Class Jobs'!$A$1:$A1000,0)&amp;"")-$Z884),0)),0)),INDIRECT("Class Jobs!B"&amp;MATCH(E884,'Class Jobs'!$A$1:$A1000,0)&amp;":"&amp;"AF"&amp;MATCH(E884,'Class Jobs'!$A$1:$A1000,1)&amp;""),'Class Jobs'!$B$1:$AF$1)</f>
        <v>#REF!</v>
      </c>
      <c r="Z884" s="158">
        <f t="shared" si="57"/>
        <v>0.42</v>
      </c>
      <c r="AA884" s="16" t="str">
        <f t="array" ref="AA884">INDEX(NPCGender,TRUNC(1+(COUNTA(NPCGender))*(TRUNC(MOD(($B884*1103515245 +12345)/ 65536, 32768),0)/32768),0))</f>
        <v>Female</v>
      </c>
      <c r="AB884" s="16" t="str">
        <f t="array" ref="AB884">INDEX(NPCRace,TRUNC(1+(COUNTA(NPCRace))*(TRUNC(MOD(($B884*1103515245 +12345)/ 65536, 32768),0)/32768),0))</f>
        <v>Half-Elf</v>
      </c>
      <c r="AC884" s="16" t="str">
        <f t="array" ref="AC884">INDEX(NPCAL,TRUNC(1+(COUNTA(NPCAL))*(TRUNC(MOD(($B884*1103515245 +12345)/ 65536, 32768),0)/32768),0))</f>
        <v>NG</v>
      </c>
      <c r="AD884" s="72" t="str">
        <f ca="1">IFERROR(__xludf.DUMMYFUNCTION("if(V884&lt;15,QUERY(NPCVar!C:D,""Select D WHERE C = '""&amp;D884&amp;""'""),if((TRUNC(1+10)*(TRUNC(MOD((ROW(H884)*1103515245 +12345)/ 65536, 32768),0)/32768)/10) &gt; 0.85,INDEX(NPCFaction,TRUNC(1+(counta(NPCFaction)-1)*(TRUNC(MOD(($B884*1103515245 +12345)/ 65536, 3276"&amp;"8),0)/32768),0)),QUERY(NPCVar!C:D,""Select D WHERE C = '""&amp;D884&amp;""'"")))"),"Traders Guild")</f>
        <v>Traders Guild</v>
      </c>
      <c r="AE884" s="108" t="e">
        <f t="shared" ca="1" si="58"/>
        <v>#NAME?</v>
      </c>
      <c r="AF884" s="159">
        <f ca="1">IFERROR(__xludf.DUMMYFUNCTION("AE884*(V884 / QUERY(NPCVar!$K$2:$N$12, ""Select N WHERE K='""&amp;AB884&amp;""'""))*TRUNC(1+10)*(TRUNC(MOD(($B884*1103515245 +12345)/ 65536, 32768),0)/32768)"),1.13625823974609)</f>
        <v>1.1362582397460901</v>
      </c>
      <c r="AG884" s="16"/>
      <c r="AH884" s="77"/>
      <c r="AI884" s="114"/>
    </row>
    <row r="885" spans="1:35" ht="16.2">
      <c r="A885" s="53">
        <v>884</v>
      </c>
      <c r="B885" s="118">
        <f t="shared" si="62"/>
        <v>2.3063600000000002</v>
      </c>
      <c r="C885" s="72" t="str">
        <f t="array" ref="C885">INDEX(NPCFName,TRUNC(1+(COUNTA(NPCFName))*(TRUNC(MOD(($B885*1103515245 +12345)/ 65536, 32768),0)/32768),0))</f>
        <v>Markdoon</v>
      </c>
      <c r="D885" s="16" t="str">
        <f t="array" ref="D885">INDEX(NPCLName,TRUNC(1+(COUNTA(NPCLName))*(TRUNC(MOD(($B885*1103515245 +12345)/ 65536, 32768),0)/32768),0))</f>
        <v>Ashcloud</v>
      </c>
      <c r="E885" s="16" t="str">
        <f t="array" ref="E885">INDEX(NPCClass,TRUNC(1+(COUNTA(NPCClass))*(TRUNC(MOD(($B885*1103515245 +12345)/ 65536, 32768),0)/32768),0))</f>
        <v>Druid</v>
      </c>
      <c r="F885" s="76">
        <v>1</v>
      </c>
      <c r="G885" s="153">
        <f ca="1">VLOOKUP($AB$2,'RF Mod'!$A$2:$G$12,2,FALSE)+VLOOKUP($AD$2,'RF Mod'!$I$2:$O$11,2,FALSE)+(TRUNC(6+(24-6)*(TRUNC(MOD(($Z885*1103515245 +12345)/ 65536, 32768),0)/32768),0))</f>
        <v>5</v>
      </c>
      <c r="H885" s="16">
        <f t="shared" ca="1" si="49"/>
        <v>-3</v>
      </c>
      <c r="I885" s="153">
        <f ca="1">VLOOKUP($AB$2,'RF Mod'!$A$2:$G$12,3,FALSE)+VLOOKUP($AD$2,'RF Mod'!$I$2:$O$11,3,FALSE)+(TRUNC(6+(24-6)*(TRUNC(MOD(($Z885*1103515245 +12345)/ 65536, 32768),0)/32768),0))</f>
        <v>9</v>
      </c>
      <c r="J885" s="16">
        <f t="shared" ca="1" si="50"/>
        <v>-1</v>
      </c>
      <c r="K885" s="153">
        <f ca="1">VLOOKUP($AB$2,'RF Mod'!$A$2:$G$12,3,FALSE)+VLOOKUP($AD$2,'RF Mod'!$I$2:$O$11,3,FALSE)+(TRUNC(6+(24-6)*(TRUNC(MOD(($Z885*1103515245 +12345)/ 65536, 32768),0)/32768),0))</f>
        <v>9</v>
      </c>
      <c r="L885" s="16">
        <f t="shared" ca="1" si="51"/>
        <v>-1</v>
      </c>
      <c r="M885" s="153">
        <f ca="1">VLOOKUP($AB$2,'RF Mod'!$A$2:$G$12,4,FALSE)+VLOOKUP($AD$2,'RF Mod'!$I$2:$O$11,4,FALSE)+(TRUNC(6+(24-6)*(TRUNC(MOD(($Z885*1103515245 +12345)/ 65536, 32768),0)/32768),0))</f>
        <v>8</v>
      </c>
      <c r="N885" s="16">
        <f t="shared" ca="1" si="52"/>
        <v>-1</v>
      </c>
      <c r="O885" s="153">
        <f ca="1">VLOOKUP($AB$2,'RF Mod'!$A$2:$G$12,5,FALSE)+VLOOKUP($AD$2,'RF Mod'!$I$2:$O$11,5,FALSE)+(TRUNC(6+(24-6)*(TRUNC(MOD(($Z885*1103515245 +12345)/ 65536, 32768),0)/32768),0))</f>
        <v>11</v>
      </c>
      <c r="P885" s="16" t="e">
        <f t="shared" ca="1" si="53"/>
        <v>#NAME?</v>
      </c>
      <c r="Q885" s="153">
        <f ca="1">VLOOKUP($AB$2,'RF Mod'!$A$2:$G$12,6,FALSE)+VLOOKUP($AD$2,'RF Mod'!$I$2:$O$11,6,FALSE)+(TRUNC(6+(24-6)*(TRUNC(MOD(($Z885*1103515245 +12345)/ 65536, 32768),0)/32768),0))</f>
        <v>9</v>
      </c>
      <c r="R885" s="16">
        <f t="shared" ca="1" si="54"/>
        <v>-1</v>
      </c>
      <c r="S885" s="154">
        <f t="shared" ca="1" si="59"/>
        <v>11</v>
      </c>
      <c r="T885" s="154">
        <f t="shared" ca="1" si="55"/>
        <v>9</v>
      </c>
      <c r="U885" s="16" t="str">
        <f t="shared" ca="1" si="56"/>
        <v>Bloody</v>
      </c>
      <c r="V885" s="155">
        <f ca="1">IFERROR(__xludf.DUMMYFUNCTION("if(W885=""Middle Age"",QUERY(NPCVar!$K$2:$N1000, ""Select L where K = '""&amp;AB885&amp;""'""),if(W885=""Old"",QUERY(NPCVar!$K$2:$N1000, ""Select M where K = '""&amp;AB885&amp;""'""),if(W885=""Venerable"",QUERY(NPCVar!$K$2:$N1000, ""Select N where K = '""&amp;AB885&amp;""'""),fa"&amp;"lse)))*X885"),93.75)</f>
        <v>93.75</v>
      </c>
      <c r="W885" s="156" t="str">
        <f t="array" ref="W885">INDEX(NPCAgeType,TRUNC(1+(4-1)*(TRUNC(MOD((X885*1103515245 +12345)/ 65536, 32768),0)/32768),0))</f>
        <v>Middle Age</v>
      </c>
      <c r="X885" s="117">
        <f t="shared" si="61"/>
        <v>0.5</v>
      </c>
      <c r="Y885" s="157" t="e">
        <f t="array" aca="1" ref="Y885" ca="1">LOOKUP(ABS(MAX(Z885 + MIN(ABS(INDIRECT("Class Jobs!B"&amp;MATCH(E885,'Class Jobs'!$A$1:$A1000,0)&amp;":"&amp;"AF"&amp;MATCH(E885,'Class Jobs'!$A$1:$A1000,0)&amp;"")-$Z885)) * SUM(IF(MIN(ABS(INDIRECT("Class Jobs!B"&amp;MATCH(E885,'Class Jobs'!$A$1:$A1000,0)&amp;":"&amp;"AF"&amp;MATCH(E885,'Class Jobs'!$A$1:$A1000,0)&amp;"")-$Z885))=ABS(INDIRECT("Class Jobs!B"&amp;MATCH(E885,'Class Jobs'!$A$1:$A1000,0)&amp;":"&amp;"AF"&amp;MATCH(E885,'Class Jobs'!$A$1:$A1000,0)&amp;"")-$Z885),SIGN(INDIRECT("Class Jobs!B"&amp;MATCH(E885,'Class Jobs'!$A$1:A1000,0)&amp;":"&amp;"AF"&amp;MATCH(E885,'Class Jobs'!$A$1:$A1000,0)&amp;"")-$Z885),0)),0)),INDIRECT("Class Jobs!B"&amp;MATCH(E885,'Class Jobs'!$A$1:$A1000,0)&amp;":"&amp;"AF"&amp;MATCH(E885,'Class Jobs'!$A$1:$A1000,1)&amp;""),'Class Jobs'!$B$1:$AF$1)</f>
        <v>#REF!</v>
      </c>
      <c r="Z885" s="158">
        <f t="shared" si="57"/>
        <v>0.19</v>
      </c>
      <c r="AA885" s="16" t="str">
        <f t="array" ref="AA885">INDEX(NPCGender,TRUNC(1+(COUNTA(NPCGender))*(TRUNC(MOD(($B885*1103515245 +12345)/ 65536, 32768),0)/32768),0))</f>
        <v>Male</v>
      </c>
      <c r="AB885" s="16" t="str">
        <f t="array" ref="AB885">INDEX(NPCRace,TRUNC(1+(COUNTA(NPCRace))*(TRUNC(MOD(($B885*1103515245 +12345)/ 65536, 32768),0)/32768),0))</f>
        <v>Elf</v>
      </c>
      <c r="AC885" s="16" t="str">
        <f t="array" ref="AC885">INDEX(NPCAL,TRUNC(1+(COUNTA(NPCAL))*(TRUNC(MOD(($B885*1103515245 +12345)/ 65536, 32768),0)/32768),0))</f>
        <v>CE</v>
      </c>
      <c r="AD885" s="72" t="str">
        <f ca="1">IFERROR(__xludf.DUMMYFUNCTION("if(V885&lt;15,QUERY(NPCVar!C:D,""Select D WHERE C = '""&amp;D885&amp;""'""),if((TRUNC(1+10)*(TRUNC(MOD((ROW(H885)*1103515245 +12345)/ 65536, 32768),0)/32768)/10) &gt; 0.85,INDEX(NPCFaction,TRUNC(1+(counta(NPCFaction)-1)*(TRUNC(MOD(($B885*1103515245 +12345)/ 65536, 3276"&amp;"8),0)/32768),0)),QUERY(NPCVar!C:D,""Select D WHERE C = '""&amp;D885&amp;""'"")))"),"Magic Guild")</f>
        <v>Magic Guild</v>
      </c>
      <c r="AE885" s="108" t="e">
        <f t="shared" ca="1" si="58"/>
        <v>#NAME?</v>
      </c>
      <c r="AF885" s="159">
        <f ca="1">IFERROR(__xludf.DUMMYFUNCTION("AE885*(V885 / QUERY(NPCVar!$K$2:$N$12, ""Select N WHERE K='""&amp;AB885&amp;""'""))*TRUNC(1+10)*(TRUNC(MOD(($B885*1103515245 +12345)/ 65536, 32768),0)/32768)"),0)</f>
        <v>0</v>
      </c>
      <c r="AG885" s="16"/>
      <c r="AH885" s="77"/>
      <c r="AI885" s="114"/>
    </row>
    <row r="886" spans="1:35" ht="16.2">
      <c r="A886" s="53">
        <v>885</v>
      </c>
      <c r="B886" s="118">
        <f t="shared" si="62"/>
        <v>1.3005100000000001</v>
      </c>
      <c r="C886" s="72" t="str">
        <f t="array" ref="C886">INDEX(NPCFName,TRUNC(1+(COUNTA(NPCFName))*(TRUNC(MOD(($B886*1103515245 +12345)/ 65536, 32768),0)/32768),0))</f>
        <v>Aboloft</v>
      </c>
      <c r="D886" s="16" t="str">
        <f t="array" ref="D886">INDEX(NPCLName,TRUNC(1+(COUNTA(NPCLName))*(TRUNC(MOD(($B886*1103515245 +12345)/ 65536, 32768),0)/32768),0))</f>
        <v>Emberhell</v>
      </c>
      <c r="E886" s="16" t="str">
        <f t="array" ref="E886">INDEX(NPCClass,TRUNC(1+(COUNTA(NPCClass))*(TRUNC(MOD(($B886*1103515245 +12345)/ 65536, 32768),0)/32768),0))</f>
        <v>None</v>
      </c>
      <c r="F886" s="76">
        <v>8</v>
      </c>
      <c r="G886" s="153">
        <f ca="1">VLOOKUP($AB$2,'RF Mod'!$A$2:$G$12,2,FALSE)+VLOOKUP($AD$2,'RF Mod'!$I$2:$O$11,2,FALSE)+(TRUNC(6+(24-6)*(TRUNC(MOD(($Z886*1103515245 +12345)/ 65536, 32768),0)/32768),0))</f>
        <v>10</v>
      </c>
      <c r="H886" s="16" t="e">
        <f t="shared" ca="1" si="49"/>
        <v>#NAME?</v>
      </c>
      <c r="I886" s="153">
        <f ca="1">VLOOKUP($AB$2,'RF Mod'!$A$2:$G$12,3,FALSE)+VLOOKUP($AD$2,'RF Mod'!$I$2:$O$11,3,FALSE)+(TRUNC(6+(24-6)*(TRUNC(MOD(($Z886*1103515245 +12345)/ 65536, 32768),0)/32768),0))</f>
        <v>14</v>
      </c>
      <c r="J886" s="16" t="e">
        <f t="shared" ca="1" si="50"/>
        <v>#NAME?</v>
      </c>
      <c r="K886" s="153">
        <f ca="1">VLOOKUP($AB$2,'RF Mod'!$A$2:$G$12,3,FALSE)+VLOOKUP($AD$2,'RF Mod'!$I$2:$O$11,3,FALSE)+(TRUNC(6+(24-6)*(TRUNC(MOD(($Z886*1103515245 +12345)/ 65536, 32768),0)/32768),0))</f>
        <v>14</v>
      </c>
      <c r="L886" s="16" t="e">
        <f t="shared" ca="1" si="51"/>
        <v>#NAME?</v>
      </c>
      <c r="M886" s="153">
        <f ca="1">VLOOKUP($AB$2,'RF Mod'!$A$2:$G$12,4,FALSE)+VLOOKUP($AD$2,'RF Mod'!$I$2:$O$11,4,FALSE)+(TRUNC(6+(24-6)*(TRUNC(MOD(($Z886*1103515245 +12345)/ 65536, 32768),0)/32768),0))</f>
        <v>13</v>
      </c>
      <c r="N886" s="16" t="e">
        <f t="shared" ca="1" si="52"/>
        <v>#NAME?</v>
      </c>
      <c r="O886" s="153">
        <f ca="1">VLOOKUP($AB$2,'RF Mod'!$A$2:$G$12,5,FALSE)+VLOOKUP($AD$2,'RF Mod'!$I$2:$O$11,5,FALSE)+(TRUNC(6+(24-6)*(TRUNC(MOD(($Z886*1103515245 +12345)/ 65536, 32768),0)/32768),0))</f>
        <v>16</v>
      </c>
      <c r="P886" s="16" t="e">
        <f t="shared" ca="1" si="53"/>
        <v>#NAME?</v>
      </c>
      <c r="Q886" s="153">
        <f ca="1">VLOOKUP($AB$2,'RF Mod'!$A$2:$G$12,6,FALSE)+VLOOKUP($AD$2,'RF Mod'!$I$2:$O$11,6,FALSE)+(TRUNC(6+(24-6)*(TRUNC(MOD(($Z886*1103515245 +12345)/ 65536, 32768),0)/32768),0))</f>
        <v>14</v>
      </c>
      <c r="R886" s="16" t="e">
        <f t="shared" ca="1" si="54"/>
        <v>#NAME?</v>
      </c>
      <c r="S886" s="154">
        <f t="shared" ca="1" si="59"/>
        <v>144</v>
      </c>
      <c r="T886" s="154">
        <f t="shared" ca="1" si="55"/>
        <v>25</v>
      </c>
      <c r="U886" s="16" t="str">
        <f t="shared" ca="1" si="56"/>
        <v>Fine</v>
      </c>
      <c r="V886" s="155">
        <f ca="1">IFERROR(__xludf.DUMMYFUNCTION("if(W886=""Middle Age"",QUERY(NPCVar!$K$2:$N1000, ""Select L where K = '""&amp;AB886&amp;""'""),if(W886=""Old"",QUERY(NPCVar!$K$2:$N1000, ""Select M where K = '""&amp;AB886&amp;""'""),if(W886=""Venerable"",QUERY(NPCVar!$K$2:$N1000, ""Select N where K = '""&amp;AB886&amp;""'""),fa"&amp;"lse)))*X886"),153)</f>
        <v>153</v>
      </c>
      <c r="W886" s="156" t="str">
        <f t="array" ref="W886">INDEX(NPCAgeType,TRUNC(1+(4-1)*(TRUNC(MOD((X886*1103515245 +12345)/ 65536, 32768),0)/32768),0))</f>
        <v>Venerable</v>
      </c>
      <c r="X886" s="117">
        <f t="shared" si="61"/>
        <v>1.7</v>
      </c>
      <c r="Y886" s="157" t="e">
        <f t="array" aca="1" ref="Y886" ca="1">LOOKUP(ABS(MAX(Z886 + MIN(ABS(INDIRECT("Class Jobs!B"&amp;MATCH(E886,'Class Jobs'!$A$1:$A1000,0)&amp;":"&amp;"AF"&amp;MATCH(E886,'Class Jobs'!$A$1:$A1000,0)&amp;"")-$Z886)) * SUM(IF(MIN(ABS(INDIRECT("Class Jobs!B"&amp;MATCH(E886,'Class Jobs'!$A$1:$A1000,0)&amp;":"&amp;"AF"&amp;MATCH(E886,'Class Jobs'!$A$1:$A1000,0)&amp;"")-$Z886))=ABS(INDIRECT("Class Jobs!B"&amp;MATCH(E886,'Class Jobs'!$A$1:$A1000,0)&amp;":"&amp;"AF"&amp;MATCH(E886,'Class Jobs'!$A$1:$A1000,0)&amp;"")-$Z886),SIGN(INDIRECT("Class Jobs!B"&amp;MATCH(E886,'Class Jobs'!$A$1:A1000,0)&amp;":"&amp;"AF"&amp;MATCH(E886,'Class Jobs'!$A$1:$A1000,0)&amp;"")-$Z886),0)),0)),INDIRECT("Class Jobs!B"&amp;MATCH(E886,'Class Jobs'!$A$1:$A1000,0)&amp;":"&amp;"AF"&amp;MATCH(E886,'Class Jobs'!$A$1:$A1000,1)&amp;""),'Class Jobs'!$B$1:$AF$1)</f>
        <v>#REF!</v>
      </c>
      <c r="Z886" s="158">
        <f t="shared" si="57"/>
        <v>0.67</v>
      </c>
      <c r="AA886" s="16" t="str">
        <f t="array" ref="AA886">INDEX(NPCGender,TRUNC(1+(COUNTA(NPCGender))*(TRUNC(MOD(($B886*1103515245 +12345)/ 65536, 32768),0)/32768),0))</f>
        <v>Neutral</v>
      </c>
      <c r="AB886" s="16" t="str">
        <f t="array" ref="AB886">INDEX(NPCRace,TRUNC(1+(COUNTA(NPCRace))*(TRUNC(MOD(($B886*1103515245 +12345)/ 65536, 32768),0)/32768),0))</f>
        <v>Human</v>
      </c>
      <c r="AC886" s="16" t="str">
        <f t="array" ref="AC886">INDEX(NPCAL,TRUNC(1+(COUNTA(NPCAL))*(TRUNC(MOD(($B886*1103515245 +12345)/ 65536, 32768),0)/32768),0))</f>
        <v>LG</v>
      </c>
      <c r="AD886" s="72" t="str">
        <f ca="1">IFERROR(__xludf.DUMMYFUNCTION("if(V886&lt;15,QUERY(NPCVar!C:D,""Select D WHERE C = '""&amp;D886&amp;""'""),if((TRUNC(1+10)*(TRUNC(MOD((ROW(H886)*1103515245 +12345)/ 65536, 32768),0)/32768)/10) &gt; 0.85,INDEX(NPCFaction,TRUNC(1+(counta(NPCFaction)-1)*(TRUNC(MOD(($B886*1103515245 +12345)/ 65536, 3276"&amp;"8),0)/32768),0)),QUERY(NPCVar!C:D,""Select D WHERE C = '""&amp;D886&amp;""'"")))"),"Adventures Guild")</f>
        <v>Adventures Guild</v>
      </c>
      <c r="AE886" s="108" t="e">
        <f t="shared" ca="1" si="58"/>
        <v>#NAME?</v>
      </c>
      <c r="AF886" s="159">
        <f ca="1">IFERROR(__xludf.DUMMYFUNCTION("AE886*(V886 / QUERY(NPCVar!$K$2:$N$12, ""Select N WHERE K='""&amp;AB886&amp;""'""))*TRUNC(1+10)*(TRUNC(MOD(($B886*1103515245 +12345)/ 65536, 32768),0)/32768)"),9.99737792968749)</f>
        <v>9.9973779296874898</v>
      </c>
      <c r="AG886" s="16"/>
      <c r="AH886" s="77"/>
      <c r="AI886" s="114"/>
    </row>
    <row r="887" spans="1:35" ht="16.2">
      <c r="A887" s="53">
        <v>886</v>
      </c>
      <c r="B887" s="118">
        <f t="shared" si="62"/>
        <v>0.29457</v>
      </c>
      <c r="C887" s="72" t="str">
        <f t="array" ref="C887">INDEX(NPCFName,TRUNC(1+(COUNTA(NPCFName))*(TRUNC(MOD(($B887*1103515245 +12345)/ 65536, 32768),0)/32768),0))</f>
        <v>Jex</v>
      </c>
      <c r="D887" s="16" t="str">
        <f t="array" ref="D887">INDEX(NPCLName,TRUNC(1+(COUNTA(NPCLName))*(TRUNC(MOD(($B887*1103515245 +12345)/ 65536, 32768),0)/32768),0))</f>
        <v>Fistwing</v>
      </c>
      <c r="E887" s="16" t="str">
        <f t="array" ref="E887">INDEX(NPCClass,TRUNC(1+(COUNTA(NPCClass))*(TRUNC(MOD(($B887*1103515245 +12345)/ 65536, 32768),0)/32768),0))</f>
        <v>Bard</v>
      </c>
      <c r="F887" s="76">
        <v>1</v>
      </c>
      <c r="G887" s="153">
        <f ca="1">VLOOKUP($AB$2,'RF Mod'!$A$2:$G$12,2,FALSE)+VLOOKUP($AD$2,'RF Mod'!$I$2:$O$11,2,FALSE)+(TRUNC(6+(24-6)*(TRUNC(MOD(($Z887*1103515245 +12345)/ 65536, 32768),0)/32768),0))</f>
        <v>5</v>
      </c>
      <c r="H887" s="16">
        <f t="shared" ca="1" si="49"/>
        <v>-3</v>
      </c>
      <c r="I887" s="153">
        <f ca="1">VLOOKUP($AB$2,'RF Mod'!$A$2:$G$12,3,FALSE)+VLOOKUP($AD$2,'RF Mod'!$I$2:$O$11,3,FALSE)+(TRUNC(6+(24-6)*(TRUNC(MOD(($Z887*1103515245 +12345)/ 65536, 32768),0)/32768),0))</f>
        <v>9</v>
      </c>
      <c r="J887" s="16">
        <f t="shared" ca="1" si="50"/>
        <v>-1</v>
      </c>
      <c r="K887" s="153">
        <f ca="1">VLOOKUP($AB$2,'RF Mod'!$A$2:$G$12,3,FALSE)+VLOOKUP($AD$2,'RF Mod'!$I$2:$O$11,3,FALSE)+(TRUNC(6+(24-6)*(TRUNC(MOD(($Z887*1103515245 +12345)/ 65536, 32768),0)/32768),0))</f>
        <v>9</v>
      </c>
      <c r="L887" s="16">
        <f t="shared" ca="1" si="51"/>
        <v>-1</v>
      </c>
      <c r="M887" s="153">
        <f ca="1">VLOOKUP($AB$2,'RF Mod'!$A$2:$G$12,4,FALSE)+VLOOKUP($AD$2,'RF Mod'!$I$2:$O$11,4,FALSE)+(TRUNC(6+(24-6)*(TRUNC(MOD(($Z887*1103515245 +12345)/ 65536, 32768),0)/32768),0))</f>
        <v>8</v>
      </c>
      <c r="N887" s="16">
        <f t="shared" ca="1" si="52"/>
        <v>-1</v>
      </c>
      <c r="O887" s="153">
        <f ca="1">VLOOKUP($AB$2,'RF Mod'!$A$2:$G$12,5,FALSE)+VLOOKUP($AD$2,'RF Mod'!$I$2:$O$11,5,FALSE)+(TRUNC(6+(24-6)*(TRUNC(MOD(($Z887*1103515245 +12345)/ 65536, 32768),0)/32768),0))</f>
        <v>11</v>
      </c>
      <c r="P887" s="16" t="e">
        <f t="shared" ca="1" si="53"/>
        <v>#NAME?</v>
      </c>
      <c r="Q887" s="153">
        <f ca="1">VLOOKUP($AB$2,'RF Mod'!$A$2:$G$12,6,FALSE)+VLOOKUP($AD$2,'RF Mod'!$I$2:$O$11,6,FALSE)+(TRUNC(6+(24-6)*(TRUNC(MOD(($Z887*1103515245 +12345)/ 65536, 32768),0)/32768),0))</f>
        <v>9</v>
      </c>
      <c r="R887" s="16">
        <f t="shared" ca="1" si="54"/>
        <v>-1</v>
      </c>
      <c r="S887" s="154">
        <f t="shared" ca="1" si="59"/>
        <v>11</v>
      </c>
      <c r="T887" s="154">
        <f t="shared" ca="1" si="55"/>
        <v>1</v>
      </c>
      <c r="U887" s="16" t="str">
        <f t="shared" ca="1" si="56"/>
        <v>Fine</v>
      </c>
      <c r="V887" s="155">
        <f ca="1">IFERROR(__xludf.DUMMYFUNCTION("if(W887=""Middle Age"",QUERY(NPCVar!$K$2:$N1000, ""Select L where K = '""&amp;AB887&amp;""'""),if(W887=""Old"",QUERY(NPCVar!$K$2:$N1000, ""Select M where K = '""&amp;AB887&amp;""'""),if(W887=""Venerable"",QUERY(NPCVar!$K$2:$N1000, ""Select N where K = '""&amp;AB887&amp;""'""),fa"&amp;"lse)))*X887"),32)</f>
        <v>32</v>
      </c>
      <c r="W887" s="156" t="str">
        <f t="array" ref="W887">INDEX(NPCAgeType,TRUNC(1+(4-1)*(TRUNC(MOD((X887*1103515245 +12345)/ 65536, 32768),0)/32768),0))</f>
        <v>Middle Age</v>
      </c>
      <c r="X887" s="117">
        <f t="shared" si="61"/>
        <v>0.4</v>
      </c>
      <c r="Y887" s="157" t="e">
        <f t="array" aca="1" ref="Y887" ca="1">LOOKUP(ABS(MAX(Z887 + MIN(ABS(INDIRECT("Class Jobs!B"&amp;MATCH(E887,'Class Jobs'!$A$1:$A1000,0)&amp;":"&amp;"AF"&amp;MATCH(E887,'Class Jobs'!$A$1:$A1000,0)&amp;"")-$Z887)) * SUM(IF(MIN(ABS(INDIRECT("Class Jobs!B"&amp;MATCH(E887,'Class Jobs'!$A$1:$A1000,0)&amp;":"&amp;"AF"&amp;MATCH(E887,'Class Jobs'!$A$1:$A1000,0)&amp;"")-$Z887))=ABS(INDIRECT("Class Jobs!B"&amp;MATCH(E887,'Class Jobs'!$A$1:$A1000,0)&amp;":"&amp;"AF"&amp;MATCH(E887,'Class Jobs'!$A$1:$A1000,0)&amp;"")-$Z887),SIGN(INDIRECT("Class Jobs!B"&amp;MATCH(E887,'Class Jobs'!$A$1:A1000,0)&amp;":"&amp;"AF"&amp;MATCH(E887,'Class Jobs'!$A$1:$A1000,0)&amp;"")-$Z887),0)),0)),INDIRECT("Class Jobs!B"&amp;MATCH(E887,'Class Jobs'!$A$1:$A1000,0)&amp;":"&amp;"AF"&amp;MATCH(E887,'Class Jobs'!$A$1:$A1000,1)&amp;""),'Class Jobs'!$B$1:$AF$1)</f>
        <v>#REF!</v>
      </c>
      <c r="Z887" s="158">
        <f t="shared" si="57"/>
        <v>0.15</v>
      </c>
      <c r="AA887" s="16" t="str">
        <f t="array" ref="AA887">INDEX(NPCGender,TRUNC(1+(COUNTA(NPCGender))*(TRUNC(MOD(($B887*1103515245 +12345)/ 65536, 32768),0)/32768),0))</f>
        <v>Male</v>
      </c>
      <c r="AB887" s="16" t="str">
        <f t="array" ref="AB887">INDEX(NPCRace,TRUNC(1+(COUNTA(NPCRace))*(TRUNC(MOD(($B887*1103515245 +12345)/ 65536, 32768),0)/32768),0))</f>
        <v>Dwarf</v>
      </c>
      <c r="AC887" s="16" t="str">
        <f t="array" ref="AC887">INDEX(NPCAL,TRUNC(1+(COUNTA(NPCAL))*(TRUNC(MOD(($B887*1103515245 +12345)/ 65536, 32768),0)/32768),0))</f>
        <v>CE</v>
      </c>
      <c r="AD887" s="72" t="str">
        <f ca="1">IFERROR(__xludf.DUMMYFUNCTION("if(V887&lt;15,QUERY(NPCVar!C:D,""Select D WHERE C = '""&amp;D887&amp;""'""),if((TRUNC(1+10)*(TRUNC(MOD((ROW(H887)*1103515245 +12345)/ 65536, 32768),0)/32768)/10) &gt; 0.85,INDEX(NPCFaction,TRUNC(1+(counta(NPCFaction)-1)*(TRUNC(MOD(($B887*1103515245 +12345)/ 65536, 3276"&amp;"8),0)/32768),0)),QUERY(NPCVar!C:D,""Select D WHERE C = '""&amp;D887&amp;""'"")))"),"Necromancer")</f>
        <v>Necromancer</v>
      </c>
      <c r="AE887" s="108" t="e">
        <f t="shared" ca="1" si="58"/>
        <v>#NAME?</v>
      </c>
      <c r="AF887" s="159">
        <f ca="1">IFERROR(__xludf.DUMMYFUNCTION("AE887*(V887 / QUERY(NPCVar!$K$2:$N$12, ""Select N WHERE K='""&amp;AB887&amp;""'""))*TRUNC(1+10)*(TRUNC(MOD(($B887*1103515245 +12345)/ 65536, 32768),0)/32768)"),0)</f>
        <v>0</v>
      </c>
      <c r="AG887" s="16"/>
      <c r="AH887" s="77"/>
      <c r="AI887" s="114"/>
    </row>
    <row r="888" spans="1:35" ht="16.2">
      <c r="A888" s="53">
        <v>887</v>
      </c>
      <c r="B888" s="118">
        <f t="shared" si="62"/>
        <v>1.78871</v>
      </c>
      <c r="C888" s="72" t="str">
        <f t="array" ref="C888">INDEX(NPCFName,TRUNC(1+(COUNTA(NPCFName))*(TRUNC(MOD(($B888*1103515245 +12345)/ 65536, 32768),0)/32768),0))</f>
        <v>Rythen</v>
      </c>
      <c r="D888" s="16" t="str">
        <f t="array" ref="D888">INDEX(NPCLName,TRUNC(1+(COUNTA(NPCLName))*(TRUNC(MOD(($B888*1103515245 +12345)/ 65536, 32768),0)/32768),0))</f>
        <v>Stormwolf</v>
      </c>
      <c r="E888" s="16" t="str">
        <f t="array" ref="E888">INDEX(NPCClass,TRUNC(1+(COUNTA(NPCClass))*(TRUNC(MOD(($B888*1103515245 +12345)/ 65536, 32768),0)/32768),0))</f>
        <v>Wizard</v>
      </c>
      <c r="F888" s="76">
        <v>8</v>
      </c>
      <c r="G888" s="153">
        <f ca="1">VLOOKUP($AB$2,'RF Mod'!$A$2:$G$12,2,FALSE)+VLOOKUP($AD$2,'RF Mod'!$I$2:$O$11,2,FALSE)+(TRUNC(6+(24-6)*(TRUNC(MOD(($Z888*1103515245 +12345)/ 65536, 32768),0)/32768),0))</f>
        <v>12</v>
      </c>
      <c r="H888" s="16" t="e">
        <f t="shared" ca="1" si="49"/>
        <v>#NAME?</v>
      </c>
      <c r="I888" s="153">
        <f ca="1">VLOOKUP($AB$2,'RF Mod'!$A$2:$G$12,3,FALSE)+VLOOKUP($AD$2,'RF Mod'!$I$2:$O$11,3,FALSE)+(TRUNC(6+(24-6)*(TRUNC(MOD(($Z888*1103515245 +12345)/ 65536, 32768),0)/32768),0))</f>
        <v>16</v>
      </c>
      <c r="J888" s="16" t="e">
        <f t="shared" ca="1" si="50"/>
        <v>#NAME?</v>
      </c>
      <c r="K888" s="153">
        <f ca="1">VLOOKUP($AB$2,'RF Mod'!$A$2:$G$12,3,FALSE)+VLOOKUP($AD$2,'RF Mod'!$I$2:$O$11,3,FALSE)+(TRUNC(6+(24-6)*(TRUNC(MOD(($Z888*1103515245 +12345)/ 65536, 32768),0)/32768),0))</f>
        <v>16</v>
      </c>
      <c r="L888" s="16" t="e">
        <f t="shared" ca="1" si="51"/>
        <v>#NAME?</v>
      </c>
      <c r="M888" s="153">
        <f ca="1">VLOOKUP($AB$2,'RF Mod'!$A$2:$G$12,4,FALSE)+VLOOKUP($AD$2,'RF Mod'!$I$2:$O$11,4,FALSE)+(TRUNC(6+(24-6)*(TRUNC(MOD(($Z888*1103515245 +12345)/ 65536, 32768),0)/32768),0))</f>
        <v>15</v>
      </c>
      <c r="N888" s="16" t="e">
        <f t="shared" ca="1" si="52"/>
        <v>#NAME?</v>
      </c>
      <c r="O888" s="153">
        <f ca="1">VLOOKUP($AB$2,'RF Mod'!$A$2:$G$12,5,FALSE)+VLOOKUP($AD$2,'RF Mod'!$I$2:$O$11,5,FALSE)+(TRUNC(6+(24-6)*(TRUNC(MOD(($Z888*1103515245 +12345)/ 65536, 32768),0)/32768),0))</f>
        <v>18</v>
      </c>
      <c r="P888" s="16" t="e">
        <f t="shared" ca="1" si="53"/>
        <v>#NAME?</v>
      </c>
      <c r="Q888" s="153">
        <f ca="1">VLOOKUP($AB$2,'RF Mod'!$A$2:$G$12,6,FALSE)+VLOOKUP($AD$2,'RF Mod'!$I$2:$O$11,6,FALSE)+(TRUNC(6+(24-6)*(TRUNC(MOD(($Z888*1103515245 +12345)/ 65536, 32768),0)/32768),0))</f>
        <v>16</v>
      </c>
      <c r="R888" s="16" t="e">
        <f t="shared" ca="1" si="54"/>
        <v>#NAME?</v>
      </c>
      <c r="S888" s="154">
        <f t="shared" ca="1" si="59"/>
        <v>240</v>
      </c>
      <c r="T888" s="154">
        <f t="shared" ca="1" si="55"/>
        <v>148</v>
      </c>
      <c r="U888" s="16" t="str">
        <f t="shared" ca="1" si="56"/>
        <v>Bloody</v>
      </c>
      <c r="V888" s="155">
        <f ca="1">IFERROR(__xludf.DUMMYFUNCTION("if(W888=""Middle Age"",QUERY(NPCVar!$K$2:$N1000, ""Select L where K = '""&amp;AB888&amp;""'""),if(W888=""Old"",QUERY(NPCVar!$K$2:$N1000, ""Select M where K = '""&amp;AB888&amp;""'""),if(W888=""Venerable"",QUERY(NPCVar!$K$2:$N1000, ""Select N where K = '""&amp;AB888&amp;""'""),fa"&amp;"lse)))*X888"),69)</f>
        <v>69</v>
      </c>
      <c r="W888" s="156" t="str">
        <f t="array" ref="W888">INDEX(NPCAgeType,TRUNC(1+(4-1)*(TRUNC(MOD((X888*1103515245 +12345)/ 65536, 32768),0)/32768),0))</f>
        <v>Middle Age</v>
      </c>
      <c r="X888" s="117">
        <f t="shared" si="61"/>
        <v>2.2999999999999998</v>
      </c>
      <c r="Y888" s="157" t="e">
        <f t="array" aca="1" ref="Y888" ca="1">LOOKUP(ABS(MAX(Z888 + MIN(ABS(INDIRECT("Class Jobs!B"&amp;MATCH(E888,'Class Jobs'!$A$1:$A1000,0)&amp;":"&amp;"AF"&amp;MATCH(E888,'Class Jobs'!$A$1:$A1000,0)&amp;"")-$Z888)) * SUM(IF(MIN(ABS(INDIRECT("Class Jobs!B"&amp;MATCH(E888,'Class Jobs'!$A$1:$A1000,0)&amp;":"&amp;"AF"&amp;MATCH(E888,'Class Jobs'!$A$1:$A1000,0)&amp;"")-$Z888))=ABS(INDIRECT("Class Jobs!B"&amp;MATCH(E888,'Class Jobs'!$A$1:$A1000,0)&amp;":"&amp;"AF"&amp;MATCH(E888,'Class Jobs'!$A$1:$A1000,0)&amp;"")-$Z888),SIGN(INDIRECT("Class Jobs!B"&amp;MATCH(E888,'Class Jobs'!$A$1:A1000,0)&amp;":"&amp;"AF"&amp;MATCH(E888,'Class Jobs'!$A$1:$A1000,0)&amp;"")-$Z888),0)),0)),INDIRECT("Class Jobs!B"&amp;MATCH(E888,'Class Jobs'!$A$1:$A1000,0)&amp;":"&amp;"AF"&amp;MATCH(E888,'Class Jobs'!$A$1:$A1000,1)&amp;""),'Class Jobs'!$B$1:$AF$1)</f>
        <v>#REF!</v>
      </c>
      <c r="Z888" s="158">
        <f t="shared" si="57"/>
        <v>0.91</v>
      </c>
      <c r="AA888" s="16" t="str">
        <f t="array" ref="AA888">INDEX(NPCGender,TRUNC(1+(COUNTA(NPCGender))*(TRUNC(MOD(($B888*1103515245 +12345)/ 65536, 32768),0)/32768),0))</f>
        <v>Neutral</v>
      </c>
      <c r="AB888" s="16" t="str">
        <f t="array" ref="AB888">INDEX(NPCRace,TRUNC(1+(COUNTA(NPCRace))*(TRUNC(MOD(($B888*1103515245 +12345)/ 65536, 32768),0)/32768),0))</f>
        <v>Goliath</v>
      </c>
      <c r="AC888" s="16" t="str">
        <f t="array" ref="AC888">INDEX(NPCAL,TRUNC(1+(COUNTA(NPCAL))*(TRUNC(MOD(($B888*1103515245 +12345)/ 65536, 32768),0)/32768),0))</f>
        <v>LE</v>
      </c>
      <c r="AD888" s="72" t="str">
        <f ca="1">IFERROR(__xludf.DUMMYFUNCTION("if(V888&lt;15,QUERY(NPCVar!C:D,""Select D WHERE C = '""&amp;D888&amp;""'""),if((TRUNC(1+10)*(TRUNC(MOD((ROW(H888)*1103515245 +12345)/ 65536, 32768),0)/32768)/10) &gt; 0.85,INDEX(NPCFaction,TRUNC(1+(counta(NPCFaction)-1)*(TRUNC(MOD(($B888*1103515245 +12345)/ 65536, 3276"&amp;"8),0)/32768),0)),QUERY(NPCVar!C:D,""Select D WHERE C = '""&amp;D888&amp;""'"")))"),"Followers of Isis")</f>
        <v>Followers of Isis</v>
      </c>
      <c r="AE888" s="108" t="e">
        <f t="shared" ca="1" si="58"/>
        <v>#NAME?</v>
      </c>
      <c r="AF888" s="159">
        <f ca="1">IFERROR(__xludf.DUMMYFUNCTION("AE888*(V888 / QUERY(NPCVar!$K$2:$N$12, ""Select N WHERE K='""&amp;AB888&amp;""'""))*TRUNC(1+10)*(TRUNC(MOD(($B888*1103515245 +12345)/ 65536, 32768),0)/32768)"),5.23231224060058)</f>
        <v>5.2323122406005798</v>
      </c>
      <c r="AG888" s="16"/>
      <c r="AH888" s="77"/>
      <c r="AI888" s="114"/>
    </row>
    <row r="889" spans="1:35" ht="16.2">
      <c r="A889" s="53">
        <v>888</v>
      </c>
      <c r="B889" s="118">
        <f t="shared" si="62"/>
        <v>0.78285000000000005</v>
      </c>
      <c r="C889" s="72" t="str">
        <f t="array" ref="C889">INDEX(NPCFName,TRUNC(1+(COUNTA(NPCFName))*(TRUNC(MOD(($B889*1103515245 +12345)/ 65536, 32768),0)/32768),0))</f>
        <v>Darko</v>
      </c>
      <c r="D889" s="16" t="str">
        <f t="array" ref="D889">INDEX(NPCLName,TRUNC(1+(COUNTA(NPCLName))*(TRUNC(MOD(($B889*1103515245 +12345)/ 65536, 32768),0)/32768),0))</f>
        <v>Windshade</v>
      </c>
      <c r="E889" s="16" t="str">
        <f t="array" ref="E889">INDEX(NPCClass,TRUNC(1+(COUNTA(NPCClass))*(TRUNC(MOD(($B889*1103515245 +12345)/ 65536, 32768),0)/32768),0))</f>
        <v>Paladin</v>
      </c>
      <c r="F889" s="76">
        <v>5</v>
      </c>
      <c r="G889" s="153">
        <f ca="1">VLOOKUP($AB$2,'RF Mod'!$A$2:$G$12,2,FALSE)+VLOOKUP($AD$2,'RF Mod'!$I$2:$O$11,2,FALSE)+(TRUNC(6+(24-6)*(TRUNC(MOD(($Z889*1103515245 +12345)/ 65536, 32768),0)/32768),0))</f>
        <v>7</v>
      </c>
      <c r="H889" s="16">
        <f t="shared" ca="1" si="49"/>
        <v>-2</v>
      </c>
      <c r="I889" s="153">
        <f ca="1">VLOOKUP($AB$2,'RF Mod'!$A$2:$G$12,3,FALSE)+VLOOKUP($AD$2,'RF Mod'!$I$2:$O$11,3,FALSE)+(TRUNC(6+(24-6)*(TRUNC(MOD(($Z889*1103515245 +12345)/ 65536, 32768),0)/32768),0))</f>
        <v>11</v>
      </c>
      <c r="J889" s="16" t="e">
        <f t="shared" ca="1" si="50"/>
        <v>#NAME?</v>
      </c>
      <c r="K889" s="153">
        <f ca="1">VLOOKUP($AB$2,'RF Mod'!$A$2:$G$12,3,FALSE)+VLOOKUP($AD$2,'RF Mod'!$I$2:$O$11,3,FALSE)+(TRUNC(6+(24-6)*(TRUNC(MOD(($Z889*1103515245 +12345)/ 65536, 32768),0)/32768),0))</f>
        <v>11</v>
      </c>
      <c r="L889" s="16" t="e">
        <f t="shared" ca="1" si="51"/>
        <v>#NAME?</v>
      </c>
      <c r="M889" s="153">
        <f ca="1">VLOOKUP($AB$2,'RF Mod'!$A$2:$G$12,4,FALSE)+VLOOKUP($AD$2,'RF Mod'!$I$2:$O$11,4,FALSE)+(TRUNC(6+(24-6)*(TRUNC(MOD(($Z889*1103515245 +12345)/ 65536, 32768),0)/32768),0))</f>
        <v>10</v>
      </c>
      <c r="N889" s="16" t="e">
        <f t="shared" ca="1" si="52"/>
        <v>#NAME?</v>
      </c>
      <c r="O889" s="153">
        <f ca="1">VLOOKUP($AB$2,'RF Mod'!$A$2:$G$12,5,FALSE)+VLOOKUP($AD$2,'RF Mod'!$I$2:$O$11,5,FALSE)+(TRUNC(6+(24-6)*(TRUNC(MOD(($Z889*1103515245 +12345)/ 65536, 32768),0)/32768),0))</f>
        <v>13</v>
      </c>
      <c r="P889" s="16" t="e">
        <f t="shared" ca="1" si="53"/>
        <v>#NAME?</v>
      </c>
      <c r="Q889" s="153">
        <f ca="1">VLOOKUP($AB$2,'RF Mod'!$A$2:$G$12,6,FALSE)+VLOOKUP($AD$2,'RF Mod'!$I$2:$O$11,6,FALSE)+(TRUNC(6+(24-6)*(TRUNC(MOD(($Z889*1103515245 +12345)/ 65536, 32768),0)/32768),0))</f>
        <v>11</v>
      </c>
      <c r="R889" s="16" t="e">
        <f t="shared" ca="1" si="54"/>
        <v>#NAME?</v>
      </c>
      <c r="S889" s="154">
        <f t="shared" ca="1" si="59"/>
        <v>75</v>
      </c>
      <c r="T889" s="154">
        <f t="shared" ca="1" si="55"/>
        <v>5</v>
      </c>
      <c r="U889" s="16" t="str">
        <f t="shared" ca="1" si="56"/>
        <v>Fine</v>
      </c>
      <c r="V889" s="155">
        <f ca="1">IFERROR(__xludf.DUMMYFUNCTION("if(W889=""Middle Age"",QUERY(NPCVar!$K$2:$N1000, ""Select L where K = '""&amp;AB889&amp;""'""),if(W889=""Old"",QUERY(NPCVar!$K$2:$N1000, ""Select M where K = '""&amp;AB889&amp;""'""),if(W889=""Venerable"",QUERY(NPCVar!$K$2:$N1000, ""Select N where K = '""&amp;AB889&amp;""'""),fa"&amp;"lse)))*X889"),67.5)</f>
        <v>67.5</v>
      </c>
      <c r="W889" s="156" t="str">
        <f t="array" ref="W889">INDEX(NPCAgeType,TRUNC(1+(4-1)*(TRUNC(MOD((X889*1103515245 +12345)/ 65536, 32768),0)/32768),0))</f>
        <v>Old</v>
      </c>
      <c r="X889" s="117">
        <f t="shared" si="61"/>
        <v>1</v>
      </c>
      <c r="Y889" s="157" t="e">
        <f t="array" aca="1" ref="Y889" ca="1">LOOKUP(ABS(MAX(Z889 + MIN(ABS(INDIRECT("Class Jobs!B"&amp;MATCH(E889,'Class Jobs'!$A$1:$A1000,0)&amp;":"&amp;"AF"&amp;MATCH(E889,'Class Jobs'!$A$1:$A1000,0)&amp;"")-$Z889)) * SUM(IF(MIN(ABS(INDIRECT("Class Jobs!B"&amp;MATCH(E889,'Class Jobs'!$A$1:$A1000,0)&amp;":"&amp;"AF"&amp;MATCH(E889,'Class Jobs'!$A$1:$A1000,0)&amp;"")-$Z889))=ABS(INDIRECT("Class Jobs!B"&amp;MATCH(E889,'Class Jobs'!$A$1:$A1000,0)&amp;":"&amp;"AF"&amp;MATCH(E889,'Class Jobs'!$A$1:$A1000,0)&amp;"")-$Z889),SIGN(INDIRECT("Class Jobs!B"&amp;MATCH(E889,'Class Jobs'!$A$1:A1000,0)&amp;":"&amp;"AF"&amp;MATCH(E889,'Class Jobs'!$A$1:$A1000,0)&amp;"")-$Z889),0)),0)),INDIRECT("Class Jobs!B"&amp;MATCH(E889,'Class Jobs'!$A$1:$A1000,0)&amp;":"&amp;"AF"&amp;MATCH(E889,'Class Jobs'!$A$1:$A1000,1)&amp;""),'Class Jobs'!$B$1:$AF$1)</f>
        <v>#REF!</v>
      </c>
      <c r="Z889" s="158">
        <f t="shared" si="57"/>
        <v>0.4</v>
      </c>
      <c r="AA889" s="16" t="str">
        <f t="array" ref="AA889">INDEX(NPCGender,TRUNC(1+(COUNTA(NPCGender))*(TRUNC(MOD(($B889*1103515245 +12345)/ 65536, 32768),0)/32768),0))</f>
        <v>Female</v>
      </c>
      <c r="AB889" s="16" t="str">
        <f t="array" ref="AB889">INDEX(NPCRace,TRUNC(1+(COUNTA(NPCRace))*(TRUNC(MOD(($B889*1103515245 +12345)/ 65536, 32768),0)/32768),0))</f>
        <v>Half-Elf</v>
      </c>
      <c r="AC889" s="16" t="str">
        <f t="array" ref="AC889">INDEX(NPCAL,TRUNC(1+(COUNTA(NPCAL))*(TRUNC(MOD(($B889*1103515245 +12345)/ 65536, 32768),0)/32768),0))</f>
        <v>NG</v>
      </c>
      <c r="AD889" s="72" t="str">
        <f ca="1">IFERROR(__xludf.DUMMYFUNCTION("if(V889&lt;15,QUERY(NPCVar!C:D,""Select D WHERE C = '""&amp;D889&amp;""'""),if((TRUNC(1+10)*(TRUNC(MOD((ROW(H889)*1103515245 +12345)/ 65536, 32768),0)/32768)/10) &gt; 0.85,INDEX(NPCFaction,TRUNC(1+(counta(NPCFaction)-1)*(TRUNC(MOD(($B889*1103515245 +12345)/ 65536, 3276"&amp;"8),0)/32768),0)),QUERY(NPCVar!C:D,""Select D WHERE C = '""&amp;D889&amp;""'"")))"),"Adventures Guild")</f>
        <v>Adventures Guild</v>
      </c>
      <c r="AE889" s="108" t="e">
        <f t="shared" ca="1" si="58"/>
        <v>#NAME?</v>
      </c>
      <c r="AF889" s="159">
        <f ca="1">IFERROR(__xludf.DUMMYFUNCTION("AE889*(V889 / QUERY(NPCVar!$K$2:$N$12, ""Select N WHERE K='""&amp;AB889&amp;""'""))*TRUNC(1+10)*(TRUNC(MOD(($B889*1103515245 +12345)/ 65536, 32768),0)/32768)"),0.331883239746093)</f>
        <v>0.33188323974609302</v>
      </c>
      <c r="AG889" s="16"/>
      <c r="AH889" s="77"/>
      <c r="AI889" s="114"/>
    </row>
    <row r="890" spans="1:35" ht="16.2">
      <c r="A890" s="53">
        <v>889</v>
      </c>
      <c r="B890" s="118">
        <f t="shared" si="62"/>
        <v>2.2769900000000001</v>
      </c>
      <c r="C890" s="72" t="str">
        <f t="array" ref="C890">INDEX(NPCFName,TRUNC(1+(COUNTA(NPCFName))*(TRUNC(MOD(($B890*1103515245 +12345)/ 65536, 32768),0)/32768),0))</f>
        <v>Lafornon</v>
      </c>
      <c r="D890" s="16" t="str">
        <f t="array" ref="D890">INDEX(NPCLName,TRUNC(1+(COUNTA(NPCLName))*(TRUNC(MOD(($B890*1103515245 +12345)/ 65536, 32768),0)/32768),0))</f>
        <v>Ashcloud</v>
      </c>
      <c r="E890" s="16" t="str">
        <f t="array" ref="E890">INDEX(NPCClass,TRUNC(1+(COUNTA(NPCClass))*(TRUNC(MOD(($B890*1103515245 +12345)/ 65536, 32768),0)/32768),0))</f>
        <v>Druid</v>
      </c>
      <c r="F890" s="76">
        <v>1</v>
      </c>
      <c r="G890" s="153">
        <f ca="1">VLOOKUP($AB$2,'RF Mod'!$A$2:$G$12,2,FALSE)+VLOOKUP($AD$2,'RF Mod'!$I$2:$O$11,2,FALSE)+(TRUNC(6+(24-6)*(TRUNC(MOD(($Z890*1103515245 +12345)/ 65536, 32768),0)/32768),0))</f>
        <v>5</v>
      </c>
      <c r="H890" s="16">
        <f t="shared" ca="1" si="49"/>
        <v>-3</v>
      </c>
      <c r="I890" s="153">
        <f ca="1">VLOOKUP($AB$2,'RF Mod'!$A$2:$G$12,3,FALSE)+VLOOKUP($AD$2,'RF Mod'!$I$2:$O$11,3,FALSE)+(TRUNC(6+(24-6)*(TRUNC(MOD(($Z890*1103515245 +12345)/ 65536, 32768),0)/32768),0))</f>
        <v>9</v>
      </c>
      <c r="J890" s="16">
        <f t="shared" ca="1" si="50"/>
        <v>-1</v>
      </c>
      <c r="K890" s="153">
        <f ca="1">VLOOKUP($AB$2,'RF Mod'!$A$2:$G$12,3,FALSE)+VLOOKUP($AD$2,'RF Mod'!$I$2:$O$11,3,FALSE)+(TRUNC(6+(24-6)*(TRUNC(MOD(($Z890*1103515245 +12345)/ 65536, 32768),0)/32768),0))</f>
        <v>9</v>
      </c>
      <c r="L890" s="16">
        <f t="shared" ca="1" si="51"/>
        <v>-1</v>
      </c>
      <c r="M890" s="153">
        <f ca="1">VLOOKUP($AB$2,'RF Mod'!$A$2:$G$12,4,FALSE)+VLOOKUP($AD$2,'RF Mod'!$I$2:$O$11,4,FALSE)+(TRUNC(6+(24-6)*(TRUNC(MOD(($Z890*1103515245 +12345)/ 65536, 32768),0)/32768),0))</f>
        <v>8</v>
      </c>
      <c r="N890" s="16">
        <f t="shared" ca="1" si="52"/>
        <v>-1</v>
      </c>
      <c r="O890" s="153">
        <f ca="1">VLOOKUP($AB$2,'RF Mod'!$A$2:$G$12,5,FALSE)+VLOOKUP($AD$2,'RF Mod'!$I$2:$O$11,5,FALSE)+(TRUNC(6+(24-6)*(TRUNC(MOD(($Z890*1103515245 +12345)/ 65536, 32768),0)/32768),0))</f>
        <v>11</v>
      </c>
      <c r="P890" s="16" t="e">
        <f t="shared" ca="1" si="53"/>
        <v>#NAME?</v>
      </c>
      <c r="Q890" s="153">
        <f ca="1">VLOOKUP($AB$2,'RF Mod'!$A$2:$G$12,6,FALSE)+VLOOKUP($AD$2,'RF Mod'!$I$2:$O$11,6,FALSE)+(TRUNC(6+(24-6)*(TRUNC(MOD(($Z890*1103515245 +12345)/ 65536, 32768),0)/32768),0))</f>
        <v>9</v>
      </c>
      <c r="R890" s="16">
        <f t="shared" ca="1" si="54"/>
        <v>-1</v>
      </c>
      <c r="S890" s="154">
        <f t="shared" ca="1" si="59"/>
        <v>11</v>
      </c>
      <c r="T890" s="154">
        <f t="shared" ca="1" si="55"/>
        <v>5</v>
      </c>
      <c r="U890" s="16" t="str">
        <f t="shared" ca="1" si="56"/>
        <v>Fine</v>
      </c>
      <c r="V890" s="155">
        <f ca="1">IFERROR(__xludf.DUMMYFUNCTION("if(W890=""Middle Age"",QUERY(NPCVar!$K$2:$N1000, ""Select L where K = '""&amp;AB890&amp;""'""),if(W890=""Old"",QUERY(NPCVar!$K$2:$N1000, ""Select M where K = '""&amp;AB890&amp;""'""),if(W890=""Venerable"",QUERY(NPCVar!$K$2:$N1000, ""Select N where K = '""&amp;AB890&amp;""'""),fa"&amp;"lse)))*X890"),40)</f>
        <v>40</v>
      </c>
      <c r="W890" s="156" t="str">
        <f t="array" ref="W890">INDEX(NPCAgeType,TRUNC(1+(4-1)*(TRUNC(MOD((X890*1103515245 +12345)/ 65536, 32768),0)/32768),0))</f>
        <v>Middle Age</v>
      </c>
      <c r="X890" s="117">
        <f t="shared" si="61"/>
        <v>0.5</v>
      </c>
      <c r="Y890" s="157" t="e">
        <f t="array" aca="1" ref="Y890" ca="1">LOOKUP(ABS(MAX(Z890 + MIN(ABS(INDIRECT("Class Jobs!B"&amp;MATCH(E890,'Class Jobs'!$A$1:$A1000,0)&amp;":"&amp;"AF"&amp;MATCH(E890,'Class Jobs'!$A$1:$A1000,0)&amp;"")-$Z890)) * SUM(IF(MIN(ABS(INDIRECT("Class Jobs!B"&amp;MATCH(E890,'Class Jobs'!$A$1:$A1000,0)&amp;":"&amp;"AF"&amp;MATCH(E890,'Class Jobs'!$A$1:$A1000,0)&amp;"")-$Z890))=ABS(INDIRECT("Class Jobs!B"&amp;MATCH(E890,'Class Jobs'!$A$1:$A1000,0)&amp;":"&amp;"AF"&amp;MATCH(E890,'Class Jobs'!$A$1:$A1000,0)&amp;"")-$Z890),SIGN(INDIRECT("Class Jobs!B"&amp;MATCH(E890,'Class Jobs'!$A$1:A1000,0)&amp;":"&amp;"AF"&amp;MATCH(E890,'Class Jobs'!$A$1:$A1000,0)&amp;"")-$Z890),0)),0)),INDIRECT("Class Jobs!B"&amp;MATCH(E890,'Class Jobs'!$A$1:$A1000,0)&amp;":"&amp;"AF"&amp;MATCH(E890,'Class Jobs'!$A$1:$A1000,1)&amp;""),'Class Jobs'!$B$1:$AF$1)</f>
        <v>#REF!</v>
      </c>
      <c r="Z890" s="158">
        <f t="shared" si="57"/>
        <v>0.17</v>
      </c>
      <c r="AA890" s="16" t="str">
        <f t="array" ref="AA890">INDEX(NPCGender,TRUNC(1+(COUNTA(NPCGender))*(TRUNC(MOD(($B890*1103515245 +12345)/ 65536, 32768),0)/32768),0))</f>
        <v>Male</v>
      </c>
      <c r="AB890" s="16" t="str">
        <f t="array" ref="AB890">INDEX(NPCRace,TRUNC(1+(COUNTA(NPCRace))*(TRUNC(MOD(($B890*1103515245 +12345)/ 65536, 32768),0)/32768),0))</f>
        <v>Dwarf</v>
      </c>
      <c r="AC890" s="16" t="str">
        <f t="array" ref="AC890">INDEX(NPCAL,TRUNC(1+(COUNTA(NPCAL))*(TRUNC(MOD(($B890*1103515245 +12345)/ 65536, 32768),0)/32768),0))</f>
        <v>CE</v>
      </c>
      <c r="AD890" s="72" t="str">
        <f ca="1">IFERROR(__xludf.DUMMYFUNCTION("if(V890&lt;15,QUERY(NPCVar!C:D,""Select D WHERE C = '""&amp;D890&amp;""'""),if((TRUNC(1+10)*(TRUNC(MOD((ROW(H890)*1103515245 +12345)/ 65536, 32768),0)/32768)/10) &gt; 0.85,INDEX(NPCFaction,TRUNC(1+(counta(NPCFaction)-1)*(TRUNC(MOD(($B890*1103515245 +12345)/ 65536, 3276"&amp;"8),0)/32768),0)),QUERY(NPCVar!C:D,""Select D WHERE C = '""&amp;D890&amp;""'"")))"),"Magic Guild")</f>
        <v>Magic Guild</v>
      </c>
      <c r="AE890" s="108" t="e">
        <f t="shared" ca="1" si="58"/>
        <v>#NAME?</v>
      </c>
      <c r="AF890" s="159">
        <f ca="1">IFERROR(__xludf.DUMMYFUNCTION("AE890*(V890 / QUERY(NPCVar!$K$2:$N$12, ""Select N WHERE K='""&amp;AB890&amp;""'""))*TRUNC(1+10)*(TRUNC(MOD(($B890*1103515245 +12345)/ 65536, 32768),0)/32768)"),0.116905212402343)</f>
        <v>0.116905212402343</v>
      </c>
      <c r="AG890" s="16"/>
      <c r="AH890" s="77"/>
      <c r="AI890" s="114"/>
    </row>
    <row r="891" spans="1:35" ht="16.2">
      <c r="A891" s="53">
        <v>890</v>
      </c>
      <c r="B891" s="118">
        <f t="shared" si="62"/>
        <v>1.2711300000000001</v>
      </c>
      <c r="C891" s="72" t="str">
        <f t="array" ref="C891">INDEX(NPCFName,TRUNC(1+(COUNTA(NPCFName))*(TRUNC(MOD(($B891*1103515245 +12345)/ 65536, 32768),0)/32768),0))</f>
        <v>Xavier</v>
      </c>
      <c r="D891" s="16" t="str">
        <f t="array" ref="D891">INDEX(NPCLName,TRUNC(1+(COUNTA(NPCLName))*(TRUNC(MOD(($B891*1103515245 +12345)/ 65536, 32768),0)/32768),0))</f>
        <v>Mourninglash</v>
      </c>
      <c r="E891" s="16" t="str">
        <f t="array" ref="E891">INDEX(NPCClass,TRUNC(1+(COUNTA(NPCClass))*(TRUNC(MOD(($B891*1103515245 +12345)/ 65536, 32768),0)/32768),0))</f>
        <v>Warlock</v>
      </c>
      <c r="F891" s="76">
        <v>8</v>
      </c>
      <c r="G891" s="153">
        <f ca="1">VLOOKUP($AB$2,'RF Mod'!$A$2:$G$12,2,FALSE)+VLOOKUP($AD$2,'RF Mod'!$I$2:$O$11,2,FALSE)+(TRUNC(6+(24-6)*(TRUNC(MOD(($Z891*1103515245 +12345)/ 65536, 32768),0)/32768),0))</f>
        <v>10</v>
      </c>
      <c r="H891" s="16" t="e">
        <f t="shared" ca="1" si="49"/>
        <v>#NAME?</v>
      </c>
      <c r="I891" s="153">
        <f ca="1">VLOOKUP($AB$2,'RF Mod'!$A$2:$G$12,3,FALSE)+VLOOKUP($AD$2,'RF Mod'!$I$2:$O$11,3,FALSE)+(TRUNC(6+(24-6)*(TRUNC(MOD(($Z891*1103515245 +12345)/ 65536, 32768),0)/32768),0))</f>
        <v>14</v>
      </c>
      <c r="J891" s="16" t="e">
        <f t="shared" ca="1" si="50"/>
        <v>#NAME?</v>
      </c>
      <c r="K891" s="153">
        <f ca="1">VLOOKUP($AB$2,'RF Mod'!$A$2:$G$12,3,FALSE)+VLOOKUP($AD$2,'RF Mod'!$I$2:$O$11,3,FALSE)+(TRUNC(6+(24-6)*(TRUNC(MOD(($Z891*1103515245 +12345)/ 65536, 32768),0)/32768),0))</f>
        <v>14</v>
      </c>
      <c r="L891" s="16" t="e">
        <f t="shared" ca="1" si="51"/>
        <v>#NAME?</v>
      </c>
      <c r="M891" s="153">
        <f ca="1">VLOOKUP($AB$2,'RF Mod'!$A$2:$G$12,4,FALSE)+VLOOKUP($AD$2,'RF Mod'!$I$2:$O$11,4,FALSE)+(TRUNC(6+(24-6)*(TRUNC(MOD(($Z891*1103515245 +12345)/ 65536, 32768),0)/32768),0))</f>
        <v>13</v>
      </c>
      <c r="N891" s="16" t="e">
        <f t="shared" ca="1" si="52"/>
        <v>#NAME?</v>
      </c>
      <c r="O891" s="153">
        <f ca="1">VLOOKUP($AB$2,'RF Mod'!$A$2:$G$12,5,FALSE)+VLOOKUP($AD$2,'RF Mod'!$I$2:$O$11,5,FALSE)+(TRUNC(6+(24-6)*(TRUNC(MOD(($Z891*1103515245 +12345)/ 65536, 32768),0)/32768),0))</f>
        <v>16</v>
      </c>
      <c r="P891" s="16" t="e">
        <f t="shared" ca="1" si="53"/>
        <v>#NAME?</v>
      </c>
      <c r="Q891" s="153">
        <f ca="1">VLOOKUP($AB$2,'RF Mod'!$A$2:$G$12,6,FALSE)+VLOOKUP($AD$2,'RF Mod'!$I$2:$O$11,6,FALSE)+(TRUNC(6+(24-6)*(TRUNC(MOD(($Z891*1103515245 +12345)/ 65536, 32768),0)/32768),0))</f>
        <v>14</v>
      </c>
      <c r="R891" s="16" t="e">
        <f t="shared" ca="1" si="54"/>
        <v>#NAME?</v>
      </c>
      <c r="S891" s="154">
        <f t="shared" ca="1" si="59"/>
        <v>256</v>
      </c>
      <c r="T891" s="154">
        <f t="shared" ca="1" si="55"/>
        <v>164</v>
      </c>
      <c r="U891" s="16" t="str">
        <f t="shared" ca="1" si="56"/>
        <v>Bloody</v>
      </c>
      <c r="V891" s="155">
        <f ca="1">IFERROR(__xludf.DUMMYFUNCTION("if(W891=""Middle Age"",QUERY(NPCVar!$K$2:$N1000, ""Select L where K = '""&amp;AB891&amp;""'""),if(W891=""Old"",QUERY(NPCVar!$K$2:$N1000, ""Select M where K = '""&amp;AB891&amp;""'""),if(W891=""Venerable"",QUERY(NPCVar!$K$2:$N1000, ""Select N where K = '""&amp;AB891&amp;""'""),fa"&amp;"lse)))*X891"),144)</f>
        <v>144</v>
      </c>
      <c r="W891" s="156" t="str">
        <f t="array" ref="W891">INDEX(NPCAgeType,TRUNC(1+(4-1)*(TRUNC(MOD((X891*1103515245 +12345)/ 65536, 32768),0)/32768),0))</f>
        <v>Venerable</v>
      </c>
      <c r="X891" s="117">
        <f t="shared" si="61"/>
        <v>1.6</v>
      </c>
      <c r="Y891" s="157" t="e">
        <f t="array" aca="1" ref="Y891" ca="1">LOOKUP(ABS(MAX(Z891 + MIN(ABS(INDIRECT("Class Jobs!B"&amp;MATCH(E891,'Class Jobs'!$A$1:$A1000,0)&amp;":"&amp;"AF"&amp;MATCH(E891,'Class Jobs'!$A$1:$A1000,0)&amp;"")-$Z891)) * SUM(IF(MIN(ABS(INDIRECT("Class Jobs!B"&amp;MATCH(E891,'Class Jobs'!$A$1:$A1000,0)&amp;":"&amp;"AF"&amp;MATCH(E891,'Class Jobs'!$A$1:$A1000,0)&amp;"")-$Z891))=ABS(INDIRECT("Class Jobs!B"&amp;MATCH(E891,'Class Jobs'!$A$1:$A1000,0)&amp;":"&amp;"AF"&amp;MATCH(E891,'Class Jobs'!$A$1:$A1000,0)&amp;"")-$Z891),SIGN(INDIRECT("Class Jobs!B"&amp;MATCH(E891,'Class Jobs'!$A$1:A1000,0)&amp;":"&amp;"AF"&amp;MATCH(E891,'Class Jobs'!$A$1:$A1000,0)&amp;"")-$Z891),0)),0)),INDIRECT("Class Jobs!B"&amp;MATCH(E891,'Class Jobs'!$A$1:$A1000,0)&amp;":"&amp;"AF"&amp;MATCH(E891,'Class Jobs'!$A$1:$A1000,1)&amp;""),'Class Jobs'!$B$1:$AF$1)</f>
        <v>#REF!</v>
      </c>
      <c r="Z891" s="158">
        <f t="shared" si="57"/>
        <v>0.65</v>
      </c>
      <c r="AA891" s="16" t="str">
        <f t="array" ref="AA891">INDEX(NPCGender,TRUNC(1+(COUNTA(NPCGender))*(TRUNC(MOD(($B891*1103515245 +12345)/ 65536, 32768),0)/32768),0))</f>
        <v>Female</v>
      </c>
      <c r="AB891" s="16" t="str">
        <f t="array" ref="AB891">INDEX(NPCRace,TRUNC(1+(COUNTA(NPCRace))*(TRUNC(MOD(($B891*1103515245 +12345)/ 65536, 32768),0)/32768),0))</f>
        <v>Human</v>
      </c>
      <c r="AC891" s="16" t="str">
        <f t="array" ref="AC891">INDEX(NPCAL,TRUNC(1+(COUNTA(NPCAL))*(TRUNC(MOD(($B891*1103515245 +12345)/ 65536, 32768),0)/32768),0))</f>
        <v>NE</v>
      </c>
      <c r="AD891" s="72" t="str">
        <f ca="1">IFERROR(__xludf.DUMMYFUNCTION("if(V891&lt;15,QUERY(NPCVar!C:D,""Select D WHERE C = '""&amp;D891&amp;""'""),if((TRUNC(1+10)*(TRUNC(MOD((ROW(H891)*1103515245 +12345)/ 65536, 32768),0)/32768)/10) &gt; 0.85,INDEX(NPCFaction,TRUNC(1+(counta(NPCFaction)-1)*(TRUNC(MOD(($B891*1103515245 +12345)/ 65536, 3276"&amp;"8),0)/32768),0)),QUERY(NPCVar!C:D,""Select D WHERE C = '""&amp;D891&amp;""'"")))"),"Death Guild")</f>
        <v>Death Guild</v>
      </c>
      <c r="AE891" s="108" t="e">
        <f t="shared" ca="1" si="58"/>
        <v>#NAME?</v>
      </c>
      <c r="AF891" s="159">
        <f ca="1">IFERROR(__xludf.DUMMYFUNCTION("AE891*(V891 / QUERY(NPCVar!$K$2:$N$12, ""Select N WHERE K='""&amp;AB891&amp;""'""))*TRUNC(1+10)*(TRUNC(MOD(($B891*1103515245 +12345)/ 65536, 32768),0)/32768)"),5.7478759765625)</f>
        <v>5.7478759765624998</v>
      </c>
      <c r="AG891" s="16"/>
      <c r="AH891" s="77"/>
      <c r="AI891" s="114"/>
    </row>
    <row r="892" spans="1:35" ht="16.2">
      <c r="A892" s="53">
        <v>891</v>
      </c>
      <c r="B892" s="118">
        <f t="shared" si="62"/>
        <v>0.26528000000000002</v>
      </c>
      <c r="C892" s="72" t="str">
        <f t="array" ref="C892">INDEX(NPCFName,TRUNC(1+(COUNTA(NPCFName))*(TRUNC(MOD(($B892*1103515245 +12345)/ 65536, 32768),0)/32768),0))</f>
        <v>Hydale</v>
      </c>
      <c r="D892" s="16" t="str">
        <f t="array" ref="D892">INDEX(NPCLName,TRUNC(1+(COUNTA(NPCLName))*(TRUNC(MOD(($B892*1103515245 +12345)/ 65536, 32768),0)/32768),0))</f>
        <v>Fistwing</v>
      </c>
      <c r="E892" s="16" t="str">
        <f t="array" ref="E892">INDEX(NPCClass,TRUNC(1+(COUNTA(NPCClass))*(TRUNC(MOD(($B892*1103515245 +12345)/ 65536, 32768),0)/32768),0))</f>
        <v>Bard</v>
      </c>
      <c r="F892" s="76">
        <v>1</v>
      </c>
      <c r="G892" s="153">
        <f ca="1">VLOOKUP($AB$2,'RF Mod'!$A$2:$G$12,2,FALSE)+VLOOKUP($AD$2,'RF Mod'!$I$2:$O$11,2,FALSE)+(TRUNC(6+(24-6)*(TRUNC(MOD(($Z892*1103515245 +12345)/ 65536, 32768),0)/32768),0))</f>
        <v>5</v>
      </c>
      <c r="H892" s="16">
        <f t="shared" ca="1" si="49"/>
        <v>-3</v>
      </c>
      <c r="I892" s="153">
        <f ca="1">VLOOKUP($AB$2,'RF Mod'!$A$2:$G$12,3,FALSE)+VLOOKUP($AD$2,'RF Mod'!$I$2:$O$11,3,FALSE)+(TRUNC(6+(24-6)*(TRUNC(MOD(($Z892*1103515245 +12345)/ 65536, 32768),0)/32768),0))</f>
        <v>9</v>
      </c>
      <c r="J892" s="16">
        <f t="shared" ca="1" si="50"/>
        <v>-1</v>
      </c>
      <c r="K892" s="153">
        <f ca="1">VLOOKUP($AB$2,'RF Mod'!$A$2:$G$12,3,FALSE)+VLOOKUP($AD$2,'RF Mod'!$I$2:$O$11,3,FALSE)+(TRUNC(6+(24-6)*(TRUNC(MOD(($Z892*1103515245 +12345)/ 65536, 32768),0)/32768),0))</f>
        <v>9</v>
      </c>
      <c r="L892" s="16">
        <f t="shared" ca="1" si="51"/>
        <v>-1</v>
      </c>
      <c r="M892" s="153">
        <f ca="1">VLOOKUP($AB$2,'RF Mod'!$A$2:$G$12,4,FALSE)+VLOOKUP($AD$2,'RF Mod'!$I$2:$O$11,4,FALSE)+(TRUNC(6+(24-6)*(TRUNC(MOD(($Z892*1103515245 +12345)/ 65536, 32768),0)/32768),0))</f>
        <v>8</v>
      </c>
      <c r="N892" s="16">
        <f t="shared" ca="1" si="52"/>
        <v>-1</v>
      </c>
      <c r="O892" s="153">
        <f ca="1">VLOOKUP($AB$2,'RF Mod'!$A$2:$G$12,5,FALSE)+VLOOKUP($AD$2,'RF Mod'!$I$2:$O$11,5,FALSE)+(TRUNC(6+(24-6)*(TRUNC(MOD(($Z892*1103515245 +12345)/ 65536, 32768),0)/32768),0))</f>
        <v>11</v>
      </c>
      <c r="P892" s="16" t="e">
        <f t="shared" ca="1" si="53"/>
        <v>#NAME?</v>
      </c>
      <c r="Q892" s="153">
        <f ca="1">VLOOKUP($AB$2,'RF Mod'!$A$2:$G$12,6,FALSE)+VLOOKUP($AD$2,'RF Mod'!$I$2:$O$11,6,FALSE)+(TRUNC(6+(24-6)*(TRUNC(MOD(($Z892*1103515245 +12345)/ 65536, 32768),0)/32768),0))</f>
        <v>9</v>
      </c>
      <c r="R892" s="16">
        <f t="shared" ca="1" si="54"/>
        <v>-1</v>
      </c>
      <c r="S892" s="154">
        <f t="shared" ca="1" si="59"/>
        <v>11</v>
      </c>
      <c r="T892" s="154">
        <f t="shared" ca="1" si="55"/>
        <v>1</v>
      </c>
      <c r="U892" s="16" t="str">
        <f t="shared" ca="1" si="56"/>
        <v>Fine</v>
      </c>
      <c r="V892" s="155">
        <f ca="1">IFERROR(__xludf.DUMMYFUNCTION("if(W892=""Middle Age"",QUERY(NPCVar!$K$2:$N1000, ""Select L where K = '""&amp;AB892&amp;""'""),if(W892=""Old"",QUERY(NPCVar!$K$2:$N1000, ""Select M where K = '""&amp;AB892&amp;""'""),if(W892=""Venerable"",QUERY(NPCVar!$K$2:$N1000, ""Select N where K = '""&amp;AB892&amp;""'""),fa"&amp;"lse)))*X892"),32)</f>
        <v>32</v>
      </c>
      <c r="W892" s="156" t="str">
        <f t="array" ref="W892">INDEX(NPCAgeType,TRUNC(1+(4-1)*(TRUNC(MOD((X892*1103515245 +12345)/ 65536, 32768),0)/32768),0))</f>
        <v>Middle Age</v>
      </c>
      <c r="X892" s="117">
        <f t="shared" si="61"/>
        <v>0.4</v>
      </c>
      <c r="Y892" s="157" t="e">
        <f t="array" aca="1" ref="Y892" ca="1">LOOKUP(ABS(MAX(Z892 + MIN(ABS(INDIRECT("Class Jobs!B"&amp;MATCH(E892,'Class Jobs'!$A$1:$A1000,0)&amp;":"&amp;"AF"&amp;MATCH(E892,'Class Jobs'!$A$1:$A1000,0)&amp;"")-$Z892)) * SUM(IF(MIN(ABS(INDIRECT("Class Jobs!B"&amp;MATCH(E892,'Class Jobs'!$A$1:$A1000,0)&amp;":"&amp;"AF"&amp;MATCH(E892,'Class Jobs'!$A$1:$A1000,0)&amp;"")-$Z892))=ABS(INDIRECT("Class Jobs!B"&amp;MATCH(E892,'Class Jobs'!$A$1:$A1000,0)&amp;":"&amp;"AF"&amp;MATCH(E892,'Class Jobs'!$A$1:$A1000,0)&amp;"")-$Z892),SIGN(INDIRECT("Class Jobs!B"&amp;MATCH(E892,'Class Jobs'!$A$1:A1000,0)&amp;":"&amp;"AF"&amp;MATCH(E892,'Class Jobs'!$A$1:$A1000,0)&amp;"")-$Z892),0)),0)),INDIRECT("Class Jobs!B"&amp;MATCH(E892,'Class Jobs'!$A$1:$A1000,0)&amp;":"&amp;"AF"&amp;MATCH(E892,'Class Jobs'!$A$1:$A1000,1)&amp;""),'Class Jobs'!$B$1:$AF$1)</f>
        <v>#REF!</v>
      </c>
      <c r="Z892" s="158">
        <f t="shared" si="57"/>
        <v>0.14000000000000001</v>
      </c>
      <c r="AA892" s="16" t="str">
        <f t="array" ref="AA892">INDEX(NPCGender,TRUNC(1+(COUNTA(NPCGender))*(TRUNC(MOD(($B892*1103515245 +12345)/ 65536, 32768),0)/32768),0))</f>
        <v>Male</v>
      </c>
      <c r="AB892" s="16" t="str">
        <f t="array" ref="AB892">INDEX(NPCRace,TRUNC(1+(COUNTA(NPCRace))*(TRUNC(MOD(($B892*1103515245 +12345)/ 65536, 32768),0)/32768),0))</f>
        <v>Dwarf</v>
      </c>
      <c r="AC892" s="16" t="str">
        <f t="array" ref="AC892">INDEX(NPCAL,TRUNC(1+(COUNTA(NPCAL))*(TRUNC(MOD(($B892*1103515245 +12345)/ 65536, 32768),0)/32768),0))</f>
        <v>CE</v>
      </c>
      <c r="AD892" s="72" t="str">
        <f ca="1">IFERROR(__xludf.DUMMYFUNCTION("if(V892&lt;15,QUERY(NPCVar!C:D,""Select D WHERE C = '""&amp;D892&amp;""'""),if((TRUNC(1+10)*(TRUNC(MOD((ROW(H892)*1103515245 +12345)/ 65536, 32768),0)/32768)/10) &gt; 0.85,INDEX(NPCFaction,TRUNC(1+(counta(NPCFaction)-1)*(TRUNC(MOD(($B892*1103515245 +12345)/ 65536, 3276"&amp;"8),0)/32768),0)),QUERY(NPCVar!C:D,""Select D WHERE C = '""&amp;D892&amp;""'"")))"),"Royalty")</f>
        <v>Royalty</v>
      </c>
      <c r="AE892" s="108" t="e">
        <f t="shared" ca="1" si="58"/>
        <v>#NAME?</v>
      </c>
      <c r="AF892" s="159">
        <f ca="1">IFERROR(__xludf.DUMMYFUNCTION("AE892*(V892 / QUERY(NPCVar!$K$2:$N$12, ""Select N WHERE K='""&amp;AB892&amp;""'""))*TRUNC(1+10)*(TRUNC(MOD(($B892*1103515245 +12345)/ 65536, 32768),0)/32768)"),0.0749771118164062)</f>
        <v>7.4977111816406206E-2</v>
      </c>
      <c r="AG892" s="16"/>
      <c r="AH892" s="77"/>
      <c r="AI892" s="114"/>
    </row>
    <row r="893" spans="1:35" ht="16.2">
      <c r="A893" s="53">
        <v>892</v>
      </c>
      <c r="B893" s="118">
        <f t="shared" si="62"/>
        <v>1.7594099999999999</v>
      </c>
      <c r="C893" s="72" t="str">
        <f t="array" ref="C893">INDEX(NPCFName,TRUNC(1+(COUNTA(NPCFName))*(TRUNC(MOD(($B893*1103515245 +12345)/ 65536, 32768),0)/32768),0))</f>
        <v>Qysan</v>
      </c>
      <c r="D893" s="16" t="str">
        <f t="array" ref="D893">INDEX(NPCLName,TRUNC(1+(COUNTA(NPCLName))*(TRUNC(MOD(($B893*1103515245 +12345)/ 65536, 32768),0)/32768),0))</f>
        <v>Stormwolf</v>
      </c>
      <c r="E893" s="16" t="str">
        <f t="array" ref="E893">INDEX(NPCClass,TRUNC(1+(COUNTA(NPCClass))*(TRUNC(MOD(($B893*1103515245 +12345)/ 65536, 32768),0)/32768),0))</f>
        <v>Fighter</v>
      </c>
      <c r="F893" s="76">
        <v>8</v>
      </c>
      <c r="G893" s="153">
        <f ca="1">VLOOKUP($AB$2,'RF Mod'!$A$2:$G$12,2,FALSE)+VLOOKUP($AD$2,'RF Mod'!$I$2:$O$11,2,FALSE)+(TRUNC(6+(24-6)*(TRUNC(MOD(($Z893*1103515245 +12345)/ 65536, 32768),0)/32768),0))</f>
        <v>12</v>
      </c>
      <c r="H893" s="16" t="e">
        <f t="shared" ca="1" si="49"/>
        <v>#NAME?</v>
      </c>
      <c r="I893" s="153">
        <f ca="1">VLOOKUP($AB$2,'RF Mod'!$A$2:$G$12,3,FALSE)+VLOOKUP($AD$2,'RF Mod'!$I$2:$O$11,3,FALSE)+(TRUNC(6+(24-6)*(TRUNC(MOD(($Z893*1103515245 +12345)/ 65536, 32768),0)/32768),0))</f>
        <v>16</v>
      </c>
      <c r="J893" s="16" t="e">
        <f t="shared" ca="1" si="50"/>
        <v>#NAME?</v>
      </c>
      <c r="K893" s="153">
        <f ca="1">VLOOKUP($AB$2,'RF Mod'!$A$2:$G$12,3,FALSE)+VLOOKUP($AD$2,'RF Mod'!$I$2:$O$11,3,FALSE)+(TRUNC(6+(24-6)*(TRUNC(MOD(($Z893*1103515245 +12345)/ 65536, 32768),0)/32768),0))</f>
        <v>16</v>
      </c>
      <c r="L893" s="16" t="e">
        <f t="shared" ca="1" si="51"/>
        <v>#NAME?</v>
      </c>
      <c r="M893" s="153">
        <f ca="1">VLOOKUP($AB$2,'RF Mod'!$A$2:$G$12,4,FALSE)+VLOOKUP($AD$2,'RF Mod'!$I$2:$O$11,4,FALSE)+(TRUNC(6+(24-6)*(TRUNC(MOD(($Z893*1103515245 +12345)/ 65536, 32768),0)/32768),0))</f>
        <v>15</v>
      </c>
      <c r="N893" s="16" t="e">
        <f t="shared" ca="1" si="52"/>
        <v>#NAME?</v>
      </c>
      <c r="O893" s="153">
        <f ca="1">VLOOKUP($AB$2,'RF Mod'!$A$2:$G$12,5,FALSE)+VLOOKUP($AD$2,'RF Mod'!$I$2:$O$11,5,FALSE)+(TRUNC(6+(24-6)*(TRUNC(MOD(($Z893*1103515245 +12345)/ 65536, 32768),0)/32768),0))</f>
        <v>18</v>
      </c>
      <c r="P893" s="16" t="e">
        <f t="shared" ca="1" si="53"/>
        <v>#NAME?</v>
      </c>
      <c r="Q893" s="153">
        <f ca="1">VLOOKUP($AB$2,'RF Mod'!$A$2:$G$12,6,FALSE)+VLOOKUP($AD$2,'RF Mod'!$I$2:$O$11,6,FALSE)+(TRUNC(6+(24-6)*(TRUNC(MOD(($Z893*1103515245 +12345)/ 65536, 32768),0)/32768),0))</f>
        <v>16</v>
      </c>
      <c r="R893" s="16" t="e">
        <f t="shared" ca="1" si="54"/>
        <v>#NAME?</v>
      </c>
      <c r="S893" s="154">
        <f t="shared" ca="1" si="59"/>
        <v>192</v>
      </c>
      <c r="T893" s="154">
        <f t="shared" ca="1" si="55"/>
        <v>78</v>
      </c>
      <c r="U893" s="16" t="str">
        <f t="shared" ca="1" si="56"/>
        <v>Fine</v>
      </c>
      <c r="V893" s="155">
        <f ca="1">IFERROR(__xludf.DUMMYFUNCTION("if(W893=""Middle Age"",QUERY(NPCVar!$K$2:$N1000, ""Select L where K = '""&amp;AB893&amp;""'""),if(W893=""Old"",QUERY(NPCVar!$K$2:$N1000, ""Select M where K = '""&amp;AB893&amp;""'""),if(W893=""Venerable"",QUERY(NPCVar!$K$2:$N1000, ""Select N where K = '""&amp;AB893&amp;""'""),fa"&amp;"lse)))*X893"),60.5)</f>
        <v>60.5</v>
      </c>
      <c r="W893" s="156" t="str">
        <f t="array" ref="W893">INDEX(NPCAgeType,TRUNC(1+(4-1)*(TRUNC(MOD((X893*1103515245 +12345)/ 65536, 32768),0)/32768),0))</f>
        <v>Middle Age</v>
      </c>
      <c r="X893" s="117">
        <f t="shared" si="61"/>
        <v>2.2000000000000002</v>
      </c>
      <c r="Y893" s="157" t="e">
        <f t="array" aca="1" ref="Y893" ca="1">LOOKUP(ABS(MAX(Z893 + MIN(ABS(INDIRECT("Class Jobs!B"&amp;MATCH(E893,'Class Jobs'!$A$1:$A1000,0)&amp;":"&amp;"AF"&amp;MATCH(E893,'Class Jobs'!$A$1:$A1000,0)&amp;"")-$Z893)) * SUM(IF(MIN(ABS(INDIRECT("Class Jobs!B"&amp;MATCH(E893,'Class Jobs'!$A$1:$A1000,0)&amp;":"&amp;"AF"&amp;MATCH(E893,'Class Jobs'!$A$1:$A1000,0)&amp;"")-$Z893))=ABS(INDIRECT("Class Jobs!B"&amp;MATCH(E893,'Class Jobs'!$A$1:$A1000,0)&amp;":"&amp;"AF"&amp;MATCH(E893,'Class Jobs'!$A$1:$A1000,0)&amp;"")-$Z893),SIGN(INDIRECT("Class Jobs!B"&amp;MATCH(E893,'Class Jobs'!$A$1:A1000,0)&amp;":"&amp;"AF"&amp;MATCH(E893,'Class Jobs'!$A$1:$A1000,0)&amp;"")-$Z893),0)),0)),INDIRECT("Class Jobs!B"&amp;MATCH(E893,'Class Jobs'!$A$1:$A1000,0)&amp;":"&amp;"AF"&amp;MATCH(E893,'Class Jobs'!$A$1:$A1000,1)&amp;""),'Class Jobs'!$B$1:$AF$1)</f>
        <v>#REF!</v>
      </c>
      <c r="Z893" s="158">
        <f t="shared" si="57"/>
        <v>0.9</v>
      </c>
      <c r="AA893" s="16" t="str">
        <f t="array" ref="AA893">INDEX(NPCGender,TRUNC(1+(COUNTA(NPCGender))*(TRUNC(MOD(($B893*1103515245 +12345)/ 65536, 32768),0)/32768),0))</f>
        <v>Neutral</v>
      </c>
      <c r="AB893" s="16" t="str">
        <f t="array" ref="AB893">INDEX(NPCRace,TRUNC(1+(COUNTA(NPCRace))*(TRUNC(MOD(($B893*1103515245 +12345)/ 65536, 32768),0)/32768),0))</f>
        <v>Genasi</v>
      </c>
      <c r="AC893" s="16" t="str">
        <f t="array" ref="AC893">INDEX(NPCAL,TRUNC(1+(COUNTA(NPCAL))*(TRUNC(MOD(($B893*1103515245 +12345)/ 65536, 32768),0)/32768),0))</f>
        <v>LE</v>
      </c>
      <c r="AD893" s="72" t="str">
        <f ca="1">IFERROR(__xludf.DUMMYFUNCTION("if(V893&lt;15,QUERY(NPCVar!C:D,""Select D WHERE C = '""&amp;D893&amp;""'""),if((TRUNC(1+10)*(TRUNC(MOD((ROW(H893)*1103515245 +12345)/ 65536, 32768),0)/32768)/10) &gt; 0.85,INDEX(NPCFaction,TRUNC(1+(counta(NPCFaction)-1)*(TRUNC(MOD(($B893*1103515245 +12345)/ 65536, 3276"&amp;"8),0)/32768),0)),QUERY(NPCVar!C:D,""Select D WHERE C = '""&amp;D893&amp;""'"")))"),"Traverlers Guild")</f>
        <v>Traverlers Guild</v>
      </c>
      <c r="AE893" s="108" t="e">
        <f t="shared" ca="1" si="58"/>
        <v>#NAME?</v>
      </c>
      <c r="AF893" s="159">
        <f ca="1">IFERROR(__xludf.DUMMYFUNCTION("AE893*(V893 / QUERY(NPCVar!$K$2:$N$12, ""Select N WHERE K='""&amp;AB893&amp;""'""))*TRUNC(1+10)*(TRUNC(MOD(($B893*1103515245 +12345)/ 65536, 32768),0)/32768)"),2.7348518371582)</f>
        <v>2.7348518371582</v>
      </c>
      <c r="AG893" s="16"/>
      <c r="AH893" s="77"/>
      <c r="AI893" s="114"/>
    </row>
    <row r="894" spans="1:35" ht="16.2">
      <c r="A894" s="53">
        <v>893</v>
      </c>
      <c r="B894" s="118">
        <f t="shared" si="62"/>
        <v>0.75356000000000001</v>
      </c>
      <c r="C894" s="72" t="str">
        <f t="array" ref="C894">INDEX(NPCFName,TRUNC(1+(COUNTA(NPCFName))*(TRUNC(MOD(($B894*1103515245 +12345)/ 65536, 32768),0)/32768),0))</f>
        <v>Cibrock</v>
      </c>
      <c r="D894" s="16" t="str">
        <f t="array" ref="D894">INDEX(NPCLName,TRUNC(1+(COUNTA(NPCLName))*(TRUNC(MOD(($B894*1103515245 +12345)/ 65536, 32768),0)/32768),0))</f>
        <v>Fistroot</v>
      </c>
      <c r="E894" s="16" t="str">
        <f t="array" ref="E894">INDEX(NPCClass,TRUNC(1+(COUNTA(NPCClass))*(TRUNC(MOD(($B894*1103515245 +12345)/ 65536, 32768),0)/32768),0))</f>
        <v>Paladin</v>
      </c>
      <c r="F894" s="76">
        <v>6</v>
      </c>
      <c r="G894" s="153">
        <f ca="1">VLOOKUP($AB$2,'RF Mod'!$A$2:$G$12,2,FALSE)+VLOOKUP($AD$2,'RF Mod'!$I$2:$O$11,2,FALSE)+(TRUNC(6+(24-6)*(TRUNC(MOD(($Z894*1103515245 +12345)/ 65536, 32768),0)/32768),0))</f>
        <v>7</v>
      </c>
      <c r="H894" s="16">
        <f t="shared" ca="1" si="49"/>
        <v>-2</v>
      </c>
      <c r="I894" s="153">
        <f ca="1">VLOOKUP($AB$2,'RF Mod'!$A$2:$G$12,3,FALSE)+VLOOKUP($AD$2,'RF Mod'!$I$2:$O$11,3,FALSE)+(TRUNC(6+(24-6)*(TRUNC(MOD(($Z894*1103515245 +12345)/ 65536, 32768),0)/32768),0))</f>
        <v>11</v>
      </c>
      <c r="J894" s="16" t="e">
        <f t="shared" ca="1" si="50"/>
        <v>#NAME?</v>
      </c>
      <c r="K894" s="153">
        <f ca="1">VLOOKUP($AB$2,'RF Mod'!$A$2:$G$12,3,FALSE)+VLOOKUP($AD$2,'RF Mod'!$I$2:$O$11,3,FALSE)+(TRUNC(6+(24-6)*(TRUNC(MOD(($Z894*1103515245 +12345)/ 65536, 32768),0)/32768),0))</f>
        <v>11</v>
      </c>
      <c r="L894" s="16" t="e">
        <f t="shared" ca="1" si="51"/>
        <v>#NAME?</v>
      </c>
      <c r="M894" s="153">
        <f ca="1">VLOOKUP($AB$2,'RF Mod'!$A$2:$G$12,4,FALSE)+VLOOKUP($AD$2,'RF Mod'!$I$2:$O$11,4,FALSE)+(TRUNC(6+(24-6)*(TRUNC(MOD(($Z894*1103515245 +12345)/ 65536, 32768),0)/32768),0))</f>
        <v>10</v>
      </c>
      <c r="N894" s="16" t="e">
        <f t="shared" ca="1" si="52"/>
        <v>#NAME?</v>
      </c>
      <c r="O894" s="153">
        <f ca="1">VLOOKUP($AB$2,'RF Mod'!$A$2:$G$12,5,FALSE)+VLOOKUP($AD$2,'RF Mod'!$I$2:$O$11,5,FALSE)+(TRUNC(6+(24-6)*(TRUNC(MOD(($Z894*1103515245 +12345)/ 65536, 32768),0)/32768),0))</f>
        <v>13</v>
      </c>
      <c r="P894" s="16" t="e">
        <f t="shared" ca="1" si="53"/>
        <v>#NAME?</v>
      </c>
      <c r="Q894" s="153">
        <f ca="1">VLOOKUP($AB$2,'RF Mod'!$A$2:$G$12,6,FALSE)+VLOOKUP($AD$2,'RF Mod'!$I$2:$O$11,6,FALSE)+(TRUNC(6+(24-6)*(TRUNC(MOD(($Z894*1103515245 +12345)/ 65536, 32768),0)/32768),0))</f>
        <v>11</v>
      </c>
      <c r="R894" s="16" t="e">
        <f t="shared" ca="1" si="54"/>
        <v>#NAME?</v>
      </c>
      <c r="S894" s="154">
        <f t="shared" ca="1" si="59"/>
        <v>138</v>
      </c>
      <c r="T894" s="154">
        <f t="shared" ca="1" si="55"/>
        <v>1</v>
      </c>
      <c r="U894" s="16" t="str">
        <f t="shared" ca="1" si="56"/>
        <v>Fine</v>
      </c>
      <c r="V894" s="155">
        <f ca="1">IFERROR(__xludf.DUMMYFUNCTION("if(W894=""Middle Age"",QUERY(NPCVar!$K$2:$N1000, ""Select L where K = '""&amp;AB894&amp;""'""),if(W894=""Old"",QUERY(NPCVar!$K$2:$N1000, ""Select M where K = '""&amp;AB894&amp;""'""),if(W894=""Venerable"",QUERY(NPCVar!$K$2:$N1000, ""Select N where K = '""&amp;AB894&amp;""'""),fa"&amp;"lse)))*X894"),67.5)</f>
        <v>67.5</v>
      </c>
      <c r="W894" s="156" t="str">
        <f t="array" ref="W894">INDEX(NPCAgeType,TRUNC(1+(4-1)*(TRUNC(MOD((X894*1103515245 +12345)/ 65536, 32768),0)/32768),0))</f>
        <v>Old</v>
      </c>
      <c r="X894" s="117">
        <f t="shared" si="61"/>
        <v>1</v>
      </c>
      <c r="Y894" s="157" t="e">
        <f t="array" aca="1" ref="Y894" ca="1">LOOKUP(ABS(MAX(Z894 + MIN(ABS(INDIRECT("Class Jobs!B"&amp;MATCH(E894,'Class Jobs'!$A$1:$A1000,0)&amp;":"&amp;"AF"&amp;MATCH(E894,'Class Jobs'!$A$1:$A1000,0)&amp;"")-$Z894)) * SUM(IF(MIN(ABS(INDIRECT("Class Jobs!B"&amp;MATCH(E894,'Class Jobs'!$A$1:$A1000,0)&amp;":"&amp;"AF"&amp;MATCH(E894,'Class Jobs'!$A$1:$A1000,0)&amp;"")-$Z894))=ABS(INDIRECT("Class Jobs!B"&amp;MATCH(E894,'Class Jobs'!$A$1:$A1000,0)&amp;":"&amp;"AF"&amp;MATCH(E894,'Class Jobs'!$A$1:$A1000,0)&amp;"")-$Z894),SIGN(INDIRECT("Class Jobs!B"&amp;MATCH(E894,'Class Jobs'!$A$1:A1000,0)&amp;":"&amp;"AF"&amp;MATCH(E894,'Class Jobs'!$A$1:$A1000,0)&amp;"")-$Z894),0)),0)),INDIRECT("Class Jobs!B"&amp;MATCH(E894,'Class Jobs'!$A$1:$A1000,0)&amp;":"&amp;"AF"&amp;MATCH(E894,'Class Jobs'!$A$1:$A1000,1)&amp;""),'Class Jobs'!$B$1:$AF$1)</f>
        <v>#REF!</v>
      </c>
      <c r="Z894" s="158">
        <f t="shared" si="57"/>
        <v>0.39</v>
      </c>
      <c r="AA894" s="16" t="str">
        <f t="array" ref="AA894">INDEX(NPCGender,TRUNC(1+(COUNTA(NPCGender))*(TRUNC(MOD(($B894*1103515245 +12345)/ 65536, 32768),0)/32768),0))</f>
        <v>Female</v>
      </c>
      <c r="AB894" s="16" t="str">
        <f t="array" ref="AB894">INDEX(NPCRace,TRUNC(1+(COUNTA(NPCRace))*(TRUNC(MOD(($B894*1103515245 +12345)/ 65536, 32768),0)/32768),0))</f>
        <v>Half-Elf</v>
      </c>
      <c r="AC894" s="16" t="str">
        <f t="array" ref="AC894">INDEX(NPCAL,TRUNC(1+(COUNTA(NPCAL))*(TRUNC(MOD(($B894*1103515245 +12345)/ 65536, 32768),0)/32768),0))</f>
        <v>NG</v>
      </c>
      <c r="AD894" s="72" t="str">
        <f ca="1">IFERROR(__xludf.DUMMYFUNCTION("if(V894&lt;15,QUERY(NPCVar!C:D,""Select D WHERE C = '""&amp;D894&amp;""'""),if((TRUNC(1+10)*(TRUNC(MOD((ROW(H894)*1103515245 +12345)/ 65536, 32768),0)/32768)/10) &gt; 0.85,INDEX(NPCFaction,TRUNC(1+(counta(NPCFaction)-1)*(TRUNC(MOD(($B894*1103515245 +12345)/ 65536, 3276"&amp;"8),0)/32768),0)),QUERY(NPCVar!C:D,""Select D WHERE C = '""&amp;D894&amp;""'"")))"),"Magic Guild")</f>
        <v>Magic Guild</v>
      </c>
      <c r="AE894" s="108" t="e">
        <f t="shared" ca="1" si="58"/>
        <v>#NAME?</v>
      </c>
      <c r="AF894" s="159">
        <f ca="1">IFERROR(__xludf.DUMMYFUNCTION("AE894*(V894 / QUERY(NPCVar!$K$2:$N$12, ""Select N WHERE K='""&amp;AB894&amp;""'""))*TRUNC(1+10)*(TRUNC(MOD(($B894*1103515245 +12345)/ 65536, 32768),0)/32768)"),1.11806030273437)</f>
        <v>1.1180603027343701</v>
      </c>
      <c r="AG894" s="16"/>
      <c r="AH894" s="77"/>
      <c r="AI894" s="114"/>
    </row>
    <row r="895" spans="1:35" ht="16.2">
      <c r="A895" s="53">
        <v>894</v>
      </c>
      <c r="B895" s="118">
        <f t="shared" si="62"/>
        <v>2.24762</v>
      </c>
      <c r="C895" s="72" t="str">
        <f t="array" ref="C895">INDEX(NPCFName,TRUNC(1+(COUNTA(NPCFName))*(TRUNC(MOD(($B895*1103515245 +12345)/ 65536, 32768),0)/32768),0))</f>
        <v>Jun</v>
      </c>
      <c r="D895" s="16" t="str">
        <f t="array" ref="D895">INDEX(NPCLName,TRUNC(1+(COUNTA(NPCLName))*(TRUNC(MOD(($B895*1103515245 +12345)/ 65536, 32768),0)/32768),0))</f>
        <v>Fistwing</v>
      </c>
      <c r="E895" s="16" t="str">
        <f t="array" ref="E895">INDEX(NPCClass,TRUNC(1+(COUNTA(NPCClass))*(TRUNC(MOD(($B895*1103515245 +12345)/ 65536, 32768),0)/32768),0))</f>
        <v>Bard</v>
      </c>
      <c r="F895" s="76">
        <v>1</v>
      </c>
      <c r="G895" s="153">
        <f ca="1">VLOOKUP($AB$2,'RF Mod'!$A$2:$G$12,2,FALSE)+VLOOKUP($AD$2,'RF Mod'!$I$2:$O$11,2,FALSE)+(TRUNC(6+(24-6)*(TRUNC(MOD(($Z895*1103515245 +12345)/ 65536, 32768),0)/32768),0))</f>
        <v>5</v>
      </c>
      <c r="H895" s="16">
        <f t="shared" ca="1" si="49"/>
        <v>-3</v>
      </c>
      <c r="I895" s="153">
        <f ca="1">VLOOKUP($AB$2,'RF Mod'!$A$2:$G$12,3,FALSE)+VLOOKUP($AD$2,'RF Mod'!$I$2:$O$11,3,FALSE)+(TRUNC(6+(24-6)*(TRUNC(MOD(($Z895*1103515245 +12345)/ 65536, 32768),0)/32768),0))</f>
        <v>9</v>
      </c>
      <c r="J895" s="16">
        <f t="shared" ca="1" si="50"/>
        <v>-1</v>
      </c>
      <c r="K895" s="153">
        <f ca="1">VLOOKUP($AB$2,'RF Mod'!$A$2:$G$12,3,FALSE)+VLOOKUP($AD$2,'RF Mod'!$I$2:$O$11,3,FALSE)+(TRUNC(6+(24-6)*(TRUNC(MOD(($Z895*1103515245 +12345)/ 65536, 32768),0)/32768),0))</f>
        <v>9</v>
      </c>
      <c r="L895" s="16">
        <f t="shared" ca="1" si="51"/>
        <v>-1</v>
      </c>
      <c r="M895" s="153">
        <f ca="1">VLOOKUP($AB$2,'RF Mod'!$A$2:$G$12,4,FALSE)+VLOOKUP($AD$2,'RF Mod'!$I$2:$O$11,4,FALSE)+(TRUNC(6+(24-6)*(TRUNC(MOD(($Z895*1103515245 +12345)/ 65536, 32768),0)/32768),0))</f>
        <v>8</v>
      </c>
      <c r="N895" s="16">
        <f t="shared" ca="1" si="52"/>
        <v>-1</v>
      </c>
      <c r="O895" s="153">
        <f ca="1">VLOOKUP($AB$2,'RF Mod'!$A$2:$G$12,5,FALSE)+VLOOKUP($AD$2,'RF Mod'!$I$2:$O$11,5,FALSE)+(TRUNC(6+(24-6)*(TRUNC(MOD(($Z895*1103515245 +12345)/ 65536, 32768),0)/32768),0))</f>
        <v>11</v>
      </c>
      <c r="P895" s="16" t="e">
        <f t="shared" ca="1" si="53"/>
        <v>#NAME?</v>
      </c>
      <c r="Q895" s="153">
        <f ca="1">VLOOKUP($AB$2,'RF Mod'!$A$2:$G$12,6,FALSE)+VLOOKUP($AD$2,'RF Mod'!$I$2:$O$11,6,FALSE)+(TRUNC(6+(24-6)*(TRUNC(MOD(($Z895*1103515245 +12345)/ 65536, 32768),0)/32768),0))</f>
        <v>9</v>
      </c>
      <c r="R895" s="16">
        <f t="shared" ca="1" si="54"/>
        <v>-1</v>
      </c>
      <c r="S895" s="154">
        <f t="shared" ca="1" si="59"/>
        <v>11</v>
      </c>
      <c r="T895" s="154">
        <f t="shared" ca="1" si="55"/>
        <v>10</v>
      </c>
      <c r="U895" s="16" t="str">
        <f t="shared" ca="1" si="56"/>
        <v>Bloody</v>
      </c>
      <c r="V895" s="155">
        <f ca="1">IFERROR(__xludf.DUMMYFUNCTION("if(W895=""Middle Age"",QUERY(NPCVar!$K$2:$N1000, ""Select L where K = '""&amp;AB895&amp;""'""),if(W895=""Old"",QUERY(NPCVar!$K$2:$N1000, ""Select M where K = '""&amp;AB895&amp;""'""),if(W895=""Venerable"",QUERY(NPCVar!$K$2:$N1000, ""Select N where K = '""&amp;AB895&amp;""'""),fa"&amp;"lse)))*X895"),32)</f>
        <v>32</v>
      </c>
      <c r="W895" s="156" t="str">
        <f t="array" ref="W895">INDEX(NPCAgeType,TRUNC(1+(4-1)*(TRUNC(MOD((X895*1103515245 +12345)/ 65536, 32768),0)/32768),0))</f>
        <v>Middle Age</v>
      </c>
      <c r="X895" s="117">
        <f t="shared" si="61"/>
        <v>0.4</v>
      </c>
      <c r="Y895" s="157" t="e">
        <f t="array" aca="1" ref="Y895" ca="1">LOOKUP(ABS(MAX(Z895 + MIN(ABS(INDIRECT("Class Jobs!B"&amp;MATCH(E895,'Class Jobs'!$A$1:$A1000,0)&amp;":"&amp;"AF"&amp;MATCH(E895,'Class Jobs'!$A$1:$A1000,0)&amp;"")-$Z895)) * SUM(IF(MIN(ABS(INDIRECT("Class Jobs!B"&amp;MATCH(E895,'Class Jobs'!$A$1:$A1000,0)&amp;":"&amp;"AF"&amp;MATCH(E895,'Class Jobs'!$A$1:$A1000,0)&amp;"")-$Z895))=ABS(INDIRECT("Class Jobs!B"&amp;MATCH(E895,'Class Jobs'!$A$1:$A1000,0)&amp;":"&amp;"AF"&amp;MATCH(E895,'Class Jobs'!$A$1:$A1000,0)&amp;"")-$Z895),SIGN(INDIRECT("Class Jobs!B"&amp;MATCH(E895,'Class Jobs'!$A$1:A1000,0)&amp;":"&amp;"AF"&amp;MATCH(E895,'Class Jobs'!$A$1:$A1000,0)&amp;"")-$Z895),0)),0)),INDIRECT("Class Jobs!B"&amp;MATCH(E895,'Class Jobs'!$A$1:$A1000,0)&amp;":"&amp;"AF"&amp;MATCH(E895,'Class Jobs'!$A$1:$A1000,1)&amp;""),'Class Jobs'!$B$1:$AF$1)</f>
        <v>#REF!</v>
      </c>
      <c r="Z895" s="158">
        <f t="shared" si="57"/>
        <v>0.16</v>
      </c>
      <c r="AA895" s="16" t="str">
        <f t="array" ref="AA895">INDEX(NPCGender,TRUNC(1+(COUNTA(NPCGender))*(TRUNC(MOD(($B895*1103515245 +12345)/ 65536, 32768),0)/32768),0))</f>
        <v>Male</v>
      </c>
      <c r="AB895" s="16" t="str">
        <f t="array" ref="AB895">INDEX(NPCRace,TRUNC(1+(COUNTA(NPCRace))*(TRUNC(MOD(($B895*1103515245 +12345)/ 65536, 32768),0)/32768),0))</f>
        <v>Dwarf</v>
      </c>
      <c r="AC895" s="16" t="str">
        <f t="array" ref="AC895">INDEX(NPCAL,TRUNC(1+(COUNTA(NPCAL))*(TRUNC(MOD(($B895*1103515245 +12345)/ 65536, 32768),0)/32768),0))</f>
        <v>CE</v>
      </c>
      <c r="AD895" s="72" t="str">
        <f ca="1">IFERROR(__xludf.DUMMYFUNCTION("if(V895&lt;15,QUERY(NPCVar!C:D,""Select D WHERE C = '""&amp;D895&amp;""'""),if((TRUNC(1+10)*(TRUNC(MOD((ROW(H895)*1103515245 +12345)/ 65536, 32768),0)/32768)/10) &gt; 0.85,INDEX(NPCFaction,TRUNC(1+(counta(NPCFaction)-1)*(TRUNC(MOD(($B895*1103515245 +12345)/ 65536, 3276"&amp;"8),0)/32768),0)),QUERY(NPCVar!C:D,""Select D WHERE C = '""&amp;D895&amp;""'"")))"),"Necromancer")</f>
        <v>Necromancer</v>
      </c>
      <c r="AE895" s="108" t="e">
        <f t="shared" ca="1" si="58"/>
        <v>#NAME?</v>
      </c>
      <c r="AF895" s="159">
        <f ca="1">IFERROR(__xludf.DUMMYFUNCTION("AE895*(V895 / QUERY(NPCVar!$K$2:$N$12, ""Select N WHERE K='""&amp;AB895&amp;""'""))*TRUNC(1+10)*(TRUNC(MOD(($B895*1103515245 +12345)/ 65536, 32768),0)/32768)"),0.0170465087890625)</f>
        <v>1.7046508789062501E-2</v>
      </c>
      <c r="AG895" s="16"/>
      <c r="AH895" s="77"/>
      <c r="AI895" s="114"/>
    </row>
    <row r="896" spans="1:35" ht="16.2">
      <c r="A896" s="53">
        <v>895</v>
      </c>
      <c r="B896" s="118">
        <f t="shared" si="62"/>
        <v>1.24176</v>
      </c>
      <c r="C896" s="72" t="str">
        <f t="array" ref="C896">INDEX(NPCFName,TRUNC(1+(COUNTA(NPCFName))*(TRUNC(MOD(($B896*1103515245 +12345)/ 65536, 32768),0)/32768),0))</f>
        <v>Vinald</v>
      </c>
      <c r="D896" s="16" t="str">
        <f t="array" ref="D896">INDEX(NPCLName,TRUNC(1+(COUNTA(NPCLName))*(TRUNC(MOD(($B896*1103515245 +12345)/ 65536, 32768),0)/32768),0))</f>
        <v>Mourninglash</v>
      </c>
      <c r="E896" s="16" t="str">
        <f t="array" ref="E896">INDEX(NPCClass,TRUNC(1+(COUNTA(NPCClass))*(TRUNC(MOD(($B896*1103515245 +12345)/ 65536, 32768),0)/32768),0))</f>
        <v>Warlock</v>
      </c>
      <c r="F896" s="76">
        <v>8</v>
      </c>
      <c r="G896" s="153">
        <f ca="1">VLOOKUP($AB$2,'RF Mod'!$A$2:$G$12,2,FALSE)+VLOOKUP($AD$2,'RF Mod'!$I$2:$O$11,2,FALSE)+(TRUNC(6+(24-6)*(TRUNC(MOD(($Z896*1103515245 +12345)/ 65536, 32768),0)/32768),0))</f>
        <v>9</v>
      </c>
      <c r="H896" s="16">
        <f t="shared" ca="1" si="49"/>
        <v>-1</v>
      </c>
      <c r="I896" s="153">
        <f ca="1">VLOOKUP($AB$2,'RF Mod'!$A$2:$G$12,3,FALSE)+VLOOKUP($AD$2,'RF Mod'!$I$2:$O$11,3,FALSE)+(TRUNC(6+(24-6)*(TRUNC(MOD(($Z896*1103515245 +12345)/ 65536, 32768),0)/32768),0))</f>
        <v>13</v>
      </c>
      <c r="J896" s="16" t="e">
        <f t="shared" ca="1" si="50"/>
        <v>#NAME?</v>
      </c>
      <c r="K896" s="153">
        <f ca="1">VLOOKUP($AB$2,'RF Mod'!$A$2:$G$12,3,FALSE)+VLOOKUP($AD$2,'RF Mod'!$I$2:$O$11,3,FALSE)+(TRUNC(6+(24-6)*(TRUNC(MOD(($Z896*1103515245 +12345)/ 65536, 32768),0)/32768),0))</f>
        <v>13</v>
      </c>
      <c r="L896" s="16" t="e">
        <f t="shared" ca="1" si="51"/>
        <v>#NAME?</v>
      </c>
      <c r="M896" s="153">
        <f ca="1">VLOOKUP($AB$2,'RF Mod'!$A$2:$G$12,4,FALSE)+VLOOKUP($AD$2,'RF Mod'!$I$2:$O$11,4,FALSE)+(TRUNC(6+(24-6)*(TRUNC(MOD(($Z896*1103515245 +12345)/ 65536, 32768),0)/32768),0))</f>
        <v>12</v>
      </c>
      <c r="N896" s="16" t="e">
        <f t="shared" ca="1" si="52"/>
        <v>#NAME?</v>
      </c>
      <c r="O896" s="153">
        <f ca="1">VLOOKUP($AB$2,'RF Mod'!$A$2:$G$12,5,FALSE)+VLOOKUP($AD$2,'RF Mod'!$I$2:$O$11,5,FALSE)+(TRUNC(6+(24-6)*(TRUNC(MOD(($Z896*1103515245 +12345)/ 65536, 32768),0)/32768),0))</f>
        <v>15</v>
      </c>
      <c r="P896" s="16" t="e">
        <f t="shared" ca="1" si="53"/>
        <v>#NAME?</v>
      </c>
      <c r="Q896" s="153">
        <f ca="1">VLOOKUP($AB$2,'RF Mod'!$A$2:$G$12,6,FALSE)+VLOOKUP($AD$2,'RF Mod'!$I$2:$O$11,6,FALSE)+(TRUNC(6+(24-6)*(TRUNC(MOD(($Z896*1103515245 +12345)/ 65536, 32768),0)/32768),0))</f>
        <v>13</v>
      </c>
      <c r="R896" s="16" t="e">
        <f t="shared" ca="1" si="54"/>
        <v>#NAME?</v>
      </c>
      <c r="S896" s="154">
        <f t="shared" ca="1" si="59"/>
        <v>216</v>
      </c>
      <c r="T896" s="154">
        <f t="shared" ca="1" si="55"/>
        <v>181</v>
      </c>
      <c r="U896" s="16" t="str">
        <f t="shared" ca="1" si="56"/>
        <v>Bloody</v>
      </c>
      <c r="V896" s="155">
        <f ca="1">IFERROR(__xludf.DUMMYFUNCTION("if(W896=""Middle Age"",QUERY(NPCVar!$K$2:$N1000, ""Select L where K = '""&amp;AB896&amp;""'""),if(W896=""Old"",QUERY(NPCVar!$K$2:$N1000, ""Select M where K = '""&amp;AB896&amp;""'""),if(W896=""Venerable"",QUERY(NPCVar!$K$2:$N1000, ""Select N where K = '""&amp;AB896&amp;""'""),fa"&amp;"lse)))*X896"),144)</f>
        <v>144</v>
      </c>
      <c r="W896" s="156" t="str">
        <f t="array" ref="W896">INDEX(NPCAgeType,TRUNC(1+(4-1)*(TRUNC(MOD((X896*1103515245 +12345)/ 65536, 32768),0)/32768),0))</f>
        <v>Venerable</v>
      </c>
      <c r="X896" s="117">
        <f t="shared" si="61"/>
        <v>1.6</v>
      </c>
      <c r="Y896" s="157" t="e">
        <f t="array" aca="1" ref="Y896" ca="1">LOOKUP(ABS(MAX(Z896 + MIN(ABS(INDIRECT("Class Jobs!B"&amp;MATCH(E896,'Class Jobs'!$A$1:$A1000,0)&amp;":"&amp;"AF"&amp;MATCH(E896,'Class Jobs'!$A$1:$A1000,0)&amp;"")-$Z896)) * SUM(IF(MIN(ABS(INDIRECT("Class Jobs!B"&amp;MATCH(E896,'Class Jobs'!$A$1:$A1000,0)&amp;":"&amp;"AF"&amp;MATCH(E896,'Class Jobs'!$A$1:$A1000,0)&amp;"")-$Z896))=ABS(INDIRECT("Class Jobs!B"&amp;MATCH(E896,'Class Jobs'!$A$1:$A1000,0)&amp;":"&amp;"AF"&amp;MATCH(E896,'Class Jobs'!$A$1:$A1000,0)&amp;"")-$Z896),SIGN(INDIRECT("Class Jobs!B"&amp;MATCH(E896,'Class Jobs'!$A$1:A1000,0)&amp;":"&amp;"AF"&amp;MATCH(E896,'Class Jobs'!$A$1:$A1000,0)&amp;"")-$Z896),0)),0)),INDIRECT("Class Jobs!B"&amp;MATCH(E896,'Class Jobs'!$A$1:$A1000,0)&amp;":"&amp;"AF"&amp;MATCH(E896,'Class Jobs'!$A$1:$A1000,1)&amp;""),'Class Jobs'!$B$1:$AF$1)</f>
        <v>#REF!</v>
      </c>
      <c r="Z896" s="158">
        <f t="shared" si="57"/>
        <v>0.64</v>
      </c>
      <c r="AA896" s="16" t="str">
        <f t="array" ref="AA896">INDEX(NPCGender,TRUNC(1+(COUNTA(NPCGender))*(TRUNC(MOD(($B896*1103515245 +12345)/ 65536, 32768),0)/32768),0))</f>
        <v>Female</v>
      </c>
      <c r="AB896" s="16" t="str">
        <f t="array" ref="AB896">INDEX(NPCRace,TRUNC(1+(COUNTA(NPCRace))*(TRUNC(MOD(($B896*1103515245 +12345)/ 65536, 32768),0)/32768),0))</f>
        <v>Human</v>
      </c>
      <c r="AC896" s="16" t="str">
        <f t="array" ref="AC896">INDEX(NPCAL,TRUNC(1+(COUNTA(NPCAL))*(TRUNC(MOD(($B896*1103515245 +12345)/ 65536, 32768),0)/32768),0))</f>
        <v>NE</v>
      </c>
      <c r="AD896" s="72" t="str">
        <f ca="1">IFERROR(__xludf.DUMMYFUNCTION("if(V896&lt;15,QUERY(NPCVar!C:D,""Select D WHERE C = '""&amp;D896&amp;""'""),if((TRUNC(1+10)*(TRUNC(MOD((ROW(H896)*1103515245 +12345)/ 65536, 32768),0)/32768)/10) &gt; 0.85,INDEX(NPCFaction,TRUNC(1+(counta(NPCFaction)-1)*(TRUNC(MOD(($B896*1103515245 +12345)/ 65536, 3276"&amp;"8),0)/32768),0)),QUERY(NPCVar!C:D,""Select D WHERE C = '""&amp;D896&amp;""'"")))"),"Traverlers Guild")</f>
        <v>Traverlers Guild</v>
      </c>
      <c r="AE896" s="108" t="e">
        <f t="shared" ca="1" si="58"/>
        <v>#NAME?</v>
      </c>
      <c r="AF896" s="159">
        <f ca="1">IFERROR(__xludf.DUMMYFUNCTION("AE896*(V896 / QUERY(NPCVar!$K$2:$N$12, ""Select N WHERE K='""&amp;AB896&amp;""'""))*TRUNC(1+10)*(TRUNC(MOD(($B896*1103515245 +12345)/ 65536, 32768),0)/32768)"),11.230419921875)</f>
        <v>11.230419921875001</v>
      </c>
      <c r="AG896" s="16"/>
      <c r="AH896" s="77"/>
      <c r="AI896" s="114"/>
    </row>
    <row r="897" spans="1:35" ht="16.2">
      <c r="A897" s="53">
        <v>896</v>
      </c>
      <c r="B897" s="118">
        <f t="shared" si="62"/>
        <v>0.2359</v>
      </c>
      <c r="C897" s="72" t="str">
        <f t="array" ref="C897">INDEX(NPCFName,TRUNC(1+(COUNTA(NPCFName))*(TRUNC(MOD(($B897*1103515245 +12345)/ 65536, 32768),0)/32768),0))</f>
        <v>Gibolock</v>
      </c>
      <c r="D897" s="16" t="str">
        <f t="array" ref="D897">INDEX(NPCLName,TRUNC(1+(COUNTA(NPCLName))*(TRUNC(MOD(($B897*1103515245 +12345)/ 65536, 32768),0)/32768),0))</f>
        <v>Distantlash</v>
      </c>
      <c r="E897" s="16" t="str">
        <f t="array" ref="E897">INDEX(NPCClass,TRUNC(1+(COUNTA(NPCClass))*(TRUNC(MOD(($B897*1103515245 +12345)/ 65536, 32768),0)/32768),0))</f>
        <v>Bard</v>
      </c>
      <c r="F897" s="76">
        <v>1</v>
      </c>
      <c r="G897" s="153">
        <f ca="1">VLOOKUP($AB$2,'RF Mod'!$A$2:$G$12,2,FALSE)+VLOOKUP($AD$2,'RF Mod'!$I$2:$O$11,2,FALSE)+(TRUNC(6+(24-6)*(TRUNC(MOD(($Z897*1103515245 +12345)/ 65536, 32768),0)/32768),0))</f>
        <v>5</v>
      </c>
      <c r="H897" s="16">
        <f t="shared" ca="1" si="49"/>
        <v>-3</v>
      </c>
      <c r="I897" s="153">
        <f ca="1">VLOOKUP($AB$2,'RF Mod'!$A$2:$G$12,3,FALSE)+VLOOKUP($AD$2,'RF Mod'!$I$2:$O$11,3,FALSE)+(TRUNC(6+(24-6)*(TRUNC(MOD(($Z897*1103515245 +12345)/ 65536, 32768),0)/32768),0))</f>
        <v>9</v>
      </c>
      <c r="J897" s="16">
        <f t="shared" ca="1" si="50"/>
        <v>-1</v>
      </c>
      <c r="K897" s="153">
        <f ca="1">VLOOKUP($AB$2,'RF Mod'!$A$2:$G$12,3,FALSE)+VLOOKUP($AD$2,'RF Mod'!$I$2:$O$11,3,FALSE)+(TRUNC(6+(24-6)*(TRUNC(MOD(($Z897*1103515245 +12345)/ 65536, 32768),0)/32768),0))</f>
        <v>9</v>
      </c>
      <c r="L897" s="16">
        <f t="shared" ca="1" si="51"/>
        <v>-1</v>
      </c>
      <c r="M897" s="153">
        <f ca="1">VLOOKUP($AB$2,'RF Mod'!$A$2:$G$12,4,FALSE)+VLOOKUP($AD$2,'RF Mod'!$I$2:$O$11,4,FALSE)+(TRUNC(6+(24-6)*(TRUNC(MOD(($Z897*1103515245 +12345)/ 65536, 32768),0)/32768),0))</f>
        <v>8</v>
      </c>
      <c r="N897" s="16">
        <f t="shared" ca="1" si="52"/>
        <v>-1</v>
      </c>
      <c r="O897" s="153">
        <f ca="1">VLOOKUP($AB$2,'RF Mod'!$A$2:$G$12,5,FALSE)+VLOOKUP($AD$2,'RF Mod'!$I$2:$O$11,5,FALSE)+(TRUNC(6+(24-6)*(TRUNC(MOD(($Z897*1103515245 +12345)/ 65536, 32768),0)/32768),0))</f>
        <v>11</v>
      </c>
      <c r="P897" s="16" t="e">
        <f t="shared" ca="1" si="53"/>
        <v>#NAME?</v>
      </c>
      <c r="Q897" s="153">
        <f ca="1">VLOOKUP($AB$2,'RF Mod'!$A$2:$G$12,6,FALSE)+VLOOKUP($AD$2,'RF Mod'!$I$2:$O$11,6,FALSE)+(TRUNC(6+(24-6)*(TRUNC(MOD(($Z897*1103515245 +12345)/ 65536, 32768),0)/32768),0))</f>
        <v>9</v>
      </c>
      <c r="R897" s="16">
        <f t="shared" ca="1" si="54"/>
        <v>-1</v>
      </c>
      <c r="S897" s="154">
        <f t="shared" ca="1" si="59"/>
        <v>11</v>
      </c>
      <c r="T897" s="154">
        <f t="shared" ca="1" si="55"/>
        <v>6</v>
      </c>
      <c r="U897" s="16" t="str">
        <f t="shared" ca="1" si="56"/>
        <v>Bloody</v>
      </c>
      <c r="V897" s="155">
        <f ca="1">IFERROR(__xludf.DUMMYFUNCTION("if(W897=""Middle Age"",QUERY(NPCVar!$K$2:$N1000, ""Select L where K = '""&amp;AB897&amp;""'""),if(W897=""Old"",QUERY(NPCVar!$K$2:$N1000, ""Select M where K = '""&amp;AB897&amp;""'""),if(W897=""Venerable"",QUERY(NPCVar!$K$2:$N1000, ""Select N where K = '""&amp;AB897&amp;""'""),fa"&amp;"lse)))*X897"),24)</f>
        <v>24</v>
      </c>
      <c r="W897" s="156" t="str">
        <f t="array" ref="W897">INDEX(NPCAgeType,TRUNC(1+(4-1)*(TRUNC(MOD((X897*1103515245 +12345)/ 65536, 32768),0)/32768),0))</f>
        <v>Middle Age</v>
      </c>
      <c r="X897" s="117">
        <f t="shared" si="61"/>
        <v>0.3</v>
      </c>
      <c r="Y897" s="157" t="e">
        <f t="array" aca="1" ref="Y897" ca="1">LOOKUP(ABS(MAX(Z897 + MIN(ABS(INDIRECT("Class Jobs!B"&amp;MATCH(E897,'Class Jobs'!$A$1:$A1000,0)&amp;":"&amp;"AF"&amp;MATCH(E897,'Class Jobs'!$A$1:$A1000,0)&amp;"")-$Z897)) * SUM(IF(MIN(ABS(INDIRECT("Class Jobs!B"&amp;MATCH(E897,'Class Jobs'!$A$1:$A1000,0)&amp;":"&amp;"AF"&amp;MATCH(E897,'Class Jobs'!$A$1:$A1000,0)&amp;"")-$Z897))=ABS(INDIRECT("Class Jobs!B"&amp;MATCH(E897,'Class Jobs'!$A$1:$A1000,0)&amp;":"&amp;"AF"&amp;MATCH(E897,'Class Jobs'!$A$1:$A1000,0)&amp;"")-$Z897),SIGN(INDIRECT("Class Jobs!B"&amp;MATCH(E897,'Class Jobs'!$A$1:A1000,0)&amp;":"&amp;"AF"&amp;MATCH(E897,'Class Jobs'!$A$1:$A1000,0)&amp;"")-$Z897),0)),0)),INDIRECT("Class Jobs!B"&amp;MATCH(E897,'Class Jobs'!$A$1:$A1000,0)&amp;":"&amp;"AF"&amp;MATCH(E897,'Class Jobs'!$A$1:$A1000,1)&amp;""),'Class Jobs'!$B$1:$AF$1)</f>
        <v>#REF!</v>
      </c>
      <c r="Z897" s="158">
        <f t="shared" si="57"/>
        <v>0.13</v>
      </c>
      <c r="AA897" s="16" t="str">
        <f t="array" ref="AA897">INDEX(NPCGender,TRUNC(1+(COUNTA(NPCGender))*(TRUNC(MOD(($B897*1103515245 +12345)/ 65536, 32768),0)/32768),0))</f>
        <v>Male</v>
      </c>
      <c r="AB897" s="16" t="str">
        <f t="array" ref="AB897">INDEX(NPCRace,TRUNC(1+(COUNTA(NPCRace))*(TRUNC(MOD(($B897*1103515245 +12345)/ 65536, 32768),0)/32768),0))</f>
        <v>Dwarf</v>
      </c>
      <c r="AC897" s="16" t="str">
        <f t="array" ref="AC897">INDEX(NPCAL,TRUNC(1+(COUNTA(NPCAL))*(TRUNC(MOD(($B897*1103515245 +12345)/ 65536, 32768),0)/32768),0))</f>
        <v>CE</v>
      </c>
      <c r="AD897" s="72" t="str">
        <f ca="1">IFERROR(__xludf.DUMMYFUNCTION("if(V897&lt;15,QUERY(NPCVar!C:D,""Select D WHERE C = '""&amp;D897&amp;""'""),if((TRUNC(1+10)*(TRUNC(MOD((ROW(H897)*1103515245 +12345)/ 65536, 32768),0)/32768)/10) &gt; 0.85,INDEX(NPCFaction,TRUNC(1+(counta(NPCFaction)-1)*(TRUNC(MOD(($B897*1103515245 +12345)/ 65536, 3276"&amp;"8),0)/32768),0)),QUERY(NPCVar!C:D,""Select D WHERE C = '""&amp;D897&amp;""'"")))"),"Necromancer")</f>
        <v>Necromancer</v>
      </c>
      <c r="AE897" s="108" t="e">
        <f t="shared" ca="1" si="58"/>
        <v>#NAME?</v>
      </c>
      <c r="AF897" s="159">
        <f ca="1">IFERROR(__xludf.DUMMYFUNCTION("AE897*(V897 / QUERY(NPCVar!$K$2:$N$12, ""Select N WHERE K='""&amp;AB897&amp;""'""))*TRUNC(1+10)*(TRUNC(MOD(($B897*1103515245 +12345)/ 65536, 32768),0)/32768)"),0.0100003051757812)</f>
        <v>1.00003051757812E-2</v>
      </c>
      <c r="AG897" s="16"/>
      <c r="AH897" s="77"/>
      <c r="AI897" s="114"/>
    </row>
    <row r="898" spans="1:35" ht="16.2">
      <c r="A898" s="53">
        <v>897</v>
      </c>
      <c r="B898" s="118">
        <f t="shared" ref="B898:B961" si="63">(TRUNC(1+(250000-1)*(TRUNC(MOD(((Seed*ROW())*1103515245 +12345)/ 65536, 32768),0)/32768),0))/100000</f>
        <v>1.73004</v>
      </c>
      <c r="C898" s="72" t="str">
        <f t="array" ref="C898">INDEX(NPCFName,TRUNC(1+(COUNTA(NPCFName))*(TRUNC(MOD(($B898*1103515245 +12345)/ 65536, 32768),0)/32768),0))</f>
        <v>Pender</v>
      </c>
      <c r="D898" s="16" t="str">
        <f t="array" ref="D898">INDEX(NPCLName,TRUNC(1+(COUNTA(NPCLName))*(TRUNC(MOD(($B898*1103515245 +12345)/ 65536, 32768),0)/32768),0))</f>
        <v>Forestbluff</v>
      </c>
      <c r="E898" s="16" t="str">
        <f t="array" ref="E898">INDEX(NPCClass,TRUNC(1+(COUNTA(NPCClass))*(TRUNC(MOD(($B898*1103515245 +12345)/ 65536, 32768),0)/32768),0))</f>
        <v>Fighter</v>
      </c>
      <c r="F898" s="76">
        <v>8</v>
      </c>
      <c r="G898" s="153">
        <f ca="1">VLOOKUP($AB$2,'RF Mod'!$A$2:$G$12,2,FALSE)+VLOOKUP($AD$2,'RF Mod'!$I$2:$O$11,2,FALSE)+(TRUNC(6+(24-6)*(TRUNC(MOD(($Z898*1103515245 +12345)/ 65536, 32768),0)/32768),0))</f>
        <v>12</v>
      </c>
      <c r="H898" s="16" t="e">
        <f t="shared" ca="1" si="49"/>
        <v>#NAME?</v>
      </c>
      <c r="I898" s="153">
        <f ca="1">VLOOKUP($AB$2,'RF Mod'!$A$2:$G$12,3,FALSE)+VLOOKUP($AD$2,'RF Mod'!$I$2:$O$11,3,FALSE)+(TRUNC(6+(24-6)*(TRUNC(MOD(($Z898*1103515245 +12345)/ 65536, 32768),0)/32768),0))</f>
        <v>16</v>
      </c>
      <c r="J898" s="16" t="e">
        <f t="shared" ca="1" si="50"/>
        <v>#NAME?</v>
      </c>
      <c r="K898" s="153">
        <f ca="1">VLOOKUP($AB$2,'RF Mod'!$A$2:$G$12,3,FALSE)+VLOOKUP($AD$2,'RF Mod'!$I$2:$O$11,3,FALSE)+(TRUNC(6+(24-6)*(TRUNC(MOD(($Z898*1103515245 +12345)/ 65536, 32768),0)/32768),0))</f>
        <v>16</v>
      </c>
      <c r="L898" s="16" t="e">
        <f t="shared" ca="1" si="51"/>
        <v>#NAME?</v>
      </c>
      <c r="M898" s="153">
        <f ca="1">VLOOKUP($AB$2,'RF Mod'!$A$2:$G$12,4,FALSE)+VLOOKUP($AD$2,'RF Mod'!$I$2:$O$11,4,FALSE)+(TRUNC(6+(24-6)*(TRUNC(MOD(($Z898*1103515245 +12345)/ 65536, 32768),0)/32768),0))</f>
        <v>15</v>
      </c>
      <c r="N898" s="16" t="e">
        <f t="shared" ca="1" si="52"/>
        <v>#NAME?</v>
      </c>
      <c r="O898" s="153">
        <f ca="1">VLOOKUP($AB$2,'RF Mod'!$A$2:$G$12,5,FALSE)+VLOOKUP($AD$2,'RF Mod'!$I$2:$O$11,5,FALSE)+(TRUNC(6+(24-6)*(TRUNC(MOD(($Z898*1103515245 +12345)/ 65536, 32768),0)/32768),0))</f>
        <v>18</v>
      </c>
      <c r="P898" s="16" t="e">
        <f t="shared" ca="1" si="53"/>
        <v>#NAME?</v>
      </c>
      <c r="Q898" s="153">
        <f ca="1">VLOOKUP($AB$2,'RF Mod'!$A$2:$G$12,6,FALSE)+VLOOKUP($AD$2,'RF Mod'!$I$2:$O$11,6,FALSE)+(TRUNC(6+(24-6)*(TRUNC(MOD(($Z898*1103515245 +12345)/ 65536, 32768),0)/32768),0))</f>
        <v>16</v>
      </c>
      <c r="R898" s="16" t="e">
        <f t="shared" ca="1" si="54"/>
        <v>#NAME?</v>
      </c>
      <c r="S898" s="154">
        <f t="shared" ca="1" si="59"/>
        <v>240</v>
      </c>
      <c r="T898" s="154">
        <f t="shared" ca="1" si="55"/>
        <v>233</v>
      </c>
      <c r="U898" s="16" t="str">
        <f t="shared" ca="1" si="56"/>
        <v>Bloody</v>
      </c>
      <c r="V898" s="155">
        <f ca="1">IFERROR(__xludf.DUMMYFUNCTION("if(W898=""Middle Age"",QUERY(NPCVar!$K$2:$N1000, ""Select L where K = '""&amp;AB898&amp;""'""),if(W898=""Old"",QUERY(NPCVar!$K$2:$N1000, ""Select M where K = '""&amp;AB898&amp;""'""),if(W898=""Venerable"",QUERY(NPCVar!$K$2:$N1000, ""Select N where K = '""&amp;AB898&amp;""'""),fa"&amp;"lse)))*X898"),60.5)</f>
        <v>60.5</v>
      </c>
      <c r="W898" s="156" t="str">
        <f t="array" ref="W898">INDEX(NPCAgeType,TRUNC(1+(4-1)*(TRUNC(MOD((X898*1103515245 +12345)/ 65536, 32768),0)/32768),0))</f>
        <v>Middle Age</v>
      </c>
      <c r="X898" s="117">
        <f t="shared" si="61"/>
        <v>2.2000000000000002</v>
      </c>
      <c r="Y898" s="157" t="e">
        <f t="array" aca="1" ref="Y898" ca="1">LOOKUP(ABS(MAX(Z898 + MIN(ABS(INDIRECT("Class Jobs!B"&amp;MATCH(E898,'Class Jobs'!$A$1:$A1000,0)&amp;":"&amp;"AF"&amp;MATCH(E898,'Class Jobs'!$A$1:$A1000,0)&amp;"")-$Z898)) * SUM(IF(MIN(ABS(INDIRECT("Class Jobs!B"&amp;MATCH(E898,'Class Jobs'!$A$1:$A1000,0)&amp;":"&amp;"AF"&amp;MATCH(E898,'Class Jobs'!$A$1:$A1000,0)&amp;"")-$Z898))=ABS(INDIRECT("Class Jobs!B"&amp;MATCH(E898,'Class Jobs'!$A$1:$A1000,0)&amp;":"&amp;"AF"&amp;MATCH(E898,'Class Jobs'!$A$1:$A1000,0)&amp;"")-$Z898),SIGN(INDIRECT("Class Jobs!B"&amp;MATCH(E898,'Class Jobs'!$A$1:A1000,0)&amp;":"&amp;"AF"&amp;MATCH(E898,'Class Jobs'!$A$1:$A1000,0)&amp;"")-$Z898),0)),0)),INDIRECT("Class Jobs!B"&amp;MATCH(E898,'Class Jobs'!$A$1:$A1000,0)&amp;":"&amp;"AF"&amp;MATCH(E898,'Class Jobs'!$A$1:$A1000,1)&amp;""),'Class Jobs'!$B$1:$AF$1)</f>
        <v>#REF!</v>
      </c>
      <c r="Z898" s="158">
        <f t="shared" si="57"/>
        <v>0.89</v>
      </c>
      <c r="AA898" s="16" t="str">
        <f t="array" ref="AA898">INDEX(NPCGender,TRUNC(1+(COUNTA(NPCGender))*(TRUNC(MOD(($B898*1103515245 +12345)/ 65536, 32768),0)/32768),0))</f>
        <v>Neutral</v>
      </c>
      <c r="AB898" s="16" t="str">
        <f t="array" ref="AB898">INDEX(NPCRace,TRUNC(1+(COUNTA(NPCRace))*(TRUNC(MOD(($B898*1103515245 +12345)/ 65536, 32768),0)/32768),0))</f>
        <v>Genasi</v>
      </c>
      <c r="AC898" s="16" t="str">
        <f t="array" ref="AC898">INDEX(NPCAL,TRUNC(1+(COUNTA(NPCAL))*(TRUNC(MOD(($B898*1103515245 +12345)/ 65536, 32768),0)/32768),0))</f>
        <v>LE</v>
      </c>
      <c r="AD898" s="72" t="str">
        <f ca="1">IFERROR(__xludf.DUMMYFUNCTION("if(V898&lt;15,QUERY(NPCVar!C:D,""Select D WHERE C = '""&amp;D898&amp;""'""),if((TRUNC(1+10)*(TRUNC(MOD((ROW(H898)*1103515245 +12345)/ 65536, 32768),0)/32768)/10) &gt; 0.85,INDEX(NPCFaction,TRUNC(1+(counta(NPCFaction)-1)*(TRUNC(MOD(($B898*1103515245 +12345)/ 65536, 3276"&amp;"8),0)/32768),0)),QUERY(NPCVar!C:D,""Select D WHERE C = '""&amp;D898&amp;""'"")))"),"Thieves Guild")</f>
        <v>Thieves Guild</v>
      </c>
      <c r="AE898" s="108" t="e">
        <f t="shared" ca="1" si="58"/>
        <v>#NAME?</v>
      </c>
      <c r="AF898" s="159">
        <f ca="1">IFERROR(__xludf.DUMMYFUNCTION("AE898*(V898 / QUERY(NPCVar!$K$2:$N$12, ""Select N WHERE K='""&amp;AB898&amp;""'""))*TRUNC(1+10)*(TRUNC(MOD(($B898*1103515245 +12345)/ 65536, 32768),0)/32768)"),5.37849578857421)</f>
        <v>5.3784957885742104</v>
      </c>
      <c r="AG898" s="16"/>
      <c r="AH898" s="77"/>
      <c r="AI898" s="114"/>
    </row>
    <row r="899" spans="1:35" ht="16.2">
      <c r="A899" s="53">
        <v>898</v>
      </c>
      <c r="B899" s="118">
        <f t="shared" si="63"/>
        <v>0.72418000000000005</v>
      </c>
      <c r="C899" s="72" t="str">
        <f t="array" ref="C899">INDEX(NPCFName,TRUNC(1+(COUNTA(NPCFName))*(TRUNC(MOD(($B899*1103515245 +12345)/ 65536, 32768),0)/32768),0))</f>
        <v>Breen</v>
      </c>
      <c r="D899" s="16" t="str">
        <f t="array" ref="D899">INDEX(NPCLName,TRUNC(1+(COUNTA(NPCLName))*(TRUNC(MOD(($B899*1103515245 +12345)/ 65536, 32768),0)/32768),0))</f>
        <v>Fistroot</v>
      </c>
      <c r="E899" s="16" t="str">
        <f t="array" ref="E899">INDEX(NPCClass,TRUNC(1+(COUNTA(NPCClass))*(TRUNC(MOD(($B899*1103515245 +12345)/ 65536, 32768),0)/32768),0))</f>
        <v>Paladin</v>
      </c>
      <c r="F899" s="76">
        <v>3</v>
      </c>
      <c r="G899" s="153">
        <f ca="1">VLOOKUP($AB$2,'RF Mod'!$A$2:$G$12,2,FALSE)+VLOOKUP($AD$2,'RF Mod'!$I$2:$O$11,2,FALSE)+(TRUNC(6+(24-6)*(TRUNC(MOD(($Z899*1103515245 +12345)/ 65536, 32768),0)/32768),0))</f>
        <v>7</v>
      </c>
      <c r="H899" s="16">
        <f t="shared" ca="1" si="49"/>
        <v>-2</v>
      </c>
      <c r="I899" s="153">
        <f ca="1">VLOOKUP($AB$2,'RF Mod'!$A$2:$G$12,3,FALSE)+VLOOKUP($AD$2,'RF Mod'!$I$2:$O$11,3,FALSE)+(TRUNC(6+(24-6)*(TRUNC(MOD(($Z899*1103515245 +12345)/ 65536, 32768),0)/32768),0))</f>
        <v>11</v>
      </c>
      <c r="J899" s="16" t="e">
        <f t="shared" ca="1" si="50"/>
        <v>#NAME?</v>
      </c>
      <c r="K899" s="153">
        <f ca="1">VLOOKUP($AB$2,'RF Mod'!$A$2:$G$12,3,FALSE)+VLOOKUP($AD$2,'RF Mod'!$I$2:$O$11,3,FALSE)+(TRUNC(6+(24-6)*(TRUNC(MOD(($Z899*1103515245 +12345)/ 65536, 32768),0)/32768),0))</f>
        <v>11</v>
      </c>
      <c r="L899" s="16" t="e">
        <f t="shared" ca="1" si="51"/>
        <v>#NAME?</v>
      </c>
      <c r="M899" s="153">
        <f ca="1">VLOOKUP($AB$2,'RF Mod'!$A$2:$G$12,4,FALSE)+VLOOKUP($AD$2,'RF Mod'!$I$2:$O$11,4,FALSE)+(TRUNC(6+(24-6)*(TRUNC(MOD(($Z899*1103515245 +12345)/ 65536, 32768),0)/32768),0))</f>
        <v>10</v>
      </c>
      <c r="N899" s="16" t="e">
        <f t="shared" ca="1" si="52"/>
        <v>#NAME?</v>
      </c>
      <c r="O899" s="153">
        <f ca="1">VLOOKUP($AB$2,'RF Mod'!$A$2:$G$12,5,FALSE)+VLOOKUP($AD$2,'RF Mod'!$I$2:$O$11,5,FALSE)+(TRUNC(6+(24-6)*(TRUNC(MOD(($Z899*1103515245 +12345)/ 65536, 32768),0)/32768),0))</f>
        <v>13</v>
      </c>
      <c r="P899" s="16" t="e">
        <f t="shared" ca="1" si="53"/>
        <v>#NAME?</v>
      </c>
      <c r="Q899" s="153">
        <f ca="1">VLOOKUP($AB$2,'RF Mod'!$A$2:$G$12,6,FALSE)+VLOOKUP($AD$2,'RF Mod'!$I$2:$O$11,6,FALSE)+(TRUNC(6+(24-6)*(TRUNC(MOD(($Z899*1103515245 +12345)/ 65536, 32768),0)/32768),0))</f>
        <v>11</v>
      </c>
      <c r="R899" s="16" t="e">
        <f t="shared" ca="1" si="54"/>
        <v>#NAME?</v>
      </c>
      <c r="S899" s="154">
        <f t="shared" ca="1" si="59"/>
        <v>51</v>
      </c>
      <c r="T899" s="154">
        <f t="shared" ca="1" si="55"/>
        <v>35</v>
      </c>
      <c r="U899" s="16" t="str">
        <f t="shared" ca="1" si="56"/>
        <v>Bloody</v>
      </c>
      <c r="V899" s="155">
        <f ca="1">IFERROR(__xludf.DUMMYFUNCTION("if(W899=""Middle Age"",QUERY(NPCVar!$K$2:$N1000, ""Select L where K = '""&amp;AB899&amp;""'""),if(W899=""Old"",QUERY(NPCVar!$K$2:$N1000, ""Select M where K = '""&amp;AB899&amp;""'""),if(W899=""Venerable"",QUERY(NPCVar!$K$2:$N1000, ""Select N where K = '""&amp;AB899&amp;""'""),fa"&amp;"lse)))*X899"),60.75)</f>
        <v>60.75</v>
      </c>
      <c r="W899" s="156" t="str">
        <f t="array" ref="W899">INDEX(NPCAgeType,TRUNC(1+(4-1)*(TRUNC(MOD((X899*1103515245 +12345)/ 65536, 32768),0)/32768),0))</f>
        <v>Old</v>
      </c>
      <c r="X899" s="117">
        <f t="shared" si="61"/>
        <v>0.9</v>
      </c>
      <c r="Y899" s="157" t="e">
        <f t="array" aca="1" ref="Y899" ca="1">LOOKUP(ABS(MAX(Z899 + MIN(ABS(INDIRECT("Class Jobs!B"&amp;MATCH(E899,'Class Jobs'!$A$1:$A1000,0)&amp;":"&amp;"AF"&amp;MATCH(E899,'Class Jobs'!$A$1:$A1000,0)&amp;"")-$Z899)) * SUM(IF(MIN(ABS(INDIRECT("Class Jobs!B"&amp;MATCH(E899,'Class Jobs'!$A$1:$A1000,0)&amp;":"&amp;"AF"&amp;MATCH(E899,'Class Jobs'!$A$1:$A1000,0)&amp;"")-$Z899))=ABS(INDIRECT("Class Jobs!B"&amp;MATCH(E899,'Class Jobs'!$A$1:$A1000,0)&amp;":"&amp;"AF"&amp;MATCH(E899,'Class Jobs'!$A$1:$A1000,0)&amp;"")-$Z899),SIGN(INDIRECT("Class Jobs!B"&amp;MATCH(E899,'Class Jobs'!$A$1:A1000,0)&amp;":"&amp;"AF"&amp;MATCH(E899,'Class Jobs'!$A$1:$A1000,0)&amp;"")-$Z899),0)),0)),INDIRECT("Class Jobs!B"&amp;MATCH(E899,'Class Jobs'!$A$1:$A1000,0)&amp;":"&amp;"AF"&amp;MATCH(E899,'Class Jobs'!$A$1:$A1000,1)&amp;""),'Class Jobs'!$B$1:$AF$1)</f>
        <v>#REF!</v>
      </c>
      <c r="Z899" s="158">
        <f t="shared" si="57"/>
        <v>0.37</v>
      </c>
      <c r="AA899" s="16" t="str">
        <f t="array" ref="AA899">INDEX(NPCGender,TRUNC(1+(COUNTA(NPCGender))*(TRUNC(MOD(($B899*1103515245 +12345)/ 65536, 32768),0)/32768),0))</f>
        <v>Female</v>
      </c>
      <c r="AB899" s="16" t="str">
        <f t="array" ref="AB899">INDEX(NPCRace,TRUNC(1+(COUNTA(NPCRace))*(TRUNC(MOD(($B899*1103515245 +12345)/ 65536, 32768),0)/32768),0))</f>
        <v>Half-Elf</v>
      </c>
      <c r="AC899" s="16" t="str">
        <f t="array" ref="AC899">INDEX(NPCAL,TRUNC(1+(COUNTA(NPCAL))*(TRUNC(MOD(($B899*1103515245 +12345)/ 65536, 32768),0)/32768),0))</f>
        <v>NG</v>
      </c>
      <c r="AD899" s="72" t="str">
        <f ca="1">IFERROR(__xludf.DUMMYFUNCTION("if(V899&lt;15,QUERY(NPCVar!C:D,""Select D WHERE C = '""&amp;D899&amp;""'""),if((TRUNC(1+10)*(TRUNC(MOD((ROW(H899)*1103515245 +12345)/ 65536, 32768),0)/32768)/10) &gt; 0.85,INDEX(NPCFaction,TRUNC(1+(counta(NPCFaction)-1)*(TRUNC(MOD(($B899*1103515245 +12345)/ 65536, 3276"&amp;"8),0)/32768),0)),QUERY(NPCVar!C:D,""Select D WHERE C = '""&amp;D899&amp;""'"")))"),"Adventures Guild")</f>
        <v>Adventures Guild</v>
      </c>
      <c r="AE899" s="108" t="e">
        <f t="shared" ca="1" si="58"/>
        <v>#NAME?</v>
      </c>
      <c r="AF899" s="159">
        <f ca="1">IFERROR(__xludf.DUMMYFUNCTION("AE899*(V899 / QUERY(NPCVar!$K$2:$N$12, ""Select N WHERE K='""&amp;AB899&amp;""'""))*TRUNC(1+10)*(TRUNC(MOD(($B899*1103515245 +12345)/ 65536, 32768),0)/32768)"),0.552615051269531)</f>
        <v>0.55261505126953103</v>
      </c>
      <c r="AG899" s="16"/>
      <c r="AH899" s="77"/>
      <c r="AI899" s="114"/>
    </row>
    <row r="900" spans="1:35" ht="16.2">
      <c r="A900" s="53">
        <v>899</v>
      </c>
      <c r="B900" s="118">
        <f t="shared" si="63"/>
        <v>2.2183199999999998</v>
      </c>
      <c r="C900" s="72" t="str">
        <f t="array" ref="C900">INDEX(NPCFName,TRUNC(1+(COUNTA(NPCFName))*(TRUNC(MOD(($B900*1103515245 +12345)/ 65536, 32768),0)/32768),0))</f>
        <v>Ieserk</v>
      </c>
      <c r="D900" s="16" t="str">
        <f t="array" ref="D900">INDEX(NPCLName,TRUNC(1+(COUNTA(NPCLName))*(TRUNC(MOD(($B900*1103515245 +12345)/ 65536, 32768),0)/32768),0))</f>
        <v>Fistwing</v>
      </c>
      <c r="E900" s="16" t="str">
        <f t="array" ref="E900">INDEX(NPCClass,TRUNC(1+(COUNTA(NPCClass))*(TRUNC(MOD(($B900*1103515245 +12345)/ 65536, 32768),0)/32768),0))</f>
        <v>Bard</v>
      </c>
      <c r="F900" s="76">
        <v>1</v>
      </c>
      <c r="G900" s="153">
        <f ca="1">VLOOKUP($AB$2,'RF Mod'!$A$2:$G$12,2,FALSE)+VLOOKUP($AD$2,'RF Mod'!$I$2:$O$11,2,FALSE)+(TRUNC(6+(24-6)*(TRUNC(MOD(($Z900*1103515245 +12345)/ 65536, 32768),0)/32768),0))</f>
        <v>5</v>
      </c>
      <c r="H900" s="16">
        <f t="shared" ca="1" si="49"/>
        <v>-3</v>
      </c>
      <c r="I900" s="153">
        <f ca="1">VLOOKUP($AB$2,'RF Mod'!$A$2:$G$12,3,FALSE)+VLOOKUP($AD$2,'RF Mod'!$I$2:$O$11,3,FALSE)+(TRUNC(6+(24-6)*(TRUNC(MOD(($Z900*1103515245 +12345)/ 65536, 32768),0)/32768),0))</f>
        <v>9</v>
      </c>
      <c r="J900" s="16">
        <f t="shared" ca="1" si="50"/>
        <v>-1</v>
      </c>
      <c r="K900" s="153">
        <f ca="1">VLOOKUP($AB$2,'RF Mod'!$A$2:$G$12,3,FALSE)+VLOOKUP($AD$2,'RF Mod'!$I$2:$O$11,3,FALSE)+(TRUNC(6+(24-6)*(TRUNC(MOD(($Z900*1103515245 +12345)/ 65536, 32768),0)/32768),0))</f>
        <v>9</v>
      </c>
      <c r="L900" s="16">
        <f t="shared" ca="1" si="51"/>
        <v>-1</v>
      </c>
      <c r="M900" s="153">
        <f ca="1">VLOOKUP($AB$2,'RF Mod'!$A$2:$G$12,4,FALSE)+VLOOKUP($AD$2,'RF Mod'!$I$2:$O$11,4,FALSE)+(TRUNC(6+(24-6)*(TRUNC(MOD(($Z900*1103515245 +12345)/ 65536, 32768),0)/32768),0))</f>
        <v>8</v>
      </c>
      <c r="N900" s="16">
        <f t="shared" ca="1" si="52"/>
        <v>-1</v>
      </c>
      <c r="O900" s="153">
        <f ca="1">VLOOKUP($AB$2,'RF Mod'!$A$2:$G$12,5,FALSE)+VLOOKUP($AD$2,'RF Mod'!$I$2:$O$11,5,FALSE)+(TRUNC(6+(24-6)*(TRUNC(MOD(($Z900*1103515245 +12345)/ 65536, 32768),0)/32768),0))</f>
        <v>11</v>
      </c>
      <c r="P900" s="16" t="e">
        <f t="shared" ca="1" si="53"/>
        <v>#NAME?</v>
      </c>
      <c r="Q900" s="153">
        <f ca="1">VLOOKUP($AB$2,'RF Mod'!$A$2:$G$12,6,FALSE)+VLOOKUP($AD$2,'RF Mod'!$I$2:$O$11,6,FALSE)+(TRUNC(6+(24-6)*(TRUNC(MOD(($Z900*1103515245 +12345)/ 65536, 32768),0)/32768),0))</f>
        <v>9</v>
      </c>
      <c r="R900" s="16">
        <f t="shared" ca="1" si="54"/>
        <v>-1</v>
      </c>
      <c r="S900" s="154">
        <f t="shared" ca="1" si="59"/>
        <v>11</v>
      </c>
      <c r="T900" s="154">
        <f t="shared" ca="1" si="55"/>
        <v>2</v>
      </c>
      <c r="U900" s="16" t="str">
        <f t="shared" ca="1" si="56"/>
        <v>Fine</v>
      </c>
      <c r="V900" s="155">
        <f ca="1">IFERROR(__xludf.DUMMYFUNCTION("if(W900=""Middle Age"",QUERY(NPCVar!$K$2:$N1000, ""Select L where K = '""&amp;AB900&amp;""'""),if(W900=""Old"",QUERY(NPCVar!$K$2:$N1000, ""Select M where K = '""&amp;AB900&amp;""'""),if(W900=""Venerable"",QUERY(NPCVar!$K$2:$N1000, ""Select N where K = '""&amp;AB900&amp;""'""),fa"&amp;"lse)))*X900"),32)</f>
        <v>32</v>
      </c>
      <c r="W900" s="156" t="str">
        <f t="array" ref="W900">INDEX(NPCAgeType,TRUNC(1+(4-1)*(TRUNC(MOD((X900*1103515245 +12345)/ 65536, 32768),0)/32768),0))</f>
        <v>Middle Age</v>
      </c>
      <c r="X900" s="117">
        <f t="shared" si="61"/>
        <v>0.4</v>
      </c>
      <c r="Y900" s="157" t="e">
        <f t="array" aca="1" ref="Y900" ca="1">LOOKUP(ABS(MAX(Z900 + MIN(ABS(INDIRECT("Class Jobs!B"&amp;MATCH(E900,'Class Jobs'!$A$1:$A1000,0)&amp;":"&amp;"AF"&amp;MATCH(E900,'Class Jobs'!$A$1:$A1000,0)&amp;"")-$Z900)) * SUM(IF(MIN(ABS(INDIRECT("Class Jobs!B"&amp;MATCH(E900,'Class Jobs'!$A$1:$A1000,0)&amp;":"&amp;"AF"&amp;MATCH(E900,'Class Jobs'!$A$1:$A1000,0)&amp;"")-$Z900))=ABS(INDIRECT("Class Jobs!B"&amp;MATCH(E900,'Class Jobs'!$A$1:$A1000,0)&amp;":"&amp;"AF"&amp;MATCH(E900,'Class Jobs'!$A$1:$A1000,0)&amp;"")-$Z900),SIGN(INDIRECT("Class Jobs!B"&amp;MATCH(E900,'Class Jobs'!$A$1:A1000,0)&amp;":"&amp;"AF"&amp;MATCH(E900,'Class Jobs'!$A$1:$A1000,0)&amp;"")-$Z900),0)),0)),INDIRECT("Class Jobs!B"&amp;MATCH(E900,'Class Jobs'!$A$1:$A1000,0)&amp;":"&amp;"AF"&amp;MATCH(E900,'Class Jobs'!$A$1:$A1000,1)&amp;""),'Class Jobs'!$B$1:$AF$1)</f>
        <v>#REF!</v>
      </c>
      <c r="Z900" s="158">
        <f t="shared" si="57"/>
        <v>0.14000000000000001</v>
      </c>
      <c r="AA900" s="16" t="str">
        <f t="array" ref="AA900">INDEX(NPCGender,TRUNC(1+(COUNTA(NPCGender))*(TRUNC(MOD(($B900*1103515245 +12345)/ 65536, 32768),0)/32768),0))</f>
        <v>Male</v>
      </c>
      <c r="AB900" s="16" t="str">
        <f t="array" ref="AB900">INDEX(NPCRace,TRUNC(1+(COUNTA(NPCRace))*(TRUNC(MOD(($B900*1103515245 +12345)/ 65536, 32768),0)/32768),0))</f>
        <v>Dwarf</v>
      </c>
      <c r="AC900" s="16" t="str">
        <f t="array" ref="AC900">INDEX(NPCAL,TRUNC(1+(COUNTA(NPCAL))*(TRUNC(MOD(($B900*1103515245 +12345)/ 65536, 32768),0)/32768),0))</f>
        <v>CE</v>
      </c>
      <c r="AD900" s="72" t="str">
        <f ca="1">IFERROR(__xludf.DUMMYFUNCTION("if(V900&lt;15,QUERY(NPCVar!C:D,""Select D WHERE C = '""&amp;D900&amp;""'""),if((TRUNC(1+10)*(TRUNC(MOD((ROW(H900)*1103515245 +12345)/ 65536, 32768),0)/32768)/10) &gt; 0.85,INDEX(NPCFaction,TRUNC(1+(counta(NPCFaction)-1)*(TRUNC(MOD(($B900*1103515245 +12345)/ 65536, 3276"&amp;"8),0)/32768),0)),QUERY(NPCVar!C:D,""Select D WHERE C = '""&amp;D900&amp;""'"")))"),"Royalty")</f>
        <v>Royalty</v>
      </c>
      <c r="AE900" s="108" t="e">
        <f t="shared" ca="1" si="58"/>
        <v>#NAME?</v>
      </c>
      <c r="AF900" s="159">
        <f ca="1">IFERROR(__xludf.DUMMYFUNCTION("AE900*(V900 / QUERY(NPCVar!$K$2:$N$12, ""Select N WHERE K='""&amp;AB900&amp;""'""))*TRUNC(1+10)*(TRUNC(MOD(($B900*1103515245 +12345)/ 65536, 32768),0)/32768)"),0.0923291015625)</f>
        <v>9.2329101562500002E-2</v>
      </c>
      <c r="AG900" s="16"/>
      <c r="AH900" s="77"/>
      <c r="AI900" s="114"/>
    </row>
    <row r="901" spans="1:35" ht="16.2">
      <c r="A901" s="53">
        <v>900</v>
      </c>
      <c r="B901" s="118">
        <f t="shared" si="63"/>
        <v>1.2124600000000001</v>
      </c>
      <c r="C901" s="72" t="str">
        <f t="array" ref="C901">INDEX(NPCFName,TRUNC(1+(COUNTA(NPCFName))*(TRUNC(MOD(($B901*1103515245 +12345)/ 65536, 32768),0)/32768),0))</f>
        <v>Tousba</v>
      </c>
      <c r="D901" s="16" t="str">
        <f t="array" ref="D901">INDEX(NPCLName,TRUNC(1+(COUNTA(NPCLName))*(TRUNC(MOD(($B901*1103515245 +12345)/ 65536, 32768),0)/32768),0))</f>
        <v>Gloomrage</v>
      </c>
      <c r="E901" s="16" t="str">
        <f t="array" ref="E901">INDEX(NPCClass,TRUNC(1+(COUNTA(NPCClass))*(TRUNC(MOD(($B901*1103515245 +12345)/ 65536, 32768),0)/32768),0))</f>
        <v>Warlock</v>
      </c>
      <c r="F901" s="76">
        <v>8</v>
      </c>
      <c r="G901" s="153">
        <f ca="1">VLOOKUP($AB$2,'RF Mod'!$A$2:$G$12,2,FALSE)+VLOOKUP($AD$2,'RF Mod'!$I$2:$O$11,2,FALSE)+(TRUNC(6+(24-6)*(TRUNC(MOD(($Z901*1103515245 +12345)/ 65536, 32768),0)/32768),0))</f>
        <v>9</v>
      </c>
      <c r="H901" s="16">
        <f t="shared" ca="1" si="49"/>
        <v>-1</v>
      </c>
      <c r="I901" s="153">
        <f ca="1">VLOOKUP($AB$2,'RF Mod'!$A$2:$G$12,3,FALSE)+VLOOKUP($AD$2,'RF Mod'!$I$2:$O$11,3,FALSE)+(TRUNC(6+(24-6)*(TRUNC(MOD(($Z901*1103515245 +12345)/ 65536, 32768),0)/32768),0))</f>
        <v>13</v>
      </c>
      <c r="J901" s="16" t="e">
        <f t="shared" ca="1" si="50"/>
        <v>#NAME?</v>
      </c>
      <c r="K901" s="153">
        <f ca="1">VLOOKUP($AB$2,'RF Mod'!$A$2:$G$12,3,FALSE)+VLOOKUP($AD$2,'RF Mod'!$I$2:$O$11,3,FALSE)+(TRUNC(6+(24-6)*(TRUNC(MOD(($Z901*1103515245 +12345)/ 65536, 32768),0)/32768),0))</f>
        <v>13</v>
      </c>
      <c r="L901" s="16" t="e">
        <f t="shared" ca="1" si="51"/>
        <v>#NAME?</v>
      </c>
      <c r="M901" s="153">
        <f ca="1">VLOOKUP($AB$2,'RF Mod'!$A$2:$G$12,4,FALSE)+VLOOKUP($AD$2,'RF Mod'!$I$2:$O$11,4,FALSE)+(TRUNC(6+(24-6)*(TRUNC(MOD(($Z901*1103515245 +12345)/ 65536, 32768),0)/32768),0))</f>
        <v>12</v>
      </c>
      <c r="N901" s="16" t="e">
        <f t="shared" ca="1" si="52"/>
        <v>#NAME?</v>
      </c>
      <c r="O901" s="153">
        <f ca="1">VLOOKUP($AB$2,'RF Mod'!$A$2:$G$12,5,FALSE)+VLOOKUP($AD$2,'RF Mod'!$I$2:$O$11,5,FALSE)+(TRUNC(6+(24-6)*(TRUNC(MOD(($Z901*1103515245 +12345)/ 65536, 32768),0)/32768),0))</f>
        <v>15</v>
      </c>
      <c r="P901" s="16" t="e">
        <f t="shared" ca="1" si="53"/>
        <v>#NAME?</v>
      </c>
      <c r="Q901" s="153">
        <f ca="1">VLOOKUP($AB$2,'RF Mod'!$A$2:$G$12,6,FALSE)+VLOOKUP($AD$2,'RF Mod'!$I$2:$O$11,6,FALSE)+(TRUNC(6+(24-6)*(TRUNC(MOD(($Z901*1103515245 +12345)/ 65536, 32768),0)/32768),0))</f>
        <v>13</v>
      </c>
      <c r="R901" s="16" t="e">
        <f t="shared" ca="1" si="54"/>
        <v>#NAME?</v>
      </c>
      <c r="S901" s="154">
        <f t="shared" ca="1" si="59"/>
        <v>136</v>
      </c>
      <c r="T901" s="154">
        <f t="shared" ca="1" si="55"/>
        <v>78</v>
      </c>
      <c r="U901" s="16" t="str">
        <f t="shared" ca="1" si="56"/>
        <v>Bloody</v>
      </c>
      <c r="V901" s="155">
        <f ca="1">IFERROR(__xludf.DUMMYFUNCTION("if(W901=""Middle Age"",QUERY(NPCVar!$K$2:$N1000, ""Select L where K = '""&amp;AB901&amp;""'""),if(W901=""Old"",QUERY(NPCVar!$K$2:$N1000, ""Select M where K = '""&amp;AB901&amp;""'""),if(W901=""Venerable"",QUERY(NPCVar!$K$2:$N1000, ""Select N where K = '""&amp;AB901&amp;""'""),fa"&amp;"lse)))*X901"),300)</f>
        <v>300</v>
      </c>
      <c r="W901" s="156" t="str">
        <f t="array" ref="W901">INDEX(NPCAgeType,TRUNC(1+(4-1)*(TRUNC(MOD((X901*1103515245 +12345)/ 65536, 32768),0)/32768),0))</f>
        <v>Venerable</v>
      </c>
      <c r="X901" s="117">
        <f t="shared" si="61"/>
        <v>1.5</v>
      </c>
      <c r="Y901" s="157" t="e">
        <f t="array" aca="1" ref="Y901" ca="1">LOOKUP(ABS(MAX(Z901 + MIN(ABS(INDIRECT("Class Jobs!B"&amp;MATCH(E901,'Class Jobs'!$A$1:$A1000,0)&amp;":"&amp;"AF"&amp;MATCH(E901,'Class Jobs'!$A$1:$A1000,0)&amp;"")-$Z901)) * SUM(IF(MIN(ABS(INDIRECT("Class Jobs!B"&amp;MATCH(E901,'Class Jobs'!$A$1:$A1000,0)&amp;":"&amp;"AF"&amp;MATCH(E901,'Class Jobs'!$A$1:$A1000,0)&amp;"")-$Z901))=ABS(INDIRECT("Class Jobs!B"&amp;MATCH(E901,'Class Jobs'!$A$1:$A1000,0)&amp;":"&amp;"AF"&amp;MATCH(E901,'Class Jobs'!$A$1:$A1000,0)&amp;"")-$Z901),SIGN(INDIRECT("Class Jobs!B"&amp;MATCH(E901,'Class Jobs'!$A$1:A1000,0)&amp;":"&amp;"AF"&amp;MATCH(E901,'Class Jobs'!$A$1:$A1000,0)&amp;"")-$Z901),0)),0)),INDIRECT("Class Jobs!B"&amp;MATCH(E901,'Class Jobs'!$A$1:$A1000,0)&amp;":"&amp;"AF"&amp;MATCH(E901,'Class Jobs'!$A$1:$A1000,1)&amp;""),'Class Jobs'!$B$1:$AF$1)</f>
        <v>#REF!</v>
      </c>
      <c r="Z901" s="158">
        <f t="shared" si="57"/>
        <v>0.62</v>
      </c>
      <c r="AA901" s="16" t="str">
        <f t="array" ref="AA901">INDEX(NPCGender,TRUNC(1+(COUNTA(NPCGender))*(TRUNC(MOD(($B901*1103515245 +12345)/ 65536, 32768),0)/32768),0))</f>
        <v>Female</v>
      </c>
      <c r="AB901" s="16" t="str">
        <f t="array" ref="AB901">INDEX(NPCRace,TRUNC(1+(COUNTA(NPCRace))*(TRUNC(MOD(($B901*1103515245 +12345)/ 65536, 32768),0)/32768),0))</f>
        <v>Halfling</v>
      </c>
      <c r="AC901" s="16" t="str">
        <f t="array" ref="AC901">INDEX(NPCAL,TRUNC(1+(COUNTA(NPCAL))*(TRUNC(MOD(($B901*1103515245 +12345)/ 65536, 32768),0)/32768),0))</f>
        <v>NE</v>
      </c>
      <c r="AD901" s="72" t="str">
        <f ca="1">IFERROR(__xludf.DUMMYFUNCTION("if(V901&lt;15,QUERY(NPCVar!C:D,""Select D WHERE C = '""&amp;D901&amp;""'""),if((TRUNC(1+10)*(TRUNC(MOD((ROW(H901)*1103515245 +12345)/ 65536, 32768),0)/32768)/10) &gt; 0.85,INDEX(NPCFaction,TRUNC(1+(counta(NPCFaction)-1)*(TRUNC(MOD(($B901*1103515245 +12345)/ 65536, 3276"&amp;"8),0)/32768),0)),QUERY(NPCVar!C:D,""Select D WHERE C = '""&amp;D901&amp;""'"")))"),"Death Guild")</f>
        <v>Death Guild</v>
      </c>
      <c r="AE901" s="108" t="e">
        <f t="shared" ca="1" si="58"/>
        <v>#NAME?</v>
      </c>
      <c r="AF901" s="159">
        <f ca="1">IFERROR(__xludf.DUMMYFUNCTION("AE901*(V901 / QUERY(NPCVar!$K$2:$N$12, ""Select N WHERE K='""&amp;AB901&amp;""'""))*TRUNC(1+10)*(TRUNC(MOD(($B901*1103515245 +12345)/ 65536, 32768),0)/32768)"),6.16786193847656)</f>
        <v>6.1678619384765598</v>
      </c>
      <c r="AG901" s="16"/>
      <c r="AH901" s="77"/>
      <c r="AI901" s="114"/>
    </row>
    <row r="902" spans="1:35" ht="16.2">
      <c r="A902" s="53">
        <v>901</v>
      </c>
      <c r="B902" s="118">
        <f t="shared" si="63"/>
        <v>0.20660999999999999</v>
      </c>
      <c r="C902" s="72" t="str">
        <f t="array" ref="C902">INDEX(NPCFName,TRUNC(1+(COUNTA(NPCFName))*(TRUNC(MOD(($B902*1103515245 +12345)/ 65536, 32768),0)/32768),0))</f>
        <v>Fenrirr</v>
      </c>
      <c r="D902" s="16" t="str">
        <f t="array" ref="D902">INDEX(NPCLName,TRUNC(1+(COUNTA(NPCLName))*(TRUNC(MOD(($B902*1103515245 +12345)/ 65536, 32768),0)/32768),0))</f>
        <v>Distantlash</v>
      </c>
      <c r="E902" s="16" t="str">
        <f t="array" ref="E902">INDEX(NPCClass,TRUNC(1+(COUNTA(NPCClass))*(TRUNC(MOD(($B902*1103515245 +12345)/ 65536, 32768),0)/32768),0))</f>
        <v>Bard</v>
      </c>
      <c r="F902" s="76">
        <v>1</v>
      </c>
      <c r="G902" s="153">
        <f ca="1">VLOOKUP($AB$2,'RF Mod'!$A$2:$G$12,2,FALSE)+VLOOKUP($AD$2,'RF Mod'!$I$2:$O$11,2,FALSE)+(TRUNC(6+(24-6)*(TRUNC(MOD(($Z902*1103515245 +12345)/ 65536, 32768),0)/32768),0))</f>
        <v>5</v>
      </c>
      <c r="H902" s="16">
        <f t="shared" ca="1" si="49"/>
        <v>-3</v>
      </c>
      <c r="I902" s="153">
        <f ca="1">VLOOKUP($AB$2,'RF Mod'!$A$2:$G$12,3,FALSE)+VLOOKUP($AD$2,'RF Mod'!$I$2:$O$11,3,FALSE)+(TRUNC(6+(24-6)*(TRUNC(MOD(($Z902*1103515245 +12345)/ 65536, 32768),0)/32768),0))</f>
        <v>9</v>
      </c>
      <c r="J902" s="16">
        <f t="shared" ca="1" si="50"/>
        <v>-1</v>
      </c>
      <c r="K902" s="153">
        <f ca="1">VLOOKUP($AB$2,'RF Mod'!$A$2:$G$12,3,FALSE)+VLOOKUP($AD$2,'RF Mod'!$I$2:$O$11,3,FALSE)+(TRUNC(6+(24-6)*(TRUNC(MOD(($Z902*1103515245 +12345)/ 65536, 32768),0)/32768),0))</f>
        <v>9</v>
      </c>
      <c r="L902" s="16">
        <f t="shared" ca="1" si="51"/>
        <v>-1</v>
      </c>
      <c r="M902" s="153">
        <f ca="1">VLOOKUP($AB$2,'RF Mod'!$A$2:$G$12,4,FALSE)+VLOOKUP($AD$2,'RF Mod'!$I$2:$O$11,4,FALSE)+(TRUNC(6+(24-6)*(TRUNC(MOD(($Z902*1103515245 +12345)/ 65536, 32768),0)/32768),0))</f>
        <v>8</v>
      </c>
      <c r="N902" s="16">
        <f t="shared" ca="1" si="52"/>
        <v>-1</v>
      </c>
      <c r="O902" s="153">
        <f ca="1">VLOOKUP($AB$2,'RF Mod'!$A$2:$G$12,5,FALSE)+VLOOKUP($AD$2,'RF Mod'!$I$2:$O$11,5,FALSE)+(TRUNC(6+(24-6)*(TRUNC(MOD(($Z902*1103515245 +12345)/ 65536, 32768),0)/32768),0))</f>
        <v>11</v>
      </c>
      <c r="P902" s="16" t="e">
        <f t="shared" ca="1" si="53"/>
        <v>#NAME?</v>
      </c>
      <c r="Q902" s="153">
        <f ca="1">VLOOKUP($AB$2,'RF Mod'!$A$2:$G$12,6,FALSE)+VLOOKUP($AD$2,'RF Mod'!$I$2:$O$11,6,FALSE)+(TRUNC(6+(24-6)*(TRUNC(MOD(($Z902*1103515245 +12345)/ 65536, 32768),0)/32768),0))</f>
        <v>9</v>
      </c>
      <c r="R902" s="16">
        <f t="shared" ca="1" si="54"/>
        <v>-1</v>
      </c>
      <c r="S902" s="154">
        <f t="shared" ca="1" si="59"/>
        <v>11</v>
      </c>
      <c r="T902" s="154">
        <f t="shared" ca="1" si="55"/>
        <v>8</v>
      </c>
      <c r="U902" s="16" t="str">
        <f t="shared" ca="1" si="56"/>
        <v>Bloody</v>
      </c>
      <c r="V902" s="155">
        <f ca="1">IFERROR(__xludf.DUMMYFUNCTION("if(W902=""Middle Age"",QUERY(NPCVar!$K$2:$N1000, ""Select L where K = '""&amp;AB902&amp;""'""),if(W902=""Old"",QUERY(NPCVar!$K$2:$N1000, ""Select M where K = '""&amp;AB902&amp;""'""),if(W902=""Venerable"",QUERY(NPCVar!$K$2:$N1000, ""Select N where K = '""&amp;AB902&amp;""'""),fa"&amp;"lse)))*X902"),24)</f>
        <v>24</v>
      </c>
      <c r="W902" s="156" t="str">
        <f t="array" ref="W902">INDEX(NPCAgeType,TRUNC(1+(4-1)*(TRUNC(MOD((X902*1103515245 +12345)/ 65536, 32768),0)/32768),0))</f>
        <v>Middle Age</v>
      </c>
      <c r="X902" s="117">
        <f t="shared" si="61"/>
        <v>0.3</v>
      </c>
      <c r="Y902" s="157" t="e">
        <f t="array" aca="1" ref="Y902" ca="1">LOOKUP(ABS(MAX(Z902 + MIN(ABS(INDIRECT("Class Jobs!B"&amp;MATCH(E902,'Class Jobs'!$A$1:$A1000,0)&amp;":"&amp;"AF"&amp;MATCH(E902,'Class Jobs'!$A$1:$A1000,0)&amp;"")-$Z902)) * SUM(IF(MIN(ABS(INDIRECT("Class Jobs!B"&amp;MATCH(E902,'Class Jobs'!$A$1:$A1000,0)&amp;":"&amp;"AF"&amp;MATCH(E902,'Class Jobs'!$A$1:$A1000,0)&amp;"")-$Z902))=ABS(INDIRECT("Class Jobs!B"&amp;MATCH(E902,'Class Jobs'!$A$1:$A1000,0)&amp;":"&amp;"AF"&amp;MATCH(E902,'Class Jobs'!$A$1:$A1000,0)&amp;"")-$Z902),SIGN(INDIRECT("Class Jobs!B"&amp;MATCH(E902,'Class Jobs'!$A$1:A1000,0)&amp;":"&amp;"AF"&amp;MATCH(E902,'Class Jobs'!$A$1:$A1000,0)&amp;"")-$Z902),0)),0)),INDIRECT("Class Jobs!B"&amp;MATCH(E902,'Class Jobs'!$A$1:$A1000,0)&amp;":"&amp;"AF"&amp;MATCH(E902,'Class Jobs'!$A$1:$A1000,1)&amp;""),'Class Jobs'!$B$1:$AF$1)</f>
        <v>#REF!</v>
      </c>
      <c r="Z902" s="158">
        <f t="shared" si="57"/>
        <v>0.11</v>
      </c>
      <c r="AA902" s="16" t="str">
        <f t="array" ref="AA902">INDEX(NPCGender,TRUNC(1+(COUNTA(NPCGender))*(TRUNC(MOD(($B902*1103515245 +12345)/ 65536, 32768),0)/32768),0))</f>
        <v>Male</v>
      </c>
      <c r="AB902" s="16" t="str">
        <f t="array" ref="AB902">INDEX(NPCRace,TRUNC(1+(COUNTA(NPCRace))*(TRUNC(MOD(($B902*1103515245 +12345)/ 65536, 32768),0)/32768),0))</f>
        <v>Dwarf</v>
      </c>
      <c r="AC902" s="16" t="str">
        <f t="array" ref="AC902">INDEX(NPCAL,TRUNC(1+(COUNTA(NPCAL))*(TRUNC(MOD(($B902*1103515245 +12345)/ 65536, 32768),0)/32768),0))</f>
        <v>CN</v>
      </c>
      <c r="AD902" s="72" t="str">
        <f ca="1">IFERROR(__xludf.DUMMYFUNCTION("if(V902&lt;15,QUERY(NPCVar!C:D,""Select D WHERE C = '""&amp;D902&amp;""'""),if((TRUNC(1+10)*(TRUNC(MOD((ROW(H902)*1103515245 +12345)/ 65536, 32768),0)/32768)/10) &gt; 0.85,INDEX(NPCFaction,TRUNC(1+(counta(NPCFaction)-1)*(TRUNC(MOD(($B902*1103515245 +12345)/ 65536, 3276"&amp;"8),0)/32768),0)),QUERY(NPCVar!C:D,""Select D WHERE C = '""&amp;D902&amp;""'"")))"),"Death Guild")</f>
        <v>Death Guild</v>
      </c>
      <c r="AE902" s="108" t="e">
        <f t="shared" ca="1" si="58"/>
        <v>#NAME?</v>
      </c>
      <c r="AF902" s="159">
        <f ca="1">IFERROR(__xludf.DUMMYFUNCTION("AE902*(V902 / QUERY(NPCVar!$K$2:$N$12, ""Select N WHERE K='""&amp;AB902&amp;""'""))*TRUNC(1+10)*(TRUNC(MOD(($B902*1103515245 +12345)/ 65536, 32768),0)/32768)"),0.0525544738769531)</f>
        <v>5.2554473876953098E-2</v>
      </c>
      <c r="AG902" s="16"/>
      <c r="AH902" s="77"/>
      <c r="AI902" s="114"/>
    </row>
    <row r="903" spans="1:35" ht="16.2">
      <c r="A903" s="53">
        <v>902</v>
      </c>
      <c r="B903" s="118">
        <f t="shared" si="63"/>
        <v>1.7006699999999999</v>
      </c>
      <c r="C903" s="72" t="str">
        <f t="array" ref="C903">INDEX(NPCFName,TRUNC(1+(COUNTA(NPCFName))*(TRUNC(MOD(($B903*1103515245 +12345)/ 65536, 32768),0)/32768),0))</f>
        <v>Nothar</v>
      </c>
      <c r="D903" s="16" t="str">
        <f t="array" ref="D903">INDEX(NPCLName,TRUNC(1+(COUNTA(NPCLName))*(TRUNC(MOD(($B903*1103515245 +12345)/ 65536, 32768),0)/32768),0))</f>
        <v>Forestbluff</v>
      </c>
      <c r="E903" s="16" t="str">
        <f t="array" ref="E903">INDEX(NPCClass,TRUNC(1+(COUNTA(NPCClass))*(TRUNC(MOD(($B903*1103515245 +12345)/ 65536, 32768),0)/32768),0))</f>
        <v>Fighter</v>
      </c>
      <c r="F903" s="76">
        <v>8</v>
      </c>
      <c r="G903" s="153">
        <f ca="1">VLOOKUP($AB$2,'RF Mod'!$A$2:$G$12,2,FALSE)+VLOOKUP($AD$2,'RF Mod'!$I$2:$O$11,2,FALSE)+(TRUNC(6+(24-6)*(TRUNC(MOD(($Z903*1103515245 +12345)/ 65536, 32768),0)/32768),0))</f>
        <v>12</v>
      </c>
      <c r="H903" s="16" t="e">
        <f t="shared" ca="1" si="49"/>
        <v>#NAME?</v>
      </c>
      <c r="I903" s="153">
        <f ca="1">VLOOKUP($AB$2,'RF Mod'!$A$2:$G$12,3,FALSE)+VLOOKUP($AD$2,'RF Mod'!$I$2:$O$11,3,FALSE)+(TRUNC(6+(24-6)*(TRUNC(MOD(($Z903*1103515245 +12345)/ 65536, 32768),0)/32768),0))</f>
        <v>16</v>
      </c>
      <c r="J903" s="16" t="e">
        <f t="shared" ca="1" si="50"/>
        <v>#NAME?</v>
      </c>
      <c r="K903" s="153">
        <f ca="1">VLOOKUP($AB$2,'RF Mod'!$A$2:$G$12,3,FALSE)+VLOOKUP($AD$2,'RF Mod'!$I$2:$O$11,3,FALSE)+(TRUNC(6+(24-6)*(TRUNC(MOD(($Z903*1103515245 +12345)/ 65536, 32768),0)/32768),0))</f>
        <v>16</v>
      </c>
      <c r="L903" s="16" t="e">
        <f t="shared" ca="1" si="51"/>
        <v>#NAME?</v>
      </c>
      <c r="M903" s="153">
        <f ca="1">VLOOKUP($AB$2,'RF Mod'!$A$2:$G$12,4,FALSE)+VLOOKUP($AD$2,'RF Mod'!$I$2:$O$11,4,FALSE)+(TRUNC(6+(24-6)*(TRUNC(MOD(($Z903*1103515245 +12345)/ 65536, 32768),0)/32768),0))</f>
        <v>15</v>
      </c>
      <c r="N903" s="16" t="e">
        <f t="shared" ca="1" si="52"/>
        <v>#NAME?</v>
      </c>
      <c r="O903" s="153">
        <f ca="1">VLOOKUP($AB$2,'RF Mod'!$A$2:$G$12,5,FALSE)+VLOOKUP($AD$2,'RF Mod'!$I$2:$O$11,5,FALSE)+(TRUNC(6+(24-6)*(TRUNC(MOD(($Z903*1103515245 +12345)/ 65536, 32768),0)/32768),0))</f>
        <v>18</v>
      </c>
      <c r="P903" s="16" t="e">
        <f t="shared" ca="1" si="53"/>
        <v>#NAME?</v>
      </c>
      <c r="Q903" s="153">
        <f ca="1">VLOOKUP($AB$2,'RF Mod'!$A$2:$G$12,6,FALSE)+VLOOKUP($AD$2,'RF Mod'!$I$2:$O$11,6,FALSE)+(TRUNC(6+(24-6)*(TRUNC(MOD(($Z903*1103515245 +12345)/ 65536, 32768),0)/32768),0))</f>
        <v>16</v>
      </c>
      <c r="R903" s="16" t="e">
        <f t="shared" ca="1" si="54"/>
        <v>#NAME?</v>
      </c>
      <c r="S903" s="154">
        <f t="shared" ca="1" si="59"/>
        <v>224</v>
      </c>
      <c r="T903" s="154">
        <f t="shared" ca="1" si="55"/>
        <v>107</v>
      </c>
      <c r="U903" s="16" t="str">
        <f t="shared" ca="1" si="56"/>
        <v>Fine</v>
      </c>
      <c r="V903" s="155">
        <f ca="1">IFERROR(__xludf.DUMMYFUNCTION("if(W903=""Middle Age"",QUERY(NPCVar!$K$2:$N1000, ""Select L where K = '""&amp;AB903&amp;""'""),if(W903=""Old"",QUERY(NPCVar!$K$2:$N1000, ""Select M where K = '""&amp;AB903&amp;""'""),if(W903=""Venerable"",QUERY(NPCVar!$K$2:$N1000, ""Select N where K = '""&amp;AB903&amp;""'""),fa"&amp;"lse)))*X903"),57.75)</f>
        <v>57.75</v>
      </c>
      <c r="W903" s="156" t="str">
        <f t="array" ref="W903">INDEX(NPCAgeType,TRUNC(1+(4-1)*(TRUNC(MOD((X903*1103515245 +12345)/ 65536, 32768),0)/32768),0))</f>
        <v>Middle Age</v>
      </c>
      <c r="X903" s="117">
        <f t="shared" si="61"/>
        <v>2.1</v>
      </c>
      <c r="Y903" s="157" t="e">
        <f t="array" aca="1" ref="Y903" ca="1">LOOKUP(ABS(MAX(Z903 + MIN(ABS(INDIRECT("Class Jobs!B"&amp;MATCH(E903,'Class Jobs'!$A$1:$A1000,0)&amp;":"&amp;"AF"&amp;MATCH(E903,'Class Jobs'!$A$1:$A1000,0)&amp;"")-$Z903)) * SUM(IF(MIN(ABS(INDIRECT("Class Jobs!B"&amp;MATCH(E903,'Class Jobs'!$A$1:$A1000,0)&amp;":"&amp;"AF"&amp;MATCH(E903,'Class Jobs'!$A$1:$A1000,0)&amp;"")-$Z903))=ABS(INDIRECT("Class Jobs!B"&amp;MATCH(E903,'Class Jobs'!$A$1:$A1000,0)&amp;":"&amp;"AF"&amp;MATCH(E903,'Class Jobs'!$A$1:$A1000,0)&amp;"")-$Z903),SIGN(INDIRECT("Class Jobs!B"&amp;MATCH(E903,'Class Jobs'!$A$1:A1000,0)&amp;":"&amp;"AF"&amp;MATCH(E903,'Class Jobs'!$A$1:$A1000,0)&amp;"")-$Z903),0)),0)),INDIRECT("Class Jobs!B"&amp;MATCH(E903,'Class Jobs'!$A$1:$A1000,0)&amp;":"&amp;"AF"&amp;MATCH(E903,'Class Jobs'!$A$1:$A1000,1)&amp;""),'Class Jobs'!$B$1:$AF$1)</f>
        <v>#REF!</v>
      </c>
      <c r="Z903" s="158">
        <f t="shared" si="57"/>
        <v>0.87</v>
      </c>
      <c r="AA903" s="16" t="str">
        <f t="array" ref="AA903">INDEX(NPCGender,TRUNC(1+(COUNTA(NPCGender))*(TRUNC(MOD(($B903*1103515245 +12345)/ 65536, 32768),0)/32768),0))</f>
        <v>Neutral</v>
      </c>
      <c r="AB903" s="16" t="str">
        <f t="array" ref="AB903">INDEX(NPCRace,TRUNC(1+(COUNTA(NPCRace))*(TRUNC(MOD(($B903*1103515245 +12345)/ 65536, 32768),0)/32768),0))</f>
        <v>Genasi</v>
      </c>
      <c r="AC903" s="16" t="str">
        <f t="array" ref="AC903">INDEX(NPCAL,TRUNC(1+(COUNTA(NPCAL))*(TRUNC(MOD(($B903*1103515245 +12345)/ 65536, 32768),0)/32768),0))</f>
        <v>LN</v>
      </c>
      <c r="AD903" s="72" t="str">
        <f ca="1">IFERROR(__xludf.DUMMYFUNCTION("if(V903&lt;15,QUERY(NPCVar!C:D,""Select D WHERE C = '""&amp;D903&amp;""'""),if((TRUNC(1+10)*(TRUNC(MOD((ROW(H903)*1103515245 +12345)/ 65536, 32768),0)/32768)/10) &gt; 0.85,INDEX(NPCFaction,TRUNC(1+(counta(NPCFaction)-1)*(TRUNC(MOD(($B903*1103515245 +12345)/ 65536, 3276"&amp;"8),0)/32768),0)),QUERY(NPCVar!C:D,""Select D WHERE C = '""&amp;D903&amp;""'"")))"),"Thieves Guild")</f>
        <v>Thieves Guild</v>
      </c>
      <c r="AE903" s="108" t="e">
        <f t="shared" ca="1" si="58"/>
        <v>#NAME?</v>
      </c>
      <c r="AF903" s="159">
        <f ca="1">IFERROR(__xludf.DUMMYFUNCTION("AE903*(V903 / QUERY(NPCVar!$K$2:$N$12, ""Select N WHERE K='""&amp;AB903&amp;""'""))*TRUNC(1+10)*(TRUNC(MOD(($B903*1103515245 +12345)/ 65536, 32768),0)/32768)"),3.02806823730468)</f>
        <v>3.0280682373046801</v>
      </c>
      <c r="AG903" s="16"/>
      <c r="AH903" s="77"/>
      <c r="AI903" s="114"/>
    </row>
    <row r="904" spans="1:35" ht="16.2">
      <c r="A904" s="53">
        <v>903</v>
      </c>
      <c r="B904" s="118">
        <f t="shared" si="63"/>
        <v>0.69481000000000004</v>
      </c>
      <c r="C904" s="72" t="str">
        <f t="array" ref="C904">INDEX(NPCFName,TRUNC(1+(COUNTA(NPCFName))*(TRUNC(MOD(($B904*1103515245 +12345)/ 65536, 32768),0)/32768),0))</f>
        <v>Badeek</v>
      </c>
      <c r="D904" s="16" t="str">
        <f t="array" ref="D904">INDEX(NPCLName,TRUNC(1+(COUNTA(NPCLName))*(TRUNC(MOD(($B904*1103515245 +12345)/ 65536, 32768),0)/32768),0))</f>
        <v>Leafblight</v>
      </c>
      <c r="E904" s="16" t="str">
        <f t="array" ref="E904">INDEX(NPCClass,TRUNC(1+(COUNTA(NPCClass))*(TRUNC(MOD(($B904*1103515245 +12345)/ 65536, 32768),0)/32768),0))</f>
        <v>Paladin</v>
      </c>
      <c r="F904" s="76">
        <v>6</v>
      </c>
      <c r="G904" s="153">
        <f ca="1">VLOOKUP($AB$2,'RF Mod'!$A$2:$G$12,2,FALSE)+VLOOKUP($AD$2,'RF Mod'!$I$2:$O$11,2,FALSE)+(TRUNC(6+(24-6)*(TRUNC(MOD(($Z904*1103515245 +12345)/ 65536, 32768),0)/32768),0))</f>
        <v>7</v>
      </c>
      <c r="H904" s="16">
        <f t="shared" ca="1" si="49"/>
        <v>-2</v>
      </c>
      <c r="I904" s="153">
        <f ca="1">VLOOKUP($AB$2,'RF Mod'!$A$2:$G$12,3,FALSE)+VLOOKUP($AD$2,'RF Mod'!$I$2:$O$11,3,FALSE)+(TRUNC(6+(24-6)*(TRUNC(MOD(($Z904*1103515245 +12345)/ 65536, 32768),0)/32768),0))</f>
        <v>11</v>
      </c>
      <c r="J904" s="16" t="e">
        <f t="shared" ca="1" si="50"/>
        <v>#NAME?</v>
      </c>
      <c r="K904" s="153">
        <f ca="1">VLOOKUP($AB$2,'RF Mod'!$A$2:$G$12,3,FALSE)+VLOOKUP($AD$2,'RF Mod'!$I$2:$O$11,3,FALSE)+(TRUNC(6+(24-6)*(TRUNC(MOD(($Z904*1103515245 +12345)/ 65536, 32768),0)/32768),0))</f>
        <v>11</v>
      </c>
      <c r="L904" s="16" t="e">
        <f t="shared" ca="1" si="51"/>
        <v>#NAME?</v>
      </c>
      <c r="M904" s="153">
        <f ca="1">VLOOKUP($AB$2,'RF Mod'!$A$2:$G$12,4,FALSE)+VLOOKUP($AD$2,'RF Mod'!$I$2:$O$11,4,FALSE)+(TRUNC(6+(24-6)*(TRUNC(MOD(($Z904*1103515245 +12345)/ 65536, 32768),0)/32768),0))</f>
        <v>10</v>
      </c>
      <c r="N904" s="16" t="e">
        <f t="shared" ca="1" si="52"/>
        <v>#NAME?</v>
      </c>
      <c r="O904" s="153">
        <f ca="1">VLOOKUP($AB$2,'RF Mod'!$A$2:$G$12,5,FALSE)+VLOOKUP($AD$2,'RF Mod'!$I$2:$O$11,5,FALSE)+(TRUNC(6+(24-6)*(TRUNC(MOD(($Z904*1103515245 +12345)/ 65536, 32768),0)/32768),0))</f>
        <v>13</v>
      </c>
      <c r="P904" s="16" t="e">
        <f t="shared" ca="1" si="53"/>
        <v>#NAME?</v>
      </c>
      <c r="Q904" s="153">
        <f ca="1">VLOOKUP($AB$2,'RF Mod'!$A$2:$G$12,6,FALSE)+VLOOKUP($AD$2,'RF Mod'!$I$2:$O$11,6,FALSE)+(TRUNC(6+(24-6)*(TRUNC(MOD(($Z904*1103515245 +12345)/ 65536, 32768),0)/32768),0))</f>
        <v>11</v>
      </c>
      <c r="R904" s="16" t="e">
        <f t="shared" ca="1" si="54"/>
        <v>#NAME?</v>
      </c>
      <c r="S904" s="154">
        <f t="shared" ca="1" si="59"/>
        <v>78</v>
      </c>
      <c r="T904" s="154">
        <f t="shared" ca="1" si="55"/>
        <v>18</v>
      </c>
      <c r="U904" s="16" t="str">
        <f t="shared" ca="1" si="56"/>
        <v>Fine</v>
      </c>
      <c r="V904" s="155">
        <f ca="1">IFERROR(__xludf.DUMMYFUNCTION("if(W904=""Middle Age"",QUERY(NPCVar!$K$2:$N1000, ""Select L where K = '""&amp;AB904&amp;""'""),if(W904=""Old"",QUERY(NPCVar!$K$2:$N1000, ""Select M where K = '""&amp;AB904&amp;""'""),if(W904=""Venerable"",QUERY(NPCVar!$K$2:$N1000, ""Select N where K = '""&amp;AB904&amp;""'""),fa"&amp;"lse)))*X904"),151.875)</f>
        <v>151.875</v>
      </c>
      <c r="W904" s="156" t="str">
        <f t="array" ref="W904">INDEX(NPCAgeType,TRUNC(1+(4-1)*(TRUNC(MOD((X904*1103515245 +12345)/ 65536, 32768),0)/32768),0))</f>
        <v>Old</v>
      </c>
      <c r="X904" s="117">
        <f t="shared" si="61"/>
        <v>0.9</v>
      </c>
      <c r="Y904" s="157" t="e">
        <f t="array" aca="1" ref="Y904" ca="1">LOOKUP(ABS(MAX(Z904 + MIN(ABS(INDIRECT("Class Jobs!B"&amp;MATCH(E904,'Class Jobs'!$A$1:$A1000,0)&amp;":"&amp;"AF"&amp;MATCH(E904,'Class Jobs'!$A$1:$A1000,0)&amp;"")-$Z904)) * SUM(IF(MIN(ABS(INDIRECT("Class Jobs!B"&amp;MATCH(E904,'Class Jobs'!$A$1:$A1000,0)&amp;":"&amp;"AF"&amp;MATCH(E904,'Class Jobs'!$A$1:$A1000,0)&amp;"")-$Z904))=ABS(INDIRECT("Class Jobs!B"&amp;MATCH(E904,'Class Jobs'!$A$1:$A1000,0)&amp;":"&amp;"AF"&amp;MATCH(E904,'Class Jobs'!$A$1:$A1000,0)&amp;"")-$Z904),SIGN(INDIRECT("Class Jobs!B"&amp;MATCH(E904,'Class Jobs'!$A$1:A1000,0)&amp;":"&amp;"AF"&amp;MATCH(E904,'Class Jobs'!$A$1:$A1000,0)&amp;"")-$Z904),0)),0)),INDIRECT("Class Jobs!B"&amp;MATCH(E904,'Class Jobs'!$A$1:$A1000,0)&amp;":"&amp;"AF"&amp;MATCH(E904,'Class Jobs'!$A$1:$A1000,1)&amp;""),'Class Jobs'!$B$1:$AF$1)</f>
        <v>#REF!</v>
      </c>
      <c r="Z904" s="158">
        <f t="shared" si="57"/>
        <v>0.36</v>
      </c>
      <c r="AA904" s="16" t="str">
        <f t="array" ref="AA904">INDEX(NPCGender,TRUNC(1+(COUNTA(NPCGender))*(TRUNC(MOD(($B904*1103515245 +12345)/ 65536, 32768),0)/32768),0))</f>
        <v>Female</v>
      </c>
      <c r="AB904" s="16" t="str">
        <f t="array" ref="AB904">INDEX(NPCRace,TRUNC(1+(COUNTA(NPCRace))*(TRUNC(MOD(($B904*1103515245 +12345)/ 65536, 32768),0)/32768),0))</f>
        <v>Gnome</v>
      </c>
      <c r="AC904" s="16" t="str">
        <f t="array" ref="AC904">INDEX(NPCAL,TRUNC(1+(COUNTA(NPCAL))*(TRUNC(MOD(($B904*1103515245 +12345)/ 65536, 32768),0)/32768),0))</f>
        <v>NG</v>
      </c>
      <c r="AD904" s="72" t="str">
        <f ca="1">IFERROR(__xludf.DUMMYFUNCTION("if(V904&lt;15,QUERY(NPCVar!C:D,""Select D WHERE C = '""&amp;D904&amp;""'""),if((TRUNC(1+10)*(TRUNC(MOD((ROW(H904)*1103515245 +12345)/ 65536, 32768),0)/32768)/10) &gt; 0.85,INDEX(NPCFaction,TRUNC(1+(counta(NPCFaction)-1)*(TRUNC(MOD(($B904*1103515245 +12345)/ 65536, 3276"&amp;"8),0)/32768),0)),QUERY(NPCVar!C:D,""Select D WHERE C = '""&amp;D904&amp;""'"")))"),"Necromancer")</f>
        <v>Necromancer</v>
      </c>
      <c r="AE904" s="108" t="e">
        <f t="shared" ca="1" si="58"/>
        <v>#NAME?</v>
      </c>
      <c r="AF904" s="159">
        <f ca="1">IFERROR(__xludf.DUMMYFUNCTION("AE904*(V904 / QUERY(NPCVar!$K$2:$N$12, ""Select N WHERE K='""&amp;AB904&amp;""'""))*TRUNC(1+10)*(TRUNC(MOD(($B904*1103515245 +12345)/ 65536, 32768),0)/32768)"),0)</f>
        <v>0</v>
      </c>
      <c r="AG904" s="16"/>
      <c r="AH904" s="77"/>
      <c r="AI904" s="114"/>
    </row>
    <row r="905" spans="1:35" ht="16.2">
      <c r="A905" s="53">
        <v>904</v>
      </c>
      <c r="B905" s="118">
        <f t="shared" si="63"/>
        <v>2.1889500000000002</v>
      </c>
      <c r="C905" s="72" t="str">
        <f t="array" ref="C905">INDEX(NPCFName,TRUNC(1+(COUNTA(NPCFName))*(TRUNC(MOD(($B905*1103515245 +12345)/ 65536, 32768),0)/32768),0))</f>
        <v>Gryn</v>
      </c>
      <c r="D905" s="16" t="str">
        <f t="array" ref="D905">INDEX(NPCLName,TRUNC(1+(COUNTA(NPCLName))*(TRUNC(MOD(($B905*1103515245 +12345)/ 65536, 32768),0)/32768),0))</f>
        <v>Distantlash</v>
      </c>
      <c r="E905" s="16" t="str">
        <f t="array" ref="E905">INDEX(NPCClass,TRUNC(1+(COUNTA(NPCClass))*(TRUNC(MOD(($B905*1103515245 +12345)/ 65536, 32768),0)/32768),0))</f>
        <v>Bard</v>
      </c>
      <c r="F905" s="76">
        <v>1</v>
      </c>
      <c r="G905" s="153">
        <f ca="1">VLOOKUP($AB$2,'RF Mod'!$A$2:$G$12,2,FALSE)+VLOOKUP($AD$2,'RF Mod'!$I$2:$O$11,2,FALSE)+(TRUNC(6+(24-6)*(TRUNC(MOD(($Z905*1103515245 +12345)/ 65536, 32768),0)/32768),0))</f>
        <v>5</v>
      </c>
      <c r="H905" s="16">
        <f t="shared" ca="1" si="49"/>
        <v>-3</v>
      </c>
      <c r="I905" s="153">
        <f ca="1">VLOOKUP($AB$2,'RF Mod'!$A$2:$G$12,3,FALSE)+VLOOKUP($AD$2,'RF Mod'!$I$2:$O$11,3,FALSE)+(TRUNC(6+(24-6)*(TRUNC(MOD(($Z905*1103515245 +12345)/ 65536, 32768),0)/32768),0))</f>
        <v>9</v>
      </c>
      <c r="J905" s="16">
        <f t="shared" ca="1" si="50"/>
        <v>-1</v>
      </c>
      <c r="K905" s="153">
        <f ca="1">VLOOKUP($AB$2,'RF Mod'!$A$2:$G$12,3,FALSE)+VLOOKUP($AD$2,'RF Mod'!$I$2:$O$11,3,FALSE)+(TRUNC(6+(24-6)*(TRUNC(MOD(($Z905*1103515245 +12345)/ 65536, 32768),0)/32768),0))</f>
        <v>9</v>
      </c>
      <c r="L905" s="16">
        <f t="shared" ca="1" si="51"/>
        <v>-1</v>
      </c>
      <c r="M905" s="153">
        <f ca="1">VLOOKUP($AB$2,'RF Mod'!$A$2:$G$12,4,FALSE)+VLOOKUP($AD$2,'RF Mod'!$I$2:$O$11,4,FALSE)+(TRUNC(6+(24-6)*(TRUNC(MOD(($Z905*1103515245 +12345)/ 65536, 32768),0)/32768),0))</f>
        <v>8</v>
      </c>
      <c r="N905" s="16">
        <f t="shared" ca="1" si="52"/>
        <v>-1</v>
      </c>
      <c r="O905" s="153">
        <f ca="1">VLOOKUP($AB$2,'RF Mod'!$A$2:$G$12,5,FALSE)+VLOOKUP($AD$2,'RF Mod'!$I$2:$O$11,5,FALSE)+(TRUNC(6+(24-6)*(TRUNC(MOD(($Z905*1103515245 +12345)/ 65536, 32768),0)/32768),0))</f>
        <v>11</v>
      </c>
      <c r="P905" s="16" t="e">
        <f t="shared" ca="1" si="53"/>
        <v>#NAME?</v>
      </c>
      <c r="Q905" s="153">
        <f ca="1">VLOOKUP($AB$2,'RF Mod'!$A$2:$G$12,6,FALSE)+VLOOKUP($AD$2,'RF Mod'!$I$2:$O$11,6,FALSE)+(TRUNC(6+(24-6)*(TRUNC(MOD(($Z905*1103515245 +12345)/ 65536, 32768),0)/32768),0))</f>
        <v>9</v>
      </c>
      <c r="R905" s="16">
        <f t="shared" ca="1" si="54"/>
        <v>-1</v>
      </c>
      <c r="S905" s="154">
        <f t="shared" ca="1" si="59"/>
        <v>11</v>
      </c>
      <c r="T905" s="154">
        <f t="shared" ca="1" si="55"/>
        <v>5</v>
      </c>
      <c r="U905" s="16" t="str">
        <f t="shared" ca="1" si="56"/>
        <v>Fine</v>
      </c>
      <c r="V905" s="155">
        <f ca="1">IFERROR(__xludf.DUMMYFUNCTION("if(W905=""Middle Age"",QUERY(NPCVar!$K$2:$N1000, ""Select L where K = '""&amp;AB905&amp;""'""),if(W905=""Old"",QUERY(NPCVar!$K$2:$N1000, ""Select M where K = '""&amp;AB905&amp;""'""),if(W905=""Venerable"",QUERY(NPCVar!$K$2:$N1000, ""Select N where K = '""&amp;AB905&amp;""'""),fa"&amp;"lse)))*X905"),24)</f>
        <v>24</v>
      </c>
      <c r="W905" s="156" t="str">
        <f t="array" ref="W905">INDEX(NPCAgeType,TRUNC(1+(4-1)*(TRUNC(MOD((X905*1103515245 +12345)/ 65536, 32768),0)/32768),0))</f>
        <v>Middle Age</v>
      </c>
      <c r="X905" s="117">
        <f t="shared" si="61"/>
        <v>0.3</v>
      </c>
      <c r="Y905" s="157" t="e">
        <f t="array" aca="1" ref="Y905" ca="1">LOOKUP(ABS(MAX(Z905 + MIN(ABS(INDIRECT("Class Jobs!B"&amp;MATCH(E905,'Class Jobs'!$A$1:$A1000,0)&amp;":"&amp;"AF"&amp;MATCH(E905,'Class Jobs'!$A$1:$A1000,0)&amp;"")-$Z905)) * SUM(IF(MIN(ABS(INDIRECT("Class Jobs!B"&amp;MATCH(E905,'Class Jobs'!$A$1:$A1000,0)&amp;":"&amp;"AF"&amp;MATCH(E905,'Class Jobs'!$A$1:$A1000,0)&amp;"")-$Z905))=ABS(INDIRECT("Class Jobs!B"&amp;MATCH(E905,'Class Jobs'!$A$1:$A1000,0)&amp;":"&amp;"AF"&amp;MATCH(E905,'Class Jobs'!$A$1:$A1000,0)&amp;"")-$Z905),SIGN(INDIRECT("Class Jobs!B"&amp;MATCH(E905,'Class Jobs'!$A$1:A1000,0)&amp;":"&amp;"AF"&amp;MATCH(E905,'Class Jobs'!$A$1:$A1000,0)&amp;"")-$Z905),0)),0)),INDIRECT("Class Jobs!B"&amp;MATCH(E905,'Class Jobs'!$A$1:$A1000,0)&amp;":"&amp;"AF"&amp;MATCH(E905,'Class Jobs'!$A$1:$A1000,1)&amp;""),'Class Jobs'!$B$1:$AF$1)</f>
        <v>#REF!</v>
      </c>
      <c r="Z905" s="158">
        <f t="shared" si="57"/>
        <v>0.13</v>
      </c>
      <c r="AA905" s="16" t="str">
        <f t="array" ref="AA905">INDEX(NPCGender,TRUNC(1+(COUNTA(NPCGender))*(TRUNC(MOD(($B905*1103515245 +12345)/ 65536, 32768),0)/32768),0))</f>
        <v>Male</v>
      </c>
      <c r="AB905" s="16" t="str">
        <f t="array" ref="AB905">INDEX(NPCRace,TRUNC(1+(COUNTA(NPCRace))*(TRUNC(MOD(($B905*1103515245 +12345)/ 65536, 32768),0)/32768),0))</f>
        <v>Dwarf</v>
      </c>
      <c r="AC905" s="16" t="str">
        <f t="array" ref="AC905">INDEX(NPCAL,TRUNC(1+(COUNTA(NPCAL))*(TRUNC(MOD(($B905*1103515245 +12345)/ 65536, 32768),0)/32768),0))</f>
        <v>CE</v>
      </c>
      <c r="AD905" s="72" t="str">
        <f ca="1">IFERROR(__xludf.DUMMYFUNCTION("if(V905&lt;15,QUERY(NPCVar!C:D,""Select D WHERE C = '""&amp;D905&amp;""'""),if((TRUNC(1+10)*(TRUNC(MOD((ROW(H905)*1103515245 +12345)/ 65536, 32768),0)/32768)/10) &gt; 0.85,INDEX(NPCFaction,TRUNC(1+(counta(NPCFaction)-1)*(TRUNC(MOD(($B905*1103515245 +12345)/ 65536, 3276"&amp;"8),0)/32768),0)),QUERY(NPCVar!C:D,""Select D WHERE C = '""&amp;D905&amp;""'"")))"),"Death Guild")</f>
        <v>Death Guild</v>
      </c>
      <c r="AE905" s="108" t="e">
        <f t="shared" ca="1" si="58"/>
        <v>#NAME?</v>
      </c>
      <c r="AF905" s="159">
        <f ca="1">IFERROR(__xludf.DUMMYFUNCTION("AE905*(V905 / QUERY(NPCVar!$K$2:$N$12, ""Select N WHERE K='""&amp;AB905&amp;""'""))*TRUNC(1+10)*(TRUNC(MOD(($B905*1103515245 +12345)/ 65536, 32768),0)/32768)"),0.0205947875976562)</f>
        <v>2.0594787597656199E-2</v>
      </c>
      <c r="AG905" s="16"/>
      <c r="AH905" s="77"/>
      <c r="AI905" s="114"/>
    </row>
    <row r="906" spans="1:35" ht="16.2">
      <c r="A906" s="53">
        <v>905</v>
      </c>
      <c r="B906" s="118">
        <f t="shared" si="63"/>
        <v>1.18309</v>
      </c>
      <c r="C906" s="72" t="str">
        <f t="array" ref="C906">INDEX(NPCFName,TRUNC(1+(COUNTA(NPCFName))*(TRUNC(MOD(($B906*1103515245 +12345)/ 65536, 32768),0)/32768),0))</f>
        <v>Sutlin</v>
      </c>
      <c r="D906" s="16" t="str">
        <f t="array" ref="D906">INDEX(NPCLName,TRUNC(1+(COUNTA(NPCLName))*(TRUNC(MOD(($B906*1103515245 +12345)/ 65536, 32768),0)/32768),0))</f>
        <v>Gloomrage</v>
      </c>
      <c r="E906" s="16" t="str">
        <f t="array" ref="E906">INDEX(NPCClass,TRUNC(1+(COUNTA(NPCClass))*(TRUNC(MOD(($B906*1103515245 +12345)/ 65536, 32768),0)/32768),0))</f>
        <v>Warlock</v>
      </c>
      <c r="F906" s="76">
        <v>8</v>
      </c>
      <c r="G906" s="153">
        <f ca="1">VLOOKUP($AB$2,'RF Mod'!$A$2:$G$12,2,FALSE)+VLOOKUP($AD$2,'RF Mod'!$I$2:$O$11,2,FALSE)+(TRUNC(6+(24-6)*(TRUNC(MOD(($Z906*1103515245 +12345)/ 65536, 32768),0)/32768),0))</f>
        <v>9</v>
      </c>
      <c r="H906" s="16">
        <f t="shared" ca="1" si="49"/>
        <v>-1</v>
      </c>
      <c r="I906" s="153">
        <f ca="1">VLOOKUP($AB$2,'RF Mod'!$A$2:$G$12,3,FALSE)+VLOOKUP($AD$2,'RF Mod'!$I$2:$O$11,3,FALSE)+(TRUNC(6+(24-6)*(TRUNC(MOD(($Z906*1103515245 +12345)/ 65536, 32768),0)/32768),0))</f>
        <v>13</v>
      </c>
      <c r="J906" s="16" t="e">
        <f t="shared" ca="1" si="50"/>
        <v>#NAME?</v>
      </c>
      <c r="K906" s="153">
        <f ca="1">VLOOKUP($AB$2,'RF Mod'!$A$2:$G$12,3,FALSE)+VLOOKUP($AD$2,'RF Mod'!$I$2:$O$11,3,FALSE)+(TRUNC(6+(24-6)*(TRUNC(MOD(($Z906*1103515245 +12345)/ 65536, 32768),0)/32768),0))</f>
        <v>13</v>
      </c>
      <c r="L906" s="16" t="e">
        <f t="shared" ca="1" si="51"/>
        <v>#NAME?</v>
      </c>
      <c r="M906" s="153">
        <f ca="1">VLOOKUP($AB$2,'RF Mod'!$A$2:$G$12,4,FALSE)+VLOOKUP($AD$2,'RF Mod'!$I$2:$O$11,4,FALSE)+(TRUNC(6+(24-6)*(TRUNC(MOD(($Z906*1103515245 +12345)/ 65536, 32768),0)/32768),0))</f>
        <v>12</v>
      </c>
      <c r="N906" s="16" t="e">
        <f t="shared" ca="1" si="52"/>
        <v>#NAME?</v>
      </c>
      <c r="O906" s="153">
        <f ca="1">VLOOKUP($AB$2,'RF Mod'!$A$2:$G$12,5,FALSE)+VLOOKUP($AD$2,'RF Mod'!$I$2:$O$11,5,FALSE)+(TRUNC(6+(24-6)*(TRUNC(MOD(($Z906*1103515245 +12345)/ 65536, 32768),0)/32768),0))</f>
        <v>15</v>
      </c>
      <c r="P906" s="16" t="e">
        <f t="shared" ca="1" si="53"/>
        <v>#NAME?</v>
      </c>
      <c r="Q906" s="153">
        <f ca="1">VLOOKUP($AB$2,'RF Mod'!$A$2:$G$12,6,FALSE)+VLOOKUP($AD$2,'RF Mod'!$I$2:$O$11,6,FALSE)+(TRUNC(6+(24-6)*(TRUNC(MOD(($Z906*1103515245 +12345)/ 65536, 32768),0)/32768),0))</f>
        <v>13</v>
      </c>
      <c r="R906" s="16" t="e">
        <f t="shared" ca="1" si="54"/>
        <v>#NAME?</v>
      </c>
      <c r="S906" s="154">
        <f t="shared" ca="1" si="59"/>
        <v>120</v>
      </c>
      <c r="T906" s="154">
        <f t="shared" ca="1" si="55"/>
        <v>118</v>
      </c>
      <c r="U906" s="16" t="str">
        <f t="shared" ca="1" si="56"/>
        <v>Bloody</v>
      </c>
      <c r="V906" s="155">
        <f ca="1">IFERROR(__xludf.DUMMYFUNCTION("if(W906=""Middle Age"",QUERY(NPCVar!$K$2:$N1000, ""Select L where K = '""&amp;AB906&amp;""'""),if(W906=""Old"",QUERY(NPCVar!$K$2:$N1000, ""Select M where K = '""&amp;AB906&amp;""'""),if(W906=""Venerable"",QUERY(NPCVar!$K$2:$N1000, ""Select N where K = '""&amp;AB906&amp;""'""),fa"&amp;"lse)))*X906"),300)</f>
        <v>300</v>
      </c>
      <c r="W906" s="156" t="str">
        <f t="array" ref="W906">INDEX(NPCAgeType,TRUNC(1+(4-1)*(TRUNC(MOD((X906*1103515245 +12345)/ 65536, 32768),0)/32768),0))</f>
        <v>Venerable</v>
      </c>
      <c r="X906" s="117">
        <f t="shared" si="61"/>
        <v>1.5</v>
      </c>
      <c r="Y906" s="157" t="e">
        <f t="array" aca="1" ref="Y906" ca="1">LOOKUP(ABS(MAX(Z906 + MIN(ABS(INDIRECT("Class Jobs!B"&amp;MATCH(E906,'Class Jobs'!$A$1:$A1000,0)&amp;":"&amp;"AF"&amp;MATCH(E906,'Class Jobs'!$A$1:$A1000,0)&amp;"")-$Z906)) * SUM(IF(MIN(ABS(INDIRECT("Class Jobs!B"&amp;MATCH(E906,'Class Jobs'!$A$1:$A1000,0)&amp;":"&amp;"AF"&amp;MATCH(E906,'Class Jobs'!$A$1:$A1000,0)&amp;"")-$Z906))=ABS(INDIRECT("Class Jobs!B"&amp;MATCH(E906,'Class Jobs'!$A$1:$A1000,0)&amp;":"&amp;"AF"&amp;MATCH(E906,'Class Jobs'!$A$1:$A1000,0)&amp;"")-$Z906),SIGN(INDIRECT("Class Jobs!B"&amp;MATCH(E906,'Class Jobs'!$A$1:A1000,0)&amp;":"&amp;"AF"&amp;MATCH(E906,'Class Jobs'!$A$1:$A1000,0)&amp;"")-$Z906),0)),0)),INDIRECT("Class Jobs!B"&amp;MATCH(E906,'Class Jobs'!$A$1:$A1000,0)&amp;":"&amp;"AF"&amp;MATCH(E906,'Class Jobs'!$A$1:$A1000,1)&amp;""),'Class Jobs'!$B$1:$AF$1)</f>
        <v>#REF!</v>
      </c>
      <c r="Z906" s="158">
        <f t="shared" si="57"/>
        <v>0.61</v>
      </c>
      <c r="AA906" s="16" t="str">
        <f t="array" ref="AA906">INDEX(NPCGender,TRUNC(1+(COUNTA(NPCGender))*(TRUNC(MOD(($B906*1103515245 +12345)/ 65536, 32768),0)/32768),0))</f>
        <v>Female</v>
      </c>
      <c r="AB906" s="16" t="str">
        <f t="array" ref="AB906">INDEX(NPCRace,TRUNC(1+(COUNTA(NPCRace))*(TRUNC(MOD(($B906*1103515245 +12345)/ 65536, 32768),0)/32768),0))</f>
        <v>Halfling</v>
      </c>
      <c r="AC906" s="16" t="str">
        <f t="array" ref="AC906">INDEX(NPCAL,TRUNC(1+(COUNTA(NPCAL))*(TRUNC(MOD(($B906*1103515245 +12345)/ 65536, 32768),0)/32768),0))</f>
        <v>NE</v>
      </c>
      <c r="AD906" s="72" t="str">
        <f ca="1">IFERROR(__xludf.DUMMYFUNCTION("if(V906&lt;15,QUERY(NPCVar!C:D,""Select D WHERE C = '""&amp;D906&amp;""'""),if((TRUNC(1+10)*(TRUNC(MOD((ROW(H906)*1103515245 +12345)/ 65536, 32768),0)/32768)/10) &gt; 0.85,INDEX(NPCFaction,TRUNC(1+(counta(NPCFaction)-1)*(TRUNC(MOD(($B906*1103515245 +12345)/ 65536, 3276"&amp;"8),0)/32768),0)),QUERY(NPCVar!C:D,""Select D WHERE C = '""&amp;D906&amp;""'"")))"),"Traders Guild")</f>
        <v>Traders Guild</v>
      </c>
      <c r="AE906" s="108" t="e">
        <f t="shared" ca="1" si="58"/>
        <v>#NAME?</v>
      </c>
      <c r="AF906" s="159">
        <f ca="1">IFERROR(__xludf.DUMMYFUNCTION("AE906*(V906 / QUERY(NPCVar!$K$2:$N$12, ""Select N WHERE K='""&amp;AB906&amp;""'""))*TRUNC(1+10)*(TRUNC(MOD(($B906*1103515245 +12345)/ 65536, 32768),0)/32768)"),2.00620422363281)</f>
        <v>2.0062042236328099</v>
      </c>
      <c r="AG906" s="16"/>
      <c r="AH906" s="77"/>
      <c r="AI906" s="114"/>
    </row>
    <row r="907" spans="1:35" ht="16.2">
      <c r="A907" s="53">
        <v>906</v>
      </c>
      <c r="B907" s="118">
        <f t="shared" si="63"/>
        <v>0.17724000000000001</v>
      </c>
      <c r="C907" s="72" t="str">
        <f t="array" ref="C907">INDEX(NPCFName,TRUNC(1+(COUNTA(NPCFName))*(TRUNC(MOD(($B907*1103515245 +12345)/ 65536, 32768),0)/32768),0))</f>
        <v>Ekgamut</v>
      </c>
      <c r="D907" s="16" t="str">
        <f t="array" ref="D907">INDEX(NPCLName,TRUNC(1+(COUNTA(NPCLName))*(TRUNC(MOD(($B907*1103515245 +12345)/ 65536, 32768),0)/32768),0))</f>
        <v>Autumnorb</v>
      </c>
      <c r="E907" s="16" t="str">
        <f t="array" ref="E907">INDEX(NPCClass,TRUNC(1+(COUNTA(NPCClass))*(TRUNC(MOD(($B907*1103515245 +12345)/ 65536, 32768),0)/32768),0))</f>
        <v>Bard</v>
      </c>
      <c r="F907" s="76">
        <v>1</v>
      </c>
      <c r="G907" s="153">
        <f ca="1">VLOOKUP($AB$2,'RF Mod'!$A$2:$G$12,2,FALSE)+VLOOKUP($AD$2,'RF Mod'!$I$2:$O$11,2,FALSE)+(TRUNC(6+(24-6)*(TRUNC(MOD(($Z907*1103515245 +12345)/ 65536, 32768),0)/32768),0))</f>
        <v>4</v>
      </c>
      <c r="H907" s="16">
        <f t="shared" ca="1" si="49"/>
        <v>-3</v>
      </c>
      <c r="I907" s="153">
        <f ca="1">VLOOKUP($AB$2,'RF Mod'!$A$2:$G$12,3,FALSE)+VLOOKUP($AD$2,'RF Mod'!$I$2:$O$11,3,FALSE)+(TRUNC(6+(24-6)*(TRUNC(MOD(($Z907*1103515245 +12345)/ 65536, 32768),0)/32768),0))</f>
        <v>8</v>
      </c>
      <c r="J907" s="16">
        <f t="shared" ca="1" si="50"/>
        <v>-1</v>
      </c>
      <c r="K907" s="153">
        <f ca="1">VLOOKUP($AB$2,'RF Mod'!$A$2:$G$12,3,FALSE)+VLOOKUP($AD$2,'RF Mod'!$I$2:$O$11,3,FALSE)+(TRUNC(6+(24-6)*(TRUNC(MOD(($Z907*1103515245 +12345)/ 65536, 32768),0)/32768),0))</f>
        <v>8</v>
      </c>
      <c r="L907" s="16">
        <f t="shared" ca="1" si="51"/>
        <v>-1</v>
      </c>
      <c r="M907" s="153">
        <f ca="1">VLOOKUP($AB$2,'RF Mod'!$A$2:$G$12,4,FALSE)+VLOOKUP($AD$2,'RF Mod'!$I$2:$O$11,4,FALSE)+(TRUNC(6+(24-6)*(TRUNC(MOD(($Z907*1103515245 +12345)/ 65536, 32768),0)/32768),0))</f>
        <v>7</v>
      </c>
      <c r="N907" s="16">
        <f t="shared" ca="1" si="52"/>
        <v>-2</v>
      </c>
      <c r="O907" s="153">
        <f ca="1">VLOOKUP($AB$2,'RF Mod'!$A$2:$G$12,5,FALSE)+VLOOKUP($AD$2,'RF Mod'!$I$2:$O$11,5,FALSE)+(TRUNC(6+(24-6)*(TRUNC(MOD(($Z907*1103515245 +12345)/ 65536, 32768),0)/32768),0))</f>
        <v>10</v>
      </c>
      <c r="P907" s="16" t="e">
        <f t="shared" ca="1" si="53"/>
        <v>#NAME?</v>
      </c>
      <c r="Q907" s="153">
        <f ca="1">VLOOKUP($AB$2,'RF Mod'!$A$2:$G$12,6,FALSE)+VLOOKUP($AD$2,'RF Mod'!$I$2:$O$11,6,FALSE)+(TRUNC(6+(24-6)*(TRUNC(MOD(($Z907*1103515245 +12345)/ 65536, 32768),0)/32768),0))</f>
        <v>8</v>
      </c>
      <c r="R907" s="16">
        <f t="shared" ca="1" si="54"/>
        <v>-1</v>
      </c>
      <c r="S907" s="154">
        <f t="shared" ca="1" si="59"/>
        <v>10</v>
      </c>
      <c r="T907" s="154">
        <f t="shared" ca="1" si="55"/>
        <v>6</v>
      </c>
      <c r="U907" s="16" t="str">
        <f t="shared" ca="1" si="56"/>
        <v>Bloody</v>
      </c>
      <c r="V907" s="155">
        <f ca="1">IFERROR(__xludf.DUMMYFUNCTION("if(W907=""Middle Age"",QUERY(NPCVar!$K$2:$N1000, ""Select L where K = '""&amp;AB907&amp;""'""),if(W907=""Old"",QUERY(NPCVar!$K$2:$N1000, ""Select M where K = '""&amp;AB907&amp;""'""),if(W907=""Venerable"",QUERY(NPCVar!$K$2:$N1000, ""Select N where K = '""&amp;AB907&amp;""'""),fa"&amp;"lse)))*X907"),24)</f>
        <v>24</v>
      </c>
      <c r="W907" s="156" t="str">
        <f t="array" ref="W907">INDEX(NPCAgeType,TRUNC(1+(4-1)*(TRUNC(MOD((X907*1103515245 +12345)/ 65536, 32768),0)/32768),0))</f>
        <v>Middle Age</v>
      </c>
      <c r="X907" s="117">
        <f t="shared" si="61"/>
        <v>0.3</v>
      </c>
      <c r="Y907" s="157" t="e">
        <f t="array" aca="1" ref="Y907" ca="1">LOOKUP(ABS(MAX(Z907 + MIN(ABS(INDIRECT("Class Jobs!B"&amp;MATCH(E907,'Class Jobs'!$A$1:$A1000,0)&amp;":"&amp;"AF"&amp;MATCH(E907,'Class Jobs'!$A$1:$A1000,0)&amp;"")-$Z907)) * SUM(IF(MIN(ABS(INDIRECT("Class Jobs!B"&amp;MATCH(E907,'Class Jobs'!$A$1:$A1000,0)&amp;":"&amp;"AF"&amp;MATCH(E907,'Class Jobs'!$A$1:$A1000,0)&amp;"")-$Z907))=ABS(INDIRECT("Class Jobs!B"&amp;MATCH(E907,'Class Jobs'!$A$1:$A1000,0)&amp;":"&amp;"AF"&amp;MATCH(E907,'Class Jobs'!$A$1:$A1000,0)&amp;"")-$Z907),SIGN(INDIRECT("Class Jobs!B"&amp;MATCH(E907,'Class Jobs'!$A$1:A1000,0)&amp;":"&amp;"AF"&amp;MATCH(E907,'Class Jobs'!$A$1:$A1000,0)&amp;"")-$Z907),0)),0)),INDIRECT("Class Jobs!B"&amp;MATCH(E907,'Class Jobs'!$A$1:$A1000,0)&amp;":"&amp;"AF"&amp;MATCH(E907,'Class Jobs'!$A$1:$A1000,1)&amp;""),'Class Jobs'!$B$1:$AF$1)</f>
        <v>#REF!</v>
      </c>
      <c r="Z907" s="158">
        <f t="shared" si="57"/>
        <v>0.1</v>
      </c>
      <c r="AA907" s="16" t="str">
        <f t="array" ref="AA907">INDEX(NPCGender,TRUNC(1+(COUNTA(NPCGender))*(TRUNC(MOD(($B907*1103515245 +12345)/ 65536, 32768),0)/32768),0))</f>
        <v>Male</v>
      </c>
      <c r="AB907" s="16" t="str">
        <f t="array" ref="AB907">INDEX(NPCRace,TRUNC(1+(COUNTA(NPCRace))*(TRUNC(MOD(($B907*1103515245 +12345)/ 65536, 32768),0)/32768),0))</f>
        <v>Dwarf</v>
      </c>
      <c r="AC907" s="16" t="str">
        <f t="array" ref="AC907">INDEX(NPCAL,TRUNC(1+(COUNTA(NPCAL))*(TRUNC(MOD(($B907*1103515245 +12345)/ 65536, 32768),0)/32768),0))</f>
        <v>CN</v>
      </c>
      <c r="AD907" s="72" t="str">
        <f ca="1">IFERROR(__xludf.DUMMYFUNCTION("if(V907&lt;15,QUERY(NPCVar!C:D,""Select D WHERE C = '""&amp;D907&amp;""'""),if((TRUNC(1+10)*(TRUNC(MOD((ROW(H907)*1103515245 +12345)/ 65536, 32768),0)/32768)/10) &gt; 0.85,INDEX(NPCFaction,TRUNC(1+(counta(NPCFaction)-1)*(TRUNC(MOD(($B907*1103515245 +12345)/ 65536, 3276"&amp;"8),0)/32768),0)),QUERY(NPCVar!C:D,""Select D WHERE C = '""&amp;D907&amp;""'"")))"),"Royalty")</f>
        <v>Royalty</v>
      </c>
      <c r="AE907" s="108" t="e">
        <f t="shared" ca="1" si="58"/>
        <v>#NAME?</v>
      </c>
      <c r="AF907" s="159">
        <f ca="1">IFERROR(__xludf.DUMMYFUNCTION("AE907*(V907 / QUERY(NPCVar!$K$2:$N$12, ""Select N WHERE K='""&amp;AB907&amp;""'""))*TRUNC(1+10)*(TRUNC(MOD(($B907*1103515245 +12345)/ 65536, 32768),0)/32768)"),0.0225384521484375)</f>
        <v>2.2538452148437499E-2</v>
      </c>
      <c r="AG907" s="16"/>
      <c r="AH907" s="77"/>
      <c r="AI907" s="114"/>
    </row>
    <row r="908" spans="1:35" ht="16.2">
      <c r="A908" s="53">
        <v>907</v>
      </c>
      <c r="B908" s="118">
        <f t="shared" si="63"/>
        <v>1.67137</v>
      </c>
      <c r="C908" s="72" t="str">
        <f t="array" ref="C908">INDEX(NPCFName,TRUNC(1+(COUNTA(NPCFName))*(TRUNC(MOD(($B908*1103515245 +12345)/ 65536, 32768),0)/32768),0))</f>
        <v>Mick</v>
      </c>
      <c r="D908" s="16" t="str">
        <f t="array" ref="D908">INDEX(NPCLName,TRUNC(1+(COUNTA(NPCLName))*(TRUNC(MOD(($B908*1103515245 +12345)/ 65536, 32768),0)/32768),0))</f>
        <v>Springgust</v>
      </c>
      <c r="E908" s="16" t="str">
        <f t="array" ref="E908">INDEX(NPCClass,TRUNC(1+(COUNTA(NPCClass))*(TRUNC(MOD(($B908*1103515245 +12345)/ 65536, 32768),0)/32768),0))</f>
        <v>Fighter</v>
      </c>
      <c r="F908" s="76">
        <v>8</v>
      </c>
      <c r="G908" s="153">
        <f ca="1">VLOOKUP($AB$2,'RF Mod'!$A$2:$G$12,2,FALSE)+VLOOKUP($AD$2,'RF Mod'!$I$2:$O$11,2,FALSE)+(TRUNC(6+(24-6)*(TRUNC(MOD(($Z908*1103515245 +12345)/ 65536, 32768),0)/32768),0))</f>
        <v>11</v>
      </c>
      <c r="H908" s="16" t="e">
        <f t="shared" ca="1" si="49"/>
        <v>#NAME?</v>
      </c>
      <c r="I908" s="153">
        <f ca="1">VLOOKUP($AB$2,'RF Mod'!$A$2:$G$12,3,FALSE)+VLOOKUP($AD$2,'RF Mod'!$I$2:$O$11,3,FALSE)+(TRUNC(6+(24-6)*(TRUNC(MOD(($Z908*1103515245 +12345)/ 65536, 32768),0)/32768),0))</f>
        <v>15</v>
      </c>
      <c r="J908" s="16" t="e">
        <f t="shared" ca="1" si="50"/>
        <v>#NAME?</v>
      </c>
      <c r="K908" s="153">
        <f ca="1">VLOOKUP($AB$2,'RF Mod'!$A$2:$G$12,3,FALSE)+VLOOKUP($AD$2,'RF Mod'!$I$2:$O$11,3,FALSE)+(TRUNC(6+(24-6)*(TRUNC(MOD(($Z908*1103515245 +12345)/ 65536, 32768),0)/32768),0))</f>
        <v>15</v>
      </c>
      <c r="L908" s="16" t="e">
        <f t="shared" ca="1" si="51"/>
        <v>#NAME?</v>
      </c>
      <c r="M908" s="153">
        <f ca="1">VLOOKUP($AB$2,'RF Mod'!$A$2:$G$12,4,FALSE)+VLOOKUP($AD$2,'RF Mod'!$I$2:$O$11,4,FALSE)+(TRUNC(6+(24-6)*(TRUNC(MOD(($Z908*1103515245 +12345)/ 65536, 32768),0)/32768),0))</f>
        <v>14</v>
      </c>
      <c r="N908" s="16" t="e">
        <f t="shared" ca="1" si="52"/>
        <v>#NAME?</v>
      </c>
      <c r="O908" s="153">
        <f ca="1">VLOOKUP($AB$2,'RF Mod'!$A$2:$G$12,5,FALSE)+VLOOKUP($AD$2,'RF Mod'!$I$2:$O$11,5,FALSE)+(TRUNC(6+(24-6)*(TRUNC(MOD(($Z908*1103515245 +12345)/ 65536, 32768),0)/32768),0))</f>
        <v>17</v>
      </c>
      <c r="P908" s="16" t="e">
        <f t="shared" ca="1" si="53"/>
        <v>#NAME?</v>
      </c>
      <c r="Q908" s="153">
        <f ca="1">VLOOKUP($AB$2,'RF Mod'!$A$2:$G$12,6,FALSE)+VLOOKUP($AD$2,'RF Mod'!$I$2:$O$11,6,FALSE)+(TRUNC(6+(24-6)*(TRUNC(MOD(($Z908*1103515245 +12345)/ 65536, 32768),0)/32768),0))</f>
        <v>15</v>
      </c>
      <c r="R908" s="16" t="e">
        <f t="shared" ca="1" si="54"/>
        <v>#NAME?</v>
      </c>
      <c r="S908" s="154">
        <f t="shared" ca="1" si="59"/>
        <v>200</v>
      </c>
      <c r="T908" s="154">
        <f t="shared" ca="1" si="55"/>
        <v>22</v>
      </c>
      <c r="U908" s="16" t="str">
        <f t="shared" ca="1" si="56"/>
        <v>Fine</v>
      </c>
      <c r="V908" s="155">
        <f ca="1">IFERROR(__xludf.DUMMYFUNCTION("if(W908=""Middle Age"",QUERY(NPCVar!$K$2:$N1000, ""Select L where K = '""&amp;AB908&amp;""'""),if(W908=""Old"",QUERY(NPCVar!$K$2:$N1000, ""Select M where K = '""&amp;AB908&amp;""'""),if(W908=""Venerable"",QUERY(NPCVar!$K$2:$N1000, ""Select N where K = '""&amp;AB908&amp;""'""),fa"&amp;"lse)))*X908"),57.75)</f>
        <v>57.75</v>
      </c>
      <c r="W908" s="156" t="str">
        <f t="array" ref="W908">INDEX(NPCAgeType,TRUNC(1+(4-1)*(TRUNC(MOD((X908*1103515245 +12345)/ 65536, 32768),0)/32768),0))</f>
        <v>Middle Age</v>
      </c>
      <c r="X908" s="117">
        <f t="shared" si="61"/>
        <v>2.1</v>
      </c>
      <c r="Y908" s="157" t="e">
        <f t="array" aca="1" ref="Y908" ca="1">LOOKUP(ABS(MAX(Z908 + MIN(ABS(INDIRECT("Class Jobs!B"&amp;MATCH(E908,'Class Jobs'!$A$1:$A1000,0)&amp;":"&amp;"AF"&amp;MATCH(E908,'Class Jobs'!$A$1:$A1000,0)&amp;"")-$Z908)) * SUM(IF(MIN(ABS(INDIRECT("Class Jobs!B"&amp;MATCH(E908,'Class Jobs'!$A$1:$A1000,0)&amp;":"&amp;"AF"&amp;MATCH(E908,'Class Jobs'!$A$1:$A1000,0)&amp;"")-$Z908))=ABS(INDIRECT("Class Jobs!B"&amp;MATCH(E908,'Class Jobs'!$A$1:$A1000,0)&amp;":"&amp;"AF"&amp;MATCH(E908,'Class Jobs'!$A$1:$A1000,0)&amp;"")-$Z908),SIGN(INDIRECT("Class Jobs!B"&amp;MATCH(E908,'Class Jobs'!$A$1:A1000,0)&amp;":"&amp;"AF"&amp;MATCH(E908,'Class Jobs'!$A$1:$A1000,0)&amp;"")-$Z908),0)),0)),INDIRECT("Class Jobs!B"&amp;MATCH(E908,'Class Jobs'!$A$1:$A1000,0)&amp;":"&amp;"AF"&amp;MATCH(E908,'Class Jobs'!$A$1:$A1000,1)&amp;""),'Class Jobs'!$B$1:$AF$1)</f>
        <v>#REF!</v>
      </c>
      <c r="Z908" s="158">
        <f t="shared" si="57"/>
        <v>0.86</v>
      </c>
      <c r="AA908" s="16" t="str">
        <f t="array" ref="AA908">INDEX(NPCGender,TRUNC(1+(COUNTA(NPCGender))*(TRUNC(MOD(($B908*1103515245 +12345)/ 65536, 32768),0)/32768),0))</f>
        <v>Neutral</v>
      </c>
      <c r="AB908" s="16" t="str">
        <f t="array" ref="AB908">INDEX(NPCRace,TRUNC(1+(COUNTA(NPCRace))*(TRUNC(MOD(($B908*1103515245 +12345)/ 65536, 32768),0)/32768),0))</f>
        <v>Genasi</v>
      </c>
      <c r="AC908" s="16" t="str">
        <f t="array" ref="AC908">INDEX(NPCAL,TRUNC(1+(COUNTA(NPCAL))*(TRUNC(MOD(($B908*1103515245 +12345)/ 65536, 32768),0)/32768),0))</f>
        <v>LN</v>
      </c>
      <c r="AD908" s="72" t="str">
        <f ca="1">IFERROR(__xludf.DUMMYFUNCTION("if(V908&lt;15,QUERY(NPCVar!C:D,""Select D WHERE C = '""&amp;D908&amp;""'""),if((TRUNC(1+10)*(TRUNC(MOD((ROW(H908)*1103515245 +12345)/ 65536, 32768),0)/32768)/10) &gt; 0.85,INDEX(NPCFaction,TRUNC(1+(counta(NPCFaction)-1)*(TRUNC(MOD(($B908*1103515245 +12345)/ 65536, 3276"&amp;"8),0)/32768),0)),QUERY(NPCVar!C:D,""Select D WHERE C = '""&amp;D908&amp;""'"")))"),"Traverlers Guild")</f>
        <v>Traverlers Guild</v>
      </c>
      <c r="AE908" s="108" t="e">
        <f t="shared" ca="1" si="58"/>
        <v>#NAME?</v>
      </c>
      <c r="AF908" s="159">
        <f ca="1">IFERROR(__xludf.DUMMYFUNCTION("AE908*(V908 / QUERY(NPCVar!$K$2:$N$12, ""Select N WHERE K='""&amp;AB908&amp;""'""))*TRUNC(1+10)*(TRUNC(MOD(($B908*1103515245 +12345)/ 65536, 32768),0)/32768)"),0.991978912353515)</f>
        <v>0.99197891235351499</v>
      </c>
      <c r="AG908" s="16"/>
      <c r="AH908" s="77"/>
      <c r="AI908" s="114"/>
    </row>
    <row r="909" spans="1:35" ht="16.2">
      <c r="A909" s="53">
        <v>908</v>
      </c>
      <c r="B909" s="118">
        <f t="shared" si="63"/>
        <v>0.66551000000000005</v>
      </c>
      <c r="C909" s="72" t="str">
        <f t="array" ref="C909">INDEX(NPCFName,TRUNC(1+(COUNTA(NPCFName))*(TRUNC(MOD(($B909*1103515245 +12345)/ 65536, 32768),0)/32768),0))</f>
        <v>Airis</v>
      </c>
      <c r="D909" s="16" t="str">
        <f t="array" ref="D909">INDEX(NPCLName,TRUNC(1+(COUNTA(NPCLName))*(TRUNC(MOD(($B909*1103515245 +12345)/ 65536, 32768),0)/32768),0))</f>
        <v>Leafblight</v>
      </c>
      <c r="E909" s="16" t="str">
        <f t="array" ref="E909">INDEX(NPCClass,TRUNC(1+(COUNTA(NPCClass))*(TRUNC(MOD(($B909*1103515245 +12345)/ 65536, 32768),0)/32768),0))</f>
        <v>Paladin</v>
      </c>
      <c r="F909" s="76">
        <v>1</v>
      </c>
      <c r="G909" s="153">
        <f ca="1">VLOOKUP($AB$2,'RF Mod'!$A$2:$G$12,2,FALSE)+VLOOKUP($AD$2,'RF Mod'!$I$2:$O$11,2,FALSE)+(TRUNC(6+(24-6)*(TRUNC(MOD(($Z909*1103515245 +12345)/ 65536, 32768),0)/32768),0))</f>
        <v>7</v>
      </c>
      <c r="H909" s="16">
        <f t="shared" ca="1" si="49"/>
        <v>-2</v>
      </c>
      <c r="I909" s="153">
        <f ca="1">VLOOKUP($AB$2,'RF Mod'!$A$2:$G$12,3,FALSE)+VLOOKUP($AD$2,'RF Mod'!$I$2:$O$11,3,FALSE)+(TRUNC(6+(24-6)*(TRUNC(MOD(($Z909*1103515245 +12345)/ 65536, 32768),0)/32768),0))</f>
        <v>11</v>
      </c>
      <c r="J909" s="16" t="e">
        <f t="shared" ca="1" si="50"/>
        <v>#NAME?</v>
      </c>
      <c r="K909" s="153">
        <f ca="1">VLOOKUP($AB$2,'RF Mod'!$A$2:$G$12,3,FALSE)+VLOOKUP($AD$2,'RF Mod'!$I$2:$O$11,3,FALSE)+(TRUNC(6+(24-6)*(TRUNC(MOD(($Z909*1103515245 +12345)/ 65536, 32768),0)/32768),0))</f>
        <v>11</v>
      </c>
      <c r="L909" s="16" t="e">
        <f t="shared" ca="1" si="51"/>
        <v>#NAME?</v>
      </c>
      <c r="M909" s="153">
        <f ca="1">VLOOKUP($AB$2,'RF Mod'!$A$2:$G$12,4,FALSE)+VLOOKUP($AD$2,'RF Mod'!$I$2:$O$11,4,FALSE)+(TRUNC(6+(24-6)*(TRUNC(MOD(($Z909*1103515245 +12345)/ 65536, 32768),0)/32768),0))</f>
        <v>10</v>
      </c>
      <c r="N909" s="16" t="e">
        <f t="shared" ca="1" si="52"/>
        <v>#NAME?</v>
      </c>
      <c r="O909" s="153">
        <f ca="1">VLOOKUP($AB$2,'RF Mod'!$A$2:$G$12,5,FALSE)+VLOOKUP($AD$2,'RF Mod'!$I$2:$O$11,5,FALSE)+(TRUNC(6+(24-6)*(TRUNC(MOD(($Z909*1103515245 +12345)/ 65536, 32768),0)/32768),0))</f>
        <v>13</v>
      </c>
      <c r="P909" s="16" t="e">
        <f t="shared" ca="1" si="53"/>
        <v>#NAME?</v>
      </c>
      <c r="Q909" s="153">
        <f ca="1">VLOOKUP($AB$2,'RF Mod'!$A$2:$G$12,6,FALSE)+VLOOKUP($AD$2,'RF Mod'!$I$2:$O$11,6,FALSE)+(TRUNC(6+(24-6)*(TRUNC(MOD(($Z909*1103515245 +12345)/ 65536, 32768),0)/32768),0))</f>
        <v>11</v>
      </c>
      <c r="R909" s="16" t="e">
        <f t="shared" ca="1" si="54"/>
        <v>#NAME?</v>
      </c>
      <c r="S909" s="154">
        <f t="shared" ca="1" si="59"/>
        <v>17</v>
      </c>
      <c r="T909" s="154">
        <f t="shared" ca="1" si="55"/>
        <v>3</v>
      </c>
      <c r="U909" s="16" t="str">
        <f t="shared" ca="1" si="56"/>
        <v>Fine</v>
      </c>
      <c r="V909" s="155">
        <f ca="1">IFERROR(__xludf.DUMMYFUNCTION("if(W909=""Middle Age"",QUERY(NPCVar!$K$2:$N1000, ""Select L where K = '""&amp;AB909&amp;""'""),if(W909=""Old"",QUERY(NPCVar!$K$2:$N1000, ""Select M where K = '""&amp;AB909&amp;""'""),if(W909=""Venerable"",QUERY(NPCVar!$K$2:$N1000, ""Select N where K = '""&amp;AB909&amp;""'""),fa"&amp;"lse)))*X909"),151.875)</f>
        <v>151.875</v>
      </c>
      <c r="W909" s="156" t="str">
        <f t="array" ref="W909">INDEX(NPCAgeType,TRUNC(1+(4-1)*(TRUNC(MOD((X909*1103515245 +12345)/ 65536, 32768),0)/32768),0))</f>
        <v>Old</v>
      </c>
      <c r="X909" s="117">
        <f t="shared" si="61"/>
        <v>0.9</v>
      </c>
      <c r="Y909" s="157" t="e">
        <f t="array" aca="1" ref="Y909" ca="1">LOOKUP(ABS(MAX(Z909 + MIN(ABS(INDIRECT("Class Jobs!B"&amp;MATCH(E909,'Class Jobs'!$A$1:$A1000,0)&amp;":"&amp;"AF"&amp;MATCH(E909,'Class Jobs'!$A$1:$A1000,0)&amp;"")-$Z909)) * SUM(IF(MIN(ABS(INDIRECT("Class Jobs!B"&amp;MATCH(E909,'Class Jobs'!$A$1:$A1000,0)&amp;":"&amp;"AF"&amp;MATCH(E909,'Class Jobs'!$A$1:$A1000,0)&amp;"")-$Z909))=ABS(INDIRECT("Class Jobs!B"&amp;MATCH(E909,'Class Jobs'!$A$1:$A1000,0)&amp;":"&amp;"AF"&amp;MATCH(E909,'Class Jobs'!$A$1:$A1000,0)&amp;"")-$Z909),SIGN(INDIRECT("Class Jobs!B"&amp;MATCH(E909,'Class Jobs'!$A$1:A1000,0)&amp;":"&amp;"AF"&amp;MATCH(E909,'Class Jobs'!$A$1:$A1000,0)&amp;"")-$Z909),0)),0)),INDIRECT("Class Jobs!B"&amp;MATCH(E909,'Class Jobs'!$A$1:$A1000,0)&amp;":"&amp;"AF"&amp;MATCH(E909,'Class Jobs'!$A$1:$A1000,1)&amp;""),'Class Jobs'!$B$1:$AF$1)</f>
        <v>#REF!</v>
      </c>
      <c r="Z909" s="158">
        <f t="shared" si="57"/>
        <v>0.34</v>
      </c>
      <c r="AA909" s="16" t="str">
        <f t="array" ref="AA909">INDEX(NPCGender,TRUNC(1+(COUNTA(NPCGender))*(TRUNC(MOD(($B909*1103515245 +12345)/ 65536, 32768),0)/32768),0))</f>
        <v>Female</v>
      </c>
      <c r="AB909" s="16" t="str">
        <f t="array" ref="AB909">INDEX(NPCRace,TRUNC(1+(COUNTA(NPCRace))*(TRUNC(MOD(($B909*1103515245 +12345)/ 65536, 32768),0)/32768),0))</f>
        <v>Gnome</v>
      </c>
      <c r="AC909" s="16" t="str">
        <f t="array" ref="AC909">INDEX(NPCAL,TRUNC(1+(COUNTA(NPCAL))*(TRUNC(MOD(($B909*1103515245 +12345)/ 65536, 32768),0)/32768),0))</f>
        <v>NG</v>
      </c>
      <c r="AD909" s="72" t="str">
        <f ca="1">IFERROR(__xludf.DUMMYFUNCTION("if(V909&lt;15,QUERY(NPCVar!C:D,""Select D WHERE C = '""&amp;D909&amp;""'""),if((TRUNC(1+10)*(TRUNC(MOD((ROW(H909)*1103515245 +12345)/ 65536, 32768),0)/32768)/10) &gt; 0.85,INDEX(NPCFaction,TRUNC(1+(counta(NPCFaction)-1)*(TRUNC(MOD(($B909*1103515245 +12345)/ 65536, 3276"&amp;"8),0)/32768),0)),QUERY(NPCVar!C:D,""Select D WHERE C = '""&amp;D909&amp;""'"")))"),"Necromancer")</f>
        <v>Necromancer</v>
      </c>
      <c r="AE909" s="108" t="e">
        <f t="shared" ca="1" si="58"/>
        <v>#NAME?</v>
      </c>
      <c r="AF909" s="159">
        <f ca="1">IFERROR(__xludf.DUMMYFUNCTION("AE909*(V909 / QUERY(NPCVar!$K$2:$N$12, ""Select N WHERE K='""&amp;AB909&amp;""'""))*TRUNC(1+10)*(TRUNC(MOD(($B909*1103515245 +12345)/ 65536, 32768),0)/32768)"),0.634800338745117)</f>
        <v>0.63480033874511699</v>
      </c>
      <c r="AG909" s="16"/>
      <c r="AH909" s="77"/>
      <c r="AI909" s="114"/>
    </row>
    <row r="910" spans="1:35" ht="16.2">
      <c r="A910" s="53">
        <v>909</v>
      </c>
      <c r="B910" s="118">
        <f t="shared" si="63"/>
        <v>2.1596500000000001</v>
      </c>
      <c r="C910" s="72" t="str">
        <f t="array" ref="C910">INDEX(NPCFName,TRUNC(1+(COUNTA(NPCFName))*(TRUNC(MOD(($B910*1103515245 +12345)/ 65536, 32768),0)/32768),0))</f>
        <v>Firedorn</v>
      </c>
      <c r="D910" s="16" t="str">
        <f t="array" ref="D910">INDEX(NPCLName,TRUNC(1+(COUNTA(NPCLName))*(TRUNC(MOD(($B910*1103515245 +12345)/ 65536, 32768),0)/32768),0))</f>
        <v>Distantlash</v>
      </c>
      <c r="E910" s="16" t="str">
        <f t="array" ref="E910">INDEX(NPCClass,TRUNC(1+(COUNTA(NPCClass))*(TRUNC(MOD(($B910*1103515245 +12345)/ 65536, 32768),0)/32768),0))</f>
        <v>Bard</v>
      </c>
      <c r="F910" s="76">
        <v>1</v>
      </c>
      <c r="G910" s="153">
        <f ca="1">VLOOKUP($AB$2,'RF Mod'!$A$2:$G$12,2,FALSE)+VLOOKUP($AD$2,'RF Mod'!$I$2:$O$11,2,FALSE)+(TRUNC(6+(24-6)*(TRUNC(MOD(($Z910*1103515245 +12345)/ 65536, 32768),0)/32768),0))</f>
        <v>5</v>
      </c>
      <c r="H910" s="16">
        <f t="shared" ca="1" si="49"/>
        <v>-3</v>
      </c>
      <c r="I910" s="153">
        <f ca="1">VLOOKUP($AB$2,'RF Mod'!$A$2:$G$12,3,FALSE)+VLOOKUP($AD$2,'RF Mod'!$I$2:$O$11,3,FALSE)+(TRUNC(6+(24-6)*(TRUNC(MOD(($Z910*1103515245 +12345)/ 65536, 32768),0)/32768),0))</f>
        <v>9</v>
      </c>
      <c r="J910" s="16">
        <f t="shared" ca="1" si="50"/>
        <v>-1</v>
      </c>
      <c r="K910" s="153">
        <f ca="1">VLOOKUP($AB$2,'RF Mod'!$A$2:$G$12,3,FALSE)+VLOOKUP($AD$2,'RF Mod'!$I$2:$O$11,3,FALSE)+(TRUNC(6+(24-6)*(TRUNC(MOD(($Z910*1103515245 +12345)/ 65536, 32768),0)/32768),0))</f>
        <v>9</v>
      </c>
      <c r="L910" s="16">
        <f t="shared" ca="1" si="51"/>
        <v>-1</v>
      </c>
      <c r="M910" s="153">
        <f ca="1">VLOOKUP($AB$2,'RF Mod'!$A$2:$G$12,4,FALSE)+VLOOKUP($AD$2,'RF Mod'!$I$2:$O$11,4,FALSE)+(TRUNC(6+(24-6)*(TRUNC(MOD(($Z910*1103515245 +12345)/ 65536, 32768),0)/32768),0))</f>
        <v>8</v>
      </c>
      <c r="N910" s="16">
        <f t="shared" ca="1" si="52"/>
        <v>-1</v>
      </c>
      <c r="O910" s="153">
        <f ca="1">VLOOKUP($AB$2,'RF Mod'!$A$2:$G$12,5,FALSE)+VLOOKUP($AD$2,'RF Mod'!$I$2:$O$11,5,FALSE)+(TRUNC(6+(24-6)*(TRUNC(MOD(($Z910*1103515245 +12345)/ 65536, 32768),0)/32768),0))</f>
        <v>11</v>
      </c>
      <c r="P910" s="16" t="e">
        <f t="shared" ca="1" si="53"/>
        <v>#NAME?</v>
      </c>
      <c r="Q910" s="153">
        <f ca="1">VLOOKUP($AB$2,'RF Mod'!$A$2:$G$12,6,FALSE)+VLOOKUP($AD$2,'RF Mod'!$I$2:$O$11,6,FALSE)+(TRUNC(6+(24-6)*(TRUNC(MOD(($Z910*1103515245 +12345)/ 65536, 32768),0)/32768),0))</f>
        <v>9</v>
      </c>
      <c r="R910" s="16">
        <f t="shared" ca="1" si="54"/>
        <v>-1</v>
      </c>
      <c r="S910" s="154">
        <f t="shared" ca="1" si="59"/>
        <v>27</v>
      </c>
      <c r="T910" s="154">
        <f t="shared" ca="1" si="55"/>
        <v>9</v>
      </c>
      <c r="U910" s="16" t="str">
        <f t="shared" ca="1" si="56"/>
        <v>Fine</v>
      </c>
      <c r="V910" s="155">
        <f ca="1">IFERROR(__xludf.DUMMYFUNCTION("if(W910=""Middle Age"",QUERY(NPCVar!$K$2:$N1000, ""Select L where K = '""&amp;AB910&amp;""'""),if(W910=""Old"",QUERY(NPCVar!$K$2:$N1000, ""Select M where K = '""&amp;AB910&amp;""'""),if(W910=""Venerable"",QUERY(NPCVar!$K$2:$N1000, ""Select N where K = '""&amp;AB910&amp;""'""),fa"&amp;"lse)))*X910"),24)</f>
        <v>24</v>
      </c>
      <c r="W910" s="156" t="str">
        <f t="array" ref="W910">INDEX(NPCAgeType,TRUNC(1+(4-1)*(TRUNC(MOD((X910*1103515245 +12345)/ 65536, 32768),0)/32768),0))</f>
        <v>Middle Age</v>
      </c>
      <c r="X910" s="117">
        <f t="shared" si="61"/>
        <v>0.3</v>
      </c>
      <c r="Y910" s="157" t="e">
        <f t="array" aca="1" ref="Y910" ca="1">LOOKUP(ABS(MAX(Z910 + MIN(ABS(INDIRECT("Class Jobs!B"&amp;MATCH(E910,'Class Jobs'!$A$1:$A1000,0)&amp;":"&amp;"AF"&amp;MATCH(E910,'Class Jobs'!$A$1:$A1000,0)&amp;"")-$Z910)) * SUM(IF(MIN(ABS(INDIRECT("Class Jobs!B"&amp;MATCH(E910,'Class Jobs'!$A$1:$A1000,0)&amp;":"&amp;"AF"&amp;MATCH(E910,'Class Jobs'!$A$1:$A1000,0)&amp;"")-$Z910))=ABS(INDIRECT("Class Jobs!B"&amp;MATCH(E910,'Class Jobs'!$A$1:$A1000,0)&amp;":"&amp;"AF"&amp;MATCH(E910,'Class Jobs'!$A$1:$A1000,0)&amp;"")-$Z910),SIGN(INDIRECT("Class Jobs!B"&amp;MATCH(E910,'Class Jobs'!$A$1:A1000,0)&amp;":"&amp;"AF"&amp;MATCH(E910,'Class Jobs'!$A$1:$A1000,0)&amp;"")-$Z910),0)),0)),INDIRECT("Class Jobs!B"&amp;MATCH(E910,'Class Jobs'!$A$1:$A1000,0)&amp;":"&amp;"AF"&amp;MATCH(E910,'Class Jobs'!$A$1:$A1000,1)&amp;""),'Class Jobs'!$B$1:$AF$1)</f>
        <v>#REF!</v>
      </c>
      <c r="Z910" s="158">
        <f t="shared" si="57"/>
        <v>0.11</v>
      </c>
      <c r="AA910" s="16" t="str">
        <f t="array" ref="AA910">INDEX(NPCGender,TRUNC(1+(COUNTA(NPCGender))*(TRUNC(MOD(($B910*1103515245 +12345)/ 65536, 32768),0)/32768),0))</f>
        <v>Male</v>
      </c>
      <c r="AB910" s="16" t="str">
        <f t="array" ref="AB910">INDEX(NPCRace,TRUNC(1+(COUNTA(NPCRace))*(TRUNC(MOD(($B910*1103515245 +12345)/ 65536, 32768),0)/32768),0))</f>
        <v>Dwarf</v>
      </c>
      <c r="AC910" s="16" t="str">
        <f t="array" ref="AC910">INDEX(NPCAL,TRUNC(1+(COUNTA(NPCAL))*(TRUNC(MOD(($B910*1103515245 +12345)/ 65536, 32768),0)/32768),0))</f>
        <v>CN</v>
      </c>
      <c r="AD910" s="72" t="str">
        <f ca="1">IFERROR(__xludf.DUMMYFUNCTION("if(V910&lt;15,QUERY(NPCVar!C:D,""Select D WHERE C = '""&amp;D910&amp;""'""),if((TRUNC(1+10)*(TRUNC(MOD((ROW(H910)*1103515245 +12345)/ 65536, 32768),0)/32768)/10) &gt; 0.85,INDEX(NPCFaction,TRUNC(1+(counta(NPCFaction)-1)*(TRUNC(MOD(($B910*1103515245 +12345)/ 65536, 3276"&amp;"8),0)/32768),0)),QUERY(NPCVar!C:D,""Select D WHERE C = '""&amp;D910&amp;""'"")))"),"Death Guild")</f>
        <v>Death Guild</v>
      </c>
      <c r="AE910" s="108" t="e">
        <f t="shared" ca="1" si="58"/>
        <v>#NAME?</v>
      </c>
      <c r="AF910" s="159">
        <f ca="1">IFERROR(__xludf.DUMMYFUNCTION("AE910*(V910 / QUERY(NPCVar!$K$2:$N$12, ""Select N WHERE K='""&amp;AB910&amp;""'""))*TRUNC(1+10)*(TRUNC(MOD(($B910*1103515245 +12345)/ 65536, 32768),0)/32768)"),-0.0181123352050781)</f>
        <v>-1.8112335205078101E-2</v>
      </c>
      <c r="AG910" s="16"/>
      <c r="AH910" s="77"/>
      <c r="AI910" s="114"/>
    </row>
    <row r="911" spans="1:35" ht="16.2">
      <c r="A911" s="53">
        <v>910</v>
      </c>
      <c r="B911" s="118">
        <f t="shared" si="63"/>
        <v>1.1537900000000001</v>
      </c>
      <c r="C911" s="72" t="str">
        <f t="array" ref="C911">INDEX(NPCFName,TRUNC(1+(COUNTA(NPCFName))*(TRUNC(MOD(($B911*1103515245 +12345)/ 65536, 32768),0)/32768),0))</f>
        <v>Sedar</v>
      </c>
      <c r="D911" s="16" t="str">
        <f t="array" ref="D911">INDEX(NPCLName,TRUNC(1+(COUNTA(NPCLName))*(TRUNC(MOD(($B911*1103515245 +12345)/ 65536, 32768),0)/32768),0))</f>
        <v>Chestaxe</v>
      </c>
      <c r="E911" s="16" t="str">
        <f t="array" ref="E911">INDEX(NPCClass,TRUNC(1+(COUNTA(NPCClass))*(TRUNC(MOD(($B911*1103515245 +12345)/ 65536, 32768),0)/32768),0))</f>
        <v>Warlock</v>
      </c>
      <c r="F911" s="76">
        <v>8</v>
      </c>
      <c r="G911" s="153">
        <f ca="1">VLOOKUP($AB$2,'RF Mod'!$A$2:$G$12,2,FALSE)+VLOOKUP($AD$2,'RF Mod'!$I$2:$O$11,2,FALSE)+(TRUNC(6+(24-6)*(TRUNC(MOD(($Z911*1103515245 +12345)/ 65536, 32768),0)/32768),0))</f>
        <v>9</v>
      </c>
      <c r="H911" s="16">
        <f t="shared" ca="1" si="49"/>
        <v>-1</v>
      </c>
      <c r="I911" s="153">
        <f ca="1">VLOOKUP($AB$2,'RF Mod'!$A$2:$G$12,3,FALSE)+VLOOKUP($AD$2,'RF Mod'!$I$2:$O$11,3,FALSE)+(TRUNC(6+(24-6)*(TRUNC(MOD(($Z911*1103515245 +12345)/ 65536, 32768),0)/32768),0))</f>
        <v>13</v>
      </c>
      <c r="J911" s="16" t="e">
        <f t="shared" ca="1" si="50"/>
        <v>#NAME?</v>
      </c>
      <c r="K911" s="153">
        <f ca="1">VLOOKUP($AB$2,'RF Mod'!$A$2:$G$12,3,FALSE)+VLOOKUP($AD$2,'RF Mod'!$I$2:$O$11,3,FALSE)+(TRUNC(6+(24-6)*(TRUNC(MOD(($Z911*1103515245 +12345)/ 65536, 32768),0)/32768),0))</f>
        <v>13</v>
      </c>
      <c r="L911" s="16" t="e">
        <f t="shared" ca="1" si="51"/>
        <v>#NAME?</v>
      </c>
      <c r="M911" s="153">
        <f ca="1">VLOOKUP($AB$2,'RF Mod'!$A$2:$G$12,4,FALSE)+VLOOKUP($AD$2,'RF Mod'!$I$2:$O$11,4,FALSE)+(TRUNC(6+(24-6)*(TRUNC(MOD(($Z911*1103515245 +12345)/ 65536, 32768),0)/32768),0))</f>
        <v>12</v>
      </c>
      <c r="N911" s="16" t="e">
        <f t="shared" ca="1" si="52"/>
        <v>#NAME?</v>
      </c>
      <c r="O911" s="153">
        <f ca="1">VLOOKUP($AB$2,'RF Mod'!$A$2:$G$12,5,FALSE)+VLOOKUP($AD$2,'RF Mod'!$I$2:$O$11,5,FALSE)+(TRUNC(6+(24-6)*(TRUNC(MOD(($Z911*1103515245 +12345)/ 65536, 32768),0)/32768),0))</f>
        <v>15</v>
      </c>
      <c r="P911" s="16" t="e">
        <f t="shared" ca="1" si="53"/>
        <v>#NAME?</v>
      </c>
      <c r="Q911" s="153">
        <f ca="1">VLOOKUP($AB$2,'RF Mod'!$A$2:$G$12,6,FALSE)+VLOOKUP($AD$2,'RF Mod'!$I$2:$O$11,6,FALSE)+(TRUNC(6+(24-6)*(TRUNC(MOD(($Z911*1103515245 +12345)/ 65536, 32768),0)/32768),0))</f>
        <v>13</v>
      </c>
      <c r="R911" s="16" t="e">
        <f t="shared" ca="1" si="54"/>
        <v>#NAME?</v>
      </c>
      <c r="S911" s="154">
        <f t="shared" ca="1" si="59"/>
        <v>184</v>
      </c>
      <c r="T911" s="154">
        <f t="shared" ca="1" si="55"/>
        <v>58</v>
      </c>
      <c r="U911" s="16" t="str">
        <f t="shared" ca="1" si="56"/>
        <v>Fine</v>
      </c>
      <c r="V911" s="155">
        <f ca="1">IFERROR(__xludf.DUMMYFUNCTION("if(W911=""Middle Age"",QUERY(NPCVar!$K$2:$N1000, ""Select L where K = '""&amp;AB911&amp;""'""),if(W911=""Old"",QUERY(NPCVar!$K$2:$N1000, ""Select M where K = '""&amp;AB911&amp;""'""),if(W911=""Venerable"",QUERY(NPCVar!$K$2:$N1000, ""Select N where K = '""&amp;AB911&amp;""'""),fa"&amp;"lse)))*X911"),300)</f>
        <v>300</v>
      </c>
      <c r="W911" s="156" t="str">
        <f t="array" ref="W911">INDEX(NPCAgeType,TRUNC(1+(4-1)*(TRUNC(MOD((X911*1103515245 +12345)/ 65536, 32768),0)/32768),0))</f>
        <v>Venerable</v>
      </c>
      <c r="X911" s="117">
        <f t="shared" si="61"/>
        <v>1.5</v>
      </c>
      <c r="Y911" s="157" t="e">
        <f t="array" aca="1" ref="Y911" ca="1">LOOKUP(ABS(MAX(Z911 + MIN(ABS(INDIRECT("Class Jobs!B"&amp;MATCH(E911,'Class Jobs'!$A$1:$A1000,0)&amp;":"&amp;"AF"&amp;MATCH(E911,'Class Jobs'!$A$1:$A1000,0)&amp;"")-$Z911)) * SUM(IF(MIN(ABS(INDIRECT("Class Jobs!B"&amp;MATCH(E911,'Class Jobs'!$A$1:$A1000,0)&amp;":"&amp;"AF"&amp;MATCH(E911,'Class Jobs'!$A$1:$A1000,0)&amp;"")-$Z911))=ABS(INDIRECT("Class Jobs!B"&amp;MATCH(E911,'Class Jobs'!$A$1:$A1000,0)&amp;":"&amp;"AF"&amp;MATCH(E911,'Class Jobs'!$A$1:$A1000,0)&amp;"")-$Z911),SIGN(INDIRECT("Class Jobs!B"&amp;MATCH(E911,'Class Jobs'!$A$1:A1000,0)&amp;":"&amp;"AF"&amp;MATCH(E911,'Class Jobs'!$A$1:$A1000,0)&amp;"")-$Z911),0)),0)),INDIRECT("Class Jobs!B"&amp;MATCH(E911,'Class Jobs'!$A$1:$A1000,0)&amp;":"&amp;"AF"&amp;MATCH(E911,'Class Jobs'!$A$1:$A1000,1)&amp;""),'Class Jobs'!$B$1:$AF$1)</f>
        <v>#REF!</v>
      </c>
      <c r="Z911" s="158">
        <f t="shared" si="57"/>
        <v>0.59</v>
      </c>
      <c r="AA911" s="16" t="str">
        <f t="array" ref="AA911">INDEX(NPCGender,TRUNC(1+(COUNTA(NPCGender))*(TRUNC(MOD(($B911*1103515245 +12345)/ 65536, 32768),0)/32768),0))</f>
        <v>Female</v>
      </c>
      <c r="AB911" s="16" t="str">
        <f t="array" ref="AB911">INDEX(NPCRace,TRUNC(1+(COUNTA(NPCRace))*(TRUNC(MOD(($B911*1103515245 +12345)/ 65536, 32768),0)/32768),0))</f>
        <v>Halfling</v>
      </c>
      <c r="AC911" s="16" t="str">
        <f t="array" ref="AC911">INDEX(NPCAL,TRUNC(1+(COUNTA(NPCAL))*(TRUNC(MOD(($B911*1103515245 +12345)/ 65536, 32768),0)/32768),0))</f>
        <v>NE</v>
      </c>
      <c r="AD911" s="72" t="str">
        <f ca="1">IFERROR(__xludf.DUMMYFUNCTION("if(V911&lt;15,QUERY(NPCVar!C:D,""Select D WHERE C = '""&amp;D911&amp;""'""),if((TRUNC(1+10)*(TRUNC(MOD((ROW(H911)*1103515245 +12345)/ 65536, 32768),0)/32768)/10) &gt; 0.85,INDEX(NPCFaction,TRUNC(1+(counta(NPCFaction)-1)*(TRUNC(MOD(($B911*1103515245 +12345)/ 65536, 3276"&amp;"8),0)/32768),0)),QUERY(NPCVar!C:D,""Select D WHERE C = '""&amp;D911&amp;""'"")))"),"Farmers Guild")</f>
        <v>Farmers Guild</v>
      </c>
      <c r="AE911" s="108" t="e">
        <f t="shared" ca="1" si="58"/>
        <v>#NAME?</v>
      </c>
      <c r="AF911" s="159">
        <f ca="1">IFERROR(__xludf.DUMMYFUNCTION("AE911*(V911 / QUERY(NPCVar!$K$2:$N$12, ""Select N WHERE K='""&amp;AB911&amp;""'""))*TRUNC(1+10)*(TRUNC(MOD(($B911*1103515245 +12345)/ 65536, 32768),0)/32768)"),6.84794311523437)</f>
        <v>6.8479431152343704</v>
      </c>
      <c r="AG911" s="16"/>
      <c r="AH911" s="77"/>
      <c r="AI911" s="114"/>
    </row>
    <row r="912" spans="1:35" ht="16.2">
      <c r="A912" s="53">
        <v>911</v>
      </c>
      <c r="B912" s="118">
        <f t="shared" si="63"/>
        <v>0.14785999999999999</v>
      </c>
      <c r="C912" s="72" t="str">
        <f t="array" ref="C912">INDEX(NPCFName,TRUNC(1+(COUNTA(NPCFName))*(TRUNC(MOD(($B912*1103515245 +12345)/ 65536, 32768),0)/32768),0))</f>
        <v>Doceon</v>
      </c>
      <c r="D912" s="16" t="str">
        <f t="array" ref="D912">INDEX(NPCLName,TRUNC(1+(COUNTA(NPCLName))*(TRUNC(MOD(($B912*1103515245 +12345)/ 65536, 32768),0)/32768),0))</f>
        <v>Autumnorb</v>
      </c>
      <c r="E912" s="16" t="str">
        <f t="array" ref="E912">INDEX(NPCClass,TRUNC(1+(COUNTA(NPCClass))*(TRUNC(MOD(($B912*1103515245 +12345)/ 65536, 32768),0)/32768),0))</f>
        <v>Barbarian</v>
      </c>
      <c r="F912" s="76">
        <v>1</v>
      </c>
      <c r="G912" s="153">
        <f ca="1">VLOOKUP($AB$2,'RF Mod'!$A$2:$G$12,2,FALSE)+VLOOKUP($AD$2,'RF Mod'!$I$2:$O$11,2,FALSE)+(TRUNC(6+(24-6)*(TRUNC(MOD(($Z912*1103515245 +12345)/ 65536, 32768),0)/32768),0))</f>
        <v>4</v>
      </c>
      <c r="H912" s="16">
        <f t="shared" ca="1" si="49"/>
        <v>-3</v>
      </c>
      <c r="I912" s="153">
        <f ca="1">VLOOKUP($AB$2,'RF Mod'!$A$2:$G$12,3,FALSE)+VLOOKUP($AD$2,'RF Mod'!$I$2:$O$11,3,FALSE)+(TRUNC(6+(24-6)*(TRUNC(MOD(($Z912*1103515245 +12345)/ 65536, 32768),0)/32768),0))</f>
        <v>8</v>
      </c>
      <c r="J912" s="16">
        <f t="shared" ca="1" si="50"/>
        <v>-1</v>
      </c>
      <c r="K912" s="153">
        <f ca="1">VLOOKUP($AB$2,'RF Mod'!$A$2:$G$12,3,FALSE)+VLOOKUP($AD$2,'RF Mod'!$I$2:$O$11,3,FALSE)+(TRUNC(6+(24-6)*(TRUNC(MOD(($Z912*1103515245 +12345)/ 65536, 32768),0)/32768),0))</f>
        <v>8</v>
      </c>
      <c r="L912" s="16">
        <f t="shared" ca="1" si="51"/>
        <v>-1</v>
      </c>
      <c r="M912" s="153">
        <f ca="1">VLOOKUP($AB$2,'RF Mod'!$A$2:$G$12,4,FALSE)+VLOOKUP($AD$2,'RF Mod'!$I$2:$O$11,4,FALSE)+(TRUNC(6+(24-6)*(TRUNC(MOD(($Z912*1103515245 +12345)/ 65536, 32768),0)/32768),0))</f>
        <v>7</v>
      </c>
      <c r="N912" s="16">
        <f t="shared" ca="1" si="52"/>
        <v>-2</v>
      </c>
      <c r="O912" s="153">
        <f ca="1">VLOOKUP($AB$2,'RF Mod'!$A$2:$G$12,5,FALSE)+VLOOKUP($AD$2,'RF Mod'!$I$2:$O$11,5,FALSE)+(TRUNC(6+(24-6)*(TRUNC(MOD(($Z912*1103515245 +12345)/ 65536, 32768),0)/32768),0))</f>
        <v>10</v>
      </c>
      <c r="P912" s="16" t="e">
        <f t="shared" ca="1" si="53"/>
        <v>#NAME?</v>
      </c>
      <c r="Q912" s="153">
        <f ca="1">VLOOKUP($AB$2,'RF Mod'!$A$2:$G$12,6,FALSE)+VLOOKUP($AD$2,'RF Mod'!$I$2:$O$11,6,FALSE)+(TRUNC(6+(24-6)*(TRUNC(MOD(($Z912*1103515245 +12345)/ 65536, 32768),0)/32768),0))</f>
        <v>8</v>
      </c>
      <c r="R912" s="16">
        <f t="shared" ca="1" si="54"/>
        <v>-1</v>
      </c>
      <c r="S912" s="154">
        <f t="shared" ca="1" si="59"/>
        <v>26</v>
      </c>
      <c r="T912" s="154">
        <f t="shared" ca="1" si="55"/>
        <v>3</v>
      </c>
      <c r="U912" s="16" t="str">
        <f t="shared" ca="1" si="56"/>
        <v>Fine</v>
      </c>
      <c r="V912" s="155">
        <f ca="1">IFERROR(__xludf.DUMMYFUNCTION("if(W912=""Middle Age"",QUERY(NPCVar!$K$2:$N1000, ""Select L where K = '""&amp;AB912&amp;""'""),if(W912=""Old"",QUERY(NPCVar!$K$2:$N1000, ""Select M where K = '""&amp;AB912&amp;""'""),if(W912=""Venerable"",QUERY(NPCVar!$K$2:$N1000, ""Select N where K = '""&amp;AB912&amp;""'""),fa"&amp;"lse)))*X912"),4)</f>
        <v>4</v>
      </c>
      <c r="W912" s="156" t="str">
        <f t="array" ref="W912">INDEX(NPCAgeType,TRUNC(1+(4-1)*(TRUNC(MOD((X912*1103515245 +12345)/ 65536, 32768),0)/32768),0))</f>
        <v>Middle Age</v>
      </c>
      <c r="X912" s="117">
        <f t="shared" si="61"/>
        <v>0.2</v>
      </c>
      <c r="Y912" s="157" t="e">
        <f t="array" aca="1" ref="Y912" ca="1">LOOKUP(ABS(MAX(Z912 + MIN(ABS(INDIRECT("Class Jobs!B"&amp;MATCH(E912,'Class Jobs'!$A$1:$A1000,0)&amp;":"&amp;"AF"&amp;MATCH(E912,'Class Jobs'!$A$1:$A1000,0)&amp;"")-$Z912)) * SUM(IF(MIN(ABS(INDIRECT("Class Jobs!B"&amp;MATCH(E912,'Class Jobs'!$A$1:$A1000,0)&amp;":"&amp;"AF"&amp;MATCH(E912,'Class Jobs'!$A$1:$A1000,0)&amp;"")-$Z912))=ABS(INDIRECT("Class Jobs!B"&amp;MATCH(E912,'Class Jobs'!$A$1:$A1000,0)&amp;":"&amp;"AF"&amp;MATCH(E912,'Class Jobs'!$A$1:$A1000,0)&amp;"")-$Z912),SIGN(INDIRECT("Class Jobs!B"&amp;MATCH(E912,'Class Jobs'!$A$1:A1000,0)&amp;":"&amp;"AF"&amp;MATCH(E912,'Class Jobs'!$A$1:$A1000,0)&amp;"")-$Z912),0)),0)),INDIRECT("Class Jobs!B"&amp;MATCH(E912,'Class Jobs'!$A$1:$A1000,0)&amp;":"&amp;"AF"&amp;MATCH(E912,'Class Jobs'!$A$1:$A1000,1)&amp;""),'Class Jobs'!$B$1:$AF$1)</f>
        <v>#REF!</v>
      </c>
      <c r="Z912" s="158">
        <f t="shared" si="57"/>
        <v>0.08</v>
      </c>
      <c r="AA912" s="16" t="str">
        <f t="array" ref="AA912">INDEX(NPCGender,TRUNC(1+(COUNTA(NPCGender))*(TRUNC(MOD(($B912*1103515245 +12345)/ 65536, 32768),0)/32768),0))</f>
        <v>Male</v>
      </c>
      <c r="AB912" s="16" t="str">
        <f t="array" ref="AB912">INDEX(NPCRace,TRUNC(1+(COUNTA(NPCRace))*(TRUNC(MOD(($B912*1103515245 +12345)/ 65536, 32768),0)/32768),0))</f>
        <v>Dragonborn</v>
      </c>
      <c r="AC912" s="16" t="str">
        <f t="array" ref="AC912">INDEX(NPCAL,TRUNC(1+(COUNTA(NPCAL))*(TRUNC(MOD(($B912*1103515245 +12345)/ 65536, 32768),0)/32768),0))</f>
        <v>CN</v>
      </c>
      <c r="AD912" s="72" t="str">
        <f ca="1">IFERROR(__xludf.DUMMYFUNCTION("if(V912&lt;15,QUERY(NPCVar!C:D,""Select D WHERE C = '""&amp;D912&amp;""'""),if((TRUNC(1+10)*(TRUNC(MOD((ROW(H912)*1103515245 +12345)/ 65536, 32768),0)/32768)/10) &gt; 0.85,INDEX(NPCFaction,TRUNC(1+(counta(NPCFaction)-1)*(TRUNC(MOD(($B912*1103515245 +12345)/ 65536, 3276"&amp;"8),0)/32768),0)),QUERY(NPCVar!C:D,""Select D WHERE C = '""&amp;D912&amp;""'"")))"),"Royalty")</f>
        <v>Royalty</v>
      </c>
      <c r="AE912" s="108" t="e">
        <f t="shared" ca="1" si="58"/>
        <v>#NAME?</v>
      </c>
      <c r="AF912" s="159">
        <f ca="1">IFERROR(__xludf.DUMMYFUNCTION("AE912*(V912 / QUERY(NPCVar!$K$2:$N$12, ""Select N WHERE K='""&amp;AB912&amp;""'""))*TRUNC(1+10)*(TRUNC(MOD(($B912*1103515245 +12345)/ 65536, 32768),0)/32768)"),-0.00417770385742187)</f>
        <v>-4.1777038574218701E-3</v>
      </c>
      <c r="AG912" s="16"/>
      <c r="AH912" s="77"/>
      <c r="AI912" s="114"/>
    </row>
    <row r="913" spans="1:35" ht="16.2">
      <c r="A913" s="53">
        <v>912</v>
      </c>
      <c r="B913" s="118">
        <f t="shared" si="63"/>
        <v>1.6419999999999999</v>
      </c>
      <c r="C913" s="72" t="str">
        <f t="array" ref="C913">INDEX(NPCFName,TRUNC(1+(COUNTA(NPCFName))*(TRUNC(MOD(($B913*1103515245 +12345)/ 65536, 32768),0)/32768),0))</f>
        <v>Lox</v>
      </c>
      <c r="D913" s="16" t="str">
        <f t="array" ref="D913">INDEX(NPCLName,TRUNC(1+(COUNTA(NPCLName))*(TRUNC(MOD(($B913*1103515245 +12345)/ 65536, 32768),0)/32768),0))</f>
        <v>Springgust</v>
      </c>
      <c r="E913" s="16" t="str">
        <f t="array" ref="E913">INDEX(NPCClass,TRUNC(1+(COUNTA(NPCClass))*(TRUNC(MOD(($B913*1103515245 +12345)/ 65536, 32768),0)/32768),0))</f>
        <v>Fighter</v>
      </c>
      <c r="F913" s="76">
        <v>8</v>
      </c>
      <c r="G913" s="153">
        <f ca="1">VLOOKUP($AB$2,'RF Mod'!$A$2:$G$12,2,FALSE)+VLOOKUP($AD$2,'RF Mod'!$I$2:$O$11,2,FALSE)+(TRUNC(6+(24-6)*(TRUNC(MOD(($Z913*1103515245 +12345)/ 65536, 32768),0)/32768),0))</f>
        <v>11</v>
      </c>
      <c r="H913" s="16" t="e">
        <f t="shared" ca="1" si="49"/>
        <v>#NAME?</v>
      </c>
      <c r="I913" s="153">
        <f ca="1">VLOOKUP($AB$2,'RF Mod'!$A$2:$G$12,3,FALSE)+VLOOKUP($AD$2,'RF Mod'!$I$2:$O$11,3,FALSE)+(TRUNC(6+(24-6)*(TRUNC(MOD(($Z913*1103515245 +12345)/ 65536, 32768),0)/32768),0))</f>
        <v>15</v>
      </c>
      <c r="J913" s="16" t="e">
        <f t="shared" ca="1" si="50"/>
        <v>#NAME?</v>
      </c>
      <c r="K913" s="153">
        <f ca="1">VLOOKUP($AB$2,'RF Mod'!$A$2:$G$12,3,FALSE)+VLOOKUP($AD$2,'RF Mod'!$I$2:$O$11,3,FALSE)+(TRUNC(6+(24-6)*(TRUNC(MOD(($Z913*1103515245 +12345)/ 65536, 32768),0)/32768),0))</f>
        <v>15</v>
      </c>
      <c r="L913" s="16" t="e">
        <f t="shared" ca="1" si="51"/>
        <v>#NAME?</v>
      </c>
      <c r="M913" s="153">
        <f ca="1">VLOOKUP($AB$2,'RF Mod'!$A$2:$G$12,4,FALSE)+VLOOKUP($AD$2,'RF Mod'!$I$2:$O$11,4,FALSE)+(TRUNC(6+(24-6)*(TRUNC(MOD(($Z913*1103515245 +12345)/ 65536, 32768),0)/32768),0))</f>
        <v>14</v>
      </c>
      <c r="N913" s="16" t="e">
        <f t="shared" ca="1" si="52"/>
        <v>#NAME?</v>
      </c>
      <c r="O913" s="153">
        <f ca="1">VLOOKUP($AB$2,'RF Mod'!$A$2:$G$12,5,FALSE)+VLOOKUP($AD$2,'RF Mod'!$I$2:$O$11,5,FALSE)+(TRUNC(6+(24-6)*(TRUNC(MOD(($Z913*1103515245 +12345)/ 65536, 32768),0)/32768),0))</f>
        <v>17</v>
      </c>
      <c r="P913" s="16" t="e">
        <f t="shared" ca="1" si="53"/>
        <v>#NAME?</v>
      </c>
      <c r="Q913" s="153">
        <f ca="1">VLOOKUP($AB$2,'RF Mod'!$A$2:$G$12,6,FALSE)+VLOOKUP($AD$2,'RF Mod'!$I$2:$O$11,6,FALSE)+(TRUNC(6+(24-6)*(TRUNC(MOD(($Z913*1103515245 +12345)/ 65536, 32768),0)/32768),0))</f>
        <v>15</v>
      </c>
      <c r="R913" s="16" t="e">
        <f t="shared" ca="1" si="54"/>
        <v>#NAME?</v>
      </c>
      <c r="S913" s="154">
        <f t="shared" ca="1" si="59"/>
        <v>232</v>
      </c>
      <c r="T913" s="154">
        <f t="shared" ca="1" si="55"/>
        <v>165</v>
      </c>
      <c r="U913" s="16" t="str">
        <f t="shared" ca="1" si="56"/>
        <v>Bloody</v>
      </c>
      <c r="V913" s="155">
        <f ca="1">IFERROR(__xludf.DUMMYFUNCTION("if(W913=""Middle Age"",QUERY(NPCVar!$K$2:$N1000, ""Select L where K = '""&amp;AB913&amp;""'""),if(W913=""Old"",QUERY(NPCVar!$K$2:$N1000, ""Select M where K = '""&amp;AB913&amp;""'""),if(W913=""Venerable"",QUERY(NPCVar!$K$2:$N1000, ""Select N where K = '""&amp;AB913&amp;""'""),fa"&amp;"lse)))*X913"),57.75)</f>
        <v>57.75</v>
      </c>
      <c r="W913" s="156" t="str">
        <f t="array" ref="W913">INDEX(NPCAgeType,TRUNC(1+(4-1)*(TRUNC(MOD((X913*1103515245 +12345)/ 65536, 32768),0)/32768),0))</f>
        <v>Middle Age</v>
      </c>
      <c r="X913" s="117">
        <f t="shared" si="61"/>
        <v>2.1</v>
      </c>
      <c r="Y913" s="157" t="e">
        <f t="array" aca="1" ref="Y913" ca="1">LOOKUP(ABS(MAX(Z913 + MIN(ABS(INDIRECT("Class Jobs!B"&amp;MATCH(E913,'Class Jobs'!$A$1:$A1000,0)&amp;":"&amp;"AF"&amp;MATCH(E913,'Class Jobs'!$A$1:$A1000,0)&amp;"")-$Z913)) * SUM(IF(MIN(ABS(INDIRECT("Class Jobs!B"&amp;MATCH(E913,'Class Jobs'!$A$1:$A1000,0)&amp;":"&amp;"AF"&amp;MATCH(E913,'Class Jobs'!$A$1:$A1000,0)&amp;"")-$Z913))=ABS(INDIRECT("Class Jobs!B"&amp;MATCH(E913,'Class Jobs'!$A$1:$A1000,0)&amp;":"&amp;"AF"&amp;MATCH(E913,'Class Jobs'!$A$1:$A1000,0)&amp;"")-$Z913),SIGN(INDIRECT("Class Jobs!B"&amp;MATCH(E913,'Class Jobs'!$A$1:A1000,0)&amp;":"&amp;"AF"&amp;MATCH(E913,'Class Jobs'!$A$1:$A1000,0)&amp;"")-$Z913),0)),0)),INDIRECT("Class Jobs!B"&amp;MATCH(E913,'Class Jobs'!$A$1:$A1000,0)&amp;":"&amp;"AF"&amp;MATCH(E913,'Class Jobs'!$A$1:$A1000,1)&amp;""),'Class Jobs'!$B$1:$AF$1)</f>
        <v>#REF!</v>
      </c>
      <c r="Z913" s="158">
        <f t="shared" si="57"/>
        <v>0.84</v>
      </c>
      <c r="AA913" s="16" t="str">
        <f t="array" ref="AA913">INDEX(NPCGender,TRUNC(1+(COUNTA(NPCGender))*(TRUNC(MOD(($B913*1103515245 +12345)/ 65536, 32768),0)/32768),0))</f>
        <v>Neutral</v>
      </c>
      <c r="AB913" s="16" t="str">
        <f t="array" ref="AB913">INDEX(NPCRace,TRUNC(1+(COUNTA(NPCRace))*(TRUNC(MOD(($B913*1103515245 +12345)/ 65536, 32768),0)/32768),0))</f>
        <v>Genasi</v>
      </c>
      <c r="AC913" s="16" t="str">
        <f t="array" ref="AC913">INDEX(NPCAL,TRUNC(1+(COUNTA(NPCAL))*(TRUNC(MOD(($B913*1103515245 +12345)/ 65536, 32768),0)/32768),0))</f>
        <v>LN</v>
      </c>
      <c r="AD913" s="72" t="str">
        <f ca="1">IFERROR(__xludf.DUMMYFUNCTION("if(V913&lt;15,QUERY(NPCVar!C:D,""Select D WHERE C = '""&amp;D913&amp;""'""),if((TRUNC(1+10)*(TRUNC(MOD((ROW(H913)*1103515245 +12345)/ 65536, 32768),0)/32768)/10) &gt; 0.85,INDEX(NPCFaction,TRUNC(1+(counta(NPCFaction)-1)*(TRUNC(MOD(($B913*1103515245 +12345)/ 65536, 3276"&amp;"8),0)/32768),0)),QUERY(NPCVar!C:D,""Select D WHERE C = '""&amp;D913&amp;""'"")))"),"Traverlers Guild")</f>
        <v>Traverlers Guild</v>
      </c>
      <c r="AE913" s="108" t="e">
        <f t="shared" ca="1" si="58"/>
        <v>#NAME?</v>
      </c>
      <c r="AF913" s="159">
        <f ca="1">IFERROR(__xludf.DUMMYFUNCTION("AE913*(V913 / QUERY(NPCVar!$K$2:$N$12, ""Select N WHERE K='""&amp;AB913&amp;""'""))*TRUNC(1+10)*(TRUNC(MOD(($B913*1103515245 +12345)/ 65536, 32768),0)/32768)"),3.410859375)</f>
        <v>3.4108593749999998</v>
      </c>
      <c r="AG913" s="16"/>
      <c r="AH913" s="77"/>
      <c r="AI913" s="114"/>
    </row>
    <row r="914" spans="1:35" ht="16.2">
      <c r="A914" s="53">
        <v>913</v>
      </c>
      <c r="B914" s="118">
        <f t="shared" si="63"/>
        <v>0.63614000000000004</v>
      </c>
      <c r="C914" s="72" t="str">
        <f t="array" ref="C914">INDEX(NPCFName,TRUNC(1+(COUNTA(NPCFName))*(TRUNC(MOD(($B914*1103515245 +12345)/ 65536, 32768),0)/32768),0))</f>
        <v>Zeke</v>
      </c>
      <c r="D914" s="16" t="str">
        <f t="array" ref="D914">INDEX(NPCLName,TRUNC(1+(COUNTA(NPCLName))*(TRUNC(MOD(($B914*1103515245 +12345)/ 65536, 32768),0)/32768),0))</f>
        <v>Stormdew</v>
      </c>
      <c r="E914" s="16" t="str">
        <f t="array" ref="E914">INDEX(NPCClass,TRUNC(1+(COUNTA(NPCClass))*(TRUNC(MOD(($B914*1103515245 +12345)/ 65536, 32768),0)/32768),0))</f>
        <v>Monk</v>
      </c>
      <c r="F914" s="76">
        <v>5</v>
      </c>
      <c r="G914" s="153">
        <f ca="1">VLOOKUP($AB$2,'RF Mod'!$A$2:$G$12,2,FALSE)+VLOOKUP($AD$2,'RF Mod'!$I$2:$O$11,2,FALSE)+(TRUNC(6+(24-6)*(TRUNC(MOD(($Z914*1103515245 +12345)/ 65536, 32768),0)/32768),0))</f>
        <v>7</v>
      </c>
      <c r="H914" s="16">
        <f t="shared" ca="1" si="49"/>
        <v>-2</v>
      </c>
      <c r="I914" s="153">
        <f ca="1">VLOOKUP($AB$2,'RF Mod'!$A$2:$G$12,3,FALSE)+VLOOKUP($AD$2,'RF Mod'!$I$2:$O$11,3,FALSE)+(TRUNC(6+(24-6)*(TRUNC(MOD(($Z914*1103515245 +12345)/ 65536, 32768),0)/32768),0))</f>
        <v>11</v>
      </c>
      <c r="J914" s="16" t="e">
        <f t="shared" ca="1" si="50"/>
        <v>#NAME?</v>
      </c>
      <c r="K914" s="153">
        <f ca="1">VLOOKUP($AB$2,'RF Mod'!$A$2:$G$12,3,FALSE)+VLOOKUP($AD$2,'RF Mod'!$I$2:$O$11,3,FALSE)+(TRUNC(6+(24-6)*(TRUNC(MOD(($Z914*1103515245 +12345)/ 65536, 32768),0)/32768),0))</f>
        <v>11</v>
      </c>
      <c r="L914" s="16" t="e">
        <f t="shared" ca="1" si="51"/>
        <v>#NAME?</v>
      </c>
      <c r="M914" s="153">
        <f ca="1">VLOOKUP($AB$2,'RF Mod'!$A$2:$G$12,4,FALSE)+VLOOKUP($AD$2,'RF Mod'!$I$2:$O$11,4,FALSE)+(TRUNC(6+(24-6)*(TRUNC(MOD(($Z914*1103515245 +12345)/ 65536, 32768),0)/32768),0))</f>
        <v>10</v>
      </c>
      <c r="N914" s="16" t="e">
        <f t="shared" ca="1" si="52"/>
        <v>#NAME?</v>
      </c>
      <c r="O914" s="153">
        <f ca="1">VLOOKUP($AB$2,'RF Mod'!$A$2:$G$12,5,FALSE)+VLOOKUP($AD$2,'RF Mod'!$I$2:$O$11,5,FALSE)+(TRUNC(6+(24-6)*(TRUNC(MOD(($Z914*1103515245 +12345)/ 65536, 32768),0)/32768),0))</f>
        <v>13</v>
      </c>
      <c r="P914" s="16" t="e">
        <f t="shared" ca="1" si="53"/>
        <v>#NAME?</v>
      </c>
      <c r="Q914" s="153">
        <f ca="1">VLOOKUP($AB$2,'RF Mod'!$A$2:$G$12,6,FALSE)+VLOOKUP($AD$2,'RF Mod'!$I$2:$O$11,6,FALSE)+(TRUNC(6+(24-6)*(TRUNC(MOD(($Z914*1103515245 +12345)/ 65536, 32768),0)/32768),0))</f>
        <v>11</v>
      </c>
      <c r="R914" s="16" t="e">
        <f t="shared" ca="1" si="54"/>
        <v>#NAME?</v>
      </c>
      <c r="S914" s="154">
        <f t="shared" ca="1" si="59"/>
        <v>65</v>
      </c>
      <c r="T914" s="154">
        <f t="shared" ca="1" si="55"/>
        <v>15</v>
      </c>
      <c r="U914" s="16" t="str">
        <f t="shared" ca="1" si="56"/>
        <v>Fine</v>
      </c>
      <c r="V914" s="155">
        <f ca="1">IFERROR(__xludf.DUMMYFUNCTION("if(W914=""Middle Age"",QUERY(NPCVar!$K$2:$N1000, ""Select L where K = '""&amp;AB914&amp;""'""),if(W914=""Old"",QUERY(NPCVar!$K$2:$N1000, ""Select M where K = '""&amp;AB914&amp;""'""),if(W914=""Venerable"",QUERY(NPCVar!$K$2:$N1000, ""Select N where K = '""&amp;AB914&amp;""'""),fa"&amp;"lse)))*X914"),135)</f>
        <v>135</v>
      </c>
      <c r="W914" s="156" t="str">
        <f t="array" ref="W914">INDEX(NPCAgeType,TRUNC(1+(4-1)*(TRUNC(MOD((X914*1103515245 +12345)/ 65536, 32768),0)/32768),0))</f>
        <v>Old</v>
      </c>
      <c r="X914" s="117">
        <f t="shared" si="61"/>
        <v>0.8</v>
      </c>
      <c r="Y914" s="157" t="e">
        <f t="array" aca="1" ref="Y914" ca="1">LOOKUP(ABS(MAX(Z914 + MIN(ABS(INDIRECT("Class Jobs!B"&amp;MATCH(E914,'Class Jobs'!$A$1:$A1000,0)&amp;":"&amp;"AF"&amp;MATCH(E914,'Class Jobs'!$A$1:$A1000,0)&amp;"")-$Z914)) * SUM(IF(MIN(ABS(INDIRECT("Class Jobs!B"&amp;MATCH(E914,'Class Jobs'!$A$1:$A1000,0)&amp;":"&amp;"AF"&amp;MATCH(E914,'Class Jobs'!$A$1:$A1000,0)&amp;"")-$Z914))=ABS(INDIRECT("Class Jobs!B"&amp;MATCH(E914,'Class Jobs'!$A$1:$A1000,0)&amp;":"&amp;"AF"&amp;MATCH(E914,'Class Jobs'!$A$1:$A1000,0)&amp;"")-$Z914),SIGN(INDIRECT("Class Jobs!B"&amp;MATCH(E914,'Class Jobs'!$A$1:A1000,0)&amp;":"&amp;"AF"&amp;MATCH(E914,'Class Jobs'!$A$1:$A1000,0)&amp;"")-$Z914),0)),0)),INDIRECT("Class Jobs!B"&amp;MATCH(E914,'Class Jobs'!$A$1:$A1000,0)&amp;":"&amp;"AF"&amp;MATCH(E914,'Class Jobs'!$A$1:$A1000,1)&amp;""),'Class Jobs'!$B$1:$AF$1)</f>
        <v>#REF!</v>
      </c>
      <c r="Z914" s="158">
        <f t="shared" si="57"/>
        <v>0.33</v>
      </c>
      <c r="AA914" s="16" t="str">
        <f t="array" ref="AA914">INDEX(NPCGender,TRUNC(1+(COUNTA(NPCGender))*(TRUNC(MOD(($B914*1103515245 +12345)/ 65536, 32768),0)/32768),0))</f>
        <v>Male</v>
      </c>
      <c r="AB914" s="16" t="str">
        <f t="array" ref="AB914">INDEX(NPCRace,TRUNC(1+(COUNTA(NPCRace))*(TRUNC(MOD(($B914*1103515245 +12345)/ 65536, 32768),0)/32768),0))</f>
        <v>Gnome</v>
      </c>
      <c r="AC914" s="16" t="str">
        <f t="array" ref="AC914">INDEX(NPCAL,TRUNC(1+(COUNTA(NPCAL))*(TRUNC(MOD(($B914*1103515245 +12345)/ 65536, 32768),0)/32768),0))</f>
        <v>CG</v>
      </c>
      <c r="AD914" s="72" t="str">
        <f ca="1">IFERROR(__xludf.DUMMYFUNCTION("if(V914&lt;15,QUERY(NPCVar!C:D,""Select D WHERE C = '""&amp;D914&amp;""'""),if((TRUNC(1+10)*(TRUNC(MOD((ROW(H914)*1103515245 +12345)/ 65536, 32768),0)/32768)/10) &gt; 0.85,INDEX(NPCFaction,TRUNC(1+(counta(NPCFaction)-1)*(TRUNC(MOD(($B914*1103515245 +12345)/ 65536, 3276"&amp;"8),0)/32768),0)),QUERY(NPCVar!C:D,""Select D WHERE C = '""&amp;D914&amp;""'"")))"),"Magic Guild")</f>
        <v>Magic Guild</v>
      </c>
      <c r="AE914" s="108" t="e">
        <f t="shared" ca="1" si="58"/>
        <v>#NAME?</v>
      </c>
      <c r="AF914" s="159">
        <f ca="1">IFERROR(__xludf.DUMMYFUNCTION("AE914*(V914 / QUERY(NPCVar!$K$2:$N$12, ""Select N WHERE K='""&amp;AB914&amp;""'""))*TRUNC(1+10)*(TRUNC(MOD(($B914*1103515245 +12345)/ 65536, 32768),0)/32768)"),0.107868347167968)</f>
        <v>0.107868347167968</v>
      </c>
      <c r="AG914" s="16"/>
      <c r="AH914" s="77"/>
      <c r="AI914" s="114"/>
    </row>
    <row r="915" spans="1:35" ht="16.2">
      <c r="A915" s="53">
        <v>914</v>
      </c>
      <c r="B915" s="118">
        <f t="shared" si="63"/>
        <v>2.13028</v>
      </c>
      <c r="C915" s="72" t="str">
        <f t="array" ref="C915">INDEX(NPCFName,TRUNC(1+(COUNTA(NPCFName))*(TRUNC(MOD(($B915*1103515245 +12345)/ 65536, 32768),0)/32768),0))</f>
        <v>Endor</v>
      </c>
      <c r="D915" s="16" t="str">
        <f t="array" ref="D915">INDEX(NPCLName,TRUNC(1+(COUNTA(NPCLName))*(TRUNC(MOD(($B915*1103515245 +12345)/ 65536, 32768),0)/32768),0))</f>
        <v>Autumnorb</v>
      </c>
      <c r="E915" s="16" t="str">
        <f t="array" ref="E915">INDEX(NPCClass,TRUNC(1+(COUNTA(NPCClass))*(TRUNC(MOD(($B915*1103515245 +12345)/ 65536, 32768),0)/32768),0))</f>
        <v>Bard</v>
      </c>
      <c r="F915" s="76">
        <v>1</v>
      </c>
      <c r="G915" s="153">
        <f ca="1">VLOOKUP($AB$2,'RF Mod'!$A$2:$G$12,2,FALSE)+VLOOKUP($AD$2,'RF Mod'!$I$2:$O$11,2,FALSE)+(TRUNC(6+(24-6)*(TRUNC(MOD(($Z915*1103515245 +12345)/ 65536, 32768),0)/32768),0))</f>
        <v>4</v>
      </c>
      <c r="H915" s="16">
        <f t="shared" ca="1" si="49"/>
        <v>-3</v>
      </c>
      <c r="I915" s="153">
        <f ca="1">VLOOKUP($AB$2,'RF Mod'!$A$2:$G$12,3,FALSE)+VLOOKUP($AD$2,'RF Mod'!$I$2:$O$11,3,FALSE)+(TRUNC(6+(24-6)*(TRUNC(MOD(($Z915*1103515245 +12345)/ 65536, 32768),0)/32768),0))</f>
        <v>8</v>
      </c>
      <c r="J915" s="16">
        <f t="shared" ca="1" si="50"/>
        <v>-1</v>
      </c>
      <c r="K915" s="153">
        <f ca="1">VLOOKUP($AB$2,'RF Mod'!$A$2:$G$12,3,FALSE)+VLOOKUP($AD$2,'RF Mod'!$I$2:$O$11,3,FALSE)+(TRUNC(6+(24-6)*(TRUNC(MOD(($Z915*1103515245 +12345)/ 65536, 32768),0)/32768),0))</f>
        <v>8</v>
      </c>
      <c r="L915" s="16">
        <f t="shared" ca="1" si="51"/>
        <v>-1</v>
      </c>
      <c r="M915" s="153">
        <f ca="1">VLOOKUP($AB$2,'RF Mod'!$A$2:$G$12,4,FALSE)+VLOOKUP($AD$2,'RF Mod'!$I$2:$O$11,4,FALSE)+(TRUNC(6+(24-6)*(TRUNC(MOD(($Z915*1103515245 +12345)/ 65536, 32768),0)/32768),0))</f>
        <v>7</v>
      </c>
      <c r="N915" s="16">
        <f t="shared" ca="1" si="52"/>
        <v>-2</v>
      </c>
      <c r="O915" s="153">
        <f ca="1">VLOOKUP($AB$2,'RF Mod'!$A$2:$G$12,5,FALSE)+VLOOKUP($AD$2,'RF Mod'!$I$2:$O$11,5,FALSE)+(TRUNC(6+(24-6)*(TRUNC(MOD(($Z915*1103515245 +12345)/ 65536, 32768),0)/32768),0))</f>
        <v>10</v>
      </c>
      <c r="P915" s="16" t="e">
        <f t="shared" ca="1" si="53"/>
        <v>#NAME?</v>
      </c>
      <c r="Q915" s="153">
        <f ca="1">VLOOKUP($AB$2,'RF Mod'!$A$2:$G$12,6,FALSE)+VLOOKUP($AD$2,'RF Mod'!$I$2:$O$11,6,FALSE)+(TRUNC(6+(24-6)*(TRUNC(MOD(($Z915*1103515245 +12345)/ 65536, 32768),0)/32768),0))</f>
        <v>8</v>
      </c>
      <c r="R915" s="16">
        <f t="shared" ca="1" si="54"/>
        <v>-1</v>
      </c>
      <c r="S915" s="154">
        <f t="shared" ca="1" si="59"/>
        <v>10</v>
      </c>
      <c r="T915" s="154">
        <f t="shared" ca="1" si="55"/>
        <v>12</v>
      </c>
      <c r="U915" s="16" t="str">
        <f t="shared" ca="1" si="56"/>
        <v>Dead</v>
      </c>
      <c r="V915" s="155">
        <f ca="1">IFERROR(__xludf.DUMMYFUNCTION("if(W915=""Middle Age"",QUERY(NPCVar!$K$2:$N1000, ""Select L where K = '""&amp;AB915&amp;""'""),if(W915=""Old"",QUERY(NPCVar!$K$2:$N1000, ""Select M where K = '""&amp;AB915&amp;""'""),if(W915=""Venerable"",QUERY(NPCVar!$K$2:$N1000, ""Select N where K = '""&amp;AB915&amp;""'""),fa"&amp;"lse)))*X915"),24)</f>
        <v>24</v>
      </c>
      <c r="W915" s="156" t="str">
        <f t="array" ref="W915">INDEX(NPCAgeType,TRUNC(1+(4-1)*(TRUNC(MOD((X915*1103515245 +12345)/ 65536, 32768),0)/32768),0))</f>
        <v>Middle Age</v>
      </c>
      <c r="X915" s="117">
        <f t="shared" si="61"/>
        <v>0.3</v>
      </c>
      <c r="Y915" s="157" t="e">
        <f t="array" aca="1" ref="Y915" ca="1">LOOKUP(ABS(MAX(Z915 + MIN(ABS(INDIRECT("Class Jobs!B"&amp;MATCH(E915,'Class Jobs'!$A$1:$A1000,0)&amp;":"&amp;"AF"&amp;MATCH(E915,'Class Jobs'!$A$1:$A1000,0)&amp;"")-$Z915)) * SUM(IF(MIN(ABS(INDIRECT("Class Jobs!B"&amp;MATCH(E915,'Class Jobs'!$A$1:$A1000,0)&amp;":"&amp;"AF"&amp;MATCH(E915,'Class Jobs'!$A$1:$A1000,0)&amp;"")-$Z915))=ABS(INDIRECT("Class Jobs!B"&amp;MATCH(E915,'Class Jobs'!$A$1:$A1000,0)&amp;":"&amp;"AF"&amp;MATCH(E915,'Class Jobs'!$A$1:$A1000,0)&amp;"")-$Z915),SIGN(INDIRECT("Class Jobs!B"&amp;MATCH(E915,'Class Jobs'!$A$1:A1000,0)&amp;":"&amp;"AF"&amp;MATCH(E915,'Class Jobs'!$A$1:$A1000,0)&amp;"")-$Z915),0)),0)),INDIRECT("Class Jobs!B"&amp;MATCH(E915,'Class Jobs'!$A$1:$A1000,0)&amp;":"&amp;"AF"&amp;MATCH(E915,'Class Jobs'!$A$1:$A1000,1)&amp;""),'Class Jobs'!$B$1:$AF$1)</f>
        <v>#REF!</v>
      </c>
      <c r="Z915" s="158">
        <f t="shared" si="57"/>
        <v>0.1</v>
      </c>
      <c r="AA915" s="16" t="str">
        <f t="array" ref="AA915">INDEX(NPCGender,TRUNC(1+(COUNTA(NPCGender))*(TRUNC(MOD(($B915*1103515245 +12345)/ 65536, 32768),0)/32768),0))</f>
        <v>Male</v>
      </c>
      <c r="AB915" s="16" t="str">
        <f t="array" ref="AB915">INDEX(NPCRace,TRUNC(1+(COUNTA(NPCRace))*(TRUNC(MOD(($B915*1103515245 +12345)/ 65536, 32768),0)/32768),0))</f>
        <v>Dwarf</v>
      </c>
      <c r="AC915" s="16" t="str">
        <f t="array" ref="AC915">INDEX(NPCAL,TRUNC(1+(COUNTA(NPCAL))*(TRUNC(MOD(($B915*1103515245 +12345)/ 65536, 32768),0)/32768),0))</f>
        <v>CN</v>
      </c>
      <c r="AD915" s="72" t="str">
        <f ca="1">IFERROR(__xludf.DUMMYFUNCTION("if(V915&lt;15,QUERY(NPCVar!C:D,""Select D WHERE C = '""&amp;D915&amp;""'""),if((TRUNC(1+10)*(TRUNC(MOD((ROW(H915)*1103515245 +12345)/ 65536, 32768),0)/32768)/10) &gt; 0.85,INDEX(NPCFaction,TRUNC(1+(counta(NPCFaction)-1)*(TRUNC(MOD(($B915*1103515245 +12345)/ 65536, 3276"&amp;"8),0)/32768),0)),QUERY(NPCVar!C:D,""Select D WHERE C = '""&amp;D915&amp;""'"")))"),"Royalty")</f>
        <v>Royalty</v>
      </c>
      <c r="AE915" s="108" t="e">
        <f t="shared" ca="1" si="58"/>
        <v>#NAME?</v>
      </c>
      <c r="AF915" s="159">
        <f ca="1">IFERROR(__xludf.DUMMYFUNCTION("AE915*(V915 / QUERY(NPCVar!$K$2:$N$12, ""Select N WHERE K='""&amp;AB915&amp;""'""))*TRUNC(1+10)*(TRUNC(MOD(($B915*1103515245 +12345)/ 65536, 32768),0)/32768)"),0.0312396240234374)</f>
        <v>3.1239624023437398E-2</v>
      </c>
      <c r="AG915" s="16"/>
      <c r="AH915" s="77"/>
      <c r="AI915" s="114"/>
    </row>
    <row r="916" spans="1:35" ht="16.2">
      <c r="A916" s="53">
        <v>915</v>
      </c>
      <c r="B916" s="118">
        <f t="shared" si="63"/>
        <v>1.12442</v>
      </c>
      <c r="C916" s="72" t="str">
        <f t="array" ref="C916">INDEX(NPCFName,TRUNC(1+(COUNTA(NPCFName))*(TRUNC(MOD(($B916*1103515245 +12345)/ 65536, 32768),0)/32768),0))</f>
        <v>Rhysling</v>
      </c>
      <c r="D916" s="16" t="str">
        <f t="array" ref="D916">INDEX(NPCLName,TRUNC(1+(COUNTA(NPCLName))*(TRUNC(MOD(($B916*1103515245 +12345)/ 65536, 32768),0)/32768),0))</f>
        <v>Chestaxe</v>
      </c>
      <c r="E916" s="16" t="str">
        <f t="array" ref="E916">INDEX(NPCClass,TRUNC(1+(COUNTA(NPCClass))*(TRUNC(MOD(($B916*1103515245 +12345)/ 65536, 32768),0)/32768),0))</f>
        <v>Sorcerer</v>
      </c>
      <c r="F916" s="76">
        <v>8</v>
      </c>
      <c r="G916" s="153">
        <f ca="1">VLOOKUP($AB$2,'RF Mod'!$A$2:$G$12,2,FALSE)+VLOOKUP($AD$2,'RF Mod'!$I$2:$O$11,2,FALSE)+(TRUNC(6+(24-6)*(TRUNC(MOD(($Z916*1103515245 +12345)/ 65536, 32768),0)/32768),0))</f>
        <v>9</v>
      </c>
      <c r="H916" s="16">
        <f t="shared" ca="1" si="49"/>
        <v>-1</v>
      </c>
      <c r="I916" s="153">
        <f ca="1">VLOOKUP($AB$2,'RF Mod'!$A$2:$G$12,3,FALSE)+VLOOKUP($AD$2,'RF Mod'!$I$2:$O$11,3,FALSE)+(TRUNC(6+(24-6)*(TRUNC(MOD(($Z916*1103515245 +12345)/ 65536, 32768),0)/32768),0))</f>
        <v>13</v>
      </c>
      <c r="J916" s="16" t="e">
        <f t="shared" ca="1" si="50"/>
        <v>#NAME?</v>
      </c>
      <c r="K916" s="153">
        <f ca="1">VLOOKUP($AB$2,'RF Mod'!$A$2:$G$12,3,FALSE)+VLOOKUP($AD$2,'RF Mod'!$I$2:$O$11,3,FALSE)+(TRUNC(6+(24-6)*(TRUNC(MOD(($Z916*1103515245 +12345)/ 65536, 32768),0)/32768),0))</f>
        <v>13</v>
      </c>
      <c r="L916" s="16" t="e">
        <f t="shared" ca="1" si="51"/>
        <v>#NAME?</v>
      </c>
      <c r="M916" s="153">
        <f ca="1">VLOOKUP($AB$2,'RF Mod'!$A$2:$G$12,4,FALSE)+VLOOKUP($AD$2,'RF Mod'!$I$2:$O$11,4,FALSE)+(TRUNC(6+(24-6)*(TRUNC(MOD(($Z916*1103515245 +12345)/ 65536, 32768),0)/32768),0))</f>
        <v>12</v>
      </c>
      <c r="N916" s="16" t="e">
        <f t="shared" ca="1" si="52"/>
        <v>#NAME?</v>
      </c>
      <c r="O916" s="153">
        <f ca="1">VLOOKUP($AB$2,'RF Mod'!$A$2:$G$12,5,FALSE)+VLOOKUP($AD$2,'RF Mod'!$I$2:$O$11,5,FALSE)+(TRUNC(6+(24-6)*(TRUNC(MOD(($Z916*1103515245 +12345)/ 65536, 32768),0)/32768),0))</f>
        <v>15</v>
      </c>
      <c r="P916" s="16" t="e">
        <f t="shared" ca="1" si="53"/>
        <v>#NAME?</v>
      </c>
      <c r="Q916" s="153">
        <f ca="1">VLOOKUP($AB$2,'RF Mod'!$A$2:$G$12,6,FALSE)+VLOOKUP($AD$2,'RF Mod'!$I$2:$O$11,6,FALSE)+(TRUNC(6+(24-6)*(TRUNC(MOD(($Z916*1103515245 +12345)/ 65536, 32768),0)/32768),0))</f>
        <v>13</v>
      </c>
      <c r="R916" s="16" t="e">
        <f t="shared" ca="1" si="54"/>
        <v>#NAME?</v>
      </c>
      <c r="S916" s="154">
        <f t="shared" ca="1" si="59"/>
        <v>168</v>
      </c>
      <c r="T916" s="154">
        <f t="shared" ca="1" si="55"/>
        <v>78</v>
      </c>
      <c r="U916" s="16" t="str">
        <f t="shared" ca="1" si="56"/>
        <v>Fine</v>
      </c>
      <c r="V916" s="155">
        <f ca="1">IFERROR(__xludf.DUMMYFUNCTION("if(W916=""Middle Age"",QUERY(NPCVar!$K$2:$N1000, ""Select L where K = '""&amp;AB916&amp;""'""),if(W916=""Old"",QUERY(NPCVar!$K$2:$N1000, ""Select M where K = '""&amp;AB916&amp;""'""),if(W916=""Venerable"",QUERY(NPCVar!$K$2:$N1000, ""Select N where K = '""&amp;AB916&amp;""'""),fa"&amp;"lse)))*X916"),280)</f>
        <v>280</v>
      </c>
      <c r="W916" s="156" t="str">
        <f t="array" ref="W916">INDEX(NPCAgeType,TRUNC(1+(4-1)*(TRUNC(MOD((X916*1103515245 +12345)/ 65536, 32768),0)/32768),0))</f>
        <v>Venerable</v>
      </c>
      <c r="X916" s="117">
        <f t="shared" si="61"/>
        <v>1.4</v>
      </c>
      <c r="Y916" s="157" t="e">
        <f t="array" aca="1" ref="Y916" ca="1">LOOKUP(ABS(MAX(Z916 + MIN(ABS(INDIRECT("Class Jobs!B"&amp;MATCH(E916,'Class Jobs'!$A$1:$A1000,0)&amp;":"&amp;"AF"&amp;MATCH(E916,'Class Jobs'!$A$1:$A1000,0)&amp;"")-$Z916)) * SUM(IF(MIN(ABS(INDIRECT("Class Jobs!B"&amp;MATCH(E916,'Class Jobs'!$A$1:$A1000,0)&amp;":"&amp;"AF"&amp;MATCH(E916,'Class Jobs'!$A$1:$A1000,0)&amp;"")-$Z916))=ABS(INDIRECT("Class Jobs!B"&amp;MATCH(E916,'Class Jobs'!$A$1:$A1000,0)&amp;":"&amp;"AF"&amp;MATCH(E916,'Class Jobs'!$A$1:$A1000,0)&amp;"")-$Z916),SIGN(INDIRECT("Class Jobs!B"&amp;MATCH(E916,'Class Jobs'!$A$1:A1000,0)&amp;":"&amp;"AF"&amp;MATCH(E916,'Class Jobs'!$A$1:$A1000,0)&amp;"")-$Z916),0)),0)),INDIRECT("Class Jobs!B"&amp;MATCH(E916,'Class Jobs'!$A$1:$A1000,0)&amp;":"&amp;"AF"&amp;MATCH(E916,'Class Jobs'!$A$1:$A1000,1)&amp;""),'Class Jobs'!$B$1:$AF$1)</f>
        <v>#REF!</v>
      </c>
      <c r="Z916" s="158">
        <f t="shared" si="57"/>
        <v>0.57999999999999996</v>
      </c>
      <c r="AA916" s="16" t="str">
        <f t="array" ref="AA916">INDEX(NPCGender,TRUNC(1+(COUNTA(NPCGender))*(TRUNC(MOD(($B916*1103515245 +12345)/ 65536, 32768),0)/32768),0))</f>
        <v>Female</v>
      </c>
      <c r="AB916" s="16" t="str">
        <f t="array" ref="AB916">INDEX(NPCRace,TRUNC(1+(COUNTA(NPCRace))*(TRUNC(MOD(($B916*1103515245 +12345)/ 65536, 32768),0)/32768),0))</f>
        <v>Halfling</v>
      </c>
      <c r="AC916" s="16" t="str">
        <f t="array" ref="AC916">INDEX(NPCAL,TRUNC(1+(COUNTA(NPCAL))*(TRUNC(MOD(($B916*1103515245 +12345)/ 65536, 32768),0)/32768),0))</f>
        <v>NE</v>
      </c>
      <c r="AD916" s="72" t="str">
        <f ca="1">IFERROR(__xludf.DUMMYFUNCTION("if(V916&lt;15,QUERY(NPCVar!C:D,""Select D WHERE C = '""&amp;D916&amp;""'""),if((TRUNC(1+10)*(TRUNC(MOD((ROW(H916)*1103515245 +12345)/ 65536, 32768),0)/32768)/10) &gt; 0.85,INDEX(NPCFaction,TRUNC(1+(counta(NPCFaction)-1)*(TRUNC(MOD(($B916*1103515245 +12345)/ 65536, 3276"&amp;"8),0)/32768),0)),QUERY(NPCVar!C:D,""Select D WHERE C = '""&amp;D916&amp;""'"")))"),"Farmers Guild")</f>
        <v>Farmers Guild</v>
      </c>
      <c r="AE916" s="108" t="e">
        <f t="shared" ca="1" si="58"/>
        <v>#NAME?</v>
      </c>
      <c r="AF916" s="159">
        <f ca="1">IFERROR(__xludf.DUMMYFUNCTION("AE916*(V916 / QUERY(NPCVar!$K$2:$N$12, ""Select N WHERE K='""&amp;AB916&amp;""'""))*TRUNC(1+10)*(TRUNC(MOD(($B916*1103515245 +12345)/ 65536, 32768),0)/32768)"),2.66938659667968)</f>
        <v>2.6693865966796801</v>
      </c>
      <c r="AG916" s="16"/>
      <c r="AH916" s="77"/>
      <c r="AI916" s="114"/>
    </row>
    <row r="917" spans="1:35" ht="16.2">
      <c r="A917" s="53">
        <v>916</v>
      </c>
      <c r="B917" s="118">
        <f t="shared" si="63"/>
        <v>0.11856999999999999</v>
      </c>
      <c r="C917" s="72" t="str">
        <f t="array" ref="C917">INDEX(NPCFName,TRUNC(1+(COUNTA(NPCFName))*(TRUNC(MOD(($B917*1103515245 +12345)/ 65536, 32768),0)/32768),0))</f>
        <v>Cyton</v>
      </c>
      <c r="D917" s="16" t="str">
        <f t="array" ref="D917">INDEX(NPCLName,TRUNC(1+(COUNTA(NPCLName))*(TRUNC(MOD(($B917*1103515245 +12345)/ 65536, 32768),0)/32768),0))</f>
        <v>Crystalgazer</v>
      </c>
      <c r="E917" s="16" t="str">
        <f t="array" ref="E917">INDEX(NPCClass,TRUNC(1+(COUNTA(NPCClass))*(TRUNC(MOD(($B917*1103515245 +12345)/ 65536, 32768),0)/32768),0))</f>
        <v>Barbarian</v>
      </c>
      <c r="F917" s="76">
        <v>1</v>
      </c>
      <c r="G917" s="153">
        <f ca="1">VLOOKUP($AB$2,'RF Mod'!$A$2:$G$12,2,FALSE)+VLOOKUP($AD$2,'RF Mod'!$I$2:$O$11,2,FALSE)+(TRUNC(6+(24-6)*(TRUNC(MOD(($Z917*1103515245 +12345)/ 65536, 32768),0)/32768),0))</f>
        <v>4</v>
      </c>
      <c r="H917" s="16">
        <f t="shared" ca="1" si="49"/>
        <v>-3</v>
      </c>
      <c r="I917" s="153">
        <f ca="1">VLOOKUP($AB$2,'RF Mod'!$A$2:$G$12,3,FALSE)+VLOOKUP($AD$2,'RF Mod'!$I$2:$O$11,3,FALSE)+(TRUNC(6+(24-6)*(TRUNC(MOD(($Z917*1103515245 +12345)/ 65536, 32768),0)/32768),0))</f>
        <v>8</v>
      </c>
      <c r="J917" s="16">
        <f t="shared" ca="1" si="50"/>
        <v>-1</v>
      </c>
      <c r="K917" s="153">
        <f ca="1">VLOOKUP($AB$2,'RF Mod'!$A$2:$G$12,3,FALSE)+VLOOKUP($AD$2,'RF Mod'!$I$2:$O$11,3,FALSE)+(TRUNC(6+(24-6)*(TRUNC(MOD(($Z917*1103515245 +12345)/ 65536, 32768),0)/32768),0))</f>
        <v>8</v>
      </c>
      <c r="L917" s="16">
        <f t="shared" ca="1" si="51"/>
        <v>-1</v>
      </c>
      <c r="M917" s="153">
        <f ca="1">VLOOKUP($AB$2,'RF Mod'!$A$2:$G$12,4,FALSE)+VLOOKUP($AD$2,'RF Mod'!$I$2:$O$11,4,FALSE)+(TRUNC(6+(24-6)*(TRUNC(MOD(($Z917*1103515245 +12345)/ 65536, 32768),0)/32768),0))</f>
        <v>7</v>
      </c>
      <c r="N917" s="16">
        <f t="shared" ca="1" si="52"/>
        <v>-2</v>
      </c>
      <c r="O917" s="153">
        <f ca="1">VLOOKUP($AB$2,'RF Mod'!$A$2:$G$12,5,FALSE)+VLOOKUP($AD$2,'RF Mod'!$I$2:$O$11,5,FALSE)+(TRUNC(6+(24-6)*(TRUNC(MOD(($Z917*1103515245 +12345)/ 65536, 32768),0)/32768),0))</f>
        <v>10</v>
      </c>
      <c r="P917" s="16" t="e">
        <f t="shared" ca="1" si="53"/>
        <v>#NAME?</v>
      </c>
      <c r="Q917" s="153">
        <f ca="1">VLOOKUP($AB$2,'RF Mod'!$A$2:$G$12,6,FALSE)+VLOOKUP($AD$2,'RF Mod'!$I$2:$O$11,6,FALSE)+(TRUNC(6+(24-6)*(TRUNC(MOD(($Z917*1103515245 +12345)/ 65536, 32768),0)/32768),0))</f>
        <v>8</v>
      </c>
      <c r="R917" s="16">
        <f t="shared" ca="1" si="54"/>
        <v>-1</v>
      </c>
      <c r="S917" s="154">
        <f t="shared" ca="1" si="59"/>
        <v>10</v>
      </c>
      <c r="T917" s="154">
        <f t="shared" ca="1" si="55"/>
        <v>3</v>
      </c>
      <c r="U917" s="16" t="str">
        <f t="shared" ca="1" si="56"/>
        <v>Fine</v>
      </c>
      <c r="V917" s="155">
        <f ca="1">IFERROR(__xludf.DUMMYFUNCTION("if(W917=""Middle Age"",QUERY(NPCVar!$K$2:$N1000, ""Select L where K = '""&amp;AB917&amp;""'""),if(W917=""Old"",QUERY(NPCVar!$K$2:$N1000, ""Select M where K = '""&amp;AB917&amp;""'""),if(W917=""Venerable"",QUERY(NPCVar!$K$2:$N1000, ""Select N where K = '""&amp;AB917&amp;""'""),fa"&amp;"lse)))*X917"),4)</f>
        <v>4</v>
      </c>
      <c r="W917" s="156" t="str">
        <f t="array" ref="W917">INDEX(NPCAgeType,TRUNC(1+(4-1)*(TRUNC(MOD((X917*1103515245 +12345)/ 65536, 32768),0)/32768),0))</f>
        <v>Middle Age</v>
      </c>
      <c r="X917" s="117">
        <f t="shared" si="61"/>
        <v>0.2</v>
      </c>
      <c r="Y917" s="157" t="e">
        <f t="array" aca="1" ref="Y917" ca="1">LOOKUP(ABS(MAX(Z917 + MIN(ABS(INDIRECT("Class Jobs!B"&amp;MATCH(E917,'Class Jobs'!$A$1:$A1000,0)&amp;":"&amp;"AF"&amp;MATCH(E917,'Class Jobs'!$A$1:$A1000,0)&amp;"")-$Z917)) * SUM(IF(MIN(ABS(INDIRECT("Class Jobs!B"&amp;MATCH(E917,'Class Jobs'!$A$1:$A1000,0)&amp;":"&amp;"AF"&amp;MATCH(E917,'Class Jobs'!$A$1:$A1000,0)&amp;"")-$Z917))=ABS(INDIRECT("Class Jobs!B"&amp;MATCH(E917,'Class Jobs'!$A$1:$A1000,0)&amp;":"&amp;"AF"&amp;MATCH(E917,'Class Jobs'!$A$1:$A1000,0)&amp;"")-$Z917),SIGN(INDIRECT("Class Jobs!B"&amp;MATCH(E917,'Class Jobs'!$A$1:A1000,0)&amp;":"&amp;"AF"&amp;MATCH(E917,'Class Jobs'!$A$1:$A1000,0)&amp;"")-$Z917),0)),0)),INDIRECT("Class Jobs!B"&amp;MATCH(E917,'Class Jobs'!$A$1:$A1000,0)&amp;":"&amp;"AF"&amp;MATCH(E917,'Class Jobs'!$A$1:$A1000,1)&amp;""),'Class Jobs'!$B$1:$AF$1)</f>
        <v>#REF!</v>
      </c>
      <c r="Z917" s="158">
        <f t="shared" si="57"/>
        <v>7.0000000000000007E-2</v>
      </c>
      <c r="AA917" s="16" t="str">
        <f t="array" ref="AA917">INDEX(NPCGender,TRUNC(1+(COUNTA(NPCGender))*(TRUNC(MOD(($B917*1103515245 +12345)/ 65536, 32768),0)/32768),0))</f>
        <v>Male</v>
      </c>
      <c r="AB917" s="16" t="str">
        <f t="array" ref="AB917">INDEX(NPCRace,TRUNC(1+(COUNTA(NPCRace))*(TRUNC(MOD(($B917*1103515245 +12345)/ 65536, 32768),0)/32768),0))</f>
        <v>Dragonborn</v>
      </c>
      <c r="AC917" s="16" t="str">
        <f t="array" ref="AC917">INDEX(NPCAL,TRUNC(1+(COUNTA(NPCAL))*(TRUNC(MOD(($B917*1103515245 +12345)/ 65536, 32768),0)/32768),0))</f>
        <v>CN</v>
      </c>
      <c r="AD917" s="72" t="str">
        <f ca="1">IFERROR(__xludf.DUMMYFUNCTION("if(V917&lt;15,QUERY(NPCVar!C:D,""Select D WHERE C = '""&amp;D917&amp;""'""),if((TRUNC(1+10)*(TRUNC(MOD((ROW(H917)*1103515245 +12345)/ 65536, 32768),0)/32768)/10) &gt; 0.85,INDEX(NPCFaction,TRUNC(1+(counta(NPCFaction)-1)*(TRUNC(MOD(($B917*1103515245 +12345)/ 65536, 3276"&amp;"8),0)/32768),0)),QUERY(NPCVar!C:D,""Select D WHERE C = '""&amp;D917&amp;""'"")))"),"Death Guild")</f>
        <v>Death Guild</v>
      </c>
      <c r="AE917" s="108" t="e">
        <f t="shared" ca="1" si="58"/>
        <v>#NAME?</v>
      </c>
      <c r="AF917" s="159">
        <f ca="1">IFERROR(__xludf.DUMMYFUNCTION("AE917*(V917 / QUERY(NPCVar!$K$2:$N$12, ""Select N WHERE K='""&amp;AB917&amp;""'""))*TRUNC(1+10)*(TRUNC(MOD(($B917*1103515245 +12345)/ 65536, 32768),0)/32768)"),0.01340087890625)</f>
        <v>1.340087890625E-2</v>
      </c>
      <c r="AG917" s="16"/>
      <c r="AH917" s="77"/>
      <c r="AI917" s="114"/>
    </row>
    <row r="918" spans="1:35" ht="16.2">
      <c r="A918" s="53">
        <v>917</v>
      </c>
      <c r="B918" s="118">
        <f t="shared" si="63"/>
        <v>1.6127</v>
      </c>
      <c r="C918" s="72" t="str">
        <f t="array" ref="C918">INDEX(NPCFName,TRUNC(1+(COUNTA(NPCFName))*(TRUNC(MOD(($B918*1103515245 +12345)/ 65536, 32768),0)/32768),0))</f>
        <v>Kilburn</v>
      </c>
      <c r="D918" s="16" t="str">
        <f t="array" ref="D918">INDEX(NPCLName,TRUNC(1+(COUNTA(NPCLName))*(TRUNC(MOD(($B918*1103515245 +12345)/ 65536, 32768),0)/32768),0))</f>
        <v>Deepcrest</v>
      </c>
      <c r="E918" s="16" t="str">
        <f t="array" ref="E918">INDEX(NPCClass,TRUNC(1+(COUNTA(NPCClass))*(TRUNC(MOD(($B918*1103515245 +12345)/ 65536, 32768),0)/32768),0))</f>
        <v>Cleric</v>
      </c>
      <c r="F918" s="76">
        <v>8</v>
      </c>
      <c r="G918" s="153">
        <f ca="1">VLOOKUP($AB$2,'RF Mod'!$A$2:$G$12,2,FALSE)+VLOOKUP($AD$2,'RF Mod'!$I$2:$O$11,2,FALSE)+(TRUNC(6+(24-6)*(TRUNC(MOD(($Z918*1103515245 +12345)/ 65536, 32768),0)/32768),0))</f>
        <v>11</v>
      </c>
      <c r="H918" s="16" t="e">
        <f t="shared" ca="1" si="49"/>
        <v>#NAME?</v>
      </c>
      <c r="I918" s="153">
        <f ca="1">VLOOKUP($AB$2,'RF Mod'!$A$2:$G$12,3,FALSE)+VLOOKUP($AD$2,'RF Mod'!$I$2:$O$11,3,FALSE)+(TRUNC(6+(24-6)*(TRUNC(MOD(($Z918*1103515245 +12345)/ 65536, 32768),0)/32768),0))</f>
        <v>15</v>
      </c>
      <c r="J918" s="16" t="e">
        <f t="shared" ca="1" si="50"/>
        <v>#NAME?</v>
      </c>
      <c r="K918" s="153">
        <f ca="1">VLOOKUP($AB$2,'RF Mod'!$A$2:$G$12,3,FALSE)+VLOOKUP($AD$2,'RF Mod'!$I$2:$O$11,3,FALSE)+(TRUNC(6+(24-6)*(TRUNC(MOD(($Z918*1103515245 +12345)/ 65536, 32768),0)/32768),0))</f>
        <v>15</v>
      </c>
      <c r="L918" s="16" t="e">
        <f t="shared" ca="1" si="51"/>
        <v>#NAME?</v>
      </c>
      <c r="M918" s="153">
        <f ca="1">VLOOKUP($AB$2,'RF Mod'!$A$2:$G$12,4,FALSE)+VLOOKUP($AD$2,'RF Mod'!$I$2:$O$11,4,FALSE)+(TRUNC(6+(24-6)*(TRUNC(MOD(($Z918*1103515245 +12345)/ 65536, 32768),0)/32768),0))</f>
        <v>14</v>
      </c>
      <c r="N918" s="16" t="e">
        <f t="shared" ca="1" si="52"/>
        <v>#NAME?</v>
      </c>
      <c r="O918" s="153">
        <f ca="1">VLOOKUP($AB$2,'RF Mod'!$A$2:$G$12,5,FALSE)+VLOOKUP($AD$2,'RF Mod'!$I$2:$O$11,5,FALSE)+(TRUNC(6+(24-6)*(TRUNC(MOD(($Z918*1103515245 +12345)/ 65536, 32768),0)/32768),0))</f>
        <v>17</v>
      </c>
      <c r="P918" s="16" t="e">
        <f t="shared" ca="1" si="53"/>
        <v>#NAME?</v>
      </c>
      <c r="Q918" s="153">
        <f ca="1">VLOOKUP($AB$2,'RF Mod'!$A$2:$G$12,6,FALSE)+VLOOKUP($AD$2,'RF Mod'!$I$2:$O$11,6,FALSE)+(TRUNC(6+(24-6)*(TRUNC(MOD(($Z918*1103515245 +12345)/ 65536, 32768),0)/32768),0))</f>
        <v>15</v>
      </c>
      <c r="R918" s="16" t="e">
        <f t="shared" ca="1" si="54"/>
        <v>#NAME?</v>
      </c>
      <c r="S918" s="154">
        <f t="shared" ca="1" si="59"/>
        <v>232</v>
      </c>
      <c r="T918" s="154">
        <f t="shared" ca="1" si="55"/>
        <v>130</v>
      </c>
      <c r="U918" s="16" t="str">
        <f t="shared" ca="1" si="56"/>
        <v>Bloody</v>
      </c>
      <c r="V918" s="155">
        <f ca="1">IFERROR(__xludf.DUMMYFUNCTION("if(W918=""Middle Age"",QUERY(NPCVar!$K$2:$N1000, ""Select L where K = '""&amp;AB918&amp;""'""),if(W918=""Old"",QUERY(NPCVar!$K$2:$N1000, ""Select M where K = '""&amp;AB918&amp;""'""),if(W918=""Venerable"",QUERY(NPCVar!$K$2:$N1000, ""Select N where K = '""&amp;AB918&amp;""'""),fa"&amp;"lse)))*X918"),55)</f>
        <v>55</v>
      </c>
      <c r="W918" s="156" t="str">
        <f t="array" ref="W918">INDEX(NPCAgeType,TRUNC(1+(4-1)*(TRUNC(MOD((X918*1103515245 +12345)/ 65536, 32768),0)/32768),0))</f>
        <v>Middle Age</v>
      </c>
      <c r="X918" s="117">
        <f t="shared" si="61"/>
        <v>2</v>
      </c>
      <c r="Y918" s="157" t="e">
        <f t="array" aca="1" ref="Y918" ca="1">LOOKUP(ABS(MAX(Z918 + MIN(ABS(INDIRECT("Class Jobs!B"&amp;MATCH(E918,'Class Jobs'!$A$1:$A1000,0)&amp;":"&amp;"AF"&amp;MATCH(E918,'Class Jobs'!$A$1:$A1000,0)&amp;"")-$Z918)) * SUM(IF(MIN(ABS(INDIRECT("Class Jobs!B"&amp;MATCH(E918,'Class Jobs'!$A$1:$A1000,0)&amp;":"&amp;"AF"&amp;MATCH(E918,'Class Jobs'!$A$1:$A1000,0)&amp;"")-$Z918))=ABS(INDIRECT("Class Jobs!B"&amp;MATCH(E918,'Class Jobs'!$A$1:$A1000,0)&amp;":"&amp;"AF"&amp;MATCH(E918,'Class Jobs'!$A$1:$A1000,0)&amp;"")-$Z918),SIGN(INDIRECT("Class Jobs!B"&amp;MATCH(E918,'Class Jobs'!$A$1:A1000,0)&amp;":"&amp;"AF"&amp;MATCH(E918,'Class Jobs'!$A$1:$A1000,0)&amp;"")-$Z918),0)),0)),INDIRECT("Class Jobs!B"&amp;MATCH(E918,'Class Jobs'!$A$1:$A1000,0)&amp;":"&amp;"AF"&amp;MATCH(E918,'Class Jobs'!$A$1:$A1000,1)&amp;""),'Class Jobs'!$B$1:$AF$1)</f>
        <v>#REF!</v>
      </c>
      <c r="Z918" s="158">
        <f t="shared" si="57"/>
        <v>0.83</v>
      </c>
      <c r="AA918" s="16" t="str">
        <f t="array" ref="AA918">INDEX(NPCGender,TRUNC(1+(COUNTA(NPCGender))*(TRUNC(MOD(($B918*1103515245 +12345)/ 65536, 32768),0)/32768),0))</f>
        <v>Neutral</v>
      </c>
      <c r="AB918" s="16" t="str">
        <f t="array" ref="AB918">INDEX(NPCRace,TRUNC(1+(COUNTA(NPCRace))*(TRUNC(MOD(($B918*1103515245 +12345)/ 65536, 32768),0)/32768),0))</f>
        <v>Genasi</v>
      </c>
      <c r="AC918" s="16" t="str">
        <f t="array" ref="AC918">INDEX(NPCAL,TRUNC(1+(COUNTA(NPCAL))*(TRUNC(MOD(($B918*1103515245 +12345)/ 65536, 32768),0)/32768),0))</f>
        <v>LN</v>
      </c>
      <c r="AD918" s="72" t="str">
        <f ca="1">IFERROR(__xludf.DUMMYFUNCTION("if(V918&lt;15,QUERY(NPCVar!C:D,""Select D WHERE C = '""&amp;D918&amp;""'""),if((TRUNC(1+10)*(TRUNC(MOD((ROW(H918)*1103515245 +12345)/ 65536, 32768),0)/32768)/10) &gt; 0.85,INDEX(NPCFaction,TRUNC(1+(counta(NPCFaction)-1)*(TRUNC(MOD(($B918*1103515245 +12345)/ 65536, 3276"&amp;"8),0)/32768),0)),QUERY(NPCVar!C:D,""Select D WHERE C = '""&amp;D918&amp;""'"")))"),"Adventures Guild")</f>
        <v>Adventures Guild</v>
      </c>
      <c r="AE918" s="108" t="e">
        <f t="shared" ca="1" si="58"/>
        <v>#NAME?</v>
      </c>
      <c r="AF918" s="159">
        <f ca="1">IFERROR(__xludf.DUMMYFUNCTION("AE918*(V918 / QUERY(NPCVar!$K$2:$N$12, ""Select N WHERE K='""&amp;AB918&amp;""'""))*TRUNC(1+10)*(TRUNC(MOD(($B918*1103515245 +12345)/ 65536, 32768),0)/32768)"),1.36736297607421)</f>
        <v>1.3673629760742101</v>
      </c>
      <c r="AG918" s="16"/>
      <c r="AH918" s="77"/>
      <c r="AI918" s="114"/>
    </row>
    <row r="919" spans="1:35" ht="16.2">
      <c r="A919" s="53">
        <v>918</v>
      </c>
      <c r="B919" s="118">
        <f t="shared" si="63"/>
        <v>0.60684000000000005</v>
      </c>
      <c r="C919" s="72" t="str">
        <f t="array" ref="C919">INDEX(NPCFName,TRUNC(1+(COUNTA(NPCFName))*(TRUNC(MOD(($B919*1103515245 +12345)/ 65536, 32768),0)/32768),0))</f>
        <v>Wekmar</v>
      </c>
      <c r="D919" s="16" t="str">
        <f t="array" ref="D919">INDEX(NPCLName,TRUNC(1+(COUNTA(NPCLName))*(TRUNC(MOD(($B919*1103515245 +12345)/ 65536, 32768),0)/32768),0))</f>
        <v>Stormdew</v>
      </c>
      <c r="E919" s="16" t="str">
        <f t="array" ref="E919">INDEX(NPCClass,TRUNC(1+(COUNTA(NPCClass))*(TRUNC(MOD(($B919*1103515245 +12345)/ 65536, 32768),0)/32768),0))</f>
        <v>Monk</v>
      </c>
      <c r="F919" s="76">
        <v>1</v>
      </c>
      <c r="G919" s="153">
        <f ca="1">VLOOKUP($AB$2,'RF Mod'!$A$2:$G$12,2,FALSE)+VLOOKUP($AD$2,'RF Mod'!$I$2:$O$11,2,FALSE)+(TRUNC(6+(24-6)*(TRUNC(MOD(($Z919*1103515245 +12345)/ 65536, 32768),0)/32768),0))</f>
        <v>6</v>
      </c>
      <c r="H919" s="16">
        <f t="shared" ca="1" si="49"/>
        <v>-2</v>
      </c>
      <c r="I919" s="153">
        <f ca="1">VLOOKUP($AB$2,'RF Mod'!$A$2:$G$12,3,FALSE)+VLOOKUP($AD$2,'RF Mod'!$I$2:$O$11,3,FALSE)+(TRUNC(6+(24-6)*(TRUNC(MOD(($Z919*1103515245 +12345)/ 65536, 32768),0)/32768),0))</f>
        <v>10</v>
      </c>
      <c r="J919" s="16" t="e">
        <f t="shared" ca="1" si="50"/>
        <v>#NAME?</v>
      </c>
      <c r="K919" s="153">
        <f ca="1">VLOOKUP($AB$2,'RF Mod'!$A$2:$G$12,3,FALSE)+VLOOKUP($AD$2,'RF Mod'!$I$2:$O$11,3,FALSE)+(TRUNC(6+(24-6)*(TRUNC(MOD(($Z919*1103515245 +12345)/ 65536, 32768),0)/32768),0))</f>
        <v>10</v>
      </c>
      <c r="L919" s="16" t="e">
        <f t="shared" ca="1" si="51"/>
        <v>#NAME?</v>
      </c>
      <c r="M919" s="153">
        <f ca="1">VLOOKUP($AB$2,'RF Mod'!$A$2:$G$12,4,FALSE)+VLOOKUP($AD$2,'RF Mod'!$I$2:$O$11,4,FALSE)+(TRUNC(6+(24-6)*(TRUNC(MOD(($Z919*1103515245 +12345)/ 65536, 32768),0)/32768),0))</f>
        <v>9</v>
      </c>
      <c r="N919" s="16">
        <f t="shared" ca="1" si="52"/>
        <v>-1</v>
      </c>
      <c r="O919" s="153">
        <f ca="1">VLOOKUP($AB$2,'RF Mod'!$A$2:$G$12,5,FALSE)+VLOOKUP($AD$2,'RF Mod'!$I$2:$O$11,5,FALSE)+(TRUNC(6+(24-6)*(TRUNC(MOD(($Z919*1103515245 +12345)/ 65536, 32768),0)/32768),0))</f>
        <v>12</v>
      </c>
      <c r="P919" s="16" t="e">
        <f t="shared" ca="1" si="53"/>
        <v>#NAME?</v>
      </c>
      <c r="Q919" s="153">
        <f ca="1">VLOOKUP($AB$2,'RF Mod'!$A$2:$G$12,6,FALSE)+VLOOKUP($AD$2,'RF Mod'!$I$2:$O$11,6,FALSE)+(TRUNC(6+(24-6)*(TRUNC(MOD(($Z919*1103515245 +12345)/ 65536, 32768),0)/32768),0))</f>
        <v>10</v>
      </c>
      <c r="R919" s="16" t="e">
        <f t="shared" ca="1" si="54"/>
        <v>#NAME?</v>
      </c>
      <c r="S919" s="154">
        <f t="shared" ca="1" si="59"/>
        <v>16</v>
      </c>
      <c r="T919" s="154">
        <f t="shared" ca="1" si="55"/>
        <v>15</v>
      </c>
      <c r="U919" s="16" t="str">
        <f t="shared" ca="1" si="56"/>
        <v>Bloody</v>
      </c>
      <c r="V919" s="155">
        <f ca="1">IFERROR(__xludf.DUMMYFUNCTION("if(W919=""Middle Age"",QUERY(NPCVar!$K$2:$N1000, ""Select L where K = '""&amp;AB919&amp;""'""),if(W919=""Old"",QUERY(NPCVar!$K$2:$N1000, ""Select M where K = '""&amp;AB919&amp;""'""),if(W919=""Venerable"",QUERY(NPCVar!$K$2:$N1000, ""Select N where K = '""&amp;AB919&amp;""'""),fa"&amp;"lse)))*X919"),135)</f>
        <v>135</v>
      </c>
      <c r="W919" s="156" t="str">
        <f t="array" ref="W919">INDEX(NPCAgeType,TRUNC(1+(4-1)*(TRUNC(MOD((X919*1103515245 +12345)/ 65536, 32768),0)/32768),0))</f>
        <v>Old</v>
      </c>
      <c r="X919" s="117">
        <f t="shared" si="61"/>
        <v>0.8</v>
      </c>
      <c r="Y919" s="157" t="e">
        <f t="array" aca="1" ref="Y919" ca="1">LOOKUP(ABS(MAX(Z919 + MIN(ABS(INDIRECT("Class Jobs!B"&amp;MATCH(E919,'Class Jobs'!$A$1:$A1000,0)&amp;":"&amp;"AF"&amp;MATCH(E919,'Class Jobs'!$A$1:$A1000,0)&amp;"")-$Z919)) * SUM(IF(MIN(ABS(INDIRECT("Class Jobs!B"&amp;MATCH(E919,'Class Jobs'!$A$1:$A1000,0)&amp;":"&amp;"AF"&amp;MATCH(E919,'Class Jobs'!$A$1:$A1000,0)&amp;"")-$Z919))=ABS(INDIRECT("Class Jobs!B"&amp;MATCH(E919,'Class Jobs'!$A$1:$A1000,0)&amp;":"&amp;"AF"&amp;MATCH(E919,'Class Jobs'!$A$1:$A1000,0)&amp;"")-$Z919),SIGN(INDIRECT("Class Jobs!B"&amp;MATCH(E919,'Class Jobs'!$A$1:A1000,0)&amp;":"&amp;"AF"&amp;MATCH(E919,'Class Jobs'!$A$1:$A1000,0)&amp;"")-$Z919),0)),0)),INDIRECT("Class Jobs!B"&amp;MATCH(E919,'Class Jobs'!$A$1:$A1000,0)&amp;":"&amp;"AF"&amp;MATCH(E919,'Class Jobs'!$A$1:$A1000,1)&amp;""),'Class Jobs'!$B$1:$AF$1)</f>
        <v>#REF!</v>
      </c>
      <c r="Z919" s="158">
        <f t="shared" si="57"/>
        <v>0.31</v>
      </c>
      <c r="AA919" s="16" t="str">
        <f t="array" ref="AA919">INDEX(NPCGender,TRUNC(1+(COUNTA(NPCGender))*(TRUNC(MOD(($B919*1103515245 +12345)/ 65536, 32768),0)/32768),0))</f>
        <v>Male</v>
      </c>
      <c r="AB919" s="16" t="str">
        <f t="array" ref="AB919">INDEX(NPCRace,TRUNC(1+(COUNTA(NPCRace))*(TRUNC(MOD(($B919*1103515245 +12345)/ 65536, 32768),0)/32768),0))</f>
        <v>Gnome</v>
      </c>
      <c r="AC919" s="16" t="str">
        <f t="array" ref="AC919">INDEX(NPCAL,TRUNC(1+(COUNTA(NPCAL))*(TRUNC(MOD(($B919*1103515245 +12345)/ 65536, 32768),0)/32768),0))</f>
        <v>CG</v>
      </c>
      <c r="AD919" s="72" t="str">
        <f ca="1">IFERROR(__xludf.DUMMYFUNCTION("if(V919&lt;15,QUERY(NPCVar!C:D,""Select D WHERE C = '""&amp;D919&amp;""'""),if((TRUNC(1+10)*(TRUNC(MOD((ROW(H919)*1103515245 +12345)/ 65536, 32768),0)/32768)/10) &gt; 0.85,INDEX(NPCFaction,TRUNC(1+(counta(NPCFaction)-1)*(TRUNC(MOD(($B919*1103515245 +12345)/ 65536, 3276"&amp;"8),0)/32768),0)),QUERY(NPCVar!C:D,""Select D WHERE C = '""&amp;D919&amp;""'"")))"),"Magic Guild")</f>
        <v>Magic Guild</v>
      </c>
      <c r="AE919" s="108" t="e">
        <f t="shared" ca="1" si="58"/>
        <v>#NAME?</v>
      </c>
      <c r="AF919" s="159">
        <f ca="1">IFERROR(__xludf.DUMMYFUNCTION("AE919*(V919 / QUERY(NPCVar!$K$2:$N$12, ""Select N WHERE K='""&amp;AB919&amp;""'""))*TRUNC(1+10)*(TRUNC(MOD(($B919*1103515245 +12345)/ 65536, 32768),0)/32768)"),0.514517211914062)</f>
        <v>0.51451721191406197</v>
      </c>
      <c r="AG919" s="16"/>
      <c r="AH919" s="77"/>
      <c r="AI919" s="114"/>
    </row>
    <row r="920" spans="1:35" ht="16.2">
      <c r="A920" s="53">
        <v>919</v>
      </c>
      <c r="B920" s="118">
        <f t="shared" si="63"/>
        <v>2.1009000000000002</v>
      </c>
      <c r="C920" s="72" t="str">
        <f t="array" ref="C920">INDEX(NPCFName,TRUNC(1+(COUNTA(NPCFName))*(TRUNC(MOD(($B920*1103515245 +12345)/ 65536, 32768),0)/32768),0))</f>
        <v>Drakone</v>
      </c>
      <c r="D920" s="16" t="str">
        <f t="array" ref="D920">INDEX(NPCLName,TRUNC(1+(COUNTA(NPCLName))*(TRUNC(MOD(($B920*1103515245 +12345)/ 65536, 32768),0)/32768),0))</f>
        <v>Autumnorb</v>
      </c>
      <c r="E920" s="16" t="str">
        <f t="array" ref="E920">INDEX(NPCClass,TRUNC(1+(COUNTA(NPCClass))*(TRUNC(MOD(($B920*1103515245 +12345)/ 65536, 32768),0)/32768),0))</f>
        <v>Barbarian</v>
      </c>
      <c r="F920" s="76">
        <v>1</v>
      </c>
      <c r="G920" s="153">
        <f ca="1">VLOOKUP($AB$2,'RF Mod'!$A$2:$G$12,2,FALSE)+VLOOKUP($AD$2,'RF Mod'!$I$2:$O$11,2,FALSE)+(TRUNC(6+(24-6)*(TRUNC(MOD(($Z920*1103515245 +12345)/ 65536, 32768),0)/32768),0))</f>
        <v>4</v>
      </c>
      <c r="H920" s="16">
        <f t="shared" ca="1" si="49"/>
        <v>-3</v>
      </c>
      <c r="I920" s="153">
        <f ca="1">VLOOKUP($AB$2,'RF Mod'!$A$2:$G$12,3,FALSE)+VLOOKUP($AD$2,'RF Mod'!$I$2:$O$11,3,FALSE)+(TRUNC(6+(24-6)*(TRUNC(MOD(($Z920*1103515245 +12345)/ 65536, 32768),0)/32768),0))</f>
        <v>8</v>
      </c>
      <c r="J920" s="16">
        <f t="shared" ca="1" si="50"/>
        <v>-1</v>
      </c>
      <c r="K920" s="153">
        <f ca="1">VLOOKUP($AB$2,'RF Mod'!$A$2:$G$12,3,FALSE)+VLOOKUP($AD$2,'RF Mod'!$I$2:$O$11,3,FALSE)+(TRUNC(6+(24-6)*(TRUNC(MOD(($Z920*1103515245 +12345)/ 65536, 32768),0)/32768),0))</f>
        <v>8</v>
      </c>
      <c r="L920" s="16">
        <f t="shared" ca="1" si="51"/>
        <v>-1</v>
      </c>
      <c r="M920" s="153">
        <f ca="1">VLOOKUP($AB$2,'RF Mod'!$A$2:$G$12,4,FALSE)+VLOOKUP($AD$2,'RF Mod'!$I$2:$O$11,4,FALSE)+(TRUNC(6+(24-6)*(TRUNC(MOD(($Z920*1103515245 +12345)/ 65536, 32768),0)/32768),0))</f>
        <v>7</v>
      </c>
      <c r="N920" s="16">
        <f t="shared" ca="1" si="52"/>
        <v>-2</v>
      </c>
      <c r="O920" s="153">
        <f ca="1">VLOOKUP($AB$2,'RF Mod'!$A$2:$G$12,5,FALSE)+VLOOKUP($AD$2,'RF Mod'!$I$2:$O$11,5,FALSE)+(TRUNC(6+(24-6)*(TRUNC(MOD(($Z920*1103515245 +12345)/ 65536, 32768),0)/32768),0))</f>
        <v>10</v>
      </c>
      <c r="P920" s="16" t="e">
        <f t="shared" ca="1" si="53"/>
        <v>#NAME?</v>
      </c>
      <c r="Q920" s="153">
        <f ca="1">VLOOKUP($AB$2,'RF Mod'!$A$2:$G$12,6,FALSE)+VLOOKUP($AD$2,'RF Mod'!$I$2:$O$11,6,FALSE)+(TRUNC(6+(24-6)*(TRUNC(MOD(($Z920*1103515245 +12345)/ 65536, 32768),0)/32768),0))</f>
        <v>8</v>
      </c>
      <c r="R920" s="16">
        <f t="shared" ca="1" si="54"/>
        <v>-1</v>
      </c>
      <c r="S920" s="154">
        <f t="shared" ca="1" si="59"/>
        <v>10</v>
      </c>
      <c r="T920" s="154">
        <f t="shared" ca="1" si="55"/>
        <v>10</v>
      </c>
      <c r="U920" s="16" t="str">
        <f t="shared" ca="1" si="56"/>
        <v>Unconscious</v>
      </c>
      <c r="V920" s="155">
        <f ca="1">IFERROR(__xludf.DUMMYFUNCTION("if(W920=""Middle Age"",QUERY(NPCVar!$K$2:$N1000, ""Select L where K = '""&amp;AB920&amp;""'""),if(W920=""Old"",QUERY(NPCVar!$K$2:$N1000, ""Select M where K = '""&amp;AB920&amp;""'""),if(W920=""Venerable"",QUERY(NPCVar!$K$2:$N1000, ""Select N where K = '""&amp;AB920&amp;""'""),fa"&amp;"lse)))*X920"),4)</f>
        <v>4</v>
      </c>
      <c r="W920" s="156" t="str">
        <f t="array" ref="W920">INDEX(NPCAgeType,TRUNC(1+(4-1)*(TRUNC(MOD((X920*1103515245 +12345)/ 65536, 32768),0)/32768),0))</f>
        <v>Middle Age</v>
      </c>
      <c r="X920" s="117">
        <f t="shared" si="61"/>
        <v>0.2</v>
      </c>
      <c r="Y920" s="157" t="e">
        <f t="array" aca="1" ref="Y920" ca="1">LOOKUP(ABS(MAX(Z920 + MIN(ABS(INDIRECT("Class Jobs!B"&amp;MATCH(E920,'Class Jobs'!$A$1:$A1000,0)&amp;":"&amp;"AF"&amp;MATCH(E920,'Class Jobs'!$A$1:$A1000,0)&amp;"")-$Z920)) * SUM(IF(MIN(ABS(INDIRECT("Class Jobs!B"&amp;MATCH(E920,'Class Jobs'!$A$1:$A1000,0)&amp;":"&amp;"AF"&amp;MATCH(E920,'Class Jobs'!$A$1:$A1000,0)&amp;"")-$Z920))=ABS(INDIRECT("Class Jobs!B"&amp;MATCH(E920,'Class Jobs'!$A$1:$A1000,0)&amp;":"&amp;"AF"&amp;MATCH(E920,'Class Jobs'!$A$1:$A1000,0)&amp;"")-$Z920),SIGN(INDIRECT("Class Jobs!B"&amp;MATCH(E920,'Class Jobs'!$A$1:A1000,0)&amp;":"&amp;"AF"&amp;MATCH(E920,'Class Jobs'!$A$1:$A1000,0)&amp;"")-$Z920),0)),0)),INDIRECT("Class Jobs!B"&amp;MATCH(E920,'Class Jobs'!$A$1:$A1000,0)&amp;":"&amp;"AF"&amp;MATCH(E920,'Class Jobs'!$A$1:$A1000,1)&amp;""),'Class Jobs'!$B$1:$AF$1)</f>
        <v>#REF!</v>
      </c>
      <c r="Z920" s="158">
        <f t="shared" si="57"/>
        <v>0.08</v>
      </c>
      <c r="AA920" s="16" t="str">
        <f t="array" ref="AA920">INDEX(NPCGender,TRUNC(1+(COUNTA(NPCGender))*(TRUNC(MOD(($B920*1103515245 +12345)/ 65536, 32768),0)/32768),0))</f>
        <v>Male</v>
      </c>
      <c r="AB920" s="16" t="str">
        <f t="array" ref="AB920">INDEX(NPCRace,TRUNC(1+(COUNTA(NPCRace))*(TRUNC(MOD(($B920*1103515245 +12345)/ 65536, 32768),0)/32768),0))</f>
        <v>Dragonborn</v>
      </c>
      <c r="AC920" s="16" t="str">
        <f t="array" ref="AC920">INDEX(NPCAL,TRUNC(1+(COUNTA(NPCAL))*(TRUNC(MOD(($B920*1103515245 +12345)/ 65536, 32768),0)/32768),0))</f>
        <v>CN</v>
      </c>
      <c r="AD920" s="72" t="str">
        <f ca="1">IFERROR(__xludf.DUMMYFUNCTION("if(V920&lt;15,QUERY(NPCVar!C:D,""Select D WHERE C = '""&amp;D920&amp;""'""),if((TRUNC(1+10)*(TRUNC(MOD((ROW(H920)*1103515245 +12345)/ 65536, 32768),0)/32768)/10) &gt; 0.85,INDEX(NPCFaction,TRUNC(1+(counta(NPCFaction)-1)*(TRUNC(MOD(($B920*1103515245 +12345)/ 65536, 3276"&amp;"8),0)/32768),0)),QUERY(NPCVar!C:D,""Select D WHERE C = '""&amp;D920&amp;""'"")))"),"Royalty")</f>
        <v>Royalty</v>
      </c>
      <c r="AE920" s="108" t="e">
        <f t="shared" ca="1" si="58"/>
        <v>#NAME?</v>
      </c>
      <c r="AF920" s="159">
        <f ca="1">IFERROR(__xludf.DUMMYFUNCTION("AE920*(V920 / QUERY(NPCVar!$K$2:$N$12, ""Select N WHERE K='""&amp;AB920&amp;""'""))*TRUNC(1+10)*(TRUNC(MOD(($B920*1103515245 +12345)/ 65536, 32768),0)/32768)"),0)</f>
        <v>0</v>
      </c>
      <c r="AG920" s="16"/>
      <c r="AH920" s="77"/>
      <c r="AI920" s="114"/>
    </row>
    <row r="921" spans="1:35" ht="16.2">
      <c r="A921" s="53">
        <v>920</v>
      </c>
      <c r="B921" s="118">
        <f t="shared" si="63"/>
        <v>1.0950500000000001</v>
      </c>
      <c r="C921" s="72" t="str">
        <f t="array" ref="C921">INDEX(NPCFName,TRUNC(1+(COUNTA(NPCFName))*(TRUNC(MOD(($B921*1103515245 +12345)/ 65536, 32768),0)/32768),0))</f>
        <v>Pildoor</v>
      </c>
      <c r="D921" s="16" t="str">
        <f t="array" ref="D921">INDEX(NPCLName,TRUNC(1+(COUNTA(NPCLName))*(TRUNC(MOD(($B921*1103515245 +12345)/ 65536, 32768),0)/32768),0))</f>
        <v>Plainspirit</v>
      </c>
      <c r="E921" s="16" t="str">
        <f t="array" ref="E921">INDEX(NPCClass,TRUNC(1+(COUNTA(NPCClass))*(TRUNC(MOD(($B921*1103515245 +12345)/ 65536, 32768),0)/32768),0))</f>
        <v>Sorcerer</v>
      </c>
      <c r="F921" s="76">
        <v>7</v>
      </c>
      <c r="G921" s="153">
        <f ca="1">VLOOKUP($AB$2,'RF Mod'!$A$2:$G$12,2,FALSE)+VLOOKUP($AD$2,'RF Mod'!$I$2:$O$11,2,FALSE)+(TRUNC(6+(24-6)*(TRUNC(MOD(($Z921*1103515245 +12345)/ 65536, 32768),0)/32768),0))</f>
        <v>9</v>
      </c>
      <c r="H921" s="16">
        <f t="shared" ca="1" si="49"/>
        <v>-1</v>
      </c>
      <c r="I921" s="153">
        <f ca="1">VLOOKUP($AB$2,'RF Mod'!$A$2:$G$12,3,FALSE)+VLOOKUP($AD$2,'RF Mod'!$I$2:$O$11,3,FALSE)+(TRUNC(6+(24-6)*(TRUNC(MOD(($Z921*1103515245 +12345)/ 65536, 32768),0)/32768),0))</f>
        <v>13</v>
      </c>
      <c r="J921" s="16" t="e">
        <f t="shared" ca="1" si="50"/>
        <v>#NAME?</v>
      </c>
      <c r="K921" s="153">
        <f ca="1">VLOOKUP($AB$2,'RF Mod'!$A$2:$G$12,3,FALSE)+VLOOKUP($AD$2,'RF Mod'!$I$2:$O$11,3,FALSE)+(TRUNC(6+(24-6)*(TRUNC(MOD(($Z921*1103515245 +12345)/ 65536, 32768),0)/32768),0))</f>
        <v>13</v>
      </c>
      <c r="L921" s="16" t="e">
        <f t="shared" ca="1" si="51"/>
        <v>#NAME?</v>
      </c>
      <c r="M921" s="153">
        <f ca="1">VLOOKUP($AB$2,'RF Mod'!$A$2:$G$12,4,FALSE)+VLOOKUP($AD$2,'RF Mod'!$I$2:$O$11,4,FALSE)+(TRUNC(6+(24-6)*(TRUNC(MOD(($Z921*1103515245 +12345)/ 65536, 32768),0)/32768),0))</f>
        <v>12</v>
      </c>
      <c r="N921" s="16" t="e">
        <f t="shared" ca="1" si="52"/>
        <v>#NAME?</v>
      </c>
      <c r="O921" s="153">
        <f ca="1">VLOOKUP($AB$2,'RF Mod'!$A$2:$G$12,5,FALSE)+VLOOKUP($AD$2,'RF Mod'!$I$2:$O$11,5,FALSE)+(TRUNC(6+(24-6)*(TRUNC(MOD(($Z921*1103515245 +12345)/ 65536, 32768),0)/32768),0))</f>
        <v>15</v>
      </c>
      <c r="P921" s="16" t="e">
        <f t="shared" ca="1" si="53"/>
        <v>#NAME?</v>
      </c>
      <c r="Q921" s="153">
        <f ca="1">VLOOKUP($AB$2,'RF Mod'!$A$2:$G$12,6,FALSE)+VLOOKUP($AD$2,'RF Mod'!$I$2:$O$11,6,FALSE)+(TRUNC(6+(24-6)*(TRUNC(MOD(($Z921*1103515245 +12345)/ 65536, 32768),0)/32768),0))</f>
        <v>13</v>
      </c>
      <c r="R921" s="16" t="e">
        <f t="shared" ca="1" si="54"/>
        <v>#NAME?</v>
      </c>
      <c r="S921" s="154">
        <f t="shared" ca="1" si="59"/>
        <v>175</v>
      </c>
      <c r="T921" s="154">
        <f t="shared" ca="1" si="55"/>
        <v>101</v>
      </c>
      <c r="U921" s="16" t="str">
        <f t="shared" ca="1" si="56"/>
        <v>Bloody</v>
      </c>
      <c r="V921" s="155">
        <f ca="1">IFERROR(__xludf.DUMMYFUNCTION("if(W921=""Middle Age"",QUERY(NPCVar!$K$2:$N1000, ""Select L where K = '""&amp;AB921&amp;""'""),if(W921=""Old"",QUERY(NPCVar!$K$2:$N1000, ""Select M where K = '""&amp;AB921&amp;""'""),if(W921=""Venerable"",QUERY(NPCVar!$K$2:$N1000, ""Select N where K = '""&amp;AB921&amp;""'""),fa"&amp;"lse)))*X921"),280)</f>
        <v>280</v>
      </c>
      <c r="W921" s="156" t="str">
        <f t="array" ref="W921">INDEX(NPCAgeType,TRUNC(1+(4-1)*(TRUNC(MOD((X921*1103515245 +12345)/ 65536, 32768),0)/32768),0))</f>
        <v>Venerable</v>
      </c>
      <c r="X921" s="117">
        <f t="shared" si="61"/>
        <v>1.4</v>
      </c>
      <c r="Y921" s="157" t="e">
        <f t="array" aca="1" ref="Y921" ca="1">LOOKUP(ABS(MAX(Z921 + MIN(ABS(INDIRECT("Class Jobs!B"&amp;MATCH(E921,'Class Jobs'!$A$1:$A1000,0)&amp;":"&amp;"AF"&amp;MATCH(E921,'Class Jobs'!$A$1:$A1000,0)&amp;"")-$Z921)) * SUM(IF(MIN(ABS(INDIRECT("Class Jobs!B"&amp;MATCH(E921,'Class Jobs'!$A$1:$A1000,0)&amp;":"&amp;"AF"&amp;MATCH(E921,'Class Jobs'!$A$1:$A1000,0)&amp;"")-$Z921))=ABS(INDIRECT("Class Jobs!B"&amp;MATCH(E921,'Class Jobs'!$A$1:$A1000,0)&amp;":"&amp;"AF"&amp;MATCH(E921,'Class Jobs'!$A$1:$A1000,0)&amp;"")-$Z921),SIGN(INDIRECT("Class Jobs!B"&amp;MATCH(E921,'Class Jobs'!$A$1:A1000,0)&amp;":"&amp;"AF"&amp;MATCH(E921,'Class Jobs'!$A$1:$A1000,0)&amp;"")-$Z921),0)),0)),INDIRECT("Class Jobs!B"&amp;MATCH(E921,'Class Jobs'!$A$1:$A1000,0)&amp;":"&amp;"AF"&amp;MATCH(E921,'Class Jobs'!$A$1:$A1000,1)&amp;""),'Class Jobs'!$B$1:$AF$1)</f>
        <v>#REF!</v>
      </c>
      <c r="Z921" s="158">
        <f t="shared" si="57"/>
        <v>0.56000000000000005</v>
      </c>
      <c r="AA921" s="16" t="str">
        <f t="array" ref="AA921">INDEX(NPCGender,TRUNC(1+(COUNTA(NPCGender))*(TRUNC(MOD(($B921*1103515245 +12345)/ 65536, 32768),0)/32768),0))</f>
        <v>Female</v>
      </c>
      <c r="AB921" s="16" t="str">
        <f t="array" ref="AB921">INDEX(NPCRace,TRUNC(1+(COUNTA(NPCRace))*(TRUNC(MOD(($B921*1103515245 +12345)/ 65536, 32768),0)/32768),0))</f>
        <v>Halfling</v>
      </c>
      <c r="AC921" s="16" t="str">
        <f t="array" ref="AC921">INDEX(NPCAL,TRUNC(1+(COUNTA(NPCAL))*(TRUNC(MOD(($B921*1103515245 +12345)/ 65536, 32768),0)/32768),0))</f>
        <v>NE</v>
      </c>
      <c r="AD921" s="72" t="str">
        <f ca="1">IFERROR(__xludf.DUMMYFUNCTION("if(V921&lt;15,QUERY(NPCVar!C:D,""Select D WHERE C = '""&amp;D921&amp;""'""),if((TRUNC(1+10)*(TRUNC(MOD((ROW(H921)*1103515245 +12345)/ 65536, 32768),0)/32768)/10) &gt; 0.85,INDEX(NPCFaction,TRUNC(1+(counta(NPCFaction)-1)*(TRUNC(MOD(($B921*1103515245 +12345)/ 65536, 3276"&amp;"8),0)/32768),0)),QUERY(NPCVar!C:D,""Select D WHERE C = '""&amp;D921&amp;""'"")))"),"Traders Guild")</f>
        <v>Traders Guild</v>
      </c>
      <c r="AE921" s="108" t="e">
        <f t="shared" ca="1" si="58"/>
        <v>#NAME?</v>
      </c>
      <c r="AF921" s="159">
        <f ca="1">IFERROR(__xludf.DUMMYFUNCTION("AE921*(V921 / QUERY(NPCVar!$K$2:$N$12, ""Select N WHERE K='""&amp;AB921&amp;""'""))*TRUNC(1+10)*(TRUNC(MOD(($B921*1103515245 +12345)/ 65536, 32768),0)/32768)"),6.93225585937499)</f>
        <v>6.9322558593749903</v>
      </c>
      <c r="AG921" s="16"/>
      <c r="AH921" s="77"/>
      <c r="AI921" s="114"/>
    </row>
    <row r="922" spans="1:35" ht="16.2">
      <c r="A922" s="53">
        <v>921</v>
      </c>
      <c r="B922" s="118">
        <f t="shared" si="63"/>
        <v>8.9190000000000005E-2</v>
      </c>
      <c r="C922" s="72" t="str">
        <f t="array" ref="C922">INDEX(NPCFName,TRUNC(1+(COUNTA(NPCFName))*(TRUNC(MOD(($B922*1103515245 +12345)/ 65536, 32768),0)/32768),0))</f>
        <v>Camchak</v>
      </c>
      <c r="D922" s="16" t="str">
        <f t="array" ref="D922">INDEX(NPCLName,TRUNC(1+(COUNTA(NPCLName))*(TRUNC(MOD(($B922*1103515245 +12345)/ 65536, 32768),0)/32768),0))</f>
        <v>Crystalgazer</v>
      </c>
      <c r="E922" s="16" t="str">
        <f t="array" ref="E922">INDEX(NPCClass,TRUNC(1+(COUNTA(NPCClass))*(TRUNC(MOD(($B922*1103515245 +12345)/ 65536, 32768),0)/32768),0))</f>
        <v>Barbarian</v>
      </c>
      <c r="F922" s="76">
        <v>1</v>
      </c>
      <c r="G922" s="153">
        <f ca="1">VLOOKUP($AB$2,'RF Mod'!$A$2:$G$12,2,FALSE)+VLOOKUP($AD$2,'RF Mod'!$I$2:$O$11,2,FALSE)+(TRUNC(6+(24-6)*(TRUNC(MOD(($Z922*1103515245 +12345)/ 65536, 32768),0)/32768),0))</f>
        <v>4</v>
      </c>
      <c r="H922" s="16">
        <f t="shared" ca="1" si="49"/>
        <v>-3</v>
      </c>
      <c r="I922" s="153">
        <f ca="1">VLOOKUP($AB$2,'RF Mod'!$A$2:$G$12,3,FALSE)+VLOOKUP($AD$2,'RF Mod'!$I$2:$O$11,3,FALSE)+(TRUNC(6+(24-6)*(TRUNC(MOD(($Z922*1103515245 +12345)/ 65536, 32768),0)/32768),0))</f>
        <v>8</v>
      </c>
      <c r="J922" s="16">
        <f t="shared" ca="1" si="50"/>
        <v>-1</v>
      </c>
      <c r="K922" s="153">
        <f ca="1">VLOOKUP($AB$2,'RF Mod'!$A$2:$G$12,3,FALSE)+VLOOKUP($AD$2,'RF Mod'!$I$2:$O$11,3,FALSE)+(TRUNC(6+(24-6)*(TRUNC(MOD(($Z922*1103515245 +12345)/ 65536, 32768),0)/32768),0))</f>
        <v>8</v>
      </c>
      <c r="L922" s="16">
        <f t="shared" ca="1" si="51"/>
        <v>-1</v>
      </c>
      <c r="M922" s="153">
        <f ca="1">VLOOKUP($AB$2,'RF Mod'!$A$2:$G$12,4,FALSE)+VLOOKUP($AD$2,'RF Mod'!$I$2:$O$11,4,FALSE)+(TRUNC(6+(24-6)*(TRUNC(MOD(($Z922*1103515245 +12345)/ 65536, 32768),0)/32768),0))</f>
        <v>7</v>
      </c>
      <c r="N922" s="16">
        <f t="shared" ca="1" si="52"/>
        <v>-2</v>
      </c>
      <c r="O922" s="153">
        <f ca="1">VLOOKUP($AB$2,'RF Mod'!$A$2:$G$12,5,FALSE)+VLOOKUP($AD$2,'RF Mod'!$I$2:$O$11,5,FALSE)+(TRUNC(6+(24-6)*(TRUNC(MOD(($Z922*1103515245 +12345)/ 65536, 32768),0)/32768),0))</f>
        <v>10</v>
      </c>
      <c r="P922" s="16" t="e">
        <f t="shared" ca="1" si="53"/>
        <v>#NAME?</v>
      </c>
      <c r="Q922" s="153">
        <f ca="1">VLOOKUP($AB$2,'RF Mod'!$A$2:$G$12,6,FALSE)+VLOOKUP($AD$2,'RF Mod'!$I$2:$O$11,6,FALSE)+(TRUNC(6+(24-6)*(TRUNC(MOD(($Z922*1103515245 +12345)/ 65536, 32768),0)/32768),0))</f>
        <v>8</v>
      </c>
      <c r="R922" s="16">
        <f t="shared" ca="1" si="54"/>
        <v>-1</v>
      </c>
      <c r="S922" s="154">
        <f t="shared" ca="1" si="59"/>
        <v>10</v>
      </c>
      <c r="T922" s="154">
        <f t="shared" ca="1" si="55"/>
        <v>3</v>
      </c>
      <c r="U922" s="16" t="str">
        <f t="shared" ca="1" si="56"/>
        <v>Fine</v>
      </c>
      <c r="V922" s="155">
        <f ca="1">IFERROR(__xludf.DUMMYFUNCTION("if(W922=""Middle Age"",QUERY(NPCVar!$K$2:$N1000, ""Select L where K = '""&amp;AB922&amp;""'""),if(W922=""Old"",QUERY(NPCVar!$K$2:$N1000, ""Select M where K = '""&amp;AB922&amp;""'""),if(W922=""Venerable"",QUERY(NPCVar!$K$2:$N1000, ""Select N where K = '""&amp;AB922&amp;""'""),fa"&amp;"lse)))*X922"),4)</f>
        <v>4</v>
      </c>
      <c r="W922" s="156" t="str">
        <f t="array" ref="W922">INDEX(NPCAgeType,TRUNC(1+(4-1)*(TRUNC(MOD((X922*1103515245 +12345)/ 65536, 32768),0)/32768),0))</f>
        <v>Middle Age</v>
      </c>
      <c r="X922" s="117">
        <f t="shared" si="61"/>
        <v>0.2</v>
      </c>
      <c r="Y922" s="157" t="e">
        <f t="array" aca="1" ref="Y922" ca="1">LOOKUP(ABS(MAX(Z922 + MIN(ABS(INDIRECT("Class Jobs!B"&amp;MATCH(E922,'Class Jobs'!$A$1:$A1000,0)&amp;":"&amp;"AF"&amp;MATCH(E922,'Class Jobs'!$A$1:$A1000,0)&amp;"")-$Z922)) * SUM(IF(MIN(ABS(INDIRECT("Class Jobs!B"&amp;MATCH(E922,'Class Jobs'!$A$1:$A1000,0)&amp;":"&amp;"AF"&amp;MATCH(E922,'Class Jobs'!$A$1:$A1000,0)&amp;"")-$Z922))=ABS(INDIRECT("Class Jobs!B"&amp;MATCH(E922,'Class Jobs'!$A$1:$A1000,0)&amp;":"&amp;"AF"&amp;MATCH(E922,'Class Jobs'!$A$1:$A1000,0)&amp;"")-$Z922),SIGN(INDIRECT("Class Jobs!B"&amp;MATCH(E922,'Class Jobs'!$A$1:A1000,0)&amp;":"&amp;"AF"&amp;MATCH(E922,'Class Jobs'!$A$1:$A1000,0)&amp;"")-$Z922),0)),0)),INDIRECT("Class Jobs!B"&amp;MATCH(E922,'Class Jobs'!$A$1:$A1000,0)&amp;":"&amp;"AF"&amp;MATCH(E922,'Class Jobs'!$A$1:$A1000,1)&amp;""),'Class Jobs'!$B$1:$AF$1)</f>
        <v>#REF!</v>
      </c>
      <c r="Z922" s="158">
        <f t="shared" si="57"/>
        <v>0.05</v>
      </c>
      <c r="AA922" s="16" t="str">
        <f t="array" ref="AA922">INDEX(NPCGender,TRUNC(1+(COUNTA(NPCGender))*(TRUNC(MOD(($B922*1103515245 +12345)/ 65536, 32768),0)/32768),0))</f>
        <v>Male</v>
      </c>
      <c r="AB922" s="16" t="str">
        <f t="array" ref="AB922">INDEX(NPCRace,TRUNC(1+(COUNTA(NPCRace))*(TRUNC(MOD(($B922*1103515245 +12345)/ 65536, 32768),0)/32768),0))</f>
        <v>Dragonborn</v>
      </c>
      <c r="AC922" s="16" t="str">
        <f t="array" ref="AC922">INDEX(NPCAL,TRUNC(1+(COUNTA(NPCAL))*(TRUNC(MOD(($B922*1103515245 +12345)/ 65536, 32768),0)/32768),0))</f>
        <v>CN</v>
      </c>
      <c r="AD922" s="72" t="str">
        <f ca="1">IFERROR(__xludf.DUMMYFUNCTION("if(V922&lt;15,QUERY(NPCVar!C:D,""Select D WHERE C = '""&amp;D922&amp;""'""),if((TRUNC(1+10)*(TRUNC(MOD((ROW(H922)*1103515245 +12345)/ 65536, 32768),0)/32768)/10) &gt; 0.85,INDEX(NPCFaction,TRUNC(1+(counta(NPCFaction)-1)*(TRUNC(MOD(($B922*1103515245 +12345)/ 65536, 3276"&amp;"8),0)/32768),0)),QUERY(NPCVar!C:D,""Select D WHERE C = '""&amp;D922&amp;""'"")))"),"Death Guild")</f>
        <v>Death Guild</v>
      </c>
      <c r="AE922" s="108" t="e">
        <f t="shared" ca="1" si="58"/>
        <v>#NAME?</v>
      </c>
      <c r="AF922" s="159">
        <f ca="1">IFERROR(__xludf.DUMMYFUNCTION("AE922*(V922 / QUERY(NPCVar!$K$2:$N$12, ""Select N WHERE K='""&amp;AB922&amp;""'""))*TRUNC(1+10)*(TRUNC(MOD(($B922*1103515245 +12345)/ 65536, 32768),0)/32768)"),0)</f>
        <v>0</v>
      </c>
      <c r="AG922" s="16"/>
      <c r="AH922" s="77"/>
      <c r="AI922" s="114"/>
    </row>
    <row r="923" spans="1:35" ht="16.2">
      <c r="A923" s="53">
        <v>922</v>
      </c>
      <c r="B923" s="118">
        <f t="shared" si="63"/>
        <v>1.5833299999999999</v>
      </c>
      <c r="C923" s="72" t="str">
        <f t="array" ref="C923">INDEX(NPCFName,TRUNC(1+(COUNTA(NPCFName))*(TRUNC(MOD(($B923*1103515245 +12345)/ 65536, 32768),0)/32768),0))</f>
        <v>Jamik</v>
      </c>
      <c r="D923" s="16" t="str">
        <f t="array" ref="D923">INDEX(NPCLName,TRUNC(1+(COUNTA(NPCLName))*(TRUNC(MOD(($B923*1103515245 +12345)/ 65536, 32768),0)/32768),0))</f>
        <v>Deepcrest</v>
      </c>
      <c r="E923" s="16" t="str">
        <f t="array" ref="E923">INDEX(NPCClass,TRUNC(1+(COUNTA(NPCClass))*(TRUNC(MOD(($B923*1103515245 +12345)/ 65536, 32768),0)/32768),0))</f>
        <v>Cleric</v>
      </c>
      <c r="F923" s="76">
        <v>8</v>
      </c>
      <c r="G923" s="153">
        <f ca="1">VLOOKUP($AB$2,'RF Mod'!$A$2:$G$12,2,FALSE)+VLOOKUP($AD$2,'RF Mod'!$I$2:$O$11,2,FALSE)+(TRUNC(6+(24-6)*(TRUNC(MOD(($Z923*1103515245 +12345)/ 65536, 32768),0)/32768),0))</f>
        <v>11</v>
      </c>
      <c r="H923" s="16" t="e">
        <f t="shared" ca="1" si="49"/>
        <v>#NAME?</v>
      </c>
      <c r="I923" s="153">
        <f ca="1">VLOOKUP($AB$2,'RF Mod'!$A$2:$G$12,3,FALSE)+VLOOKUP($AD$2,'RF Mod'!$I$2:$O$11,3,FALSE)+(TRUNC(6+(24-6)*(TRUNC(MOD(($Z923*1103515245 +12345)/ 65536, 32768),0)/32768),0))</f>
        <v>15</v>
      </c>
      <c r="J923" s="16" t="e">
        <f t="shared" ca="1" si="50"/>
        <v>#NAME?</v>
      </c>
      <c r="K923" s="153">
        <f ca="1">VLOOKUP($AB$2,'RF Mod'!$A$2:$G$12,3,FALSE)+VLOOKUP($AD$2,'RF Mod'!$I$2:$O$11,3,FALSE)+(TRUNC(6+(24-6)*(TRUNC(MOD(($Z923*1103515245 +12345)/ 65536, 32768),0)/32768),0))</f>
        <v>15</v>
      </c>
      <c r="L923" s="16" t="e">
        <f t="shared" ca="1" si="51"/>
        <v>#NAME?</v>
      </c>
      <c r="M923" s="153">
        <f ca="1">VLOOKUP($AB$2,'RF Mod'!$A$2:$G$12,4,FALSE)+VLOOKUP($AD$2,'RF Mod'!$I$2:$O$11,4,FALSE)+(TRUNC(6+(24-6)*(TRUNC(MOD(($Z923*1103515245 +12345)/ 65536, 32768),0)/32768),0))</f>
        <v>14</v>
      </c>
      <c r="N923" s="16" t="e">
        <f t="shared" ca="1" si="52"/>
        <v>#NAME?</v>
      </c>
      <c r="O923" s="153">
        <f ca="1">VLOOKUP($AB$2,'RF Mod'!$A$2:$G$12,5,FALSE)+VLOOKUP($AD$2,'RF Mod'!$I$2:$O$11,5,FALSE)+(TRUNC(6+(24-6)*(TRUNC(MOD(($Z923*1103515245 +12345)/ 65536, 32768),0)/32768),0))</f>
        <v>17</v>
      </c>
      <c r="P923" s="16" t="e">
        <f t="shared" ca="1" si="53"/>
        <v>#NAME?</v>
      </c>
      <c r="Q923" s="153">
        <f ca="1">VLOOKUP($AB$2,'RF Mod'!$A$2:$G$12,6,FALSE)+VLOOKUP($AD$2,'RF Mod'!$I$2:$O$11,6,FALSE)+(TRUNC(6+(24-6)*(TRUNC(MOD(($Z923*1103515245 +12345)/ 65536, 32768),0)/32768),0))</f>
        <v>15</v>
      </c>
      <c r="R923" s="16" t="e">
        <f t="shared" ca="1" si="54"/>
        <v>#NAME?</v>
      </c>
      <c r="S923" s="154">
        <f t="shared" ca="1" si="59"/>
        <v>136</v>
      </c>
      <c r="T923" s="154">
        <f t="shared" ca="1" si="55"/>
        <v>42</v>
      </c>
      <c r="U923" s="16" t="str">
        <f t="shared" ca="1" si="56"/>
        <v>Fine</v>
      </c>
      <c r="V923" s="155">
        <f ca="1">IFERROR(__xludf.DUMMYFUNCTION("if(W923=""Middle Age"",QUERY(NPCVar!$K$2:$N1000, ""Select L where K = '""&amp;AB923&amp;""'""),if(W923=""Old"",QUERY(NPCVar!$K$2:$N1000, ""Select M where K = '""&amp;AB923&amp;""'""),if(W923=""Venerable"",QUERY(NPCVar!$K$2:$N1000, ""Select N where K = '""&amp;AB923&amp;""'""),fa"&amp;"lse)))*X923"),50)</f>
        <v>50</v>
      </c>
      <c r="W923" s="156" t="str">
        <f t="array" ref="W923">INDEX(NPCAgeType,TRUNC(1+(4-1)*(TRUNC(MOD((X923*1103515245 +12345)/ 65536, 32768),0)/32768),0))</f>
        <v>Middle Age</v>
      </c>
      <c r="X923" s="117">
        <f t="shared" si="61"/>
        <v>2</v>
      </c>
      <c r="Y923" s="157" t="e">
        <f t="array" aca="1" ref="Y923" ca="1">LOOKUP(ABS(MAX(Z923 + MIN(ABS(INDIRECT("Class Jobs!B"&amp;MATCH(E923,'Class Jobs'!$A$1:$A1000,0)&amp;":"&amp;"AF"&amp;MATCH(E923,'Class Jobs'!$A$1:$A1000,0)&amp;"")-$Z923)) * SUM(IF(MIN(ABS(INDIRECT("Class Jobs!B"&amp;MATCH(E923,'Class Jobs'!$A$1:$A1000,0)&amp;":"&amp;"AF"&amp;MATCH(E923,'Class Jobs'!$A$1:$A1000,0)&amp;"")-$Z923))=ABS(INDIRECT("Class Jobs!B"&amp;MATCH(E923,'Class Jobs'!$A$1:$A1000,0)&amp;":"&amp;"AF"&amp;MATCH(E923,'Class Jobs'!$A$1:$A1000,0)&amp;"")-$Z923),SIGN(INDIRECT("Class Jobs!B"&amp;MATCH(E923,'Class Jobs'!$A$1:A1000,0)&amp;":"&amp;"AF"&amp;MATCH(E923,'Class Jobs'!$A$1:$A1000,0)&amp;"")-$Z923),0)),0)),INDIRECT("Class Jobs!B"&amp;MATCH(E923,'Class Jobs'!$A$1:$A1000,0)&amp;":"&amp;"AF"&amp;MATCH(E923,'Class Jobs'!$A$1:$A1000,1)&amp;""),'Class Jobs'!$B$1:$AF$1)</f>
        <v>#REF!</v>
      </c>
      <c r="Z923" s="158">
        <f t="shared" si="57"/>
        <v>0.81</v>
      </c>
      <c r="AA923" s="16" t="str">
        <f t="array" ref="AA923">INDEX(NPCGender,TRUNC(1+(COUNTA(NPCGender))*(TRUNC(MOD(($B923*1103515245 +12345)/ 65536, 32768),0)/32768),0))</f>
        <v>Neutral</v>
      </c>
      <c r="AB923" s="16" t="str">
        <f t="array" ref="AB923">INDEX(NPCRace,TRUNC(1+(COUNTA(NPCRace))*(TRUNC(MOD(($B923*1103515245 +12345)/ 65536, 32768),0)/32768),0))</f>
        <v>Tiefling</v>
      </c>
      <c r="AC923" s="16" t="str">
        <f t="array" ref="AC923">INDEX(NPCAL,TRUNC(1+(COUNTA(NPCAL))*(TRUNC(MOD(($B923*1103515245 +12345)/ 65536, 32768),0)/32768),0))</f>
        <v>LN</v>
      </c>
      <c r="AD923" s="72" t="str">
        <f ca="1">IFERROR(__xludf.DUMMYFUNCTION("if(V923&lt;15,QUERY(NPCVar!C:D,""Select D WHERE C = '""&amp;D923&amp;""'""),if((TRUNC(1+10)*(TRUNC(MOD((ROW(H923)*1103515245 +12345)/ 65536, 32768),0)/32768)/10) &gt; 0.85,INDEX(NPCFaction,TRUNC(1+(counta(NPCFaction)-1)*(TRUNC(MOD(($B923*1103515245 +12345)/ 65536, 3276"&amp;"8),0)/32768),0)),QUERY(NPCVar!C:D,""Select D WHERE C = '""&amp;D923&amp;""'"")))"),"Adventures Guild")</f>
        <v>Adventures Guild</v>
      </c>
      <c r="AE923" s="108" t="e">
        <f t="shared" ca="1" si="58"/>
        <v>#NAME?</v>
      </c>
      <c r="AF923" s="159">
        <f ca="1">IFERROR(__xludf.DUMMYFUNCTION("AE923*(V923 / QUERY(NPCVar!$K$2:$N$12, ""Select N WHERE K='""&amp;AB923&amp;""'""))*TRUNC(1+10)*(TRUNC(MOD(($B923*1103515245 +12345)/ 65536, 32768),0)/32768)"),4.02731323242187)</f>
        <v>4.0273132324218697</v>
      </c>
      <c r="AG923" s="16"/>
      <c r="AH923" s="77"/>
      <c r="AI923" s="114"/>
    </row>
    <row r="924" spans="1:35" ht="16.2">
      <c r="A924" s="53">
        <v>923</v>
      </c>
      <c r="B924" s="118">
        <f t="shared" si="63"/>
        <v>0.57747000000000004</v>
      </c>
      <c r="C924" s="72" t="str">
        <f t="array" ref="C924">INDEX(NPCFName,TRUNC(1+(COUNTA(NPCFName))*(TRUNC(MOD(($B924*1103515245 +12345)/ 65536, 32768),0)/32768),0))</f>
        <v>Undin</v>
      </c>
      <c r="D924" s="16" t="str">
        <f t="array" ref="D924">INDEX(NPCLName,TRUNC(1+(COUNTA(NPCLName))*(TRUNC(MOD(($B924*1103515245 +12345)/ 65536, 32768),0)/32768),0))</f>
        <v>Commonscream</v>
      </c>
      <c r="E924" s="16" t="str">
        <f t="array" ref="E924">INDEX(NPCClass,TRUNC(1+(COUNTA(NPCClass))*(TRUNC(MOD(($B924*1103515245 +12345)/ 65536, 32768),0)/32768),0))</f>
        <v>Monk</v>
      </c>
      <c r="F924" s="76">
        <v>2</v>
      </c>
      <c r="G924" s="153">
        <f ca="1">VLOOKUP($AB$2,'RF Mod'!$A$2:$G$12,2,FALSE)+VLOOKUP($AD$2,'RF Mod'!$I$2:$O$11,2,FALSE)+(TRUNC(6+(24-6)*(TRUNC(MOD(($Z924*1103515245 +12345)/ 65536, 32768),0)/32768),0))</f>
        <v>6</v>
      </c>
      <c r="H924" s="16">
        <f t="shared" ca="1" si="49"/>
        <v>-2</v>
      </c>
      <c r="I924" s="153">
        <f ca="1">VLOOKUP($AB$2,'RF Mod'!$A$2:$G$12,3,FALSE)+VLOOKUP($AD$2,'RF Mod'!$I$2:$O$11,3,FALSE)+(TRUNC(6+(24-6)*(TRUNC(MOD(($Z924*1103515245 +12345)/ 65536, 32768),0)/32768),0))</f>
        <v>10</v>
      </c>
      <c r="J924" s="16" t="e">
        <f t="shared" ca="1" si="50"/>
        <v>#NAME?</v>
      </c>
      <c r="K924" s="153">
        <f ca="1">VLOOKUP($AB$2,'RF Mod'!$A$2:$G$12,3,FALSE)+VLOOKUP($AD$2,'RF Mod'!$I$2:$O$11,3,FALSE)+(TRUNC(6+(24-6)*(TRUNC(MOD(($Z924*1103515245 +12345)/ 65536, 32768),0)/32768),0))</f>
        <v>10</v>
      </c>
      <c r="L924" s="16" t="e">
        <f t="shared" ca="1" si="51"/>
        <v>#NAME?</v>
      </c>
      <c r="M924" s="153">
        <f ca="1">VLOOKUP($AB$2,'RF Mod'!$A$2:$G$12,4,FALSE)+VLOOKUP($AD$2,'RF Mod'!$I$2:$O$11,4,FALSE)+(TRUNC(6+(24-6)*(TRUNC(MOD(($Z924*1103515245 +12345)/ 65536, 32768),0)/32768),0))</f>
        <v>9</v>
      </c>
      <c r="N924" s="16">
        <f t="shared" ca="1" si="52"/>
        <v>-1</v>
      </c>
      <c r="O924" s="153">
        <f ca="1">VLOOKUP($AB$2,'RF Mod'!$A$2:$G$12,5,FALSE)+VLOOKUP($AD$2,'RF Mod'!$I$2:$O$11,5,FALSE)+(TRUNC(6+(24-6)*(TRUNC(MOD(($Z924*1103515245 +12345)/ 65536, 32768),0)/32768),0))</f>
        <v>12</v>
      </c>
      <c r="P924" s="16" t="e">
        <f t="shared" ca="1" si="53"/>
        <v>#NAME?</v>
      </c>
      <c r="Q924" s="153">
        <f ca="1">VLOOKUP($AB$2,'RF Mod'!$A$2:$G$12,6,FALSE)+VLOOKUP($AD$2,'RF Mod'!$I$2:$O$11,6,FALSE)+(TRUNC(6+(24-6)*(TRUNC(MOD(($Z924*1103515245 +12345)/ 65536, 32768),0)/32768),0))</f>
        <v>10</v>
      </c>
      <c r="R924" s="16" t="e">
        <f t="shared" ca="1" si="54"/>
        <v>#NAME?</v>
      </c>
      <c r="S924" s="154">
        <f t="shared" ca="1" si="59"/>
        <v>24</v>
      </c>
      <c r="T924" s="154">
        <f t="shared" ca="1" si="55"/>
        <v>23</v>
      </c>
      <c r="U924" s="16" t="str">
        <f t="shared" ca="1" si="56"/>
        <v>Bloody</v>
      </c>
      <c r="V924" s="155">
        <f ca="1">IFERROR(__xludf.DUMMYFUNCTION("if(W924=""Middle Age"",QUERY(NPCVar!$K$2:$N1000, ""Select L where K = '""&amp;AB924&amp;""'""),if(W924=""Old"",QUERY(NPCVar!$K$2:$N1000, ""Select M where K = '""&amp;AB924&amp;""'""),if(W924=""Venerable"",QUERY(NPCVar!$K$2:$N1000, ""Select N where K = '""&amp;AB924&amp;""'""),fa"&amp;"lse)))*X924"),135)</f>
        <v>135</v>
      </c>
      <c r="W924" s="156" t="str">
        <f t="array" ref="W924">INDEX(NPCAgeType,TRUNC(1+(4-1)*(TRUNC(MOD((X924*1103515245 +12345)/ 65536, 32768),0)/32768),0))</f>
        <v>Old</v>
      </c>
      <c r="X924" s="117">
        <f t="shared" si="61"/>
        <v>0.8</v>
      </c>
      <c r="Y924" s="157" t="e">
        <f t="array" aca="1" ref="Y924" ca="1">LOOKUP(ABS(MAX(Z924 + MIN(ABS(INDIRECT("Class Jobs!B"&amp;MATCH(E924,'Class Jobs'!$A$1:$A1000,0)&amp;":"&amp;"AF"&amp;MATCH(E924,'Class Jobs'!$A$1:$A1000,0)&amp;"")-$Z924)) * SUM(IF(MIN(ABS(INDIRECT("Class Jobs!B"&amp;MATCH(E924,'Class Jobs'!$A$1:$A1000,0)&amp;":"&amp;"AF"&amp;MATCH(E924,'Class Jobs'!$A$1:$A1000,0)&amp;"")-$Z924))=ABS(INDIRECT("Class Jobs!B"&amp;MATCH(E924,'Class Jobs'!$A$1:$A1000,0)&amp;":"&amp;"AF"&amp;MATCH(E924,'Class Jobs'!$A$1:$A1000,0)&amp;"")-$Z924),SIGN(INDIRECT("Class Jobs!B"&amp;MATCH(E924,'Class Jobs'!$A$1:A1000,0)&amp;":"&amp;"AF"&amp;MATCH(E924,'Class Jobs'!$A$1:$A1000,0)&amp;"")-$Z924),0)),0)),INDIRECT("Class Jobs!B"&amp;MATCH(E924,'Class Jobs'!$A$1:$A1000,0)&amp;":"&amp;"AF"&amp;MATCH(E924,'Class Jobs'!$A$1:$A1000,1)&amp;""),'Class Jobs'!$B$1:$AF$1)</f>
        <v>#REF!</v>
      </c>
      <c r="Z924" s="158">
        <f t="shared" si="57"/>
        <v>0.3</v>
      </c>
      <c r="AA924" s="16" t="str">
        <f t="array" ref="AA924">INDEX(NPCGender,TRUNC(1+(COUNTA(NPCGender))*(TRUNC(MOD(($B924*1103515245 +12345)/ 65536, 32768),0)/32768),0))</f>
        <v>Male</v>
      </c>
      <c r="AB924" s="16" t="str">
        <f t="array" ref="AB924">INDEX(NPCRace,TRUNC(1+(COUNTA(NPCRace))*(TRUNC(MOD(($B924*1103515245 +12345)/ 65536, 32768),0)/32768),0))</f>
        <v>Gnome</v>
      </c>
      <c r="AC924" s="16" t="str">
        <f t="array" ref="AC924">INDEX(NPCAL,TRUNC(1+(COUNTA(NPCAL))*(TRUNC(MOD(($B924*1103515245 +12345)/ 65536, 32768),0)/32768),0))</f>
        <v>CG</v>
      </c>
      <c r="AD924" s="72" t="str">
        <f ca="1">IFERROR(__xludf.DUMMYFUNCTION("if(V924&lt;15,QUERY(NPCVar!C:D,""Select D WHERE C = '""&amp;D924&amp;""'""),if((TRUNC(1+10)*(TRUNC(MOD((ROW(H924)*1103515245 +12345)/ 65536, 32768),0)/32768)/10) &gt; 0.85,INDEX(NPCFaction,TRUNC(1+(counta(NPCFaction)-1)*(TRUNC(MOD(($B924*1103515245 +12345)/ 65536, 3276"&amp;"8),0)/32768),0)),QUERY(NPCVar!C:D,""Select D WHERE C = '""&amp;D924&amp;""'"")))"),"Traders Guild")</f>
        <v>Traders Guild</v>
      </c>
      <c r="AE924" s="108" t="e">
        <f t="shared" ca="1" si="58"/>
        <v>#NAME?</v>
      </c>
      <c r="AF924" s="159">
        <f ca="1">IFERROR(__xludf.DUMMYFUNCTION("AE924*(V924 / QUERY(NPCVar!$K$2:$N$12, ""Select N WHERE K='""&amp;AB924&amp;""'""))*TRUNC(1+10)*(TRUNC(MOD(($B924*1103515245 +12345)/ 65536, 32768),0)/32768)"),0.0979183959960937)</f>
        <v>9.7918395996093699E-2</v>
      </c>
      <c r="AG924" s="16"/>
      <c r="AH924" s="77"/>
      <c r="AI924" s="114"/>
    </row>
    <row r="925" spans="1:35" ht="16.2">
      <c r="A925" s="53">
        <v>924</v>
      </c>
      <c r="B925" s="118">
        <f t="shared" si="63"/>
        <v>2.0716100000000002</v>
      </c>
      <c r="C925" s="72" t="str">
        <f t="array" ref="C925">INDEX(NPCFName,TRUNC(1+(COUNTA(NPCFName))*(TRUNC(MOD(($B925*1103515245 +12345)/ 65536, 32768),0)/32768),0))</f>
        <v>Dakamon</v>
      </c>
      <c r="D925" s="16" t="str">
        <f t="array" ref="D925">INDEX(NPCLName,TRUNC(1+(COUNTA(NPCLName))*(TRUNC(MOD(($B925*1103515245 +12345)/ 65536, 32768),0)/32768),0))</f>
        <v>Crystalgazer</v>
      </c>
      <c r="E925" s="16" t="str">
        <f t="array" ref="E925">INDEX(NPCClass,TRUNC(1+(COUNTA(NPCClass))*(TRUNC(MOD(($B925*1103515245 +12345)/ 65536, 32768),0)/32768),0))</f>
        <v>Barbarian</v>
      </c>
      <c r="F925" s="76">
        <v>1</v>
      </c>
      <c r="G925" s="153">
        <f ca="1">VLOOKUP($AB$2,'RF Mod'!$A$2:$G$12,2,FALSE)+VLOOKUP($AD$2,'RF Mod'!$I$2:$O$11,2,FALSE)+(TRUNC(6+(24-6)*(TRUNC(MOD(($Z925*1103515245 +12345)/ 65536, 32768),0)/32768),0))</f>
        <v>4</v>
      </c>
      <c r="H925" s="16">
        <f t="shared" ca="1" si="49"/>
        <v>-3</v>
      </c>
      <c r="I925" s="153">
        <f ca="1">VLOOKUP($AB$2,'RF Mod'!$A$2:$G$12,3,FALSE)+VLOOKUP($AD$2,'RF Mod'!$I$2:$O$11,3,FALSE)+(TRUNC(6+(24-6)*(TRUNC(MOD(($Z925*1103515245 +12345)/ 65536, 32768),0)/32768),0))</f>
        <v>8</v>
      </c>
      <c r="J925" s="16">
        <f t="shared" ca="1" si="50"/>
        <v>-1</v>
      </c>
      <c r="K925" s="153">
        <f ca="1">VLOOKUP($AB$2,'RF Mod'!$A$2:$G$12,3,FALSE)+VLOOKUP($AD$2,'RF Mod'!$I$2:$O$11,3,FALSE)+(TRUNC(6+(24-6)*(TRUNC(MOD(($Z925*1103515245 +12345)/ 65536, 32768),0)/32768),0))</f>
        <v>8</v>
      </c>
      <c r="L925" s="16">
        <f t="shared" ca="1" si="51"/>
        <v>-1</v>
      </c>
      <c r="M925" s="153">
        <f ca="1">VLOOKUP($AB$2,'RF Mod'!$A$2:$G$12,4,FALSE)+VLOOKUP($AD$2,'RF Mod'!$I$2:$O$11,4,FALSE)+(TRUNC(6+(24-6)*(TRUNC(MOD(($Z925*1103515245 +12345)/ 65536, 32768),0)/32768),0))</f>
        <v>7</v>
      </c>
      <c r="N925" s="16">
        <f t="shared" ca="1" si="52"/>
        <v>-2</v>
      </c>
      <c r="O925" s="153">
        <f ca="1">VLOOKUP($AB$2,'RF Mod'!$A$2:$G$12,5,FALSE)+VLOOKUP($AD$2,'RF Mod'!$I$2:$O$11,5,FALSE)+(TRUNC(6+(24-6)*(TRUNC(MOD(($Z925*1103515245 +12345)/ 65536, 32768),0)/32768),0))</f>
        <v>10</v>
      </c>
      <c r="P925" s="16" t="e">
        <f t="shared" ca="1" si="53"/>
        <v>#NAME?</v>
      </c>
      <c r="Q925" s="153">
        <f ca="1">VLOOKUP($AB$2,'RF Mod'!$A$2:$G$12,6,FALSE)+VLOOKUP($AD$2,'RF Mod'!$I$2:$O$11,6,FALSE)+(TRUNC(6+(24-6)*(TRUNC(MOD(($Z925*1103515245 +12345)/ 65536, 32768),0)/32768),0))</f>
        <v>8</v>
      </c>
      <c r="R925" s="16">
        <f t="shared" ca="1" si="54"/>
        <v>-1</v>
      </c>
      <c r="S925" s="154">
        <f t="shared" ca="1" si="59"/>
        <v>10</v>
      </c>
      <c r="T925" s="154">
        <f t="shared" ca="1" si="55"/>
        <v>1</v>
      </c>
      <c r="U925" s="16" t="str">
        <f t="shared" ca="1" si="56"/>
        <v>Fine</v>
      </c>
      <c r="V925" s="155">
        <f ca="1">IFERROR(__xludf.DUMMYFUNCTION("if(W925=""Middle Age"",QUERY(NPCVar!$K$2:$N1000, ""Select L where K = '""&amp;AB925&amp;""'""),if(W925=""Old"",QUERY(NPCVar!$K$2:$N1000, ""Select M where K = '""&amp;AB925&amp;""'""),if(W925=""Venerable"",QUERY(NPCVar!$K$2:$N1000, ""Select N where K = '""&amp;AB925&amp;""'""),fa"&amp;"lse)))*X925"),4)</f>
        <v>4</v>
      </c>
      <c r="W925" s="156" t="str">
        <f t="array" ref="W925">INDEX(NPCAgeType,TRUNC(1+(4-1)*(TRUNC(MOD((X925*1103515245 +12345)/ 65536, 32768),0)/32768),0))</f>
        <v>Middle Age</v>
      </c>
      <c r="X925" s="117">
        <f t="shared" si="61"/>
        <v>0.2</v>
      </c>
      <c r="Y925" s="157" t="e">
        <f t="array" aca="1" ref="Y925" ca="1">LOOKUP(ABS(MAX(Z925 + MIN(ABS(INDIRECT("Class Jobs!B"&amp;MATCH(E925,'Class Jobs'!$A$1:$A1000,0)&amp;":"&amp;"AF"&amp;MATCH(E925,'Class Jobs'!$A$1:$A1000,0)&amp;"")-$Z925)) * SUM(IF(MIN(ABS(INDIRECT("Class Jobs!B"&amp;MATCH(E925,'Class Jobs'!$A$1:$A1000,0)&amp;":"&amp;"AF"&amp;MATCH(E925,'Class Jobs'!$A$1:$A1000,0)&amp;"")-$Z925))=ABS(INDIRECT("Class Jobs!B"&amp;MATCH(E925,'Class Jobs'!$A$1:$A1000,0)&amp;":"&amp;"AF"&amp;MATCH(E925,'Class Jobs'!$A$1:$A1000,0)&amp;"")-$Z925),SIGN(INDIRECT("Class Jobs!B"&amp;MATCH(E925,'Class Jobs'!$A$1:A1000,0)&amp;":"&amp;"AF"&amp;MATCH(E925,'Class Jobs'!$A$1:$A1000,0)&amp;"")-$Z925),0)),0)),INDIRECT("Class Jobs!B"&amp;MATCH(E925,'Class Jobs'!$A$1:$A1000,0)&amp;":"&amp;"AF"&amp;MATCH(E925,'Class Jobs'!$A$1:$A1000,1)&amp;""),'Class Jobs'!$B$1:$AF$1)</f>
        <v>#REF!</v>
      </c>
      <c r="Z925" s="158">
        <f t="shared" si="57"/>
        <v>7.0000000000000007E-2</v>
      </c>
      <c r="AA925" s="16" t="str">
        <f t="array" ref="AA925">INDEX(NPCGender,TRUNC(1+(COUNTA(NPCGender))*(TRUNC(MOD(($B925*1103515245 +12345)/ 65536, 32768),0)/32768),0))</f>
        <v>Male</v>
      </c>
      <c r="AB925" s="16" t="str">
        <f t="array" ref="AB925">INDEX(NPCRace,TRUNC(1+(COUNTA(NPCRace))*(TRUNC(MOD(($B925*1103515245 +12345)/ 65536, 32768),0)/32768),0))</f>
        <v>Dragonborn</v>
      </c>
      <c r="AC925" s="16" t="str">
        <f t="array" ref="AC925">INDEX(NPCAL,TRUNC(1+(COUNTA(NPCAL))*(TRUNC(MOD(($B925*1103515245 +12345)/ 65536, 32768),0)/32768),0))</f>
        <v>CN</v>
      </c>
      <c r="AD925" s="72" t="str">
        <f ca="1">IFERROR(__xludf.DUMMYFUNCTION("if(V925&lt;15,QUERY(NPCVar!C:D,""Select D WHERE C = '""&amp;D925&amp;""'""),if((TRUNC(1+10)*(TRUNC(MOD((ROW(H925)*1103515245 +12345)/ 65536, 32768),0)/32768)/10) &gt; 0.85,INDEX(NPCFaction,TRUNC(1+(counta(NPCFaction)-1)*(TRUNC(MOD(($B925*1103515245 +12345)/ 65536, 3276"&amp;"8),0)/32768),0)),QUERY(NPCVar!C:D,""Select D WHERE C = '""&amp;D925&amp;""'"")))"),"Death Guild")</f>
        <v>Death Guild</v>
      </c>
      <c r="AE925" s="108" t="e">
        <f t="shared" ca="1" si="58"/>
        <v>#NAME?</v>
      </c>
      <c r="AF925" s="159">
        <f ca="1">IFERROR(__xludf.DUMMYFUNCTION("AE925*(V925 / QUERY(NPCVar!$K$2:$N$12, ""Select N WHERE K='""&amp;AB925&amp;""'""))*TRUNC(1+10)*(TRUNC(MOD(($B925*1103515245 +12345)/ 65536, 32768),0)/32768)"),0.0177413940429687)</f>
        <v>1.7741394042968699E-2</v>
      </c>
      <c r="AG925" s="16"/>
      <c r="AH925" s="77"/>
      <c r="AI925" s="114"/>
    </row>
    <row r="926" spans="1:35" ht="16.2">
      <c r="A926" s="53">
        <v>925</v>
      </c>
      <c r="B926" s="118">
        <f t="shared" si="63"/>
        <v>1.06575</v>
      </c>
      <c r="C926" s="72" t="str">
        <f t="array" ref="C926">INDEX(NPCFName,TRUNC(1+(COUNTA(NPCFName))*(TRUNC(MOD(($B926*1103515245 +12345)/ 65536, 32768),0)/32768),0))</f>
        <v>Odaren</v>
      </c>
      <c r="D926" s="16" t="str">
        <f t="array" ref="D926">INDEX(NPCLName,TRUNC(1+(COUNTA(NPCLName))*(TRUNC(MOD(($B926*1103515245 +12345)/ 65536, 32768),0)/32768),0))</f>
        <v>Plainspirit</v>
      </c>
      <c r="E926" s="16" t="str">
        <f t="array" ref="E926">INDEX(NPCClass,TRUNC(1+(COUNTA(NPCClass))*(TRUNC(MOD(($B926*1103515245 +12345)/ 65536, 32768),0)/32768),0))</f>
        <v>Sorcerer</v>
      </c>
      <c r="F926" s="76">
        <v>8</v>
      </c>
      <c r="G926" s="153">
        <f ca="1">VLOOKUP($AB$2,'RF Mod'!$A$2:$G$12,2,FALSE)+VLOOKUP($AD$2,'RF Mod'!$I$2:$O$11,2,FALSE)+(TRUNC(6+(24-6)*(TRUNC(MOD(($Z926*1103515245 +12345)/ 65536, 32768),0)/32768),0))</f>
        <v>9</v>
      </c>
      <c r="H926" s="16">
        <f t="shared" ca="1" si="49"/>
        <v>-1</v>
      </c>
      <c r="I926" s="153">
        <f ca="1">VLOOKUP($AB$2,'RF Mod'!$A$2:$G$12,3,FALSE)+VLOOKUP($AD$2,'RF Mod'!$I$2:$O$11,3,FALSE)+(TRUNC(6+(24-6)*(TRUNC(MOD(($Z926*1103515245 +12345)/ 65536, 32768),0)/32768),0))</f>
        <v>13</v>
      </c>
      <c r="J926" s="16" t="e">
        <f t="shared" ca="1" si="50"/>
        <v>#NAME?</v>
      </c>
      <c r="K926" s="153">
        <f ca="1">VLOOKUP($AB$2,'RF Mod'!$A$2:$G$12,3,FALSE)+VLOOKUP($AD$2,'RF Mod'!$I$2:$O$11,3,FALSE)+(TRUNC(6+(24-6)*(TRUNC(MOD(($Z926*1103515245 +12345)/ 65536, 32768),0)/32768),0))</f>
        <v>13</v>
      </c>
      <c r="L926" s="16" t="e">
        <f t="shared" ca="1" si="51"/>
        <v>#NAME?</v>
      </c>
      <c r="M926" s="153">
        <f ca="1">VLOOKUP($AB$2,'RF Mod'!$A$2:$G$12,4,FALSE)+VLOOKUP($AD$2,'RF Mod'!$I$2:$O$11,4,FALSE)+(TRUNC(6+(24-6)*(TRUNC(MOD(($Z926*1103515245 +12345)/ 65536, 32768),0)/32768),0))</f>
        <v>12</v>
      </c>
      <c r="N926" s="16" t="e">
        <f t="shared" ca="1" si="52"/>
        <v>#NAME?</v>
      </c>
      <c r="O926" s="153">
        <f ca="1">VLOOKUP($AB$2,'RF Mod'!$A$2:$G$12,5,FALSE)+VLOOKUP($AD$2,'RF Mod'!$I$2:$O$11,5,FALSE)+(TRUNC(6+(24-6)*(TRUNC(MOD(($Z926*1103515245 +12345)/ 65536, 32768),0)/32768),0))</f>
        <v>15</v>
      </c>
      <c r="P926" s="16" t="e">
        <f t="shared" ca="1" si="53"/>
        <v>#NAME?</v>
      </c>
      <c r="Q926" s="153">
        <f ca="1">VLOOKUP($AB$2,'RF Mod'!$A$2:$G$12,6,FALSE)+VLOOKUP($AD$2,'RF Mod'!$I$2:$O$11,6,FALSE)+(TRUNC(6+(24-6)*(TRUNC(MOD(($Z926*1103515245 +12345)/ 65536, 32768),0)/32768),0))</f>
        <v>13</v>
      </c>
      <c r="R926" s="16" t="e">
        <f t="shared" ca="1" si="54"/>
        <v>#NAME?</v>
      </c>
      <c r="S926" s="154">
        <f t="shared" ca="1" si="59"/>
        <v>216</v>
      </c>
      <c r="T926" s="154">
        <f t="shared" ca="1" si="55"/>
        <v>121</v>
      </c>
      <c r="U926" s="16" t="str">
        <f t="shared" ca="1" si="56"/>
        <v>Bloody</v>
      </c>
      <c r="V926" s="155">
        <f ca="1">IFERROR(__xludf.DUMMYFUNCTION("if(W926=""Middle Age"",QUERY(NPCVar!$K$2:$N1000, ""Select L where K = '""&amp;AB926&amp;""'""),if(W926=""Old"",QUERY(NPCVar!$K$2:$N1000, ""Select M where K = '""&amp;AB926&amp;""'""),if(W926=""Venerable"",QUERY(NPCVar!$K$2:$N1000, ""Select N where K = '""&amp;AB926&amp;""'""),fa"&amp;"lse)))*X926"),280)</f>
        <v>280</v>
      </c>
      <c r="W926" s="156" t="str">
        <f t="array" ref="W926">INDEX(NPCAgeType,TRUNC(1+(4-1)*(TRUNC(MOD((X926*1103515245 +12345)/ 65536, 32768),0)/32768),0))</f>
        <v>Venerable</v>
      </c>
      <c r="X926" s="117">
        <f t="shared" si="61"/>
        <v>1.4</v>
      </c>
      <c r="Y926" s="157" t="e">
        <f t="array" aca="1" ref="Y926" ca="1">LOOKUP(ABS(MAX(Z926 + MIN(ABS(INDIRECT("Class Jobs!B"&amp;MATCH(E926,'Class Jobs'!$A$1:$A1000,0)&amp;":"&amp;"AF"&amp;MATCH(E926,'Class Jobs'!$A$1:$A1000,0)&amp;"")-$Z926)) * SUM(IF(MIN(ABS(INDIRECT("Class Jobs!B"&amp;MATCH(E926,'Class Jobs'!$A$1:$A1000,0)&amp;":"&amp;"AF"&amp;MATCH(E926,'Class Jobs'!$A$1:$A1000,0)&amp;"")-$Z926))=ABS(INDIRECT("Class Jobs!B"&amp;MATCH(E926,'Class Jobs'!$A$1:$A1000,0)&amp;":"&amp;"AF"&amp;MATCH(E926,'Class Jobs'!$A$1:$A1000,0)&amp;"")-$Z926),SIGN(INDIRECT("Class Jobs!B"&amp;MATCH(E926,'Class Jobs'!$A$1:A1000,0)&amp;":"&amp;"AF"&amp;MATCH(E926,'Class Jobs'!$A$1:$A1000,0)&amp;"")-$Z926),0)),0)),INDIRECT("Class Jobs!B"&amp;MATCH(E926,'Class Jobs'!$A$1:$A1000,0)&amp;":"&amp;"AF"&amp;MATCH(E926,'Class Jobs'!$A$1:$A1000,1)&amp;""),'Class Jobs'!$B$1:$AF$1)</f>
        <v>#REF!</v>
      </c>
      <c r="Z926" s="158">
        <f t="shared" si="57"/>
        <v>0.55000000000000004</v>
      </c>
      <c r="AA926" s="16" t="str">
        <f t="array" ref="AA926">INDEX(NPCGender,TRUNC(1+(COUNTA(NPCGender))*(TRUNC(MOD(($B926*1103515245 +12345)/ 65536, 32768),0)/32768),0))</f>
        <v>Female</v>
      </c>
      <c r="AB926" s="16" t="str">
        <f t="array" ref="AB926">INDEX(NPCRace,TRUNC(1+(COUNTA(NPCRace))*(TRUNC(MOD(($B926*1103515245 +12345)/ 65536, 32768),0)/32768),0))</f>
        <v>Halfling</v>
      </c>
      <c r="AC926" s="16" t="str">
        <f t="array" ref="AC926">INDEX(NPCAL,TRUNC(1+(COUNTA(NPCAL))*(TRUNC(MOD(($B926*1103515245 +12345)/ 65536, 32768),0)/32768),0))</f>
        <v>NN</v>
      </c>
      <c r="AD926" s="72" t="str">
        <f ca="1">IFERROR(__xludf.DUMMYFUNCTION("if(V926&lt;15,QUERY(NPCVar!C:D,""Select D WHERE C = '""&amp;D926&amp;""'""),if((TRUNC(1+10)*(TRUNC(MOD((ROW(H926)*1103515245 +12345)/ 65536, 32768),0)/32768)/10) &gt; 0.85,INDEX(NPCFaction,TRUNC(1+(counta(NPCFaction)-1)*(TRUNC(MOD(($B926*1103515245 +12345)/ 65536, 3276"&amp;"8),0)/32768),0)),QUERY(NPCVar!C:D,""Select D WHERE C = '""&amp;D926&amp;""'"")))"),"Thieves Guild")</f>
        <v>Thieves Guild</v>
      </c>
      <c r="AE926" s="108" t="e">
        <f t="shared" ca="1" si="58"/>
        <v>#NAME?</v>
      </c>
      <c r="AF926" s="159">
        <f ca="1">IFERROR(__xludf.DUMMYFUNCTION("AE926*(V926 / QUERY(NPCVar!$K$2:$N$12, ""Select N WHERE K='""&amp;AB926&amp;""'""))*TRUNC(1+10)*(TRUNC(MOD(($B926*1103515245 +12345)/ 65536, 32768),0)/32768)"),3.37344970703124)</f>
        <v>3.3734497070312401</v>
      </c>
      <c r="AG926" s="16"/>
      <c r="AH926" s="77"/>
      <c r="AI926" s="114"/>
    </row>
    <row r="927" spans="1:35" ht="16.2">
      <c r="A927" s="53">
        <v>926</v>
      </c>
      <c r="B927" s="118">
        <f t="shared" si="63"/>
        <v>5.9900000000000002E-2</v>
      </c>
      <c r="C927" s="72" t="str">
        <f t="array" ref="C927">INDEX(NPCFName,TRUNC(1+(COUNTA(NPCFName))*(TRUNC(MOD(($B927*1103515245 +12345)/ 65536, 32768),0)/32768),0))</f>
        <v>Beson</v>
      </c>
      <c r="D927" s="16" t="str">
        <f t="array" ref="D927">INDEX(NPCLName,TRUNC(1+(COUNTA(NPCLName))*(TRUNC(MOD(($B927*1103515245 +12345)/ 65536, 32768),0)/32768),0))</f>
        <v>Stagfang</v>
      </c>
      <c r="E927" s="16" t="str">
        <f t="array" ref="E927">INDEX(NPCClass,TRUNC(1+(COUNTA(NPCClass))*(TRUNC(MOD(($B927*1103515245 +12345)/ 65536, 32768),0)/32768),0))</f>
        <v>Barbarian</v>
      </c>
      <c r="F927" s="76">
        <v>1</v>
      </c>
      <c r="G927" s="153">
        <f ca="1">VLOOKUP($AB$2,'RF Mod'!$A$2:$G$12,2,FALSE)+VLOOKUP($AD$2,'RF Mod'!$I$2:$O$11,2,FALSE)+(TRUNC(6+(24-6)*(TRUNC(MOD(($Z927*1103515245 +12345)/ 65536, 32768),0)/32768),0))</f>
        <v>4</v>
      </c>
      <c r="H927" s="16">
        <f t="shared" ca="1" si="49"/>
        <v>-3</v>
      </c>
      <c r="I927" s="153">
        <f ca="1">VLOOKUP($AB$2,'RF Mod'!$A$2:$G$12,3,FALSE)+VLOOKUP($AD$2,'RF Mod'!$I$2:$O$11,3,FALSE)+(TRUNC(6+(24-6)*(TRUNC(MOD(($Z927*1103515245 +12345)/ 65536, 32768),0)/32768),0))</f>
        <v>8</v>
      </c>
      <c r="J927" s="16">
        <f t="shared" ca="1" si="50"/>
        <v>-1</v>
      </c>
      <c r="K927" s="153">
        <f ca="1">VLOOKUP($AB$2,'RF Mod'!$A$2:$G$12,3,FALSE)+VLOOKUP($AD$2,'RF Mod'!$I$2:$O$11,3,FALSE)+(TRUNC(6+(24-6)*(TRUNC(MOD(($Z927*1103515245 +12345)/ 65536, 32768),0)/32768),0))</f>
        <v>8</v>
      </c>
      <c r="L927" s="16">
        <f t="shared" ca="1" si="51"/>
        <v>-1</v>
      </c>
      <c r="M927" s="153">
        <f ca="1">VLOOKUP($AB$2,'RF Mod'!$A$2:$G$12,4,FALSE)+VLOOKUP($AD$2,'RF Mod'!$I$2:$O$11,4,FALSE)+(TRUNC(6+(24-6)*(TRUNC(MOD(($Z927*1103515245 +12345)/ 65536, 32768),0)/32768),0))</f>
        <v>7</v>
      </c>
      <c r="N927" s="16">
        <f t="shared" ca="1" si="52"/>
        <v>-2</v>
      </c>
      <c r="O927" s="153">
        <f ca="1">VLOOKUP($AB$2,'RF Mod'!$A$2:$G$12,5,FALSE)+VLOOKUP($AD$2,'RF Mod'!$I$2:$O$11,5,FALSE)+(TRUNC(6+(24-6)*(TRUNC(MOD(($Z927*1103515245 +12345)/ 65536, 32768),0)/32768),0))</f>
        <v>10</v>
      </c>
      <c r="P927" s="16" t="e">
        <f t="shared" ca="1" si="53"/>
        <v>#NAME?</v>
      </c>
      <c r="Q927" s="153">
        <f ca="1">VLOOKUP($AB$2,'RF Mod'!$A$2:$G$12,6,FALSE)+VLOOKUP($AD$2,'RF Mod'!$I$2:$O$11,6,FALSE)+(TRUNC(6+(24-6)*(TRUNC(MOD(($Z927*1103515245 +12345)/ 65536, 32768),0)/32768),0))</f>
        <v>8</v>
      </c>
      <c r="R927" s="16">
        <f t="shared" ca="1" si="54"/>
        <v>-1</v>
      </c>
      <c r="S927" s="154">
        <f t="shared" ca="1" si="59"/>
        <v>10</v>
      </c>
      <c r="T927" s="154">
        <f t="shared" ca="1" si="55"/>
        <v>9</v>
      </c>
      <c r="U927" s="16" t="str">
        <f t="shared" ca="1" si="56"/>
        <v>Bloody</v>
      </c>
      <c r="V927" s="155">
        <f ca="1">IFERROR(__xludf.DUMMYFUNCTION("if(W927=""Middle Age"",QUERY(NPCVar!$K$2:$N1000, ""Select L where K = '""&amp;AB927&amp;""'""),if(W927=""Old"",QUERY(NPCVar!$K$2:$N1000, ""Select M where K = '""&amp;AB927&amp;""'""),if(W927=""Venerable"",QUERY(NPCVar!$K$2:$N1000, ""Select N where K = '""&amp;AB927&amp;""'""),fa"&amp;"lse)))*X927"),2)</f>
        <v>2</v>
      </c>
      <c r="W927" s="156" t="str">
        <f t="array" ref="W927">INDEX(NPCAgeType,TRUNC(1+(4-1)*(TRUNC(MOD((X927*1103515245 +12345)/ 65536, 32768),0)/32768),0))</f>
        <v>Middle Age</v>
      </c>
      <c r="X927" s="117">
        <f t="shared" si="61"/>
        <v>0.1</v>
      </c>
      <c r="Y927" s="157" t="e">
        <f t="array" aca="1" ref="Y927" ca="1">LOOKUP(ABS(MAX(Z927 + MIN(ABS(INDIRECT("Class Jobs!B"&amp;MATCH(E927,'Class Jobs'!$A$1:$A1000,0)&amp;":"&amp;"AF"&amp;MATCH(E927,'Class Jobs'!$A$1:$A1000,0)&amp;"")-$Z927)) * SUM(IF(MIN(ABS(INDIRECT("Class Jobs!B"&amp;MATCH(E927,'Class Jobs'!$A$1:$A1000,0)&amp;":"&amp;"AF"&amp;MATCH(E927,'Class Jobs'!$A$1:$A1000,0)&amp;"")-$Z927))=ABS(INDIRECT("Class Jobs!B"&amp;MATCH(E927,'Class Jobs'!$A$1:$A1000,0)&amp;":"&amp;"AF"&amp;MATCH(E927,'Class Jobs'!$A$1:$A1000,0)&amp;"")-$Z927),SIGN(INDIRECT("Class Jobs!B"&amp;MATCH(E927,'Class Jobs'!$A$1:A1000,0)&amp;":"&amp;"AF"&amp;MATCH(E927,'Class Jobs'!$A$1:$A1000,0)&amp;"")-$Z927),0)),0)),INDIRECT("Class Jobs!B"&amp;MATCH(E927,'Class Jobs'!$A$1:$A1000,0)&amp;":"&amp;"AF"&amp;MATCH(E927,'Class Jobs'!$A$1:$A1000,1)&amp;""),'Class Jobs'!$B$1:$AF$1)</f>
        <v>#REF!</v>
      </c>
      <c r="Z927" s="158">
        <f t="shared" si="57"/>
        <v>0.04</v>
      </c>
      <c r="AA927" s="16" t="str">
        <f t="array" ref="AA927">INDEX(NPCGender,TRUNC(1+(COUNTA(NPCGender))*(TRUNC(MOD(($B927*1103515245 +12345)/ 65536, 32768),0)/32768),0))</f>
        <v>Male</v>
      </c>
      <c r="AB927" s="16" t="str">
        <f t="array" ref="AB927">INDEX(NPCRace,TRUNC(1+(COUNTA(NPCRace))*(TRUNC(MOD(($B927*1103515245 +12345)/ 65536, 32768),0)/32768),0))</f>
        <v>Dragonborn</v>
      </c>
      <c r="AC927" s="16" t="str">
        <f t="array" ref="AC927">INDEX(NPCAL,TRUNC(1+(COUNTA(NPCAL))*(TRUNC(MOD(($B927*1103515245 +12345)/ 65536, 32768),0)/32768),0))</f>
        <v>CN</v>
      </c>
      <c r="AD927" s="72" t="str">
        <f ca="1">IFERROR(__xludf.DUMMYFUNCTION("if(V927&lt;15,QUERY(NPCVar!C:D,""Select D WHERE C = '""&amp;D927&amp;""'""),if((TRUNC(1+10)*(TRUNC(MOD((ROW(H927)*1103515245 +12345)/ 65536, 32768),0)/32768)/10) &gt; 0.85,INDEX(NPCFaction,TRUNC(1+(counta(NPCFaction)-1)*(TRUNC(MOD(($B927*1103515245 +12345)/ 65536, 3276"&amp;"8),0)/32768),0)),QUERY(NPCVar!C:D,""Select D WHERE C = '""&amp;D927&amp;""'"")))"),"Royalty")</f>
        <v>Royalty</v>
      </c>
      <c r="AE927" s="108" t="e">
        <f t="shared" ca="1" si="58"/>
        <v>#NAME?</v>
      </c>
      <c r="AF927" s="159">
        <f ca="1">IFERROR(__xludf.DUMMYFUNCTION("AE927*(V927 / QUERY(NPCVar!$K$2:$N$12, ""Select N WHERE K='""&amp;AB927&amp;""'""))*TRUNC(1+10)*(TRUNC(MOD(($B927*1103515245 +12345)/ 65536, 32768),0)/32768)"),0.004229736328125)</f>
        <v>4.2297363281249998E-3</v>
      </c>
      <c r="AG927" s="16"/>
      <c r="AH927" s="77"/>
      <c r="AI927" s="114"/>
    </row>
    <row r="928" spans="1:35" ht="16.2">
      <c r="A928" s="53">
        <v>927</v>
      </c>
      <c r="B928" s="118">
        <f t="shared" si="63"/>
        <v>1.55403</v>
      </c>
      <c r="C928" s="72" t="str">
        <f t="array" ref="C928">INDEX(NPCFName,TRUNC(1+(COUNTA(NPCFName))*(TRUNC(MOD(($B928*1103515245 +12345)/ 65536, 32768),0)/32768),0))</f>
        <v>Heramon</v>
      </c>
      <c r="D928" s="16" t="str">
        <f t="array" ref="D928">INDEX(NPCLName,TRUNC(1+(COUNTA(NPCLName))*(TRUNC(MOD(($B928*1103515245 +12345)/ 65536, 32768),0)/32768),0))</f>
        <v>Truthdoom</v>
      </c>
      <c r="E928" s="16" t="str">
        <f t="array" ref="E928">INDEX(NPCClass,TRUNC(1+(COUNTA(NPCClass))*(TRUNC(MOD(($B928*1103515245 +12345)/ 65536, 32768),0)/32768),0))</f>
        <v>Cleric</v>
      </c>
      <c r="F928" s="76">
        <v>8</v>
      </c>
      <c r="G928" s="153">
        <f ca="1">VLOOKUP($AB$2,'RF Mod'!$A$2:$G$12,2,FALSE)+VLOOKUP($AD$2,'RF Mod'!$I$2:$O$11,2,FALSE)+(TRUNC(6+(24-6)*(TRUNC(MOD(($Z928*1103515245 +12345)/ 65536, 32768),0)/32768),0))</f>
        <v>11</v>
      </c>
      <c r="H928" s="16" t="e">
        <f t="shared" ca="1" si="49"/>
        <v>#NAME?</v>
      </c>
      <c r="I928" s="153">
        <f ca="1">VLOOKUP($AB$2,'RF Mod'!$A$2:$G$12,3,FALSE)+VLOOKUP($AD$2,'RF Mod'!$I$2:$O$11,3,FALSE)+(TRUNC(6+(24-6)*(TRUNC(MOD(($Z928*1103515245 +12345)/ 65536, 32768),0)/32768),0))</f>
        <v>15</v>
      </c>
      <c r="J928" s="16" t="e">
        <f t="shared" ca="1" si="50"/>
        <v>#NAME?</v>
      </c>
      <c r="K928" s="153">
        <f ca="1">VLOOKUP($AB$2,'RF Mod'!$A$2:$G$12,3,FALSE)+VLOOKUP($AD$2,'RF Mod'!$I$2:$O$11,3,FALSE)+(TRUNC(6+(24-6)*(TRUNC(MOD(($Z928*1103515245 +12345)/ 65536, 32768),0)/32768),0))</f>
        <v>15</v>
      </c>
      <c r="L928" s="16" t="e">
        <f t="shared" ca="1" si="51"/>
        <v>#NAME?</v>
      </c>
      <c r="M928" s="153">
        <f ca="1">VLOOKUP($AB$2,'RF Mod'!$A$2:$G$12,4,FALSE)+VLOOKUP($AD$2,'RF Mod'!$I$2:$O$11,4,FALSE)+(TRUNC(6+(24-6)*(TRUNC(MOD(($Z928*1103515245 +12345)/ 65536, 32768),0)/32768),0))</f>
        <v>14</v>
      </c>
      <c r="N928" s="16" t="e">
        <f t="shared" ca="1" si="52"/>
        <v>#NAME?</v>
      </c>
      <c r="O928" s="153">
        <f ca="1">VLOOKUP($AB$2,'RF Mod'!$A$2:$G$12,5,FALSE)+VLOOKUP($AD$2,'RF Mod'!$I$2:$O$11,5,FALSE)+(TRUNC(6+(24-6)*(TRUNC(MOD(($Z928*1103515245 +12345)/ 65536, 32768),0)/32768),0))</f>
        <v>17</v>
      </c>
      <c r="P928" s="16" t="e">
        <f t="shared" ca="1" si="53"/>
        <v>#NAME?</v>
      </c>
      <c r="Q928" s="153">
        <f ca="1">VLOOKUP($AB$2,'RF Mod'!$A$2:$G$12,6,FALSE)+VLOOKUP($AD$2,'RF Mod'!$I$2:$O$11,6,FALSE)+(TRUNC(6+(24-6)*(TRUNC(MOD(($Z928*1103515245 +12345)/ 65536, 32768),0)/32768),0))</f>
        <v>15</v>
      </c>
      <c r="R928" s="16" t="e">
        <f t="shared" ca="1" si="54"/>
        <v>#NAME?</v>
      </c>
      <c r="S928" s="154">
        <f t="shared" ca="1" si="59"/>
        <v>152</v>
      </c>
      <c r="T928" s="154">
        <f t="shared" ca="1" si="55"/>
        <v>81</v>
      </c>
      <c r="U928" s="16" t="str">
        <f t="shared" ca="1" si="56"/>
        <v>Bloody</v>
      </c>
      <c r="V928" s="155">
        <f ca="1">IFERROR(__xludf.DUMMYFUNCTION("if(W928=""Middle Age"",QUERY(NPCVar!$K$2:$N1000, ""Select L where K = '""&amp;AB928&amp;""'""),if(W928=""Old"",QUERY(NPCVar!$K$2:$N1000, ""Select M where K = '""&amp;AB928&amp;""'""),if(W928=""Venerable"",QUERY(NPCVar!$K$2:$N1000, ""Select N where K = '""&amp;AB928&amp;""'""),fa"&amp;"lse)))*X928"),50)</f>
        <v>50</v>
      </c>
      <c r="W928" s="156" t="str">
        <f t="array" ref="W928">INDEX(NPCAgeType,TRUNC(1+(4-1)*(TRUNC(MOD((X928*1103515245 +12345)/ 65536, 32768),0)/32768),0))</f>
        <v>Middle Age</v>
      </c>
      <c r="X928" s="117">
        <f t="shared" si="61"/>
        <v>2</v>
      </c>
      <c r="Y928" s="157" t="e">
        <f t="array" aca="1" ref="Y928" ca="1">LOOKUP(ABS(MAX(Z928 + MIN(ABS(INDIRECT("Class Jobs!B"&amp;MATCH(E928,'Class Jobs'!$A$1:$A1000,0)&amp;":"&amp;"AF"&amp;MATCH(E928,'Class Jobs'!$A$1:$A1000,0)&amp;"")-$Z928)) * SUM(IF(MIN(ABS(INDIRECT("Class Jobs!B"&amp;MATCH(E928,'Class Jobs'!$A$1:$A1000,0)&amp;":"&amp;"AF"&amp;MATCH(E928,'Class Jobs'!$A$1:$A1000,0)&amp;"")-$Z928))=ABS(INDIRECT("Class Jobs!B"&amp;MATCH(E928,'Class Jobs'!$A$1:$A1000,0)&amp;":"&amp;"AF"&amp;MATCH(E928,'Class Jobs'!$A$1:$A1000,0)&amp;"")-$Z928),SIGN(INDIRECT("Class Jobs!B"&amp;MATCH(E928,'Class Jobs'!$A$1:A1000,0)&amp;":"&amp;"AF"&amp;MATCH(E928,'Class Jobs'!$A$1:$A1000,0)&amp;"")-$Z928),0)),0)),INDIRECT("Class Jobs!B"&amp;MATCH(E928,'Class Jobs'!$A$1:$A1000,0)&amp;":"&amp;"AF"&amp;MATCH(E928,'Class Jobs'!$A$1:$A1000,1)&amp;""),'Class Jobs'!$B$1:$AF$1)</f>
        <v>#REF!</v>
      </c>
      <c r="Z928" s="158">
        <f t="shared" si="57"/>
        <v>0.8</v>
      </c>
      <c r="AA928" s="16" t="str">
        <f t="array" ref="AA928">INDEX(NPCGender,TRUNC(1+(COUNTA(NPCGender))*(TRUNC(MOD(($B928*1103515245 +12345)/ 65536, 32768),0)/32768),0))</f>
        <v>Neutral</v>
      </c>
      <c r="AB928" s="16" t="str">
        <f t="array" ref="AB928">INDEX(NPCRace,TRUNC(1+(COUNTA(NPCRace))*(TRUNC(MOD(($B928*1103515245 +12345)/ 65536, 32768),0)/32768),0))</f>
        <v>Tiefling</v>
      </c>
      <c r="AC928" s="16" t="str">
        <f t="array" ref="AC928">INDEX(NPCAL,TRUNC(1+(COUNTA(NPCAL))*(TRUNC(MOD(($B928*1103515245 +12345)/ 65536, 32768),0)/32768),0))</f>
        <v>LN</v>
      </c>
      <c r="AD928" s="72" t="str">
        <f ca="1">IFERROR(__xludf.DUMMYFUNCTION("if(V928&lt;15,QUERY(NPCVar!C:D,""Select D WHERE C = '""&amp;D928&amp;""'""),if((TRUNC(1+10)*(TRUNC(MOD((ROW(H928)*1103515245 +12345)/ 65536, 32768),0)/32768)/10) &gt; 0.85,INDEX(NPCFaction,TRUNC(1+(counta(NPCFaction)-1)*(TRUNC(MOD(($B928*1103515245 +12345)/ 65536, 3276"&amp;"8),0)/32768),0)),QUERY(NPCVar!C:D,""Select D WHERE C = '""&amp;D928&amp;""'"")))"),"Farmers Guild")</f>
        <v>Farmers Guild</v>
      </c>
      <c r="AE928" s="108" t="e">
        <f t="shared" ca="1" si="58"/>
        <v>#NAME?</v>
      </c>
      <c r="AF928" s="159">
        <f ca="1">IFERROR(__xludf.DUMMYFUNCTION("AE928*(V928 / QUERY(NPCVar!$K$2:$N$12, ""Select N WHERE K='""&amp;AB928&amp;""'""))*TRUNC(1+10)*(TRUNC(MOD(($B928*1103515245 +12345)/ 65536, 32768),0)/32768)"),2.1960220336914)</f>
        <v>2.1960220336914</v>
      </c>
      <c r="AG928" s="16"/>
      <c r="AH928" s="77"/>
      <c r="AI928" s="114"/>
    </row>
    <row r="929" spans="1:35" ht="16.2">
      <c r="A929" s="53">
        <v>928</v>
      </c>
      <c r="B929" s="118">
        <f t="shared" si="63"/>
        <v>0.54810000000000003</v>
      </c>
      <c r="C929" s="72" t="str">
        <f t="array" ref="C929">INDEX(NPCFName,TRUNC(1+(COUNTA(NPCFName))*(TRUNC(MOD(($B929*1103515245 +12345)/ 65536, 32768),0)/32768),0))</f>
        <v>Tespar</v>
      </c>
      <c r="D929" s="16" t="str">
        <f t="array" ref="D929">INDEX(NPCLName,TRUNC(1+(COUNTA(NPCLName))*(TRUNC(MOD(($B929*1103515245 +12345)/ 65536, 32768),0)/32768),0))</f>
        <v>Commonscream</v>
      </c>
      <c r="E929" s="16" t="str">
        <f t="array" ref="E929">INDEX(NPCClass,TRUNC(1+(COUNTA(NPCClass))*(TRUNC(MOD(($B929*1103515245 +12345)/ 65536, 32768),0)/32768),0))</f>
        <v>Monk</v>
      </c>
      <c r="F929" s="76">
        <v>5</v>
      </c>
      <c r="G929" s="153">
        <f ca="1">VLOOKUP($AB$2,'RF Mod'!$A$2:$G$12,2,FALSE)+VLOOKUP($AD$2,'RF Mod'!$I$2:$O$11,2,FALSE)+(TRUNC(6+(24-6)*(TRUNC(MOD(($Z929*1103515245 +12345)/ 65536, 32768),0)/32768),0))</f>
        <v>6</v>
      </c>
      <c r="H929" s="16">
        <f t="shared" ca="1" si="49"/>
        <v>-2</v>
      </c>
      <c r="I929" s="153">
        <f ca="1">VLOOKUP($AB$2,'RF Mod'!$A$2:$G$12,3,FALSE)+VLOOKUP($AD$2,'RF Mod'!$I$2:$O$11,3,FALSE)+(TRUNC(6+(24-6)*(TRUNC(MOD(($Z929*1103515245 +12345)/ 65536, 32768),0)/32768),0))</f>
        <v>10</v>
      </c>
      <c r="J929" s="16" t="e">
        <f t="shared" ca="1" si="50"/>
        <v>#NAME?</v>
      </c>
      <c r="K929" s="153">
        <f ca="1">VLOOKUP($AB$2,'RF Mod'!$A$2:$G$12,3,FALSE)+VLOOKUP($AD$2,'RF Mod'!$I$2:$O$11,3,FALSE)+(TRUNC(6+(24-6)*(TRUNC(MOD(($Z929*1103515245 +12345)/ 65536, 32768),0)/32768),0))</f>
        <v>10</v>
      </c>
      <c r="L929" s="16" t="e">
        <f t="shared" ca="1" si="51"/>
        <v>#NAME?</v>
      </c>
      <c r="M929" s="153">
        <f ca="1">VLOOKUP($AB$2,'RF Mod'!$A$2:$G$12,4,FALSE)+VLOOKUP($AD$2,'RF Mod'!$I$2:$O$11,4,FALSE)+(TRUNC(6+(24-6)*(TRUNC(MOD(($Z929*1103515245 +12345)/ 65536, 32768),0)/32768),0))</f>
        <v>9</v>
      </c>
      <c r="N929" s="16">
        <f t="shared" ca="1" si="52"/>
        <v>-1</v>
      </c>
      <c r="O929" s="153">
        <f ca="1">VLOOKUP($AB$2,'RF Mod'!$A$2:$G$12,5,FALSE)+VLOOKUP($AD$2,'RF Mod'!$I$2:$O$11,5,FALSE)+(TRUNC(6+(24-6)*(TRUNC(MOD(($Z929*1103515245 +12345)/ 65536, 32768),0)/32768),0))</f>
        <v>12</v>
      </c>
      <c r="P929" s="16" t="e">
        <f t="shared" ca="1" si="53"/>
        <v>#NAME?</v>
      </c>
      <c r="Q929" s="153">
        <f ca="1">VLOOKUP($AB$2,'RF Mod'!$A$2:$G$12,6,FALSE)+VLOOKUP($AD$2,'RF Mod'!$I$2:$O$11,6,FALSE)+(TRUNC(6+(24-6)*(TRUNC(MOD(($Z929*1103515245 +12345)/ 65536, 32768),0)/32768),0))</f>
        <v>10</v>
      </c>
      <c r="R929" s="16" t="e">
        <f t="shared" ca="1" si="54"/>
        <v>#NAME?</v>
      </c>
      <c r="S929" s="154">
        <f t="shared" ca="1" si="59"/>
        <v>80</v>
      </c>
      <c r="T929" s="154">
        <f t="shared" ca="1" si="55"/>
        <v>40</v>
      </c>
      <c r="U929" s="16" t="str">
        <f t="shared" ca="1" si="56"/>
        <v>Fine</v>
      </c>
      <c r="V929" s="155">
        <f ca="1">IFERROR(__xludf.DUMMYFUNCTION("if(W929=""Middle Age"",QUERY(NPCVar!$K$2:$N1000, ""Select L where K = '""&amp;AB929&amp;""'""),if(W929=""Old"",QUERY(NPCVar!$K$2:$N1000, ""Select M where K = '""&amp;AB929&amp;""'""),if(W929=""Venerable"",QUERY(NPCVar!$K$2:$N1000, ""Select N where K = '""&amp;AB929&amp;""'""),fa"&amp;"lse)))*X929"),118.124999999999)</f>
        <v>118.12499999999901</v>
      </c>
      <c r="W929" s="156" t="str">
        <f t="array" ref="W929">INDEX(NPCAgeType,TRUNC(1+(4-1)*(TRUNC(MOD((X929*1103515245 +12345)/ 65536, 32768),0)/32768),0))</f>
        <v>Old</v>
      </c>
      <c r="X929" s="117">
        <f t="shared" si="61"/>
        <v>0.7</v>
      </c>
      <c r="Y929" s="157" t="e">
        <f t="array" aca="1" ref="Y929" ca="1">LOOKUP(ABS(MAX(Z929 + MIN(ABS(INDIRECT("Class Jobs!B"&amp;MATCH(E929,'Class Jobs'!$A$1:$A1000,0)&amp;":"&amp;"AF"&amp;MATCH(E929,'Class Jobs'!$A$1:$A1000,0)&amp;"")-$Z929)) * SUM(IF(MIN(ABS(INDIRECT("Class Jobs!B"&amp;MATCH(E929,'Class Jobs'!$A$1:$A1000,0)&amp;":"&amp;"AF"&amp;MATCH(E929,'Class Jobs'!$A$1:$A1000,0)&amp;"")-$Z929))=ABS(INDIRECT("Class Jobs!B"&amp;MATCH(E929,'Class Jobs'!$A$1:$A1000,0)&amp;":"&amp;"AF"&amp;MATCH(E929,'Class Jobs'!$A$1:$A1000,0)&amp;"")-$Z929),SIGN(INDIRECT("Class Jobs!B"&amp;MATCH(E929,'Class Jobs'!$A$1:A1000,0)&amp;":"&amp;"AF"&amp;MATCH(E929,'Class Jobs'!$A$1:$A1000,0)&amp;"")-$Z929),0)),0)),INDIRECT("Class Jobs!B"&amp;MATCH(E929,'Class Jobs'!$A$1:$A1000,0)&amp;":"&amp;"AF"&amp;MATCH(E929,'Class Jobs'!$A$1:$A1000,1)&amp;""),'Class Jobs'!$B$1:$AF$1)</f>
        <v>#REF!</v>
      </c>
      <c r="Z929" s="158">
        <f t="shared" si="57"/>
        <v>0.28000000000000003</v>
      </c>
      <c r="AA929" s="16" t="str">
        <f t="array" ref="AA929">INDEX(NPCGender,TRUNC(1+(COUNTA(NPCGender))*(TRUNC(MOD(($B929*1103515245 +12345)/ 65536, 32768),0)/32768),0))</f>
        <v>Male</v>
      </c>
      <c r="AB929" s="16" t="str">
        <f t="array" ref="AB929">INDEX(NPCRace,TRUNC(1+(COUNTA(NPCRace))*(TRUNC(MOD(($B929*1103515245 +12345)/ 65536, 32768),0)/32768),0))</f>
        <v>Gnome</v>
      </c>
      <c r="AC929" s="16" t="str">
        <f t="array" ref="AC929">INDEX(NPCAL,TRUNC(1+(COUNTA(NPCAL))*(TRUNC(MOD(($B929*1103515245 +12345)/ 65536, 32768),0)/32768),0))</f>
        <v>CG</v>
      </c>
      <c r="AD929" s="72" t="str">
        <f ca="1">IFERROR(__xludf.DUMMYFUNCTION("if(V929&lt;15,QUERY(NPCVar!C:D,""Select D WHERE C = '""&amp;D929&amp;""'""),if((TRUNC(1+10)*(TRUNC(MOD((ROW(H929)*1103515245 +12345)/ 65536, 32768),0)/32768)/10) &gt; 0.85,INDEX(NPCFaction,TRUNC(1+(counta(NPCFaction)-1)*(TRUNC(MOD(($B929*1103515245 +12345)/ 65536, 3276"&amp;"8),0)/32768),0)),QUERY(NPCVar!C:D,""Select D WHERE C = '""&amp;D929&amp;""'"")))"),"Necromancer")</f>
        <v>Necromancer</v>
      </c>
      <c r="AE929" s="108" t="e">
        <f t="shared" ca="1" si="58"/>
        <v>#NAME?</v>
      </c>
      <c r="AF929" s="159">
        <f ca="1">IFERROR(__xludf.DUMMYFUNCTION("AE929*(V929 / QUERY(NPCVar!$K$2:$N$12, ""Select N WHERE K='""&amp;AB929&amp;""'""))*TRUNC(1+10)*(TRUNC(MOD(($B929*1103515245 +12345)/ 65536, 32768),0)/32768)"),0.48795295715332)</f>
        <v>0.48795295715331999</v>
      </c>
      <c r="AG929" s="16"/>
      <c r="AH929" s="77"/>
      <c r="AI929" s="114"/>
    </row>
    <row r="930" spans="1:35" ht="16.2">
      <c r="A930" s="53">
        <v>929</v>
      </c>
      <c r="B930" s="118">
        <f t="shared" si="63"/>
        <v>2.04223</v>
      </c>
      <c r="C930" s="72" t="str">
        <f t="array" ref="C930">INDEX(NPCFName,TRUNC(1+(COUNTA(NPCFName))*(TRUNC(MOD(($B930*1103515245 +12345)/ 65536, 32768),0)/32768),0))</f>
        <v>Cerdern</v>
      </c>
      <c r="D930" s="16" t="str">
        <f t="array" ref="D930">INDEX(NPCLName,TRUNC(1+(COUNTA(NPCLName))*(TRUNC(MOD(($B930*1103515245 +12345)/ 65536, 32768),0)/32768),0))</f>
        <v>Crystalgazer</v>
      </c>
      <c r="E930" s="16" t="str">
        <f t="array" ref="E930">INDEX(NPCClass,TRUNC(1+(COUNTA(NPCClass))*(TRUNC(MOD(($B930*1103515245 +12345)/ 65536, 32768),0)/32768),0))</f>
        <v>Barbarian</v>
      </c>
      <c r="F930" s="76">
        <v>1</v>
      </c>
      <c r="G930" s="153">
        <f ca="1">VLOOKUP($AB$2,'RF Mod'!$A$2:$G$12,2,FALSE)+VLOOKUP($AD$2,'RF Mod'!$I$2:$O$11,2,FALSE)+(TRUNC(6+(24-6)*(TRUNC(MOD(($Z930*1103515245 +12345)/ 65536, 32768),0)/32768),0))</f>
        <v>4</v>
      </c>
      <c r="H930" s="16">
        <f t="shared" ca="1" si="49"/>
        <v>-3</v>
      </c>
      <c r="I930" s="153">
        <f ca="1">VLOOKUP($AB$2,'RF Mod'!$A$2:$G$12,3,FALSE)+VLOOKUP($AD$2,'RF Mod'!$I$2:$O$11,3,FALSE)+(TRUNC(6+(24-6)*(TRUNC(MOD(($Z930*1103515245 +12345)/ 65536, 32768),0)/32768),0))</f>
        <v>8</v>
      </c>
      <c r="J930" s="16">
        <f t="shared" ca="1" si="50"/>
        <v>-1</v>
      </c>
      <c r="K930" s="153">
        <f ca="1">VLOOKUP($AB$2,'RF Mod'!$A$2:$G$12,3,FALSE)+VLOOKUP($AD$2,'RF Mod'!$I$2:$O$11,3,FALSE)+(TRUNC(6+(24-6)*(TRUNC(MOD(($Z930*1103515245 +12345)/ 65536, 32768),0)/32768),0))</f>
        <v>8</v>
      </c>
      <c r="L930" s="16">
        <f t="shared" ca="1" si="51"/>
        <v>-1</v>
      </c>
      <c r="M930" s="153">
        <f ca="1">VLOOKUP($AB$2,'RF Mod'!$A$2:$G$12,4,FALSE)+VLOOKUP($AD$2,'RF Mod'!$I$2:$O$11,4,FALSE)+(TRUNC(6+(24-6)*(TRUNC(MOD(($Z930*1103515245 +12345)/ 65536, 32768),0)/32768),0))</f>
        <v>7</v>
      </c>
      <c r="N930" s="16">
        <f t="shared" ca="1" si="52"/>
        <v>-2</v>
      </c>
      <c r="O930" s="153">
        <f ca="1">VLOOKUP($AB$2,'RF Mod'!$A$2:$G$12,5,FALSE)+VLOOKUP($AD$2,'RF Mod'!$I$2:$O$11,5,FALSE)+(TRUNC(6+(24-6)*(TRUNC(MOD(($Z930*1103515245 +12345)/ 65536, 32768),0)/32768),0))</f>
        <v>10</v>
      </c>
      <c r="P930" s="16" t="e">
        <f t="shared" ca="1" si="53"/>
        <v>#NAME?</v>
      </c>
      <c r="Q930" s="153">
        <f ca="1">VLOOKUP($AB$2,'RF Mod'!$A$2:$G$12,6,FALSE)+VLOOKUP($AD$2,'RF Mod'!$I$2:$O$11,6,FALSE)+(TRUNC(6+(24-6)*(TRUNC(MOD(($Z930*1103515245 +12345)/ 65536, 32768),0)/32768),0))</f>
        <v>8</v>
      </c>
      <c r="R930" s="16">
        <f t="shared" ca="1" si="54"/>
        <v>-1</v>
      </c>
      <c r="S930" s="154">
        <f t="shared" ca="1" si="59"/>
        <v>10</v>
      </c>
      <c r="T930" s="154">
        <f t="shared" ca="1" si="55"/>
        <v>12</v>
      </c>
      <c r="U930" s="16" t="str">
        <f t="shared" ca="1" si="56"/>
        <v>Dead</v>
      </c>
      <c r="V930" s="155">
        <f ca="1">IFERROR(__xludf.DUMMYFUNCTION("if(W930=""Middle Age"",QUERY(NPCVar!$K$2:$N1000, ""Select L where K = '""&amp;AB930&amp;""'""),if(W930=""Old"",QUERY(NPCVar!$K$2:$N1000, ""Select M where K = '""&amp;AB930&amp;""'""),if(W930=""Venerable"",QUERY(NPCVar!$K$2:$N1000, ""Select N where K = '""&amp;AB930&amp;""'""),fa"&amp;"lse)))*X930"),4)</f>
        <v>4</v>
      </c>
      <c r="W930" s="156" t="str">
        <f t="array" ref="W930">INDEX(NPCAgeType,TRUNC(1+(4-1)*(TRUNC(MOD((X930*1103515245 +12345)/ 65536, 32768),0)/32768),0))</f>
        <v>Middle Age</v>
      </c>
      <c r="X930" s="117">
        <f t="shared" si="61"/>
        <v>0.2</v>
      </c>
      <c r="Y930" s="157" t="e">
        <f t="array" aca="1" ref="Y930" ca="1">LOOKUP(ABS(MAX(Z930 + MIN(ABS(INDIRECT("Class Jobs!B"&amp;MATCH(E930,'Class Jobs'!$A$1:$A1000,0)&amp;":"&amp;"AF"&amp;MATCH(E930,'Class Jobs'!$A$1:$A1000,0)&amp;"")-$Z930)) * SUM(IF(MIN(ABS(INDIRECT("Class Jobs!B"&amp;MATCH(E930,'Class Jobs'!$A$1:$A1000,0)&amp;":"&amp;"AF"&amp;MATCH(E930,'Class Jobs'!$A$1:$A1000,0)&amp;"")-$Z930))=ABS(INDIRECT("Class Jobs!B"&amp;MATCH(E930,'Class Jobs'!$A$1:$A1000,0)&amp;":"&amp;"AF"&amp;MATCH(E930,'Class Jobs'!$A$1:$A1000,0)&amp;"")-$Z930),SIGN(INDIRECT("Class Jobs!B"&amp;MATCH(E930,'Class Jobs'!$A$1:A1000,0)&amp;":"&amp;"AF"&amp;MATCH(E930,'Class Jobs'!$A$1:$A1000,0)&amp;"")-$Z930),0)),0)),INDIRECT("Class Jobs!B"&amp;MATCH(E930,'Class Jobs'!$A$1:$A1000,0)&amp;":"&amp;"AF"&amp;MATCH(E930,'Class Jobs'!$A$1:$A1000,1)&amp;""),'Class Jobs'!$B$1:$AF$1)</f>
        <v>#REF!</v>
      </c>
      <c r="Z930" s="158">
        <f t="shared" si="57"/>
        <v>0.05</v>
      </c>
      <c r="AA930" s="16" t="str">
        <f t="array" ref="AA930">INDEX(NPCGender,TRUNC(1+(COUNTA(NPCGender))*(TRUNC(MOD(($B930*1103515245 +12345)/ 65536, 32768),0)/32768),0))</f>
        <v>Male</v>
      </c>
      <c r="AB930" s="16" t="str">
        <f t="array" ref="AB930">INDEX(NPCRace,TRUNC(1+(COUNTA(NPCRace))*(TRUNC(MOD(($B930*1103515245 +12345)/ 65536, 32768),0)/32768),0))</f>
        <v>Dragonborn</v>
      </c>
      <c r="AC930" s="16" t="str">
        <f t="array" ref="AC930">INDEX(NPCAL,TRUNC(1+(COUNTA(NPCAL))*(TRUNC(MOD(($B930*1103515245 +12345)/ 65536, 32768),0)/32768),0))</f>
        <v>CN</v>
      </c>
      <c r="AD930" s="72" t="str">
        <f ca="1">IFERROR(__xludf.DUMMYFUNCTION("if(V930&lt;15,QUERY(NPCVar!C:D,""Select D WHERE C = '""&amp;D930&amp;""'""),if((TRUNC(1+10)*(TRUNC(MOD((ROW(H930)*1103515245 +12345)/ 65536, 32768),0)/32768)/10) &gt; 0.85,INDEX(NPCFaction,TRUNC(1+(counta(NPCFaction)-1)*(TRUNC(MOD(($B930*1103515245 +12345)/ 65536, 3276"&amp;"8),0)/32768),0)),QUERY(NPCVar!C:D,""Select D WHERE C = '""&amp;D930&amp;""'"")))"),"Death Guild")</f>
        <v>Death Guild</v>
      </c>
      <c r="AE930" s="108" t="e">
        <f t="shared" ca="1" si="58"/>
        <v>#NAME?</v>
      </c>
      <c r="AF930" s="159">
        <f ca="1">IFERROR(__xludf.DUMMYFUNCTION("AE930*(V930 / QUERY(NPCVar!$K$2:$N$12, ""Select N WHERE K='""&amp;AB930&amp;""'""))*TRUNC(1+10)*(TRUNC(MOD(($B930*1103515245 +12345)/ 65536, 32768),0)/32768)"),0.00271743774414062)</f>
        <v>2.7174377441406198E-3</v>
      </c>
      <c r="AG930" s="16"/>
      <c r="AH930" s="77"/>
      <c r="AI930" s="114"/>
    </row>
    <row r="931" spans="1:35" ht="16.2">
      <c r="A931" s="53">
        <v>930</v>
      </c>
      <c r="B931" s="118">
        <f t="shared" si="63"/>
        <v>1.0363800000000001</v>
      </c>
      <c r="C931" s="72" t="str">
        <f t="array" ref="C931">INDEX(NPCFName,TRUNC(1+(COUNTA(NPCFName))*(TRUNC(MOD(($B931*1103515245 +12345)/ 65536, 32768),0)/32768),0))</f>
        <v>Mujarin</v>
      </c>
      <c r="D931" s="16" t="str">
        <f t="array" ref="D931">INDEX(NPCLName,TRUNC(1+(COUNTA(NPCLName))*(TRUNC(MOD(($B931*1103515245 +12345)/ 65536, 32768),0)/32768),0))</f>
        <v>Staghammer</v>
      </c>
      <c r="E931" s="16" t="str">
        <f t="array" ref="E931">INDEX(NPCClass,TRUNC(1+(COUNTA(NPCClass))*(TRUNC(MOD(($B931*1103515245 +12345)/ 65536, 32768),0)/32768),0))</f>
        <v>Sorcerer</v>
      </c>
      <c r="F931" s="76">
        <v>8</v>
      </c>
      <c r="G931" s="153">
        <f ca="1">VLOOKUP($AB$2,'RF Mod'!$A$2:$G$12,2,FALSE)+VLOOKUP($AD$2,'RF Mod'!$I$2:$O$11,2,FALSE)+(TRUNC(6+(24-6)*(TRUNC(MOD(($Z931*1103515245 +12345)/ 65536, 32768),0)/32768),0))</f>
        <v>8</v>
      </c>
      <c r="H931" s="16">
        <f t="shared" ca="1" si="49"/>
        <v>-1</v>
      </c>
      <c r="I931" s="153">
        <f ca="1">VLOOKUP($AB$2,'RF Mod'!$A$2:$G$12,3,FALSE)+VLOOKUP($AD$2,'RF Mod'!$I$2:$O$11,3,FALSE)+(TRUNC(6+(24-6)*(TRUNC(MOD(($Z931*1103515245 +12345)/ 65536, 32768),0)/32768),0))</f>
        <v>12</v>
      </c>
      <c r="J931" s="16" t="e">
        <f t="shared" ca="1" si="50"/>
        <v>#NAME?</v>
      </c>
      <c r="K931" s="153">
        <f ca="1">VLOOKUP($AB$2,'RF Mod'!$A$2:$G$12,3,FALSE)+VLOOKUP($AD$2,'RF Mod'!$I$2:$O$11,3,FALSE)+(TRUNC(6+(24-6)*(TRUNC(MOD(($Z931*1103515245 +12345)/ 65536, 32768),0)/32768),0))</f>
        <v>12</v>
      </c>
      <c r="L931" s="16" t="e">
        <f t="shared" ca="1" si="51"/>
        <v>#NAME?</v>
      </c>
      <c r="M931" s="153">
        <f ca="1">VLOOKUP($AB$2,'RF Mod'!$A$2:$G$12,4,FALSE)+VLOOKUP($AD$2,'RF Mod'!$I$2:$O$11,4,FALSE)+(TRUNC(6+(24-6)*(TRUNC(MOD(($Z931*1103515245 +12345)/ 65536, 32768),0)/32768),0))</f>
        <v>11</v>
      </c>
      <c r="N931" s="16" t="e">
        <f t="shared" ca="1" si="52"/>
        <v>#NAME?</v>
      </c>
      <c r="O931" s="153">
        <f ca="1">VLOOKUP($AB$2,'RF Mod'!$A$2:$G$12,5,FALSE)+VLOOKUP($AD$2,'RF Mod'!$I$2:$O$11,5,FALSE)+(TRUNC(6+(24-6)*(TRUNC(MOD(($Z931*1103515245 +12345)/ 65536, 32768),0)/32768),0))</f>
        <v>14</v>
      </c>
      <c r="P931" s="16" t="e">
        <f t="shared" ca="1" si="53"/>
        <v>#NAME?</v>
      </c>
      <c r="Q931" s="153">
        <f ca="1">VLOOKUP($AB$2,'RF Mod'!$A$2:$G$12,6,FALSE)+VLOOKUP($AD$2,'RF Mod'!$I$2:$O$11,6,FALSE)+(TRUNC(6+(24-6)*(TRUNC(MOD(($Z931*1103515245 +12345)/ 65536, 32768),0)/32768),0))</f>
        <v>12</v>
      </c>
      <c r="R931" s="16" t="e">
        <f t="shared" ca="1" si="54"/>
        <v>#NAME?</v>
      </c>
      <c r="S931" s="154">
        <f t="shared" ca="1" si="59"/>
        <v>240</v>
      </c>
      <c r="T931" s="154">
        <f t="shared" ca="1" si="55"/>
        <v>137</v>
      </c>
      <c r="U931" s="16" t="str">
        <f t="shared" ca="1" si="56"/>
        <v>Bloody</v>
      </c>
      <c r="V931" s="155">
        <f ca="1">IFERROR(__xludf.DUMMYFUNCTION("if(W931=""Middle Age"",QUERY(NPCVar!$K$2:$N1000, ""Select L where K = '""&amp;AB931&amp;""'""),if(W931=""Old"",QUERY(NPCVar!$K$2:$N1000, ""Select M where K = '""&amp;AB931&amp;""'""),if(W931=""Venerable"",QUERY(NPCVar!$K$2:$N1000, ""Select N where K = '""&amp;AB931&amp;""'""),fa"&amp;"lse)))*X931"),91)</f>
        <v>91</v>
      </c>
      <c r="W931" s="156" t="str">
        <f t="array" ref="W931">INDEX(NPCAgeType,TRUNC(1+(4-1)*(TRUNC(MOD((X931*1103515245 +12345)/ 65536, 32768),0)/32768),0))</f>
        <v>Venerable</v>
      </c>
      <c r="X931" s="117">
        <f t="shared" si="61"/>
        <v>1.3</v>
      </c>
      <c r="Y931" s="157" t="e">
        <f t="array" aca="1" ref="Y931" ca="1">LOOKUP(ABS(MAX(Z931 + MIN(ABS(INDIRECT("Class Jobs!B"&amp;MATCH(E931,'Class Jobs'!$A$1:$A1000,0)&amp;":"&amp;"AF"&amp;MATCH(E931,'Class Jobs'!$A$1:$A1000,0)&amp;"")-$Z931)) * SUM(IF(MIN(ABS(INDIRECT("Class Jobs!B"&amp;MATCH(E931,'Class Jobs'!$A$1:$A1000,0)&amp;":"&amp;"AF"&amp;MATCH(E931,'Class Jobs'!$A$1:$A1000,0)&amp;"")-$Z931))=ABS(INDIRECT("Class Jobs!B"&amp;MATCH(E931,'Class Jobs'!$A$1:$A1000,0)&amp;":"&amp;"AF"&amp;MATCH(E931,'Class Jobs'!$A$1:$A1000,0)&amp;"")-$Z931),SIGN(INDIRECT("Class Jobs!B"&amp;MATCH(E931,'Class Jobs'!$A$1:A1000,0)&amp;":"&amp;"AF"&amp;MATCH(E931,'Class Jobs'!$A$1:$A1000,0)&amp;"")-$Z931),0)),0)),INDIRECT("Class Jobs!B"&amp;MATCH(E931,'Class Jobs'!$A$1:$A1000,0)&amp;":"&amp;"AF"&amp;MATCH(E931,'Class Jobs'!$A$1:$A1000,1)&amp;""),'Class Jobs'!$B$1:$AF$1)</f>
        <v>#REF!</v>
      </c>
      <c r="Z931" s="158">
        <f t="shared" si="57"/>
        <v>0.53</v>
      </c>
      <c r="AA931" s="16" t="str">
        <f t="array" ref="AA931">INDEX(NPCGender,TRUNC(1+(COUNTA(NPCGender))*(TRUNC(MOD(($B931*1103515245 +12345)/ 65536, 32768),0)/32768),0))</f>
        <v>Female</v>
      </c>
      <c r="AB931" s="16" t="str">
        <f t="array" ref="AB931">INDEX(NPCRace,TRUNC(1+(COUNTA(NPCRace))*(TRUNC(MOD(($B931*1103515245 +12345)/ 65536, 32768),0)/32768),0))</f>
        <v>Half-Orc</v>
      </c>
      <c r="AC931" s="16" t="str">
        <f t="array" ref="AC931">INDEX(NPCAL,TRUNC(1+(COUNTA(NPCAL))*(TRUNC(MOD(($B931*1103515245 +12345)/ 65536, 32768),0)/32768),0))</f>
        <v>NN</v>
      </c>
      <c r="AD931" s="72" t="str">
        <f ca="1">IFERROR(__xludf.DUMMYFUNCTION("if(V931&lt;15,QUERY(NPCVar!C:D,""Select D WHERE C = '""&amp;D931&amp;""'""),if((TRUNC(1+10)*(TRUNC(MOD((ROW(H931)*1103515245 +12345)/ 65536, 32768),0)/32768)/10) &gt; 0.85,INDEX(NPCFaction,TRUNC(1+(counta(NPCFaction)-1)*(TRUNC(MOD(($B931*1103515245 +12345)/ 65536, 3276"&amp;"8),0)/32768),0)),QUERY(NPCVar!C:D,""Select D WHERE C = '""&amp;D931&amp;""'"")))"),"Farmers Guild")</f>
        <v>Farmers Guild</v>
      </c>
      <c r="AE931" s="108" t="e">
        <f t="shared" ca="1" si="58"/>
        <v>#NAME?</v>
      </c>
      <c r="AF931" s="159">
        <f ca="1">IFERROR(__xludf.DUMMYFUNCTION("AE931*(V931 / QUERY(NPCVar!$K$2:$N$12, ""Select N WHERE K='""&amp;AB931&amp;""'""))*TRUNC(1+10)*(TRUNC(MOD(($B931*1103515245 +12345)/ 65536, 32768),0)/32768)"),7.61564025878906)</f>
        <v>7.6156402587890604</v>
      </c>
      <c r="AG931" s="16"/>
      <c r="AH931" s="77"/>
      <c r="AI931" s="114"/>
    </row>
    <row r="932" spans="1:35" ht="16.2">
      <c r="A932" s="53">
        <v>931</v>
      </c>
      <c r="B932" s="118">
        <f t="shared" si="63"/>
        <v>3.0519999999999999E-2</v>
      </c>
      <c r="C932" s="72" t="str">
        <f t="array" ref="C932">INDEX(NPCFName,TRUNC(1+(COUNTA(NPCFName))*(TRUNC(MOD(($B932*1103515245 +12345)/ 65536, 32768),0)/32768),0))</f>
        <v>Anumil</v>
      </c>
      <c r="D932" s="16" t="str">
        <f t="array" ref="D932">INDEX(NPCLName,TRUNC(1+(COUNTA(NPCLName))*(TRUNC(MOD(($B932*1103515245 +12345)/ 65536, 32768),0)/32768),0))</f>
        <v>Stagfang</v>
      </c>
      <c r="E932" s="16" t="str">
        <f t="array" ref="E932">INDEX(NPCClass,TRUNC(1+(COUNTA(NPCClass))*(TRUNC(MOD(($B932*1103515245 +12345)/ 65536, 32768),0)/32768),0))</f>
        <v>Barbarian</v>
      </c>
      <c r="F932" s="76">
        <v>1</v>
      </c>
      <c r="G932" s="153">
        <f ca="1">VLOOKUP($AB$2,'RF Mod'!$A$2:$G$12,2,FALSE)+VLOOKUP($AD$2,'RF Mod'!$I$2:$O$11,2,FALSE)+(TRUNC(6+(24-6)*(TRUNC(MOD(($Z932*1103515245 +12345)/ 65536, 32768),0)/32768),0))</f>
        <v>4</v>
      </c>
      <c r="H932" s="16">
        <f t="shared" ca="1" si="49"/>
        <v>-3</v>
      </c>
      <c r="I932" s="153">
        <f ca="1">VLOOKUP($AB$2,'RF Mod'!$A$2:$G$12,3,FALSE)+VLOOKUP($AD$2,'RF Mod'!$I$2:$O$11,3,FALSE)+(TRUNC(6+(24-6)*(TRUNC(MOD(($Z932*1103515245 +12345)/ 65536, 32768),0)/32768),0))</f>
        <v>8</v>
      </c>
      <c r="J932" s="16">
        <f t="shared" ca="1" si="50"/>
        <v>-1</v>
      </c>
      <c r="K932" s="153">
        <f ca="1">VLOOKUP($AB$2,'RF Mod'!$A$2:$G$12,3,FALSE)+VLOOKUP($AD$2,'RF Mod'!$I$2:$O$11,3,FALSE)+(TRUNC(6+(24-6)*(TRUNC(MOD(($Z932*1103515245 +12345)/ 65536, 32768),0)/32768),0))</f>
        <v>8</v>
      </c>
      <c r="L932" s="16">
        <f t="shared" ca="1" si="51"/>
        <v>-1</v>
      </c>
      <c r="M932" s="153">
        <f ca="1">VLOOKUP($AB$2,'RF Mod'!$A$2:$G$12,4,FALSE)+VLOOKUP($AD$2,'RF Mod'!$I$2:$O$11,4,FALSE)+(TRUNC(6+(24-6)*(TRUNC(MOD(($Z932*1103515245 +12345)/ 65536, 32768),0)/32768),0))</f>
        <v>7</v>
      </c>
      <c r="N932" s="16">
        <f t="shared" ca="1" si="52"/>
        <v>-2</v>
      </c>
      <c r="O932" s="153">
        <f ca="1">VLOOKUP($AB$2,'RF Mod'!$A$2:$G$12,5,FALSE)+VLOOKUP($AD$2,'RF Mod'!$I$2:$O$11,5,FALSE)+(TRUNC(6+(24-6)*(TRUNC(MOD(($Z932*1103515245 +12345)/ 65536, 32768),0)/32768),0))</f>
        <v>10</v>
      </c>
      <c r="P932" s="16" t="e">
        <f t="shared" ca="1" si="53"/>
        <v>#NAME?</v>
      </c>
      <c r="Q932" s="153">
        <f ca="1">VLOOKUP($AB$2,'RF Mod'!$A$2:$G$12,6,FALSE)+VLOOKUP($AD$2,'RF Mod'!$I$2:$O$11,6,FALSE)+(TRUNC(6+(24-6)*(TRUNC(MOD(($Z932*1103515245 +12345)/ 65536, 32768),0)/32768),0))</f>
        <v>8</v>
      </c>
      <c r="R932" s="16">
        <f t="shared" ca="1" si="54"/>
        <v>-1</v>
      </c>
      <c r="S932" s="154">
        <f t="shared" ca="1" si="59"/>
        <v>10</v>
      </c>
      <c r="T932" s="154">
        <f t="shared" ca="1" si="55"/>
        <v>2</v>
      </c>
      <c r="U932" s="16" t="str">
        <f t="shared" ca="1" si="56"/>
        <v>Fine</v>
      </c>
      <c r="V932" s="155">
        <f ca="1">IFERROR(__xludf.DUMMYFUNCTION("if(W932=""Middle Age"",QUERY(NPCVar!$K$2:$N1000, ""Select L where K = '""&amp;AB932&amp;""'""),if(W932=""Old"",QUERY(NPCVar!$K$2:$N1000, ""Select M where K = '""&amp;AB932&amp;""'""),if(W932=""Venerable"",QUERY(NPCVar!$K$2:$N1000, ""Select N where K = '""&amp;AB932&amp;""'""),fa"&amp;"lse)))*X932"),2)</f>
        <v>2</v>
      </c>
      <c r="W932" s="156" t="str">
        <f t="array" ref="W932">INDEX(NPCAgeType,TRUNC(1+(4-1)*(TRUNC(MOD((X932*1103515245 +12345)/ 65536, 32768),0)/32768),0))</f>
        <v>Middle Age</v>
      </c>
      <c r="X932" s="117">
        <f t="shared" si="61"/>
        <v>0.1</v>
      </c>
      <c r="Y932" s="157" t="e">
        <f t="array" aca="1" ref="Y932" ca="1">LOOKUP(ABS(MAX(Z932 + MIN(ABS(INDIRECT("Class Jobs!B"&amp;MATCH(E932,'Class Jobs'!$A$1:$A1000,0)&amp;":"&amp;"AF"&amp;MATCH(E932,'Class Jobs'!$A$1:$A1000,0)&amp;"")-$Z932)) * SUM(IF(MIN(ABS(INDIRECT("Class Jobs!B"&amp;MATCH(E932,'Class Jobs'!$A$1:$A1000,0)&amp;":"&amp;"AF"&amp;MATCH(E932,'Class Jobs'!$A$1:$A1000,0)&amp;"")-$Z932))=ABS(INDIRECT("Class Jobs!B"&amp;MATCH(E932,'Class Jobs'!$A$1:$A1000,0)&amp;":"&amp;"AF"&amp;MATCH(E932,'Class Jobs'!$A$1:$A1000,0)&amp;"")-$Z932),SIGN(INDIRECT("Class Jobs!B"&amp;MATCH(E932,'Class Jobs'!$A$1:A1000,0)&amp;":"&amp;"AF"&amp;MATCH(E932,'Class Jobs'!$A$1:$A1000,0)&amp;"")-$Z932),0)),0)),INDIRECT("Class Jobs!B"&amp;MATCH(E932,'Class Jobs'!$A$1:$A1000,0)&amp;":"&amp;"AF"&amp;MATCH(E932,'Class Jobs'!$A$1:$A1000,1)&amp;""),'Class Jobs'!$B$1:$AF$1)</f>
        <v>#REF!</v>
      </c>
      <c r="Z932" s="158">
        <f t="shared" si="57"/>
        <v>0.02</v>
      </c>
      <c r="AA932" s="16" t="str">
        <f t="array" ref="AA932">INDEX(NPCGender,TRUNC(1+(COUNTA(NPCGender))*(TRUNC(MOD(($B932*1103515245 +12345)/ 65536, 32768),0)/32768),0))</f>
        <v>Male</v>
      </c>
      <c r="AB932" s="16" t="str">
        <f t="array" ref="AB932">INDEX(NPCRace,TRUNC(1+(COUNTA(NPCRace))*(TRUNC(MOD(($B932*1103515245 +12345)/ 65536, 32768),0)/32768),0))</f>
        <v>Dragonborn</v>
      </c>
      <c r="AC932" s="16" t="str">
        <f t="array" ref="AC932">INDEX(NPCAL,TRUNC(1+(COUNTA(NPCAL))*(TRUNC(MOD(($B932*1103515245 +12345)/ 65536, 32768),0)/32768),0))</f>
        <v>CN</v>
      </c>
      <c r="AD932" s="72" t="str">
        <f ca="1">IFERROR(__xludf.DUMMYFUNCTION("if(V932&lt;15,QUERY(NPCVar!C:D,""Select D WHERE C = '""&amp;D932&amp;""'""),if((TRUNC(1+10)*(TRUNC(MOD((ROW(H932)*1103515245 +12345)/ 65536, 32768),0)/32768)/10) &gt; 0.85,INDEX(NPCFaction,TRUNC(1+(counta(NPCFaction)-1)*(TRUNC(MOD(($B932*1103515245 +12345)/ 65536, 3276"&amp;"8),0)/32768),0)),QUERY(NPCVar!C:D,""Select D WHERE C = '""&amp;D932&amp;""'"")))"),"Royalty")</f>
        <v>Royalty</v>
      </c>
      <c r="AE932" s="108" t="e">
        <f t="shared" ca="1" si="58"/>
        <v>#NAME?</v>
      </c>
      <c r="AF932" s="159">
        <f ca="1">IFERROR(__xludf.DUMMYFUNCTION("AE932*(V932 / QUERY(NPCVar!$K$2:$N$12, ""Select N WHERE K='""&amp;AB932&amp;""'""))*TRUNC(1+10)*(TRUNC(MOD(($B932*1103515245 +12345)/ 65536, 32768),0)/32768)"),0.000431365966796875)</f>
        <v>4.3136596679687499E-4</v>
      </c>
      <c r="AG932" s="16"/>
      <c r="AH932" s="77"/>
      <c r="AI932" s="114"/>
    </row>
    <row r="933" spans="1:35" ht="16.2">
      <c r="A933" s="53">
        <v>932</v>
      </c>
      <c r="B933" s="118">
        <f t="shared" si="63"/>
        <v>1.5246599999999999</v>
      </c>
      <c r="C933" s="72" t="str">
        <f t="array" ref="C933">INDEX(NPCFName,TRUNC(1+(COUNTA(NPCFName))*(TRUNC(MOD(($B933*1103515245 +12345)/ 65536, 32768),0)/32768),0))</f>
        <v>Gemedes</v>
      </c>
      <c r="D933" s="16" t="str">
        <f t="array" ref="D933">INDEX(NPCLName,TRUNC(1+(COUNTA(NPCLName))*(TRUNC(MOD(($B933*1103515245 +12345)/ 65536, 32768),0)/32768),0))</f>
        <v>Truthdoom</v>
      </c>
      <c r="E933" s="16" t="str">
        <f t="array" ref="E933">INDEX(NPCClass,TRUNC(1+(COUNTA(NPCClass))*(TRUNC(MOD(($B933*1103515245 +12345)/ 65536, 32768),0)/32768),0))</f>
        <v>Cleric</v>
      </c>
      <c r="F933" s="76">
        <v>8</v>
      </c>
      <c r="G933" s="153">
        <f ca="1">VLOOKUP($AB$2,'RF Mod'!$A$2:$G$12,2,FALSE)+VLOOKUP($AD$2,'RF Mod'!$I$2:$O$11,2,FALSE)+(TRUNC(6+(24-6)*(TRUNC(MOD(($Z933*1103515245 +12345)/ 65536, 32768),0)/32768),0))</f>
        <v>11</v>
      </c>
      <c r="H933" s="16" t="e">
        <f t="shared" ca="1" si="49"/>
        <v>#NAME?</v>
      </c>
      <c r="I933" s="153">
        <f ca="1">VLOOKUP($AB$2,'RF Mod'!$A$2:$G$12,3,FALSE)+VLOOKUP($AD$2,'RF Mod'!$I$2:$O$11,3,FALSE)+(TRUNC(6+(24-6)*(TRUNC(MOD(($Z933*1103515245 +12345)/ 65536, 32768),0)/32768),0))</f>
        <v>15</v>
      </c>
      <c r="J933" s="16" t="e">
        <f t="shared" ca="1" si="50"/>
        <v>#NAME?</v>
      </c>
      <c r="K933" s="153">
        <f ca="1">VLOOKUP($AB$2,'RF Mod'!$A$2:$G$12,3,FALSE)+VLOOKUP($AD$2,'RF Mod'!$I$2:$O$11,3,FALSE)+(TRUNC(6+(24-6)*(TRUNC(MOD(($Z933*1103515245 +12345)/ 65536, 32768),0)/32768),0))</f>
        <v>15</v>
      </c>
      <c r="L933" s="16" t="e">
        <f t="shared" ca="1" si="51"/>
        <v>#NAME?</v>
      </c>
      <c r="M933" s="153">
        <f ca="1">VLOOKUP($AB$2,'RF Mod'!$A$2:$G$12,4,FALSE)+VLOOKUP($AD$2,'RF Mod'!$I$2:$O$11,4,FALSE)+(TRUNC(6+(24-6)*(TRUNC(MOD(($Z933*1103515245 +12345)/ 65536, 32768),0)/32768),0))</f>
        <v>14</v>
      </c>
      <c r="N933" s="16" t="e">
        <f t="shared" ca="1" si="52"/>
        <v>#NAME?</v>
      </c>
      <c r="O933" s="153">
        <f ca="1">VLOOKUP($AB$2,'RF Mod'!$A$2:$G$12,5,FALSE)+VLOOKUP($AD$2,'RF Mod'!$I$2:$O$11,5,FALSE)+(TRUNC(6+(24-6)*(TRUNC(MOD(($Z933*1103515245 +12345)/ 65536, 32768),0)/32768),0))</f>
        <v>17</v>
      </c>
      <c r="P933" s="16" t="e">
        <f t="shared" ca="1" si="53"/>
        <v>#NAME?</v>
      </c>
      <c r="Q933" s="153">
        <f ca="1">VLOOKUP($AB$2,'RF Mod'!$A$2:$G$12,6,FALSE)+VLOOKUP($AD$2,'RF Mod'!$I$2:$O$11,6,FALSE)+(TRUNC(6+(24-6)*(TRUNC(MOD(($Z933*1103515245 +12345)/ 65536, 32768),0)/32768),0))</f>
        <v>15</v>
      </c>
      <c r="R933" s="16" t="e">
        <f t="shared" ca="1" si="54"/>
        <v>#NAME?</v>
      </c>
      <c r="S933" s="154">
        <f t="shared" ca="1" si="59"/>
        <v>184</v>
      </c>
      <c r="T933" s="154">
        <f t="shared" ca="1" si="55"/>
        <v>104</v>
      </c>
      <c r="U933" s="16" t="str">
        <f t="shared" ca="1" si="56"/>
        <v>Bloody</v>
      </c>
      <c r="V933" s="155">
        <f ca="1">IFERROR(__xludf.DUMMYFUNCTION("if(W933=""Middle Age"",QUERY(NPCVar!$K$2:$N1000, ""Select L where K = '""&amp;AB933&amp;""'""),if(W933=""Old"",QUERY(NPCVar!$K$2:$N1000, ""Select M where K = '""&amp;AB933&amp;""'""),if(W933=""Venerable"",QUERY(NPCVar!$K$2:$N1000, ""Select N where K = '""&amp;AB933&amp;""'""),fa"&amp;"lse)))*X933"),190)</f>
        <v>190</v>
      </c>
      <c r="W933" s="156" t="str">
        <f t="array" ref="W933">INDEX(NPCAgeType,TRUNC(1+(4-1)*(TRUNC(MOD((X933*1103515245 +12345)/ 65536, 32768),0)/32768),0))</f>
        <v>Venerable</v>
      </c>
      <c r="X933" s="117">
        <f t="shared" si="61"/>
        <v>1.9</v>
      </c>
      <c r="Y933" s="157" t="e">
        <f t="array" aca="1" ref="Y933" ca="1">LOOKUP(ABS(MAX(Z933 + MIN(ABS(INDIRECT("Class Jobs!B"&amp;MATCH(E933,'Class Jobs'!$A$1:$A1000,0)&amp;":"&amp;"AF"&amp;MATCH(E933,'Class Jobs'!$A$1:$A1000,0)&amp;"")-$Z933)) * SUM(IF(MIN(ABS(INDIRECT("Class Jobs!B"&amp;MATCH(E933,'Class Jobs'!$A$1:$A1000,0)&amp;":"&amp;"AF"&amp;MATCH(E933,'Class Jobs'!$A$1:$A1000,0)&amp;"")-$Z933))=ABS(INDIRECT("Class Jobs!B"&amp;MATCH(E933,'Class Jobs'!$A$1:$A1000,0)&amp;":"&amp;"AF"&amp;MATCH(E933,'Class Jobs'!$A$1:$A1000,0)&amp;"")-$Z933),SIGN(INDIRECT("Class Jobs!B"&amp;MATCH(E933,'Class Jobs'!$A$1:A1000,0)&amp;":"&amp;"AF"&amp;MATCH(E933,'Class Jobs'!$A$1:$A1000,0)&amp;"")-$Z933),0)),0)),INDIRECT("Class Jobs!B"&amp;MATCH(E933,'Class Jobs'!$A$1:$A1000,0)&amp;":"&amp;"AF"&amp;MATCH(E933,'Class Jobs'!$A$1:$A1000,1)&amp;""),'Class Jobs'!$B$1:$AF$1)</f>
        <v>#REF!</v>
      </c>
      <c r="Z933" s="158">
        <f t="shared" si="57"/>
        <v>0.78</v>
      </c>
      <c r="AA933" s="16" t="str">
        <f t="array" ref="AA933">INDEX(NPCGender,TRUNC(1+(COUNTA(NPCGender))*(TRUNC(MOD(($B933*1103515245 +12345)/ 65536, 32768),0)/32768),0))</f>
        <v>Neutral</v>
      </c>
      <c r="AB933" s="16" t="str">
        <f t="array" ref="AB933">INDEX(NPCRace,TRUNC(1+(COUNTA(NPCRace))*(TRUNC(MOD(($B933*1103515245 +12345)/ 65536, 32768),0)/32768),0))</f>
        <v>Tiefling</v>
      </c>
      <c r="AC933" s="16" t="str">
        <f t="array" ref="AC933">INDEX(NPCAL,TRUNC(1+(COUNTA(NPCAL))*(TRUNC(MOD(($B933*1103515245 +12345)/ 65536, 32768),0)/32768),0))</f>
        <v>LN</v>
      </c>
      <c r="AD933" s="72" t="str">
        <f ca="1">IFERROR(__xludf.DUMMYFUNCTION("if(V933&lt;15,QUERY(NPCVar!C:D,""Select D WHERE C = '""&amp;D933&amp;""'""),if((TRUNC(1+10)*(TRUNC(MOD((ROW(H933)*1103515245 +12345)/ 65536, 32768),0)/32768)/10) &gt; 0.85,INDEX(NPCFaction,TRUNC(1+(counta(NPCFaction)-1)*(TRUNC(MOD(($B933*1103515245 +12345)/ 65536, 3276"&amp;"8),0)/32768),0)),QUERY(NPCVar!C:D,""Select D WHERE C = '""&amp;D933&amp;""'"")))"),"Traverlers Guild")</f>
        <v>Traverlers Guild</v>
      </c>
      <c r="AE933" s="108" t="e">
        <f t="shared" ca="1" si="58"/>
        <v>#NAME?</v>
      </c>
      <c r="AF933" s="159">
        <f ca="1">IFERROR(__xludf.DUMMYFUNCTION("AE933*(V933 / QUERY(NPCVar!$K$2:$N$12, ""Select N WHERE K='""&amp;AB933&amp;""'""))*TRUNC(1+10)*(TRUNC(MOD(($B933*1103515245 +12345)/ 65536, 32768),0)/32768)"),16.3740478515624)</f>
        <v>16.374047851562398</v>
      </c>
      <c r="AG933" s="16"/>
      <c r="AH933" s="77"/>
      <c r="AI933" s="114"/>
    </row>
    <row r="934" spans="1:35" ht="16.2">
      <c r="A934" s="53">
        <v>933</v>
      </c>
      <c r="B934" s="118">
        <f t="shared" si="63"/>
        <v>0.51880000000000004</v>
      </c>
      <c r="C934" s="72" t="str">
        <f t="array" ref="C934">INDEX(NPCFName,TRUNC(1+(COUNTA(NPCFName))*(TRUNC(MOD(($B934*1103515245 +12345)/ 65536, 32768),0)/32768),0))</f>
        <v>Shane</v>
      </c>
      <c r="D934" s="16" t="str">
        <f t="array" ref="D934">INDEX(NPCLName,TRUNC(1+(COUNTA(NPCLName))*(TRUNC(MOD(($B934*1103515245 +12345)/ 65536, 32768),0)/32768),0))</f>
        <v>Tuskleaf</v>
      </c>
      <c r="E934" s="16" t="str">
        <f t="array" ref="E934">INDEX(NPCClass,TRUNC(1+(COUNTA(NPCClass))*(TRUNC(MOD(($B934*1103515245 +12345)/ 65536, 32768),0)/32768),0))</f>
        <v>Monk</v>
      </c>
      <c r="F934" s="76">
        <v>1</v>
      </c>
      <c r="G934" s="153">
        <f ca="1">VLOOKUP($AB$2,'RF Mod'!$A$2:$G$12,2,FALSE)+VLOOKUP($AD$2,'RF Mod'!$I$2:$O$11,2,FALSE)+(TRUNC(6+(24-6)*(TRUNC(MOD(($Z934*1103515245 +12345)/ 65536, 32768),0)/32768),0))</f>
        <v>6</v>
      </c>
      <c r="H934" s="16">
        <f t="shared" ca="1" si="49"/>
        <v>-2</v>
      </c>
      <c r="I934" s="153">
        <f ca="1">VLOOKUP($AB$2,'RF Mod'!$A$2:$G$12,3,FALSE)+VLOOKUP($AD$2,'RF Mod'!$I$2:$O$11,3,FALSE)+(TRUNC(6+(24-6)*(TRUNC(MOD(($Z934*1103515245 +12345)/ 65536, 32768),0)/32768),0))</f>
        <v>10</v>
      </c>
      <c r="J934" s="16" t="e">
        <f t="shared" ca="1" si="50"/>
        <v>#NAME?</v>
      </c>
      <c r="K934" s="153">
        <f ca="1">VLOOKUP($AB$2,'RF Mod'!$A$2:$G$12,3,FALSE)+VLOOKUP($AD$2,'RF Mod'!$I$2:$O$11,3,FALSE)+(TRUNC(6+(24-6)*(TRUNC(MOD(($Z934*1103515245 +12345)/ 65536, 32768),0)/32768),0))</f>
        <v>10</v>
      </c>
      <c r="L934" s="16" t="e">
        <f t="shared" ca="1" si="51"/>
        <v>#NAME?</v>
      </c>
      <c r="M934" s="153">
        <f ca="1">VLOOKUP($AB$2,'RF Mod'!$A$2:$G$12,4,FALSE)+VLOOKUP($AD$2,'RF Mod'!$I$2:$O$11,4,FALSE)+(TRUNC(6+(24-6)*(TRUNC(MOD(($Z934*1103515245 +12345)/ 65536, 32768),0)/32768),0))</f>
        <v>9</v>
      </c>
      <c r="N934" s="16">
        <f t="shared" ca="1" si="52"/>
        <v>-1</v>
      </c>
      <c r="O934" s="153">
        <f ca="1">VLOOKUP($AB$2,'RF Mod'!$A$2:$G$12,5,FALSE)+VLOOKUP($AD$2,'RF Mod'!$I$2:$O$11,5,FALSE)+(TRUNC(6+(24-6)*(TRUNC(MOD(($Z934*1103515245 +12345)/ 65536, 32768),0)/32768),0))</f>
        <v>12</v>
      </c>
      <c r="P934" s="16" t="e">
        <f t="shared" ca="1" si="53"/>
        <v>#NAME?</v>
      </c>
      <c r="Q934" s="153">
        <f ca="1">VLOOKUP($AB$2,'RF Mod'!$A$2:$G$12,6,FALSE)+VLOOKUP($AD$2,'RF Mod'!$I$2:$O$11,6,FALSE)+(TRUNC(6+(24-6)*(TRUNC(MOD(($Z934*1103515245 +12345)/ 65536, 32768),0)/32768),0))</f>
        <v>10</v>
      </c>
      <c r="R934" s="16" t="e">
        <f t="shared" ca="1" si="54"/>
        <v>#NAME?</v>
      </c>
      <c r="S934" s="154">
        <f t="shared" ca="1" si="59"/>
        <v>12</v>
      </c>
      <c r="T934" s="154">
        <f t="shared" ca="1" si="55"/>
        <v>3</v>
      </c>
      <c r="U934" s="16" t="str">
        <f t="shared" ca="1" si="56"/>
        <v>Fine</v>
      </c>
      <c r="V934" s="155">
        <f ca="1">IFERROR(__xludf.DUMMYFUNCTION("if(W934=""Middle Age"",QUERY(NPCVar!$K$2:$N1000, ""Select L where K = '""&amp;AB934&amp;""'""),if(W934=""Old"",QUERY(NPCVar!$K$2:$N1000, ""Select M where K = '""&amp;AB934&amp;""'""),if(W934=""Venerable"",QUERY(NPCVar!$K$2:$N1000, ""Select N where K = '""&amp;AB934&amp;""'""),fa"&amp;"lse)))*X934"),196.875)</f>
        <v>196.875</v>
      </c>
      <c r="W934" s="156" t="str">
        <f t="array" ref="W934">INDEX(NPCAgeType,TRUNC(1+(4-1)*(TRUNC(MOD((X934*1103515245 +12345)/ 65536, 32768),0)/32768),0))</f>
        <v>Old</v>
      </c>
      <c r="X934" s="117">
        <f t="shared" si="61"/>
        <v>0.7</v>
      </c>
      <c r="Y934" s="157" t="e">
        <f t="array" aca="1" ref="Y934" ca="1">LOOKUP(ABS(MAX(Z934 + MIN(ABS(INDIRECT("Class Jobs!B"&amp;MATCH(E934,'Class Jobs'!$A$1:$A1000,0)&amp;":"&amp;"AF"&amp;MATCH(E934,'Class Jobs'!$A$1:$A1000,0)&amp;"")-$Z934)) * SUM(IF(MIN(ABS(INDIRECT("Class Jobs!B"&amp;MATCH(E934,'Class Jobs'!$A$1:$A1000,0)&amp;":"&amp;"AF"&amp;MATCH(E934,'Class Jobs'!$A$1:$A1000,0)&amp;"")-$Z934))=ABS(INDIRECT("Class Jobs!B"&amp;MATCH(E934,'Class Jobs'!$A$1:$A1000,0)&amp;":"&amp;"AF"&amp;MATCH(E934,'Class Jobs'!$A$1:$A1000,0)&amp;"")-$Z934),SIGN(INDIRECT("Class Jobs!B"&amp;MATCH(E934,'Class Jobs'!$A$1:A1000,0)&amp;":"&amp;"AF"&amp;MATCH(E934,'Class Jobs'!$A$1:$A1000,0)&amp;"")-$Z934),0)),0)),INDIRECT("Class Jobs!B"&amp;MATCH(E934,'Class Jobs'!$A$1:$A1000,0)&amp;":"&amp;"AF"&amp;MATCH(E934,'Class Jobs'!$A$1:$A1000,1)&amp;""),'Class Jobs'!$B$1:$AF$1)</f>
        <v>#REF!</v>
      </c>
      <c r="Z934" s="158">
        <f t="shared" si="57"/>
        <v>0.27</v>
      </c>
      <c r="AA934" s="16" t="str">
        <f t="array" ref="AA934">INDEX(NPCGender,TRUNC(1+(COUNTA(NPCGender))*(TRUNC(MOD(($B934*1103515245 +12345)/ 65536, 32768),0)/32768),0))</f>
        <v>Male</v>
      </c>
      <c r="AB934" s="16" t="str">
        <f t="array" ref="AB934">INDEX(NPCRace,TRUNC(1+(COUNTA(NPCRace))*(TRUNC(MOD(($B934*1103515245 +12345)/ 65536, 32768),0)/32768),0))</f>
        <v>Elf</v>
      </c>
      <c r="AC934" s="16" t="str">
        <f t="array" ref="AC934">INDEX(NPCAL,TRUNC(1+(COUNTA(NPCAL))*(TRUNC(MOD(($B934*1103515245 +12345)/ 65536, 32768),0)/32768),0))</f>
        <v>CG</v>
      </c>
      <c r="AD934" s="72" t="str">
        <f ca="1">IFERROR(__xludf.DUMMYFUNCTION("if(V934&lt;15,QUERY(NPCVar!C:D,""Select D WHERE C = '""&amp;D934&amp;""'""),if((TRUNC(1+10)*(TRUNC(MOD((ROW(H934)*1103515245 +12345)/ 65536, 32768),0)/32768)/10) &gt; 0.85,INDEX(NPCFaction,TRUNC(1+(counta(NPCFaction)-1)*(TRUNC(MOD(($B934*1103515245 +12345)/ 65536, 3276"&amp;"8),0)/32768),0)),QUERY(NPCVar!C:D,""Select D WHERE C = '""&amp;D934&amp;""'"")))"),"Traders Guild")</f>
        <v>Traders Guild</v>
      </c>
      <c r="AE934" s="108" t="e">
        <f t="shared" ca="1" si="58"/>
        <v>#NAME?</v>
      </c>
      <c r="AF934" s="159">
        <f ca="1">IFERROR(__xludf.DUMMYFUNCTION("AE934*(V934 / QUERY(NPCVar!$K$2:$N$12, ""Select N WHERE K='""&amp;AB934&amp;""'""))*TRUNC(1+10)*(TRUNC(MOD(($B934*1103515245 +12345)/ 65536, 32768),0)/32768)"),0.153944778442382)</f>
        <v>0.153944778442382</v>
      </c>
      <c r="AG934" s="16"/>
      <c r="AH934" s="77"/>
      <c r="AI934" s="114"/>
    </row>
    <row r="935" spans="1:35" ht="16.2">
      <c r="A935" s="53">
        <v>934</v>
      </c>
      <c r="B935" s="118">
        <f t="shared" si="63"/>
        <v>2.01294</v>
      </c>
      <c r="C935" s="72" t="str">
        <f t="array" ref="C935">INDEX(NPCFName,TRUNC(1+(COUNTA(NPCFName))*(TRUNC(MOD(($B935*1103515245 +12345)/ 65536, 32768),0)/32768),0))</f>
        <v>Biston</v>
      </c>
      <c r="D935" s="16" t="str">
        <f t="array" ref="D935">INDEX(NPCLName,TRUNC(1+(COUNTA(NPCLName))*(TRUNC(MOD(($B935*1103515245 +12345)/ 65536, 32768),0)/32768),0))</f>
        <v>Crystalgazer</v>
      </c>
      <c r="E935" s="16" t="str">
        <f t="array" ref="E935">INDEX(NPCClass,TRUNC(1+(COUNTA(NPCClass))*(TRUNC(MOD(($B935*1103515245 +12345)/ 65536, 32768),0)/32768),0))</f>
        <v>Barbarian</v>
      </c>
      <c r="F935" s="76">
        <v>1</v>
      </c>
      <c r="G935" s="153">
        <f ca="1">VLOOKUP($AB$2,'RF Mod'!$A$2:$G$12,2,FALSE)+VLOOKUP($AD$2,'RF Mod'!$I$2:$O$11,2,FALSE)+(TRUNC(6+(24-6)*(TRUNC(MOD(($Z935*1103515245 +12345)/ 65536, 32768),0)/32768),0))</f>
        <v>4</v>
      </c>
      <c r="H935" s="16">
        <f t="shared" ca="1" si="49"/>
        <v>-3</v>
      </c>
      <c r="I935" s="153">
        <f ca="1">VLOOKUP($AB$2,'RF Mod'!$A$2:$G$12,3,FALSE)+VLOOKUP($AD$2,'RF Mod'!$I$2:$O$11,3,FALSE)+(TRUNC(6+(24-6)*(TRUNC(MOD(($Z935*1103515245 +12345)/ 65536, 32768),0)/32768),0))</f>
        <v>8</v>
      </c>
      <c r="J935" s="16">
        <f t="shared" ca="1" si="50"/>
        <v>-1</v>
      </c>
      <c r="K935" s="153">
        <f ca="1">VLOOKUP($AB$2,'RF Mod'!$A$2:$G$12,3,FALSE)+VLOOKUP($AD$2,'RF Mod'!$I$2:$O$11,3,FALSE)+(TRUNC(6+(24-6)*(TRUNC(MOD(($Z935*1103515245 +12345)/ 65536, 32768),0)/32768),0))</f>
        <v>8</v>
      </c>
      <c r="L935" s="16">
        <f t="shared" ca="1" si="51"/>
        <v>-1</v>
      </c>
      <c r="M935" s="153">
        <f ca="1">VLOOKUP($AB$2,'RF Mod'!$A$2:$G$12,4,FALSE)+VLOOKUP($AD$2,'RF Mod'!$I$2:$O$11,4,FALSE)+(TRUNC(6+(24-6)*(TRUNC(MOD(($Z935*1103515245 +12345)/ 65536, 32768),0)/32768),0))</f>
        <v>7</v>
      </c>
      <c r="N935" s="16">
        <f t="shared" ca="1" si="52"/>
        <v>-2</v>
      </c>
      <c r="O935" s="153">
        <f ca="1">VLOOKUP($AB$2,'RF Mod'!$A$2:$G$12,5,FALSE)+VLOOKUP($AD$2,'RF Mod'!$I$2:$O$11,5,FALSE)+(TRUNC(6+(24-6)*(TRUNC(MOD(($Z935*1103515245 +12345)/ 65536, 32768),0)/32768),0))</f>
        <v>10</v>
      </c>
      <c r="P935" s="16" t="e">
        <f t="shared" ca="1" si="53"/>
        <v>#NAME?</v>
      </c>
      <c r="Q935" s="153">
        <f ca="1">VLOOKUP($AB$2,'RF Mod'!$A$2:$G$12,6,FALSE)+VLOOKUP($AD$2,'RF Mod'!$I$2:$O$11,6,FALSE)+(TRUNC(6+(24-6)*(TRUNC(MOD(($Z935*1103515245 +12345)/ 65536, 32768),0)/32768),0))</f>
        <v>8</v>
      </c>
      <c r="R935" s="16">
        <f t="shared" ca="1" si="54"/>
        <v>-1</v>
      </c>
      <c r="S935" s="154">
        <f t="shared" ca="1" si="59"/>
        <v>10</v>
      </c>
      <c r="T935" s="154">
        <f t="shared" ca="1" si="55"/>
        <v>8</v>
      </c>
      <c r="U935" s="16" t="str">
        <f t="shared" ca="1" si="56"/>
        <v>Bloody</v>
      </c>
      <c r="V935" s="155">
        <f ca="1">IFERROR(__xludf.DUMMYFUNCTION("if(W935=""Middle Age"",QUERY(NPCVar!$K$2:$N1000, ""Select L where K = '""&amp;AB935&amp;""'""),if(W935=""Old"",QUERY(NPCVar!$K$2:$N1000, ""Select M where K = '""&amp;AB935&amp;""'""),if(W935=""Venerable"",QUERY(NPCVar!$K$2:$N1000, ""Select N where K = '""&amp;AB935&amp;""'""),fa"&amp;"lse)))*X935"),2)</f>
        <v>2</v>
      </c>
      <c r="W935" s="156" t="str">
        <f t="array" ref="W935">INDEX(NPCAgeType,TRUNC(1+(4-1)*(TRUNC(MOD((X935*1103515245 +12345)/ 65536, 32768),0)/32768),0))</f>
        <v>Middle Age</v>
      </c>
      <c r="X935" s="117">
        <f t="shared" si="61"/>
        <v>0.1</v>
      </c>
      <c r="Y935" s="157" t="e">
        <f t="array" aca="1" ref="Y935" ca="1">LOOKUP(ABS(MAX(Z935 + MIN(ABS(INDIRECT("Class Jobs!B"&amp;MATCH(E935,'Class Jobs'!$A$1:$A1000,0)&amp;":"&amp;"AF"&amp;MATCH(E935,'Class Jobs'!$A$1:$A1000,0)&amp;"")-$Z935)) * SUM(IF(MIN(ABS(INDIRECT("Class Jobs!B"&amp;MATCH(E935,'Class Jobs'!$A$1:$A1000,0)&amp;":"&amp;"AF"&amp;MATCH(E935,'Class Jobs'!$A$1:$A1000,0)&amp;"")-$Z935))=ABS(INDIRECT("Class Jobs!B"&amp;MATCH(E935,'Class Jobs'!$A$1:$A1000,0)&amp;":"&amp;"AF"&amp;MATCH(E935,'Class Jobs'!$A$1:$A1000,0)&amp;"")-$Z935),SIGN(INDIRECT("Class Jobs!B"&amp;MATCH(E935,'Class Jobs'!$A$1:A1000,0)&amp;":"&amp;"AF"&amp;MATCH(E935,'Class Jobs'!$A$1:$A1000,0)&amp;"")-$Z935),0)),0)),INDIRECT("Class Jobs!B"&amp;MATCH(E935,'Class Jobs'!$A$1:$A1000,0)&amp;":"&amp;"AF"&amp;MATCH(E935,'Class Jobs'!$A$1:$A1000,1)&amp;""),'Class Jobs'!$B$1:$AF$1)</f>
        <v>#REF!</v>
      </c>
      <c r="Z935" s="158">
        <f t="shared" si="57"/>
        <v>0.04</v>
      </c>
      <c r="AA935" s="16" t="str">
        <f t="array" ref="AA935">INDEX(NPCGender,TRUNC(1+(COUNTA(NPCGender))*(TRUNC(MOD(($B935*1103515245 +12345)/ 65536, 32768),0)/32768),0))</f>
        <v>Male</v>
      </c>
      <c r="AB935" s="16" t="str">
        <f t="array" ref="AB935">INDEX(NPCRace,TRUNC(1+(COUNTA(NPCRace))*(TRUNC(MOD(($B935*1103515245 +12345)/ 65536, 32768),0)/32768),0))</f>
        <v>Dragonborn</v>
      </c>
      <c r="AC935" s="16" t="str">
        <f t="array" ref="AC935">INDEX(NPCAL,TRUNC(1+(COUNTA(NPCAL))*(TRUNC(MOD(($B935*1103515245 +12345)/ 65536, 32768),0)/32768),0))</f>
        <v>CN</v>
      </c>
      <c r="AD935" s="72" t="str">
        <f ca="1">IFERROR(__xludf.DUMMYFUNCTION("if(V935&lt;15,QUERY(NPCVar!C:D,""Select D WHERE C = '""&amp;D935&amp;""'""),if((TRUNC(1+10)*(TRUNC(MOD((ROW(H935)*1103515245 +12345)/ 65536, 32768),0)/32768)/10) &gt; 0.85,INDEX(NPCFaction,TRUNC(1+(counta(NPCFaction)-1)*(TRUNC(MOD(($B935*1103515245 +12345)/ 65536, 3276"&amp;"8),0)/32768),0)),QUERY(NPCVar!C:D,""Select D WHERE C = '""&amp;D935&amp;""'"")))"),"Death Guild")</f>
        <v>Death Guild</v>
      </c>
      <c r="AE935" s="108" t="e">
        <f t="shared" ca="1" si="58"/>
        <v>#NAME?</v>
      </c>
      <c r="AF935" s="159">
        <f ca="1">IFERROR(__xludf.DUMMYFUNCTION("AE935*(V935 / QUERY(NPCVar!$K$2:$N$12, ""Select N WHERE K='""&amp;AB935&amp;""'""))*TRUNC(1+10)*(TRUNC(MOD(($B935*1103515245 +12345)/ 65536, 32768),0)/32768)"),0.00566986083984375)</f>
        <v>5.6698608398437498E-3</v>
      </c>
      <c r="AG935" s="16"/>
      <c r="AH935" s="77"/>
      <c r="AI935" s="114"/>
    </row>
    <row r="936" spans="1:35" ht="16.2">
      <c r="A936" s="53">
        <v>935</v>
      </c>
      <c r="B936" s="118">
        <f t="shared" si="63"/>
        <v>1.00708</v>
      </c>
      <c r="C936" s="72" t="str">
        <f t="array" ref="C936">INDEX(NPCFName,TRUNC(1+(COUNTA(NPCFName))*(TRUNC(MOD(($B936*1103515245 +12345)/ 65536, 32768),0)/32768),0))</f>
        <v>Marklin</v>
      </c>
      <c r="D936" s="16" t="str">
        <f t="array" ref="D936">INDEX(NPCLName,TRUNC(1+(COUNTA(NPCLName))*(TRUNC(MOD(($B936*1103515245 +12345)/ 65536, 32768),0)/32768),0))</f>
        <v>Staghammer</v>
      </c>
      <c r="E936" s="16" t="str">
        <f t="array" ref="E936">INDEX(NPCClass,TRUNC(1+(COUNTA(NPCClass))*(TRUNC(MOD(($B936*1103515245 +12345)/ 65536, 32768),0)/32768),0))</f>
        <v>Sorcerer</v>
      </c>
      <c r="F936" s="76">
        <v>8</v>
      </c>
      <c r="G936" s="153">
        <f ca="1">VLOOKUP($AB$2,'RF Mod'!$A$2:$G$12,2,FALSE)+VLOOKUP($AD$2,'RF Mod'!$I$2:$O$11,2,FALSE)+(TRUNC(6+(24-6)*(TRUNC(MOD(($Z936*1103515245 +12345)/ 65536, 32768),0)/32768),0))</f>
        <v>8</v>
      </c>
      <c r="H936" s="16">
        <f t="shared" ca="1" si="49"/>
        <v>-1</v>
      </c>
      <c r="I936" s="153">
        <f ca="1">VLOOKUP($AB$2,'RF Mod'!$A$2:$G$12,3,FALSE)+VLOOKUP($AD$2,'RF Mod'!$I$2:$O$11,3,FALSE)+(TRUNC(6+(24-6)*(TRUNC(MOD(($Z936*1103515245 +12345)/ 65536, 32768),0)/32768),0))</f>
        <v>12</v>
      </c>
      <c r="J936" s="16" t="e">
        <f t="shared" ca="1" si="50"/>
        <v>#NAME?</v>
      </c>
      <c r="K936" s="153">
        <f ca="1">VLOOKUP($AB$2,'RF Mod'!$A$2:$G$12,3,FALSE)+VLOOKUP($AD$2,'RF Mod'!$I$2:$O$11,3,FALSE)+(TRUNC(6+(24-6)*(TRUNC(MOD(($Z936*1103515245 +12345)/ 65536, 32768),0)/32768),0))</f>
        <v>12</v>
      </c>
      <c r="L936" s="16" t="e">
        <f t="shared" ca="1" si="51"/>
        <v>#NAME?</v>
      </c>
      <c r="M936" s="153">
        <f ca="1">VLOOKUP($AB$2,'RF Mod'!$A$2:$G$12,4,FALSE)+VLOOKUP($AD$2,'RF Mod'!$I$2:$O$11,4,FALSE)+(TRUNC(6+(24-6)*(TRUNC(MOD(($Z936*1103515245 +12345)/ 65536, 32768),0)/32768),0))</f>
        <v>11</v>
      </c>
      <c r="N936" s="16" t="e">
        <f t="shared" ca="1" si="52"/>
        <v>#NAME?</v>
      </c>
      <c r="O936" s="153">
        <f ca="1">VLOOKUP($AB$2,'RF Mod'!$A$2:$G$12,5,FALSE)+VLOOKUP($AD$2,'RF Mod'!$I$2:$O$11,5,FALSE)+(TRUNC(6+(24-6)*(TRUNC(MOD(($Z936*1103515245 +12345)/ 65536, 32768),0)/32768),0))</f>
        <v>14</v>
      </c>
      <c r="P936" s="16" t="e">
        <f t="shared" ca="1" si="53"/>
        <v>#NAME?</v>
      </c>
      <c r="Q936" s="153">
        <f ca="1">VLOOKUP($AB$2,'RF Mod'!$A$2:$G$12,6,FALSE)+VLOOKUP($AD$2,'RF Mod'!$I$2:$O$11,6,FALSE)+(TRUNC(6+(24-6)*(TRUNC(MOD(($Z936*1103515245 +12345)/ 65536, 32768),0)/32768),0))</f>
        <v>12</v>
      </c>
      <c r="R936" s="16" t="e">
        <f t="shared" ca="1" si="54"/>
        <v>#NAME?</v>
      </c>
      <c r="S936" s="154">
        <f t="shared" ca="1" si="59"/>
        <v>144</v>
      </c>
      <c r="T936" s="154">
        <f t="shared" ca="1" si="55"/>
        <v>113</v>
      </c>
      <c r="U936" s="16" t="str">
        <f t="shared" ca="1" si="56"/>
        <v>Bloody</v>
      </c>
      <c r="V936" s="155">
        <f ca="1">IFERROR(__xludf.DUMMYFUNCTION("if(W936=""Middle Age"",QUERY(NPCVar!$K$2:$N1000, ""Select L where K = '""&amp;AB936&amp;""'""),if(W936=""Old"",QUERY(NPCVar!$K$2:$N1000, ""Select M where K = '""&amp;AB936&amp;""'""),if(W936=""Venerable"",QUERY(NPCVar!$K$2:$N1000, ""Select N where K = '""&amp;AB936&amp;""'""),fa"&amp;"lse)))*X936"),91)</f>
        <v>91</v>
      </c>
      <c r="W936" s="156" t="str">
        <f t="array" ref="W936">INDEX(NPCAgeType,TRUNC(1+(4-1)*(TRUNC(MOD((X936*1103515245 +12345)/ 65536, 32768),0)/32768),0))</f>
        <v>Venerable</v>
      </c>
      <c r="X936" s="117">
        <f t="shared" si="61"/>
        <v>1.3</v>
      </c>
      <c r="Y936" s="157" t="e">
        <f t="array" aca="1" ref="Y936" ca="1">LOOKUP(ABS(MAX(Z936 + MIN(ABS(INDIRECT("Class Jobs!B"&amp;MATCH(E936,'Class Jobs'!$A$1:$A1000,0)&amp;":"&amp;"AF"&amp;MATCH(E936,'Class Jobs'!$A$1:$A1000,0)&amp;"")-$Z936)) * SUM(IF(MIN(ABS(INDIRECT("Class Jobs!B"&amp;MATCH(E936,'Class Jobs'!$A$1:$A1000,0)&amp;":"&amp;"AF"&amp;MATCH(E936,'Class Jobs'!$A$1:$A1000,0)&amp;"")-$Z936))=ABS(INDIRECT("Class Jobs!B"&amp;MATCH(E936,'Class Jobs'!$A$1:$A1000,0)&amp;":"&amp;"AF"&amp;MATCH(E936,'Class Jobs'!$A$1:$A1000,0)&amp;"")-$Z936),SIGN(INDIRECT("Class Jobs!B"&amp;MATCH(E936,'Class Jobs'!$A$1:A1000,0)&amp;":"&amp;"AF"&amp;MATCH(E936,'Class Jobs'!$A$1:$A1000,0)&amp;"")-$Z936),0)),0)),INDIRECT("Class Jobs!B"&amp;MATCH(E936,'Class Jobs'!$A$1:$A1000,0)&amp;":"&amp;"AF"&amp;MATCH(E936,'Class Jobs'!$A$1:$A1000,1)&amp;""),'Class Jobs'!$B$1:$AF$1)</f>
        <v>#REF!</v>
      </c>
      <c r="Z936" s="158">
        <f t="shared" si="57"/>
        <v>0.52</v>
      </c>
      <c r="AA936" s="16" t="str">
        <f t="array" ref="AA936">INDEX(NPCGender,TRUNC(1+(COUNTA(NPCGender))*(TRUNC(MOD(($B936*1103515245 +12345)/ 65536, 32768),0)/32768),0))</f>
        <v>Female</v>
      </c>
      <c r="AB936" s="16" t="str">
        <f t="array" ref="AB936">INDEX(NPCRace,TRUNC(1+(COUNTA(NPCRace))*(TRUNC(MOD(($B936*1103515245 +12345)/ 65536, 32768),0)/32768),0))</f>
        <v>Half-Orc</v>
      </c>
      <c r="AC936" s="16" t="str">
        <f t="array" ref="AC936">INDEX(NPCAL,TRUNC(1+(COUNTA(NPCAL))*(TRUNC(MOD(($B936*1103515245 +12345)/ 65536, 32768),0)/32768),0))</f>
        <v>NN</v>
      </c>
      <c r="AD936" s="72" t="str">
        <f ca="1">IFERROR(__xludf.DUMMYFUNCTION("if(V936&lt;15,QUERY(NPCVar!C:D,""Select D WHERE C = '""&amp;D936&amp;""'""),if((TRUNC(1+10)*(TRUNC(MOD((ROW(H936)*1103515245 +12345)/ 65536, 32768),0)/32768)/10) &gt; 0.85,INDEX(NPCFaction,TRUNC(1+(counta(NPCFaction)-1)*(TRUNC(MOD(($B936*1103515245 +12345)/ 65536, 3276"&amp;"8),0)/32768),0)),QUERY(NPCVar!C:D,""Select D WHERE C = '""&amp;D936&amp;""'"")))"),"Thieves Guild")</f>
        <v>Thieves Guild</v>
      </c>
      <c r="AE936" s="108" t="e">
        <f t="shared" ca="1" si="58"/>
        <v>#NAME?</v>
      </c>
      <c r="AF936" s="159">
        <f ca="1">IFERROR(__xludf.DUMMYFUNCTION("AE936*(V936 / QUERY(NPCVar!$K$2:$N$12, ""Select N WHERE K='""&amp;AB936&amp;""'""))*TRUNC(1+10)*(TRUNC(MOD(($B936*1103515245 +12345)/ 65536, 32768),0)/32768)"),4.44003479003906)</f>
        <v>4.4400347900390598</v>
      </c>
      <c r="AG936" s="16"/>
      <c r="AH936" s="77"/>
      <c r="AI936" s="114"/>
    </row>
    <row r="937" spans="1:35" ht="16.2">
      <c r="A937" s="53">
        <v>936</v>
      </c>
      <c r="B937" s="118">
        <f t="shared" si="63"/>
        <v>1.15E-3</v>
      </c>
      <c r="C937" s="72" t="str">
        <f t="array" ref="C937">INDEX(NPCFName,TRUNC(1+(COUNTA(NPCFName))*(TRUNC(MOD(($B937*1103515245 +12345)/ 65536, 32768),0)/32768),0))</f>
        <v>Abaet</v>
      </c>
      <c r="D937" s="16" t="str">
        <f t="array" ref="D937">INDEX(NPCLName,TRUNC(1+(COUNTA(NPCLName))*(TRUNC(MOD(($B937*1103515245 +12345)/ 65536, 32768),0)/32768),0))</f>
        <v>Stagfang</v>
      </c>
      <c r="E937" s="16" t="str">
        <f t="array" ref="E937">INDEX(NPCClass,TRUNC(1+(COUNTA(NPCClass))*(TRUNC(MOD(($B937*1103515245 +12345)/ 65536, 32768),0)/32768),0))</f>
        <v>Barbarian</v>
      </c>
      <c r="F937" s="76">
        <v>1</v>
      </c>
      <c r="G937" s="153">
        <f ca="1">VLOOKUP($AB$2,'RF Mod'!$A$2:$G$12,2,FALSE)+VLOOKUP($AD$2,'RF Mod'!$I$2:$O$11,2,FALSE)+(TRUNC(6+(24-6)*(TRUNC(MOD(($Z937*1103515245 +12345)/ 65536, 32768),0)/32768),0))</f>
        <v>4</v>
      </c>
      <c r="H937" s="16">
        <f t="shared" ca="1" si="49"/>
        <v>-3</v>
      </c>
      <c r="I937" s="153">
        <f ca="1">VLOOKUP($AB$2,'RF Mod'!$A$2:$G$12,3,FALSE)+VLOOKUP($AD$2,'RF Mod'!$I$2:$O$11,3,FALSE)+(TRUNC(6+(24-6)*(TRUNC(MOD(($Z937*1103515245 +12345)/ 65536, 32768),0)/32768),0))</f>
        <v>8</v>
      </c>
      <c r="J937" s="16">
        <f t="shared" ca="1" si="50"/>
        <v>-1</v>
      </c>
      <c r="K937" s="153">
        <f ca="1">VLOOKUP($AB$2,'RF Mod'!$A$2:$G$12,3,FALSE)+VLOOKUP($AD$2,'RF Mod'!$I$2:$O$11,3,FALSE)+(TRUNC(6+(24-6)*(TRUNC(MOD(($Z937*1103515245 +12345)/ 65536, 32768),0)/32768),0))</f>
        <v>8</v>
      </c>
      <c r="L937" s="16">
        <f t="shared" ca="1" si="51"/>
        <v>-1</v>
      </c>
      <c r="M937" s="153">
        <f ca="1">VLOOKUP($AB$2,'RF Mod'!$A$2:$G$12,4,FALSE)+VLOOKUP($AD$2,'RF Mod'!$I$2:$O$11,4,FALSE)+(TRUNC(6+(24-6)*(TRUNC(MOD(($Z937*1103515245 +12345)/ 65536, 32768),0)/32768),0))</f>
        <v>7</v>
      </c>
      <c r="N937" s="16">
        <f t="shared" ca="1" si="52"/>
        <v>-2</v>
      </c>
      <c r="O937" s="153">
        <f ca="1">VLOOKUP($AB$2,'RF Mod'!$A$2:$G$12,5,FALSE)+VLOOKUP($AD$2,'RF Mod'!$I$2:$O$11,5,FALSE)+(TRUNC(6+(24-6)*(TRUNC(MOD(($Z937*1103515245 +12345)/ 65536, 32768),0)/32768),0))</f>
        <v>10</v>
      </c>
      <c r="P937" s="16" t="e">
        <f t="shared" ca="1" si="53"/>
        <v>#NAME?</v>
      </c>
      <c r="Q937" s="153">
        <f ca="1">VLOOKUP($AB$2,'RF Mod'!$A$2:$G$12,6,FALSE)+VLOOKUP($AD$2,'RF Mod'!$I$2:$O$11,6,FALSE)+(TRUNC(6+(24-6)*(TRUNC(MOD(($Z937*1103515245 +12345)/ 65536, 32768),0)/32768),0))</f>
        <v>8</v>
      </c>
      <c r="R937" s="16">
        <f t="shared" ca="1" si="54"/>
        <v>-1</v>
      </c>
      <c r="S937" s="154">
        <f t="shared" ca="1" si="59"/>
        <v>10</v>
      </c>
      <c r="T937" s="154">
        <f t="shared" ca="1" si="55"/>
        <v>10</v>
      </c>
      <c r="U937" s="16" t="str">
        <f t="shared" ca="1" si="56"/>
        <v>Unconscious</v>
      </c>
      <c r="V937" s="155">
        <f ca="1">IFERROR(__xludf.DUMMYFUNCTION("if(W937=""Middle Age"",QUERY(NPCVar!$K$2:$N1000, ""Select L where K = '""&amp;AB937&amp;""'""),if(W937=""Old"",QUERY(NPCVar!$K$2:$N1000, ""Select M where K = '""&amp;AB937&amp;""'""),if(W937=""Venerable"",QUERY(NPCVar!$K$2:$N1000, ""Select N where K = '""&amp;AB937&amp;""'""),fa"&amp;"lse)))*X937"),2)</f>
        <v>2</v>
      </c>
      <c r="W937" s="156" t="str">
        <f t="array" ref="W937">INDEX(NPCAgeType,TRUNC(1+(4-1)*(TRUNC(MOD((X937*1103515245 +12345)/ 65536, 32768),0)/32768),0))</f>
        <v>Middle Age</v>
      </c>
      <c r="X937" s="117">
        <f t="shared" si="61"/>
        <v>0.1</v>
      </c>
      <c r="Y937" s="157" t="e">
        <f t="array" aca="1" ref="Y937" ca="1">LOOKUP(ABS(MAX(Z937 + MIN(ABS(INDIRECT("Class Jobs!B"&amp;MATCH(E937,'Class Jobs'!$A$1:$A1000,0)&amp;":"&amp;"AF"&amp;MATCH(E937,'Class Jobs'!$A$1:$A1000,0)&amp;"")-$Z937)) * SUM(IF(MIN(ABS(INDIRECT("Class Jobs!B"&amp;MATCH(E937,'Class Jobs'!$A$1:$A1000,0)&amp;":"&amp;"AF"&amp;MATCH(E937,'Class Jobs'!$A$1:$A1000,0)&amp;"")-$Z937))=ABS(INDIRECT("Class Jobs!B"&amp;MATCH(E937,'Class Jobs'!$A$1:$A1000,0)&amp;":"&amp;"AF"&amp;MATCH(E937,'Class Jobs'!$A$1:$A1000,0)&amp;"")-$Z937),SIGN(INDIRECT("Class Jobs!B"&amp;MATCH(E937,'Class Jobs'!$A$1:A1000,0)&amp;":"&amp;"AF"&amp;MATCH(E937,'Class Jobs'!$A$1:$A1000,0)&amp;"")-$Z937),0)),0)),INDIRECT("Class Jobs!B"&amp;MATCH(E937,'Class Jobs'!$A$1:$A1000,0)&amp;":"&amp;"AF"&amp;MATCH(E937,'Class Jobs'!$A$1:$A1000,1)&amp;""),'Class Jobs'!$B$1:$AF$1)</f>
        <v>#REF!</v>
      </c>
      <c r="Z937" s="158">
        <f t="shared" si="57"/>
        <v>0.01</v>
      </c>
      <c r="AA937" s="16" t="str">
        <f t="array" ref="AA937">INDEX(NPCGender,TRUNC(1+(COUNTA(NPCGender))*(TRUNC(MOD(($B937*1103515245 +12345)/ 65536, 32768),0)/32768),0))</f>
        <v>Male</v>
      </c>
      <c r="AB937" s="16" t="str">
        <f t="array" ref="AB937">INDEX(NPCRace,TRUNC(1+(COUNTA(NPCRace))*(TRUNC(MOD(($B937*1103515245 +12345)/ 65536, 32768),0)/32768),0))</f>
        <v>Dragonborn</v>
      </c>
      <c r="AC937" s="16" t="str">
        <f t="array" ref="AC937">INDEX(NPCAL,TRUNC(1+(COUNTA(NPCAL))*(TRUNC(MOD(($B937*1103515245 +12345)/ 65536, 32768),0)/32768),0))</f>
        <v>CN</v>
      </c>
      <c r="AD937" s="72" t="str">
        <f ca="1">IFERROR(__xludf.DUMMYFUNCTION("if(V937&lt;15,QUERY(NPCVar!C:D,""Select D WHERE C = '""&amp;D937&amp;""'""),if((TRUNC(1+10)*(TRUNC(MOD((ROW(H937)*1103515245 +12345)/ 65536, 32768),0)/32768)/10) &gt; 0.85,INDEX(NPCFaction,TRUNC(1+(counta(NPCFaction)-1)*(TRUNC(MOD(($B937*1103515245 +12345)/ 65536, 3276"&amp;"8),0)/32768),0)),QUERY(NPCVar!C:D,""Select D WHERE C = '""&amp;D937&amp;""'"")))"),"Royalty")</f>
        <v>Royalty</v>
      </c>
      <c r="AE937" s="108" t="e">
        <f t="shared" ca="1" si="58"/>
        <v>#NAME?</v>
      </c>
      <c r="AF937" s="159">
        <f ca="1">IFERROR(__xludf.DUMMYFUNCTION("AE937*(V937 / QUERY(NPCVar!$K$2:$N$12, ""Select N WHERE K='""&amp;AB937&amp;""'""))*TRUNC(1+10)*(TRUNC(MOD(($B937*1103515245 +12345)/ 65536, 32768),0)/32768)"),0.000095672607421875)</f>
        <v>9.5672607421874993E-5</v>
      </c>
      <c r="AG937" s="16"/>
      <c r="AH937" s="77"/>
      <c r="AI937" s="114"/>
    </row>
    <row r="938" spans="1:35" ht="16.2">
      <c r="A938" s="53">
        <v>937</v>
      </c>
      <c r="B938" s="118">
        <f t="shared" si="63"/>
        <v>1.4952799999999999</v>
      </c>
      <c r="C938" s="72" t="str">
        <f t="array" ref="C938">INDEX(NPCFName,TRUNC(1+(COUNTA(NPCFName))*(TRUNC(MOD(($B938*1103515245 +12345)/ 65536, 32768),0)/32768),0))</f>
        <v>Etran</v>
      </c>
      <c r="D938" s="16" t="str">
        <f t="array" ref="D938">INDEX(NPCLName,TRUNC(1+(COUNTA(NPCLName))*(TRUNC(MOD(($B938*1103515245 +12345)/ 65536, 32768),0)/32768),0))</f>
        <v>Truthdoom</v>
      </c>
      <c r="E938" s="16" t="str">
        <f t="array" ref="E938">INDEX(NPCClass,TRUNC(1+(COUNTA(NPCClass))*(TRUNC(MOD(($B938*1103515245 +12345)/ 65536, 32768),0)/32768),0))</f>
        <v>Cleric</v>
      </c>
      <c r="F938" s="76">
        <v>8</v>
      </c>
      <c r="G938" s="153">
        <f ca="1">VLOOKUP($AB$2,'RF Mod'!$A$2:$G$12,2,FALSE)+VLOOKUP($AD$2,'RF Mod'!$I$2:$O$11,2,FALSE)+(TRUNC(6+(24-6)*(TRUNC(MOD(($Z938*1103515245 +12345)/ 65536, 32768),0)/32768),0))</f>
        <v>11</v>
      </c>
      <c r="H938" s="16" t="e">
        <f t="shared" ca="1" si="49"/>
        <v>#NAME?</v>
      </c>
      <c r="I938" s="153">
        <f ca="1">VLOOKUP($AB$2,'RF Mod'!$A$2:$G$12,3,FALSE)+VLOOKUP($AD$2,'RF Mod'!$I$2:$O$11,3,FALSE)+(TRUNC(6+(24-6)*(TRUNC(MOD(($Z938*1103515245 +12345)/ 65536, 32768),0)/32768),0))</f>
        <v>15</v>
      </c>
      <c r="J938" s="16" t="e">
        <f t="shared" ca="1" si="50"/>
        <v>#NAME?</v>
      </c>
      <c r="K938" s="153">
        <f ca="1">VLOOKUP($AB$2,'RF Mod'!$A$2:$G$12,3,FALSE)+VLOOKUP($AD$2,'RF Mod'!$I$2:$O$11,3,FALSE)+(TRUNC(6+(24-6)*(TRUNC(MOD(($Z938*1103515245 +12345)/ 65536, 32768),0)/32768),0))</f>
        <v>15</v>
      </c>
      <c r="L938" s="16" t="e">
        <f t="shared" ca="1" si="51"/>
        <v>#NAME?</v>
      </c>
      <c r="M938" s="153">
        <f ca="1">VLOOKUP($AB$2,'RF Mod'!$A$2:$G$12,4,FALSE)+VLOOKUP($AD$2,'RF Mod'!$I$2:$O$11,4,FALSE)+(TRUNC(6+(24-6)*(TRUNC(MOD(($Z938*1103515245 +12345)/ 65536, 32768),0)/32768),0))</f>
        <v>14</v>
      </c>
      <c r="N938" s="16" t="e">
        <f t="shared" ca="1" si="52"/>
        <v>#NAME?</v>
      </c>
      <c r="O938" s="153">
        <f ca="1">VLOOKUP($AB$2,'RF Mod'!$A$2:$G$12,5,FALSE)+VLOOKUP($AD$2,'RF Mod'!$I$2:$O$11,5,FALSE)+(TRUNC(6+(24-6)*(TRUNC(MOD(($Z938*1103515245 +12345)/ 65536, 32768),0)/32768),0))</f>
        <v>17</v>
      </c>
      <c r="P938" s="16" t="e">
        <f t="shared" ca="1" si="53"/>
        <v>#NAME?</v>
      </c>
      <c r="Q938" s="153">
        <f ca="1">VLOOKUP($AB$2,'RF Mod'!$A$2:$G$12,6,FALSE)+VLOOKUP($AD$2,'RF Mod'!$I$2:$O$11,6,FALSE)+(TRUNC(6+(24-6)*(TRUNC(MOD(($Z938*1103515245 +12345)/ 65536, 32768),0)/32768),0))</f>
        <v>15</v>
      </c>
      <c r="R938" s="16" t="e">
        <f t="shared" ca="1" si="54"/>
        <v>#NAME?</v>
      </c>
      <c r="S938" s="154">
        <f t="shared" ca="1" si="59"/>
        <v>264</v>
      </c>
      <c r="T938" s="154">
        <f t="shared" ca="1" si="55"/>
        <v>284</v>
      </c>
      <c r="U938" s="16" t="str">
        <f t="shared" ca="1" si="56"/>
        <v>Dead</v>
      </c>
      <c r="V938" s="155">
        <f ca="1">IFERROR(__xludf.DUMMYFUNCTION("if(W938=""Middle Age"",QUERY(NPCVar!$K$2:$N1000, ""Select L where K = '""&amp;AB938&amp;""'""),if(W938=""Old"",QUERY(NPCVar!$K$2:$N1000, ""Select M where K = '""&amp;AB938&amp;""'""),if(W938=""Venerable"",QUERY(NPCVar!$K$2:$N1000, ""Select N where K = '""&amp;AB938&amp;""'""),fa"&amp;"lse)))*X938"),190)</f>
        <v>190</v>
      </c>
      <c r="W938" s="156" t="str">
        <f t="array" ref="W938">INDEX(NPCAgeType,TRUNC(1+(4-1)*(TRUNC(MOD((X938*1103515245 +12345)/ 65536, 32768),0)/32768),0))</f>
        <v>Venerable</v>
      </c>
      <c r="X938" s="117">
        <f t="shared" si="61"/>
        <v>1.9</v>
      </c>
      <c r="Y938" s="157" t="e">
        <f t="array" aca="1" ref="Y938" ca="1">LOOKUP(ABS(MAX(Z938 + MIN(ABS(INDIRECT("Class Jobs!B"&amp;MATCH(E938,'Class Jobs'!$A$1:$A1000,0)&amp;":"&amp;"AF"&amp;MATCH(E938,'Class Jobs'!$A$1:$A1000,0)&amp;"")-$Z938)) * SUM(IF(MIN(ABS(INDIRECT("Class Jobs!B"&amp;MATCH(E938,'Class Jobs'!$A$1:$A1000,0)&amp;":"&amp;"AF"&amp;MATCH(E938,'Class Jobs'!$A$1:$A1000,0)&amp;"")-$Z938))=ABS(INDIRECT("Class Jobs!B"&amp;MATCH(E938,'Class Jobs'!$A$1:$A1000,0)&amp;":"&amp;"AF"&amp;MATCH(E938,'Class Jobs'!$A$1:$A1000,0)&amp;"")-$Z938),SIGN(INDIRECT("Class Jobs!B"&amp;MATCH(E938,'Class Jobs'!$A$1:A1000,0)&amp;":"&amp;"AF"&amp;MATCH(E938,'Class Jobs'!$A$1:$A1000,0)&amp;"")-$Z938),0)),0)),INDIRECT("Class Jobs!B"&amp;MATCH(E938,'Class Jobs'!$A$1:$A1000,0)&amp;":"&amp;"AF"&amp;MATCH(E938,'Class Jobs'!$A$1:$A1000,1)&amp;""),'Class Jobs'!$B$1:$AF$1)</f>
        <v>#REF!</v>
      </c>
      <c r="Z938" s="158">
        <f t="shared" si="57"/>
        <v>0.77</v>
      </c>
      <c r="AA938" s="16" t="str">
        <f t="array" ref="AA938">INDEX(NPCGender,TRUNC(1+(COUNTA(NPCGender))*(TRUNC(MOD(($B938*1103515245 +12345)/ 65536, 32768),0)/32768),0))</f>
        <v>Neutral</v>
      </c>
      <c r="AB938" s="16" t="str">
        <f t="array" ref="AB938">INDEX(NPCRace,TRUNC(1+(COUNTA(NPCRace))*(TRUNC(MOD(($B938*1103515245 +12345)/ 65536, 32768),0)/32768),0))</f>
        <v>Tiefling</v>
      </c>
      <c r="AC938" s="16" t="str">
        <f t="array" ref="AC938">INDEX(NPCAL,TRUNC(1+(COUNTA(NPCAL))*(TRUNC(MOD(($B938*1103515245 +12345)/ 65536, 32768),0)/32768),0))</f>
        <v>LG</v>
      </c>
      <c r="AD938" s="72" t="str">
        <f ca="1">IFERROR(__xludf.DUMMYFUNCTION("if(V938&lt;15,QUERY(NPCVar!C:D,""Select D WHERE C = '""&amp;D938&amp;""'""),if((TRUNC(1+10)*(TRUNC(MOD((ROW(H938)*1103515245 +12345)/ 65536, 32768),0)/32768)/10) &gt; 0.85,INDEX(NPCFaction,TRUNC(1+(counta(NPCFaction)-1)*(TRUNC(MOD(($B938*1103515245 +12345)/ 65536, 3276"&amp;"8),0)/32768),0)),QUERY(NPCVar!C:D,""Select D WHERE C = '""&amp;D938&amp;""'"")))"),"Traverlers Guild")</f>
        <v>Traverlers Guild</v>
      </c>
      <c r="AE938" s="108" t="e">
        <f t="shared" ca="1" si="58"/>
        <v>#NAME?</v>
      </c>
      <c r="AF938" s="159">
        <f ca="1">IFERROR(__xludf.DUMMYFUNCTION("AE938*(V938 / QUERY(NPCVar!$K$2:$N$12, ""Select N WHERE K='""&amp;AB938&amp;""'""))*TRUNC(1+10)*(TRUNC(MOD(($B938*1103515245 +12345)/ 65536, 32768),0)/32768)"),9.63537963867187)</f>
        <v>9.6353796386718695</v>
      </c>
      <c r="AG938" s="16"/>
      <c r="AH938" s="77"/>
      <c r="AI938" s="114"/>
    </row>
    <row r="939" spans="1:35" ht="16.2">
      <c r="A939" s="53">
        <v>938</v>
      </c>
      <c r="B939" s="118">
        <f t="shared" si="63"/>
        <v>0.48942999999999998</v>
      </c>
      <c r="C939" s="72" t="str">
        <f t="array" ref="C939">INDEX(NPCFName,TRUNC(1+(COUNTA(NPCFName))*(TRUNC(MOD(($B939*1103515245 +12345)/ 65536, 32768),0)/32768),0))</f>
        <v>Ryodan</v>
      </c>
      <c r="D939" s="16" t="str">
        <f t="array" ref="D939">INDEX(NPCLName,TRUNC(1+(COUNTA(NPCLName))*(TRUNC(MOD(($B939*1103515245 +12345)/ 65536, 32768),0)/32768),0))</f>
        <v>Tuskleaf</v>
      </c>
      <c r="E939" s="16" t="str">
        <f t="array" ref="E939">INDEX(NPCClass,TRUNC(1+(COUNTA(NPCClass))*(TRUNC(MOD(($B939*1103515245 +12345)/ 65536, 32768),0)/32768),0))</f>
        <v>Monk</v>
      </c>
      <c r="F939" s="76">
        <v>4</v>
      </c>
      <c r="G939" s="153">
        <f ca="1">VLOOKUP($AB$2,'RF Mod'!$A$2:$G$12,2,FALSE)+VLOOKUP($AD$2,'RF Mod'!$I$2:$O$11,2,FALSE)+(TRUNC(6+(24-6)*(TRUNC(MOD(($Z939*1103515245 +12345)/ 65536, 32768),0)/32768),0))</f>
        <v>6</v>
      </c>
      <c r="H939" s="16">
        <f t="shared" ca="1" si="49"/>
        <v>-2</v>
      </c>
      <c r="I939" s="153">
        <f ca="1">VLOOKUP($AB$2,'RF Mod'!$A$2:$G$12,3,FALSE)+VLOOKUP($AD$2,'RF Mod'!$I$2:$O$11,3,FALSE)+(TRUNC(6+(24-6)*(TRUNC(MOD(($Z939*1103515245 +12345)/ 65536, 32768),0)/32768),0))</f>
        <v>10</v>
      </c>
      <c r="J939" s="16" t="e">
        <f t="shared" ca="1" si="50"/>
        <v>#NAME?</v>
      </c>
      <c r="K939" s="153">
        <f ca="1">VLOOKUP($AB$2,'RF Mod'!$A$2:$G$12,3,FALSE)+VLOOKUP($AD$2,'RF Mod'!$I$2:$O$11,3,FALSE)+(TRUNC(6+(24-6)*(TRUNC(MOD(($Z939*1103515245 +12345)/ 65536, 32768),0)/32768),0))</f>
        <v>10</v>
      </c>
      <c r="L939" s="16" t="e">
        <f t="shared" ca="1" si="51"/>
        <v>#NAME?</v>
      </c>
      <c r="M939" s="153">
        <f ca="1">VLOOKUP($AB$2,'RF Mod'!$A$2:$G$12,4,FALSE)+VLOOKUP($AD$2,'RF Mod'!$I$2:$O$11,4,FALSE)+(TRUNC(6+(24-6)*(TRUNC(MOD(($Z939*1103515245 +12345)/ 65536, 32768),0)/32768),0))</f>
        <v>9</v>
      </c>
      <c r="N939" s="16">
        <f t="shared" ca="1" si="52"/>
        <v>-1</v>
      </c>
      <c r="O939" s="153">
        <f ca="1">VLOOKUP($AB$2,'RF Mod'!$A$2:$G$12,5,FALSE)+VLOOKUP($AD$2,'RF Mod'!$I$2:$O$11,5,FALSE)+(TRUNC(6+(24-6)*(TRUNC(MOD(($Z939*1103515245 +12345)/ 65536, 32768),0)/32768),0))</f>
        <v>12</v>
      </c>
      <c r="P939" s="16" t="e">
        <f t="shared" ca="1" si="53"/>
        <v>#NAME?</v>
      </c>
      <c r="Q939" s="153">
        <f ca="1">VLOOKUP($AB$2,'RF Mod'!$A$2:$G$12,6,FALSE)+VLOOKUP($AD$2,'RF Mod'!$I$2:$O$11,6,FALSE)+(TRUNC(6+(24-6)*(TRUNC(MOD(($Z939*1103515245 +12345)/ 65536, 32768),0)/32768),0))</f>
        <v>10</v>
      </c>
      <c r="R939" s="16" t="e">
        <f t="shared" ca="1" si="54"/>
        <v>#NAME?</v>
      </c>
      <c r="S939" s="154">
        <f t="shared" ca="1" si="59"/>
        <v>112</v>
      </c>
      <c r="T939" s="154">
        <f t="shared" ca="1" si="55"/>
        <v>34</v>
      </c>
      <c r="U939" s="16" t="str">
        <f t="shared" ca="1" si="56"/>
        <v>Fine</v>
      </c>
      <c r="V939" s="155">
        <f ca="1">IFERROR(__xludf.DUMMYFUNCTION("if(W939=""Middle Age"",QUERY(NPCVar!$K$2:$N1000, ""Select L where K = '""&amp;AB939&amp;""'""),if(W939=""Old"",QUERY(NPCVar!$K$2:$N1000, ""Select M where K = '""&amp;AB939&amp;""'""),if(W939=""Venerable"",QUERY(NPCVar!$K$2:$N1000, ""Select N where K = '""&amp;AB939&amp;""'""),fa"&amp;"lse)))*X939"),196.875)</f>
        <v>196.875</v>
      </c>
      <c r="W939" s="156" t="str">
        <f t="array" ref="W939">INDEX(NPCAgeType,TRUNC(1+(4-1)*(TRUNC(MOD((X939*1103515245 +12345)/ 65536, 32768),0)/32768),0))</f>
        <v>Old</v>
      </c>
      <c r="X939" s="117">
        <f t="shared" si="61"/>
        <v>0.7</v>
      </c>
      <c r="Y939" s="157" t="e">
        <f t="array" aca="1" ref="Y939" ca="1">LOOKUP(ABS(MAX(Z939 + MIN(ABS(INDIRECT("Class Jobs!B"&amp;MATCH(E939,'Class Jobs'!$A$1:$A1000,0)&amp;":"&amp;"AF"&amp;MATCH(E939,'Class Jobs'!$A$1:$A1000,0)&amp;"")-$Z939)) * SUM(IF(MIN(ABS(INDIRECT("Class Jobs!B"&amp;MATCH(E939,'Class Jobs'!$A$1:$A1000,0)&amp;":"&amp;"AF"&amp;MATCH(E939,'Class Jobs'!$A$1:$A1000,0)&amp;"")-$Z939))=ABS(INDIRECT("Class Jobs!B"&amp;MATCH(E939,'Class Jobs'!$A$1:$A1000,0)&amp;":"&amp;"AF"&amp;MATCH(E939,'Class Jobs'!$A$1:$A1000,0)&amp;"")-$Z939),SIGN(INDIRECT("Class Jobs!B"&amp;MATCH(E939,'Class Jobs'!$A$1:A1000,0)&amp;":"&amp;"AF"&amp;MATCH(E939,'Class Jobs'!$A$1:$A1000,0)&amp;"")-$Z939),0)),0)),INDIRECT("Class Jobs!B"&amp;MATCH(E939,'Class Jobs'!$A$1:$A1000,0)&amp;":"&amp;"AF"&amp;MATCH(E939,'Class Jobs'!$A$1:$A1000,1)&amp;""),'Class Jobs'!$B$1:$AF$1)</f>
        <v>#REF!</v>
      </c>
      <c r="Z939" s="158">
        <f t="shared" si="57"/>
        <v>0.25</v>
      </c>
      <c r="AA939" s="16" t="str">
        <f t="array" ref="AA939">INDEX(NPCGender,TRUNC(1+(COUNTA(NPCGender))*(TRUNC(MOD(($B939*1103515245 +12345)/ 65536, 32768),0)/32768),0))</f>
        <v>Male</v>
      </c>
      <c r="AB939" s="16" t="str">
        <f t="array" ref="AB939">INDEX(NPCRace,TRUNC(1+(COUNTA(NPCRace))*(TRUNC(MOD(($B939*1103515245 +12345)/ 65536, 32768),0)/32768),0))</f>
        <v>Elf</v>
      </c>
      <c r="AC939" s="16" t="str">
        <f t="array" ref="AC939">INDEX(NPCAL,TRUNC(1+(COUNTA(NPCAL))*(TRUNC(MOD(($B939*1103515245 +12345)/ 65536, 32768),0)/32768),0))</f>
        <v>CG</v>
      </c>
      <c r="AD939" s="72" t="str">
        <f ca="1">IFERROR(__xludf.DUMMYFUNCTION("if(V939&lt;15,QUERY(NPCVar!C:D,""Select D WHERE C = '""&amp;D939&amp;""'""),if((TRUNC(1+10)*(TRUNC(MOD((ROW(H939)*1103515245 +12345)/ 65536, 32768),0)/32768)/10) &gt; 0.85,INDEX(NPCFaction,TRUNC(1+(counta(NPCFaction)-1)*(TRUNC(MOD(($B939*1103515245 +12345)/ 65536, 3276"&amp;"8),0)/32768),0)),QUERY(NPCVar!C:D,""Select D WHERE C = '""&amp;D939&amp;""'"")))"),"Magic Guild")</f>
        <v>Magic Guild</v>
      </c>
      <c r="AE939" s="108" t="e">
        <f t="shared" ca="1" si="58"/>
        <v>#NAME?</v>
      </c>
      <c r="AF939" s="159">
        <f ca="1">IFERROR(__xludf.DUMMYFUNCTION("AE939*(V939 / QUERY(NPCVar!$K$2:$N$12, ""Select N WHERE K='""&amp;AB939&amp;""'""))*TRUNC(1+10)*(TRUNC(MOD(($B939*1103515245 +12345)/ 65536, 32768),0)/32768)"),-0.072619285583496)</f>
        <v>-7.2619285583495993E-2</v>
      </c>
      <c r="AG939" s="16"/>
      <c r="AH939" s="77"/>
      <c r="AI939" s="114"/>
    </row>
    <row r="940" spans="1:35" ht="16.2">
      <c r="A940" s="53">
        <v>939</v>
      </c>
      <c r="B940" s="118">
        <f t="shared" si="63"/>
        <v>1.98356</v>
      </c>
      <c r="C940" s="72" t="str">
        <f t="array" ref="C940">INDEX(NPCFName,TRUNC(1+(COUNTA(NPCFName))*(TRUNC(MOD(($B940*1103515245 +12345)/ 65536, 32768),0)/32768),0))</f>
        <v>Atgur</v>
      </c>
      <c r="D940" s="16" t="str">
        <f t="array" ref="D940">INDEX(NPCLName,TRUNC(1+(COUNTA(NPCLName))*(TRUNC(MOD(($B940*1103515245 +12345)/ 65536, 32768),0)/32768),0))</f>
        <v>Stagfang</v>
      </c>
      <c r="E940" s="16" t="str">
        <f t="array" ref="E940">INDEX(NPCClass,TRUNC(1+(COUNTA(NPCClass))*(TRUNC(MOD(($B940*1103515245 +12345)/ 65536, 32768),0)/32768),0))</f>
        <v>Barbarian</v>
      </c>
      <c r="F940" s="76">
        <v>1</v>
      </c>
      <c r="G940" s="153">
        <f ca="1">VLOOKUP($AB$2,'RF Mod'!$A$2:$G$12,2,FALSE)+VLOOKUP($AD$2,'RF Mod'!$I$2:$O$11,2,FALSE)+(TRUNC(6+(24-6)*(TRUNC(MOD(($Z940*1103515245 +12345)/ 65536, 32768),0)/32768),0))</f>
        <v>4</v>
      </c>
      <c r="H940" s="16">
        <f t="shared" ca="1" si="49"/>
        <v>-3</v>
      </c>
      <c r="I940" s="153">
        <f ca="1">VLOOKUP($AB$2,'RF Mod'!$A$2:$G$12,3,FALSE)+VLOOKUP($AD$2,'RF Mod'!$I$2:$O$11,3,FALSE)+(TRUNC(6+(24-6)*(TRUNC(MOD(($Z940*1103515245 +12345)/ 65536, 32768),0)/32768),0))</f>
        <v>8</v>
      </c>
      <c r="J940" s="16">
        <f t="shared" ca="1" si="50"/>
        <v>-1</v>
      </c>
      <c r="K940" s="153">
        <f ca="1">VLOOKUP($AB$2,'RF Mod'!$A$2:$G$12,3,FALSE)+VLOOKUP($AD$2,'RF Mod'!$I$2:$O$11,3,FALSE)+(TRUNC(6+(24-6)*(TRUNC(MOD(($Z940*1103515245 +12345)/ 65536, 32768),0)/32768),0))</f>
        <v>8</v>
      </c>
      <c r="L940" s="16">
        <f t="shared" ca="1" si="51"/>
        <v>-1</v>
      </c>
      <c r="M940" s="153">
        <f ca="1">VLOOKUP($AB$2,'RF Mod'!$A$2:$G$12,4,FALSE)+VLOOKUP($AD$2,'RF Mod'!$I$2:$O$11,4,FALSE)+(TRUNC(6+(24-6)*(TRUNC(MOD(($Z940*1103515245 +12345)/ 65536, 32768),0)/32768),0))</f>
        <v>7</v>
      </c>
      <c r="N940" s="16">
        <f t="shared" ca="1" si="52"/>
        <v>-2</v>
      </c>
      <c r="O940" s="153">
        <f ca="1">VLOOKUP($AB$2,'RF Mod'!$A$2:$G$12,5,FALSE)+VLOOKUP($AD$2,'RF Mod'!$I$2:$O$11,5,FALSE)+(TRUNC(6+(24-6)*(TRUNC(MOD(($Z940*1103515245 +12345)/ 65536, 32768),0)/32768),0))</f>
        <v>10</v>
      </c>
      <c r="P940" s="16" t="e">
        <f t="shared" ca="1" si="53"/>
        <v>#NAME?</v>
      </c>
      <c r="Q940" s="153">
        <f ca="1">VLOOKUP($AB$2,'RF Mod'!$A$2:$G$12,6,FALSE)+VLOOKUP($AD$2,'RF Mod'!$I$2:$O$11,6,FALSE)+(TRUNC(6+(24-6)*(TRUNC(MOD(($Z940*1103515245 +12345)/ 65536, 32768),0)/32768),0))</f>
        <v>8</v>
      </c>
      <c r="R940" s="16">
        <f t="shared" ca="1" si="54"/>
        <v>-1</v>
      </c>
      <c r="S940" s="154">
        <f t="shared" ca="1" si="59"/>
        <v>10</v>
      </c>
      <c r="T940" s="154">
        <f t="shared" ca="1" si="55"/>
        <v>12</v>
      </c>
      <c r="U940" s="16" t="str">
        <f t="shared" ca="1" si="56"/>
        <v>Dead</v>
      </c>
      <c r="V940" s="155">
        <f ca="1">IFERROR(__xludf.DUMMYFUNCTION("if(W940=""Middle Age"",QUERY(NPCVar!$K$2:$N1000, ""Select L where K = '""&amp;AB940&amp;""'""),if(W940=""Old"",QUERY(NPCVar!$K$2:$N1000, ""Select M where K = '""&amp;AB940&amp;""'""),if(W940=""Venerable"",QUERY(NPCVar!$K$2:$N1000, ""Select N where K = '""&amp;AB940&amp;""'""),fa"&amp;"lse)))*X940"),2)</f>
        <v>2</v>
      </c>
      <c r="W940" s="156" t="str">
        <f t="array" ref="W940">INDEX(NPCAgeType,TRUNC(1+(4-1)*(TRUNC(MOD((X940*1103515245 +12345)/ 65536, 32768),0)/32768),0))</f>
        <v>Middle Age</v>
      </c>
      <c r="X940" s="117">
        <f t="shared" si="61"/>
        <v>0.1</v>
      </c>
      <c r="Y940" s="157" t="e">
        <f t="array" aca="1" ref="Y940" ca="1">LOOKUP(ABS(MAX(Z940 + MIN(ABS(INDIRECT("Class Jobs!B"&amp;MATCH(E940,'Class Jobs'!$A$1:$A1000,0)&amp;":"&amp;"AF"&amp;MATCH(E940,'Class Jobs'!$A$1:$A1000,0)&amp;"")-$Z940)) * SUM(IF(MIN(ABS(INDIRECT("Class Jobs!B"&amp;MATCH(E940,'Class Jobs'!$A$1:$A1000,0)&amp;":"&amp;"AF"&amp;MATCH(E940,'Class Jobs'!$A$1:$A1000,0)&amp;"")-$Z940))=ABS(INDIRECT("Class Jobs!B"&amp;MATCH(E940,'Class Jobs'!$A$1:$A1000,0)&amp;":"&amp;"AF"&amp;MATCH(E940,'Class Jobs'!$A$1:$A1000,0)&amp;"")-$Z940),SIGN(INDIRECT("Class Jobs!B"&amp;MATCH(E940,'Class Jobs'!$A$1:A1000,0)&amp;":"&amp;"AF"&amp;MATCH(E940,'Class Jobs'!$A$1:$A1000,0)&amp;"")-$Z940),0)),0)),INDIRECT("Class Jobs!B"&amp;MATCH(E940,'Class Jobs'!$A$1:$A1000,0)&amp;":"&amp;"AF"&amp;MATCH(E940,'Class Jobs'!$A$1:$A1000,1)&amp;""),'Class Jobs'!$B$1:$AF$1)</f>
        <v>#REF!</v>
      </c>
      <c r="Z940" s="158">
        <f t="shared" si="57"/>
        <v>0.02</v>
      </c>
      <c r="AA940" s="16" t="str">
        <f t="array" ref="AA940">INDEX(NPCGender,TRUNC(1+(COUNTA(NPCGender))*(TRUNC(MOD(($B940*1103515245 +12345)/ 65536, 32768),0)/32768),0))</f>
        <v>Male</v>
      </c>
      <c r="AB940" s="16" t="str">
        <f t="array" ref="AB940">INDEX(NPCRace,TRUNC(1+(COUNTA(NPCRace))*(TRUNC(MOD(($B940*1103515245 +12345)/ 65536, 32768),0)/32768),0))</f>
        <v>Dragonborn</v>
      </c>
      <c r="AC940" s="16" t="str">
        <f t="array" ref="AC940">INDEX(NPCAL,TRUNC(1+(COUNTA(NPCAL))*(TRUNC(MOD(($B940*1103515245 +12345)/ 65536, 32768),0)/32768),0))</f>
        <v>CN</v>
      </c>
      <c r="AD940" s="72" t="str">
        <f ca="1">IFERROR(__xludf.DUMMYFUNCTION("if(V940&lt;15,QUERY(NPCVar!C:D,""Select D WHERE C = '""&amp;D940&amp;""'""),if((TRUNC(1+10)*(TRUNC(MOD((ROW(H940)*1103515245 +12345)/ 65536, 32768),0)/32768)/10) &gt; 0.85,INDEX(NPCFaction,TRUNC(1+(counta(NPCFaction)-1)*(TRUNC(MOD(($B940*1103515245 +12345)/ 65536, 3276"&amp;"8),0)/32768),0)),QUERY(NPCVar!C:D,""Select D WHERE C = '""&amp;D940&amp;""'"")))"),"Royalty")</f>
        <v>Royalty</v>
      </c>
      <c r="AE940" s="108" t="e">
        <f t="shared" ca="1" si="58"/>
        <v>#NAME?</v>
      </c>
      <c r="AF940" s="159">
        <f ca="1">IFERROR(__xludf.DUMMYFUNCTION("AE940*(V940 / QUERY(NPCVar!$K$2:$N$12, ""Select N WHERE K='""&amp;AB940&amp;""'""))*TRUNC(1+10)*(TRUNC(MOD(($B940*1103515245 +12345)/ 65536, 32768),0)/32768)"),0.00105911254882812)</f>
        <v>1.05911254882812E-3</v>
      </c>
      <c r="AG940" s="16"/>
      <c r="AH940" s="77"/>
      <c r="AI940" s="114"/>
    </row>
    <row r="941" spans="1:35" ht="16.2">
      <c r="A941" s="53">
        <v>940</v>
      </c>
      <c r="B941" s="118">
        <f t="shared" si="63"/>
        <v>0.97770999999999997</v>
      </c>
      <c r="C941" s="72" t="str">
        <f t="array" ref="C941">INDEX(NPCFName,TRUNC(1+(COUNTA(NPCFName))*(TRUNC(MOD(($B941*1103515245 +12345)/ 65536, 32768),0)/32768),0))</f>
        <v>Lacspor</v>
      </c>
      <c r="D941" s="16" t="str">
        <f t="array" ref="D941">INDEX(NPCLName,TRUNC(1+(COUNTA(NPCLName))*(TRUNC(MOD(($B941*1103515245 +12345)/ 65536, 32768),0)/32768),0))</f>
        <v>Staghammer</v>
      </c>
      <c r="E941" s="16" t="str">
        <f t="array" ref="E941">INDEX(NPCClass,TRUNC(1+(COUNTA(NPCClass))*(TRUNC(MOD(($B941*1103515245 +12345)/ 65536, 32768),0)/32768),0))</f>
        <v>Sorcerer</v>
      </c>
      <c r="F941" s="76">
        <v>8</v>
      </c>
      <c r="G941" s="153">
        <f ca="1">VLOOKUP($AB$2,'RF Mod'!$A$2:$G$12,2,FALSE)+VLOOKUP($AD$2,'RF Mod'!$I$2:$O$11,2,FALSE)+(TRUNC(6+(24-6)*(TRUNC(MOD(($Z941*1103515245 +12345)/ 65536, 32768),0)/32768),0))</f>
        <v>8</v>
      </c>
      <c r="H941" s="16">
        <f t="shared" ca="1" si="49"/>
        <v>-1</v>
      </c>
      <c r="I941" s="153">
        <f ca="1">VLOOKUP($AB$2,'RF Mod'!$A$2:$G$12,3,FALSE)+VLOOKUP($AD$2,'RF Mod'!$I$2:$O$11,3,FALSE)+(TRUNC(6+(24-6)*(TRUNC(MOD(($Z941*1103515245 +12345)/ 65536, 32768),0)/32768),0))</f>
        <v>12</v>
      </c>
      <c r="J941" s="16" t="e">
        <f t="shared" ca="1" si="50"/>
        <v>#NAME?</v>
      </c>
      <c r="K941" s="153">
        <f ca="1">VLOOKUP($AB$2,'RF Mod'!$A$2:$G$12,3,FALSE)+VLOOKUP($AD$2,'RF Mod'!$I$2:$O$11,3,FALSE)+(TRUNC(6+(24-6)*(TRUNC(MOD(($Z941*1103515245 +12345)/ 65536, 32768),0)/32768),0))</f>
        <v>12</v>
      </c>
      <c r="L941" s="16" t="e">
        <f t="shared" ca="1" si="51"/>
        <v>#NAME?</v>
      </c>
      <c r="M941" s="153">
        <f ca="1">VLOOKUP($AB$2,'RF Mod'!$A$2:$G$12,4,FALSE)+VLOOKUP($AD$2,'RF Mod'!$I$2:$O$11,4,FALSE)+(TRUNC(6+(24-6)*(TRUNC(MOD(($Z941*1103515245 +12345)/ 65536, 32768),0)/32768),0))</f>
        <v>11</v>
      </c>
      <c r="N941" s="16" t="e">
        <f t="shared" ca="1" si="52"/>
        <v>#NAME?</v>
      </c>
      <c r="O941" s="153">
        <f ca="1">VLOOKUP($AB$2,'RF Mod'!$A$2:$G$12,5,FALSE)+VLOOKUP($AD$2,'RF Mod'!$I$2:$O$11,5,FALSE)+(TRUNC(6+(24-6)*(TRUNC(MOD(($Z941*1103515245 +12345)/ 65536, 32768),0)/32768),0))</f>
        <v>14</v>
      </c>
      <c r="P941" s="16" t="e">
        <f t="shared" ca="1" si="53"/>
        <v>#NAME?</v>
      </c>
      <c r="Q941" s="153">
        <f ca="1">VLOOKUP($AB$2,'RF Mod'!$A$2:$G$12,6,FALSE)+VLOOKUP($AD$2,'RF Mod'!$I$2:$O$11,6,FALSE)+(TRUNC(6+(24-6)*(TRUNC(MOD(($Z941*1103515245 +12345)/ 65536, 32768),0)/32768),0))</f>
        <v>12</v>
      </c>
      <c r="R941" s="16" t="e">
        <f t="shared" ca="1" si="54"/>
        <v>#NAME?</v>
      </c>
      <c r="S941" s="154">
        <f t="shared" ca="1" si="59"/>
        <v>208</v>
      </c>
      <c r="T941" s="154">
        <f t="shared" ca="1" si="55"/>
        <v>222</v>
      </c>
      <c r="U941" s="16" t="str">
        <f t="shared" ca="1" si="56"/>
        <v>Dead</v>
      </c>
      <c r="V941" s="155">
        <f ca="1">IFERROR(__xludf.DUMMYFUNCTION("if(W941=""Middle Age"",QUERY(NPCVar!$K$2:$N1000, ""Select L where K = '""&amp;AB941&amp;""'""),if(W941=""Old"",QUERY(NPCVar!$K$2:$N1000, ""Select M where K = '""&amp;AB941&amp;""'""),if(W941=""Venerable"",QUERY(NPCVar!$K$2:$N1000, ""Select N where K = '""&amp;AB941&amp;""'""),fa"&amp;"lse)))*X941"),91)</f>
        <v>91</v>
      </c>
      <c r="W941" s="156" t="str">
        <f t="array" ref="W941">INDEX(NPCAgeType,TRUNC(1+(4-1)*(TRUNC(MOD((X941*1103515245 +12345)/ 65536, 32768),0)/32768),0))</f>
        <v>Venerable</v>
      </c>
      <c r="X941" s="117">
        <f t="shared" si="61"/>
        <v>1.3</v>
      </c>
      <c r="Y941" s="157" t="e">
        <f t="array" aca="1" ref="Y941" ca="1">LOOKUP(ABS(MAX(Z941 + MIN(ABS(INDIRECT("Class Jobs!B"&amp;MATCH(E941,'Class Jobs'!$A$1:$A1000,0)&amp;":"&amp;"AF"&amp;MATCH(E941,'Class Jobs'!$A$1:$A1000,0)&amp;"")-$Z941)) * SUM(IF(MIN(ABS(INDIRECT("Class Jobs!B"&amp;MATCH(E941,'Class Jobs'!$A$1:$A1000,0)&amp;":"&amp;"AF"&amp;MATCH(E941,'Class Jobs'!$A$1:$A1000,0)&amp;"")-$Z941))=ABS(INDIRECT("Class Jobs!B"&amp;MATCH(E941,'Class Jobs'!$A$1:$A1000,0)&amp;":"&amp;"AF"&amp;MATCH(E941,'Class Jobs'!$A$1:$A1000,0)&amp;"")-$Z941),SIGN(INDIRECT("Class Jobs!B"&amp;MATCH(E941,'Class Jobs'!$A$1:A1000,0)&amp;":"&amp;"AF"&amp;MATCH(E941,'Class Jobs'!$A$1:$A1000,0)&amp;"")-$Z941),0)),0)),INDIRECT("Class Jobs!B"&amp;MATCH(E941,'Class Jobs'!$A$1:$A1000,0)&amp;":"&amp;"AF"&amp;MATCH(E941,'Class Jobs'!$A$1:$A1000,1)&amp;""),'Class Jobs'!$B$1:$AF$1)</f>
        <v>#REF!</v>
      </c>
      <c r="Z941" s="158">
        <f t="shared" si="57"/>
        <v>0.5</v>
      </c>
      <c r="AA941" s="16" t="str">
        <f t="array" ref="AA941">INDEX(NPCGender,TRUNC(1+(COUNTA(NPCGender))*(TRUNC(MOD(($B941*1103515245 +12345)/ 65536, 32768),0)/32768),0))</f>
        <v>Female</v>
      </c>
      <c r="AB941" s="16" t="str">
        <f t="array" ref="AB941">INDEX(NPCRace,TRUNC(1+(COUNTA(NPCRace))*(TRUNC(MOD(($B941*1103515245 +12345)/ 65536, 32768),0)/32768),0))</f>
        <v>Half-Orc</v>
      </c>
      <c r="AC941" s="16" t="str">
        <f t="array" ref="AC941">INDEX(NPCAL,TRUNC(1+(COUNTA(NPCAL))*(TRUNC(MOD(($B941*1103515245 +12345)/ 65536, 32768),0)/32768),0))</f>
        <v>NN</v>
      </c>
      <c r="AD941" s="72" t="str">
        <f ca="1">IFERROR(__xludf.DUMMYFUNCTION("if(V941&lt;15,QUERY(NPCVar!C:D,""Select D WHERE C = '""&amp;D941&amp;""'""),if((TRUNC(1+10)*(TRUNC(MOD((ROW(H941)*1103515245 +12345)/ 65536, 32768),0)/32768)/10) &gt; 0.85,INDEX(NPCFaction,TRUNC(1+(counta(NPCFaction)-1)*(TRUNC(MOD(($B941*1103515245 +12345)/ 65536, 3276"&amp;"8),0)/32768),0)),QUERY(NPCVar!C:D,""Select D WHERE C = '""&amp;D941&amp;""'"")))"),"Farmers Guild")</f>
        <v>Farmers Guild</v>
      </c>
      <c r="AE941" s="108" t="e">
        <f t="shared" ca="1" si="58"/>
        <v>#NAME?</v>
      </c>
      <c r="AF941" s="159">
        <f ca="1">IFERROR(__xludf.DUMMYFUNCTION("AE941*(V941 / QUERY(NPCVar!$K$2:$N$12, ""Select N WHERE K='""&amp;AB941&amp;""'""))*TRUNC(1+10)*(TRUNC(MOD(($B941*1103515245 +12345)/ 65536, 32768),0)/32768)"),1.43689514160156)</f>
        <v>1.4368951416015601</v>
      </c>
      <c r="AG941" s="16"/>
      <c r="AH941" s="77"/>
      <c r="AI941" s="114"/>
    </row>
    <row r="942" spans="1:35" ht="16.2">
      <c r="A942" s="53">
        <v>941</v>
      </c>
      <c r="B942" s="118">
        <f t="shared" si="63"/>
        <v>2.4718399999999998</v>
      </c>
      <c r="C942" s="72" t="str">
        <f t="array" ref="C942">INDEX(NPCFName,TRUNC(1+(COUNTA(NPCFName))*(TRUNC(MOD(($B942*1103515245 +12345)/ 65536, 32768),0)/32768),0))</f>
        <v>Sil'forrin</v>
      </c>
      <c r="D942" s="16" t="str">
        <f t="array" ref="D942">INDEX(NPCLName,TRUNC(1+(COUNTA(NPCLName))*(TRUNC(MOD(($B942*1103515245 +12345)/ 65536, 32768),0)/32768),0))</f>
        <v>Commonscream</v>
      </c>
      <c r="E942" s="16" t="str">
        <f t="array" ref="E942">INDEX(NPCClass,TRUNC(1+(COUNTA(NPCClass))*(TRUNC(MOD(($B942*1103515245 +12345)/ 65536, 32768),0)/32768),0))</f>
        <v>Monk</v>
      </c>
      <c r="F942" s="76">
        <v>1</v>
      </c>
      <c r="G942" s="153">
        <f ca="1">VLOOKUP($AB$2,'RF Mod'!$A$2:$G$12,2,FALSE)+VLOOKUP($AD$2,'RF Mod'!$I$2:$O$11,2,FALSE)+(TRUNC(6+(24-6)*(TRUNC(MOD(($Z942*1103515245 +12345)/ 65536, 32768),0)/32768),0))</f>
        <v>6</v>
      </c>
      <c r="H942" s="16">
        <f t="shared" ca="1" si="49"/>
        <v>-2</v>
      </c>
      <c r="I942" s="153">
        <f ca="1">VLOOKUP($AB$2,'RF Mod'!$A$2:$G$12,3,FALSE)+VLOOKUP($AD$2,'RF Mod'!$I$2:$O$11,3,FALSE)+(TRUNC(6+(24-6)*(TRUNC(MOD(($Z942*1103515245 +12345)/ 65536, 32768),0)/32768),0))</f>
        <v>10</v>
      </c>
      <c r="J942" s="16" t="e">
        <f t="shared" ca="1" si="50"/>
        <v>#NAME?</v>
      </c>
      <c r="K942" s="153">
        <f ca="1">VLOOKUP($AB$2,'RF Mod'!$A$2:$G$12,3,FALSE)+VLOOKUP($AD$2,'RF Mod'!$I$2:$O$11,3,FALSE)+(TRUNC(6+(24-6)*(TRUNC(MOD(($Z942*1103515245 +12345)/ 65536, 32768),0)/32768),0))</f>
        <v>10</v>
      </c>
      <c r="L942" s="16" t="e">
        <f t="shared" ca="1" si="51"/>
        <v>#NAME?</v>
      </c>
      <c r="M942" s="153">
        <f ca="1">VLOOKUP($AB$2,'RF Mod'!$A$2:$G$12,4,FALSE)+VLOOKUP($AD$2,'RF Mod'!$I$2:$O$11,4,FALSE)+(TRUNC(6+(24-6)*(TRUNC(MOD(($Z942*1103515245 +12345)/ 65536, 32768),0)/32768),0))</f>
        <v>9</v>
      </c>
      <c r="N942" s="16">
        <f t="shared" ca="1" si="52"/>
        <v>-1</v>
      </c>
      <c r="O942" s="153">
        <f ca="1">VLOOKUP($AB$2,'RF Mod'!$A$2:$G$12,5,FALSE)+VLOOKUP($AD$2,'RF Mod'!$I$2:$O$11,5,FALSE)+(TRUNC(6+(24-6)*(TRUNC(MOD(($Z942*1103515245 +12345)/ 65536, 32768),0)/32768),0))</f>
        <v>12</v>
      </c>
      <c r="P942" s="16" t="e">
        <f t="shared" ca="1" si="53"/>
        <v>#NAME?</v>
      </c>
      <c r="Q942" s="153">
        <f ca="1">VLOOKUP($AB$2,'RF Mod'!$A$2:$G$12,6,FALSE)+VLOOKUP($AD$2,'RF Mod'!$I$2:$O$11,6,FALSE)+(TRUNC(6+(24-6)*(TRUNC(MOD(($Z942*1103515245 +12345)/ 65536, 32768),0)/32768),0))</f>
        <v>10</v>
      </c>
      <c r="R942" s="16" t="e">
        <f t="shared" ca="1" si="54"/>
        <v>#NAME?</v>
      </c>
      <c r="S942" s="154">
        <f t="shared" ca="1" si="59"/>
        <v>14</v>
      </c>
      <c r="T942" s="154">
        <f t="shared" ca="1" si="55"/>
        <v>2</v>
      </c>
      <c r="U942" s="16" t="str">
        <f t="shared" ca="1" si="56"/>
        <v>Fine</v>
      </c>
      <c r="V942" s="155">
        <f ca="1">IFERROR(__xludf.DUMMYFUNCTION("if(W942=""Middle Age"",QUERY(NPCVar!$K$2:$N1000, ""Select L where K = '""&amp;AB942&amp;""'""),if(W942=""Old"",QUERY(NPCVar!$K$2:$N1000, ""Select M where K = '""&amp;AB942&amp;""'""),if(W942=""Venerable"",QUERY(NPCVar!$K$2:$N1000, ""Select N where K = '""&amp;AB942&amp;""'""),fa"&amp;"lse)))*X942"),196.875)</f>
        <v>196.875</v>
      </c>
      <c r="W942" s="156" t="str">
        <f t="array" ref="W942">INDEX(NPCAgeType,TRUNC(1+(4-1)*(TRUNC(MOD((X942*1103515245 +12345)/ 65536, 32768),0)/32768),0))</f>
        <v>Old</v>
      </c>
      <c r="X942" s="117">
        <f t="shared" si="61"/>
        <v>0.7</v>
      </c>
      <c r="Y942" s="157" t="e">
        <f t="array" aca="1" ref="Y942" ca="1">LOOKUP(ABS(MAX(Z942 + MIN(ABS(INDIRECT("Class Jobs!B"&amp;MATCH(E942,'Class Jobs'!$A$1:$A1000,0)&amp;":"&amp;"AF"&amp;MATCH(E942,'Class Jobs'!$A$1:$A1000,0)&amp;"")-$Z942)) * SUM(IF(MIN(ABS(INDIRECT("Class Jobs!B"&amp;MATCH(E942,'Class Jobs'!$A$1:$A1000,0)&amp;":"&amp;"AF"&amp;MATCH(E942,'Class Jobs'!$A$1:$A1000,0)&amp;"")-$Z942))=ABS(INDIRECT("Class Jobs!B"&amp;MATCH(E942,'Class Jobs'!$A$1:$A1000,0)&amp;":"&amp;"AF"&amp;MATCH(E942,'Class Jobs'!$A$1:$A1000,0)&amp;"")-$Z942),SIGN(INDIRECT("Class Jobs!B"&amp;MATCH(E942,'Class Jobs'!$A$1:A1000,0)&amp;":"&amp;"AF"&amp;MATCH(E942,'Class Jobs'!$A$1:$A1000,0)&amp;"")-$Z942),0)),0)),INDIRECT("Class Jobs!B"&amp;MATCH(E942,'Class Jobs'!$A$1:$A1000,0)&amp;":"&amp;"AF"&amp;MATCH(E942,'Class Jobs'!$A$1:$A1000,1)&amp;""),'Class Jobs'!$B$1:$AF$1)</f>
        <v>#REF!</v>
      </c>
      <c r="Z942" s="158">
        <f t="shared" si="57"/>
        <v>0.27</v>
      </c>
      <c r="AA942" s="16" t="str">
        <f t="array" ref="AA942">INDEX(NPCGender,TRUNC(1+(COUNTA(NPCGender))*(TRUNC(MOD(($B942*1103515245 +12345)/ 65536, 32768),0)/32768),0))</f>
        <v>Male</v>
      </c>
      <c r="AB942" s="16" t="str">
        <f t="array" ref="AB942">INDEX(NPCRace,TRUNC(1+(COUNTA(NPCRace))*(TRUNC(MOD(($B942*1103515245 +12345)/ 65536, 32768),0)/32768),0))</f>
        <v>Elf</v>
      </c>
      <c r="AC942" s="16" t="str">
        <f t="array" ref="AC942">INDEX(NPCAL,TRUNC(1+(COUNTA(NPCAL))*(TRUNC(MOD(($B942*1103515245 +12345)/ 65536, 32768),0)/32768),0))</f>
        <v>CG</v>
      </c>
      <c r="AD942" s="72" t="str">
        <f ca="1">IFERROR(__xludf.DUMMYFUNCTION("if(V942&lt;15,QUERY(NPCVar!C:D,""Select D WHERE C = '""&amp;D942&amp;""'""),if((TRUNC(1+10)*(TRUNC(MOD((ROW(H942)*1103515245 +12345)/ 65536, 32768),0)/32768)/10) &gt; 0.85,INDEX(NPCFaction,TRUNC(1+(counta(NPCFaction)-1)*(TRUNC(MOD(($B942*1103515245 +12345)/ 65536, 3276"&amp;"8),0)/32768),0)),QUERY(NPCVar!C:D,""Select D WHERE C = '""&amp;D942&amp;""'"")))"),"Necromancer")</f>
        <v>Necromancer</v>
      </c>
      <c r="AE942" s="108" t="e">
        <f t="shared" ca="1" si="58"/>
        <v>#NAME?</v>
      </c>
      <c r="AF942" s="159">
        <f ca="1">IFERROR(__xludf.DUMMYFUNCTION("AE942*(V942 / QUERY(NPCVar!$K$2:$N$12, ""Select N WHERE K='""&amp;AB942&amp;""'""))*TRUNC(1+10)*(TRUNC(MOD(($B942*1103515245 +12345)/ 65536, 32768),0)/32768)"),0.234036598205566)</f>
        <v>0.23403659820556599</v>
      </c>
      <c r="AG942" s="16"/>
      <c r="AH942" s="77"/>
      <c r="AI942" s="114"/>
    </row>
    <row r="943" spans="1:35" ht="16.2">
      <c r="A943" s="53">
        <v>942</v>
      </c>
      <c r="B943" s="118">
        <f t="shared" si="63"/>
        <v>1.4659899999999999</v>
      </c>
      <c r="C943" s="72" t="str">
        <f t="array" ref="C943">INDEX(NPCFName,TRUNC(1+(COUNTA(NPCFName))*(TRUNC(MOD(($B943*1103515245 +12345)/ 65536, 32768),0)/32768),0))</f>
        <v>Dyten</v>
      </c>
      <c r="D943" s="16" t="str">
        <f t="array" ref="D943">INDEX(NPCLName,TRUNC(1+(COUNTA(NPCLName))*(TRUNC(MOD(($B943*1103515245 +12345)/ 65536, 32768),0)/32768),0))</f>
        <v>Sacredgloom</v>
      </c>
      <c r="E943" s="16" t="str">
        <f t="array" ref="E943">INDEX(NPCClass,TRUNC(1+(COUNTA(NPCClass))*(TRUNC(MOD(($B943*1103515245 +12345)/ 65536, 32768),0)/32768),0))</f>
        <v>Cleric</v>
      </c>
      <c r="F943" s="76">
        <v>8</v>
      </c>
      <c r="G943" s="153">
        <f ca="1">VLOOKUP($AB$2,'RF Mod'!$A$2:$G$12,2,FALSE)+VLOOKUP($AD$2,'RF Mod'!$I$2:$O$11,2,FALSE)+(TRUNC(6+(24-6)*(TRUNC(MOD(($Z943*1103515245 +12345)/ 65536, 32768),0)/32768),0))</f>
        <v>10</v>
      </c>
      <c r="H943" s="16" t="e">
        <f t="shared" ca="1" si="49"/>
        <v>#NAME?</v>
      </c>
      <c r="I943" s="153">
        <f ca="1">VLOOKUP($AB$2,'RF Mod'!$A$2:$G$12,3,FALSE)+VLOOKUP($AD$2,'RF Mod'!$I$2:$O$11,3,FALSE)+(TRUNC(6+(24-6)*(TRUNC(MOD(($Z943*1103515245 +12345)/ 65536, 32768),0)/32768),0))</f>
        <v>14</v>
      </c>
      <c r="J943" s="16" t="e">
        <f t="shared" ca="1" si="50"/>
        <v>#NAME?</v>
      </c>
      <c r="K943" s="153">
        <f ca="1">VLOOKUP($AB$2,'RF Mod'!$A$2:$G$12,3,FALSE)+VLOOKUP($AD$2,'RF Mod'!$I$2:$O$11,3,FALSE)+(TRUNC(6+(24-6)*(TRUNC(MOD(($Z943*1103515245 +12345)/ 65536, 32768),0)/32768),0))</f>
        <v>14</v>
      </c>
      <c r="L943" s="16" t="e">
        <f t="shared" ca="1" si="51"/>
        <v>#NAME?</v>
      </c>
      <c r="M943" s="153">
        <f ca="1">VLOOKUP($AB$2,'RF Mod'!$A$2:$G$12,4,FALSE)+VLOOKUP($AD$2,'RF Mod'!$I$2:$O$11,4,FALSE)+(TRUNC(6+(24-6)*(TRUNC(MOD(($Z943*1103515245 +12345)/ 65536, 32768),0)/32768),0))</f>
        <v>13</v>
      </c>
      <c r="N943" s="16" t="e">
        <f t="shared" ca="1" si="52"/>
        <v>#NAME?</v>
      </c>
      <c r="O943" s="153">
        <f ca="1">VLOOKUP($AB$2,'RF Mod'!$A$2:$G$12,5,FALSE)+VLOOKUP($AD$2,'RF Mod'!$I$2:$O$11,5,FALSE)+(TRUNC(6+(24-6)*(TRUNC(MOD(($Z943*1103515245 +12345)/ 65536, 32768),0)/32768),0))</f>
        <v>16</v>
      </c>
      <c r="P943" s="16" t="e">
        <f t="shared" ca="1" si="53"/>
        <v>#NAME?</v>
      </c>
      <c r="Q943" s="153">
        <f ca="1">VLOOKUP($AB$2,'RF Mod'!$A$2:$G$12,6,FALSE)+VLOOKUP($AD$2,'RF Mod'!$I$2:$O$11,6,FALSE)+(TRUNC(6+(24-6)*(TRUNC(MOD(($Z943*1103515245 +12345)/ 65536, 32768),0)/32768),0))</f>
        <v>14</v>
      </c>
      <c r="R943" s="16" t="e">
        <f t="shared" ca="1" si="54"/>
        <v>#NAME?</v>
      </c>
      <c r="S943" s="154">
        <f t="shared" ca="1" si="59"/>
        <v>208</v>
      </c>
      <c r="T943" s="154">
        <f t="shared" ca="1" si="55"/>
        <v>164</v>
      </c>
      <c r="U943" s="16" t="str">
        <f t="shared" ca="1" si="56"/>
        <v>Bloody</v>
      </c>
      <c r="V943" s="155">
        <f ca="1">IFERROR(__xludf.DUMMYFUNCTION("if(W943=""Middle Age"",QUERY(NPCVar!$K$2:$N1000, ""Select L where K = '""&amp;AB943&amp;""'""),if(W943=""Old"",QUERY(NPCVar!$K$2:$N1000, ""Select M where K = '""&amp;AB943&amp;""'""),if(W943=""Venerable"",QUERY(NPCVar!$K$2:$N1000, ""Select N where K = '""&amp;AB943&amp;""'""),fa"&amp;"lse)))*X943"),190)</f>
        <v>190</v>
      </c>
      <c r="W943" s="156" t="str">
        <f t="array" ref="W943">INDEX(NPCAgeType,TRUNC(1+(4-1)*(TRUNC(MOD((X943*1103515245 +12345)/ 65536, 32768),0)/32768),0))</f>
        <v>Venerable</v>
      </c>
      <c r="X943" s="117">
        <f t="shared" si="61"/>
        <v>1.9</v>
      </c>
      <c r="Y943" s="157" t="e">
        <f t="array" aca="1" ref="Y943" ca="1">LOOKUP(ABS(MAX(Z943 + MIN(ABS(INDIRECT("Class Jobs!B"&amp;MATCH(E943,'Class Jobs'!$A$1:$A1000,0)&amp;":"&amp;"AF"&amp;MATCH(E943,'Class Jobs'!$A$1:$A1000,0)&amp;"")-$Z943)) * SUM(IF(MIN(ABS(INDIRECT("Class Jobs!B"&amp;MATCH(E943,'Class Jobs'!$A$1:$A1000,0)&amp;":"&amp;"AF"&amp;MATCH(E943,'Class Jobs'!$A$1:$A1000,0)&amp;"")-$Z943))=ABS(INDIRECT("Class Jobs!B"&amp;MATCH(E943,'Class Jobs'!$A$1:$A1000,0)&amp;":"&amp;"AF"&amp;MATCH(E943,'Class Jobs'!$A$1:$A1000,0)&amp;"")-$Z943),SIGN(INDIRECT("Class Jobs!B"&amp;MATCH(E943,'Class Jobs'!$A$1:A1000,0)&amp;":"&amp;"AF"&amp;MATCH(E943,'Class Jobs'!$A$1:$A1000,0)&amp;"")-$Z943),0)),0)),INDIRECT("Class Jobs!B"&amp;MATCH(E943,'Class Jobs'!$A$1:$A1000,0)&amp;":"&amp;"AF"&amp;MATCH(E943,'Class Jobs'!$A$1:$A1000,1)&amp;""),'Class Jobs'!$B$1:$AF$1)</f>
        <v>#REF!</v>
      </c>
      <c r="Z943" s="158">
        <f t="shared" si="57"/>
        <v>0.75</v>
      </c>
      <c r="AA943" s="16" t="str">
        <f t="array" ref="AA943">INDEX(NPCGender,TRUNC(1+(COUNTA(NPCGender))*(TRUNC(MOD(($B943*1103515245 +12345)/ 65536, 32768),0)/32768),0))</f>
        <v>Neutral</v>
      </c>
      <c r="AB943" s="16" t="str">
        <f t="array" ref="AB943">INDEX(NPCRace,TRUNC(1+(COUNTA(NPCRace))*(TRUNC(MOD(($B943*1103515245 +12345)/ 65536, 32768),0)/32768),0))</f>
        <v>Tiefling</v>
      </c>
      <c r="AC943" s="16" t="str">
        <f t="array" ref="AC943">INDEX(NPCAL,TRUNC(1+(COUNTA(NPCAL))*(TRUNC(MOD(($B943*1103515245 +12345)/ 65536, 32768),0)/32768),0))</f>
        <v>LG</v>
      </c>
      <c r="AD943" s="72" t="str">
        <f ca="1">IFERROR(__xludf.DUMMYFUNCTION("if(V943&lt;15,QUERY(NPCVar!C:D,""Select D WHERE C = '""&amp;D943&amp;""'""),if((TRUNC(1+10)*(TRUNC(MOD((ROW(H943)*1103515245 +12345)/ 65536, 32768),0)/32768)/10) &gt; 0.85,INDEX(NPCFaction,TRUNC(1+(counta(NPCFaction)-1)*(TRUNC(MOD(($B943*1103515245 +12345)/ 65536, 3276"&amp;"8),0)/32768),0)),QUERY(NPCVar!C:D,""Select D WHERE C = '""&amp;D943&amp;""'"")))"),"Adventures Guild")</f>
        <v>Adventures Guild</v>
      </c>
      <c r="AE943" s="108" t="e">
        <f t="shared" ca="1" si="58"/>
        <v>#NAME?</v>
      </c>
      <c r="AF943" s="159">
        <f ca="1">IFERROR(__xludf.DUMMYFUNCTION("AE943*(V943 / QUERY(NPCVar!$K$2:$N$12, ""Select N WHERE K='""&amp;AB943&amp;""'""))*TRUNC(1+10)*(TRUNC(MOD(($B943*1103515245 +12345)/ 65536, 32768),0)/32768)"),3.14877685546875)</f>
        <v>3.1487768554687499</v>
      </c>
      <c r="AG943" s="16"/>
      <c r="AH943" s="77"/>
      <c r="AI943" s="114"/>
    </row>
    <row r="944" spans="1:35" ht="16.2">
      <c r="A944" s="53">
        <v>943</v>
      </c>
      <c r="B944" s="118">
        <f t="shared" si="63"/>
        <v>0.46012999999999998</v>
      </c>
      <c r="C944" s="72" t="str">
        <f t="array" ref="C944">INDEX(NPCFName,TRUNC(1+(COUNTA(NPCFName))*(TRUNC(MOD(($B944*1103515245 +12345)/ 65536, 32768),0)/32768),0))</f>
        <v>Quid</v>
      </c>
      <c r="D944" s="16" t="str">
        <f t="array" ref="D944">INDEX(NPCLName,TRUNC(1+(COUNTA(NPCLName))*(TRUNC(MOD(($B944*1103515245 +12345)/ 65536, 32768),0)/32768),0))</f>
        <v>Tuskleaf</v>
      </c>
      <c r="E944" s="16" t="str">
        <f t="array" ref="E944">INDEX(NPCClass,TRUNC(1+(COUNTA(NPCClass))*(TRUNC(MOD(($B944*1103515245 +12345)/ 65536, 32768),0)/32768),0))</f>
        <v>Druid</v>
      </c>
      <c r="F944" s="76">
        <v>1</v>
      </c>
      <c r="G944" s="153">
        <f ca="1">VLOOKUP($AB$2,'RF Mod'!$A$2:$G$12,2,FALSE)+VLOOKUP($AD$2,'RF Mod'!$I$2:$O$11,2,FALSE)+(TRUNC(6+(24-6)*(TRUNC(MOD(($Z944*1103515245 +12345)/ 65536, 32768),0)/32768),0))</f>
        <v>6</v>
      </c>
      <c r="H944" s="16">
        <f t="shared" ca="1" si="49"/>
        <v>-2</v>
      </c>
      <c r="I944" s="153">
        <f ca="1">VLOOKUP($AB$2,'RF Mod'!$A$2:$G$12,3,FALSE)+VLOOKUP($AD$2,'RF Mod'!$I$2:$O$11,3,FALSE)+(TRUNC(6+(24-6)*(TRUNC(MOD(($Z944*1103515245 +12345)/ 65536, 32768),0)/32768),0))</f>
        <v>10</v>
      </c>
      <c r="J944" s="16" t="e">
        <f t="shared" ca="1" si="50"/>
        <v>#NAME?</v>
      </c>
      <c r="K944" s="153">
        <f ca="1">VLOOKUP($AB$2,'RF Mod'!$A$2:$G$12,3,FALSE)+VLOOKUP($AD$2,'RF Mod'!$I$2:$O$11,3,FALSE)+(TRUNC(6+(24-6)*(TRUNC(MOD(($Z944*1103515245 +12345)/ 65536, 32768),0)/32768),0))</f>
        <v>10</v>
      </c>
      <c r="L944" s="16" t="e">
        <f t="shared" ca="1" si="51"/>
        <v>#NAME?</v>
      </c>
      <c r="M944" s="153">
        <f ca="1">VLOOKUP($AB$2,'RF Mod'!$A$2:$G$12,4,FALSE)+VLOOKUP($AD$2,'RF Mod'!$I$2:$O$11,4,FALSE)+(TRUNC(6+(24-6)*(TRUNC(MOD(($Z944*1103515245 +12345)/ 65536, 32768),0)/32768),0))</f>
        <v>9</v>
      </c>
      <c r="N944" s="16">
        <f t="shared" ca="1" si="52"/>
        <v>-1</v>
      </c>
      <c r="O944" s="153">
        <f ca="1">VLOOKUP($AB$2,'RF Mod'!$A$2:$G$12,5,FALSE)+VLOOKUP($AD$2,'RF Mod'!$I$2:$O$11,5,FALSE)+(TRUNC(6+(24-6)*(TRUNC(MOD(($Z944*1103515245 +12345)/ 65536, 32768),0)/32768),0))</f>
        <v>12</v>
      </c>
      <c r="P944" s="16" t="e">
        <f t="shared" ca="1" si="53"/>
        <v>#NAME?</v>
      </c>
      <c r="Q944" s="153">
        <f ca="1">VLOOKUP($AB$2,'RF Mod'!$A$2:$G$12,6,FALSE)+VLOOKUP($AD$2,'RF Mod'!$I$2:$O$11,6,FALSE)+(TRUNC(6+(24-6)*(TRUNC(MOD(($Z944*1103515245 +12345)/ 65536, 32768),0)/32768),0))</f>
        <v>10</v>
      </c>
      <c r="R944" s="16" t="e">
        <f t="shared" ca="1" si="54"/>
        <v>#NAME?</v>
      </c>
      <c r="S944" s="154">
        <f t="shared" ca="1" si="59"/>
        <v>12</v>
      </c>
      <c r="T944" s="154">
        <f t="shared" ca="1" si="55"/>
        <v>6</v>
      </c>
      <c r="U944" s="16" t="str">
        <f t="shared" ca="1" si="56"/>
        <v>Fine</v>
      </c>
      <c r="V944" s="155">
        <f ca="1">IFERROR(__xludf.DUMMYFUNCTION("if(W944=""Middle Age"",QUERY(NPCVar!$K$2:$N1000, ""Select L where K = '""&amp;AB944&amp;""'""),if(W944=""Old"",QUERY(NPCVar!$K$2:$N1000, ""Select M where K = '""&amp;AB944&amp;""'""),if(W944=""Venerable"",QUERY(NPCVar!$K$2:$N1000, ""Select N where K = '""&amp;AB944&amp;""'""),fa"&amp;"lse)))*X944"),112.5)</f>
        <v>112.5</v>
      </c>
      <c r="W944" s="156" t="str">
        <f t="array" ref="W944">INDEX(NPCAgeType,TRUNC(1+(4-1)*(TRUNC(MOD((X944*1103515245 +12345)/ 65536, 32768),0)/32768),0))</f>
        <v>Middle Age</v>
      </c>
      <c r="X944" s="117">
        <f t="shared" si="61"/>
        <v>0.6</v>
      </c>
      <c r="Y944" s="157" t="e">
        <f t="array" aca="1" ref="Y944" ca="1">LOOKUP(ABS(MAX(Z944 + MIN(ABS(INDIRECT("Class Jobs!B"&amp;MATCH(E944,'Class Jobs'!$A$1:$A1000,0)&amp;":"&amp;"AF"&amp;MATCH(E944,'Class Jobs'!$A$1:$A1000,0)&amp;"")-$Z944)) * SUM(IF(MIN(ABS(INDIRECT("Class Jobs!B"&amp;MATCH(E944,'Class Jobs'!$A$1:$A1000,0)&amp;":"&amp;"AF"&amp;MATCH(E944,'Class Jobs'!$A$1:$A1000,0)&amp;"")-$Z944))=ABS(INDIRECT("Class Jobs!B"&amp;MATCH(E944,'Class Jobs'!$A$1:$A1000,0)&amp;":"&amp;"AF"&amp;MATCH(E944,'Class Jobs'!$A$1:$A1000,0)&amp;"")-$Z944),SIGN(INDIRECT("Class Jobs!B"&amp;MATCH(E944,'Class Jobs'!$A$1:A1000,0)&amp;":"&amp;"AF"&amp;MATCH(E944,'Class Jobs'!$A$1:$A1000,0)&amp;"")-$Z944),0)),0)),INDIRECT("Class Jobs!B"&amp;MATCH(E944,'Class Jobs'!$A$1:$A1000,0)&amp;":"&amp;"AF"&amp;MATCH(E944,'Class Jobs'!$A$1:$A1000,1)&amp;""),'Class Jobs'!$B$1:$AF$1)</f>
        <v>#REF!</v>
      </c>
      <c r="Z944" s="158">
        <f t="shared" si="57"/>
        <v>0.24</v>
      </c>
      <c r="AA944" s="16" t="str">
        <f t="array" ref="AA944">INDEX(NPCGender,TRUNC(1+(COUNTA(NPCGender))*(TRUNC(MOD(($B944*1103515245 +12345)/ 65536, 32768),0)/32768),0))</f>
        <v>Male</v>
      </c>
      <c r="AB944" s="16" t="str">
        <f t="array" ref="AB944">INDEX(NPCRace,TRUNC(1+(COUNTA(NPCRace))*(TRUNC(MOD(($B944*1103515245 +12345)/ 65536, 32768),0)/32768),0))</f>
        <v>Elf</v>
      </c>
      <c r="AC944" s="16" t="str">
        <f t="array" ref="AC944">INDEX(NPCAL,TRUNC(1+(COUNTA(NPCAL))*(TRUNC(MOD(($B944*1103515245 +12345)/ 65536, 32768),0)/32768),0))</f>
        <v>CG</v>
      </c>
      <c r="AD944" s="72" t="str">
        <f ca="1">IFERROR(__xludf.DUMMYFUNCTION("if(V944&lt;15,QUERY(NPCVar!C:D,""Select D WHERE C = '""&amp;D944&amp;""'""),if((TRUNC(1+10)*(TRUNC(MOD((ROW(H944)*1103515245 +12345)/ 65536, 32768),0)/32768)/10) &gt; 0.85,INDEX(NPCFaction,TRUNC(1+(counta(NPCFaction)-1)*(TRUNC(MOD(($B944*1103515245 +12345)/ 65536, 3276"&amp;"8),0)/32768),0)),QUERY(NPCVar!C:D,""Select D WHERE C = '""&amp;D944&amp;""'"")))"),"Magic Guild")</f>
        <v>Magic Guild</v>
      </c>
      <c r="AE944" s="108" t="e">
        <f t="shared" ca="1" si="58"/>
        <v>#NAME?</v>
      </c>
      <c r="AF944" s="159">
        <f ca="1">IFERROR(__xludf.DUMMYFUNCTION("AE944*(V944 / QUERY(NPCVar!$K$2:$N$12, ""Select N WHERE K='""&amp;AB944&amp;""'""))*TRUNC(1+10)*(TRUNC(MOD(($B944*1103515245 +12345)/ 65536, 32768),0)/32768)"),0.156036987304687)</f>
        <v>0.15603698730468701</v>
      </c>
      <c r="AG944" s="16"/>
      <c r="AH944" s="77"/>
      <c r="AI944" s="114"/>
    </row>
    <row r="945" spans="1:35" ht="16.2">
      <c r="A945" s="53">
        <v>944</v>
      </c>
      <c r="B945" s="118">
        <f t="shared" si="63"/>
        <v>1.9541900000000001</v>
      </c>
      <c r="C945" s="72" t="str">
        <f t="array" ref="C945">INDEX(NPCFName,TRUNC(1+(COUNTA(NPCFName))*(TRUNC(MOD(($B945*1103515245 +12345)/ 65536, 32768),0)/32768),0))</f>
        <v>Adeen</v>
      </c>
      <c r="D945" s="16" t="str">
        <f t="array" ref="D945">INDEX(NPCLName,TRUNC(1+(COUNTA(NPCLName))*(TRUNC(MOD(($B945*1103515245 +12345)/ 65536, 32768),0)/32768),0))</f>
        <v>Stagfang</v>
      </c>
      <c r="E945" s="16" t="str">
        <f t="array" ref="E945">INDEX(NPCClass,TRUNC(1+(COUNTA(NPCClass))*(TRUNC(MOD(($B945*1103515245 +12345)/ 65536, 32768),0)/32768),0))</f>
        <v>Barbarian</v>
      </c>
      <c r="F945" s="76">
        <v>1</v>
      </c>
      <c r="G945" s="153">
        <f ca="1">VLOOKUP($AB$2,'RF Mod'!$A$2:$G$12,2,FALSE)+VLOOKUP($AD$2,'RF Mod'!$I$2:$O$11,2,FALSE)+(TRUNC(6+(24-6)*(TRUNC(MOD(($Z945*1103515245 +12345)/ 65536, 32768),0)/32768),0))</f>
        <v>4</v>
      </c>
      <c r="H945" s="16">
        <f t="shared" ca="1" si="49"/>
        <v>-3</v>
      </c>
      <c r="I945" s="153">
        <f ca="1">VLOOKUP($AB$2,'RF Mod'!$A$2:$G$12,3,FALSE)+VLOOKUP($AD$2,'RF Mod'!$I$2:$O$11,3,FALSE)+(TRUNC(6+(24-6)*(TRUNC(MOD(($Z945*1103515245 +12345)/ 65536, 32768),0)/32768),0))</f>
        <v>8</v>
      </c>
      <c r="J945" s="16">
        <f t="shared" ca="1" si="50"/>
        <v>-1</v>
      </c>
      <c r="K945" s="153">
        <f ca="1">VLOOKUP($AB$2,'RF Mod'!$A$2:$G$12,3,FALSE)+VLOOKUP($AD$2,'RF Mod'!$I$2:$O$11,3,FALSE)+(TRUNC(6+(24-6)*(TRUNC(MOD(($Z945*1103515245 +12345)/ 65536, 32768),0)/32768),0))</f>
        <v>8</v>
      </c>
      <c r="L945" s="16">
        <f t="shared" ca="1" si="51"/>
        <v>-1</v>
      </c>
      <c r="M945" s="153">
        <f ca="1">VLOOKUP($AB$2,'RF Mod'!$A$2:$G$12,4,FALSE)+VLOOKUP($AD$2,'RF Mod'!$I$2:$O$11,4,FALSE)+(TRUNC(6+(24-6)*(TRUNC(MOD(($Z945*1103515245 +12345)/ 65536, 32768),0)/32768),0))</f>
        <v>7</v>
      </c>
      <c r="N945" s="16">
        <f t="shared" ca="1" si="52"/>
        <v>-2</v>
      </c>
      <c r="O945" s="153">
        <f ca="1">VLOOKUP($AB$2,'RF Mod'!$A$2:$G$12,5,FALSE)+VLOOKUP($AD$2,'RF Mod'!$I$2:$O$11,5,FALSE)+(TRUNC(6+(24-6)*(TRUNC(MOD(($Z945*1103515245 +12345)/ 65536, 32768),0)/32768),0))</f>
        <v>10</v>
      </c>
      <c r="P945" s="16" t="e">
        <f t="shared" ca="1" si="53"/>
        <v>#NAME?</v>
      </c>
      <c r="Q945" s="153">
        <f ca="1">VLOOKUP($AB$2,'RF Mod'!$A$2:$G$12,6,FALSE)+VLOOKUP($AD$2,'RF Mod'!$I$2:$O$11,6,FALSE)+(TRUNC(6+(24-6)*(TRUNC(MOD(($Z945*1103515245 +12345)/ 65536, 32768),0)/32768),0))</f>
        <v>8</v>
      </c>
      <c r="R945" s="16">
        <f t="shared" ca="1" si="54"/>
        <v>-1</v>
      </c>
      <c r="S945" s="154">
        <f t="shared" ca="1" si="59"/>
        <v>26</v>
      </c>
      <c r="T945" s="154">
        <f t="shared" ca="1" si="55"/>
        <v>22</v>
      </c>
      <c r="U945" s="16" t="str">
        <f t="shared" ca="1" si="56"/>
        <v>Bloody</v>
      </c>
      <c r="V945" s="155">
        <f ca="1">IFERROR(__xludf.DUMMYFUNCTION("if(W945=""Middle Age"",QUERY(NPCVar!$K$2:$N1000, ""Select L where K = '""&amp;AB945&amp;""'""),if(W945=""Old"",QUERY(NPCVar!$K$2:$N1000, ""Select M where K = '""&amp;AB945&amp;""'""),if(W945=""Venerable"",QUERY(NPCVar!$K$2:$N1000, ""Select N where K = '""&amp;AB945&amp;""'""),fa"&amp;"lse)))*X945"),2)</f>
        <v>2</v>
      </c>
      <c r="W945" s="156" t="str">
        <f t="array" ref="W945">INDEX(NPCAgeType,TRUNC(1+(4-1)*(TRUNC(MOD((X945*1103515245 +12345)/ 65536, 32768),0)/32768),0))</f>
        <v>Middle Age</v>
      </c>
      <c r="X945" s="117">
        <f t="shared" si="61"/>
        <v>0.1</v>
      </c>
      <c r="Y945" s="157" t="e">
        <f t="array" aca="1" ref="Y945" ca="1">LOOKUP(ABS(MAX(Z945 + MIN(ABS(INDIRECT("Class Jobs!B"&amp;MATCH(E945,'Class Jobs'!$A$1:$A1000,0)&amp;":"&amp;"AF"&amp;MATCH(E945,'Class Jobs'!$A$1:$A1000,0)&amp;"")-$Z945)) * SUM(IF(MIN(ABS(INDIRECT("Class Jobs!B"&amp;MATCH(E945,'Class Jobs'!$A$1:$A1000,0)&amp;":"&amp;"AF"&amp;MATCH(E945,'Class Jobs'!$A$1:$A1000,0)&amp;"")-$Z945))=ABS(INDIRECT("Class Jobs!B"&amp;MATCH(E945,'Class Jobs'!$A$1:$A1000,0)&amp;":"&amp;"AF"&amp;MATCH(E945,'Class Jobs'!$A$1:$A1000,0)&amp;"")-$Z945),SIGN(INDIRECT("Class Jobs!B"&amp;MATCH(E945,'Class Jobs'!$A$1:A1000,0)&amp;":"&amp;"AF"&amp;MATCH(E945,'Class Jobs'!$A$1:$A1000,0)&amp;"")-$Z945),0)),0)),INDIRECT("Class Jobs!B"&amp;MATCH(E945,'Class Jobs'!$A$1:$A1000,0)&amp;":"&amp;"AF"&amp;MATCH(E945,'Class Jobs'!$A$1:$A1000,1)&amp;""),'Class Jobs'!$B$1:$AF$1)</f>
        <v>#REF!</v>
      </c>
      <c r="Z945" s="158">
        <f t="shared" si="57"/>
        <v>0.01</v>
      </c>
      <c r="AA945" s="16" t="str">
        <f t="array" ref="AA945">INDEX(NPCGender,TRUNC(1+(COUNTA(NPCGender))*(TRUNC(MOD(($B945*1103515245 +12345)/ 65536, 32768),0)/32768),0))</f>
        <v>Male</v>
      </c>
      <c r="AB945" s="16" t="str">
        <f t="array" ref="AB945">INDEX(NPCRace,TRUNC(1+(COUNTA(NPCRace))*(TRUNC(MOD(($B945*1103515245 +12345)/ 65536, 32768),0)/32768),0))</f>
        <v>Dragonborn</v>
      </c>
      <c r="AC945" s="16" t="str">
        <f t="array" ref="AC945">INDEX(NPCAL,TRUNC(1+(COUNTA(NPCAL))*(TRUNC(MOD(($B945*1103515245 +12345)/ 65536, 32768),0)/32768),0))</f>
        <v>CN</v>
      </c>
      <c r="AD945" s="72" t="str">
        <f ca="1">IFERROR(__xludf.DUMMYFUNCTION("if(V945&lt;15,QUERY(NPCVar!C:D,""Select D WHERE C = '""&amp;D945&amp;""'""),if((TRUNC(1+10)*(TRUNC(MOD((ROW(H945)*1103515245 +12345)/ 65536, 32768),0)/32768)/10) &gt; 0.85,INDEX(NPCFaction,TRUNC(1+(counta(NPCFaction)-1)*(TRUNC(MOD(($B945*1103515245 +12345)/ 65536, 3276"&amp;"8),0)/32768),0)),QUERY(NPCVar!C:D,""Select D WHERE C = '""&amp;D945&amp;""'"")))"),"Royalty")</f>
        <v>Royalty</v>
      </c>
      <c r="AE945" s="108" t="e">
        <f t="shared" ca="1" si="58"/>
        <v>#NAME?</v>
      </c>
      <c r="AF945" s="159">
        <f ca="1">IFERROR(__xludf.DUMMYFUNCTION("AE945*(V945 / QUERY(NPCVar!$K$2:$N$12, ""Select N WHERE K='""&amp;AB945&amp;""'""))*TRUNC(1+10)*(TRUNC(MOD(($B945*1103515245 +12345)/ 65536, 32768),0)/32768)"),-0.000229949951171875)</f>
        <v>-2.29949951171875E-4</v>
      </c>
      <c r="AG945" s="16"/>
      <c r="AH945" s="77"/>
      <c r="AI945" s="114"/>
    </row>
    <row r="946" spans="1:35" ht="16.2">
      <c r="A946" s="53">
        <v>945</v>
      </c>
      <c r="B946" s="118">
        <f t="shared" si="63"/>
        <v>0.94833000000000001</v>
      </c>
      <c r="C946" s="72" t="str">
        <f t="array" ref="C946">INDEX(NPCFName,TRUNC(1+(COUNTA(NPCFName))*(TRUNC(MOD(($B946*1103515245 +12345)/ 65536, 32768),0)/32768),0))</f>
        <v>Juktar</v>
      </c>
      <c r="D946" s="16" t="str">
        <f t="array" ref="D946">INDEX(NPCLName,TRUNC(1+(COUNTA(NPCLName))*(TRUNC(MOD(($B946*1103515245 +12345)/ 65536, 32768),0)/32768),0))</f>
        <v>Autumnglow</v>
      </c>
      <c r="E946" s="16" t="str">
        <f t="array" ref="E946">INDEX(NPCClass,TRUNC(1+(COUNTA(NPCClass))*(TRUNC(MOD(($B946*1103515245 +12345)/ 65536, 32768),0)/32768),0))</f>
        <v>Ranger</v>
      </c>
      <c r="F946" s="76">
        <v>6</v>
      </c>
      <c r="G946" s="153">
        <f ca="1">VLOOKUP($AB$2,'RF Mod'!$A$2:$G$12,2,FALSE)+VLOOKUP($AD$2,'RF Mod'!$I$2:$O$11,2,FALSE)+(TRUNC(6+(24-6)*(TRUNC(MOD(($Z946*1103515245 +12345)/ 65536, 32768),0)/32768),0))</f>
        <v>8</v>
      </c>
      <c r="H946" s="16">
        <f t="shared" ca="1" si="49"/>
        <v>-1</v>
      </c>
      <c r="I946" s="153">
        <f ca="1">VLOOKUP($AB$2,'RF Mod'!$A$2:$G$12,3,FALSE)+VLOOKUP($AD$2,'RF Mod'!$I$2:$O$11,3,FALSE)+(TRUNC(6+(24-6)*(TRUNC(MOD(($Z946*1103515245 +12345)/ 65536, 32768),0)/32768),0))</f>
        <v>12</v>
      </c>
      <c r="J946" s="16" t="e">
        <f t="shared" ca="1" si="50"/>
        <v>#NAME?</v>
      </c>
      <c r="K946" s="153">
        <f ca="1">VLOOKUP($AB$2,'RF Mod'!$A$2:$G$12,3,FALSE)+VLOOKUP($AD$2,'RF Mod'!$I$2:$O$11,3,FALSE)+(TRUNC(6+(24-6)*(TRUNC(MOD(($Z946*1103515245 +12345)/ 65536, 32768),0)/32768),0))</f>
        <v>12</v>
      </c>
      <c r="L946" s="16" t="e">
        <f t="shared" ca="1" si="51"/>
        <v>#NAME?</v>
      </c>
      <c r="M946" s="153">
        <f ca="1">VLOOKUP($AB$2,'RF Mod'!$A$2:$G$12,4,FALSE)+VLOOKUP($AD$2,'RF Mod'!$I$2:$O$11,4,FALSE)+(TRUNC(6+(24-6)*(TRUNC(MOD(($Z946*1103515245 +12345)/ 65536, 32768),0)/32768),0))</f>
        <v>11</v>
      </c>
      <c r="N946" s="16" t="e">
        <f t="shared" ca="1" si="52"/>
        <v>#NAME?</v>
      </c>
      <c r="O946" s="153">
        <f ca="1">VLOOKUP($AB$2,'RF Mod'!$A$2:$G$12,5,FALSE)+VLOOKUP($AD$2,'RF Mod'!$I$2:$O$11,5,FALSE)+(TRUNC(6+(24-6)*(TRUNC(MOD(($Z946*1103515245 +12345)/ 65536, 32768),0)/32768),0))</f>
        <v>14</v>
      </c>
      <c r="P946" s="16" t="e">
        <f t="shared" ca="1" si="53"/>
        <v>#NAME?</v>
      </c>
      <c r="Q946" s="153">
        <f ca="1">VLOOKUP($AB$2,'RF Mod'!$A$2:$G$12,6,FALSE)+VLOOKUP($AD$2,'RF Mod'!$I$2:$O$11,6,FALSE)+(TRUNC(6+(24-6)*(TRUNC(MOD(($Z946*1103515245 +12345)/ 65536, 32768),0)/32768),0))</f>
        <v>12</v>
      </c>
      <c r="R946" s="16" t="e">
        <f t="shared" ca="1" si="54"/>
        <v>#NAME?</v>
      </c>
      <c r="S946" s="154">
        <f t="shared" ca="1" si="59"/>
        <v>168</v>
      </c>
      <c r="T946" s="154">
        <f t="shared" ca="1" si="55"/>
        <v>120</v>
      </c>
      <c r="U946" s="16" t="str">
        <f t="shared" ca="1" si="56"/>
        <v>Bloody</v>
      </c>
      <c r="V946" s="155">
        <f ca="1">IFERROR(__xludf.DUMMYFUNCTION("if(W946=""Middle Age"",QUERY(NPCVar!$K$2:$N1000, ""Select L where K = '""&amp;AB946&amp;""'""),if(W946=""Old"",QUERY(NPCVar!$K$2:$N1000, ""Select M where K = '""&amp;AB946&amp;""'""),if(W946=""Venerable"",QUERY(NPCVar!$K$2:$N1000, ""Select N where K = '""&amp;AB946&amp;""'""),fa"&amp;"lse)))*X946"),31.5)</f>
        <v>31.5</v>
      </c>
      <c r="W946" s="156" t="str">
        <f t="array" ref="W946">INDEX(NPCAgeType,TRUNC(1+(4-1)*(TRUNC(MOD((X946*1103515245 +12345)/ 65536, 32768),0)/32768),0))</f>
        <v>Old</v>
      </c>
      <c r="X946" s="117">
        <f t="shared" si="61"/>
        <v>1.2</v>
      </c>
      <c r="Y946" s="157" t="e">
        <f t="array" aca="1" ref="Y946" ca="1">LOOKUP(ABS(MAX(Z946 + MIN(ABS(INDIRECT("Class Jobs!B"&amp;MATCH(E946,'Class Jobs'!$A$1:$A1000,0)&amp;":"&amp;"AF"&amp;MATCH(E946,'Class Jobs'!$A$1:$A1000,0)&amp;"")-$Z946)) * SUM(IF(MIN(ABS(INDIRECT("Class Jobs!B"&amp;MATCH(E946,'Class Jobs'!$A$1:$A1000,0)&amp;":"&amp;"AF"&amp;MATCH(E946,'Class Jobs'!$A$1:$A1000,0)&amp;"")-$Z946))=ABS(INDIRECT("Class Jobs!B"&amp;MATCH(E946,'Class Jobs'!$A$1:$A1000,0)&amp;":"&amp;"AF"&amp;MATCH(E946,'Class Jobs'!$A$1:$A1000,0)&amp;"")-$Z946),SIGN(INDIRECT("Class Jobs!B"&amp;MATCH(E946,'Class Jobs'!$A$1:A1000,0)&amp;":"&amp;"AF"&amp;MATCH(E946,'Class Jobs'!$A$1:$A1000,0)&amp;"")-$Z946),0)),0)),INDIRECT("Class Jobs!B"&amp;MATCH(E946,'Class Jobs'!$A$1:$A1000,0)&amp;":"&amp;"AF"&amp;MATCH(E946,'Class Jobs'!$A$1:$A1000,1)&amp;""),'Class Jobs'!$B$1:$AF$1)</f>
        <v>#REF!</v>
      </c>
      <c r="Z946" s="158">
        <f t="shared" si="57"/>
        <v>0.49</v>
      </c>
      <c r="AA946" s="16" t="str">
        <f t="array" ref="AA946">INDEX(NPCGender,TRUNC(1+(COUNTA(NPCGender))*(TRUNC(MOD(($B946*1103515245 +12345)/ 65536, 32768),0)/32768),0))</f>
        <v>Female</v>
      </c>
      <c r="AB946" s="16" t="str">
        <f t="array" ref="AB946">INDEX(NPCRace,TRUNC(1+(COUNTA(NPCRace))*(TRUNC(MOD(($B946*1103515245 +12345)/ 65536, 32768),0)/32768),0))</f>
        <v>Half-Orc</v>
      </c>
      <c r="AC946" s="16" t="str">
        <f t="array" ref="AC946">INDEX(NPCAL,TRUNC(1+(COUNTA(NPCAL))*(TRUNC(MOD(($B946*1103515245 +12345)/ 65536, 32768),0)/32768),0))</f>
        <v>NN</v>
      </c>
      <c r="AD946" s="72" t="str">
        <f ca="1">IFERROR(__xludf.DUMMYFUNCTION("if(V946&lt;15,QUERY(NPCVar!C:D,""Select D WHERE C = '""&amp;D946&amp;""'""),if((TRUNC(1+10)*(TRUNC(MOD((ROW(H946)*1103515245 +12345)/ 65536, 32768),0)/32768)/10) &gt; 0.85,INDEX(NPCFaction,TRUNC(1+(counta(NPCFaction)-1)*(TRUNC(MOD(($B946*1103515245 +12345)/ 65536, 3276"&amp;"8),0)/32768),0)),QUERY(NPCVar!C:D,""Select D WHERE C = '""&amp;D946&amp;""'"")))"),"Traders Guild")</f>
        <v>Traders Guild</v>
      </c>
      <c r="AE946" s="108" t="e">
        <f t="shared" ca="1" si="58"/>
        <v>#NAME?</v>
      </c>
      <c r="AF946" s="159">
        <f ca="1">IFERROR(__xludf.DUMMYFUNCTION("AE946*(V946 / QUERY(NPCVar!$K$2:$N$12, ""Select N WHERE K='""&amp;AB946&amp;""'""))*TRUNC(1+10)*(TRUNC(MOD(($B946*1103515245 +12345)/ 65536, 32768),0)/32768)"),1.68851074218749)</f>
        <v>1.6885107421874901</v>
      </c>
      <c r="AG946" s="16"/>
      <c r="AH946" s="77"/>
      <c r="AI946" s="114"/>
    </row>
    <row r="947" spans="1:35" ht="16.2">
      <c r="A947" s="53">
        <v>946</v>
      </c>
      <c r="B947" s="118">
        <f t="shared" si="63"/>
        <v>2.4424700000000001</v>
      </c>
      <c r="C947" s="72" t="str">
        <f t="array" ref="C947">INDEX(NPCFName,TRUNC(1+(COUNTA(NPCFName))*(TRUNC(MOD(($B947*1103515245 +12345)/ 65536, 32768),0)/32768),0))</f>
        <v>Sabal</v>
      </c>
      <c r="D947" s="16" t="str">
        <f t="array" ref="D947">INDEX(NPCLName,TRUNC(1+(COUNTA(NPCLName))*(TRUNC(MOD(($B947*1103515245 +12345)/ 65536, 32768),0)/32768),0))</f>
        <v>Tuskleaf</v>
      </c>
      <c r="E947" s="16" t="str">
        <f t="array" ref="E947">INDEX(NPCClass,TRUNC(1+(COUNTA(NPCClass))*(TRUNC(MOD(($B947*1103515245 +12345)/ 65536, 32768),0)/32768),0))</f>
        <v>Monk</v>
      </c>
      <c r="F947" s="76">
        <v>3</v>
      </c>
      <c r="G947" s="153">
        <f ca="1">VLOOKUP($AB$2,'RF Mod'!$A$2:$G$12,2,FALSE)+VLOOKUP($AD$2,'RF Mod'!$I$2:$O$11,2,FALSE)+(TRUNC(6+(24-6)*(TRUNC(MOD(($Z947*1103515245 +12345)/ 65536, 32768),0)/32768),0))</f>
        <v>6</v>
      </c>
      <c r="H947" s="16">
        <f t="shared" ca="1" si="49"/>
        <v>-2</v>
      </c>
      <c r="I947" s="153">
        <f ca="1">VLOOKUP($AB$2,'RF Mod'!$A$2:$G$12,3,FALSE)+VLOOKUP($AD$2,'RF Mod'!$I$2:$O$11,3,FALSE)+(TRUNC(6+(24-6)*(TRUNC(MOD(($Z947*1103515245 +12345)/ 65536, 32768),0)/32768),0))</f>
        <v>10</v>
      </c>
      <c r="J947" s="16" t="e">
        <f t="shared" ca="1" si="50"/>
        <v>#NAME?</v>
      </c>
      <c r="K947" s="153">
        <f ca="1">VLOOKUP($AB$2,'RF Mod'!$A$2:$G$12,3,FALSE)+VLOOKUP($AD$2,'RF Mod'!$I$2:$O$11,3,FALSE)+(TRUNC(6+(24-6)*(TRUNC(MOD(($Z947*1103515245 +12345)/ 65536, 32768),0)/32768),0))</f>
        <v>10</v>
      </c>
      <c r="L947" s="16" t="e">
        <f t="shared" ca="1" si="51"/>
        <v>#NAME?</v>
      </c>
      <c r="M947" s="153">
        <f ca="1">VLOOKUP($AB$2,'RF Mod'!$A$2:$G$12,4,FALSE)+VLOOKUP($AD$2,'RF Mod'!$I$2:$O$11,4,FALSE)+(TRUNC(6+(24-6)*(TRUNC(MOD(($Z947*1103515245 +12345)/ 65536, 32768),0)/32768),0))</f>
        <v>9</v>
      </c>
      <c r="N947" s="16">
        <f t="shared" ca="1" si="52"/>
        <v>-1</v>
      </c>
      <c r="O947" s="153">
        <f ca="1">VLOOKUP($AB$2,'RF Mod'!$A$2:$G$12,5,FALSE)+VLOOKUP($AD$2,'RF Mod'!$I$2:$O$11,5,FALSE)+(TRUNC(6+(24-6)*(TRUNC(MOD(($Z947*1103515245 +12345)/ 65536, 32768),0)/32768),0))</f>
        <v>12</v>
      </c>
      <c r="P947" s="16" t="e">
        <f t="shared" ca="1" si="53"/>
        <v>#NAME?</v>
      </c>
      <c r="Q947" s="153">
        <f ca="1">VLOOKUP($AB$2,'RF Mod'!$A$2:$G$12,6,FALSE)+VLOOKUP($AD$2,'RF Mod'!$I$2:$O$11,6,FALSE)+(TRUNC(6+(24-6)*(TRUNC(MOD(($Z947*1103515245 +12345)/ 65536, 32768),0)/32768),0))</f>
        <v>10</v>
      </c>
      <c r="R947" s="16" t="e">
        <f t="shared" ca="1" si="54"/>
        <v>#NAME?</v>
      </c>
      <c r="S947" s="154">
        <f t="shared" ca="1" si="59"/>
        <v>36</v>
      </c>
      <c r="T947" s="154">
        <f t="shared" ca="1" si="55"/>
        <v>10</v>
      </c>
      <c r="U947" s="16" t="str">
        <f t="shared" ca="1" si="56"/>
        <v>Fine</v>
      </c>
      <c r="V947" s="155">
        <f ca="1">IFERROR(__xludf.DUMMYFUNCTION("if(W947=""Middle Age"",QUERY(NPCVar!$K$2:$N1000, ""Select L where K = '""&amp;AB947&amp;""'""),if(W947=""Old"",QUERY(NPCVar!$K$2:$N1000, ""Select M where K = '""&amp;AB947&amp;""'""),if(W947=""Venerable"",QUERY(NPCVar!$K$2:$N1000, ""Select N where K = '""&amp;AB947&amp;""'""),fa"&amp;"lse)))*X947"),196.875)</f>
        <v>196.875</v>
      </c>
      <c r="W947" s="156" t="str">
        <f t="array" ref="W947">INDEX(NPCAgeType,TRUNC(1+(4-1)*(TRUNC(MOD((X947*1103515245 +12345)/ 65536, 32768),0)/32768),0))</f>
        <v>Old</v>
      </c>
      <c r="X947" s="117">
        <f t="shared" si="61"/>
        <v>0.7</v>
      </c>
      <c r="Y947" s="157" t="e">
        <f t="array" aca="1" ref="Y947" ca="1">LOOKUP(ABS(MAX(Z947 + MIN(ABS(INDIRECT("Class Jobs!B"&amp;MATCH(E947,'Class Jobs'!$A$1:$A1000,0)&amp;":"&amp;"AF"&amp;MATCH(E947,'Class Jobs'!$A$1:$A1000,0)&amp;"")-$Z947)) * SUM(IF(MIN(ABS(INDIRECT("Class Jobs!B"&amp;MATCH(E947,'Class Jobs'!$A$1:$A1000,0)&amp;":"&amp;"AF"&amp;MATCH(E947,'Class Jobs'!$A$1:$A1000,0)&amp;"")-$Z947))=ABS(INDIRECT("Class Jobs!B"&amp;MATCH(E947,'Class Jobs'!$A$1:$A1000,0)&amp;":"&amp;"AF"&amp;MATCH(E947,'Class Jobs'!$A$1:$A1000,0)&amp;"")-$Z947),SIGN(INDIRECT("Class Jobs!B"&amp;MATCH(E947,'Class Jobs'!$A$1:A1000,0)&amp;":"&amp;"AF"&amp;MATCH(E947,'Class Jobs'!$A$1:$A1000,0)&amp;"")-$Z947),0)),0)),INDIRECT("Class Jobs!B"&amp;MATCH(E947,'Class Jobs'!$A$1:$A1000,0)&amp;":"&amp;"AF"&amp;MATCH(E947,'Class Jobs'!$A$1:$A1000,1)&amp;""),'Class Jobs'!$B$1:$AF$1)</f>
        <v>#REF!</v>
      </c>
      <c r="Z947" s="158">
        <f t="shared" si="57"/>
        <v>0.26</v>
      </c>
      <c r="AA947" s="16" t="str">
        <f t="array" ref="AA947">INDEX(NPCGender,TRUNC(1+(COUNTA(NPCGender))*(TRUNC(MOD(($B947*1103515245 +12345)/ 65536, 32768),0)/32768),0))</f>
        <v>Male</v>
      </c>
      <c r="AB947" s="16" t="str">
        <f t="array" ref="AB947">INDEX(NPCRace,TRUNC(1+(COUNTA(NPCRace))*(TRUNC(MOD(($B947*1103515245 +12345)/ 65536, 32768),0)/32768),0))</f>
        <v>Elf</v>
      </c>
      <c r="AC947" s="16" t="str">
        <f t="array" ref="AC947">INDEX(NPCAL,TRUNC(1+(COUNTA(NPCAL))*(TRUNC(MOD(($B947*1103515245 +12345)/ 65536, 32768),0)/32768),0))</f>
        <v>CG</v>
      </c>
      <c r="AD947" s="72" t="str">
        <f ca="1">IFERROR(__xludf.DUMMYFUNCTION("if(V947&lt;15,QUERY(NPCVar!C:D,""Select D WHERE C = '""&amp;D947&amp;""'""),if((TRUNC(1+10)*(TRUNC(MOD((ROW(H947)*1103515245 +12345)/ 65536, 32768),0)/32768)/10) &gt; 0.85,INDEX(NPCFaction,TRUNC(1+(counta(NPCFaction)-1)*(TRUNC(MOD(($B947*1103515245 +12345)/ 65536, 3276"&amp;"8),0)/32768),0)),QUERY(NPCVar!C:D,""Select D WHERE C = '""&amp;D947&amp;""'"")))"),"Magic Guild")</f>
        <v>Magic Guild</v>
      </c>
      <c r="AE947" s="108" t="e">
        <f t="shared" ca="1" si="58"/>
        <v>#NAME?</v>
      </c>
      <c r="AF947" s="159">
        <f ca="1">IFERROR(__xludf.DUMMYFUNCTION("AE947*(V947 / QUERY(NPCVar!$K$2:$N$12, ""Select N WHERE K='""&amp;AB947&amp;""'""))*TRUNC(1+10)*(TRUNC(MOD(($B947*1103515245 +12345)/ 65536, 32768),0)/32768)"),0)</f>
        <v>0</v>
      </c>
      <c r="AG947" s="16"/>
      <c r="AH947" s="77"/>
      <c r="AI947" s="114"/>
    </row>
    <row r="948" spans="1:35" ht="16.2">
      <c r="A948" s="53">
        <v>947</v>
      </c>
      <c r="B948" s="118">
        <f t="shared" si="63"/>
        <v>1.4366099999999999</v>
      </c>
      <c r="C948" s="72" t="str">
        <f t="array" ref="C948">INDEX(NPCFName,TRUNC(1+(COUNTA(NPCFName))*(TRUNC(MOD(($B948*1103515245 +12345)/ 65536, 32768),0)/32768),0))</f>
        <v>Defearon</v>
      </c>
      <c r="D948" s="16" t="str">
        <f t="array" ref="D948">INDEX(NPCLName,TRUNC(1+(COUNTA(NPCLName))*(TRUNC(MOD(($B948*1103515245 +12345)/ 65536, 32768),0)/32768),0))</f>
        <v>Sacredgloom</v>
      </c>
      <c r="E948" s="16" t="str">
        <f t="array" ref="E948">INDEX(NPCClass,TRUNC(1+(COUNTA(NPCClass))*(TRUNC(MOD(($B948*1103515245 +12345)/ 65536, 32768),0)/32768),0))</f>
        <v>None</v>
      </c>
      <c r="F948" s="76">
        <v>8</v>
      </c>
      <c r="G948" s="153">
        <f ca="1">VLOOKUP($AB$2,'RF Mod'!$A$2:$G$12,2,FALSE)+VLOOKUP($AD$2,'RF Mod'!$I$2:$O$11,2,FALSE)+(TRUNC(6+(24-6)*(TRUNC(MOD(($Z948*1103515245 +12345)/ 65536, 32768),0)/32768),0))</f>
        <v>10</v>
      </c>
      <c r="H948" s="16" t="e">
        <f t="shared" ca="1" si="49"/>
        <v>#NAME?</v>
      </c>
      <c r="I948" s="153">
        <f ca="1">VLOOKUP($AB$2,'RF Mod'!$A$2:$G$12,3,FALSE)+VLOOKUP($AD$2,'RF Mod'!$I$2:$O$11,3,FALSE)+(TRUNC(6+(24-6)*(TRUNC(MOD(($Z948*1103515245 +12345)/ 65536, 32768),0)/32768),0))</f>
        <v>14</v>
      </c>
      <c r="J948" s="16" t="e">
        <f t="shared" ca="1" si="50"/>
        <v>#NAME?</v>
      </c>
      <c r="K948" s="153">
        <f ca="1">VLOOKUP($AB$2,'RF Mod'!$A$2:$G$12,3,FALSE)+VLOOKUP($AD$2,'RF Mod'!$I$2:$O$11,3,FALSE)+(TRUNC(6+(24-6)*(TRUNC(MOD(($Z948*1103515245 +12345)/ 65536, 32768),0)/32768),0))</f>
        <v>14</v>
      </c>
      <c r="L948" s="16" t="e">
        <f t="shared" ca="1" si="51"/>
        <v>#NAME?</v>
      </c>
      <c r="M948" s="153">
        <f ca="1">VLOOKUP($AB$2,'RF Mod'!$A$2:$G$12,4,FALSE)+VLOOKUP($AD$2,'RF Mod'!$I$2:$O$11,4,FALSE)+(TRUNC(6+(24-6)*(TRUNC(MOD(($Z948*1103515245 +12345)/ 65536, 32768),0)/32768),0))</f>
        <v>13</v>
      </c>
      <c r="N948" s="16" t="e">
        <f t="shared" ca="1" si="52"/>
        <v>#NAME?</v>
      </c>
      <c r="O948" s="153">
        <f ca="1">VLOOKUP($AB$2,'RF Mod'!$A$2:$G$12,5,FALSE)+VLOOKUP($AD$2,'RF Mod'!$I$2:$O$11,5,FALSE)+(TRUNC(6+(24-6)*(TRUNC(MOD(($Z948*1103515245 +12345)/ 65536, 32768),0)/32768),0))</f>
        <v>16</v>
      </c>
      <c r="P948" s="16" t="e">
        <f t="shared" ca="1" si="53"/>
        <v>#NAME?</v>
      </c>
      <c r="Q948" s="153">
        <f ca="1">VLOOKUP($AB$2,'RF Mod'!$A$2:$G$12,6,FALSE)+VLOOKUP($AD$2,'RF Mod'!$I$2:$O$11,6,FALSE)+(TRUNC(6+(24-6)*(TRUNC(MOD(($Z948*1103515245 +12345)/ 65536, 32768),0)/32768),0))</f>
        <v>14</v>
      </c>
      <c r="R948" s="16" t="e">
        <f t="shared" ca="1" si="54"/>
        <v>#NAME?</v>
      </c>
      <c r="S948" s="154">
        <f t="shared" ca="1" si="59"/>
        <v>160</v>
      </c>
      <c r="T948" s="154">
        <f t="shared" ca="1" si="55"/>
        <v>47</v>
      </c>
      <c r="U948" s="16" t="str">
        <f t="shared" ca="1" si="56"/>
        <v>Fine</v>
      </c>
      <c r="V948" s="155">
        <f ca="1">IFERROR(__xludf.DUMMYFUNCTION("if(W948=""Middle Age"",QUERY(NPCVar!$K$2:$N1000, ""Select L where K = '""&amp;AB948&amp;""'""),if(W948=""Old"",QUERY(NPCVar!$K$2:$N1000, ""Select M where K = '""&amp;AB948&amp;""'""),if(W948=""Venerable"",QUERY(NPCVar!$K$2:$N1000, ""Select N where K = '""&amp;AB948&amp;""'""),fa"&amp;"lse)))*X948"),180)</f>
        <v>180</v>
      </c>
      <c r="W948" s="156" t="str">
        <f t="array" ref="W948">INDEX(NPCAgeType,TRUNC(1+(4-1)*(TRUNC(MOD((X948*1103515245 +12345)/ 65536, 32768),0)/32768),0))</f>
        <v>Venerable</v>
      </c>
      <c r="X948" s="117">
        <f t="shared" si="61"/>
        <v>1.8</v>
      </c>
      <c r="Y948" s="157" t="e">
        <f t="array" aca="1" ref="Y948" ca="1">LOOKUP(ABS(MAX(Z948 + MIN(ABS(INDIRECT("Class Jobs!B"&amp;MATCH(E948,'Class Jobs'!$A$1:$A1000,0)&amp;":"&amp;"AF"&amp;MATCH(E948,'Class Jobs'!$A$1:$A1000,0)&amp;"")-$Z948)) * SUM(IF(MIN(ABS(INDIRECT("Class Jobs!B"&amp;MATCH(E948,'Class Jobs'!$A$1:$A1000,0)&amp;":"&amp;"AF"&amp;MATCH(E948,'Class Jobs'!$A$1:$A1000,0)&amp;"")-$Z948))=ABS(INDIRECT("Class Jobs!B"&amp;MATCH(E948,'Class Jobs'!$A$1:$A1000,0)&amp;":"&amp;"AF"&amp;MATCH(E948,'Class Jobs'!$A$1:$A1000,0)&amp;"")-$Z948),SIGN(INDIRECT("Class Jobs!B"&amp;MATCH(E948,'Class Jobs'!$A$1:A1000,0)&amp;":"&amp;"AF"&amp;MATCH(E948,'Class Jobs'!$A$1:$A1000,0)&amp;"")-$Z948),0)),0)),INDIRECT("Class Jobs!B"&amp;MATCH(E948,'Class Jobs'!$A$1:$A1000,0)&amp;":"&amp;"AF"&amp;MATCH(E948,'Class Jobs'!$A$1:$A1000,1)&amp;""),'Class Jobs'!$B$1:$AF$1)</f>
        <v>#REF!</v>
      </c>
      <c r="Z948" s="158">
        <f t="shared" si="57"/>
        <v>0.74</v>
      </c>
      <c r="AA948" s="16" t="str">
        <f t="array" ref="AA948">INDEX(NPCGender,TRUNC(1+(COUNTA(NPCGender))*(TRUNC(MOD(($B948*1103515245 +12345)/ 65536, 32768),0)/32768),0))</f>
        <v>Neutral</v>
      </c>
      <c r="AB948" s="16" t="str">
        <f t="array" ref="AB948">INDEX(NPCRace,TRUNC(1+(COUNTA(NPCRace))*(TRUNC(MOD(($B948*1103515245 +12345)/ 65536, 32768),0)/32768),0))</f>
        <v>Tiefling</v>
      </c>
      <c r="AC948" s="16" t="str">
        <f t="array" ref="AC948">INDEX(NPCAL,TRUNC(1+(COUNTA(NPCAL))*(TRUNC(MOD(($B948*1103515245 +12345)/ 65536, 32768),0)/32768),0))</f>
        <v>LG</v>
      </c>
      <c r="AD948" s="72" t="str">
        <f ca="1">IFERROR(__xludf.DUMMYFUNCTION("if(V948&lt;15,QUERY(NPCVar!C:D,""Select D WHERE C = '""&amp;D948&amp;""'""),if((TRUNC(1+10)*(TRUNC(MOD((ROW(H948)*1103515245 +12345)/ 65536, 32768),0)/32768)/10) &gt; 0.85,INDEX(NPCFaction,TRUNC(1+(counta(NPCFaction)-1)*(TRUNC(MOD(($B948*1103515245 +12345)/ 65536, 3276"&amp;"8),0)/32768),0)),QUERY(NPCVar!C:D,""Select D WHERE C = '""&amp;D948&amp;""'"")))"),"Adventures Guild")</f>
        <v>Adventures Guild</v>
      </c>
      <c r="AE948" s="108" t="e">
        <f t="shared" ca="1" si="58"/>
        <v>#NAME?</v>
      </c>
      <c r="AF948" s="159">
        <f ca="1">IFERROR(__xludf.DUMMYFUNCTION("AE948*(V948 / QUERY(NPCVar!$K$2:$N$12, ""Select N WHERE K='""&amp;AB948&amp;""'""))*TRUNC(1+10)*(TRUNC(MOD(($B948*1103515245 +12345)/ 65536, 32768),0)/32768)"),10.2317321777343)</f>
        <v>10.231732177734299</v>
      </c>
      <c r="AG948" s="16"/>
      <c r="AH948" s="77"/>
      <c r="AI948" s="114"/>
    </row>
    <row r="949" spans="1:35" ht="16.2">
      <c r="A949" s="53">
        <v>948</v>
      </c>
      <c r="B949" s="118">
        <f t="shared" si="63"/>
        <v>0.43075999999999998</v>
      </c>
      <c r="C949" s="72" t="str">
        <f t="array" ref="C949">INDEX(NPCFName,TRUNC(1+(COUNTA(NPCFName))*(TRUNC(MOD(($B949*1103515245 +12345)/ 65536, 32768),0)/32768),0))</f>
        <v>Padan</v>
      </c>
      <c r="D949" s="16" t="str">
        <f t="array" ref="D949">INDEX(NPCLName,TRUNC(1+(COUNTA(NPCLName))*(TRUNC(MOD(($B949*1103515245 +12345)/ 65536, 32768),0)/32768),0))</f>
        <v>Stillsun</v>
      </c>
      <c r="E949" s="16" t="str">
        <f t="array" ref="E949">INDEX(NPCClass,TRUNC(1+(COUNTA(NPCClass))*(TRUNC(MOD(($B949*1103515245 +12345)/ 65536, 32768),0)/32768),0))</f>
        <v>Druid</v>
      </c>
      <c r="F949" s="76">
        <v>2</v>
      </c>
      <c r="G949" s="153">
        <f ca="1">VLOOKUP($AB$2,'RF Mod'!$A$2:$G$12,2,FALSE)+VLOOKUP($AD$2,'RF Mod'!$I$2:$O$11,2,FALSE)+(TRUNC(6+(24-6)*(TRUNC(MOD(($Z949*1103515245 +12345)/ 65536, 32768),0)/32768),0))</f>
        <v>6</v>
      </c>
      <c r="H949" s="16">
        <f t="shared" ca="1" si="49"/>
        <v>-2</v>
      </c>
      <c r="I949" s="153">
        <f ca="1">VLOOKUP($AB$2,'RF Mod'!$A$2:$G$12,3,FALSE)+VLOOKUP($AD$2,'RF Mod'!$I$2:$O$11,3,FALSE)+(TRUNC(6+(24-6)*(TRUNC(MOD(($Z949*1103515245 +12345)/ 65536, 32768),0)/32768),0))</f>
        <v>10</v>
      </c>
      <c r="J949" s="16" t="e">
        <f t="shared" ca="1" si="50"/>
        <v>#NAME?</v>
      </c>
      <c r="K949" s="153">
        <f ca="1">VLOOKUP($AB$2,'RF Mod'!$A$2:$G$12,3,FALSE)+VLOOKUP($AD$2,'RF Mod'!$I$2:$O$11,3,FALSE)+(TRUNC(6+(24-6)*(TRUNC(MOD(($Z949*1103515245 +12345)/ 65536, 32768),0)/32768),0))</f>
        <v>10</v>
      </c>
      <c r="L949" s="16" t="e">
        <f t="shared" ca="1" si="51"/>
        <v>#NAME?</v>
      </c>
      <c r="M949" s="153">
        <f ca="1">VLOOKUP($AB$2,'RF Mod'!$A$2:$G$12,4,FALSE)+VLOOKUP($AD$2,'RF Mod'!$I$2:$O$11,4,FALSE)+(TRUNC(6+(24-6)*(TRUNC(MOD(($Z949*1103515245 +12345)/ 65536, 32768),0)/32768),0))</f>
        <v>9</v>
      </c>
      <c r="N949" s="16">
        <f t="shared" ca="1" si="52"/>
        <v>-1</v>
      </c>
      <c r="O949" s="153">
        <f ca="1">VLOOKUP($AB$2,'RF Mod'!$A$2:$G$12,5,FALSE)+VLOOKUP($AD$2,'RF Mod'!$I$2:$O$11,5,FALSE)+(TRUNC(6+(24-6)*(TRUNC(MOD(($Z949*1103515245 +12345)/ 65536, 32768),0)/32768),0))</f>
        <v>12</v>
      </c>
      <c r="P949" s="16" t="e">
        <f t="shared" ca="1" si="53"/>
        <v>#NAME?</v>
      </c>
      <c r="Q949" s="153">
        <f ca="1">VLOOKUP($AB$2,'RF Mod'!$A$2:$G$12,6,FALSE)+VLOOKUP($AD$2,'RF Mod'!$I$2:$O$11,6,FALSE)+(TRUNC(6+(24-6)*(TRUNC(MOD(($Z949*1103515245 +12345)/ 65536, 32768),0)/32768),0))</f>
        <v>10</v>
      </c>
      <c r="R949" s="16" t="e">
        <f t="shared" ca="1" si="54"/>
        <v>#NAME?</v>
      </c>
      <c r="S949" s="154">
        <f t="shared" ca="1" si="59"/>
        <v>24</v>
      </c>
      <c r="T949" s="154">
        <f t="shared" ca="1" si="55"/>
        <v>1</v>
      </c>
      <c r="U949" s="16" t="str">
        <f t="shared" ca="1" si="56"/>
        <v>Fine</v>
      </c>
      <c r="V949" s="155">
        <f ca="1">IFERROR(__xludf.DUMMYFUNCTION("if(W949=""Middle Age"",QUERY(NPCVar!$K$2:$N1000, ""Select L where K = '""&amp;AB949&amp;""'""),if(W949=""Old"",QUERY(NPCVar!$K$2:$N1000, ""Select M where K = '""&amp;AB949&amp;""'""),if(W949=""Venerable"",QUERY(NPCVar!$K$2:$N1000, ""Select N where K = '""&amp;AB949&amp;""'""),fa"&amp;"lse)))*X949"),112.5)</f>
        <v>112.5</v>
      </c>
      <c r="W949" s="156" t="str">
        <f t="array" ref="W949">INDEX(NPCAgeType,TRUNC(1+(4-1)*(TRUNC(MOD((X949*1103515245 +12345)/ 65536, 32768),0)/32768),0))</f>
        <v>Middle Age</v>
      </c>
      <c r="X949" s="117">
        <f t="shared" si="61"/>
        <v>0.6</v>
      </c>
      <c r="Y949" s="157" t="e">
        <f t="array" aca="1" ref="Y949" ca="1">LOOKUP(ABS(MAX(Z949 + MIN(ABS(INDIRECT("Class Jobs!B"&amp;MATCH(E949,'Class Jobs'!$A$1:$A1000,0)&amp;":"&amp;"AF"&amp;MATCH(E949,'Class Jobs'!$A$1:$A1000,0)&amp;"")-$Z949)) * SUM(IF(MIN(ABS(INDIRECT("Class Jobs!B"&amp;MATCH(E949,'Class Jobs'!$A$1:$A1000,0)&amp;":"&amp;"AF"&amp;MATCH(E949,'Class Jobs'!$A$1:$A1000,0)&amp;"")-$Z949))=ABS(INDIRECT("Class Jobs!B"&amp;MATCH(E949,'Class Jobs'!$A$1:$A1000,0)&amp;":"&amp;"AF"&amp;MATCH(E949,'Class Jobs'!$A$1:$A1000,0)&amp;"")-$Z949),SIGN(INDIRECT("Class Jobs!B"&amp;MATCH(E949,'Class Jobs'!$A$1:A1000,0)&amp;":"&amp;"AF"&amp;MATCH(E949,'Class Jobs'!$A$1:$A1000,0)&amp;"")-$Z949),0)),0)),INDIRECT("Class Jobs!B"&amp;MATCH(E949,'Class Jobs'!$A$1:$A1000,0)&amp;":"&amp;"AF"&amp;MATCH(E949,'Class Jobs'!$A$1:$A1000,1)&amp;""),'Class Jobs'!$B$1:$AF$1)</f>
        <v>#REF!</v>
      </c>
      <c r="Z949" s="158">
        <f t="shared" si="57"/>
        <v>0.22</v>
      </c>
      <c r="AA949" s="16" t="str">
        <f t="array" ref="AA949">INDEX(NPCGender,TRUNC(1+(COUNTA(NPCGender))*(TRUNC(MOD(($B949*1103515245 +12345)/ 65536, 32768),0)/32768),0))</f>
        <v>Male</v>
      </c>
      <c r="AB949" s="16" t="str">
        <f t="array" ref="AB949">INDEX(NPCRace,TRUNC(1+(COUNTA(NPCRace))*(TRUNC(MOD(($B949*1103515245 +12345)/ 65536, 32768),0)/32768),0))</f>
        <v>Elf</v>
      </c>
      <c r="AC949" s="16" t="str">
        <f t="array" ref="AC949">INDEX(NPCAL,TRUNC(1+(COUNTA(NPCAL))*(TRUNC(MOD(($B949*1103515245 +12345)/ 65536, 32768),0)/32768),0))</f>
        <v>CE</v>
      </c>
      <c r="AD949" s="72" t="str">
        <f ca="1">IFERROR(__xludf.DUMMYFUNCTION("if(V949&lt;15,QUERY(NPCVar!C:D,""Select D WHERE C = '""&amp;D949&amp;""'""),if((TRUNC(1+10)*(TRUNC(MOD((ROW(H949)*1103515245 +12345)/ 65536, 32768),0)/32768)/10) &gt; 0.85,INDEX(NPCFaction,TRUNC(1+(counta(NPCFaction)-1)*(TRUNC(MOD(($B949*1103515245 +12345)/ 65536, 3276"&amp;"8),0)/32768),0)),QUERY(NPCVar!C:D,""Select D WHERE C = '""&amp;D949&amp;""'"")))"),"Necromancer")</f>
        <v>Necromancer</v>
      </c>
      <c r="AE949" s="108" t="e">
        <f t="shared" ca="1" si="58"/>
        <v>#NAME?</v>
      </c>
      <c r="AF949" s="159">
        <f ca="1">IFERROR(__xludf.DUMMYFUNCTION("AE949*(V949 / QUERY(NPCVar!$K$2:$N$12, ""Select N WHERE K='""&amp;AB949&amp;""'""))*TRUNC(1+10)*(TRUNC(MOD(($B949*1103515245 +12345)/ 65536, 32768),0)/32768)"),0)</f>
        <v>0</v>
      </c>
      <c r="AG949" s="16"/>
      <c r="AH949" s="77"/>
      <c r="AI949" s="114"/>
    </row>
    <row r="950" spans="1:35" ht="16.2">
      <c r="A950" s="53">
        <v>949</v>
      </c>
      <c r="B950" s="118">
        <f t="shared" si="63"/>
        <v>1.92489</v>
      </c>
      <c r="C950" s="72" t="str">
        <f t="array" ref="C950">INDEX(NPCFName,TRUNC(1+(COUNTA(NPCFName))*(TRUNC(MOD(($B950*1103515245 +12345)/ 65536, 32768),0)/32768),0))</f>
        <v>Yepal</v>
      </c>
      <c r="D950" s="16" t="str">
        <f t="array" ref="D950">INDEX(NPCLName,TRUNC(1+(COUNTA(NPCLName))*(TRUNC(MOD(($B950*1103515245 +12345)/ 65536, 32768),0)/32768),0))</f>
        <v>Stillspell</v>
      </c>
      <c r="E950" s="16" t="str">
        <f t="array" ref="E950">INDEX(NPCClass,TRUNC(1+(COUNTA(NPCClass))*(TRUNC(MOD(($B950*1103515245 +12345)/ 65536, 32768),0)/32768),0))</f>
        <v>Wizard</v>
      </c>
      <c r="F950" s="76">
        <v>8</v>
      </c>
      <c r="G950" s="153">
        <f ca="1">VLOOKUP($AB$2,'RF Mod'!$A$2:$G$12,2,FALSE)+VLOOKUP($AD$2,'RF Mod'!$I$2:$O$11,2,FALSE)+(TRUNC(6+(24-6)*(TRUNC(MOD(($Z950*1103515245 +12345)/ 65536, 32768),0)/32768),0))</f>
        <v>13</v>
      </c>
      <c r="H950" s="16" t="e">
        <f t="shared" ca="1" si="49"/>
        <v>#NAME?</v>
      </c>
      <c r="I950" s="153">
        <f ca="1">VLOOKUP($AB$2,'RF Mod'!$A$2:$G$12,3,FALSE)+VLOOKUP($AD$2,'RF Mod'!$I$2:$O$11,3,FALSE)+(TRUNC(6+(24-6)*(TRUNC(MOD(($Z950*1103515245 +12345)/ 65536, 32768),0)/32768),0))</f>
        <v>17</v>
      </c>
      <c r="J950" s="16" t="e">
        <f t="shared" ca="1" si="50"/>
        <v>#NAME?</v>
      </c>
      <c r="K950" s="153">
        <f ca="1">VLOOKUP($AB$2,'RF Mod'!$A$2:$G$12,3,FALSE)+VLOOKUP($AD$2,'RF Mod'!$I$2:$O$11,3,FALSE)+(TRUNC(6+(24-6)*(TRUNC(MOD(($Z950*1103515245 +12345)/ 65536, 32768),0)/32768),0))</f>
        <v>17</v>
      </c>
      <c r="L950" s="16" t="e">
        <f t="shared" ca="1" si="51"/>
        <v>#NAME?</v>
      </c>
      <c r="M950" s="153">
        <f ca="1">VLOOKUP($AB$2,'RF Mod'!$A$2:$G$12,4,FALSE)+VLOOKUP($AD$2,'RF Mod'!$I$2:$O$11,4,FALSE)+(TRUNC(6+(24-6)*(TRUNC(MOD(($Z950*1103515245 +12345)/ 65536, 32768),0)/32768),0))</f>
        <v>16</v>
      </c>
      <c r="N950" s="16" t="e">
        <f t="shared" ca="1" si="52"/>
        <v>#NAME?</v>
      </c>
      <c r="O950" s="153">
        <f ca="1">VLOOKUP($AB$2,'RF Mod'!$A$2:$G$12,5,FALSE)+VLOOKUP($AD$2,'RF Mod'!$I$2:$O$11,5,FALSE)+(TRUNC(6+(24-6)*(TRUNC(MOD(($Z950*1103515245 +12345)/ 65536, 32768),0)/32768),0))</f>
        <v>19</v>
      </c>
      <c r="P950" s="16" t="e">
        <f t="shared" ca="1" si="53"/>
        <v>#NAME?</v>
      </c>
      <c r="Q950" s="153">
        <f ca="1">VLOOKUP($AB$2,'RF Mod'!$A$2:$G$12,6,FALSE)+VLOOKUP($AD$2,'RF Mod'!$I$2:$O$11,6,FALSE)+(TRUNC(6+(24-6)*(TRUNC(MOD(($Z950*1103515245 +12345)/ 65536, 32768),0)/32768),0))</f>
        <v>17</v>
      </c>
      <c r="R950" s="16" t="e">
        <f t="shared" ca="1" si="54"/>
        <v>#NAME?</v>
      </c>
      <c r="S950" s="154">
        <f t="shared" ca="1" si="59"/>
        <v>200</v>
      </c>
      <c r="T950" s="154">
        <f t="shared" ca="1" si="55"/>
        <v>191</v>
      </c>
      <c r="U950" s="16" t="str">
        <f t="shared" ca="1" si="56"/>
        <v>Bloody</v>
      </c>
      <c r="V950" s="155">
        <f ca="1">IFERROR(__xludf.DUMMYFUNCTION("if(W950=""Middle Age"",QUERY(NPCVar!$K$2:$N1000, ""Select L where K = '""&amp;AB950&amp;""'""),if(W950=""Old"",QUERY(NPCVar!$K$2:$N1000, ""Select M where K = '""&amp;AB950&amp;""'""),if(W950=""Venerable"",QUERY(NPCVar!$K$2:$N1000, ""Select N where K = '""&amp;AB950&amp;""'""),fa"&amp;"lse)))*X950"),72)</f>
        <v>72</v>
      </c>
      <c r="W950" s="156" t="str">
        <f t="array" ref="W950">INDEX(NPCAgeType,TRUNC(1+(4-1)*(TRUNC(MOD((X950*1103515245 +12345)/ 65536, 32768),0)/32768),0))</f>
        <v>Middle Age</v>
      </c>
      <c r="X950" s="117">
        <f t="shared" si="61"/>
        <v>2.4</v>
      </c>
      <c r="Y950" s="157" t="e">
        <f t="array" aca="1" ref="Y950" ca="1">LOOKUP(ABS(MAX(Z950 + MIN(ABS(INDIRECT("Class Jobs!B"&amp;MATCH(E950,'Class Jobs'!$A$1:$A1000,0)&amp;":"&amp;"AF"&amp;MATCH(E950,'Class Jobs'!$A$1:$A1000,0)&amp;"")-$Z950)) * SUM(IF(MIN(ABS(INDIRECT("Class Jobs!B"&amp;MATCH(E950,'Class Jobs'!$A$1:$A1000,0)&amp;":"&amp;"AF"&amp;MATCH(E950,'Class Jobs'!$A$1:$A1000,0)&amp;"")-$Z950))=ABS(INDIRECT("Class Jobs!B"&amp;MATCH(E950,'Class Jobs'!$A$1:$A1000,0)&amp;":"&amp;"AF"&amp;MATCH(E950,'Class Jobs'!$A$1:$A1000,0)&amp;"")-$Z950),SIGN(INDIRECT("Class Jobs!B"&amp;MATCH(E950,'Class Jobs'!$A$1:A1000,0)&amp;":"&amp;"AF"&amp;MATCH(E950,'Class Jobs'!$A$1:$A1000,0)&amp;"")-$Z950),0)),0)),INDIRECT("Class Jobs!B"&amp;MATCH(E950,'Class Jobs'!$A$1:$A1000,0)&amp;":"&amp;"AF"&amp;MATCH(E950,'Class Jobs'!$A$1:$A1000,1)&amp;""),'Class Jobs'!$B$1:$AF$1)</f>
        <v>#REF!</v>
      </c>
      <c r="Z950" s="158">
        <f t="shared" si="57"/>
        <v>0.98</v>
      </c>
      <c r="AA950" s="16" t="str">
        <f t="array" ref="AA950">INDEX(NPCGender,TRUNC(1+(COUNTA(NPCGender))*(TRUNC(MOD(($B950*1103515245 +12345)/ 65536, 32768),0)/32768),0))</f>
        <v>Neutral</v>
      </c>
      <c r="AB950" s="16" t="str">
        <f t="array" ref="AB950">INDEX(NPCRace,TRUNC(1+(COUNTA(NPCRace))*(TRUNC(MOD(($B950*1103515245 +12345)/ 65536, 32768),0)/32768),0))</f>
        <v>Goliath</v>
      </c>
      <c r="AC950" s="16" t="str">
        <f t="array" ref="AC950">INDEX(NPCAL,TRUNC(1+(COUNTA(NPCAL))*(TRUNC(MOD(($B950*1103515245 +12345)/ 65536, 32768),0)/32768),0))</f>
        <v>LE</v>
      </c>
      <c r="AD950" s="72" t="str">
        <f ca="1">IFERROR(__xludf.DUMMYFUNCTION("if(V950&lt;15,QUERY(NPCVar!C:D,""Select D WHERE C = '""&amp;D950&amp;""'""),if((TRUNC(1+10)*(TRUNC(MOD((ROW(H950)*1103515245 +12345)/ 65536, 32768),0)/32768)/10) &gt; 0.85,INDEX(NPCFaction,TRUNC(1+(counta(NPCFaction)-1)*(TRUNC(MOD(($B950*1103515245 +12345)/ 65536, 3276"&amp;"8),0)/32768),0)),QUERY(NPCVar!C:D,""Select D WHERE C = '""&amp;D950&amp;""'"")))"),"Followers of Isis")</f>
        <v>Followers of Isis</v>
      </c>
      <c r="AE950" s="108" t="e">
        <f t="shared" ca="1" si="58"/>
        <v>#NAME?</v>
      </c>
      <c r="AF950" s="159">
        <f ca="1">IFERROR(__xludf.DUMMYFUNCTION("AE950*(V950 / QUERY(NPCVar!$K$2:$N$12, ""Select N WHERE K='""&amp;AB950&amp;""'""))*TRUNC(1+10)*(TRUNC(MOD(($B950*1103515245 +12345)/ 65536, 32768),0)/32768)"),4.56980712890625)</f>
        <v>4.5698071289062501</v>
      </c>
      <c r="AG950" s="16"/>
      <c r="AH950" s="77"/>
      <c r="AI950" s="114"/>
    </row>
    <row r="951" spans="1:35" ht="16.2">
      <c r="A951" s="53">
        <v>950</v>
      </c>
      <c r="B951" s="118">
        <f t="shared" si="63"/>
        <v>0.91903999999999997</v>
      </c>
      <c r="C951" s="72" t="str">
        <f t="array" ref="C951">INDEX(NPCFName,TRUNC(1+(COUNTA(NPCFName))*(TRUNC(MOD(($B951*1103515245 +12345)/ 65536, 32768),0)/32768),0))</f>
        <v>Idon</v>
      </c>
      <c r="D951" s="16" t="str">
        <f t="array" ref="D951">INDEX(NPCLName,TRUNC(1+(COUNTA(NPCLName))*(TRUNC(MOD(($B951*1103515245 +12345)/ 65536, 32768),0)/32768),0))</f>
        <v>Autumnglow</v>
      </c>
      <c r="E951" s="16" t="str">
        <f t="array" ref="E951">INDEX(NPCClass,TRUNC(1+(COUNTA(NPCClass))*(TRUNC(MOD(($B951*1103515245 +12345)/ 65536, 32768),0)/32768),0))</f>
        <v>Ranger</v>
      </c>
      <c r="F951" s="76">
        <v>8</v>
      </c>
      <c r="G951" s="153">
        <f ca="1">VLOOKUP($AB$2,'RF Mod'!$A$2:$G$12,2,FALSE)+VLOOKUP($AD$2,'RF Mod'!$I$2:$O$11,2,FALSE)+(TRUNC(6+(24-6)*(TRUNC(MOD(($Z951*1103515245 +12345)/ 65536, 32768),0)/32768),0))</f>
        <v>8</v>
      </c>
      <c r="H951" s="16">
        <f t="shared" ca="1" si="49"/>
        <v>-1</v>
      </c>
      <c r="I951" s="153">
        <f ca="1">VLOOKUP($AB$2,'RF Mod'!$A$2:$G$12,3,FALSE)+VLOOKUP($AD$2,'RF Mod'!$I$2:$O$11,3,FALSE)+(TRUNC(6+(24-6)*(TRUNC(MOD(($Z951*1103515245 +12345)/ 65536, 32768),0)/32768),0))</f>
        <v>12</v>
      </c>
      <c r="J951" s="16" t="e">
        <f t="shared" ca="1" si="50"/>
        <v>#NAME?</v>
      </c>
      <c r="K951" s="153">
        <f ca="1">VLOOKUP($AB$2,'RF Mod'!$A$2:$G$12,3,FALSE)+VLOOKUP($AD$2,'RF Mod'!$I$2:$O$11,3,FALSE)+(TRUNC(6+(24-6)*(TRUNC(MOD(($Z951*1103515245 +12345)/ 65536, 32768),0)/32768),0))</f>
        <v>12</v>
      </c>
      <c r="L951" s="16" t="e">
        <f t="shared" ca="1" si="51"/>
        <v>#NAME?</v>
      </c>
      <c r="M951" s="153">
        <f ca="1">VLOOKUP($AB$2,'RF Mod'!$A$2:$G$12,4,FALSE)+VLOOKUP($AD$2,'RF Mod'!$I$2:$O$11,4,FALSE)+(TRUNC(6+(24-6)*(TRUNC(MOD(($Z951*1103515245 +12345)/ 65536, 32768),0)/32768),0))</f>
        <v>11</v>
      </c>
      <c r="N951" s="16" t="e">
        <f t="shared" ca="1" si="52"/>
        <v>#NAME?</v>
      </c>
      <c r="O951" s="153">
        <f ca="1">VLOOKUP($AB$2,'RF Mod'!$A$2:$G$12,5,FALSE)+VLOOKUP($AD$2,'RF Mod'!$I$2:$O$11,5,FALSE)+(TRUNC(6+(24-6)*(TRUNC(MOD(($Z951*1103515245 +12345)/ 65536, 32768),0)/32768),0))</f>
        <v>14</v>
      </c>
      <c r="P951" s="16" t="e">
        <f t="shared" ca="1" si="53"/>
        <v>#NAME?</v>
      </c>
      <c r="Q951" s="153">
        <f ca="1">VLOOKUP($AB$2,'RF Mod'!$A$2:$G$12,6,FALSE)+VLOOKUP($AD$2,'RF Mod'!$I$2:$O$11,6,FALSE)+(TRUNC(6+(24-6)*(TRUNC(MOD(($Z951*1103515245 +12345)/ 65536, 32768),0)/32768),0))</f>
        <v>12</v>
      </c>
      <c r="R951" s="16" t="e">
        <f t="shared" ca="1" si="54"/>
        <v>#NAME?</v>
      </c>
      <c r="S951" s="154">
        <f t="shared" ca="1" si="59"/>
        <v>160</v>
      </c>
      <c r="T951" s="154">
        <f t="shared" ca="1" si="55"/>
        <v>110</v>
      </c>
      <c r="U951" s="16" t="str">
        <f t="shared" ca="1" si="56"/>
        <v>Bloody</v>
      </c>
      <c r="V951" s="155">
        <f ca="1">IFERROR(__xludf.DUMMYFUNCTION("if(W951=""Middle Age"",QUERY(NPCVar!$K$2:$N1000, ""Select L where K = '""&amp;AB951&amp;""'""),if(W951=""Old"",QUERY(NPCVar!$K$2:$N1000, ""Select M where K = '""&amp;AB951&amp;""'""),if(W951=""Venerable"",QUERY(NPCVar!$K$2:$N1000, ""Select N where K = '""&amp;AB951&amp;""'""),fa"&amp;"lse)))*X951"),31.5)</f>
        <v>31.5</v>
      </c>
      <c r="W951" s="156" t="str">
        <f t="array" ref="W951">INDEX(NPCAgeType,TRUNC(1+(4-1)*(TRUNC(MOD((X951*1103515245 +12345)/ 65536, 32768),0)/32768),0))</f>
        <v>Old</v>
      </c>
      <c r="X951" s="117">
        <f t="shared" si="61"/>
        <v>1.2</v>
      </c>
      <c r="Y951" s="157" t="e">
        <f t="array" aca="1" ref="Y951" ca="1">LOOKUP(ABS(MAX(Z951 + MIN(ABS(INDIRECT("Class Jobs!B"&amp;MATCH(E951,'Class Jobs'!$A$1:$A1000,0)&amp;":"&amp;"AF"&amp;MATCH(E951,'Class Jobs'!$A$1:$A1000,0)&amp;"")-$Z951)) * SUM(IF(MIN(ABS(INDIRECT("Class Jobs!B"&amp;MATCH(E951,'Class Jobs'!$A$1:$A1000,0)&amp;":"&amp;"AF"&amp;MATCH(E951,'Class Jobs'!$A$1:$A1000,0)&amp;"")-$Z951))=ABS(INDIRECT("Class Jobs!B"&amp;MATCH(E951,'Class Jobs'!$A$1:$A1000,0)&amp;":"&amp;"AF"&amp;MATCH(E951,'Class Jobs'!$A$1:$A1000,0)&amp;"")-$Z951),SIGN(INDIRECT("Class Jobs!B"&amp;MATCH(E951,'Class Jobs'!$A$1:A1000,0)&amp;":"&amp;"AF"&amp;MATCH(E951,'Class Jobs'!$A$1:$A1000,0)&amp;"")-$Z951),0)),0)),INDIRECT("Class Jobs!B"&amp;MATCH(E951,'Class Jobs'!$A$1:$A1000,0)&amp;":"&amp;"AF"&amp;MATCH(E951,'Class Jobs'!$A$1:$A1000,1)&amp;""),'Class Jobs'!$B$1:$AF$1)</f>
        <v>#REF!</v>
      </c>
      <c r="Z951" s="158">
        <f t="shared" si="57"/>
        <v>0.47</v>
      </c>
      <c r="AA951" s="16" t="str">
        <f t="array" ref="AA951">INDEX(NPCGender,TRUNC(1+(COUNTA(NPCGender))*(TRUNC(MOD(($B951*1103515245 +12345)/ 65536, 32768),0)/32768),0))</f>
        <v>Female</v>
      </c>
      <c r="AB951" s="16" t="str">
        <f t="array" ref="AB951">INDEX(NPCRace,TRUNC(1+(COUNTA(NPCRace))*(TRUNC(MOD(($B951*1103515245 +12345)/ 65536, 32768),0)/32768),0))</f>
        <v>Half-Orc</v>
      </c>
      <c r="AC951" s="16" t="str">
        <f t="array" ref="AC951">INDEX(NPCAL,TRUNC(1+(COUNTA(NPCAL))*(TRUNC(MOD(($B951*1103515245 +12345)/ 65536, 32768),0)/32768),0))</f>
        <v>NN</v>
      </c>
      <c r="AD951" s="72" t="str">
        <f ca="1">IFERROR(__xludf.DUMMYFUNCTION("if(V951&lt;15,QUERY(NPCVar!C:D,""Select D WHERE C = '""&amp;D951&amp;""'""),if((TRUNC(1+10)*(TRUNC(MOD((ROW(H951)*1103515245 +12345)/ 65536, 32768),0)/32768)/10) &gt; 0.85,INDEX(NPCFaction,TRUNC(1+(counta(NPCFaction)-1)*(TRUNC(MOD(($B951*1103515245 +12345)/ 65536, 3276"&amp;"8),0)/32768),0)),QUERY(NPCVar!C:D,""Select D WHERE C = '""&amp;D951&amp;""'"")))"),"Traders Guild")</f>
        <v>Traders Guild</v>
      </c>
      <c r="AE951" s="108" t="e">
        <f t="shared" ca="1" si="58"/>
        <v>#NAME?</v>
      </c>
      <c r="AF951" s="159">
        <f ca="1">IFERROR(__xludf.DUMMYFUNCTION("AE951*(V951 / QUERY(NPCVar!$K$2:$N$12, ""Select N WHERE K='""&amp;AB951&amp;""'""))*TRUNC(1+10)*(TRUNC(MOD(($B951*1103515245 +12345)/ 65536, 32768),0)/32768)"),0.701305389404297)</f>
        <v>0.70130538940429699</v>
      </c>
      <c r="AG951" s="16"/>
      <c r="AH951" s="77"/>
      <c r="AI951" s="114"/>
    </row>
    <row r="952" spans="1:35" ht="16.2">
      <c r="A952" s="53">
        <v>951</v>
      </c>
      <c r="B952" s="118">
        <f t="shared" si="63"/>
        <v>2.41317</v>
      </c>
      <c r="C952" s="72" t="str">
        <f t="array" ref="C952">INDEX(NPCFName,TRUNC(1+(COUNTA(NPCFName))*(TRUNC(MOD(($B952*1103515245 +12345)/ 65536, 32768),0)/32768),0))</f>
        <v>Rayth</v>
      </c>
      <c r="D952" s="16" t="str">
        <f t="array" ref="D952">INDEX(NPCLName,TRUNC(1+(COUNTA(NPCLName))*(TRUNC(MOD(($B952*1103515245 +12345)/ 65536, 32768),0)/32768),0))</f>
        <v>Tuskleaf</v>
      </c>
      <c r="E952" s="16" t="str">
        <f t="array" ref="E952">INDEX(NPCClass,TRUNC(1+(COUNTA(NPCClass))*(TRUNC(MOD(($B952*1103515245 +12345)/ 65536, 32768),0)/32768),0))</f>
        <v>Druid</v>
      </c>
      <c r="F952" s="76">
        <v>1</v>
      </c>
      <c r="G952" s="153">
        <f ca="1">VLOOKUP($AB$2,'RF Mod'!$A$2:$G$12,2,FALSE)+VLOOKUP($AD$2,'RF Mod'!$I$2:$O$11,2,FALSE)+(TRUNC(6+(24-6)*(TRUNC(MOD(($Z952*1103515245 +12345)/ 65536, 32768),0)/32768),0))</f>
        <v>6</v>
      </c>
      <c r="H952" s="16">
        <f t="shared" ca="1" si="49"/>
        <v>-2</v>
      </c>
      <c r="I952" s="153">
        <f ca="1">VLOOKUP($AB$2,'RF Mod'!$A$2:$G$12,3,FALSE)+VLOOKUP($AD$2,'RF Mod'!$I$2:$O$11,3,FALSE)+(TRUNC(6+(24-6)*(TRUNC(MOD(($Z952*1103515245 +12345)/ 65536, 32768),0)/32768),0))</f>
        <v>10</v>
      </c>
      <c r="J952" s="16" t="e">
        <f t="shared" ca="1" si="50"/>
        <v>#NAME?</v>
      </c>
      <c r="K952" s="153">
        <f ca="1">VLOOKUP($AB$2,'RF Mod'!$A$2:$G$12,3,FALSE)+VLOOKUP($AD$2,'RF Mod'!$I$2:$O$11,3,FALSE)+(TRUNC(6+(24-6)*(TRUNC(MOD(($Z952*1103515245 +12345)/ 65536, 32768),0)/32768),0))</f>
        <v>10</v>
      </c>
      <c r="L952" s="16" t="e">
        <f t="shared" ca="1" si="51"/>
        <v>#NAME?</v>
      </c>
      <c r="M952" s="153">
        <f ca="1">VLOOKUP($AB$2,'RF Mod'!$A$2:$G$12,4,FALSE)+VLOOKUP($AD$2,'RF Mod'!$I$2:$O$11,4,FALSE)+(TRUNC(6+(24-6)*(TRUNC(MOD(($Z952*1103515245 +12345)/ 65536, 32768),0)/32768),0))</f>
        <v>9</v>
      </c>
      <c r="N952" s="16">
        <f t="shared" ca="1" si="52"/>
        <v>-1</v>
      </c>
      <c r="O952" s="153">
        <f ca="1">VLOOKUP($AB$2,'RF Mod'!$A$2:$G$12,5,FALSE)+VLOOKUP($AD$2,'RF Mod'!$I$2:$O$11,5,FALSE)+(TRUNC(6+(24-6)*(TRUNC(MOD(($Z952*1103515245 +12345)/ 65536, 32768),0)/32768),0))</f>
        <v>12</v>
      </c>
      <c r="P952" s="16" t="e">
        <f t="shared" ca="1" si="53"/>
        <v>#NAME?</v>
      </c>
      <c r="Q952" s="153">
        <f ca="1">VLOOKUP($AB$2,'RF Mod'!$A$2:$G$12,6,FALSE)+VLOOKUP($AD$2,'RF Mod'!$I$2:$O$11,6,FALSE)+(TRUNC(6+(24-6)*(TRUNC(MOD(($Z952*1103515245 +12345)/ 65536, 32768),0)/32768),0))</f>
        <v>10</v>
      </c>
      <c r="R952" s="16" t="e">
        <f t="shared" ca="1" si="54"/>
        <v>#NAME?</v>
      </c>
      <c r="S952" s="154">
        <f t="shared" ca="1" si="59"/>
        <v>12</v>
      </c>
      <c r="T952" s="154">
        <f t="shared" ca="1" si="55"/>
        <v>10</v>
      </c>
      <c r="U952" s="16" t="str">
        <f t="shared" ca="1" si="56"/>
        <v>Bloody</v>
      </c>
      <c r="V952" s="155">
        <f ca="1">IFERROR(__xludf.DUMMYFUNCTION("if(W952=""Middle Age"",QUERY(NPCVar!$K$2:$N1000, ""Select L where K = '""&amp;AB952&amp;""'""),if(W952=""Old"",QUERY(NPCVar!$K$2:$N1000, ""Select M where K = '""&amp;AB952&amp;""'""),if(W952=""Venerable"",QUERY(NPCVar!$K$2:$N1000, ""Select N where K = '""&amp;AB952&amp;""'""),fa"&amp;"lse)))*X952"),112.5)</f>
        <v>112.5</v>
      </c>
      <c r="W952" s="156" t="str">
        <f t="array" ref="W952">INDEX(NPCAgeType,TRUNC(1+(4-1)*(TRUNC(MOD((X952*1103515245 +12345)/ 65536, 32768),0)/32768),0))</f>
        <v>Middle Age</v>
      </c>
      <c r="X952" s="117">
        <f t="shared" si="61"/>
        <v>0.6</v>
      </c>
      <c r="Y952" s="157" t="e">
        <f t="array" aca="1" ref="Y952" ca="1">LOOKUP(ABS(MAX(Z952 + MIN(ABS(INDIRECT("Class Jobs!B"&amp;MATCH(E952,'Class Jobs'!$A$1:$A1000,0)&amp;":"&amp;"AF"&amp;MATCH(E952,'Class Jobs'!$A$1:$A1000,0)&amp;"")-$Z952)) * SUM(IF(MIN(ABS(INDIRECT("Class Jobs!B"&amp;MATCH(E952,'Class Jobs'!$A$1:$A1000,0)&amp;":"&amp;"AF"&amp;MATCH(E952,'Class Jobs'!$A$1:$A1000,0)&amp;"")-$Z952))=ABS(INDIRECT("Class Jobs!B"&amp;MATCH(E952,'Class Jobs'!$A$1:$A1000,0)&amp;":"&amp;"AF"&amp;MATCH(E952,'Class Jobs'!$A$1:$A1000,0)&amp;"")-$Z952),SIGN(INDIRECT("Class Jobs!B"&amp;MATCH(E952,'Class Jobs'!$A$1:A1000,0)&amp;":"&amp;"AF"&amp;MATCH(E952,'Class Jobs'!$A$1:$A1000,0)&amp;"")-$Z952),0)),0)),INDIRECT("Class Jobs!B"&amp;MATCH(E952,'Class Jobs'!$A$1:$A1000,0)&amp;":"&amp;"AF"&amp;MATCH(E952,'Class Jobs'!$A$1:$A1000,1)&amp;""),'Class Jobs'!$B$1:$AF$1)</f>
        <v>#REF!</v>
      </c>
      <c r="Z952" s="158">
        <f t="shared" si="57"/>
        <v>0.24</v>
      </c>
      <c r="AA952" s="16" t="str">
        <f t="array" ref="AA952">INDEX(NPCGender,TRUNC(1+(COUNTA(NPCGender))*(TRUNC(MOD(($B952*1103515245 +12345)/ 65536, 32768),0)/32768),0))</f>
        <v>Male</v>
      </c>
      <c r="AB952" s="16" t="str">
        <f t="array" ref="AB952">INDEX(NPCRace,TRUNC(1+(COUNTA(NPCRace))*(TRUNC(MOD(($B952*1103515245 +12345)/ 65536, 32768),0)/32768),0))</f>
        <v>Elf</v>
      </c>
      <c r="AC952" s="16" t="str">
        <f t="array" ref="AC952">INDEX(NPCAL,TRUNC(1+(COUNTA(NPCAL))*(TRUNC(MOD(($B952*1103515245 +12345)/ 65536, 32768),0)/32768),0))</f>
        <v>CG</v>
      </c>
      <c r="AD952" s="72" t="str">
        <f ca="1">IFERROR(__xludf.DUMMYFUNCTION("if(V952&lt;15,QUERY(NPCVar!C:D,""Select D WHERE C = '""&amp;D952&amp;""'""),if((TRUNC(1+10)*(TRUNC(MOD((ROW(H952)*1103515245 +12345)/ 65536, 32768),0)/32768)/10) &gt; 0.85,INDEX(NPCFaction,TRUNC(1+(counta(NPCFaction)-1)*(TRUNC(MOD(($B952*1103515245 +12345)/ 65536, 3276"&amp;"8),0)/32768),0)),QUERY(NPCVar!C:D,""Select D WHERE C = '""&amp;D952&amp;""'"")))"),"Magic Guild")</f>
        <v>Magic Guild</v>
      </c>
      <c r="AE952" s="108" t="e">
        <f t="shared" ca="1" si="58"/>
        <v>#NAME?</v>
      </c>
      <c r="AF952" s="159">
        <f ca="1">IFERROR(__xludf.DUMMYFUNCTION("AE952*(V952 / QUERY(NPCVar!$K$2:$N$12, ""Select N WHERE K='""&amp;AB952&amp;""'""))*TRUNC(1+10)*(TRUNC(MOD(($B952*1103515245 +12345)/ 65536, 32768),0)/32768)"),0.198017120361328)</f>
        <v>0.19801712036132799</v>
      </c>
      <c r="AG952" s="16"/>
      <c r="AH952" s="77"/>
      <c r="AI952" s="114"/>
    </row>
    <row r="953" spans="1:35" ht="16.2">
      <c r="A953" s="53">
        <v>952</v>
      </c>
      <c r="B953" s="118">
        <f t="shared" si="63"/>
        <v>1.4073199999999999</v>
      </c>
      <c r="C953" s="72" t="str">
        <f t="array" ref="C953">INDEX(NPCFName,TRUNC(1+(COUNTA(NPCFName))*(TRUNC(MOD(($B953*1103515245 +12345)/ 65536, 32768),0)/32768),0))</f>
        <v>Cos</v>
      </c>
      <c r="D953" s="16" t="str">
        <f t="array" ref="D953">INDEX(NPCLName,TRUNC(1+(COUNTA(NPCLName))*(TRUNC(MOD(($B953*1103515245 +12345)/ 65536, 32768),0)/32768),0))</f>
        <v>Rockspell</v>
      </c>
      <c r="E953" s="16" t="str">
        <f t="array" ref="E953">INDEX(NPCClass,TRUNC(1+(COUNTA(NPCClass))*(TRUNC(MOD(($B953*1103515245 +12345)/ 65536, 32768),0)/32768),0))</f>
        <v>None</v>
      </c>
      <c r="F953" s="76">
        <v>8</v>
      </c>
      <c r="G953" s="153">
        <f ca="1">VLOOKUP($AB$2,'RF Mod'!$A$2:$G$12,2,FALSE)+VLOOKUP($AD$2,'RF Mod'!$I$2:$O$11,2,FALSE)+(TRUNC(6+(24-6)*(TRUNC(MOD(($Z953*1103515245 +12345)/ 65536, 32768),0)/32768),0))</f>
        <v>10</v>
      </c>
      <c r="H953" s="16" t="e">
        <f t="shared" ca="1" si="49"/>
        <v>#NAME?</v>
      </c>
      <c r="I953" s="153">
        <f ca="1">VLOOKUP($AB$2,'RF Mod'!$A$2:$G$12,3,FALSE)+VLOOKUP($AD$2,'RF Mod'!$I$2:$O$11,3,FALSE)+(TRUNC(6+(24-6)*(TRUNC(MOD(($Z953*1103515245 +12345)/ 65536, 32768),0)/32768),0))</f>
        <v>14</v>
      </c>
      <c r="J953" s="16" t="e">
        <f t="shared" ca="1" si="50"/>
        <v>#NAME?</v>
      </c>
      <c r="K953" s="153">
        <f ca="1">VLOOKUP($AB$2,'RF Mod'!$A$2:$G$12,3,FALSE)+VLOOKUP($AD$2,'RF Mod'!$I$2:$O$11,3,FALSE)+(TRUNC(6+(24-6)*(TRUNC(MOD(($Z953*1103515245 +12345)/ 65536, 32768),0)/32768),0))</f>
        <v>14</v>
      </c>
      <c r="L953" s="16" t="e">
        <f t="shared" ca="1" si="51"/>
        <v>#NAME?</v>
      </c>
      <c r="M953" s="153">
        <f ca="1">VLOOKUP($AB$2,'RF Mod'!$A$2:$G$12,4,FALSE)+VLOOKUP($AD$2,'RF Mod'!$I$2:$O$11,4,FALSE)+(TRUNC(6+(24-6)*(TRUNC(MOD(($Z953*1103515245 +12345)/ 65536, 32768),0)/32768),0))</f>
        <v>13</v>
      </c>
      <c r="N953" s="16" t="e">
        <f t="shared" ca="1" si="52"/>
        <v>#NAME?</v>
      </c>
      <c r="O953" s="153">
        <f ca="1">VLOOKUP($AB$2,'RF Mod'!$A$2:$G$12,5,FALSE)+VLOOKUP($AD$2,'RF Mod'!$I$2:$O$11,5,FALSE)+(TRUNC(6+(24-6)*(TRUNC(MOD(($Z953*1103515245 +12345)/ 65536, 32768),0)/32768),0))</f>
        <v>16</v>
      </c>
      <c r="P953" s="16" t="e">
        <f t="shared" ca="1" si="53"/>
        <v>#NAME?</v>
      </c>
      <c r="Q953" s="153">
        <f ca="1">VLOOKUP($AB$2,'RF Mod'!$A$2:$G$12,6,FALSE)+VLOOKUP($AD$2,'RF Mod'!$I$2:$O$11,6,FALSE)+(TRUNC(6+(24-6)*(TRUNC(MOD(($Z953*1103515245 +12345)/ 65536, 32768),0)/32768),0))</f>
        <v>14</v>
      </c>
      <c r="R953" s="16" t="e">
        <f t="shared" ca="1" si="54"/>
        <v>#NAME?</v>
      </c>
      <c r="S953" s="154">
        <f t="shared" ca="1" si="59"/>
        <v>144</v>
      </c>
      <c r="T953" s="154">
        <f t="shared" ca="1" si="55"/>
        <v>134</v>
      </c>
      <c r="U953" s="16" t="str">
        <f t="shared" ca="1" si="56"/>
        <v>Bloody</v>
      </c>
      <c r="V953" s="155">
        <f ca="1">IFERROR(__xludf.DUMMYFUNCTION("if(W953=""Middle Age"",QUERY(NPCVar!$K$2:$N1000, ""Select L where K = '""&amp;AB953&amp;""'""),if(W953=""Old"",QUERY(NPCVar!$K$2:$N1000, ""Select M where K = '""&amp;AB953&amp;""'""),if(W953=""Venerable"",QUERY(NPCVar!$K$2:$N1000, ""Select N where K = '""&amp;AB953&amp;""'""),fa"&amp;"lse)))*X953"),162)</f>
        <v>162</v>
      </c>
      <c r="W953" s="156" t="str">
        <f t="array" ref="W953">INDEX(NPCAgeType,TRUNC(1+(4-1)*(TRUNC(MOD((X953*1103515245 +12345)/ 65536, 32768),0)/32768),0))</f>
        <v>Venerable</v>
      </c>
      <c r="X953" s="117">
        <f t="shared" si="61"/>
        <v>1.8</v>
      </c>
      <c r="Y953" s="157" t="e">
        <f t="array" aca="1" ref="Y953" ca="1">LOOKUP(ABS(MAX(Z953 + MIN(ABS(INDIRECT("Class Jobs!B"&amp;MATCH(E953,'Class Jobs'!$A$1:$A1000,0)&amp;":"&amp;"AF"&amp;MATCH(E953,'Class Jobs'!$A$1:$A1000,0)&amp;"")-$Z953)) * SUM(IF(MIN(ABS(INDIRECT("Class Jobs!B"&amp;MATCH(E953,'Class Jobs'!$A$1:$A1000,0)&amp;":"&amp;"AF"&amp;MATCH(E953,'Class Jobs'!$A$1:$A1000,0)&amp;"")-$Z953))=ABS(INDIRECT("Class Jobs!B"&amp;MATCH(E953,'Class Jobs'!$A$1:$A1000,0)&amp;":"&amp;"AF"&amp;MATCH(E953,'Class Jobs'!$A$1:$A1000,0)&amp;"")-$Z953),SIGN(INDIRECT("Class Jobs!B"&amp;MATCH(E953,'Class Jobs'!$A$1:A1000,0)&amp;":"&amp;"AF"&amp;MATCH(E953,'Class Jobs'!$A$1:$A1000,0)&amp;"")-$Z953),0)),0)),INDIRECT("Class Jobs!B"&amp;MATCH(E953,'Class Jobs'!$A$1:$A1000,0)&amp;":"&amp;"AF"&amp;MATCH(E953,'Class Jobs'!$A$1:$A1000,1)&amp;""),'Class Jobs'!$B$1:$AF$1)</f>
        <v>#REF!</v>
      </c>
      <c r="Z953" s="158">
        <f t="shared" si="57"/>
        <v>0.72</v>
      </c>
      <c r="AA953" s="16" t="str">
        <f t="array" ref="AA953">INDEX(NPCGender,TRUNC(1+(COUNTA(NPCGender))*(TRUNC(MOD(($B953*1103515245 +12345)/ 65536, 32768),0)/32768),0))</f>
        <v>Neutral</v>
      </c>
      <c r="AB953" s="16" t="str">
        <f t="array" ref="AB953">INDEX(NPCRace,TRUNC(1+(COUNTA(NPCRace))*(TRUNC(MOD(($B953*1103515245 +12345)/ 65536, 32768),0)/32768),0))</f>
        <v>Human</v>
      </c>
      <c r="AC953" s="16" t="str">
        <f t="array" ref="AC953">INDEX(NPCAL,TRUNC(1+(COUNTA(NPCAL))*(TRUNC(MOD(($B953*1103515245 +12345)/ 65536, 32768),0)/32768),0))</f>
        <v>LG</v>
      </c>
      <c r="AD953" s="72" t="str">
        <f ca="1">IFERROR(__xludf.DUMMYFUNCTION("if(V953&lt;15,QUERY(NPCVar!C:D,""Select D WHERE C = '""&amp;D953&amp;""'""),if((TRUNC(1+10)*(TRUNC(MOD((ROW(H953)*1103515245 +12345)/ 65536, 32768),0)/32768)/10) &gt; 0.85,INDEX(NPCFaction,TRUNC(1+(counta(NPCFaction)-1)*(TRUNC(MOD(($B953*1103515245 +12345)/ 65536, 3276"&amp;"8),0)/32768),0)),QUERY(NPCVar!C:D,""Select D WHERE C = '""&amp;D953&amp;""'"")))"),"Traverlers Guild")</f>
        <v>Traverlers Guild</v>
      </c>
      <c r="AE953" s="108" t="e">
        <f t="shared" ca="1" si="58"/>
        <v>#NAME?</v>
      </c>
      <c r="AF953" s="159">
        <f ca="1">IFERROR(__xludf.DUMMYFUNCTION("AE953*(V953 / QUERY(NPCVar!$K$2:$N$12, ""Select N WHERE K='""&amp;AB953&amp;""'""))*TRUNC(1+10)*(TRUNC(MOD(($B953*1103515245 +12345)/ 65536, 32768),0)/32768)"),4.29565979003906)</f>
        <v>4.2956597900390596</v>
      </c>
      <c r="AG953" s="16"/>
      <c r="AH953" s="77"/>
      <c r="AI953" s="114"/>
    </row>
    <row r="954" spans="1:35" ht="16.2">
      <c r="A954" s="53">
        <v>953</v>
      </c>
      <c r="B954" s="118">
        <f t="shared" si="63"/>
        <v>0.40139000000000002</v>
      </c>
      <c r="C954" s="72" t="str">
        <f t="array" ref="C954">INDEX(NPCFName,TRUNC(1+(COUNTA(NPCFName))*(TRUNC(MOD(($B954*1103515245 +12345)/ 65536, 32768),0)/32768),0))</f>
        <v>Nikpal</v>
      </c>
      <c r="D954" s="16" t="str">
        <f t="array" ref="D954">INDEX(NPCLName,TRUNC(1+(COUNTA(NPCLName))*(TRUNC(MOD(($B954*1103515245 +12345)/ 65536, 32768),0)/32768),0))</f>
        <v>Stillsun</v>
      </c>
      <c r="E954" s="16" t="str">
        <f t="array" ref="E954">INDEX(NPCClass,TRUNC(1+(COUNTA(NPCClass))*(TRUNC(MOD(($B954*1103515245 +12345)/ 65536, 32768),0)/32768),0))</f>
        <v>Druid</v>
      </c>
      <c r="F954" s="76">
        <v>1</v>
      </c>
      <c r="G954" s="153">
        <f ca="1">VLOOKUP($AB$2,'RF Mod'!$A$2:$G$12,2,FALSE)+VLOOKUP($AD$2,'RF Mod'!$I$2:$O$11,2,FALSE)+(TRUNC(6+(24-6)*(TRUNC(MOD(($Z954*1103515245 +12345)/ 65536, 32768),0)/32768),0))</f>
        <v>5</v>
      </c>
      <c r="H954" s="16">
        <f t="shared" ca="1" si="49"/>
        <v>-3</v>
      </c>
      <c r="I954" s="153">
        <f ca="1">VLOOKUP($AB$2,'RF Mod'!$A$2:$G$12,3,FALSE)+VLOOKUP($AD$2,'RF Mod'!$I$2:$O$11,3,FALSE)+(TRUNC(6+(24-6)*(TRUNC(MOD(($Z954*1103515245 +12345)/ 65536, 32768),0)/32768),0))</f>
        <v>9</v>
      </c>
      <c r="J954" s="16">
        <f t="shared" ca="1" si="50"/>
        <v>-1</v>
      </c>
      <c r="K954" s="153">
        <f ca="1">VLOOKUP($AB$2,'RF Mod'!$A$2:$G$12,3,FALSE)+VLOOKUP($AD$2,'RF Mod'!$I$2:$O$11,3,FALSE)+(TRUNC(6+(24-6)*(TRUNC(MOD(($Z954*1103515245 +12345)/ 65536, 32768),0)/32768),0))</f>
        <v>9</v>
      </c>
      <c r="L954" s="16">
        <f t="shared" ca="1" si="51"/>
        <v>-1</v>
      </c>
      <c r="M954" s="153">
        <f ca="1">VLOOKUP($AB$2,'RF Mod'!$A$2:$G$12,4,FALSE)+VLOOKUP($AD$2,'RF Mod'!$I$2:$O$11,4,FALSE)+(TRUNC(6+(24-6)*(TRUNC(MOD(($Z954*1103515245 +12345)/ 65536, 32768),0)/32768),0))</f>
        <v>8</v>
      </c>
      <c r="N954" s="16">
        <f t="shared" ca="1" si="52"/>
        <v>-1</v>
      </c>
      <c r="O954" s="153">
        <f ca="1">VLOOKUP($AB$2,'RF Mod'!$A$2:$G$12,5,FALSE)+VLOOKUP($AD$2,'RF Mod'!$I$2:$O$11,5,FALSE)+(TRUNC(6+(24-6)*(TRUNC(MOD(($Z954*1103515245 +12345)/ 65536, 32768),0)/32768),0))</f>
        <v>11</v>
      </c>
      <c r="P954" s="16" t="e">
        <f t="shared" ca="1" si="53"/>
        <v>#NAME?</v>
      </c>
      <c r="Q954" s="153">
        <f ca="1">VLOOKUP($AB$2,'RF Mod'!$A$2:$G$12,6,FALSE)+VLOOKUP($AD$2,'RF Mod'!$I$2:$O$11,6,FALSE)+(TRUNC(6+(24-6)*(TRUNC(MOD(($Z954*1103515245 +12345)/ 65536, 32768),0)/32768),0))</f>
        <v>9</v>
      </c>
      <c r="R954" s="16">
        <f t="shared" ca="1" si="54"/>
        <v>-1</v>
      </c>
      <c r="S954" s="154">
        <f t="shared" ca="1" si="59"/>
        <v>11</v>
      </c>
      <c r="T954" s="154">
        <f t="shared" ca="1" si="55"/>
        <v>12</v>
      </c>
      <c r="U954" s="16" t="str">
        <f t="shared" ca="1" si="56"/>
        <v>Dead</v>
      </c>
      <c r="V954" s="155">
        <f ca="1">IFERROR(__xludf.DUMMYFUNCTION("if(W954=""Middle Age"",QUERY(NPCVar!$K$2:$N1000, ""Select L where K = '""&amp;AB954&amp;""'""),if(W954=""Old"",QUERY(NPCVar!$K$2:$N1000, ""Select M where K = '""&amp;AB954&amp;""'""),if(W954=""Venerable"",QUERY(NPCVar!$K$2:$N1000, ""Select N where K = '""&amp;AB954&amp;""'""),fa"&amp;"lse)))*X954"),93.75)</f>
        <v>93.75</v>
      </c>
      <c r="W954" s="156" t="str">
        <f t="array" ref="W954">INDEX(NPCAgeType,TRUNC(1+(4-1)*(TRUNC(MOD((X954*1103515245 +12345)/ 65536, 32768),0)/32768),0))</f>
        <v>Middle Age</v>
      </c>
      <c r="X954" s="117">
        <f t="shared" si="61"/>
        <v>0.5</v>
      </c>
      <c r="Y954" s="157" t="e">
        <f t="array" aca="1" ref="Y954" ca="1">LOOKUP(ABS(MAX(Z954 + MIN(ABS(INDIRECT("Class Jobs!B"&amp;MATCH(E954,'Class Jobs'!$A$1:$A1000,0)&amp;":"&amp;"AF"&amp;MATCH(E954,'Class Jobs'!$A$1:$A1000,0)&amp;"")-$Z954)) * SUM(IF(MIN(ABS(INDIRECT("Class Jobs!B"&amp;MATCH(E954,'Class Jobs'!$A$1:$A1000,0)&amp;":"&amp;"AF"&amp;MATCH(E954,'Class Jobs'!$A$1:$A1000,0)&amp;"")-$Z954))=ABS(INDIRECT("Class Jobs!B"&amp;MATCH(E954,'Class Jobs'!$A$1:$A1000,0)&amp;":"&amp;"AF"&amp;MATCH(E954,'Class Jobs'!$A$1:$A1000,0)&amp;"")-$Z954),SIGN(INDIRECT("Class Jobs!B"&amp;MATCH(E954,'Class Jobs'!$A$1:A1000,0)&amp;":"&amp;"AF"&amp;MATCH(E954,'Class Jobs'!$A$1:$A1000,0)&amp;"")-$Z954),0)),0)),INDIRECT("Class Jobs!B"&amp;MATCH(E954,'Class Jobs'!$A$1:$A1000,0)&amp;":"&amp;"AF"&amp;MATCH(E954,'Class Jobs'!$A$1:$A1000,1)&amp;""),'Class Jobs'!$B$1:$AF$1)</f>
        <v>#REF!</v>
      </c>
      <c r="Z954" s="158">
        <f t="shared" si="57"/>
        <v>0.21</v>
      </c>
      <c r="AA954" s="16" t="str">
        <f t="array" ref="AA954">INDEX(NPCGender,TRUNC(1+(COUNTA(NPCGender))*(TRUNC(MOD(($B954*1103515245 +12345)/ 65536, 32768),0)/32768),0))</f>
        <v>Male</v>
      </c>
      <c r="AB954" s="16" t="str">
        <f t="array" ref="AB954">INDEX(NPCRace,TRUNC(1+(COUNTA(NPCRace))*(TRUNC(MOD(($B954*1103515245 +12345)/ 65536, 32768),0)/32768),0))</f>
        <v>Elf</v>
      </c>
      <c r="AC954" s="16" t="str">
        <f t="array" ref="AC954">INDEX(NPCAL,TRUNC(1+(COUNTA(NPCAL))*(TRUNC(MOD(($B954*1103515245 +12345)/ 65536, 32768),0)/32768),0))</f>
        <v>CE</v>
      </c>
      <c r="AD954" s="72" t="str">
        <f ca="1">IFERROR(__xludf.DUMMYFUNCTION("if(V954&lt;15,QUERY(NPCVar!C:D,""Select D WHERE C = '""&amp;D954&amp;""'""),if((TRUNC(1+10)*(TRUNC(MOD((ROW(H954)*1103515245 +12345)/ 65536, 32768),0)/32768)/10) &gt; 0.85,INDEX(NPCFaction,TRUNC(1+(counta(NPCFaction)-1)*(TRUNC(MOD(($B954*1103515245 +12345)/ 65536, 3276"&amp;"8),0)/32768),0)),QUERY(NPCVar!C:D,""Select D WHERE C = '""&amp;D954&amp;""'"")))"),"Necromancer")</f>
        <v>Necromancer</v>
      </c>
      <c r="AE954" s="108" t="e">
        <f t="shared" ca="1" si="58"/>
        <v>#NAME?</v>
      </c>
      <c r="AF954" s="159">
        <f ca="1">IFERROR(__xludf.DUMMYFUNCTION("AE954*(V954 / QUERY(NPCVar!$K$2:$N$12, ""Select N WHERE K='""&amp;AB954&amp;""'""))*TRUNC(1+10)*(TRUNC(MOD(($B954*1103515245 +12345)/ 65536, 32768),0)/32768)"),0.113430786132812)</f>
        <v>0.113430786132812</v>
      </c>
      <c r="AG954" s="16"/>
      <c r="AH954" s="77"/>
      <c r="AI954" s="114"/>
    </row>
    <row r="955" spans="1:35" ht="16.2">
      <c r="A955" s="53">
        <v>954</v>
      </c>
      <c r="B955" s="118">
        <f t="shared" si="63"/>
        <v>1.8955200000000001</v>
      </c>
      <c r="C955" s="72" t="str">
        <f t="array" ref="C955">INDEX(NPCFName,TRUNC(1+(COUNTA(NPCFName))*(TRUNC(MOD(($B955*1103515245 +12345)/ 65536, 32768),0)/32768),0))</f>
        <v>Vythethi</v>
      </c>
      <c r="D955" s="16" t="str">
        <f t="array" ref="D955">INDEX(NPCLName,TRUNC(1+(COUNTA(NPCLName))*(TRUNC(MOD(($B955*1103515245 +12345)/ 65536, 32768),0)/32768),0))</f>
        <v>Stillspell</v>
      </c>
      <c r="E955" s="16" t="str">
        <f t="array" ref="E955">INDEX(NPCClass,TRUNC(1+(COUNTA(NPCClass))*(TRUNC(MOD(($B955*1103515245 +12345)/ 65536, 32768),0)/32768),0))</f>
        <v>Wizard</v>
      </c>
      <c r="F955" s="76">
        <v>8</v>
      </c>
      <c r="G955" s="153">
        <f ca="1">VLOOKUP($AB$2,'RF Mod'!$A$2:$G$12,2,FALSE)+VLOOKUP($AD$2,'RF Mod'!$I$2:$O$11,2,FALSE)+(TRUNC(6+(24-6)*(TRUNC(MOD(($Z955*1103515245 +12345)/ 65536, 32768),0)/32768),0))</f>
        <v>12</v>
      </c>
      <c r="H955" s="16" t="e">
        <f t="shared" ca="1" si="49"/>
        <v>#NAME?</v>
      </c>
      <c r="I955" s="153">
        <f ca="1">VLOOKUP($AB$2,'RF Mod'!$A$2:$G$12,3,FALSE)+VLOOKUP($AD$2,'RF Mod'!$I$2:$O$11,3,FALSE)+(TRUNC(6+(24-6)*(TRUNC(MOD(($Z955*1103515245 +12345)/ 65536, 32768),0)/32768),0))</f>
        <v>16</v>
      </c>
      <c r="J955" s="16" t="e">
        <f t="shared" ca="1" si="50"/>
        <v>#NAME?</v>
      </c>
      <c r="K955" s="153">
        <f ca="1">VLOOKUP($AB$2,'RF Mod'!$A$2:$G$12,3,FALSE)+VLOOKUP($AD$2,'RF Mod'!$I$2:$O$11,3,FALSE)+(TRUNC(6+(24-6)*(TRUNC(MOD(($Z955*1103515245 +12345)/ 65536, 32768),0)/32768),0))</f>
        <v>16</v>
      </c>
      <c r="L955" s="16" t="e">
        <f t="shared" ca="1" si="51"/>
        <v>#NAME?</v>
      </c>
      <c r="M955" s="153">
        <f ca="1">VLOOKUP($AB$2,'RF Mod'!$A$2:$G$12,4,FALSE)+VLOOKUP($AD$2,'RF Mod'!$I$2:$O$11,4,FALSE)+(TRUNC(6+(24-6)*(TRUNC(MOD(($Z955*1103515245 +12345)/ 65536, 32768),0)/32768),0))</f>
        <v>15</v>
      </c>
      <c r="N955" s="16" t="e">
        <f t="shared" ca="1" si="52"/>
        <v>#NAME?</v>
      </c>
      <c r="O955" s="153">
        <f ca="1">VLOOKUP($AB$2,'RF Mod'!$A$2:$G$12,5,FALSE)+VLOOKUP($AD$2,'RF Mod'!$I$2:$O$11,5,FALSE)+(TRUNC(6+(24-6)*(TRUNC(MOD(($Z955*1103515245 +12345)/ 65536, 32768),0)/32768),0))</f>
        <v>18</v>
      </c>
      <c r="P955" s="16" t="e">
        <f t="shared" ca="1" si="53"/>
        <v>#NAME?</v>
      </c>
      <c r="Q955" s="153">
        <f ca="1">VLOOKUP($AB$2,'RF Mod'!$A$2:$G$12,6,FALSE)+VLOOKUP($AD$2,'RF Mod'!$I$2:$O$11,6,FALSE)+(TRUNC(6+(24-6)*(TRUNC(MOD(($Z955*1103515245 +12345)/ 65536, 32768),0)/32768),0))</f>
        <v>16</v>
      </c>
      <c r="R955" s="16" t="e">
        <f t="shared" ca="1" si="54"/>
        <v>#NAME?</v>
      </c>
      <c r="S955" s="154">
        <f t="shared" ca="1" si="59"/>
        <v>176</v>
      </c>
      <c r="T955" s="154">
        <f t="shared" ca="1" si="55"/>
        <v>127</v>
      </c>
      <c r="U955" s="16" t="str">
        <f t="shared" ca="1" si="56"/>
        <v>Bloody</v>
      </c>
      <c r="V955" s="155">
        <f ca="1">IFERROR(__xludf.DUMMYFUNCTION("if(W955=""Middle Age"",QUERY(NPCVar!$K$2:$N1000, ""Select L where K = '""&amp;AB955&amp;""'""),if(W955=""Old"",QUERY(NPCVar!$K$2:$N1000, ""Select M where K = '""&amp;AB955&amp;""'""),if(W955=""Venerable"",QUERY(NPCVar!$K$2:$N1000, ""Select N where K = '""&amp;AB955&amp;""'""),fa"&amp;"lse)))*X955"),72)</f>
        <v>72</v>
      </c>
      <c r="W955" s="156" t="str">
        <f t="array" ref="W955">INDEX(NPCAgeType,TRUNC(1+(4-1)*(TRUNC(MOD((X955*1103515245 +12345)/ 65536, 32768),0)/32768),0))</f>
        <v>Middle Age</v>
      </c>
      <c r="X955" s="117">
        <f t="shared" si="61"/>
        <v>2.4</v>
      </c>
      <c r="Y955" s="157" t="e">
        <f t="array" aca="1" ref="Y955" ca="1">LOOKUP(ABS(MAX(Z955 + MIN(ABS(INDIRECT("Class Jobs!B"&amp;MATCH(E955,'Class Jobs'!$A$1:$A1000,0)&amp;":"&amp;"AF"&amp;MATCH(E955,'Class Jobs'!$A$1:$A1000,0)&amp;"")-$Z955)) * SUM(IF(MIN(ABS(INDIRECT("Class Jobs!B"&amp;MATCH(E955,'Class Jobs'!$A$1:$A1000,0)&amp;":"&amp;"AF"&amp;MATCH(E955,'Class Jobs'!$A$1:$A1000,0)&amp;"")-$Z955))=ABS(INDIRECT("Class Jobs!B"&amp;MATCH(E955,'Class Jobs'!$A$1:$A1000,0)&amp;":"&amp;"AF"&amp;MATCH(E955,'Class Jobs'!$A$1:$A1000,0)&amp;"")-$Z955),SIGN(INDIRECT("Class Jobs!B"&amp;MATCH(E955,'Class Jobs'!$A$1:A1000,0)&amp;":"&amp;"AF"&amp;MATCH(E955,'Class Jobs'!$A$1:$A1000,0)&amp;"")-$Z955),0)),0)),INDIRECT("Class Jobs!B"&amp;MATCH(E955,'Class Jobs'!$A$1:$A1000,0)&amp;":"&amp;"AF"&amp;MATCH(E955,'Class Jobs'!$A$1:$A1000,1)&amp;""),'Class Jobs'!$B$1:$AF$1)</f>
        <v>#REF!</v>
      </c>
      <c r="Z955" s="158">
        <f t="shared" si="57"/>
        <v>0.97</v>
      </c>
      <c r="AA955" s="16" t="str">
        <f t="array" ref="AA955">INDEX(NPCGender,TRUNC(1+(COUNTA(NPCGender))*(TRUNC(MOD(($B955*1103515245 +12345)/ 65536, 32768),0)/32768),0))</f>
        <v>Neutral</v>
      </c>
      <c r="AB955" s="16" t="str">
        <f t="array" ref="AB955">INDEX(NPCRace,TRUNC(1+(COUNTA(NPCRace))*(TRUNC(MOD(($B955*1103515245 +12345)/ 65536, 32768),0)/32768),0))</f>
        <v>Goliath</v>
      </c>
      <c r="AC955" s="16" t="str">
        <f t="array" ref="AC955">INDEX(NPCAL,TRUNC(1+(COUNTA(NPCAL))*(TRUNC(MOD(($B955*1103515245 +12345)/ 65536, 32768),0)/32768),0))</f>
        <v>LE</v>
      </c>
      <c r="AD955" s="72" t="str">
        <f ca="1">IFERROR(__xludf.DUMMYFUNCTION("if(V955&lt;15,QUERY(NPCVar!C:D,""Select D WHERE C = '""&amp;D955&amp;""'""),if((TRUNC(1+10)*(TRUNC(MOD((ROW(H955)*1103515245 +12345)/ 65536, 32768),0)/32768)/10) &gt; 0.85,INDEX(NPCFaction,TRUNC(1+(counta(NPCFaction)-1)*(TRUNC(MOD(($B955*1103515245 +12345)/ 65536, 3276"&amp;"8),0)/32768),0)),QUERY(NPCVar!C:D,""Select D WHERE C = '""&amp;D955&amp;""'"")))"),"Followers of Isis")</f>
        <v>Followers of Isis</v>
      </c>
      <c r="AE955" s="108" t="e">
        <f t="shared" ca="1" si="58"/>
        <v>#NAME?</v>
      </c>
      <c r="AF955" s="159">
        <f ca="1">IFERROR(__xludf.DUMMYFUNCTION("AE955*(V955 / QUERY(NPCVar!$K$2:$N$12, ""Select N WHERE K='""&amp;AB955&amp;""'""))*TRUNC(1+10)*(TRUNC(MOD(($B955*1103515245 +12345)/ 65536, 32768),0)/32768)"),2.57143798828124)</f>
        <v>2.5714379882812399</v>
      </c>
      <c r="AG955" s="16"/>
      <c r="AH955" s="77"/>
      <c r="AI955" s="114"/>
    </row>
    <row r="956" spans="1:35" ht="16.2">
      <c r="A956" s="53">
        <v>955</v>
      </c>
      <c r="B956" s="118">
        <f t="shared" si="63"/>
        <v>0.88966999999999996</v>
      </c>
      <c r="C956" s="72" t="str">
        <f t="array" ref="C956">INDEX(NPCFName,TRUNC(1+(COUNTA(NPCFName))*(TRUNC(MOD(($B956*1103515245 +12345)/ 65536, 32768),0)/32768),0))</f>
        <v>Gresforn</v>
      </c>
      <c r="D956" s="16" t="str">
        <f t="array" ref="D956">INDEX(NPCLName,TRUNC(1+(COUNTA(NPCLName))*(TRUNC(MOD(($B956*1103515245 +12345)/ 65536, 32768),0)/32768),0))</f>
        <v>Saurflame</v>
      </c>
      <c r="E956" s="16" t="str">
        <f t="array" ref="E956">INDEX(NPCClass,TRUNC(1+(COUNTA(NPCClass))*(TRUNC(MOD(($B956*1103515245 +12345)/ 65536, 32768),0)/32768),0))</f>
        <v>Ranger</v>
      </c>
      <c r="F956" s="76">
        <v>4</v>
      </c>
      <c r="G956" s="153">
        <f ca="1">VLOOKUP($AB$2,'RF Mod'!$A$2:$G$12,2,FALSE)+VLOOKUP($AD$2,'RF Mod'!$I$2:$O$11,2,FALSE)+(TRUNC(6+(24-6)*(TRUNC(MOD(($Z956*1103515245 +12345)/ 65536, 32768),0)/32768),0))</f>
        <v>8</v>
      </c>
      <c r="H956" s="16">
        <f t="shared" ca="1" si="49"/>
        <v>-1</v>
      </c>
      <c r="I956" s="153">
        <f ca="1">VLOOKUP($AB$2,'RF Mod'!$A$2:$G$12,3,FALSE)+VLOOKUP($AD$2,'RF Mod'!$I$2:$O$11,3,FALSE)+(TRUNC(6+(24-6)*(TRUNC(MOD(($Z956*1103515245 +12345)/ 65536, 32768),0)/32768),0))</f>
        <v>12</v>
      </c>
      <c r="J956" s="16" t="e">
        <f t="shared" ca="1" si="50"/>
        <v>#NAME?</v>
      </c>
      <c r="K956" s="153">
        <f ca="1">VLOOKUP($AB$2,'RF Mod'!$A$2:$G$12,3,FALSE)+VLOOKUP($AD$2,'RF Mod'!$I$2:$O$11,3,FALSE)+(TRUNC(6+(24-6)*(TRUNC(MOD(($Z956*1103515245 +12345)/ 65536, 32768),0)/32768),0))</f>
        <v>12</v>
      </c>
      <c r="L956" s="16" t="e">
        <f t="shared" ca="1" si="51"/>
        <v>#NAME?</v>
      </c>
      <c r="M956" s="153">
        <f ca="1">VLOOKUP($AB$2,'RF Mod'!$A$2:$G$12,4,FALSE)+VLOOKUP($AD$2,'RF Mod'!$I$2:$O$11,4,FALSE)+(TRUNC(6+(24-6)*(TRUNC(MOD(($Z956*1103515245 +12345)/ 65536, 32768),0)/32768),0))</f>
        <v>11</v>
      </c>
      <c r="N956" s="16" t="e">
        <f t="shared" ca="1" si="52"/>
        <v>#NAME?</v>
      </c>
      <c r="O956" s="153">
        <f ca="1">VLOOKUP($AB$2,'RF Mod'!$A$2:$G$12,5,FALSE)+VLOOKUP($AD$2,'RF Mod'!$I$2:$O$11,5,FALSE)+(TRUNC(6+(24-6)*(TRUNC(MOD(($Z956*1103515245 +12345)/ 65536, 32768),0)/32768),0))</f>
        <v>14</v>
      </c>
      <c r="P956" s="16" t="e">
        <f t="shared" ca="1" si="53"/>
        <v>#NAME?</v>
      </c>
      <c r="Q956" s="153">
        <f ca="1">VLOOKUP($AB$2,'RF Mod'!$A$2:$G$12,6,FALSE)+VLOOKUP($AD$2,'RF Mod'!$I$2:$O$11,6,FALSE)+(TRUNC(6+(24-6)*(TRUNC(MOD(($Z956*1103515245 +12345)/ 65536, 32768),0)/32768),0))</f>
        <v>12</v>
      </c>
      <c r="R956" s="16" t="e">
        <f t="shared" ca="1" si="54"/>
        <v>#NAME?</v>
      </c>
      <c r="S956" s="154">
        <f t="shared" ca="1" si="59"/>
        <v>112</v>
      </c>
      <c r="T956" s="154">
        <f t="shared" ca="1" si="55"/>
        <v>85</v>
      </c>
      <c r="U956" s="16" t="str">
        <f t="shared" ca="1" si="56"/>
        <v>Bloody</v>
      </c>
      <c r="V956" s="155">
        <f ca="1">IFERROR(__xludf.DUMMYFUNCTION("if(W956=""Middle Age"",QUERY(NPCVar!$K$2:$N1000, ""Select L where K = '""&amp;AB956&amp;""'""),if(W956=""Old"",QUERY(NPCVar!$K$2:$N1000, ""Select M where K = '""&amp;AB956&amp;""'""),if(W956=""Venerable"",QUERY(NPCVar!$K$2:$N1000, ""Select N where K = '""&amp;AB956&amp;""'""),fa"&amp;"lse)))*X956"),28.875)</f>
        <v>28.875</v>
      </c>
      <c r="W956" s="156" t="str">
        <f t="array" ref="W956">INDEX(NPCAgeType,TRUNC(1+(4-1)*(TRUNC(MOD((X956*1103515245 +12345)/ 65536, 32768),0)/32768),0))</f>
        <v>Old</v>
      </c>
      <c r="X956" s="117">
        <f t="shared" si="61"/>
        <v>1.1000000000000001</v>
      </c>
      <c r="Y956" s="157" t="e">
        <f t="array" aca="1" ref="Y956" ca="1">LOOKUP(ABS(MAX(Z956 + MIN(ABS(INDIRECT("Class Jobs!B"&amp;MATCH(E956,'Class Jobs'!$A$1:$A1000,0)&amp;":"&amp;"AF"&amp;MATCH(E956,'Class Jobs'!$A$1:$A1000,0)&amp;"")-$Z956)) * SUM(IF(MIN(ABS(INDIRECT("Class Jobs!B"&amp;MATCH(E956,'Class Jobs'!$A$1:$A1000,0)&amp;":"&amp;"AF"&amp;MATCH(E956,'Class Jobs'!$A$1:$A1000,0)&amp;"")-$Z956))=ABS(INDIRECT("Class Jobs!B"&amp;MATCH(E956,'Class Jobs'!$A$1:$A1000,0)&amp;":"&amp;"AF"&amp;MATCH(E956,'Class Jobs'!$A$1:$A1000,0)&amp;"")-$Z956),SIGN(INDIRECT("Class Jobs!B"&amp;MATCH(E956,'Class Jobs'!$A$1:A1000,0)&amp;":"&amp;"AF"&amp;MATCH(E956,'Class Jobs'!$A$1:$A1000,0)&amp;"")-$Z956),0)),0)),INDIRECT("Class Jobs!B"&amp;MATCH(E956,'Class Jobs'!$A$1:$A1000,0)&amp;":"&amp;"AF"&amp;MATCH(E956,'Class Jobs'!$A$1:$A1000,1)&amp;""),'Class Jobs'!$B$1:$AF$1)</f>
        <v>#REF!</v>
      </c>
      <c r="Z956" s="158">
        <f t="shared" si="57"/>
        <v>0.46</v>
      </c>
      <c r="AA956" s="16" t="str">
        <f t="array" ref="AA956">INDEX(NPCGender,TRUNC(1+(COUNTA(NPCGender))*(TRUNC(MOD(($B956*1103515245 +12345)/ 65536, 32768),0)/32768),0))</f>
        <v>Female</v>
      </c>
      <c r="AB956" s="16" t="str">
        <f t="array" ref="AB956">INDEX(NPCRace,TRUNC(1+(COUNTA(NPCRace))*(TRUNC(MOD(($B956*1103515245 +12345)/ 65536, 32768),0)/32768),0))</f>
        <v>Half-Orc</v>
      </c>
      <c r="AC956" s="16" t="str">
        <f t="array" ref="AC956">INDEX(NPCAL,TRUNC(1+(COUNTA(NPCAL))*(TRUNC(MOD(($B956*1103515245 +12345)/ 65536, 32768),0)/32768),0))</f>
        <v>NN</v>
      </c>
      <c r="AD956" s="72" t="str">
        <f ca="1">IFERROR(__xludf.DUMMYFUNCTION("if(V956&lt;15,QUERY(NPCVar!C:D,""Select D WHERE C = '""&amp;D956&amp;""'""),if((TRUNC(1+10)*(TRUNC(MOD((ROW(H956)*1103515245 +12345)/ 65536, 32768),0)/32768)/10) &gt; 0.85,INDEX(NPCFaction,TRUNC(1+(counta(NPCFaction)-1)*(TRUNC(MOD(($B956*1103515245 +12345)/ 65536, 3276"&amp;"8),0)/32768),0)),QUERY(NPCVar!C:D,""Select D WHERE C = '""&amp;D956&amp;""'"")))"),"Farmers Guild")</f>
        <v>Farmers Guild</v>
      </c>
      <c r="AE956" s="108" t="e">
        <f t="shared" ca="1" si="58"/>
        <v>#NAME?</v>
      </c>
      <c r="AF956" s="159">
        <f ca="1">IFERROR(__xludf.DUMMYFUNCTION("AE956*(V956 / QUERY(NPCVar!$K$2:$N$12, ""Select N WHERE K='""&amp;AB956&amp;""'""))*TRUNC(1+10)*(TRUNC(MOD(($B956*1103515245 +12345)/ 65536, 32768),0)/32768)"),1.65946655273437)</f>
        <v>1.6594665527343699</v>
      </c>
      <c r="AG956" s="16"/>
      <c r="AH956" s="77"/>
      <c r="AI956" s="114"/>
    </row>
    <row r="957" spans="1:35" ht="16.2">
      <c r="A957" s="53">
        <v>956</v>
      </c>
      <c r="B957" s="118">
        <f t="shared" si="63"/>
        <v>2.3837999999999999</v>
      </c>
      <c r="C957" s="72" t="str">
        <f t="array" ref="C957">INDEX(NPCFName,TRUNC(1+(COUNTA(NPCFName))*(TRUNC(MOD(($B957*1103515245 +12345)/ 65536, 32768),0)/32768),0))</f>
        <v>Pendus</v>
      </c>
      <c r="D957" s="16" t="str">
        <f t="array" ref="D957">INDEX(NPCLName,TRUNC(1+(COUNTA(NPCLName))*(TRUNC(MOD(($B957*1103515245 +12345)/ 65536, 32768),0)/32768),0))</f>
        <v>Stillsun</v>
      </c>
      <c r="E957" s="16" t="str">
        <f t="array" ref="E957">INDEX(NPCClass,TRUNC(1+(COUNTA(NPCClass))*(TRUNC(MOD(($B957*1103515245 +12345)/ 65536, 32768),0)/32768),0))</f>
        <v>Druid</v>
      </c>
      <c r="F957" s="76">
        <v>1</v>
      </c>
      <c r="G957" s="153">
        <f ca="1">VLOOKUP($AB$2,'RF Mod'!$A$2:$G$12,2,FALSE)+VLOOKUP($AD$2,'RF Mod'!$I$2:$O$11,2,FALSE)+(TRUNC(6+(24-6)*(TRUNC(MOD(($Z957*1103515245 +12345)/ 65536, 32768),0)/32768),0))</f>
        <v>6</v>
      </c>
      <c r="H957" s="16">
        <f t="shared" ca="1" si="49"/>
        <v>-2</v>
      </c>
      <c r="I957" s="153">
        <f ca="1">VLOOKUP($AB$2,'RF Mod'!$A$2:$G$12,3,FALSE)+VLOOKUP($AD$2,'RF Mod'!$I$2:$O$11,3,FALSE)+(TRUNC(6+(24-6)*(TRUNC(MOD(($Z957*1103515245 +12345)/ 65536, 32768),0)/32768),0))</f>
        <v>10</v>
      </c>
      <c r="J957" s="16" t="e">
        <f t="shared" ca="1" si="50"/>
        <v>#NAME?</v>
      </c>
      <c r="K957" s="153">
        <f ca="1">VLOOKUP($AB$2,'RF Mod'!$A$2:$G$12,3,FALSE)+VLOOKUP($AD$2,'RF Mod'!$I$2:$O$11,3,FALSE)+(TRUNC(6+(24-6)*(TRUNC(MOD(($Z957*1103515245 +12345)/ 65536, 32768),0)/32768),0))</f>
        <v>10</v>
      </c>
      <c r="L957" s="16" t="e">
        <f t="shared" ca="1" si="51"/>
        <v>#NAME?</v>
      </c>
      <c r="M957" s="153">
        <f ca="1">VLOOKUP($AB$2,'RF Mod'!$A$2:$G$12,4,FALSE)+VLOOKUP($AD$2,'RF Mod'!$I$2:$O$11,4,FALSE)+(TRUNC(6+(24-6)*(TRUNC(MOD(($Z957*1103515245 +12345)/ 65536, 32768),0)/32768),0))</f>
        <v>9</v>
      </c>
      <c r="N957" s="16">
        <f t="shared" ca="1" si="52"/>
        <v>-1</v>
      </c>
      <c r="O957" s="153">
        <f ca="1">VLOOKUP($AB$2,'RF Mod'!$A$2:$G$12,5,FALSE)+VLOOKUP($AD$2,'RF Mod'!$I$2:$O$11,5,FALSE)+(TRUNC(6+(24-6)*(TRUNC(MOD(($Z957*1103515245 +12345)/ 65536, 32768),0)/32768),0))</f>
        <v>12</v>
      </c>
      <c r="P957" s="16" t="e">
        <f t="shared" ca="1" si="53"/>
        <v>#NAME?</v>
      </c>
      <c r="Q957" s="153">
        <f ca="1">VLOOKUP($AB$2,'RF Mod'!$A$2:$G$12,6,FALSE)+VLOOKUP($AD$2,'RF Mod'!$I$2:$O$11,6,FALSE)+(TRUNC(6+(24-6)*(TRUNC(MOD(($Z957*1103515245 +12345)/ 65536, 32768),0)/32768),0))</f>
        <v>10</v>
      </c>
      <c r="R957" s="16" t="e">
        <f t="shared" ca="1" si="54"/>
        <v>#NAME?</v>
      </c>
      <c r="S957" s="154">
        <f t="shared" ca="1" si="59"/>
        <v>12</v>
      </c>
      <c r="T957" s="154">
        <f t="shared" ca="1" si="55"/>
        <v>3</v>
      </c>
      <c r="U957" s="16" t="str">
        <f t="shared" ca="1" si="56"/>
        <v>Fine</v>
      </c>
      <c r="V957" s="155">
        <f ca="1">IFERROR(__xludf.DUMMYFUNCTION("if(W957=""Middle Age"",QUERY(NPCVar!$K$2:$N1000, ""Select L where K = '""&amp;AB957&amp;""'""),if(W957=""Old"",QUERY(NPCVar!$K$2:$N1000, ""Select M where K = '""&amp;AB957&amp;""'""),if(W957=""Venerable"",QUERY(NPCVar!$K$2:$N1000, ""Select N where K = '""&amp;AB957&amp;""'""),fa"&amp;"lse)))*X957"),112.5)</f>
        <v>112.5</v>
      </c>
      <c r="W957" s="156" t="str">
        <f t="array" ref="W957">INDEX(NPCAgeType,TRUNC(1+(4-1)*(TRUNC(MOD((X957*1103515245 +12345)/ 65536, 32768),0)/32768),0))</f>
        <v>Middle Age</v>
      </c>
      <c r="X957" s="117">
        <f t="shared" si="61"/>
        <v>0.6</v>
      </c>
      <c r="Y957" s="157" t="e">
        <f t="array" aca="1" ref="Y957" ca="1">LOOKUP(ABS(MAX(Z957 + MIN(ABS(INDIRECT("Class Jobs!B"&amp;MATCH(E957,'Class Jobs'!$A$1:$A1000,0)&amp;":"&amp;"AF"&amp;MATCH(E957,'Class Jobs'!$A$1:$A1000,0)&amp;"")-$Z957)) * SUM(IF(MIN(ABS(INDIRECT("Class Jobs!B"&amp;MATCH(E957,'Class Jobs'!$A$1:$A1000,0)&amp;":"&amp;"AF"&amp;MATCH(E957,'Class Jobs'!$A$1:$A1000,0)&amp;"")-$Z957))=ABS(INDIRECT("Class Jobs!B"&amp;MATCH(E957,'Class Jobs'!$A$1:$A1000,0)&amp;":"&amp;"AF"&amp;MATCH(E957,'Class Jobs'!$A$1:$A1000,0)&amp;"")-$Z957),SIGN(INDIRECT("Class Jobs!B"&amp;MATCH(E957,'Class Jobs'!$A$1:A1000,0)&amp;":"&amp;"AF"&amp;MATCH(E957,'Class Jobs'!$A$1:$A1000,0)&amp;"")-$Z957),0)),0)),INDIRECT("Class Jobs!B"&amp;MATCH(E957,'Class Jobs'!$A$1:$A1000,0)&amp;":"&amp;"AF"&amp;MATCH(E957,'Class Jobs'!$A$1:$A1000,1)&amp;""),'Class Jobs'!$B$1:$AF$1)</f>
        <v>#REF!</v>
      </c>
      <c r="Z957" s="158">
        <f t="shared" si="57"/>
        <v>0.23</v>
      </c>
      <c r="AA957" s="16" t="str">
        <f t="array" ref="AA957">INDEX(NPCGender,TRUNC(1+(COUNTA(NPCGender))*(TRUNC(MOD(($B957*1103515245 +12345)/ 65536, 32768),0)/32768),0))</f>
        <v>Male</v>
      </c>
      <c r="AB957" s="16" t="str">
        <f t="array" ref="AB957">INDEX(NPCRace,TRUNC(1+(COUNTA(NPCRace))*(TRUNC(MOD(($B957*1103515245 +12345)/ 65536, 32768),0)/32768),0))</f>
        <v>Elf</v>
      </c>
      <c r="AC957" s="16" t="str">
        <f t="array" ref="AC957">INDEX(NPCAL,TRUNC(1+(COUNTA(NPCAL))*(TRUNC(MOD(($B957*1103515245 +12345)/ 65536, 32768),0)/32768),0))</f>
        <v>CG</v>
      </c>
      <c r="AD957" s="72" t="str">
        <f ca="1">IFERROR(__xludf.DUMMYFUNCTION("if(V957&lt;15,QUERY(NPCVar!C:D,""Select D WHERE C = '""&amp;D957&amp;""'""),if((TRUNC(1+10)*(TRUNC(MOD((ROW(H957)*1103515245 +12345)/ 65536, 32768),0)/32768)/10) &gt; 0.85,INDEX(NPCFaction,TRUNC(1+(counta(NPCFaction)-1)*(TRUNC(MOD(($B957*1103515245 +12345)/ 65536, 3276"&amp;"8),0)/32768),0)),QUERY(NPCVar!C:D,""Select D WHERE C = '""&amp;D957&amp;""'"")))"),"Necromancer")</f>
        <v>Necromancer</v>
      </c>
      <c r="AE957" s="108" t="e">
        <f t="shared" ca="1" si="58"/>
        <v>#NAME?</v>
      </c>
      <c r="AF957" s="159">
        <f ca="1">IFERROR(__xludf.DUMMYFUNCTION("AE957*(V957 / QUERY(NPCVar!$K$2:$N$12, ""Select N WHERE K='""&amp;AB957&amp;""'""))*TRUNC(1+10)*(TRUNC(MOD(($B957*1103515245 +12345)/ 65536, 32768),0)/32768)"),0.0371159362792968)</f>
        <v>3.7115936279296803E-2</v>
      </c>
      <c r="AG957" s="16"/>
      <c r="AH957" s="77"/>
      <c r="AI957" s="114"/>
    </row>
    <row r="958" spans="1:35" ht="16.2">
      <c r="A958" s="53">
        <v>957</v>
      </c>
      <c r="B958" s="118">
        <f t="shared" si="63"/>
        <v>1.3779399999999999</v>
      </c>
      <c r="C958" s="72" t="str">
        <f t="array" ref="C958">INDEX(NPCFName,TRUNC(1+(COUNTA(NPCFName))*(TRUNC(MOD(($B958*1103515245 +12345)/ 65536, 32768),0)/32768),0))</f>
        <v>Bydern</v>
      </c>
      <c r="D958" s="16" t="str">
        <f t="array" ref="D958">INDEX(NPCLName,TRUNC(1+(COUNTA(NPCLName))*(TRUNC(MOD(($B958*1103515245 +12345)/ 65536, 32768),0)/32768),0))</f>
        <v>Rockspell</v>
      </c>
      <c r="E958" s="16" t="str">
        <f t="array" ref="E958">INDEX(NPCClass,TRUNC(1+(COUNTA(NPCClass))*(TRUNC(MOD(($B958*1103515245 +12345)/ 65536, 32768),0)/32768),0))</f>
        <v>None</v>
      </c>
      <c r="F958" s="76">
        <v>8</v>
      </c>
      <c r="G958" s="153">
        <f ca="1">VLOOKUP($AB$2,'RF Mod'!$A$2:$G$12,2,FALSE)+VLOOKUP($AD$2,'RF Mod'!$I$2:$O$11,2,FALSE)+(TRUNC(6+(24-6)*(TRUNC(MOD(($Z958*1103515245 +12345)/ 65536, 32768),0)/32768),0))</f>
        <v>10</v>
      </c>
      <c r="H958" s="16" t="e">
        <f t="shared" ca="1" si="49"/>
        <v>#NAME?</v>
      </c>
      <c r="I958" s="153">
        <f ca="1">VLOOKUP($AB$2,'RF Mod'!$A$2:$G$12,3,FALSE)+VLOOKUP($AD$2,'RF Mod'!$I$2:$O$11,3,FALSE)+(TRUNC(6+(24-6)*(TRUNC(MOD(($Z958*1103515245 +12345)/ 65536, 32768),0)/32768),0))</f>
        <v>14</v>
      </c>
      <c r="J958" s="16" t="e">
        <f t="shared" ca="1" si="50"/>
        <v>#NAME?</v>
      </c>
      <c r="K958" s="153">
        <f ca="1">VLOOKUP($AB$2,'RF Mod'!$A$2:$G$12,3,FALSE)+VLOOKUP($AD$2,'RF Mod'!$I$2:$O$11,3,FALSE)+(TRUNC(6+(24-6)*(TRUNC(MOD(($Z958*1103515245 +12345)/ 65536, 32768),0)/32768),0))</f>
        <v>14</v>
      </c>
      <c r="L958" s="16" t="e">
        <f t="shared" ca="1" si="51"/>
        <v>#NAME?</v>
      </c>
      <c r="M958" s="153">
        <f ca="1">VLOOKUP($AB$2,'RF Mod'!$A$2:$G$12,4,FALSE)+VLOOKUP($AD$2,'RF Mod'!$I$2:$O$11,4,FALSE)+(TRUNC(6+(24-6)*(TRUNC(MOD(($Z958*1103515245 +12345)/ 65536, 32768),0)/32768),0))</f>
        <v>13</v>
      </c>
      <c r="N958" s="16" t="e">
        <f t="shared" ca="1" si="52"/>
        <v>#NAME?</v>
      </c>
      <c r="O958" s="153">
        <f ca="1">VLOOKUP($AB$2,'RF Mod'!$A$2:$G$12,5,FALSE)+VLOOKUP($AD$2,'RF Mod'!$I$2:$O$11,5,FALSE)+(TRUNC(6+(24-6)*(TRUNC(MOD(($Z958*1103515245 +12345)/ 65536, 32768),0)/32768),0))</f>
        <v>16</v>
      </c>
      <c r="P958" s="16" t="e">
        <f t="shared" ca="1" si="53"/>
        <v>#NAME?</v>
      </c>
      <c r="Q958" s="153">
        <f ca="1">VLOOKUP($AB$2,'RF Mod'!$A$2:$G$12,6,FALSE)+VLOOKUP($AD$2,'RF Mod'!$I$2:$O$11,6,FALSE)+(TRUNC(6+(24-6)*(TRUNC(MOD(($Z958*1103515245 +12345)/ 65536, 32768),0)/32768),0))</f>
        <v>14</v>
      </c>
      <c r="R958" s="16" t="e">
        <f t="shared" ca="1" si="54"/>
        <v>#NAME?</v>
      </c>
      <c r="S958" s="154">
        <f t="shared" ca="1" si="59"/>
        <v>176</v>
      </c>
      <c r="T958" s="154">
        <f t="shared" ca="1" si="55"/>
        <v>152</v>
      </c>
      <c r="U958" s="16" t="str">
        <f t="shared" ca="1" si="56"/>
        <v>Bloody</v>
      </c>
      <c r="V958" s="155">
        <f ca="1">IFERROR(__xludf.DUMMYFUNCTION("if(W958=""Middle Age"",QUERY(NPCVar!$K$2:$N1000, ""Select L where K = '""&amp;AB958&amp;""'""),if(W958=""Old"",QUERY(NPCVar!$K$2:$N1000, ""Select M where K = '""&amp;AB958&amp;""'""),if(W958=""Venerable"",QUERY(NPCVar!$K$2:$N1000, ""Select N where K = '""&amp;AB958&amp;""'""),fa"&amp;"lse)))*X958"),153)</f>
        <v>153</v>
      </c>
      <c r="W958" s="156" t="str">
        <f t="array" ref="W958">INDEX(NPCAgeType,TRUNC(1+(4-1)*(TRUNC(MOD((X958*1103515245 +12345)/ 65536, 32768),0)/32768),0))</f>
        <v>Venerable</v>
      </c>
      <c r="X958" s="117">
        <f t="shared" si="61"/>
        <v>1.7</v>
      </c>
      <c r="Y958" s="157" t="e">
        <f t="array" aca="1" ref="Y958" ca="1">LOOKUP(ABS(MAX(Z958 + MIN(ABS(INDIRECT("Class Jobs!B"&amp;MATCH(E958,'Class Jobs'!$A$1:$A1000,0)&amp;":"&amp;"AF"&amp;MATCH(E958,'Class Jobs'!$A$1:$A1000,0)&amp;"")-$Z958)) * SUM(IF(MIN(ABS(INDIRECT("Class Jobs!B"&amp;MATCH(E958,'Class Jobs'!$A$1:$A1000,0)&amp;":"&amp;"AF"&amp;MATCH(E958,'Class Jobs'!$A$1:$A1000,0)&amp;"")-$Z958))=ABS(INDIRECT("Class Jobs!B"&amp;MATCH(E958,'Class Jobs'!$A$1:$A1000,0)&amp;":"&amp;"AF"&amp;MATCH(E958,'Class Jobs'!$A$1:$A1000,0)&amp;"")-$Z958),SIGN(INDIRECT("Class Jobs!B"&amp;MATCH(E958,'Class Jobs'!$A$1:A1000,0)&amp;":"&amp;"AF"&amp;MATCH(E958,'Class Jobs'!$A$1:$A1000,0)&amp;"")-$Z958),0)),0)),INDIRECT("Class Jobs!B"&amp;MATCH(E958,'Class Jobs'!$A$1:$A1000,0)&amp;":"&amp;"AF"&amp;MATCH(E958,'Class Jobs'!$A$1:$A1000,1)&amp;""),'Class Jobs'!$B$1:$AF$1)</f>
        <v>#REF!</v>
      </c>
      <c r="Z958" s="158">
        <f t="shared" si="57"/>
        <v>0.71</v>
      </c>
      <c r="AA958" s="16" t="str">
        <f t="array" ref="AA958">INDEX(NPCGender,TRUNC(1+(COUNTA(NPCGender))*(TRUNC(MOD(($B958*1103515245 +12345)/ 65536, 32768),0)/32768),0))</f>
        <v>Neutral</v>
      </c>
      <c r="AB958" s="16" t="str">
        <f t="array" ref="AB958">INDEX(NPCRace,TRUNC(1+(COUNTA(NPCRace))*(TRUNC(MOD(($B958*1103515245 +12345)/ 65536, 32768),0)/32768),0))</f>
        <v>Human</v>
      </c>
      <c r="AC958" s="16" t="str">
        <f t="array" ref="AC958">INDEX(NPCAL,TRUNC(1+(COUNTA(NPCAL))*(TRUNC(MOD(($B958*1103515245 +12345)/ 65536, 32768),0)/32768),0))</f>
        <v>LG</v>
      </c>
      <c r="AD958" s="72" t="str">
        <f ca="1">IFERROR(__xludf.DUMMYFUNCTION("if(V958&lt;15,QUERY(NPCVar!C:D,""Select D WHERE C = '""&amp;D958&amp;""'""),if((TRUNC(1+10)*(TRUNC(MOD((ROW(H958)*1103515245 +12345)/ 65536, 32768),0)/32768)/10) &gt; 0.85,INDEX(NPCFaction,TRUNC(1+(counta(NPCFaction)-1)*(TRUNC(MOD(($B958*1103515245 +12345)/ 65536, 3276"&amp;"8),0)/32768),0)),QUERY(NPCVar!C:D,""Select D WHERE C = '""&amp;D958&amp;""'"")))"),"Traverlers Guild")</f>
        <v>Traverlers Guild</v>
      </c>
      <c r="AE958" s="108" t="e">
        <f t="shared" ca="1" si="58"/>
        <v>#NAME?</v>
      </c>
      <c r="AF958" s="159">
        <f ca="1">IFERROR(__xludf.DUMMYFUNCTION("AE958*(V958 / QUERY(NPCVar!$K$2:$N$12, ""Select N WHERE K='""&amp;AB958&amp;""'""))*TRUNC(1+10)*(TRUNC(MOD(($B958*1103515245 +12345)/ 65536, 32768),0)/32768)"),10.5927099609375)</f>
        <v>10.5927099609375</v>
      </c>
      <c r="AG958" s="16"/>
      <c r="AH958" s="77"/>
      <c r="AI958" s="114"/>
    </row>
    <row r="959" spans="1:35" ht="16.2">
      <c r="A959" s="53">
        <v>958</v>
      </c>
      <c r="B959" s="118">
        <f t="shared" si="63"/>
        <v>0.37208999999999998</v>
      </c>
      <c r="C959" s="72" t="str">
        <f t="array" ref="C959">INDEX(NPCFName,TRUNC(1+(COUNTA(NPCFName))*(TRUNC(MOD(($B959*1103515245 +12345)/ 65536, 32768),0)/32768),0))</f>
        <v>Mes'ard</v>
      </c>
      <c r="D959" s="16" t="str">
        <f t="array" ref="D959">INDEX(NPCLName,TRUNC(1+(COUNTA(NPCLName))*(TRUNC(MOD(($B959*1103515245 +12345)/ 65536, 32768),0)/32768),0))</f>
        <v>Ashcloud</v>
      </c>
      <c r="E959" s="16" t="str">
        <f t="array" ref="E959">INDEX(NPCClass,TRUNC(1+(COUNTA(NPCClass))*(TRUNC(MOD(($B959*1103515245 +12345)/ 65536, 32768),0)/32768),0))</f>
        <v>Druid</v>
      </c>
      <c r="F959" s="76">
        <v>1</v>
      </c>
      <c r="G959" s="153">
        <f ca="1">VLOOKUP($AB$2,'RF Mod'!$A$2:$G$12,2,FALSE)+VLOOKUP($AD$2,'RF Mod'!$I$2:$O$11,2,FALSE)+(TRUNC(6+(24-6)*(TRUNC(MOD(($Z959*1103515245 +12345)/ 65536, 32768),0)/32768),0))</f>
        <v>5</v>
      </c>
      <c r="H959" s="16">
        <f t="shared" ca="1" si="49"/>
        <v>-3</v>
      </c>
      <c r="I959" s="153">
        <f ca="1">VLOOKUP($AB$2,'RF Mod'!$A$2:$G$12,3,FALSE)+VLOOKUP($AD$2,'RF Mod'!$I$2:$O$11,3,FALSE)+(TRUNC(6+(24-6)*(TRUNC(MOD(($Z959*1103515245 +12345)/ 65536, 32768),0)/32768),0))</f>
        <v>9</v>
      </c>
      <c r="J959" s="16">
        <f t="shared" ca="1" si="50"/>
        <v>-1</v>
      </c>
      <c r="K959" s="153">
        <f ca="1">VLOOKUP($AB$2,'RF Mod'!$A$2:$G$12,3,FALSE)+VLOOKUP($AD$2,'RF Mod'!$I$2:$O$11,3,FALSE)+(TRUNC(6+(24-6)*(TRUNC(MOD(($Z959*1103515245 +12345)/ 65536, 32768),0)/32768),0))</f>
        <v>9</v>
      </c>
      <c r="L959" s="16">
        <f t="shared" ca="1" si="51"/>
        <v>-1</v>
      </c>
      <c r="M959" s="153">
        <f ca="1">VLOOKUP($AB$2,'RF Mod'!$A$2:$G$12,4,FALSE)+VLOOKUP($AD$2,'RF Mod'!$I$2:$O$11,4,FALSE)+(TRUNC(6+(24-6)*(TRUNC(MOD(($Z959*1103515245 +12345)/ 65536, 32768),0)/32768),0))</f>
        <v>8</v>
      </c>
      <c r="N959" s="16">
        <f t="shared" ca="1" si="52"/>
        <v>-1</v>
      </c>
      <c r="O959" s="153">
        <f ca="1">VLOOKUP($AB$2,'RF Mod'!$A$2:$G$12,5,FALSE)+VLOOKUP($AD$2,'RF Mod'!$I$2:$O$11,5,FALSE)+(TRUNC(6+(24-6)*(TRUNC(MOD(($Z959*1103515245 +12345)/ 65536, 32768),0)/32768),0))</f>
        <v>11</v>
      </c>
      <c r="P959" s="16" t="e">
        <f t="shared" ca="1" si="53"/>
        <v>#NAME?</v>
      </c>
      <c r="Q959" s="153">
        <f ca="1">VLOOKUP($AB$2,'RF Mod'!$A$2:$G$12,6,FALSE)+VLOOKUP($AD$2,'RF Mod'!$I$2:$O$11,6,FALSE)+(TRUNC(6+(24-6)*(TRUNC(MOD(($Z959*1103515245 +12345)/ 65536, 32768),0)/32768),0))</f>
        <v>9</v>
      </c>
      <c r="R959" s="16">
        <f t="shared" ca="1" si="54"/>
        <v>-1</v>
      </c>
      <c r="S959" s="154">
        <f t="shared" ca="1" si="59"/>
        <v>11</v>
      </c>
      <c r="T959" s="154">
        <f t="shared" ca="1" si="55"/>
        <v>5</v>
      </c>
      <c r="U959" s="16" t="str">
        <f t="shared" ca="1" si="56"/>
        <v>Fine</v>
      </c>
      <c r="V959" s="155">
        <f ca="1">IFERROR(__xludf.DUMMYFUNCTION("if(W959=""Middle Age"",QUERY(NPCVar!$K$2:$N1000, ""Select L where K = '""&amp;AB959&amp;""'""),if(W959=""Old"",QUERY(NPCVar!$K$2:$N1000, ""Select M where K = '""&amp;AB959&amp;""'""),if(W959=""Venerable"",QUERY(NPCVar!$K$2:$N1000, ""Select N where K = '""&amp;AB959&amp;""'""),fa"&amp;"lse)))*X959"),93.75)</f>
        <v>93.75</v>
      </c>
      <c r="W959" s="156" t="str">
        <f t="array" ref="W959">INDEX(NPCAgeType,TRUNC(1+(4-1)*(TRUNC(MOD((X959*1103515245 +12345)/ 65536, 32768),0)/32768),0))</f>
        <v>Middle Age</v>
      </c>
      <c r="X959" s="117">
        <f t="shared" si="61"/>
        <v>0.5</v>
      </c>
      <c r="Y959" s="157" t="e">
        <f t="array" aca="1" ref="Y959" ca="1">LOOKUP(ABS(MAX(Z959 + MIN(ABS(INDIRECT("Class Jobs!B"&amp;MATCH(E959,'Class Jobs'!$A$1:$A1000,0)&amp;":"&amp;"AF"&amp;MATCH(E959,'Class Jobs'!$A$1:$A1000,0)&amp;"")-$Z959)) * SUM(IF(MIN(ABS(INDIRECT("Class Jobs!B"&amp;MATCH(E959,'Class Jobs'!$A$1:$A1000,0)&amp;":"&amp;"AF"&amp;MATCH(E959,'Class Jobs'!$A$1:$A1000,0)&amp;"")-$Z959))=ABS(INDIRECT("Class Jobs!B"&amp;MATCH(E959,'Class Jobs'!$A$1:$A1000,0)&amp;":"&amp;"AF"&amp;MATCH(E959,'Class Jobs'!$A$1:$A1000,0)&amp;"")-$Z959),SIGN(INDIRECT("Class Jobs!B"&amp;MATCH(E959,'Class Jobs'!$A$1:A1000,0)&amp;":"&amp;"AF"&amp;MATCH(E959,'Class Jobs'!$A$1:$A1000,0)&amp;"")-$Z959),0)),0)),INDIRECT("Class Jobs!B"&amp;MATCH(E959,'Class Jobs'!$A$1:$A1000,0)&amp;":"&amp;"AF"&amp;MATCH(E959,'Class Jobs'!$A$1:$A1000,1)&amp;""),'Class Jobs'!$B$1:$AF$1)</f>
        <v>#REF!</v>
      </c>
      <c r="Z959" s="158">
        <f t="shared" si="57"/>
        <v>0.19</v>
      </c>
      <c r="AA959" s="16" t="str">
        <f t="array" ref="AA959">INDEX(NPCGender,TRUNC(1+(COUNTA(NPCGender))*(TRUNC(MOD(($B959*1103515245 +12345)/ 65536, 32768),0)/32768),0))</f>
        <v>Male</v>
      </c>
      <c r="AB959" s="16" t="str">
        <f t="array" ref="AB959">INDEX(NPCRace,TRUNC(1+(COUNTA(NPCRace))*(TRUNC(MOD(($B959*1103515245 +12345)/ 65536, 32768),0)/32768),0))</f>
        <v>Elf</v>
      </c>
      <c r="AC959" s="16" t="str">
        <f t="array" ref="AC959">INDEX(NPCAL,TRUNC(1+(COUNTA(NPCAL))*(TRUNC(MOD(($B959*1103515245 +12345)/ 65536, 32768),0)/32768),0))</f>
        <v>CE</v>
      </c>
      <c r="AD959" s="72" t="str">
        <f ca="1">IFERROR(__xludf.DUMMYFUNCTION("if(V959&lt;15,QUERY(NPCVar!C:D,""Select D WHERE C = '""&amp;D959&amp;""'""),if((TRUNC(1+10)*(TRUNC(MOD((ROW(H959)*1103515245 +12345)/ 65536, 32768),0)/32768)/10) &gt; 0.85,INDEX(NPCFaction,TRUNC(1+(counta(NPCFaction)-1)*(TRUNC(MOD(($B959*1103515245 +12345)/ 65536, 3276"&amp;"8),0)/32768),0)),QUERY(NPCVar!C:D,""Select D WHERE C = '""&amp;D959&amp;""'"")))"),"Necromancer")</f>
        <v>Necromancer</v>
      </c>
      <c r="AE959" s="108" t="e">
        <f t="shared" ca="1" si="58"/>
        <v>#NAME?</v>
      </c>
      <c r="AF959" s="159">
        <f ca="1">IFERROR(__xludf.DUMMYFUNCTION("AE959*(V959 / QUERY(NPCVar!$K$2:$N$12, ""Select N WHERE K='""&amp;AB959&amp;""'""))*TRUNC(1+10)*(TRUNC(MOD(($B959*1103515245 +12345)/ 65536, 32768),0)/32768)"),0)</f>
        <v>0</v>
      </c>
      <c r="AG959" s="16"/>
      <c r="AH959" s="77"/>
      <c r="AI959" s="114"/>
    </row>
    <row r="960" spans="1:35" ht="16.2">
      <c r="A960" s="53">
        <v>959</v>
      </c>
      <c r="B960" s="118">
        <f t="shared" si="63"/>
        <v>1.86622</v>
      </c>
      <c r="C960" s="72" t="str">
        <f t="array" ref="C960">INDEX(NPCFName,TRUNC(1+(COUNTA(NPCFName))*(TRUNC(MOD(($B960*1103515245 +12345)/ 65536, 32768),0)/32768),0))</f>
        <v>Tyden</v>
      </c>
      <c r="D960" s="16" t="str">
        <f t="array" ref="D960">INDEX(NPCLName,TRUNC(1+(COUNTA(NPCLName))*(TRUNC(MOD(($B960*1103515245 +12345)/ 65536, 32768),0)/32768),0))</f>
        <v>Marblearm</v>
      </c>
      <c r="E960" s="16" t="str">
        <f t="array" ref="E960">INDEX(NPCClass,TRUNC(1+(COUNTA(NPCClass))*(TRUNC(MOD(($B960*1103515245 +12345)/ 65536, 32768),0)/32768),0))</f>
        <v>Wizard</v>
      </c>
      <c r="F960" s="76">
        <v>8</v>
      </c>
      <c r="G960" s="153">
        <f ca="1">VLOOKUP($AB$2,'RF Mod'!$A$2:$G$12,2,FALSE)+VLOOKUP($AD$2,'RF Mod'!$I$2:$O$11,2,FALSE)+(TRUNC(6+(24-6)*(TRUNC(MOD(($Z960*1103515245 +12345)/ 65536, 32768),0)/32768),0))</f>
        <v>12</v>
      </c>
      <c r="H960" s="16" t="e">
        <f t="shared" ca="1" si="49"/>
        <v>#NAME?</v>
      </c>
      <c r="I960" s="153">
        <f ca="1">VLOOKUP($AB$2,'RF Mod'!$A$2:$G$12,3,FALSE)+VLOOKUP($AD$2,'RF Mod'!$I$2:$O$11,3,FALSE)+(TRUNC(6+(24-6)*(TRUNC(MOD(($Z960*1103515245 +12345)/ 65536, 32768),0)/32768),0))</f>
        <v>16</v>
      </c>
      <c r="J960" s="16" t="e">
        <f t="shared" ca="1" si="50"/>
        <v>#NAME?</v>
      </c>
      <c r="K960" s="153">
        <f ca="1">VLOOKUP($AB$2,'RF Mod'!$A$2:$G$12,3,FALSE)+VLOOKUP($AD$2,'RF Mod'!$I$2:$O$11,3,FALSE)+(TRUNC(6+(24-6)*(TRUNC(MOD(($Z960*1103515245 +12345)/ 65536, 32768),0)/32768),0))</f>
        <v>16</v>
      </c>
      <c r="L960" s="16" t="e">
        <f t="shared" ca="1" si="51"/>
        <v>#NAME?</v>
      </c>
      <c r="M960" s="153">
        <f ca="1">VLOOKUP($AB$2,'RF Mod'!$A$2:$G$12,4,FALSE)+VLOOKUP($AD$2,'RF Mod'!$I$2:$O$11,4,FALSE)+(TRUNC(6+(24-6)*(TRUNC(MOD(($Z960*1103515245 +12345)/ 65536, 32768),0)/32768),0))</f>
        <v>15</v>
      </c>
      <c r="N960" s="16" t="e">
        <f t="shared" ca="1" si="52"/>
        <v>#NAME?</v>
      </c>
      <c r="O960" s="153">
        <f ca="1">VLOOKUP($AB$2,'RF Mod'!$A$2:$G$12,5,FALSE)+VLOOKUP($AD$2,'RF Mod'!$I$2:$O$11,5,FALSE)+(TRUNC(6+(24-6)*(TRUNC(MOD(($Z960*1103515245 +12345)/ 65536, 32768),0)/32768),0))</f>
        <v>18</v>
      </c>
      <c r="P960" s="16" t="e">
        <f t="shared" ca="1" si="53"/>
        <v>#NAME?</v>
      </c>
      <c r="Q960" s="153">
        <f ca="1">VLOOKUP($AB$2,'RF Mod'!$A$2:$G$12,6,FALSE)+VLOOKUP($AD$2,'RF Mod'!$I$2:$O$11,6,FALSE)+(TRUNC(6+(24-6)*(TRUNC(MOD(($Z960*1103515245 +12345)/ 65536, 32768),0)/32768),0))</f>
        <v>16</v>
      </c>
      <c r="R960" s="16" t="e">
        <f t="shared" ca="1" si="54"/>
        <v>#NAME?</v>
      </c>
      <c r="S960" s="154">
        <f t="shared" ca="1" si="59"/>
        <v>272</v>
      </c>
      <c r="T960" s="154">
        <f t="shared" ca="1" si="55"/>
        <v>41</v>
      </c>
      <c r="U960" s="16" t="str">
        <f t="shared" ca="1" si="56"/>
        <v>Fine</v>
      </c>
      <c r="V960" s="155">
        <f ca="1">IFERROR(__xludf.DUMMYFUNCTION("if(W960=""Middle Age"",QUERY(NPCVar!$K$2:$N1000, ""Select L where K = '""&amp;AB960&amp;""'""),if(W960=""Old"",QUERY(NPCVar!$K$2:$N1000, ""Select M where K = '""&amp;AB960&amp;""'""),if(W960=""Venerable"",QUERY(NPCVar!$K$2:$N1000, ""Select N where K = '""&amp;AB960&amp;""'""),fa"&amp;"lse)))*X960"),72)</f>
        <v>72</v>
      </c>
      <c r="W960" s="156" t="str">
        <f t="array" ref="W960">INDEX(NPCAgeType,TRUNC(1+(4-1)*(TRUNC(MOD((X960*1103515245 +12345)/ 65536, 32768),0)/32768),0))</f>
        <v>Middle Age</v>
      </c>
      <c r="X960" s="117">
        <f t="shared" si="61"/>
        <v>2.4</v>
      </c>
      <c r="Y960" s="157" t="e">
        <f t="array" aca="1" ref="Y960" ca="1">LOOKUP(ABS(MAX(Z960 + MIN(ABS(INDIRECT("Class Jobs!B"&amp;MATCH(E960,'Class Jobs'!$A$1:$A1000,0)&amp;":"&amp;"AF"&amp;MATCH(E960,'Class Jobs'!$A$1:$A1000,0)&amp;"")-$Z960)) * SUM(IF(MIN(ABS(INDIRECT("Class Jobs!B"&amp;MATCH(E960,'Class Jobs'!$A$1:$A1000,0)&amp;":"&amp;"AF"&amp;MATCH(E960,'Class Jobs'!$A$1:$A1000,0)&amp;"")-$Z960))=ABS(INDIRECT("Class Jobs!B"&amp;MATCH(E960,'Class Jobs'!$A$1:$A1000,0)&amp;":"&amp;"AF"&amp;MATCH(E960,'Class Jobs'!$A$1:$A1000,0)&amp;"")-$Z960),SIGN(INDIRECT("Class Jobs!B"&amp;MATCH(E960,'Class Jobs'!$A$1:A1000,0)&amp;":"&amp;"AF"&amp;MATCH(E960,'Class Jobs'!$A$1:$A1000,0)&amp;"")-$Z960),0)),0)),INDIRECT("Class Jobs!B"&amp;MATCH(E960,'Class Jobs'!$A$1:$A1000,0)&amp;":"&amp;"AF"&amp;MATCH(E960,'Class Jobs'!$A$1:$A1000,1)&amp;""),'Class Jobs'!$B$1:$AF$1)</f>
        <v>#REF!</v>
      </c>
      <c r="Z960" s="158">
        <f t="shared" si="57"/>
        <v>0.95</v>
      </c>
      <c r="AA960" s="16" t="str">
        <f t="array" ref="AA960">INDEX(NPCGender,TRUNC(1+(COUNTA(NPCGender))*(TRUNC(MOD(($B960*1103515245 +12345)/ 65536, 32768),0)/32768),0))</f>
        <v>Neutral</v>
      </c>
      <c r="AB960" s="16" t="str">
        <f t="array" ref="AB960">INDEX(NPCRace,TRUNC(1+(COUNTA(NPCRace))*(TRUNC(MOD(($B960*1103515245 +12345)/ 65536, 32768),0)/32768),0))</f>
        <v>Goliath</v>
      </c>
      <c r="AC960" s="16" t="str">
        <f t="array" ref="AC960">INDEX(NPCAL,TRUNC(1+(COUNTA(NPCAL))*(TRUNC(MOD(($B960*1103515245 +12345)/ 65536, 32768),0)/32768),0))</f>
        <v>LE</v>
      </c>
      <c r="AD960" s="72" t="str">
        <f ca="1">IFERROR(__xludf.DUMMYFUNCTION("if(V960&lt;15,QUERY(NPCVar!C:D,""Select D WHERE C = '""&amp;D960&amp;""'""),if((TRUNC(1+10)*(TRUNC(MOD((ROW(H960)*1103515245 +12345)/ 65536, 32768),0)/32768)/10) &gt; 0.85,INDEX(NPCFaction,TRUNC(1+(counta(NPCFaction)-1)*(TRUNC(MOD(($B960*1103515245 +12345)/ 65536, 3276"&amp;"8),0)/32768),0)),QUERY(NPCVar!C:D,""Select D WHERE C = '""&amp;D960&amp;""'"")))"),"Thieves Guild")</f>
        <v>Thieves Guild</v>
      </c>
      <c r="AE960" s="108" t="e">
        <f t="shared" ca="1" si="58"/>
        <v>#NAME?</v>
      </c>
      <c r="AF960" s="159">
        <f ca="1">IFERROR(__xludf.DUMMYFUNCTION("AE960*(V960 / QUERY(NPCVar!$K$2:$N$12, ""Select N WHERE K='""&amp;AB960&amp;""'""))*TRUNC(1+10)*(TRUNC(MOD(($B960*1103515245 +12345)/ 65536, 32768),0)/32768)"),5.6963671875)</f>
        <v>5.6963671874999999</v>
      </c>
      <c r="AG960" s="16"/>
      <c r="AH960" s="77"/>
      <c r="AI960" s="114"/>
    </row>
    <row r="961" spans="1:35" ht="16.2">
      <c r="A961" s="53">
        <v>960</v>
      </c>
      <c r="B961" s="118">
        <f t="shared" si="63"/>
        <v>0.86036999999999997</v>
      </c>
      <c r="C961" s="72" t="str">
        <f t="array" ref="C961">INDEX(NPCFName,TRUNC(1+(COUNTA(NPCFName))*(TRUNC(MOD(($B961*1103515245 +12345)/ 65536, 32768),0)/32768),0))</f>
        <v>Firiro</v>
      </c>
      <c r="D961" s="16" t="str">
        <f t="array" ref="D961">INDEX(NPCLName,TRUNC(1+(COUNTA(NPCLName))*(TRUNC(MOD(($B961*1103515245 +12345)/ 65536, 32768),0)/32768),0))</f>
        <v>Saurflame</v>
      </c>
      <c r="E961" s="16" t="str">
        <f t="array" ref="E961">INDEX(NPCClass,TRUNC(1+(COUNTA(NPCClass))*(TRUNC(MOD(($B961*1103515245 +12345)/ 65536, 32768),0)/32768),0))</f>
        <v>Ranger</v>
      </c>
      <c r="F961" s="76">
        <v>8</v>
      </c>
      <c r="G961" s="153">
        <f ca="1">VLOOKUP($AB$2,'RF Mod'!$A$2:$G$12,2,FALSE)+VLOOKUP($AD$2,'RF Mod'!$I$2:$O$11,2,FALSE)+(TRUNC(6+(24-6)*(TRUNC(MOD(($Z961*1103515245 +12345)/ 65536, 32768),0)/32768),0))</f>
        <v>8</v>
      </c>
      <c r="H961" s="16">
        <f t="shared" ca="1" si="49"/>
        <v>-1</v>
      </c>
      <c r="I961" s="153">
        <f ca="1">VLOOKUP($AB$2,'RF Mod'!$A$2:$G$12,3,FALSE)+VLOOKUP($AD$2,'RF Mod'!$I$2:$O$11,3,FALSE)+(TRUNC(6+(24-6)*(TRUNC(MOD(($Z961*1103515245 +12345)/ 65536, 32768),0)/32768),0))</f>
        <v>12</v>
      </c>
      <c r="J961" s="16" t="e">
        <f t="shared" ca="1" si="50"/>
        <v>#NAME?</v>
      </c>
      <c r="K961" s="153">
        <f ca="1">VLOOKUP($AB$2,'RF Mod'!$A$2:$G$12,3,FALSE)+VLOOKUP($AD$2,'RF Mod'!$I$2:$O$11,3,FALSE)+(TRUNC(6+(24-6)*(TRUNC(MOD(($Z961*1103515245 +12345)/ 65536, 32768),0)/32768),0))</f>
        <v>12</v>
      </c>
      <c r="L961" s="16" t="e">
        <f t="shared" ca="1" si="51"/>
        <v>#NAME?</v>
      </c>
      <c r="M961" s="153">
        <f ca="1">VLOOKUP($AB$2,'RF Mod'!$A$2:$G$12,4,FALSE)+VLOOKUP($AD$2,'RF Mod'!$I$2:$O$11,4,FALSE)+(TRUNC(6+(24-6)*(TRUNC(MOD(($Z961*1103515245 +12345)/ 65536, 32768),0)/32768),0))</f>
        <v>11</v>
      </c>
      <c r="N961" s="16" t="e">
        <f t="shared" ca="1" si="52"/>
        <v>#NAME?</v>
      </c>
      <c r="O961" s="153">
        <f ca="1">VLOOKUP($AB$2,'RF Mod'!$A$2:$G$12,5,FALSE)+VLOOKUP($AD$2,'RF Mod'!$I$2:$O$11,5,FALSE)+(TRUNC(6+(24-6)*(TRUNC(MOD(($Z961*1103515245 +12345)/ 65536, 32768),0)/32768),0))</f>
        <v>14</v>
      </c>
      <c r="P961" s="16" t="e">
        <f t="shared" ca="1" si="53"/>
        <v>#NAME?</v>
      </c>
      <c r="Q961" s="153">
        <f ca="1">VLOOKUP($AB$2,'RF Mod'!$A$2:$G$12,6,FALSE)+VLOOKUP($AD$2,'RF Mod'!$I$2:$O$11,6,FALSE)+(TRUNC(6+(24-6)*(TRUNC(MOD(($Z961*1103515245 +12345)/ 65536, 32768),0)/32768),0))</f>
        <v>12</v>
      </c>
      <c r="R961" s="16" t="e">
        <f t="shared" ca="1" si="54"/>
        <v>#NAME?</v>
      </c>
      <c r="S961" s="154">
        <f t="shared" ca="1" si="59"/>
        <v>160</v>
      </c>
      <c r="T961" s="154">
        <f t="shared" ca="1" si="55"/>
        <v>102</v>
      </c>
      <c r="U961" s="16" t="str">
        <f t="shared" ca="1" si="56"/>
        <v>Bloody</v>
      </c>
      <c r="V961" s="155">
        <f ca="1">IFERROR(__xludf.DUMMYFUNCTION("if(W961=""Middle Age"",QUERY(NPCVar!$K$2:$N1000, ""Select L where K = '""&amp;AB961&amp;""'""),if(W961=""Old"",QUERY(NPCVar!$K$2:$N1000, ""Select M where K = '""&amp;AB961&amp;""'""),if(W961=""Venerable"",QUERY(NPCVar!$K$2:$N1000, ""Select N where K = '""&amp;AB961&amp;""'""),fa"&amp;"lse)))*X961"),74.25)</f>
        <v>74.25</v>
      </c>
      <c r="W961" s="156" t="str">
        <f t="array" ref="W961">INDEX(NPCAgeType,TRUNC(1+(4-1)*(TRUNC(MOD((X961*1103515245 +12345)/ 65536, 32768),0)/32768),0))</f>
        <v>Old</v>
      </c>
      <c r="X961" s="117">
        <f t="shared" si="61"/>
        <v>1.1000000000000001</v>
      </c>
      <c r="Y961" s="157" t="e">
        <f t="array" aca="1" ref="Y961" ca="1">LOOKUP(ABS(MAX(Z961 + MIN(ABS(INDIRECT("Class Jobs!B"&amp;MATCH(E961,'Class Jobs'!$A$1:$A1000,0)&amp;":"&amp;"AF"&amp;MATCH(E961,'Class Jobs'!$A$1:$A1000,0)&amp;"")-$Z961)) * SUM(IF(MIN(ABS(INDIRECT("Class Jobs!B"&amp;MATCH(E961,'Class Jobs'!$A$1:$A1000,0)&amp;":"&amp;"AF"&amp;MATCH(E961,'Class Jobs'!$A$1:$A1000,0)&amp;"")-$Z961))=ABS(INDIRECT("Class Jobs!B"&amp;MATCH(E961,'Class Jobs'!$A$1:$A1000,0)&amp;":"&amp;"AF"&amp;MATCH(E961,'Class Jobs'!$A$1:$A1000,0)&amp;"")-$Z961),SIGN(INDIRECT("Class Jobs!B"&amp;MATCH(E961,'Class Jobs'!$A$1:A1000,0)&amp;":"&amp;"AF"&amp;MATCH(E961,'Class Jobs'!$A$1:$A1000,0)&amp;"")-$Z961),0)),0)),INDIRECT("Class Jobs!B"&amp;MATCH(E961,'Class Jobs'!$A$1:$A1000,0)&amp;":"&amp;"AF"&amp;MATCH(E961,'Class Jobs'!$A$1:$A1000,1)&amp;""),'Class Jobs'!$B$1:$AF$1)</f>
        <v>#REF!</v>
      </c>
      <c r="Z961" s="158">
        <f t="shared" si="57"/>
        <v>0.44</v>
      </c>
      <c r="AA961" s="16" t="str">
        <f t="array" ref="AA961">INDEX(NPCGender,TRUNC(1+(COUNTA(NPCGender))*(TRUNC(MOD(($B961*1103515245 +12345)/ 65536, 32768),0)/32768),0))</f>
        <v>Female</v>
      </c>
      <c r="AB961" s="16" t="str">
        <f t="array" ref="AB961">INDEX(NPCRace,TRUNC(1+(COUNTA(NPCRace))*(TRUNC(MOD(($B961*1103515245 +12345)/ 65536, 32768),0)/32768),0))</f>
        <v>Half-Elf</v>
      </c>
      <c r="AC961" s="16" t="str">
        <f t="array" ref="AC961">INDEX(NPCAL,TRUNC(1+(COUNTA(NPCAL))*(TRUNC(MOD(($B961*1103515245 +12345)/ 65536, 32768),0)/32768),0))</f>
        <v>NG</v>
      </c>
      <c r="AD961" s="72" t="str">
        <f ca="1">IFERROR(__xludf.DUMMYFUNCTION("if(V961&lt;15,QUERY(NPCVar!C:D,""Select D WHERE C = '""&amp;D961&amp;""'""),if((TRUNC(1+10)*(TRUNC(MOD((ROW(H961)*1103515245 +12345)/ 65536, 32768),0)/32768)/10) &gt; 0.85,INDEX(NPCFaction,TRUNC(1+(counta(NPCFaction)-1)*(TRUNC(MOD(($B961*1103515245 +12345)/ 65536, 3276"&amp;"8),0)/32768),0)),QUERY(NPCVar!C:D,""Select D WHERE C = '""&amp;D961&amp;""'"")))"),"Adventures Guild")</f>
        <v>Adventures Guild</v>
      </c>
      <c r="AE961" s="108" t="e">
        <f t="shared" ca="1" si="58"/>
        <v>#NAME?</v>
      </c>
      <c r="AF961" s="159">
        <f ca="1">IFERROR(__xludf.DUMMYFUNCTION("AE961*(V961 / QUERY(NPCVar!$K$2:$N$12, ""Select N WHERE K='""&amp;AB961&amp;""'""))*TRUNC(1+10)*(TRUNC(MOD(($B961*1103515245 +12345)/ 65536, 32768),0)/32768)"),0.802426300048828)</f>
        <v>0.80242630004882798</v>
      </c>
      <c r="AG961" s="16"/>
      <c r="AH961" s="77"/>
      <c r="AI961" s="114"/>
    </row>
    <row r="962" spans="1:35" ht="16.2">
      <c r="A962" s="53">
        <v>961</v>
      </c>
      <c r="B962" s="118">
        <f t="shared" ref="B962:B1000" si="64">(TRUNC(1+(250000-1)*(TRUNC(MOD(((Seed*ROW())*1103515245 +12345)/ 65536, 32768),0)/32768),0))/100000</f>
        <v>2.3544299999999998</v>
      </c>
      <c r="C962" s="72" t="str">
        <f t="array" ref="C962">INDEX(NPCFName,TRUNC(1+(COUNTA(NPCFName))*(TRUNC(MOD(($B962*1103515245 +12345)/ 65536, 32768),0)/32768),0))</f>
        <v>Nuthor</v>
      </c>
      <c r="D962" s="16" t="str">
        <f t="array" ref="D962">INDEX(NPCLName,TRUNC(1+(COUNTA(NPCLName))*(TRUNC(MOD(($B962*1103515245 +12345)/ 65536, 32768),0)/32768),0))</f>
        <v>Stillsun</v>
      </c>
      <c r="E962" s="16" t="str">
        <f t="array" ref="E962">INDEX(NPCClass,TRUNC(1+(COUNTA(NPCClass))*(TRUNC(MOD(($B962*1103515245 +12345)/ 65536, 32768),0)/32768),0))</f>
        <v>Druid</v>
      </c>
      <c r="F962" s="76">
        <v>1</v>
      </c>
      <c r="G962" s="153">
        <f ca="1">VLOOKUP($AB$2,'RF Mod'!$A$2:$G$12,2,FALSE)+VLOOKUP($AD$2,'RF Mod'!$I$2:$O$11,2,FALSE)+(TRUNC(6+(24-6)*(TRUNC(MOD(($Z962*1103515245 +12345)/ 65536, 32768),0)/32768),0))</f>
        <v>5</v>
      </c>
      <c r="H962" s="16">
        <f t="shared" ca="1" si="49"/>
        <v>-3</v>
      </c>
      <c r="I962" s="153">
        <f ca="1">VLOOKUP($AB$2,'RF Mod'!$A$2:$G$12,3,FALSE)+VLOOKUP($AD$2,'RF Mod'!$I$2:$O$11,3,FALSE)+(TRUNC(6+(24-6)*(TRUNC(MOD(($Z962*1103515245 +12345)/ 65536, 32768),0)/32768),0))</f>
        <v>9</v>
      </c>
      <c r="J962" s="16">
        <f t="shared" ca="1" si="50"/>
        <v>-1</v>
      </c>
      <c r="K962" s="153">
        <f ca="1">VLOOKUP($AB$2,'RF Mod'!$A$2:$G$12,3,FALSE)+VLOOKUP($AD$2,'RF Mod'!$I$2:$O$11,3,FALSE)+(TRUNC(6+(24-6)*(TRUNC(MOD(($Z962*1103515245 +12345)/ 65536, 32768),0)/32768),0))</f>
        <v>9</v>
      </c>
      <c r="L962" s="16">
        <f t="shared" ca="1" si="51"/>
        <v>-1</v>
      </c>
      <c r="M962" s="153">
        <f ca="1">VLOOKUP($AB$2,'RF Mod'!$A$2:$G$12,4,FALSE)+VLOOKUP($AD$2,'RF Mod'!$I$2:$O$11,4,FALSE)+(TRUNC(6+(24-6)*(TRUNC(MOD(($Z962*1103515245 +12345)/ 65536, 32768),0)/32768),0))</f>
        <v>8</v>
      </c>
      <c r="N962" s="16">
        <f t="shared" ca="1" si="52"/>
        <v>-1</v>
      </c>
      <c r="O962" s="153">
        <f ca="1">VLOOKUP($AB$2,'RF Mod'!$A$2:$G$12,5,FALSE)+VLOOKUP($AD$2,'RF Mod'!$I$2:$O$11,5,FALSE)+(TRUNC(6+(24-6)*(TRUNC(MOD(($Z962*1103515245 +12345)/ 65536, 32768),0)/32768),0))</f>
        <v>11</v>
      </c>
      <c r="P962" s="16" t="e">
        <f t="shared" ca="1" si="53"/>
        <v>#NAME?</v>
      </c>
      <c r="Q962" s="153">
        <f ca="1">VLOOKUP($AB$2,'RF Mod'!$A$2:$G$12,6,FALSE)+VLOOKUP($AD$2,'RF Mod'!$I$2:$O$11,6,FALSE)+(TRUNC(6+(24-6)*(TRUNC(MOD(($Z962*1103515245 +12345)/ 65536, 32768),0)/32768),0))</f>
        <v>9</v>
      </c>
      <c r="R962" s="16">
        <f t="shared" ca="1" si="54"/>
        <v>-1</v>
      </c>
      <c r="S962" s="154">
        <f t="shared" ca="1" si="59"/>
        <v>11</v>
      </c>
      <c r="T962" s="154">
        <f t="shared" ca="1" si="55"/>
        <v>3</v>
      </c>
      <c r="U962" s="16" t="str">
        <f t="shared" ca="1" si="56"/>
        <v>Fine</v>
      </c>
      <c r="V962" s="155">
        <f ca="1">IFERROR(__xludf.DUMMYFUNCTION("if(W962=""Middle Age"",QUERY(NPCVar!$K$2:$N1000, ""Select L where K = '""&amp;AB962&amp;""'""),if(W962=""Old"",QUERY(NPCVar!$K$2:$N1000, ""Select M where K = '""&amp;AB962&amp;""'""),if(W962=""Venerable"",QUERY(NPCVar!$K$2:$N1000, ""Select N where K = '""&amp;AB962&amp;""'""),fa"&amp;"lse)))*X962"),112.5)</f>
        <v>112.5</v>
      </c>
      <c r="W962" s="156" t="str">
        <f t="array" ref="W962">INDEX(NPCAgeType,TRUNC(1+(4-1)*(TRUNC(MOD((X962*1103515245 +12345)/ 65536, 32768),0)/32768),0))</f>
        <v>Middle Age</v>
      </c>
      <c r="X962" s="117">
        <f t="shared" si="61"/>
        <v>0.6</v>
      </c>
      <c r="Y962" s="157" t="e">
        <f t="array" aca="1" ref="Y962" ca="1">LOOKUP(ABS(MAX(Z962 + MIN(ABS(INDIRECT("Class Jobs!B"&amp;MATCH(E962,'Class Jobs'!$A$1:$A1000,0)&amp;":"&amp;"AF"&amp;MATCH(E962,'Class Jobs'!$A$1:$A1000,0)&amp;"")-$Z962)) * SUM(IF(MIN(ABS(INDIRECT("Class Jobs!B"&amp;MATCH(E962,'Class Jobs'!$A$1:$A1000,0)&amp;":"&amp;"AF"&amp;MATCH(E962,'Class Jobs'!$A$1:$A1000,0)&amp;"")-$Z962))=ABS(INDIRECT("Class Jobs!B"&amp;MATCH(E962,'Class Jobs'!$A$1:$A1000,0)&amp;":"&amp;"AF"&amp;MATCH(E962,'Class Jobs'!$A$1:$A1000,0)&amp;"")-$Z962),SIGN(INDIRECT("Class Jobs!B"&amp;MATCH(E962,'Class Jobs'!$A$1:A1000,0)&amp;":"&amp;"AF"&amp;MATCH(E962,'Class Jobs'!$A$1:$A1000,0)&amp;"")-$Z962),0)),0)),INDIRECT("Class Jobs!B"&amp;MATCH(E962,'Class Jobs'!$A$1:$A1000,0)&amp;":"&amp;"AF"&amp;MATCH(E962,'Class Jobs'!$A$1:$A1000,1)&amp;""),'Class Jobs'!$B$1:$AF$1)</f>
        <v>#REF!</v>
      </c>
      <c r="Z962" s="158">
        <f t="shared" si="57"/>
        <v>0.21</v>
      </c>
      <c r="AA962" s="16" t="str">
        <f t="array" ref="AA962">INDEX(NPCGender,TRUNC(1+(COUNTA(NPCGender))*(TRUNC(MOD(($B962*1103515245 +12345)/ 65536, 32768),0)/32768),0))</f>
        <v>Male</v>
      </c>
      <c r="AB962" s="16" t="str">
        <f t="array" ref="AB962">INDEX(NPCRace,TRUNC(1+(COUNTA(NPCRace))*(TRUNC(MOD(($B962*1103515245 +12345)/ 65536, 32768),0)/32768),0))</f>
        <v>Elf</v>
      </c>
      <c r="AC962" s="16" t="str">
        <f t="array" ref="AC962">INDEX(NPCAL,TRUNC(1+(COUNTA(NPCAL))*(TRUNC(MOD(($B962*1103515245 +12345)/ 65536, 32768),0)/32768),0))</f>
        <v>CE</v>
      </c>
      <c r="AD962" s="72" t="str">
        <f ca="1">IFERROR(__xludf.DUMMYFUNCTION("if(V962&lt;15,QUERY(NPCVar!C:D,""Select D WHERE C = '""&amp;D962&amp;""'""),if((TRUNC(1+10)*(TRUNC(MOD((ROW(H962)*1103515245 +12345)/ 65536, 32768),0)/32768)/10) &gt; 0.85,INDEX(NPCFaction,TRUNC(1+(counta(NPCFaction)-1)*(TRUNC(MOD(($B962*1103515245 +12345)/ 65536, 3276"&amp;"8),0)/32768),0)),QUERY(NPCVar!C:D,""Select D WHERE C = '""&amp;D962&amp;""'"")))"),"Necromancer")</f>
        <v>Necromancer</v>
      </c>
      <c r="AE962" s="108" t="e">
        <f t="shared" ca="1" si="58"/>
        <v>#NAME?</v>
      </c>
      <c r="AF962" s="159">
        <f ca="1">IFERROR(__xludf.DUMMYFUNCTION("AE962*(V962 / QUERY(NPCVar!$K$2:$N$12, ""Select N WHERE K='""&amp;AB962&amp;""'""))*TRUNC(1+10)*(TRUNC(MOD(($B962*1103515245 +12345)/ 65536, 32768),0)/32768)"),0.173117065429687)</f>
        <v>0.17311706542968699</v>
      </c>
      <c r="AG962" s="16"/>
      <c r="AH962" s="77"/>
      <c r="AI962" s="114"/>
    </row>
    <row r="963" spans="1:35" ht="16.2">
      <c r="A963" s="53">
        <v>962</v>
      </c>
      <c r="B963" s="118">
        <f t="shared" si="64"/>
        <v>1.34857</v>
      </c>
      <c r="C963" s="72" t="str">
        <f t="array" ref="C963">INDEX(NPCFName,TRUNC(1+(COUNTA(NPCFName))*(TRUNC(MOD(($B963*1103515245 +12345)/ 65536, 32768),0)/32768),0))</f>
        <v>Beck</v>
      </c>
      <c r="D963" s="16" t="str">
        <f t="array" ref="D963">INDEX(NPCLName,TRUNC(1+(COUNTA(NPCLName))*(TRUNC(MOD(($B963*1103515245 +12345)/ 65536, 32768),0)/32768),0))</f>
        <v>Emberhell</v>
      </c>
      <c r="E963" s="16" t="str">
        <f t="array" ref="E963">INDEX(NPCClass,TRUNC(1+(COUNTA(NPCClass))*(TRUNC(MOD(($B963*1103515245 +12345)/ 65536, 32768),0)/32768),0))</f>
        <v>None</v>
      </c>
      <c r="F963" s="76">
        <v>8</v>
      </c>
      <c r="G963" s="153">
        <f ca="1">VLOOKUP($AB$2,'RF Mod'!$A$2:$G$12,2,FALSE)+VLOOKUP($AD$2,'RF Mod'!$I$2:$O$11,2,FALSE)+(TRUNC(6+(24-6)*(TRUNC(MOD(($Z963*1103515245 +12345)/ 65536, 32768),0)/32768),0))</f>
        <v>10</v>
      </c>
      <c r="H963" s="16" t="e">
        <f t="shared" ca="1" si="49"/>
        <v>#NAME?</v>
      </c>
      <c r="I963" s="153">
        <f ca="1">VLOOKUP($AB$2,'RF Mod'!$A$2:$G$12,3,FALSE)+VLOOKUP($AD$2,'RF Mod'!$I$2:$O$11,3,FALSE)+(TRUNC(6+(24-6)*(TRUNC(MOD(($Z963*1103515245 +12345)/ 65536, 32768),0)/32768),0))</f>
        <v>14</v>
      </c>
      <c r="J963" s="16" t="e">
        <f t="shared" ca="1" si="50"/>
        <v>#NAME?</v>
      </c>
      <c r="K963" s="153">
        <f ca="1">VLOOKUP($AB$2,'RF Mod'!$A$2:$G$12,3,FALSE)+VLOOKUP($AD$2,'RF Mod'!$I$2:$O$11,3,FALSE)+(TRUNC(6+(24-6)*(TRUNC(MOD(($Z963*1103515245 +12345)/ 65536, 32768),0)/32768),0))</f>
        <v>14</v>
      </c>
      <c r="L963" s="16" t="e">
        <f t="shared" ca="1" si="51"/>
        <v>#NAME?</v>
      </c>
      <c r="M963" s="153">
        <f ca="1">VLOOKUP($AB$2,'RF Mod'!$A$2:$G$12,4,FALSE)+VLOOKUP($AD$2,'RF Mod'!$I$2:$O$11,4,FALSE)+(TRUNC(6+(24-6)*(TRUNC(MOD(($Z963*1103515245 +12345)/ 65536, 32768),0)/32768),0))</f>
        <v>13</v>
      </c>
      <c r="N963" s="16" t="e">
        <f t="shared" ca="1" si="52"/>
        <v>#NAME?</v>
      </c>
      <c r="O963" s="153">
        <f ca="1">VLOOKUP($AB$2,'RF Mod'!$A$2:$G$12,5,FALSE)+VLOOKUP($AD$2,'RF Mod'!$I$2:$O$11,5,FALSE)+(TRUNC(6+(24-6)*(TRUNC(MOD(($Z963*1103515245 +12345)/ 65536, 32768),0)/32768),0))</f>
        <v>16</v>
      </c>
      <c r="P963" s="16" t="e">
        <f t="shared" ca="1" si="53"/>
        <v>#NAME?</v>
      </c>
      <c r="Q963" s="153">
        <f ca="1">VLOOKUP($AB$2,'RF Mod'!$A$2:$G$12,6,FALSE)+VLOOKUP($AD$2,'RF Mod'!$I$2:$O$11,6,FALSE)+(TRUNC(6+(24-6)*(TRUNC(MOD(($Z963*1103515245 +12345)/ 65536, 32768),0)/32768),0))</f>
        <v>14</v>
      </c>
      <c r="R963" s="16" t="e">
        <f t="shared" ca="1" si="54"/>
        <v>#NAME?</v>
      </c>
      <c r="S963" s="154">
        <f t="shared" ca="1" si="59"/>
        <v>160</v>
      </c>
      <c r="T963" s="154">
        <f t="shared" ca="1" si="55"/>
        <v>3</v>
      </c>
      <c r="U963" s="16" t="str">
        <f t="shared" ca="1" si="56"/>
        <v>Fine</v>
      </c>
      <c r="V963" s="155">
        <f ca="1">IFERROR(__xludf.DUMMYFUNCTION("if(W963=""Middle Age"",QUERY(NPCVar!$K$2:$N1000, ""Select L where K = '""&amp;AB963&amp;""'""),if(W963=""Old"",QUERY(NPCVar!$K$2:$N1000, ""Select M where K = '""&amp;AB963&amp;""'""),if(W963=""Venerable"",QUERY(NPCVar!$K$2:$N1000, ""Select N where K = '""&amp;AB963&amp;""'""),fa"&amp;"lse)))*X963"),153)</f>
        <v>153</v>
      </c>
      <c r="W963" s="156" t="str">
        <f t="array" ref="W963">INDEX(NPCAgeType,TRUNC(1+(4-1)*(TRUNC(MOD((X963*1103515245 +12345)/ 65536, 32768),0)/32768),0))</f>
        <v>Venerable</v>
      </c>
      <c r="X963" s="117">
        <f t="shared" si="61"/>
        <v>1.7</v>
      </c>
      <c r="Y963" s="157" t="e">
        <f t="array" aca="1" ref="Y963" ca="1">LOOKUP(ABS(MAX(Z963 + MIN(ABS(INDIRECT("Class Jobs!B"&amp;MATCH(E963,'Class Jobs'!$A$1:$A1000,0)&amp;":"&amp;"AF"&amp;MATCH(E963,'Class Jobs'!$A$1:$A1000,0)&amp;"")-$Z963)) * SUM(IF(MIN(ABS(INDIRECT("Class Jobs!B"&amp;MATCH(E963,'Class Jobs'!$A$1:$A1000,0)&amp;":"&amp;"AF"&amp;MATCH(E963,'Class Jobs'!$A$1:$A1000,0)&amp;"")-$Z963))=ABS(INDIRECT("Class Jobs!B"&amp;MATCH(E963,'Class Jobs'!$A$1:$A1000,0)&amp;":"&amp;"AF"&amp;MATCH(E963,'Class Jobs'!$A$1:$A1000,0)&amp;"")-$Z963),SIGN(INDIRECT("Class Jobs!B"&amp;MATCH(E963,'Class Jobs'!$A$1:A1000,0)&amp;":"&amp;"AF"&amp;MATCH(E963,'Class Jobs'!$A$1:$A1000,0)&amp;"")-$Z963),0)),0)),INDIRECT("Class Jobs!B"&amp;MATCH(E963,'Class Jobs'!$A$1:$A1000,0)&amp;":"&amp;"AF"&amp;MATCH(E963,'Class Jobs'!$A$1:$A1000,1)&amp;""),'Class Jobs'!$B$1:$AF$1)</f>
        <v>#REF!</v>
      </c>
      <c r="Z963" s="158">
        <f t="shared" si="57"/>
        <v>0.69</v>
      </c>
      <c r="AA963" s="16" t="str">
        <f t="array" ref="AA963">INDEX(NPCGender,TRUNC(1+(COUNTA(NPCGender))*(TRUNC(MOD(($B963*1103515245 +12345)/ 65536, 32768),0)/32768),0))</f>
        <v>Neutral</v>
      </c>
      <c r="AB963" s="16" t="str">
        <f t="array" ref="AB963">INDEX(NPCRace,TRUNC(1+(COUNTA(NPCRace))*(TRUNC(MOD(($B963*1103515245 +12345)/ 65536, 32768),0)/32768),0))</f>
        <v>Human</v>
      </c>
      <c r="AC963" s="16" t="str">
        <f t="array" ref="AC963">INDEX(NPCAL,TRUNC(1+(COUNTA(NPCAL))*(TRUNC(MOD(($B963*1103515245 +12345)/ 65536, 32768),0)/32768),0))</f>
        <v>LG</v>
      </c>
      <c r="AD963" s="72" t="str">
        <f ca="1">IFERROR(__xludf.DUMMYFUNCTION("if(V963&lt;15,QUERY(NPCVar!C:D,""Select D WHERE C = '""&amp;D963&amp;""'""),if((TRUNC(1+10)*(TRUNC(MOD((ROW(H963)*1103515245 +12345)/ 65536, 32768),0)/32768)/10) &gt; 0.85,INDEX(NPCFaction,TRUNC(1+(counta(NPCFaction)-1)*(TRUNC(MOD(($B963*1103515245 +12345)/ 65536, 3276"&amp;"8),0)/32768),0)),QUERY(NPCVar!C:D,""Select D WHERE C = '""&amp;D963&amp;""'"")))"),"Magic Guild")</f>
        <v>Magic Guild</v>
      </c>
      <c r="AE963" s="108" t="e">
        <f t="shared" ca="1" si="58"/>
        <v>#NAME?</v>
      </c>
      <c r="AF963" s="159">
        <f ca="1">IFERROR(__xludf.DUMMYFUNCTION("AE963*(V963 / QUERY(NPCVar!$K$2:$N$12, ""Select N WHERE K='""&amp;AB963&amp;""'""))*TRUNC(1+10)*(TRUNC(MOD(($B963*1103515245 +12345)/ 65536, 32768),0)/32768)"),6.4792007446289)</f>
        <v>6.4792007446289004</v>
      </c>
      <c r="AG963" s="16"/>
      <c r="AH963" s="77"/>
      <c r="AI963" s="114"/>
    </row>
    <row r="964" spans="1:35" ht="16.2">
      <c r="A964" s="53">
        <v>963</v>
      </c>
      <c r="B964" s="118">
        <f t="shared" si="64"/>
        <v>0.34272000000000002</v>
      </c>
      <c r="C964" s="72" t="str">
        <f t="array" ref="C964">INDEX(NPCFName,TRUNC(1+(COUNTA(NPCFName))*(TRUNC(MOD(($B964*1103515245 +12345)/ 65536, 32768),0)/32768),0))</f>
        <v>Liphanes</v>
      </c>
      <c r="D964" s="16" t="str">
        <f t="array" ref="D964">INDEX(NPCLName,TRUNC(1+(COUNTA(NPCLName))*(TRUNC(MOD(($B964*1103515245 +12345)/ 65536, 32768),0)/32768),0))</f>
        <v>Ashcloud</v>
      </c>
      <c r="E964" s="16" t="str">
        <f t="array" ref="E964">INDEX(NPCClass,TRUNC(1+(COUNTA(NPCClass))*(TRUNC(MOD(($B964*1103515245 +12345)/ 65536, 32768),0)/32768),0))</f>
        <v>Druid</v>
      </c>
      <c r="F964" s="76">
        <v>1</v>
      </c>
      <c r="G964" s="153">
        <f ca="1">VLOOKUP($AB$2,'RF Mod'!$A$2:$G$12,2,FALSE)+VLOOKUP($AD$2,'RF Mod'!$I$2:$O$11,2,FALSE)+(TRUNC(6+(24-6)*(TRUNC(MOD(($Z964*1103515245 +12345)/ 65536, 32768),0)/32768),0))</f>
        <v>5</v>
      </c>
      <c r="H964" s="16">
        <f t="shared" ca="1" si="49"/>
        <v>-3</v>
      </c>
      <c r="I964" s="153">
        <f ca="1">VLOOKUP($AB$2,'RF Mod'!$A$2:$G$12,3,FALSE)+VLOOKUP($AD$2,'RF Mod'!$I$2:$O$11,3,FALSE)+(TRUNC(6+(24-6)*(TRUNC(MOD(($Z964*1103515245 +12345)/ 65536, 32768),0)/32768),0))</f>
        <v>9</v>
      </c>
      <c r="J964" s="16">
        <f t="shared" ca="1" si="50"/>
        <v>-1</v>
      </c>
      <c r="K964" s="153">
        <f ca="1">VLOOKUP($AB$2,'RF Mod'!$A$2:$G$12,3,FALSE)+VLOOKUP($AD$2,'RF Mod'!$I$2:$O$11,3,FALSE)+(TRUNC(6+(24-6)*(TRUNC(MOD(($Z964*1103515245 +12345)/ 65536, 32768),0)/32768),0))</f>
        <v>9</v>
      </c>
      <c r="L964" s="16">
        <f t="shared" ca="1" si="51"/>
        <v>-1</v>
      </c>
      <c r="M964" s="153">
        <f ca="1">VLOOKUP($AB$2,'RF Mod'!$A$2:$G$12,4,FALSE)+VLOOKUP($AD$2,'RF Mod'!$I$2:$O$11,4,FALSE)+(TRUNC(6+(24-6)*(TRUNC(MOD(($Z964*1103515245 +12345)/ 65536, 32768),0)/32768),0))</f>
        <v>8</v>
      </c>
      <c r="N964" s="16">
        <f t="shared" ca="1" si="52"/>
        <v>-1</v>
      </c>
      <c r="O964" s="153">
        <f ca="1">VLOOKUP($AB$2,'RF Mod'!$A$2:$G$12,5,FALSE)+VLOOKUP($AD$2,'RF Mod'!$I$2:$O$11,5,FALSE)+(TRUNC(6+(24-6)*(TRUNC(MOD(($Z964*1103515245 +12345)/ 65536, 32768),0)/32768),0))</f>
        <v>11</v>
      </c>
      <c r="P964" s="16" t="e">
        <f t="shared" ca="1" si="53"/>
        <v>#NAME?</v>
      </c>
      <c r="Q964" s="153">
        <f ca="1">VLOOKUP($AB$2,'RF Mod'!$A$2:$G$12,6,FALSE)+VLOOKUP($AD$2,'RF Mod'!$I$2:$O$11,6,FALSE)+(TRUNC(6+(24-6)*(TRUNC(MOD(($Z964*1103515245 +12345)/ 65536, 32768),0)/32768),0))</f>
        <v>9</v>
      </c>
      <c r="R964" s="16">
        <f t="shared" ca="1" si="54"/>
        <v>-1</v>
      </c>
      <c r="S964" s="154">
        <f t="shared" ca="1" si="59"/>
        <v>11</v>
      </c>
      <c r="T964" s="154">
        <f t="shared" ca="1" si="55"/>
        <v>10</v>
      </c>
      <c r="U964" s="16" t="str">
        <f t="shared" ca="1" si="56"/>
        <v>Bloody</v>
      </c>
      <c r="V964" s="155">
        <f ca="1">IFERROR(__xludf.DUMMYFUNCTION("if(W964=""Middle Age"",QUERY(NPCVar!$K$2:$N1000, ""Select L where K = '""&amp;AB964&amp;""'""),if(W964=""Old"",QUERY(NPCVar!$K$2:$N1000, ""Select M where K = '""&amp;AB964&amp;""'""),if(W964=""Venerable"",QUERY(NPCVar!$K$2:$N1000, ""Select N where K = '""&amp;AB964&amp;""'""),fa"&amp;"lse)))*X964"),40)</f>
        <v>40</v>
      </c>
      <c r="W964" s="156" t="str">
        <f t="array" ref="W964">INDEX(NPCAgeType,TRUNC(1+(4-1)*(TRUNC(MOD((X964*1103515245 +12345)/ 65536, 32768),0)/32768),0))</f>
        <v>Middle Age</v>
      </c>
      <c r="X964" s="117">
        <f t="shared" si="61"/>
        <v>0.5</v>
      </c>
      <c r="Y964" s="157" t="e">
        <f t="array" aca="1" ref="Y964" ca="1">LOOKUP(ABS(MAX(Z964 + MIN(ABS(INDIRECT("Class Jobs!B"&amp;MATCH(E964,'Class Jobs'!$A$1:$A1000,0)&amp;":"&amp;"AF"&amp;MATCH(E964,'Class Jobs'!$A$1:$A1000,0)&amp;"")-$Z964)) * SUM(IF(MIN(ABS(INDIRECT("Class Jobs!B"&amp;MATCH(E964,'Class Jobs'!$A$1:$A1000,0)&amp;":"&amp;"AF"&amp;MATCH(E964,'Class Jobs'!$A$1:$A1000,0)&amp;"")-$Z964))=ABS(INDIRECT("Class Jobs!B"&amp;MATCH(E964,'Class Jobs'!$A$1:$A1000,0)&amp;":"&amp;"AF"&amp;MATCH(E964,'Class Jobs'!$A$1:$A1000,0)&amp;"")-$Z964),SIGN(INDIRECT("Class Jobs!B"&amp;MATCH(E964,'Class Jobs'!$A$1:A1000,0)&amp;":"&amp;"AF"&amp;MATCH(E964,'Class Jobs'!$A$1:$A1000,0)&amp;"")-$Z964),0)),0)),INDIRECT("Class Jobs!B"&amp;MATCH(E964,'Class Jobs'!$A$1:$A1000,0)&amp;":"&amp;"AF"&amp;MATCH(E964,'Class Jobs'!$A$1:$A1000,1)&amp;""),'Class Jobs'!$B$1:$AF$1)</f>
        <v>#REF!</v>
      </c>
      <c r="Z964" s="158">
        <f t="shared" si="57"/>
        <v>0.18</v>
      </c>
      <c r="AA964" s="16" t="str">
        <f t="array" ref="AA964">INDEX(NPCGender,TRUNC(1+(COUNTA(NPCGender))*(TRUNC(MOD(($B964*1103515245 +12345)/ 65536, 32768),0)/32768),0))</f>
        <v>Male</v>
      </c>
      <c r="AB964" s="16" t="str">
        <f t="array" ref="AB964">INDEX(NPCRace,TRUNC(1+(COUNTA(NPCRace))*(TRUNC(MOD(($B964*1103515245 +12345)/ 65536, 32768),0)/32768),0))</f>
        <v>Dwarf</v>
      </c>
      <c r="AC964" s="16" t="str">
        <f t="array" ref="AC964">INDEX(NPCAL,TRUNC(1+(COUNTA(NPCAL))*(TRUNC(MOD(($B964*1103515245 +12345)/ 65536, 32768),0)/32768),0))</f>
        <v>CE</v>
      </c>
      <c r="AD964" s="72" t="str">
        <f ca="1">IFERROR(__xludf.DUMMYFUNCTION("if(V964&lt;15,QUERY(NPCVar!C:D,""Select D WHERE C = '""&amp;D964&amp;""'""),if((TRUNC(1+10)*(TRUNC(MOD((ROW(H964)*1103515245 +12345)/ 65536, 32768),0)/32768)/10) &gt; 0.85,INDEX(NPCFaction,TRUNC(1+(counta(NPCFaction)-1)*(TRUNC(MOD(($B964*1103515245 +12345)/ 65536, 3276"&amp;"8),0)/32768),0)),QUERY(NPCVar!C:D,""Select D WHERE C = '""&amp;D964&amp;""'"")))"),"Magic Guild")</f>
        <v>Magic Guild</v>
      </c>
      <c r="AE964" s="108" t="e">
        <f t="shared" ca="1" si="58"/>
        <v>#NAME?</v>
      </c>
      <c r="AF964" s="159">
        <f ca="1">IFERROR(__xludf.DUMMYFUNCTION("AE964*(V964 / QUERY(NPCVar!$K$2:$N$12, ""Select N WHERE K='""&amp;AB964&amp;""'""))*TRUNC(1+10)*(TRUNC(MOD(($B964*1103515245 +12345)/ 65536, 32768),0)/32768)"),0.12108039855957)</f>
        <v>0.12108039855956999</v>
      </c>
      <c r="AG964" s="16"/>
      <c r="AH964" s="77"/>
      <c r="AI964" s="114"/>
    </row>
    <row r="965" spans="1:35" ht="16.2">
      <c r="A965" s="53">
        <v>964</v>
      </c>
      <c r="B965" s="118">
        <f t="shared" si="64"/>
        <v>1.8368500000000001</v>
      </c>
      <c r="C965" s="72" t="str">
        <f t="array" ref="C965">INDEX(NPCFName,TRUNC(1+(COUNTA(NPCFName))*(TRUNC(MOD(($B965*1103515245 +12345)/ 65536, 32768),0)/32768),0))</f>
        <v>Sythril</v>
      </c>
      <c r="D965" s="16" t="str">
        <f t="array" ref="D965">INDEX(NPCLName,TRUNC(1+(COUNTA(NPCLName))*(TRUNC(MOD(($B965*1103515245 +12345)/ 65536, 32768),0)/32768),0))</f>
        <v>Marblearm</v>
      </c>
      <c r="E965" s="16" t="str">
        <f t="array" ref="E965">INDEX(NPCClass,TRUNC(1+(COUNTA(NPCClass))*(TRUNC(MOD(($B965*1103515245 +12345)/ 65536, 32768),0)/32768),0))</f>
        <v>Wizard</v>
      </c>
      <c r="F965" s="76">
        <v>8</v>
      </c>
      <c r="G965" s="153">
        <f ca="1">VLOOKUP($AB$2,'RF Mod'!$A$2:$G$12,2,FALSE)+VLOOKUP($AD$2,'RF Mod'!$I$2:$O$11,2,FALSE)+(TRUNC(6+(24-6)*(TRUNC(MOD(($Z965*1103515245 +12345)/ 65536, 32768),0)/32768),0))</f>
        <v>12</v>
      </c>
      <c r="H965" s="16" t="e">
        <f t="shared" ca="1" si="49"/>
        <v>#NAME?</v>
      </c>
      <c r="I965" s="153">
        <f ca="1">VLOOKUP($AB$2,'RF Mod'!$A$2:$G$12,3,FALSE)+VLOOKUP($AD$2,'RF Mod'!$I$2:$O$11,3,FALSE)+(TRUNC(6+(24-6)*(TRUNC(MOD(($Z965*1103515245 +12345)/ 65536, 32768),0)/32768),0))</f>
        <v>16</v>
      </c>
      <c r="J965" s="16" t="e">
        <f t="shared" ca="1" si="50"/>
        <v>#NAME?</v>
      </c>
      <c r="K965" s="153">
        <f ca="1">VLOOKUP($AB$2,'RF Mod'!$A$2:$G$12,3,FALSE)+VLOOKUP($AD$2,'RF Mod'!$I$2:$O$11,3,FALSE)+(TRUNC(6+(24-6)*(TRUNC(MOD(($Z965*1103515245 +12345)/ 65536, 32768),0)/32768),0))</f>
        <v>16</v>
      </c>
      <c r="L965" s="16" t="e">
        <f t="shared" ca="1" si="51"/>
        <v>#NAME?</v>
      </c>
      <c r="M965" s="153">
        <f ca="1">VLOOKUP($AB$2,'RF Mod'!$A$2:$G$12,4,FALSE)+VLOOKUP($AD$2,'RF Mod'!$I$2:$O$11,4,FALSE)+(TRUNC(6+(24-6)*(TRUNC(MOD(($Z965*1103515245 +12345)/ 65536, 32768),0)/32768),0))</f>
        <v>15</v>
      </c>
      <c r="N965" s="16" t="e">
        <f t="shared" ca="1" si="52"/>
        <v>#NAME?</v>
      </c>
      <c r="O965" s="153">
        <f ca="1">VLOOKUP($AB$2,'RF Mod'!$A$2:$G$12,5,FALSE)+VLOOKUP($AD$2,'RF Mod'!$I$2:$O$11,5,FALSE)+(TRUNC(6+(24-6)*(TRUNC(MOD(($Z965*1103515245 +12345)/ 65536, 32768),0)/32768),0))</f>
        <v>18</v>
      </c>
      <c r="P965" s="16" t="e">
        <f t="shared" ca="1" si="53"/>
        <v>#NAME?</v>
      </c>
      <c r="Q965" s="153">
        <f ca="1">VLOOKUP($AB$2,'RF Mod'!$A$2:$G$12,6,FALSE)+VLOOKUP($AD$2,'RF Mod'!$I$2:$O$11,6,FALSE)+(TRUNC(6+(24-6)*(TRUNC(MOD(($Z965*1103515245 +12345)/ 65536, 32768),0)/32768),0))</f>
        <v>16</v>
      </c>
      <c r="R965" s="16" t="e">
        <f t="shared" ca="1" si="54"/>
        <v>#NAME?</v>
      </c>
      <c r="S965" s="154">
        <f t="shared" ca="1" si="59"/>
        <v>208</v>
      </c>
      <c r="T965" s="154">
        <f t="shared" ca="1" si="55"/>
        <v>17</v>
      </c>
      <c r="U965" s="16" t="str">
        <f t="shared" ca="1" si="56"/>
        <v>Fine</v>
      </c>
      <c r="V965" s="155">
        <f ca="1">IFERROR(__xludf.DUMMYFUNCTION("if(W965=""Middle Age"",QUERY(NPCVar!$K$2:$N1000, ""Select L where K = '""&amp;AB965&amp;""'""),if(W965=""Old"",QUERY(NPCVar!$K$2:$N1000, ""Select M where K = '""&amp;AB965&amp;""'""),if(W965=""Venerable"",QUERY(NPCVar!$K$2:$N1000, ""Select N where K = '""&amp;AB965&amp;""'""),fa"&amp;"lse)))*X965"),69)</f>
        <v>69</v>
      </c>
      <c r="W965" s="156" t="str">
        <f t="array" ref="W965">INDEX(NPCAgeType,TRUNC(1+(4-1)*(TRUNC(MOD((X965*1103515245 +12345)/ 65536, 32768),0)/32768),0))</f>
        <v>Middle Age</v>
      </c>
      <c r="X965" s="117">
        <f t="shared" si="61"/>
        <v>2.2999999999999998</v>
      </c>
      <c r="Y965" s="157" t="e">
        <f t="array" aca="1" ref="Y965" ca="1">LOOKUP(ABS(MAX(Z965 + MIN(ABS(INDIRECT("Class Jobs!B"&amp;MATCH(E965,'Class Jobs'!$A$1:$A1000,0)&amp;":"&amp;"AF"&amp;MATCH(E965,'Class Jobs'!$A$1:$A1000,0)&amp;"")-$Z965)) * SUM(IF(MIN(ABS(INDIRECT("Class Jobs!B"&amp;MATCH(E965,'Class Jobs'!$A$1:$A1000,0)&amp;":"&amp;"AF"&amp;MATCH(E965,'Class Jobs'!$A$1:$A1000,0)&amp;"")-$Z965))=ABS(INDIRECT("Class Jobs!B"&amp;MATCH(E965,'Class Jobs'!$A$1:$A1000,0)&amp;":"&amp;"AF"&amp;MATCH(E965,'Class Jobs'!$A$1:$A1000,0)&amp;"")-$Z965),SIGN(INDIRECT("Class Jobs!B"&amp;MATCH(E965,'Class Jobs'!$A$1:A1000,0)&amp;":"&amp;"AF"&amp;MATCH(E965,'Class Jobs'!$A$1:$A1000,0)&amp;"")-$Z965),0)),0)),INDIRECT("Class Jobs!B"&amp;MATCH(E965,'Class Jobs'!$A$1:$A1000,0)&amp;":"&amp;"AF"&amp;MATCH(E965,'Class Jobs'!$A$1:$A1000,1)&amp;""),'Class Jobs'!$B$1:$AF$1)</f>
        <v>#REF!</v>
      </c>
      <c r="Z965" s="158">
        <f t="shared" si="57"/>
        <v>0.94</v>
      </c>
      <c r="AA965" s="16" t="str">
        <f t="array" ref="AA965">INDEX(NPCGender,TRUNC(1+(COUNTA(NPCGender))*(TRUNC(MOD(($B965*1103515245 +12345)/ 65536, 32768),0)/32768),0))</f>
        <v>Neutral</v>
      </c>
      <c r="AB965" s="16" t="str">
        <f t="array" ref="AB965">INDEX(NPCRace,TRUNC(1+(COUNTA(NPCRace))*(TRUNC(MOD(($B965*1103515245 +12345)/ 65536, 32768),0)/32768),0))</f>
        <v>Goliath</v>
      </c>
      <c r="AC965" s="16" t="str">
        <f t="array" ref="AC965">INDEX(NPCAL,TRUNC(1+(COUNTA(NPCAL))*(TRUNC(MOD(($B965*1103515245 +12345)/ 65536, 32768),0)/32768),0))</f>
        <v>LE</v>
      </c>
      <c r="AD965" s="72" t="str">
        <f ca="1">IFERROR(__xludf.DUMMYFUNCTION("if(V965&lt;15,QUERY(NPCVar!C:D,""Select D WHERE C = '""&amp;D965&amp;""'""),if((TRUNC(1+10)*(TRUNC(MOD((ROW(H965)*1103515245 +12345)/ 65536, 32768),0)/32768)/10) &gt; 0.85,INDEX(NPCFaction,TRUNC(1+(counta(NPCFaction)-1)*(TRUNC(MOD(($B965*1103515245 +12345)/ 65536, 3276"&amp;"8),0)/32768),0)),QUERY(NPCVar!C:D,""Select D WHERE C = '""&amp;D965&amp;""'"")))"),"Traverlers Guild")</f>
        <v>Traverlers Guild</v>
      </c>
      <c r="AE965" s="108" t="e">
        <f t="shared" ca="1" si="58"/>
        <v>#NAME?</v>
      </c>
      <c r="AF965" s="159">
        <f ca="1">IFERROR(__xludf.DUMMYFUNCTION("AE965*(V965 / QUERY(NPCVar!$K$2:$N$12, ""Select N WHERE K='""&amp;AB965&amp;""'""))*TRUNC(1+10)*(TRUNC(MOD(($B965*1103515245 +12345)/ 65536, 32768),0)/32768)"),2.98501472473144)</f>
        <v>2.9850147247314398</v>
      </c>
      <c r="AG965" s="16"/>
      <c r="AH965" s="77"/>
      <c r="AI965" s="114"/>
    </row>
    <row r="966" spans="1:35" ht="16.2">
      <c r="A966" s="53">
        <v>965</v>
      </c>
      <c r="B966" s="118">
        <f t="shared" si="64"/>
        <v>0.83099999999999996</v>
      </c>
      <c r="C966" s="72" t="str">
        <f t="array" ref="C966">INDEX(NPCFName,TRUNC(1+(COUNTA(NPCFName))*(TRUNC(MOD(($B966*1103515245 +12345)/ 65536, 32768),0)/32768),0))</f>
        <v>Enidin</v>
      </c>
      <c r="D966" s="16" t="str">
        <f t="array" ref="D966">INDEX(NPCLName,TRUNC(1+(COUNTA(NPCLName))*(TRUNC(MOD(($B966*1103515245 +12345)/ 65536, 32768),0)/32768),0))</f>
        <v>Windshade</v>
      </c>
      <c r="E966" s="16" t="str">
        <f t="array" ref="E966">INDEX(NPCClass,TRUNC(1+(COUNTA(NPCClass))*(TRUNC(MOD(($B966*1103515245 +12345)/ 65536, 32768),0)/32768),0))</f>
        <v>Ranger</v>
      </c>
      <c r="F966" s="76">
        <v>6</v>
      </c>
      <c r="G966" s="153">
        <f ca="1">VLOOKUP($AB$2,'RF Mod'!$A$2:$G$12,2,FALSE)+VLOOKUP($AD$2,'RF Mod'!$I$2:$O$11,2,FALSE)+(TRUNC(6+(24-6)*(TRUNC(MOD(($Z966*1103515245 +12345)/ 65536, 32768),0)/32768),0))</f>
        <v>7</v>
      </c>
      <c r="H966" s="16">
        <f t="shared" ca="1" si="49"/>
        <v>-2</v>
      </c>
      <c r="I966" s="153">
        <f ca="1">VLOOKUP($AB$2,'RF Mod'!$A$2:$G$12,3,FALSE)+VLOOKUP($AD$2,'RF Mod'!$I$2:$O$11,3,FALSE)+(TRUNC(6+(24-6)*(TRUNC(MOD(($Z966*1103515245 +12345)/ 65536, 32768),0)/32768),0))</f>
        <v>11</v>
      </c>
      <c r="J966" s="16" t="e">
        <f t="shared" ca="1" si="50"/>
        <v>#NAME?</v>
      </c>
      <c r="K966" s="153">
        <f ca="1">VLOOKUP($AB$2,'RF Mod'!$A$2:$G$12,3,FALSE)+VLOOKUP($AD$2,'RF Mod'!$I$2:$O$11,3,FALSE)+(TRUNC(6+(24-6)*(TRUNC(MOD(($Z966*1103515245 +12345)/ 65536, 32768),0)/32768),0))</f>
        <v>11</v>
      </c>
      <c r="L966" s="16" t="e">
        <f t="shared" ca="1" si="51"/>
        <v>#NAME?</v>
      </c>
      <c r="M966" s="153">
        <f ca="1">VLOOKUP($AB$2,'RF Mod'!$A$2:$G$12,4,FALSE)+VLOOKUP($AD$2,'RF Mod'!$I$2:$O$11,4,FALSE)+(TRUNC(6+(24-6)*(TRUNC(MOD(($Z966*1103515245 +12345)/ 65536, 32768),0)/32768),0))</f>
        <v>10</v>
      </c>
      <c r="N966" s="16" t="e">
        <f t="shared" ca="1" si="52"/>
        <v>#NAME?</v>
      </c>
      <c r="O966" s="153">
        <f ca="1">VLOOKUP($AB$2,'RF Mod'!$A$2:$G$12,5,FALSE)+VLOOKUP($AD$2,'RF Mod'!$I$2:$O$11,5,FALSE)+(TRUNC(6+(24-6)*(TRUNC(MOD(($Z966*1103515245 +12345)/ 65536, 32768),0)/32768),0))</f>
        <v>13</v>
      </c>
      <c r="P966" s="16" t="e">
        <f t="shared" ca="1" si="53"/>
        <v>#NAME?</v>
      </c>
      <c r="Q966" s="153">
        <f ca="1">VLOOKUP($AB$2,'RF Mod'!$A$2:$G$12,6,FALSE)+VLOOKUP($AD$2,'RF Mod'!$I$2:$O$11,6,FALSE)+(TRUNC(6+(24-6)*(TRUNC(MOD(($Z966*1103515245 +12345)/ 65536, 32768),0)/32768),0))</f>
        <v>11</v>
      </c>
      <c r="R966" s="16" t="e">
        <f t="shared" ca="1" si="54"/>
        <v>#NAME?</v>
      </c>
      <c r="S966" s="154">
        <f t="shared" ca="1" si="59"/>
        <v>150</v>
      </c>
      <c r="T966" s="154">
        <f t="shared" ca="1" si="55"/>
        <v>99</v>
      </c>
      <c r="U966" s="16" t="str">
        <f t="shared" ca="1" si="56"/>
        <v>Bloody</v>
      </c>
      <c r="V966" s="155">
        <f ca="1">IFERROR(__xludf.DUMMYFUNCTION("if(W966=""Middle Age"",QUERY(NPCVar!$K$2:$N1000, ""Select L where K = '""&amp;AB966&amp;""'""),if(W966=""Old"",QUERY(NPCVar!$K$2:$N1000, ""Select M where K = '""&amp;AB966&amp;""'""),if(W966=""Venerable"",QUERY(NPCVar!$K$2:$N1000, ""Select N where K = '""&amp;AB966&amp;""'""),fa"&amp;"lse)))*X966"),74.25)</f>
        <v>74.25</v>
      </c>
      <c r="W966" s="156" t="str">
        <f t="array" ref="W966">INDEX(NPCAgeType,TRUNC(1+(4-1)*(TRUNC(MOD((X966*1103515245 +12345)/ 65536, 32768),0)/32768),0))</f>
        <v>Old</v>
      </c>
      <c r="X966" s="117">
        <f t="shared" si="61"/>
        <v>1.1000000000000001</v>
      </c>
      <c r="Y966" s="157" t="e">
        <f t="array" aca="1" ref="Y966" ca="1">LOOKUP(ABS(MAX(Z966 + MIN(ABS(INDIRECT("Class Jobs!B"&amp;MATCH(E966,'Class Jobs'!$A$1:$A1000,0)&amp;":"&amp;"AF"&amp;MATCH(E966,'Class Jobs'!$A$1:$A1000,0)&amp;"")-$Z966)) * SUM(IF(MIN(ABS(INDIRECT("Class Jobs!B"&amp;MATCH(E966,'Class Jobs'!$A$1:$A1000,0)&amp;":"&amp;"AF"&amp;MATCH(E966,'Class Jobs'!$A$1:$A1000,0)&amp;"")-$Z966))=ABS(INDIRECT("Class Jobs!B"&amp;MATCH(E966,'Class Jobs'!$A$1:$A1000,0)&amp;":"&amp;"AF"&amp;MATCH(E966,'Class Jobs'!$A$1:$A1000,0)&amp;"")-$Z966),SIGN(INDIRECT("Class Jobs!B"&amp;MATCH(E966,'Class Jobs'!$A$1:A1000,0)&amp;":"&amp;"AF"&amp;MATCH(E966,'Class Jobs'!$A$1:$A1000,0)&amp;"")-$Z966),0)),0)),INDIRECT("Class Jobs!B"&amp;MATCH(E966,'Class Jobs'!$A$1:$A1000,0)&amp;":"&amp;"AF"&amp;MATCH(E966,'Class Jobs'!$A$1:$A1000,1)&amp;""),'Class Jobs'!$B$1:$AF$1)</f>
        <v>#REF!</v>
      </c>
      <c r="Z966" s="158">
        <f t="shared" si="57"/>
        <v>0.43</v>
      </c>
      <c r="AA966" s="16" t="str">
        <f t="array" ref="AA966">INDEX(NPCGender,TRUNC(1+(COUNTA(NPCGender))*(TRUNC(MOD(($B966*1103515245 +12345)/ 65536, 32768),0)/32768),0))</f>
        <v>Female</v>
      </c>
      <c r="AB966" s="16" t="str">
        <f t="array" ref="AB966">INDEX(NPCRace,TRUNC(1+(COUNTA(NPCRace))*(TRUNC(MOD(($B966*1103515245 +12345)/ 65536, 32768),0)/32768),0))</f>
        <v>Half-Elf</v>
      </c>
      <c r="AC966" s="16" t="str">
        <f t="array" ref="AC966">INDEX(NPCAL,TRUNC(1+(COUNTA(NPCAL))*(TRUNC(MOD(($B966*1103515245 +12345)/ 65536, 32768),0)/32768),0))</f>
        <v>NG</v>
      </c>
      <c r="AD966" s="72" t="str">
        <f ca="1">IFERROR(__xludf.DUMMYFUNCTION("if(V966&lt;15,QUERY(NPCVar!C:D,""Select D WHERE C = '""&amp;D966&amp;""'""),if((TRUNC(1+10)*(TRUNC(MOD((ROW(H966)*1103515245 +12345)/ 65536, 32768),0)/32768)/10) &gt; 0.85,INDEX(NPCFaction,TRUNC(1+(counta(NPCFaction)-1)*(TRUNC(MOD(($B966*1103515245 +12345)/ 65536, 3276"&amp;"8),0)/32768),0)),QUERY(NPCVar!C:D,""Select D WHERE C = '""&amp;D966&amp;""'"")))"),"Traders Guild")</f>
        <v>Traders Guild</v>
      </c>
      <c r="AE966" s="108" t="e">
        <f t="shared" ca="1" si="58"/>
        <v>#NAME?</v>
      </c>
      <c r="AF966" s="159">
        <f ca="1">IFERROR(__xludf.DUMMYFUNCTION("AE966*(V966 / QUERY(NPCVar!$K$2:$N$12, ""Select N WHERE K='""&amp;AB966&amp;""'""))*TRUNC(1+10)*(TRUNC(MOD(($B966*1103515245 +12345)/ 65536, 32768),0)/32768)"),1.35626495361328)</f>
        <v>1.35626495361328</v>
      </c>
      <c r="AG966" s="16"/>
      <c r="AH966" s="77"/>
      <c r="AI966" s="114"/>
    </row>
    <row r="967" spans="1:35" ht="16.2">
      <c r="A967" s="53">
        <v>966</v>
      </c>
      <c r="B967" s="118">
        <f t="shared" si="64"/>
        <v>2.3251300000000001</v>
      </c>
      <c r="C967" s="72" t="str">
        <f t="array" ref="C967">INDEX(NPCFName,TRUNC(1+(COUNTA(NPCFName))*(TRUNC(MOD(($B967*1103515245 +12345)/ 65536, 32768),0)/32768),0))</f>
        <v>Mickal</v>
      </c>
      <c r="D967" s="16" t="str">
        <f t="array" ref="D967">INDEX(NPCLName,TRUNC(1+(COUNTA(NPCLName))*(TRUNC(MOD(($B967*1103515245 +12345)/ 65536, 32768),0)/32768),0))</f>
        <v>Ashcloud</v>
      </c>
      <c r="E967" s="16" t="str">
        <f t="array" ref="E967">INDEX(NPCClass,TRUNC(1+(COUNTA(NPCClass))*(TRUNC(MOD(($B967*1103515245 +12345)/ 65536, 32768),0)/32768),0))</f>
        <v>Druid</v>
      </c>
      <c r="F967" s="76">
        <v>1</v>
      </c>
      <c r="G967" s="153">
        <f ca="1">VLOOKUP($AB$2,'RF Mod'!$A$2:$G$12,2,FALSE)+VLOOKUP($AD$2,'RF Mod'!$I$2:$O$11,2,FALSE)+(TRUNC(6+(24-6)*(TRUNC(MOD(($Z967*1103515245 +12345)/ 65536, 32768),0)/32768),0))</f>
        <v>5</v>
      </c>
      <c r="H967" s="16">
        <f t="shared" ca="1" si="49"/>
        <v>-3</v>
      </c>
      <c r="I967" s="153">
        <f ca="1">VLOOKUP($AB$2,'RF Mod'!$A$2:$G$12,3,FALSE)+VLOOKUP($AD$2,'RF Mod'!$I$2:$O$11,3,FALSE)+(TRUNC(6+(24-6)*(TRUNC(MOD(($Z967*1103515245 +12345)/ 65536, 32768),0)/32768),0))</f>
        <v>9</v>
      </c>
      <c r="J967" s="16">
        <f t="shared" ca="1" si="50"/>
        <v>-1</v>
      </c>
      <c r="K967" s="153">
        <f ca="1">VLOOKUP($AB$2,'RF Mod'!$A$2:$G$12,3,FALSE)+VLOOKUP($AD$2,'RF Mod'!$I$2:$O$11,3,FALSE)+(TRUNC(6+(24-6)*(TRUNC(MOD(($Z967*1103515245 +12345)/ 65536, 32768),0)/32768),0))</f>
        <v>9</v>
      </c>
      <c r="L967" s="16">
        <f t="shared" ca="1" si="51"/>
        <v>-1</v>
      </c>
      <c r="M967" s="153">
        <f ca="1">VLOOKUP($AB$2,'RF Mod'!$A$2:$G$12,4,FALSE)+VLOOKUP($AD$2,'RF Mod'!$I$2:$O$11,4,FALSE)+(TRUNC(6+(24-6)*(TRUNC(MOD(($Z967*1103515245 +12345)/ 65536, 32768),0)/32768),0))</f>
        <v>8</v>
      </c>
      <c r="N967" s="16">
        <f t="shared" ca="1" si="52"/>
        <v>-1</v>
      </c>
      <c r="O967" s="153">
        <f ca="1">VLOOKUP($AB$2,'RF Mod'!$A$2:$G$12,5,FALSE)+VLOOKUP($AD$2,'RF Mod'!$I$2:$O$11,5,FALSE)+(TRUNC(6+(24-6)*(TRUNC(MOD(($Z967*1103515245 +12345)/ 65536, 32768),0)/32768),0))</f>
        <v>11</v>
      </c>
      <c r="P967" s="16" t="e">
        <f t="shared" ca="1" si="53"/>
        <v>#NAME?</v>
      </c>
      <c r="Q967" s="153">
        <f ca="1">VLOOKUP($AB$2,'RF Mod'!$A$2:$G$12,6,FALSE)+VLOOKUP($AD$2,'RF Mod'!$I$2:$O$11,6,FALSE)+(TRUNC(6+(24-6)*(TRUNC(MOD(($Z967*1103515245 +12345)/ 65536, 32768),0)/32768),0))</f>
        <v>9</v>
      </c>
      <c r="R967" s="16">
        <f t="shared" ca="1" si="54"/>
        <v>-1</v>
      </c>
      <c r="S967" s="154">
        <f t="shared" ca="1" si="59"/>
        <v>11</v>
      </c>
      <c r="T967" s="154">
        <f t="shared" ca="1" si="55"/>
        <v>9</v>
      </c>
      <c r="U967" s="16" t="str">
        <f t="shared" ca="1" si="56"/>
        <v>Bloody</v>
      </c>
      <c r="V967" s="155">
        <f ca="1">IFERROR(__xludf.DUMMYFUNCTION("if(W967=""Middle Age"",QUERY(NPCVar!$K$2:$N1000, ""Select L where K = '""&amp;AB967&amp;""'""),if(W967=""Old"",QUERY(NPCVar!$K$2:$N1000, ""Select M where K = '""&amp;AB967&amp;""'""),if(W967=""Venerable"",QUERY(NPCVar!$K$2:$N1000, ""Select N where K = '""&amp;AB967&amp;""'""),fa"&amp;"lse)))*X967"),93.75)</f>
        <v>93.75</v>
      </c>
      <c r="W967" s="156" t="str">
        <f t="array" ref="W967">INDEX(NPCAgeType,TRUNC(1+(4-1)*(TRUNC(MOD((X967*1103515245 +12345)/ 65536, 32768),0)/32768),0))</f>
        <v>Middle Age</v>
      </c>
      <c r="X967" s="117">
        <f t="shared" si="61"/>
        <v>0.5</v>
      </c>
      <c r="Y967" s="157" t="e">
        <f t="array" aca="1" ref="Y967" ca="1">LOOKUP(ABS(MAX(Z967 + MIN(ABS(INDIRECT("Class Jobs!B"&amp;MATCH(E967,'Class Jobs'!$A$1:$A1000,0)&amp;":"&amp;"AF"&amp;MATCH(E967,'Class Jobs'!$A$1:$A1000,0)&amp;"")-$Z967)) * SUM(IF(MIN(ABS(INDIRECT("Class Jobs!B"&amp;MATCH(E967,'Class Jobs'!$A$1:$A1000,0)&amp;":"&amp;"AF"&amp;MATCH(E967,'Class Jobs'!$A$1:$A1000,0)&amp;"")-$Z967))=ABS(INDIRECT("Class Jobs!B"&amp;MATCH(E967,'Class Jobs'!$A$1:$A1000,0)&amp;":"&amp;"AF"&amp;MATCH(E967,'Class Jobs'!$A$1:$A1000,0)&amp;"")-$Z967),SIGN(INDIRECT("Class Jobs!B"&amp;MATCH(E967,'Class Jobs'!$A$1:A1000,0)&amp;":"&amp;"AF"&amp;MATCH(E967,'Class Jobs'!$A$1:$A1000,0)&amp;"")-$Z967),0)),0)),INDIRECT("Class Jobs!B"&amp;MATCH(E967,'Class Jobs'!$A$1:$A1000,0)&amp;":"&amp;"AF"&amp;MATCH(E967,'Class Jobs'!$A$1:$A1000,1)&amp;""),'Class Jobs'!$B$1:$AF$1)</f>
        <v>#REF!</v>
      </c>
      <c r="Z967" s="158">
        <f t="shared" si="57"/>
        <v>0.2</v>
      </c>
      <c r="AA967" s="16" t="str">
        <f t="array" ref="AA967">INDEX(NPCGender,TRUNC(1+(COUNTA(NPCGender))*(TRUNC(MOD(($B967*1103515245 +12345)/ 65536, 32768),0)/32768),0))</f>
        <v>Male</v>
      </c>
      <c r="AB967" s="16" t="str">
        <f t="array" ref="AB967">INDEX(NPCRace,TRUNC(1+(COUNTA(NPCRace))*(TRUNC(MOD(($B967*1103515245 +12345)/ 65536, 32768),0)/32768),0))</f>
        <v>Elf</v>
      </c>
      <c r="AC967" s="16" t="str">
        <f t="array" ref="AC967">INDEX(NPCAL,TRUNC(1+(COUNTA(NPCAL))*(TRUNC(MOD(($B967*1103515245 +12345)/ 65536, 32768),0)/32768),0))</f>
        <v>CE</v>
      </c>
      <c r="AD967" s="72" t="str">
        <f ca="1">IFERROR(__xludf.DUMMYFUNCTION("if(V967&lt;15,QUERY(NPCVar!C:D,""Select D WHERE C = '""&amp;D967&amp;""'""),if((TRUNC(1+10)*(TRUNC(MOD((ROW(H967)*1103515245 +12345)/ 65536, 32768),0)/32768)/10) &gt; 0.85,INDEX(NPCFaction,TRUNC(1+(counta(NPCFaction)-1)*(TRUNC(MOD(($B967*1103515245 +12345)/ 65536, 3276"&amp;"8),0)/32768),0)),QUERY(NPCVar!C:D,""Select D WHERE C = '""&amp;D967&amp;""'"")))"),"Necromancer")</f>
        <v>Necromancer</v>
      </c>
      <c r="AE967" s="108" t="e">
        <f t="shared" ca="1" si="58"/>
        <v>#NAME?</v>
      </c>
      <c r="AF967" s="159">
        <f ca="1">IFERROR(__xludf.DUMMYFUNCTION("AE967*(V967 / QUERY(NPCVar!$K$2:$N$12, ""Select N WHERE K='""&amp;AB967&amp;""'""))*TRUNC(1+10)*(TRUNC(MOD(($B967*1103515245 +12345)/ 65536, 32768),0)/32768)"),0.0267841339111328)</f>
        <v>2.6784133911132799E-2</v>
      </c>
      <c r="AG967" s="16"/>
      <c r="AH967" s="77"/>
      <c r="AI967" s="114"/>
    </row>
    <row r="968" spans="1:35" ht="16.2">
      <c r="A968" s="53">
        <v>967</v>
      </c>
      <c r="B968" s="118">
        <f t="shared" si="64"/>
        <v>1.3192699999999999</v>
      </c>
      <c r="C968" s="72" t="str">
        <f t="array" ref="C968">INDEX(NPCFName,TRUNC(1+(COUNTA(NPCFName))*(TRUNC(MOD(($B968*1103515245 +12345)/ 65536, 32768),0)/32768),0))</f>
        <v>Aldren</v>
      </c>
      <c r="D968" s="16" t="str">
        <f t="array" ref="D968">INDEX(NPCLName,TRUNC(1+(COUNTA(NPCLName))*(TRUNC(MOD(($B968*1103515245 +12345)/ 65536, 32768),0)/32768),0))</f>
        <v>Emberhell</v>
      </c>
      <c r="E968" s="16" t="str">
        <f t="array" ref="E968">INDEX(NPCClass,TRUNC(1+(COUNTA(NPCClass))*(TRUNC(MOD(($B968*1103515245 +12345)/ 65536, 32768),0)/32768),0))</f>
        <v>None</v>
      </c>
      <c r="F968" s="76">
        <v>8</v>
      </c>
      <c r="G968" s="153">
        <f ca="1">VLOOKUP($AB$2,'RF Mod'!$A$2:$G$12,2,FALSE)+VLOOKUP($AD$2,'RF Mod'!$I$2:$O$11,2,FALSE)+(TRUNC(6+(24-6)*(TRUNC(MOD(($Z968*1103515245 +12345)/ 65536, 32768),0)/32768),0))</f>
        <v>10</v>
      </c>
      <c r="H968" s="16" t="e">
        <f t="shared" ca="1" si="49"/>
        <v>#NAME?</v>
      </c>
      <c r="I968" s="153">
        <f ca="1">VLOOKUP($AB$2,'RF Mod'!$A$2:$G$12,3,FALSE)+VLOOKUP($AD$2,'RF Mod'!$I$2:$O$11,3,FALSE)+(TRUNC(6+(24-6)*(TRUNC(MOD(($Z968*1103515245 +12345)/ 65536, 32768),0)/32768),0))</f>
        <v>14</v>
      </c>
      <c r="J968" s="16" t="e">
        <f t="shared" ca="1" si="50"/>
        <v>#NAME?</v>
      </c>
      <c r="K968" s="153">
        <f ca="1">VLOOKUP($AB$2,'RF Mod'!$A$2:$G$12,3,FALSE)+VLOOKUP($AD$2,'RF Mod'!$I$2:$O$11,3,FALSE)+(TRUNC(6+(24-6)*(TRUNC(MOD(($Z968*1103515245 +12345)/ 65536, 32768),0)/32768),0))</f>
        <v>14</v>
      </c>
      <c r="L968" s="16" t="e">
        <f t="shared" ca="1" si="51"/>
        <v>#NAME?</v>
      </c>
      <c r="M968" s="153">
        <f ca="1">VLOOKUP($AB$2,'RF Mod'!$A$2:$G$12,4,FALSE)+VLOOKUP($AD$2,'RF Mod'!$I$2:$O$11,4,FALSE)+(TRUNC(6+(24-6)*(TRUNC(MOD(($Z968*1103515245 +12345)/ 65536, 32768),0)/32768),0))</f>
        <v>13</v>
      </c>
      <c r="N968" s="16" t="e">
        <f t="shared" ca="1" si="52"/>
        <v>#NAME?</v>
      </c>
      <c r="O968" s="153">
        <f ca="1">VLOOKUP($AB$2,'RF Mod'!$A$2:$G$12,5,FALSE)+VLOOKUP($AD$2,'RF Mod'!$I$2:$O$11,5,FALSE)+(TRUNC(6+(24-6)*(TRUNC(MOD(($Z968*1103515245 +12345)/ 65536, 32768),0)/32768),0))</f>
        <v>16</v>
      </c>
      <c r="P968" s="16" t="e">
        <f t="shared" ca="1" si="53"/>
        <v>#NAME?</v>
      </c>
      <c r="Q968" s="153">
        <f ca="1">VLOOKUP($AB$2,'RF Mod'!$A$2:$G$12,6,FALSE)+VLOOKUP($AD$2,'RF Mod'!$I$2:$O$11,6,FALSE)+(TRUNC(6+(24-6)*(TRUNC(MOD(($Z968*1103515245 +12345)/ 65536, 32768),0)/32768),0))</f>
        <v>14</v>
      </c>
      <c r="R968" s="16" t="e">
        <f t="shared" ca="1" si="54"/>
        <v>#NAME?</v>
      </c>
      <c r="S968" s="154">
        <f t="shared" ca="1" si="59"/>
        <v>192</v>
      </c>
      <c r="T968" s="154">
        <f t="shared" ca="1" si="55"/>
        <v>165</v>
      </c>
      <c r="U968" s="16" t="str">
        <f t="shared" ca="1" si="56"/>
        <v>Bloody</v>
      </c>
      <c r="V968" s="155">
        <f ca="1">IFERROR(__xludf.DUMMYFUNCTION("if(W968=""Middle Age"",QUERY(NPCVar!$K$2:$N1000, ""Select L where K = '""&amp;AB968&amp;""'""),if(W968=""Old"",QUERY(NPCVar!$K$2:$N1000, ""Select M where K = '""&amp;AB968&amp;""'""),if(W968=""Venerable"",QUERY(NPCVar!$K$2:$N1000, ""Select N where K = '""&amp;AB968&amp;""'""),fa"&amp;"lse)))*X968"),153)</f>
        <v>153</v>
      </c>
      <c r="W968" s="156" t="str">
        <f t="array" ref="W968">INDEX(NPCAgeType,TRUNC(1+(4-1)*(TRUNC(MOD((X968*1103515245 +12345)/ 65536, 32768),0)/32768),0))</f>
        <v>Venerable</v>
      </c>
      <c r="X968" s="117">
        <f t="shared" si="61"/>
        <v>1.7</v>
      </c>
      <c r="Y968" s="157" t="e">
        <f t="array" aca="1" ref="Y968" ca="1">LOOKUP(ABS(MAX(Z968 + MIN(ABS(INDIRECT("Class Jobs!B"&amp;MATCH(E968,'Class Jobs'!$A$1:$A1000,0)&amp;":"&amp;"AF"&amp;MATCH(E968,'Class Jobs'!$A$1:$A1000,0)&amp;"")-$Z968)) * SUM(IF(MIN(ABS(INDIRECT("Class Jobs!B"&amp;MATCH(E968,'Class Jobs'!$A$1:$A1000,0)&amp;":"&amp;"AF"&amp;MATCH(E968,'Class Jobs'!$A$1:$A1000,0)&amp;"")-$Z968))=ABS(INDIRECT("Class Jobs!B"&amp;MATCH(E968,'Class Jobs'!$A$1:$A1000,0)&amp;":"&amp;"AF"&amp;MATCH(E968,'Class Jobs'!$A$1:$A1000,0)&amp;"")-$Z968),SIGN(INDIRECT("Class Jobs!B"&amp;MATCH(E968,'Class Jobs'!$A$1:A1000,0)&amp;":"&amp;"AF"&amp;MATCH(E968,'Class Jobs'!$A$1:$A1000,0)&amp;"")-$Z968),0)),0)),INDIRECT("Class Jobs!B"&amp;MATCH(E968,'Class Jobs'!$A$1:$A1000,0)&amp;":"&amp;"AF"&amp;MATCH(E968,'Class Jobs'!$A$1:$A1000,1)&amp;""),'Class Jobs'!$B$1:$AF$1)</f>
        <v>#REF!</v>
      </c>
      <c r="Z968" s="158">
        <f t="shared" si="57"/>
        <v>0.68</v>
      </c>
      <c r="AA968" s="16" t="str">
        <f t="array" ref="AA968">INDEX(NPCGender,TRUNC(1+(COUNTA(NPCGender))*(TRUNC(MOD(($B968*1103515245 +12345)/ 65536, 32768),0)/32768),0))</f>
        <v>Neutral</v>
      </c>
      <c r="AB968" s="16" t="str">
        <f t="array" ref="AB968">INDEX(NPCRace,TRUNC(1+(COUNTA(NPCRace))*(TRUNC(MOD(($B968*1103515245 +12345)/ 65536, 32768),0)/32768),0))</f>
        <v>Human</v>
      </c>
      <c r="AC968" s="16" t="str">
        <f t="array" ref="AC968">INDEX(NPCAL,TRUNC(1+(COUNTA(NPCAL))*(TRUNC(MOD(($B968*1103515245 +12345)/ 65536, 32768),0)/32768),0))</f>
        <v>LG</v>
      </c>
      <c r="AD968" s="72" t="str">
        <f ca="1">IFERROR(__xludf.DUMMYFUNCTION("if(V968&lt;15,QUERY(NPCVar!C:D,""Select D WHERE C = '""&amp;D968&amp;""'""),if((TRUNC(1+10)*(TRUNC(MOD((ROW(H968)*1103515245 +12345)/ 65536, 32768),0)/32768)/10) &gt; 0.85,INDEX(NPCFaction,TRUNC(1+(counta(NPCFaction)-1)*(TRUNC(MOD(($B968*1103515245 +12345)/ 65536, 3276"&amp;"8),0)/32768),0)),QUERY(NPCVar!C:D,""Select D WHERE C = '""&amp;D968&amp;""'"")))"),"Adventures Guild")</f>
        <v>Adventures Guild</v>
      </c>
      <c r="AE968" s="108" t="e">
        <f t="shared" ca="1" si="58"/>
        <v>#NAME?</v>
      </c>
      <c r="AF968" s="159">
        <f ca="1">IFERROR(__xludf.DUMMYFUNCTION("AE968*(V968 / QUERY(NPCVar!$K$2:$N$12, ""Select N WHERE K='""&amp;AB968&amp;""'""))*TRUNC(1+10)*(TRUNC(MOD(($B968*1103515245 +12345)/ 65536, 32768),0)/32768)"),12.6770568847656)</f>
        <v>12.6770568847656</v>
      </c>
      <c r="AG968" s="16"/>
      <c r="AH968" s="77"/>
      <c r="AI968" s="114"/>
    </row>
    <row r="969" spans="1:35" ht="16.2">
      <c r="A969" s="53">
        <v>968</v>
      </c>
      <c r="B969" s="118">
        <f t="shared" si="64"/>
        <v>0.31341999999999998</v>
      </c>
      <c r="C969" s="72" t="str">
        <f t="array" ref="C969">INDEX(NPCFName,TRUNC(1+(COUNTA(NPCFName))*(TRUNC(MOD(($B969*1103515245 +12345)/ 65536, 32768),0)/32768),0))</f>
        <v>Kiden</v>
      </c>
      <c r="D969" s="16" t="str">
        <f t="array" ref="D969">INDEX(NPCLName,TRUNC(1+(COUNTA(NPCLName))*(TRUNC(MOD(($B969*1103515245 +12345)/ 65536, 32768),0)/32768),0))</f>
        <v>Fistwing</v>
      </c>
      <c r="E969" s="16" t="str">
        <f t="array" ref="E969">INDEX(NPCClass,TRUNC(1+(COUNTA(NPCClass))*(TRUNC(MOD(($B969*1103515245 +12345)/ 65536, 32768),0)/32768),0))</f>
        <v>Bard</v>
      </c>
      <c r="F969" s="76">
        <v>1</v>
      </c>
      <c r="G969" s="153">
        <f ca="1">VLOOKUP($AB$2,'RF Mod'!$A$2:$G$12,2,FALSE)+VLOOKUP($AD$2,'RF Mod'!$I$2:$O$11,2,FALSE)+(TRUNC(6+(24-6)*(TRUNC(MOD(($Z969*1103515245 +12345)/ 65536, 32768),0)/32768),0))</f>
        <v>5</v>
      </c>
      <c r="H969" s="16">
        <f t="shared" ca="1" si="49"/>
        <v>-3</v>
      </c>
      <c r="I969" s="153">
        <f ca="1">VLOOKUP($AB$2,'RF Mod'!$A$2:$G$12,3,FALSE)+VLOOKUP($AD$2,'RF Mod'!$I$2:$O$11,3,FALSE)+(TRUNC(6+(24-6)*(TRUNC(MOD(($Z969*1103515245 +12345)/ 65536, 32768),0)/32768),0))</f>
        <v>9</v>
      </c>
      <c r="J969" s="16">
        <f t="shared" ca="1" si="50"/>
        <v>-1</v>
      </c>
      <c r="K969" s="153">
        <f ca="1">VLOOKUP($AB$2,'RF Mod'!$A$2:$G$12,3,FALSE)+VLOOKUP($AD$2,'RF Mod'!$I$2:$O$11,3,FALSE)+(TRUNC(6+(24-6)*(TRUNC(MOD(($Z969*1103515245 +12345)/ 65536, 32768),0)/32768),0))</f>
        <v>9</v>
      </c>
      <c r="L969" s="16">
        <f t="shared" ca="1" si="51"/>
        <v>-1</v>
      </c>
      <c r="M969" s="153">
        <f ca="1">VLOOKUP($AB$2,'RF Mod'!$A$2:$G$12,4,FALSE)+VLOOKUP($AD$2,'RF Mod'!$I$2:$O$11,4,FALSE)+(TRUNC(6+(24-6)*(TRUNC(MOD(($Z969*1103515245 +12345)/ 65536, 32768),0)/32768),0))</f>
        <v>8</v>
      </c>
      <c r="N969" s="16">
        <f t="shared" ca="1" si="52"/>
        <v>-1</v>
      </c>
      <c r="O969" s="153">
        <f ca="1">VLOOKUP($AB$2,'RF Mod'!$A$2:$G$12,5,FALSE)+VLOOKUP($AD$2,'RF Mod'!$I$2:$O$11,5,FALSE)+(TRUNC(6+(24-6)*(TRUNC(MOD(($Z969*1103515245 +12345)/ 65536, 32768),0)/32768),0))</f>
        <v>11</v>
      </c>
      <c r="P969" s="16" t="e">
        <f t="shared" ca="1" si="53"/>
        <v>#NAME?</v>
      </c>
      <c r="Q969" s="153">
        <f ca="1">VLOOKUP($AB$2,'RF Mod'!$A$2:$G$12,6,FALSE)+VLOOKUP($AD$2,'RF Mod'!$I$2:$O$11,6,FALSE)+(TRUNC(6+(24-6)*(TRUNC(MOD(($Z969*1103515245 +12345)/ 65536, 32768),0)/32768),0))</f>
        <v>9</v>
      </c>
      <c r="R969" s="16">
        <f t="shared" ca="1" si="54"/>
        <v>-1</v>
      </c>
      <c r="S969" s="154">
        <f t="shared" ca="1" si="59"/>
        <v>11</v>
      </c>
      <c r="T969" s="154">
        <f t="shared" ca="1" si="55"/>
        <v>12</v>
      </c>
      <c r="U969" s="16" t="str">
        <f t="shared" ca="1" si="56"/>
        <v>Dead</v>
      </c>
      <c r="V969" s="155">
        <f ca="1">IFERROR(__xludf.DUMMYFUNCTION("if(W969=""Middle Age"",QUERY(NPCVar!$K$2:$N1000, ""Select L where K = '""&amp;AB969&amp;""'""),if(W969=""Old"",QUERY(NPCVar!$K$2:$N1000, ""Select M where K = '""&amp;AB969&amp;""'""),if(W969=""Venerable"",QUERY(NPCVar!$K$2:$N1000, ""Select N where K = '""&amp;AB969&amp;""'""),fa"&amp;"lse)))*X969"),32)</f>
        <v>32</v>
      </c>
      <c r="W969" s="156" t="str">
        <f t="array" ref="W969">INDEX(NPCAgeType,TRUNC(1+(4-1)*(TRUNC(MOD((X969*1103515245 +12345)/ 65536, 32768),0)/32768),0))</f>
        <v>Middle Age</v>
      </c>
      <c r="X969" s="117">
        <f t="shared" si="61"/>
        <v>0.4</v>
      </c>
      <c r="Y969" s="157" t="e">
        <f t="array" aca="1" ref="Y969" ca="1">LOOKUP(ABS(MAX(Z969 + MIN(ABS(INDIRECT("Class Jobs!B"&amp;MATCH(E969,'Class Jobs'!$A$1:$A1000,0)&amp;":"&amp;"AF"&amp;MATCH(E969,'Class Jobs'!$A$1:$A1000,0)&amp;"")-$Z969)) * SUM(IF(MIN(ABS(INDIRECT("Class Jobs!B"&amp;MATCH(E969,'Class Jobs'!$A$1:$A1000,0)&amp;":"&amp;"AF"&amp;MATCH(E969,'Class Jobs'!$A$1:$A1000,0)&amp;"")-$Z969))=ABS(INDIRECT("Class Jobs!B"&amp;MATCH(E969,'Class Jobs'!$A$1:$A1000,0)&amp;":"&amp;"AF"&amp;MATCH(E969,'Class Jobs'!$A$1:$A1000,0)&amp;"")-$Z969),SIGN(INDIRECT("Class Jobs!B"&amp;MATCH(E969,'Class Jobs'!$A$1:A1000,0)&amp;":"&amp;"AF"&amp;MATCH(E969,'Class Jobs'!$A$1:$A1000,0)&amp;"")-$Z969),0)),0)),INDIRECT("Class Jobs!B"&amp;MATCH(E969,'Class Jobs'!$A$1:$A1000,0)&amp;":"&amp;"AF"&amp;MATCH(E969,'Class Jobs'!$A$1:$A1000,1)&amp;""),'Class Jobs'!$B$1:$AF$1)</f>
        <v>#REF!</v>
      </c>
      <c r="Z969" s="158">
        <f t="shared" si="57"/>
        <v>0.16</v>
      </c>
      <c r="AA969" s="16" t="str">
        <f t="array" ref="AA969">INDEX(NPCGender,TRUNC(1+(COUNTA(NPCGender))*(TRUNC(MOD(($B969*1103515245 +12345)/ 65536, 32768),0)/32768),0))</f>
        <v>Male</v>
      </c>
      <c r="AB969" s="16" t="str">
        <f t="array" ref="AB969">INDEX(NPCRace,TRUNC(1+(COUNTA(NPCRace))*(TRUNC(MOD(($B969*1103515245 +12345)/ 65536, 32768),0)/32768),0))</f>
        <v>Dwarf</v>
      </c>
      <c r="AC969" s="16" t="str">
        <f t="array" ref="AC969">INDEX(NPCAL,TRUNC(1+(COUNTA(NPCAL))*(TRUNC(MOD(($B969*1103515245 +12345)/ 65536, 32768),0)/32768),0))</f>
        <v>CE</v>
      </c>
      <c r="AD969" s="72" t="str">
        <f ca="1">IFERROR(__xludf.DUMMYFUNCTION("if(V969&lt;15,QUERY(NPCVar!C:D,""Select D WHERE C = '""&amp;D969&amp;""'""),if((TRUNC(1+10)*(TRUNC(MOD((ROW(H969)*1103515245 +12345)/ 65536, 32768),0)/32768)/10) &gt; 0.85,INDEX(NPCFaction,TRUNC(1+(counta(NPCFaction)-1)*(TRUNC(MOD(($B969*1103515245 +12345)/ 65536, 3276"&amp;"8),0)/32768),0)),QUERY(NPCVar!C:D,""Select D WHERE C = '""&amp;D969&amp;""'"")))"),"Necromancer")</f>
        <v>Necromancer</v>
      </c>
      <c r="AE969" s="108" t="e">
        <f t="shared" ca="1" si="58"/>
        <v>#NAME?</v>
      </c>
      <c r="AF969" s="159">
        <f ca="1">IFERROR(__xludf.DUMMYFUNCTION("AE969*(V969 / QUERY(NPCVar!$K$2:$N$12, ""Select N WHERE K='""&amp;AB969&amp;""'""))*TRUNC(1+10)*(TRUNC(MOD(($B969*1103515245 +12345)/ 65536, 32768),0)/32768)"),0.0177145385742187)</f>
        <v>1.7714538574218699E-2</v>
      </c>
      <c r="AG969" s="16"/>
      <c r="AH969" s="77"/>
      <c r="AI969" s="114"/>
    </row>
    <row r="970" spans="1:35" ht="16.2">
      <c r="A970" s="53">
        <v>969</v>
      </c>
      <c r="B970" s="118">
        <f t="shared" si="64"/>
        <v>1.80748</v>
      </c>
      <c r="C970" s="72" t="str">
        <f t="array" ref="C970">INDEX(NPCFName,TRUNC(1+(COUNTA(NPCFName))*(TRUNC(MOD(($B970*1103515245 +12345)/ 65536, 32768),0)/32768),0))</f>
        <v>Sermak</v>
      </c>
      <c r="D970" s="16" t="str">
        <f t="array" ref="D970">INDEX(NPCLName,TRUNC(1+(COUNTA(NPCLName))*(TRUNC(MOD(($B970*1103515245 +12345)/ 65536, 32768),0)/32768),0))</f>
        <v>Stormwolf</v>
      </c>
      <c r="E970" s="16" t="str">
        <f t="array" ref="E970">INDEX(NPCClass,TRUNC(1+(COUNTA(NPCClass))*(TRUNC(MOD(($B970*1103515245 +12345)/ 65536, 32768),0)/32768),0))</f>
        <v>Wizard</v>
      </c>
      <c r="F970" s="76">
        <v>8</v>
      </c>
      <c r="G970" s="153">
        <f ca="1">VLOOKUP($AB$2,'RF Mod'!$A$2:$G$12,2,FALSE)+VLOOKUP($AD$2,'RF Mod'!$I$2:$O$11,2,FALSE)+(TRUNC(6+(24-6)*(TRUNC(MOD(($Z970*1103515245 +12345)/ 65536, 32768),0)/32768),0))</f>
        <v>12</v>
      </c>
      <c r="H970" s="16" t="e">
        <f t="shared" ca="1" si="49"/>
        <v>#NAME?</v>
      </c>
      <c r="I970" s="153">
        <f ca="1">VLOOKUP($AB$2,'RF Mod'!$A$2:$G$12,3,FALSE)+VLOOKUP($AD$2,'RF Mod'!$I$2:$O$11,3,FALSE)+(TRUNC(6+(24-6)*(TRUNC(MOD(($Z970*1103515245 +12345)/ 65536, 32768),0)/32768),0))</f>
        <v>16</v>
      </c>
      <c r="J970" s="16" t="e">
        <f t="shared" ca="1" si="50"/>
        <v>#NAME?</v>
      </c>
      <c r="K970" s="153">
        <f ca="1">VLOOKUP($AB$2,'RF Mod'!$A$2:$G$12,3,FALSE)+VLOOKUP($AD$2,'RF Mod'!$I$2:$O$11,3,FALSE)+(TRUNC(6+(24-6)*(TRUNC(MOD(($Z970*1103515245 +12345)/ 65536, 32768),0)/32768),0))</f>
        <v>16</v>
      </c>
      <c r="L970" s="16" t="e">
        <f t="shared" ca="1" si="51"/>
        <v>#NAME?</v>
      </c>
      <c r="M970" s="153">
        <f ca="1">VLOOKUP($AB$2,'RF Mod'!$A$2:$G$12,4,FALSE)+VLOOKUP($AD$2,'RF Mod'!$I$2:$O$11,4,FALSE)+(TRUNC(6+(24-6)*(TRUNC(MOD(($Z970*1103515245 +12345)/ 65536, 32768),0)/32768),0))</f>
        <v>15</v>
      </c>
      <c r="N970" s="16" t="e">
        <f t="shared" ca="1" si="52"/>
        <v>#NAME?</v>
      </c>
      <c r="O970" s="153">
        <f ca="1">VLOOKUP($AB$2,'RF Mod'!$A$2:$G$12,5,FALSE)+VLOOKUP($AD$2,'RF Mod'!$I$2:$O$11,5,FALSE)+(TRUNC(6+(24-6)*(TRUNC(MOD(($Z970*1103515245 +12345)/ 65536, 32768),0)/32768),0))</f>
        <v>18</v>
      </c>
      <c r="P970" s="16" t="e">
        <f t="shared" ca="1" si="53"/>
        <v>#NAME?</v>
      </c>
      <c r="Q970" s="153">
        <f ca="1">VLOOKUP($AB$2,'RF Mod'!$A$2:$G$12,6,FALSE)+VLOOKUP($AD$2,'RF Mod'!$I$2:$O$11,6,FALSE)+(TRUNC(6+(24-6)*(TRUNC(MOD(($Z970*1103515245 +12345)/ 65536, 32768),0)/32768),0))</f>
        <v>16</v>
      </c>
      <c r="R970" s="16" t="e">
        <f t="shared" ca="1" si="54"/>
        <v>#NAME?</v>
      </c>
      <c r="S970" s="154">
        <f t="shared" ca="1" si="59"/>
        <v>144</v>
      </c>
      <c r="T970" s="154">
        <f t="shared" ca="1" si="55"/>
        <v>94</v>
      </c>
      <c r="U970" s="16" t="str">
        <f t="shared" ca="1" si="56"/>
        <v>Bloody</v>
      </c>
      <c r="V970" s="155">
        <f ca="1">IFERROR(__xludf.DUMMYFUNCTION("if(W970=""Middle Age"",QUERY(NPCVar!$K$2:$N1000, ""Select L where K = '""&amp;AB970&amp;""'""),if(W970=""Old"",QUERY(NPCVar!$K$2:$N1000, ""Select M where K = '""&amp;AB970&amp;""'""),if(W970=""Venerable"",QUERY(NPCVar!$K$2:$N1000, ""Select N where K = '""&amp;AB970&amp;""'""),fa"&amp;"lse)))*X970"),69)</f>
        <v>69</v>
      </c>
      <c r="W970" s="156" t="str">
        <f t="array" ref="W970">INDEX(NPCAgeType,TRUNC(1+(4-1)*(TRUNC(MOD((X970*1103515245 +12345)/ 65536, 32768),0)/32768),0))</f>
        <v>Middle Age</v>
      </c>
      <c r="X970" s="117">
        <f t="shared" si="61"/>
        <v>2.2999999999999998</v>
      </c>
      <c r="Y970" s="157" t="e">
        <f t="array" aca="1" ref="Y970" ca="1">LOOKUP(ABS(MAX(Z970 + MIN(ABS(INDIRECT("Class Jobs!B"&amp;MATCH(E970,'Class Jobs'!$A$1:$A1000,0)&amp;":"&amp;"AF"&amp;MATCH(E970,'Class Jobs'!$A$1:$A1000,0)&amp;"")-$Z970)) * SUM(IF(MIN(ABS(INDIRECT("Class Jobs!B"&amp;MATCH(E970,'Class Jobs'!$A$1:$A1000,0)&amp;":"&amp;"AF"&amp;MATCH(E970,'Class Jobs'!$A$1:$A1000,0)&amp;"")-$Z970))=ABS(INDIRECT("Class Jobs!B"&amp;MATCH(E970,'Class Jobs'!$A$1:$A1000,0)&amp;":"&amp;"AF"&amp;MATCH(E970,'Class Jobs'!$A$1:$A1000,0)&amp;"")-$Z970),SIGN(INDIRECT("Class Jobs!B"&amp;MATCH(E970,'Class Jobs'!$A$1:A1000,0)&amp;":"&amp;"AF"&amp;MATCH(E970,'Class Jobs'!$A$1:$A1000,0)&amp;"")-$Z970),0)),0)),INDIRECT("Class Jobs!B"&amp;MATCH(E970,'Class Jobs'!$A$1:$A1000,0)&amp;":"&amp;"AF"&amp;MATCH(E970,'Class Jobs'!$A$1:$A1000,1)&amp;""),'Class Jobs'!$B$1:$AF$1)</f>
        <v>#REF!</v>
      </c>
      <c r="Z970" s="158">
        <f t="shared" si="57"/>
        <v>0.92</v>
      </c>
      <c r="AA970" s="16" t="str">
        <f t="array" ref="AA970">INDEX(NPCGender,TRUNC(1+(COUNTA(NPCGender))*(TRUNC(MOD(($B970*1103515245 +12345)/ 65536, 32768),0)/32768),0))</f>
        <v>Neutral</v>
      </c>
      <c r="AB970" s="16" t="str">
        <f t="array" ref="AB970">INDEX(NPCRace,TRUNC(1+(COUNTA(NPCRace))*(TRUNC(MOD(($B970*1103515245 +12345)/ 65536, 32768),0)/32768),0))</f>
        <v>Goliath</v>
      </c>
      <c r="AC970" s="16" t="str">
        <f t="array" ref="AC970">INDEX(NPCAL,TRUNC(1+(COUNTA(NPCAL))*(TRUNC(MOD(($B970*1103515245 +12345)/ 65536, 32768),0)/32768),0))</f>
        <v>LE</v>
      </c>
      <c r="AD970" s="72" t="str">
        <f ca="1">IFERROR(__xludf.DUMMYFUNCTION("if(V970&lt;15,QUERY(NPCVar!C:D,""Select D WHERE C = '""&amp;D970&amp;""'""),if((TRUNC(1+10)*(TRUNC(MOD((ROW(H970)*1103515245 +12345)/ 65536, 32768),0)/32768)/10) &gt; 0.85,INDEX(NPCFaction,TRUNC(1+(counta(NPCFaction)-1)*(TRUNC(MOD(($B970*1103515245 +12345)/ 65536, 3276"&amp;"8),0)/32768),0)),QUERY(NPCVar!C:D,""Select D WHERE C = '""&amp;D970&amp;""'"")))"),"Followers of Isis")</f>
        <v>Followers of Isis</v>
      </c>
      <c r="AE970" s="108" t="e">
        <f t="shared" ca="1" si="58"/>
        <v>#NAME?</v>
      </c>
      <c r="AF970" s="159">
        <f ca="1">IFERROR(__xludf.DUMMYFUNCTION("AE970*(V970 / QUERY(NPCVar!$K$2:$N$12, ""Select N WHERE K='""&amp;AB970&amp;""'""))*TRUNC(1+10)*(TRUNC(MOD(($B970*1103515245 +12345)/ 65536, 32768),0)/32768)"),5.87467575073242)</f>
        <v>5.8746757507324201</v>
      </c>
      <c r="AG970" s="16"/>
      <c r="AH970" s="77"/>
      <c r="AI970" s="114"/>
    </row>
    <row r="971" spans="1:35" ht="16.2">
      <c r="A971" s="53">
        <v>970</v>
      </c>
      <c r="B971" s="118">
        <f t="shared" si="64"/>
        <v>0.80162</v>
      </c>
      <c r="C971" s="72" t="str">
        <f t="array" ref="C971">INDEX(NPCFName,TRUNC(1+(COUNTA(NPCFName))*(TRUNC(MOD(($B971*1103515245 +12345)/ 65536, 32768),0)/32768),0))</f>
        <v>Dosoman</v>
      </c>
      <c r="D971" s="16" t="str">
        <f t="array" ref="D971">INDEX(NPCLName,TRUNC(1+(COUNTA(NPCLName))*(TRUNC(MOD(($B971*1103515245 +12345)/ 65536, 32768),0)/32768),0))</f>
        <v>Windshade</v>
      </c>
      <c r="E971" s="16" t="str">
        <f t="array" ref="E971">INDEX(NPCClass,TRUNC(1+(COUNTA(NPCClass))*(TRUNC(MOD(($B971*1103515245 +12345)/ 65536, 32768),0)/32768),0))</f>
        <v>Paladin</v>
      </c>
      <c r="F971" s="76">
        <v>4</v>
      </c>
      <c r="G971" s="153">
        <f ca="1">VLOOKUP($AB$2,'RF Mod'!$A$2:$G$12,2,FALSE)+VLOOKUP($AD$2,'RF Mod'!$I$2:$O$11,2,FALSE)+(TRUNC(6+(24-6)*(TRUNC(MOD(($Z971*1103515245 +12345)/ 65536, 32768),0)/32768),0))</f>
        <v>7</v>
      </c>
      <c r="H971" s="16">
        <f t="shared" ca="1" si="49"/>
        <v>-2</v>
      </c>
      <c r="I971" s="153">
        <f ca="1">VLOOKUP($AB$2,'RF Mod'!$A$2:$G$12,3,FALSE)+VLOOKUP($AD$2,'RF Mod'!$I$2:$O$11,3,FALSE)+(TRUNC(6+(24-6)*(TRUNC(MOD(($Z971*1103515245 +12345)/ 65536, 32768),0)/32768),0))</f>
        <v>11</v>
      </c>
      <c r="J971" s="16" t="e">
        <f t="shared" ca="1" si="50"/>
        <v>#NAME?</v>
      </c>
      <c r="K971" s="153">
        <f ca="1">VLOOKUP($AB$2,'RF Mod'!$A$2:$G$12,3,FALSE)+VLOOKUP($AD$2,'RF Mod'!$I$2:$O$11,3,FALSE)+(TRUNC(6+(24-6)*(TRUNC(MOD(($Z971*1103515245 +12345)/ 65536, 32768),0)/32768),0))</f>
        <v>11</v>
      </c>
      <c r="L971" s="16" t="e">
        <f t="shared" ca="1" si="51"/>
        <v>#NAME?</v>
      </c>
      <c r="M971" s="153">
        <f ca="1">VLOOKUP($AB$2,'RF Mod'!$A$2:$G$12,4,FALSE)+VLOOKUP($AD$2,'RF Mod'!$I$2:$O$11,4,FALSE)+(TRUNC(6+(24-6)*(TRUNC(MOD(($Z971*1103515245 +12345)/ 65536, 32768),0)/32768),0))</f>
        <v>10</v>
      </c>
      <c r="N971" s="16" t="e">
        <f t="shared" ca="1" si="52"/>
        <v>#NAME?</v>
      </c>
      <c r="O971" s="153">
        <f ca="1">VLOOKUP($AB$2,'RF Mod'!$A$2:$G$12,5,FALSE)+VLOOKUP($AD$2,'RF Mod'!$I$2:$O$11,5,FALSE)+(TRUNC(6+(24-6)*(TRUNC(MOD(($Z971*1103515245 +12345)/ 65536, 32768),0)/32768),0))</f>
        <v>13</v>
      </c>
      <c r="P971" s="16" t="e">
        <f t="shared" ca="1" si="53"/>
        <v>#NAME?</v>
      </c>
      <c r="Q971" s="153">
        <f ca="1">VLOOKUP($AB$2,'RF Mod'!$A$2:$G$12,6,FALSE)+VLOOKUP($AD$2,'RF Mod'!$I$2:$O$11,6,FALSE)+(TRUNC(6+(24-6)*(TRUNC(MOD(($Z971*1103515245 +12345)/ 65536, 32768),0)/32768),0))</f>
        <v>11</v>
      </c>
      <c r="R971" s="16" t="e">
        <f t="shared" ca="1" si="54"/>
        <v>#NAME?</v>
      </c>
      <c r="S971" s="154">
        <f t="shared" ca="1" si="59"/>
        <v>76</v>
      </c>
      <c r="T971" s="154">
        <f t="shared" ca="1" si="55"/>
        <v>34</v>
      </c>
      <c r="U971" s="16" t="str">
        <f t="shared" ca="1" si="56"/>
        <v>Fine</v>
      </c>
      <c r="V971" s="155">
        <f ca="1">IFERROR(__xludf.DUMMYFUNCTION("if(W971=""Middle Age"",QUERY(NPCVar!$K$2:$N1000, ""Select L where K = '""&amp;AB971&amp;""'""),if(W971=""Old"",QUERY(NPCVar!$K$2:$N1000, ""Select M where K = '""&amp;AB971&amp;""'""),if(W971=""Venerable"",QUERY(NPCVar!$K$2:$N1000, ""Select N where K = '""&amp;AB971&amp;""'""),fa"&amp;"lse)))*X971"),67.5)</f>
        <v>67.5</v>
      </c>
      <c r="W971" s="156" t="str">
        <f t="array" ref="W971">INDEX(NPCAgeType,TRUNC(1+(4-1)*(TRUNC(MOD((X971*1103515245 +12345)/ 65536, 32768),0)/32768),0))</f>
        <v>Old</v>
      </c>
      <c r="X971" s="117">
        <f t="shared" si="61"/>
        <v>1</v>
      </c>
      <c r="Y971" s="157" t="e">
        <f t="array" aca="1" ref="Y971" ca="1">LOOKUP(ABS(MAX(Z971 + MIN(ABS(INDIRECT("Class Jobs!B"&amp;MATCH(E971,'Class Jobs'!$A$1:$A1000,0)&amp;":"&amp;"AF"&amp;MATCH(E971,'Class Jobs'!$A$1:$A1000,0)&amp;"")-$Z971)) * SUM(IF(MIN(ABS(INDIRECT("Class Jobs!B"&amp;MATCH(E971,'Class Jobs'!$A$1:$A1000,0)&amp;":"&amp;"AF"&amp;MATCH(E971,'Class Jobs'!$A$1:$A1000,0)&amp;"")-$Z971))=ABS(INDIRECT("Class Jobs!B"&amp;MATCH(E971,'Class Jobs'!$A$1:$A1000,0)&amp;":"&amp;"AF"&amp;MATCH(E971,'Class Jobs'!$A$1:$A1000,0)&amp;"")-$Z971),SIGN(INDIRECT("Class Jobs!B"&amp;MATCH(E971,'Class Jobs'!$A$1:A1000,0)&amp;":"&amp;"AF"&amp;MATCH(E971,'Class Jobs'!$A$1:$A1000,0)&amp;"")-$Z971),0)),0)),INDIRECT("Class Jobs!B"&amp;MATCH(E971,'Class Jobs'!$A$1:$A1000,0)&amp;":"&amp;"AF"&amp;MATCH(E971,'Class Jobs'!$A$1:$A1000,1)&amp;""),'Class Jobs'!$B$1:$AF$1)</f>
        <v>#REF!</v>
      </c>
      <c r="Z971" s="158">
        <f t="shared" si="57"/>
        <v>0.41</v>
      </c>
      <c r="AA971" s="16" t="str">
        <f t="array" ref="AA971">INDEX(NPCGender,TRUNC(1+(COUNTA(NPCGender))*(TRUNC(MOD(($B971*1103515245 +12345)/ 65536, 32768),0)/32768),0))</f>
        <v>Female</v>
      </c>
      <c r="AB971" s="16" t="str">
        <f t="array" ref="AB971">INDEX(NPCRace,TRUNC(1+(COUNTA(NPCRace))*(TRUNC(MOD(($B971*1103515245 +12345)/ 65536, 32768),0)/32768),0))</f>
        <v>Half-Elf</v>
      </c>
      <c r="AC971" s="16" t="str">
        <f t="array" ref="AC971">INDEX(NPCAL,TRUNC(1+(COUNTA(NPCAL))*(TRUNC(MOD(($B971*1103515245 +12345)/ 65536, 32768),0)/32768),0))</f>
        <v>NG</v>
      </c>
      <c r="AD971" s="72" t="str">
        <f ca="1">IFERROR(__xludf.DUMMYFUNCTION("if(V971&lt;15,QUERY(NPCVar!C:D,""Select D WHERE C = '""&amp;D971&amp;""'""),if((TRUNC(1+10)*(TRUNC(MOD((ROW(H971)*1103515245 +12345)/ 65536, 32768),0)/32768)/10) &gt; 0.85,INDEX(NPCFaction,TRUNC(1+(counta(NPCFaction)-1)*(TRUNC(MOD(($B971*1103515245 +12345)/ 65536, 3276"&amp;"8),0)/32768),0)),QUERY(NPCVar!C:D,""Select D WHERE C = '""&amp;D971&amp;""'"")))"),"Adventures Guild")</f>
        <v>Adventures Guild</v>
      </c>
      <c r="AE971" s="108" t="e">
        <f t="shared" ca="1" si="58"/>
        <v>#NAME?</v>
      </c>
      <c r="AF971" s="159">
        <f ca="1">IFERROR(__xludf.DUMMYFUNCTION("AE971*(V971 / QUERY(NPCVar!$K$2:$N$12, ""Select N WHERE K='""&amp;AB971&amp;""'""))*TRUNC(1+10)*(TRUNC(MOD(($B971*1103515245 +12345)/ 65536, 32768),0)/32768)"),0.679678344726562)</f>
        <v>0.67967834472656197</v>
      </c>
      <c r="AG971" s="16"/>
      <c r="AH971" s="77"/>
      <c r="AI971" s="114"/>
    </row>
    <row r="972" spans="1:35" ht="16.2">
      <c r="A972" s="53">
        <v>971</v>
      </c>
      <c r="B972" s="118">
        <f t="shared" si="64"/>
        <v>2.29576</v>
      </c>
      <c r="C972" s="72" t="str">
        <f t="array" ref="C972">INDEX(NPCFName,TRUNC(1+(COUNTA(NPCFName))*(TRUNC(MOD(($B972*1103515245 +12345)/ 65536, 32768),0)/32768),0))</f>
        <v>Lurd</v>
      </c>
      <c r="D972" s="16" t="str">
        <f t="array" ref="D972">INDEX(NPCLName,TRUNC(1+(COUNTA(NPCLName))*(TRUNC(MOD(($B972*1103515245 +12345)/ 65536, 32768),0)/32768),0))</f>
        <v>Ashcloud</v>
      </c>
      <c r="E972" s="16" t="str">
        <f t="array" ref="E972">INDEX(NPCClass,TRUNC(1+(COUNTA(NPCClass))*(TRUNC(MOD(($B972*1103515245 +12345)/ 65536, 32768),0)/32768),0))</f>
        <v>Druid</v>
      </c>
      <c r="F972" s="76">
        <v>1</v>
      </c>
      <c r="G972" s="153">
        <f ca="1">VLOOKUP($AB$2,'RF Mod'!$A$2:$G$12,2,FALSE)+VLOOKUP($AD$2,'RF Mod'!$I$2:$O$11,2,FALSE)+(TRUNC(6+(24-6)*(TRUNC(MOD(($Z972*1103515245 +12345)/ 65536, 32768),0)/32768),0))</f>
        <v>5</v>
      </c>
      <c r="H972" s="16">
        <f t="shared" ca="1" si="49"/>
        <v>-3</v>
      </c>
      <c r="I972" s="153">
        <f ca="1">VLOOKUP($AB$2,'RF Mod'!$A$2:$G$12,3,FALSE)+VLOOKUP($AD$2,'RF Mod'!$I$2:$O$11,3,FALSE)+(TRUNC(6+(24-6)*(TRUNC(MOD(($Z972*1103515245 +12345)/ 65536, 32768),0)/32768),0))</f>
        <v>9</v>
      </c>
      <c r="J972" s="16">
        <f t="shared" ca="1" si="50"/>
        <v>-1</v>
      </c>
      <c r="K972" s="153">
        <f ca="1">VLOOKUP($AB$2,'RF Mod'!$A$2:$G$12,3,FALSE)+VLOOKUP($AD$2,'RF Mod'!$I$2:$O$11,3,FALSE)+(TRUNC(6+(24-6)*(TRUNC(MOD(($Z972*1103515245 +12345)/ 65536, 32768),0)/32768),0))</f>
        <v>9</v>
      </c>
      <c r="L972" s="16">
        <f t="shared" ca="1" si="51"/>
        <v>-1</v>
      </c>
      <c r="M972" s="153">
        <f ca="1">VLOOKUP($AB$2,'RF Mod'!$A$2:$G$12,4,FALSE)+VLOOKUP($AD$2,'RF Mod'!$I$2:$O$11,4,FALSE)+(TRUNC(6+(24-6)*(TRUNC(MOD(($Z972*1103515245 +12345)/ 65536, 32768),0)/32768),0))</f>
        <v>8</v>
      </c>
      <c r="N972" s="16">
        <f t="shared" ca="1" si="52"/>
        <v>-1</v>
      </c>
      <c r="O972" s="153">
        <f ca="1">VLOOKUP($AB$2,'RF Mod'!$A$2:$G$12,5,FALSE)+VLOOKUP($AD$2,'RF Mod'!$I$2:$O$11,5,FALSE)+(TRUNC(6+(24-6)*(TRUNC(MOD(($Z972*1103515245 +12345)/ 65536, 32768),0)/32768),0))</f>
        <v>11</v>
      </c>
      <c r="P972" s="16" t="e">
        <f t="shared" ca="1" si="53"/>
        <v>#NAME?</v>
      </c>
      <c r="Q972" s="153">
        <f ca="1">VLOOKUP($AB$2,'RF Mod'!$A$2:$G$12,6,FALSE)+VLOOKUP($AD$2,'RF Mod'!$I$2:$O$11,6,FALSE)+(TRUNC(6+(24-6)*(TRUNC(MOD(($Z972*1103515245 +12345)/ 65536, 32768),0)/32768),0))</f>
        <v>9</v>
      </c>
      <c r="R972" s="16">
        <f t="shared" ca="1" si="54"/>
        <v>-1</v>
      </c>
      <c r="S972" s="154">
        <f t="shared" ca="1" si="59"/>
        <v>11</v>
      </c>
      <c r="T972" s="154">
        <f t="shared" ca="1" si="55"/>
        <v>8</v>
      </c>
      <c r="U972" s="16" t="str">
        <f t="shared" ca="1" si="56"/>
        <v>Bloody</v>
      </c>
      <c r="V972" s="155">
        <f ca="1">IFERROR(__xludf.DUMMYFUNCTION("if(W972=""Middle Age"",QUERY(NPCVar!$K$2:$N1000, ""Select L where K = '""&amp;AB972&amp;""'""),if(W972=""Old"",QUERY(NPCVar!$K$2:$N1000, ""Select M where K = '""&amp;AB972&amp;""'""),if(W972=""Venerable"",QUERY(NPCVar!$K$2:$N1000, ""Select N where K = '""&amp;AB972&amp;""'""),fa"&amp;"lse)))*X972"),40)</f>
        <v>40</v>
      </c>
      <c r="W972" s="156" t="str">
        <f t="array" ref="W972">INDEX(NPCAgeType,TRUNC(1+(4-1)*(TRUNC(MOD((X972*1103515245 +12345)/ 65536, 32768),0)/32768),0))</f>
        <v>Middle Age</v>
      </c>
      <c r="X972" s="117">
        <f t="shared" si="61"/>
        <v>0.5</v>
      </c>
      <c r="Y972" s="157" t="e">
        <f t="array" aca="1" ref="Y972" ca="1">LOOKUP(ABS(MAX(Z972 + MIN(ABS(INDIRECT("Class Jobs!B"&amp;MATCH(E972,'Class Jobs'!$A$1:$A1000,0)&amp;":"&amp;"AF"&amp;MATCH(E972,'Class Jobs'!$A$1:$A1000,0)&amp;"")-$Z972)) * SUM(IF(MIN(ABS(INDIRECT("Class Jobs!B"&amp;MATCH(E972,'Class Jobs'!$A$1:$A1000,0)&amp;":"&amp;"AF"&amp;MATCH(E972,'Class Jobs'!$A$1:$A1000,0)&amp;"")-$Z972))=ABS(INDIRECT("Class Jobs!B"&amp;MATCH(E972,'Class Jobs'!$A$1:$A1000,0)&amp;":"&amp;"AF"&amp;MATCH(E972,'Class Jobs'!$A$1:$A1000,0)&amp;"")-$Z972),SIGN(INDIRECT("Class Jobs!B"&amp;MATCH(E972,'Class Jobs'!$A$1:A1000,0)&amp;":"&amp;"AF"&amp;MATCH(E972,'Class Jobs'!$A$1:$A1000,0)&amp;"")-$Z972),0)),0)),INDIRECT("Class Jobs!B"&amp;MATCH(E972,'Class Jobs'!$A$1:$A1000,0)&amp;":"&amp;"AF"&amp;MATCH(E972,'Class Jobs'!$A$1:$A1000,1)&amp;""),'Class Jobs'!$B$1:$AF$1)</f>
        <v>#REF!</v>
      </c>
      <c r="Z972" s="158">
        <f t="shared" si="57"/>
        <v>0.18</v>
      </c>
      <c r="AA972" s="16" t="str">
        <f t="array" ref="AA972">INDEX(NPCGender,TRUNC(1+(COUNTA(NPCGender))*(TRUNC(MOD(($B972*1103515245 +12345)/ 65536, 32768),0)/32768),0))</f>
        <v>Male</v>
      </c>
      <c r="AB972" s="16" t="str">
        <f t="array" ref="AB972">INDEX(NPCRace,TRUNC(1+(COUNTA(NPCRace))*(TRUNC(MOD(($B972*1103515245 +12345)/ 65536, 32768),0)/32768),0))</f>
        <v>Dwarf</v>
      </c>
      <c r="AC972" s="16" t="str">
        <f t="array" ref="AC972">INDEX(NPCAL,TRUNC(1+(COUNTA(NPCAL))*(TRUNC(MOD(($B972*1103515245 +12345)/ 65536, 32768),0)/32768),0))</f>
        <v>CE</v>
      </c>
      <c r="AD972" s="72" t="str">
        <f ca="1">IFERROR(__xludf.DUMMYFUNCTION("if(V972&lt;15,QUERY(NPCVar!C:D,""Select D WHERE C = '""&amp;D972&amp;""'""),if((TRUNC(1+10)*(TRUNC(MOD((ROW(H972)*1103515245 +12345)/ 65536, 32768),0)/32768)/10) &gt; 0.85,INDEX(NPCFaction,TRUNC(1+(counta(NPCFaction)-1)*(TRUNC(MOD(($B972*1103515245 +12345)/ 65536, 3276"&amp;"8),0)/32768),0)),QUERY(NPCVar!C:D,""Select D WHERE C = '""&amp;D972&amp;""'"")))"),"Magic Guild")</f>
        <v>Magic Guild</v>
      </c>
      <c r="AE972" s="108" t="e">
        <f t="shared" ca="1" si="58"/>
        <v>#NAME?</v>
      </c>
      <c r="AF972" s="159">
        <f ca="1">IFERROR(__xludf.DUMMYFUNCTION("AE972*(V972 / QUERY(NPCVar!$K$2:$N$12, ""Select N WHERE K='""&amp;AB972&amp;""'""))*TRUNC(1+10)*(TRUNC(MOD(($B972*1103515245 +12345)/ 65536, 32768),0)/32768)"),0.1482421875)</f>
        <v>0.14824218750000001</v>
      </c>
      <c r="AG972" s="16"/>
      <c r="AH972" s="77"/>
      <c r="AI972" s="114"/>
    </row>
    <row r="973" spans="1:35" ht="16.2">
      <c r="A973" s="53">
        <v>972</v>
      </c>
      <c r="B973" s="118">
        <f t="shared" si="64"/>
        <v>1.2899</v>
      </c>
      <c r="C973" s="72" t="str">
        <f t="array" ref="C973">INDEX(NPCFName,TRUNC(1+(COUNTA(NPCFName))*(TRUNC(MOD(($B973*1103515245 +12345)/ 65536, 32768),0)/32768),0))</f>
        <v>Zigmal</v>
      </c>
      <c r="D973" s="16" t="str">
        <f t="array" ref="D973">INDEX(NPCLName,TRUNC(1+(COUNTA(NPCLName))*(TRUNC(MOD(($B973*1103515245 +12345)/ 65536, 32768),0)/32768),0))</f>
        <v>Mourninglash</v>
      </c>
      <c r="E973" s="16" t="str">
        <f t="array" ref="E973">INDEX(NPCClass,TRUNC(1+(COUNTA(NPCClass))*(TRUNC(MOD(($B973*1103515245 +12345)/ 65536, 32768),0)/32768),0))</f>
        <v>Warlock</v>
      </c>
      <c r="F973" s="76">
        <v>8</v>
      </c>
      <c r="G973" s="153">
        <f ca="1">VLOOKUP($AB$2,'RF Mod'!$A$2:$G$12,2,FALSE)+VLOOKUP($AD$2,'RF Mod'!$I$2:$O$11,2,FALSE)+(TRUNC(6+(24-6)*(TRUNC(MOD(($Z973*1103515245 +12345)/ 65536, 32768),0)/32768),0))</f>
        <v>10</v>
      </c>
      <c r="H973" s="16" t="e">
        <f t="shared" ca="1" si="49"/>
        <v>#NAME?</v>
      </c>
      <c r="I973" s="153">
        <f ca="1">VLOOKUP($AB$2,'RF Mod'!$A$2:$G$12,3,FALSE)+VLOOKUP($AD$2,'RF Mod'!$I$2:$O$11,3,FALSE)+(TRUNC(6+(24-6)*(TRUNC(MOD(($Z973*1103515245 +12345)/ 65536, 32768),0)/32768),0))</f>
        <v>14</v>
      </c>
      <c r="J973" s="16" t="e">
        <f t="shared" ca="1" si="50"/>
        <v>#NAME?</v>
      </c>
      <c r="K973" s="153">
        <f ca="1">VLOOKUP($AB$2,'RF Mod'!$A$2:$G$12,3,FALSE)+VLOOKUP($AD$2,'RF Mod'!$I$2:$O$11,3,FALSE)+(TRUNC(6+(24-6)*(TRUNC(MOD(($Z973*1103515245 +12345)/ 65536, 32768),0)/32768),0))</f>
        <v>14</v>
      </c>
      <c r="L973" s="16" t="e">
        <f t="shared" ca="1" si="51"/>
        <v>#NAME?</v>
      </c>
      <c r="M973" s="153">
        <f ca="1">VLOOKUP($AB$2,'RF Mod'!$A$2:$G$12,4,FALSE)+VLOOKUP($AD$2,'RF Mod'!$I$2:$O$11,4,FALSE)+(TRUNC(6+(24-6)*(TRUNC(MOD(($Z973*1103515245 +12345)/ 65536, 32768),0)/32768),0))</f>
        <v>13</v>
      </c>
      <c r="N973" s="16" t="e">
        <f t="shared" ca="1" si="52"/>
        <v>#NAME?</v>
      </c>
      <c r="O973" s="153">
        <f ca="1">VLOOKUP($AB$2,'RF Mod'!$A$2:$G$12,5,FALSE)+VLOOKUP($AD$2,'RF Mod'!$I$2:$O$11,5,FALSE)+(TRUNC(6+(24-6)*(TRUNC(MOD(($Z973*1103515245 +12345)/ 65536, 32768),0)/32768),0))</f>
        <v>16</v>
      </c>
      <c r="P973" s="16" t="e">
        <f t="shared" ca="1" si="53"/>
        <v>#NAME?</v>
      </c>
      <c r="Q973" s="153">
        <f ca="1">VLOOKUP($AB$2,'RF Mod'!$A$2:$G$12,6,FALSE)+VLOOKUP($AD$2,'RF Mod'!$I$2:$O$11,6,FALSE)+(TRUNC(6+(24-6)*(TRUNC(MOD(($Z973*1103515245 +12345)/ 65536, 32768),0)/32768),0))</f>
        <v>14</v>
      </c>
      <c r="R973" s="16" t="e">
        <f t="shared" ca="1" si="54"/>
        <v>#NAME?</v>
      </c>
      <c r="S973" s="154">
        <f t="shared" ca="1" si="59"/>
        <v>208</v>
      </c>
      <c r="T973" s="154">
        <f t="shared" ca="1" si="55"/>
        <v>199</v>
      </c>
      <c r="U973" s="16" t="str">
        <f t="shared" ca="1" si="56"/>
        <v>Bloody</v>
      </c>
      <c r="V973" s="155">
        <f ca="1">IFERROR(__xludf.DUMMYFUNCTION("if(W973=""Middle Age"",QUERY(NPCVar!$K$2:$N1000, ""Select L where K = '""&amp;AB973&amp;""'""),if(W973=""Old"",QUERY(NPCVar!$K$2:$N1000, ""Select M where K = '""&amp;AB973&amp;""'""),if(W973=""Venerable"",QUERY(NPCVar!$K$2:$N1000, ""Select N where K = '""&amp;AB973&amp;""'""),fa"&amp;"lse)))*X973"),144)</f>
        <v>144</v>
      </c>
      <c r="W973" s="156" t="str">
        <f t="array" ref="W973">INDEX(NPCAgeType,TRUNC(1+(4-1)*(TRUNC(MOD((X973*1103515245 +12345)/ 65536, 32768),0)/32768),0))</f>
        <v>Venerable</v>
      </c>
      <c r="X973" s="117">
        <f t="shared" si="61"/>
        <v>1.6</v>
      </c>
      <c r="Y973" s="157" t="e">
        <f t="array" aca="1" ref="Y973" ca="1">LOOKUP(ABS(MAX(Z973 + MIN(ABS(INDIRECT("Class Jobs!B"&amp;MATCH(E973,'Class Jobs'!$A$1:$A1000,0)&amp;":"&amp;"AF"&amp;MATCH(E973,'Class Jobs'!$A$1:$A1000,0)&amp;"")-$Z973)) * SUM(IF(MIN(ABS(INDIRECT("Class Jobs!B"&amp;MATCH(E973,'Class Jobs'!$A$1:$A1000,0)&amp;":"&amp;"AF"&amp;MATCH(E973,'Class Jobs'!$A$1:$A1000,0)&amp;"")-$Z973))=ABS(INDIRECT("Class Jobs!B"&amp;MATCH(E973,'Class Jobs'!$A$1:$A1000,0)&amp;":"&amp;"AF"&amp;MATCH(E973,'Class Jobs'!$A$1:$A1000,0)&amp;"")-$Z973),SIGN(INDIRECT("Class Jobs!B"&amp;MATCH(E973,'Class Jobs'!$A$1:A1000,0)&amp;":"&amp;"AF"&amp;MATCH(E973,'Class Jobs'!$A$1:$A1000,0)&amp;"")-$Z973),0)),0)),INDIRECT("Class Jobs!B"&amp;MATCH(E973,'Class Jobs'!$A$1:$A1000,0)&amp;":"&amp;"AF"&amp;MATCH(E973,'Class Jobs'!$A$1:$A1000,1)&amp;""),'Class Jobs'!$B$1:$AF$1)</f>
        <v>#REF!</v>
      </c>
      <c r="Z973" s="158">
        <f t="shared" si="57"/>
        <v>0.66</v>
      </c>
      <c r="AA973" s="16" t="str">
        <f t="array" ref="AA973">INDEX(NPCGender,TRUNC(1+(COUNTA(NPCGender))*(TRUNC(MOD(($B973*1103515245 +12345)/ 65536, 32768),0)/32768),0))</f>
        <v>Female</v>
      </c>
      <c r="AB973" s="16" t="str">
        <f t="array" ref="AB973">INDEX(NPCRace,TRUNC(1+(COUNTA(NPCRace))*(TRUNC(MOD(($B973*1103515245 +12345)/ 65536, 32768),0)/32768),0))</f>
        <v>Human</v>
      </c>
      <c r="AC973" s="16" t="str">
        <f t="array" ref="AC973">INDEX(NPCAL,TRUNC(1+(COUNTA(NPCAL))*(TRUNC(MOD(($B973*1103515245 +12345)/ 65536, 32768),0)/32768),0))</f>
        <v>NE</v>
      </c>
      <c r="AD973" s="72" t="str">
        <f ca="1">IFERROR(__xludf.DUMMYFUNCTION("if(V973&lt;15,QUERY(NPCVar!C:D,""Select D WHERE C = '""&amp;D973&amp;""'""),if((TRUNC(1+10)*(TRUNC(MOD((ROW(H973)*1103515245 +12345)/ 65536, 32768),0)/32768)/10) &gt; 0.85,INDEX(NPCFaction,TRUNC(1+(counta(NPCFaction)-1)*(TRUNC(MOD(($B973*1103515245 +12345)/ 65536, 3276"&amp;"8),0)/32768),0)),QUERY(NPCVar!C:D,""Select D WHERE C = '""&amp;D973&amp;""'"")))"),"Death Guild")</f>
        <v>Death Guild</v>
      </c>
      <c r="AE973" s="108" t="e">
        <f t="shared" ca="1" si="58"/>
        <v>#NAME?</v>
      </c>
      <c r="AF973" s="159">
        <f ca="1">IFERROR(__xludf.DUMMYFUNCTION("AE973*(V973 / QUERY(NPCVar!$K$2:$N$12, ""Select N WHERE K='""&amp;AB973&amp;""'""))*TRUNC(1+10)*(TRUNC(MOD(($B973*1103515245 +12345)/ 65536, 32768),0)/32768)"),6.99928710937499)</f>
        <v>6.9992871093749898</v>
      </c>
      <c r="AG973" s="16"/>
      <c r="AH973" s="77"/>
      <c r="AI973" s="114"/>
    </row>
    <row r="974" spans="1:35" ht="16.2">
      <c r="A974" s="53">
        <v>973</v>
      </c>
      <c r="B974" s="118">
        <f t="shared" si="64"/>
        <v>0.28405000000000002</v>
      </c>
      <c r="C974" s="72" t="str">
        <f t="array" ref="C974">INDEX(NPCFName,TRUNC(1+(COUNTA(NPCFName))*(TRUNC(MOD(($B974*1103515245 +12345)/ 65536, 32768),0)/32768),0))</f>
        <v>Isen</v>
      </c>
      <c r="D974" s="16" t="str">
        <f t="array" ref="D974">INDEX(NPCLName,TRUNC(1+(COUNTA(NPCLName))*(TRUNC(MOD(($B974*1103515245 +12345)/ 65536, 32768),0)/32768),0))</f>
        <v>Fistwing</v>
      </c>
      <c r="E974" s="16" t="str">
        <f t="array" ref="E974">INDEX(NPCClass,TRUNC(1+(COUNTA(NPCClass))*(TRUNC(MOD(($B974*1103515245 +12345)/ 65536, 32768),0)/32768),0))</f>
        <v>Bard</v>
      </c>
      <c r="F974" s="76">
        <v>1</v>
      </c>
      <c r="G974" s="153">
        <f ca="1">VLOOKUP($AB$2,'RF Mod'!$A$2:$G$12,2,FALSE)+VLOOKUP($AD$2,'RF Mod'!$I$2:$O$11,2,FALSE)+(TRUNC(6+(24-6)*(TRUNC(MOD(($Z974*1103515245 +12345)/ 65536, 32768),0)/32768),0))</f>
        <v>5</v>
      </c>
      <c r="H974" s="16">
        <f t="shared" ca="1" si="49"/>
        <v>-3</v>
      </c>
      <c r="I974" s="153">
        <f ca="1">VLOOKUP($AB$2,'RF Mod'!$A$2:$G$12,3,FALSE)+VLOOKUP($AD$2,'RF Mod'!$I$2:$O$11,3,FALSE)+(TRUNC(6+(24-6)*(TRUNC(MOD(($Z974*1103515245 +12345)/ 65536, 32768),0)/32768),0))</f>
        <v>9</v>
      </c>
      <c r="J974" s="16">
        <f t="shared" ca="1" si="50"/>
        <v>-1</v>
      </c>
      <c r="K974" s="153">
        <f ca="1">VLOOKUP($AB$2,'RF Mod'!$A$2:$G$12,3,FALSE)+VLOOKUP($AD$2,'RF Mod'!$I$2:$O$11,3,FALSE)+(TRUNC(6+(24-6)*(TRUNC(MOD(($Z974*1103515245 +12345)/ 65536, 32768),0)/32768),0))</f>
        <v>9</v>
      </c>
      <c r="L974" s="16">
        <f t="shared" ca="1" si="51"/>
        <v>-1</v>
      </c>
      <c r="M974" s="153">
        <f ca="1">VLOOKUP($AB$2,'RF Mod'!$A$2:$G$12,4,FALSE)+VLOOKUP($AD$2,'RF Mod'!$I$2:$O$11,4,FALSE)+(TRUNC(6+(24-6)*(TRUNC(MOD(($Z974*1103515245 +12345)/ 65536, 32768),0)/32768),0))</f>
        <v>8</v>
      </c>
      <c r="N974" s="16">
        <f t="shared" ca="1" si="52"/>
        <v>-1</v>
      </c>
      <c r="O974" s="153">
        <f ca="1">VLOOKUP($AB$2,'RF Mod'!$A$2:$G$12,5,FALSE)+VLOOKUP($AD$2,'RF Mod'!$I$2:$O$11,5,FALSE)+(TRUNC(6+(24-6)*(TRUNC(MOD(($Z974*1103515245 +12345)/ 65536, 32768),0)/32768),0))</f>
        <v>11</v>
      </c>
      <c r="P974" s="16" t="e">
        <f t="shared" ca="1" si="53"/>
        <v>#NAME?</v>
      </c>
      <c r="Q974" s="153">
        <f ca="1">VLOOKUP($AB$2,'RF Mod'!$A$2:$G$12,6,FALSE)+VLOOKUP($AD$2,'RF Mod'!$I$2:$O$11,6,FALSE)+(TRUNC(6+(24-6)*(TRUNC(MOD(($Z974*1103515245 +12345)/ 65536, 32768),0)/32768),0))</f>
        <v>9</v>
      </c>
      <c r="R974" s="16">
        <f t="shared" ca="1" si="54"/>
        <v>-1</v>
      </c>
      <c r="S974" s="154">
        <f t="shared" ca="1" si="59"/>
        <v>11</v>
      </c>
      <c r="T974" s="154">
        <f t="shared" ca="1" si="55"/>
        <v>5</v>
      </c>
      <c r="U974" s="16" t="str">
        <f t="shared" ca="1" si="56"/>
        <v>Fine</v>
      </c>
      <c r="V974" s="155">
        <f ca="1">IFERROR(__xludf.DUMMYFUNCTION("if(W974=""Middle Age"",QUERY(NPCVar!$K$2:$N1000, ""Select L where K = '""&amp;AB974&amp;""'""),if(W974=""Old"",QUERY(NPCVar!$K$2:$N1000, ""Select M where K = '""&amp;AB974&amp;""'""),if(W974=""Venerable"",QUERY(NPCVar!$K$2:$N1000, ""Select N where K = '""&amp;AB974&amp;""'""),fa"&amp;"lse)))*X974"),32)</f>
        <v>32</v>
      </c>
      <c r="W974" s="156" t="str">
        <f t="array" ref="W974">INDEX(NPCAgeType,TRUNC(1+(4-1)*(TRUNC(MOD((X974*1103515245 +12345)/ 65536, 32768),0)/32768),0))</f>
        <v>Middle Age</v>
      </c>
      <c r="X974" s="117">
        <f t="shared" si="61"/>
        <v>0.4</v>
      </c>
      <c r="Y974" s="157" t="e">
        <f t="array" aca="1" ref="Y974" ca="1">LOOKUP(ABS(MAX(Z974 + MIN(ABS(INDIRECT("Class Jobs!B"&amp;MATCH(E974,'Class Jobs'!$A$1:$A1000,0)&amp;":"&amp;"AF"&amp;MATCH(E974,'Class Jobs'!$A$1:$A1000,0)&amp;"")-$Z974)) * SUM(IF(MIN(ABS(INDIRECT("Class Jobs!B"&amp;MATCH(E974,'Class Jobs'!$A$1:$A1000,0)&amp;":"&amp;"AF"&amp;MATCH(E974,'Class Jobs'!$A$1:$A1000,0)&amp;"")-$Z974))=ABS(INDIRECT("Class Jobs!B"&amp;MATCH(E974,'Class Jobs'!$A$1:$A1000,0)&amp;":"&amp;"AF"&amp;MATCH(E974,'Class Jobs'!$A$1:$A1000,0)&amp;"")-$Z974),SIGN(INDIRECT("Class Jobs!B"&amp;MATCH(E974,'Class Jobs'!$A$1:A1000,0)&amp;":"&amp;"AF"&amp;MATCH(E974,'Class Jobs'!$A$1:$A1000,0)&amp;"")-$Z974),0)),0)),INDIRECT("Class Jobs!B"&amp;MATCH(E974,'Class Jobs'!$A$1:$A1000,0)&amp;":"&amp;"AF"&amp;MATCH(E974,'Class Jobs'!$A$1:$A1000,1)&amp;""),'Class Jobs'!$B$1:$AF$1)</f>
        <v>#REF!</v>
      </c>
      <c r="Z974" s="158">
        <f t="shared" si="57"/>
        <v>0.15</v>
      </c>
      <c r="AA974" s="16" t="str">
        <f t="array" ref="AA974">INDEX(NPCGender,TRUNC(1+(COUNTA(NPCGender))*(TRUNC(MOD(($B974*1103515245 +12345)/ 65536, 32768),0)/32768),0))</f>
        <v>Male</v>
      </c>
      <c r="AB974" s="16" t="str">
        <f t="array" ref="AB974">INDEX(NPCRace,TRUNC(1+(COUNTA(NPCRace))*(TRUNC(MOD(($B974*1103515245 +12345)/ 65536, 32768),0)/32768),0))</f>
        <v>Dwarf</v>
      </c>
      <c r="AC974" s="16" t="str">
        <f t="array" ref="AC974">INDEX(NPCAL,TRUNC(1+(COUNTA(NPCAL))*(TRUNC(MOD(($B974*1103515245 +12345)/ 65536, 32768),0)/32768),0))</f>
        <v>CE</v>
      </c>
      <c r="AD974" s="72" t="str">
        <f ca="1">IFERROR(__xludf.DUMMYFUNCTION("if(V974&lt;15,QUERY(NPCVar!C:D,""Select D WHERE C = '""&amp;D974&amp;""'""),if((TRUNC(1+10)*(TRUNC(MOD((ROW(H974)*1103515245 +12345)/ 65536, 32768),0)/32768)/10) &gt; 0.85,INDEX(NPCFaction,TRUNC(1+(counta(NPCFaction)-1)*(TRUNC(MOD(($B974*1103515245 +12345)/ 65536, 3276"&amp;"8),0)/32768),0)),QUERY(NPCVar!C:D,""Select D WHERE C = '""&amp;D974&amp;""'"")))"),"Royalty")</f>
        <v>Royalty</v>
      </c>
      <c r="AE974" s="108" t="e">
        <f t="shared" ca="1" si="58"/>
        <v>#NAME?</v>
      </c>
      <c r="AF974" s="159">
        <f ca="1">IFERROR(__xludf.DUMMYFUNCTION("AE974*(V974 / QUERY(NPCVar!$K$2:$N$12, ""Select N WHERE K='""&amp;AB974&amp;""'""))*TRUNC(1+10)*(TRUNC(MOD(($B974*1103515245 +12345)/ 65536, 32768),0)/32768)"),0.0963372802734375)</f>
        <v>9.6337280273437506E-2</v>
      </c>
      <c r="AG974" s="16"/>
      <c r="AH974" s="77"/>
      <c r="AI974" s="114"/>
    </row>
    <row r="975" spans="1:35" ht="16.2">
      <c r="A975" s="53">
        <v>974</v>
      </c>
      <c r="B975" s="118">
        <f t="shared" si="64"/>
        <v>1.7781800000000001</v>
      </c>
      <c r="C975" s="72" t="str">
        <f t="array" ref="C975">INDEX(NPCFName,TRUNC(1+(COUNTA(NPCFName))*(TRUNC(MOD(($B975*1103515245 +12345)/ 65536, 32768),0)/32768),0))</f>
        <v>Rogist</v>
      </c>
      <c r="D975" s="16" t="str">
        <f t="array" ref="D975">INDEX(NPCLName,TRUNC(1+(COUNTA(NPCLName))*(TRUNC(MOD(($B975*1103515245 +12345)/ 65536, 32768),0)/32768),0))</f>
        <v>Stormwolf</v>
      </c>
      <c r="E975" s="16" t="str">
        <f t="array" ref="E975">INDEX(NPCClass,TRUNC(1+(COUNTA(NPCClass))*(TRUNC(MOD(($B975*1103515245 +12345)/ 65536, 32768),0)/32768),0))</f>
        <v>Fighter</v>
      </c>
      <c r="F975" s="76">
        <v>8</v>
      </c>
      <c r="G975" s="153">
        <f ca="1">VLOOKUP($AB$2,'RF Mod'!$A$2:$G$12,2,FALSE)+VLOOKUP($AD$2,'RF Mod'!$I$2:$O$11,2,FALSE)+(TRUNC(6+(24-6)*(TRUNC(MOD(($Z975*1103515245 +12345)/ 65536, 32768),0)/32768),0))</f>
        <v>12</v>
      </c>
      <c r="H975" s="16" t="e">
        <f t="shared" ca="1" si="49"/>
        <v>#NAME?</v>
      </c>
      <c r="I975" s="153">
        <f ca="1">VLOOKUP($AB$2,'RF Mod'!$A$2:$G$12,3,FALSE)+VLOOKUP($AD$2,'RF Mod'!$I$2:$O$11,3,FALSE)+(TRUNC(6+(24-6)*(TRUNC(MOD(($Z975*1103515245 +12345)/ 65536, 32768),0)/32768),0))</f>
        <v>16</v>
      </c>
      <c r="J975" s="16" t="e">
        <f t="shared" ca="1" si="50"/>
        <v>#NAME?</v>
      </c>
      <c r="K975" s="153">
        <f ca="1">VLOOKUP($AB$2,'RF Mod'!$A$2:$G$12,3,FALSE)+VLOOKUP($AD$2,'RF Mod'!$I$2:$O$11,3,FALSE)+(TRUNC(6+(24-6)*(TRUNC(MOD(($Z975*1103515245 +12345)/ 65536, 32768),0)/32768),0))</f>
        <v>16</v>
      </c>
      <c r="L975" s="16" t="e">
        <f t="shared" ca="1" si="51"/>
        <v>#NAME?</v>
      </c>
      <c r="M975" s="153">
        <f ca="1">VLOOKUP($AB$2,'RF Mod'!$A$2:$G$12,4,FALSE)+VLOOKUP($AD$2,'RF Mod'!$I$2:$O$11,4,FALSE)+(TRUNC(6+(24-6)*(TRUNC(MOD(($Z975*1103515245 +12345)/ 65536, 32768),0)/32768),0))</f>
        <v>15</v>
      </c>
      <c r="N975" s="16" t="e">
        <f t="shared" ca="1" si="52"/>
        <v>#NAME?</v>
      </c>
      <c r="O975" s="153">
        <f ca="1">VLOOKUP($AB$2,'RF Mod'!$A$2:$G$12,5,FALSE)+VLOOKUP($AD$2,'RF Mod'!$I$2:$O$11,5,FALSE)+(TRUNC(6+(24-6)*(TRUNC(MOD(($Z975*1103515245 +12345)/ 65536, 32768),0)/32768),0))</f>
        <v>18</v>
      </c>
      <c r="P975" s="16" t="e">
        <f t="shared" ca="1" si="53"/>
        <v>#NAME?</v>
      </c>
      <c r="Q975" s="153">
        <f ca="1">VLOOKUP($AB$2,'RF Mod'!$A$2:$G$12,6,FALSE)+VLOOKUP($AD$2,'RF Mod'!$I$2:$O$11,6,FALSE)+(TRUNC(6+(24-6)*(TRUNC(MOD(($Z975*1103515245 +12345)/ 65536, 32768),0)/32768),0))</f>
        <v>16</v>
      </c>
      <c r="R975" s="16" t="e">
        <f t="shared" ca="1" si="54"/>
        <v>#NAME?</v>
      </c>
      <c r="S975" s="154">
        <f t="shared" ca="1" si="59"/>
        <v>240</v>
      </c>
      <c r="T975" s="154">
        <f t="shared" ca="1" si="55"/>
        <v>34</v>
      </c>
      <c r="U975" s="16" t="str">
        <f t="shared" ca="1" si="56"/>
        <v>Fine</v>
      </c>
      <c r="V975" s="155">
        <f ca="1">IFERROR(__xludf.DUMMYFUNCTION("if(W975=""Middle Age"",QUERY(NPCVar!$K$2:$N1000, ""Select L where K = '""&amp;AB975&amp;""'""),if(W975=""Old"",QUERY(NPCVar!$K$2:$N1000, ""Select M where K = '""&amp;AB975&amp;""'""),if(W975=""Venerable"",QUERY(NPCVar!$K$2:$N1000, ""Select N where K = '""&amp;AB975&amp;""'""),fa"&amp;"lse)))*X975"),66)</f>
        <v>66</v>
      </c>
      <c r="W975" s="156" t="str">
        <f t="array" ref="W975">INDEX(NPCAgeType,TRUNC(1+(4-1)*(TRUNC(MOD((X975*1103515245 +12345)/ 65536, 32768),0)/32768),0))</f>
        <v>Middle Age</v>
      </c>
      <c r="X975" s="117">
        <f t="shared" si="61"/>
        <v>2.2000000000000002</v>
      </c>
      <c r="Y975" s="157" t="e">
        <f t="array" aca="1" ref="Y975" ca="1">LOOKUP(ABS(MAX(Z975 + MIN(ABS(INDIRECT("Class Jobs!B"&amp;MATCH(E975,'Class Jobs'!$A$1:$A1000,0)&amp;":"&amp;"AF"&amp;MATCH(E975,'Class Jobs'!$A$1:$A1000,0)&amp;"")-$Z975)) * SUM(IF(MIN(ABS(INDIRECT("Class Jobs!B"&amp;MATCH(E975,'Class Jobs'!$A$1:$A1000,0)&amp;":"&amp;"AF"&amp;MATCH(E975,'Class Jobs'!$A$1:$A1000,0)&amp;"")-$Z975))=ABS(INDIRECT("Class Jobs!B"&amp;MATCH(E975,'Class Jobs'!$A$1:$A1000,0)&amp;":"&amp;"AF"&amp;MATCH(E975,'Class Jobs'!$A$1:$A1000,0)&amp;"")-$Z975),SIGN(INDIRECT("Class Jobs!B"&amp;MATCH(E975,'Class Jobs'!$A$1:A1000,0)&amp;":"&amp;"AF"&amp;MATCH(E975,'Class Jobs'!$A$1:$A1000,0)&amp;"")-$Z975),0)),0)),INDIRECT("Class Jobs!B"&amp;MATCH(E975,'Class Jobs'!$A$1:$A1000,0)&amp;":"&amp;"AF"&amp;MATCH(E975,'Class Jobs'!$A$1:$A1000,1)&amp;""),'Class Jobs'!$B$1:$AF$1)</f>
        <v>#REF!</v>
      </c>
      <c r="Z975" s="158">
        <f t="shared" si="57"/>
        <v>0.91</v>
      </c>
      <c r="AA975" s="16" t="str">
        <f t="array" ref="AA975">INDEX(NPCGender,TRUNC(1+(COUNTA(NPCGender))*(TRUNC(MOD(($B975*1103515245 +12345)/ 65536, 32768),0)/32768),0))</f>
        <v>Neutral</v>
      </c>
      <c r="AB975" s="16" t="str">
        <f t="array" ref="AB975">INDEX(NPCRace,TRUNC(1+(COUNTA(NPCRace))*(TRUNC(MOD(($B975*1103515245 +12345)/ 65536, 32768),0)/32768),0))</f>
        <v>Goliath</v>
      </c>
      <c r="AC975" s="16" t="str">
        <f t="array" ref="AC975">INDEX(NPCAL,TRUNC(1+(COUNTA(NPCAL))*(TRUNC(MOD(($B975*1103515245 +12345)/ 65536, 32768),0)/32768),0))</f>
        <v>LE</v>
      </c>
      <c r="AD975" s="72" t="str">
        <f ca="1">IFERROR(__xludf.DUMMYFUNCTION("if(V975&lt;15,QUERY(NPCVar!C:D,""Select D WHERE C = '""&amp;D975&amp;""'""),if((TRUNC(1+10)*(TRUNC(MOD((ROW(H975)*1103515245 +12345)/ 65536, 32768),0)/32768)/10) &gt; 0.85,INDEX(NPCFaction,TRUNC(1+(counta(NPCFaction)-1)*(TRUNC(MOD(($B975*1103515245 +12345)/ 65536, 3276"&amp;"8),0)/32768),0)),QUERY(NPCVar!C:D,""Select D WHERE C = '""&amp;D975&amp;""'"")))"),"Followers of Isis")</f>
        <v>Followers of Isis</v>
      </c>
      <c r="AE975" s="108" t="e">
        <f t="shared" ca="1" si="58"/>
        <v>#NAME?</v>
      </c>
      <c r="AF975" s="159">
        <f ca="1">IFERROR(__xludf.DUMMYFUNCTION("AE975*(V975 / QUERY(NPCVar!$K$2:$N$12, ""Select N WHERE K='""&amp;AB975&amp;""'""))*TRUNC(1+10)*(TRUNC(MOD(($B975*1103515245 +12345)/ 65536, 32768),0)/32768)"),3.31682830810546)</f>
        <v>3.3168283081054599</v>
      </c>
      <c r="AG975" s="16"/>
      <c r="AH975" s="77"/>
      <c r="AI975" s="114"/>
    </row>
    <row r="976" spans="1:35" ht="16.2">
      <c r="A976" s="53">
        <v>975</v>
      </c>
      <c r="B976" s="118">
        <f t="shared" si="64"/>
        <v>0.77232999999999996</v>
      </c>
      <c r="C976" s="72" t="str">
        <f t="array" ref="C976">INDEX(NPCFName,TRUNC(1+(COUNTA(NPCFName))*(TRUNC(MOD(($B976*1103515245 +12345)/ 65536, 32768),0)/32768),0))</f>
        <v>Daermod</v>
      </c>
      <c r="D976" s="16" t="str">
        <f t="array" ref="D976">INDEX(NPCLName,TRUNC(1+(COUNTA(NPCLName))*(TRUNC(MOD(($B976*1103515245 +12345)/ 65536, 32768),0)/32768),0))</f>
        <v>Fistroot</v>
      </c>
      <c r="E976" s="16" t="str">
        <f t="array" ref="E976">INDEX(NPCClass,TRUNC(1+(COUNTA(NPCClass))*(TRUNC(MOD(($B976*1103515245 +12345)/ 65536, 32768),0)/32768),0))</f>
        <v>Paladin</v>
      </c>
      <c r="F976" s="76">
        <v>6</v>
      </c>
      <c r="G976" s="153">
        <f ca="1">VLOOKUP($AB$2,'RF Mod'!$A$2:$G$12,2,FALSE)+VLOOKUP($AD$2,'RF Mod'!$I$2:$O$11,2,FALSE)+(TRUNC(6+(24-6)*(TRUNC(MOD(($Z976*1103515245 +12345)/ 65536, 32768),0)/32768),0))</f>
        <v>7</v>
      </c>
      <c r="H976" s="16">
        <f t="shared" ca="1" si="49"/>
        <v>-2</v>
      </c>
      <c r="I976" s="153">
        <f ca="1">VLOOKUP($AB$2,'RF Mod'!$A$2:$G$12,3,FALSE)+VLOOKUP($AD$2,'RF Mod'!$I$2:$O$11,3,FALSE)+(TRUNC(6+(24-6)*(TRUNC(MOD(($Z976*1103515245 +12345)/ 65536, 32768),0)/32768),0))</f>
        <v>11</v>
      </c>
      <c r="J976" s="16" t="e">
        <f t="shared" ca="1" si="50"/>
        <v>#NAME?</v>
      </c>
      <c r="K976" s="153">
        <f ca="1">VLOOKUP($AB$2,'RF Mod'!$A$2:$G$12,3,FALSE)+VLOOKUP($AD$2,'RF Mod'!$I$2:$O$11,3,FALSE)+(TRUNC(6+(24-6)*(TRUNC(MOD(($Z976*1103515245 +12345)/ 65536, 32768),0)/32768),0))</f>
        <v>11</v>
      </c>
      <c r="L976" s="16" t="e">
        <f t="shared" ca="1" si="51"/>
        <v>#NAME?</v>
      </c>
      <c r="M976" s="153">
        <f ca="1">VLOOKUP($AB$2,'RF Mod'!$A$2:$G$12,4,FALSE)+VLOOKUP($AD$2,'RF Mod'!$I$2:$O$11,4,FALSE)+(TRUNC(6+(24-6)*(TRUNC(MOD(($Z976*1103515245 +12345)/ 65536, 32768),0)/32768),0))</f>
        <v>10</v>
      </c>
      <c r="N976" s="16" t="e">
        <f t="shared" ca="1" si="52"/>
        <v>#NAME?</v>
      </c>
      <c r="O976" s="153">
        <f ca="1">VLOOKUP($AB$2,'RF Mod'!$A$2:$G$12,5,FALSE)+VLOOKUP($AD$2,'RF Mod'!$I$2:$O$11,5,FALSE)+(TRUNC(6+(24-6)*(TRUNC(MOD(($Z976*1103515245 +12345)/ 65536, 32768),0)/32768),0))</f>
        <v>13</v>
      </c>
      <c r="P976" s="16" t="e">
        <f t="shared" ca="1" si="53"/>
        <v>#NAME?</v>
      </c>
      <c r="Q976" s="153">
        <f ca="1">VLOOKUP($AB$2,'RF Mod'!$A$2:$G$12,6,FALSE)+VLOOKUP($AD$2,'RF Mod'!$I$2:$O$11,6,FALSE)+(TRUNC(6+(24-6)*(TRUNC(MOD(($Z976*1103515245 +12345)/ 65536, 32768),0)/32768),0))</f>
        <v>11</v>
      </c>
      <c r="R976" s="16" t="e">
        <f t="shared" ca="1" si="54"/>
        <v>#NAME?</v>
      </c>
      <c r="S976" s="154">
        <f t="shared" ca="1" si="59"/>
        <v>78</v>
      </c>
      <c r="T976" s="154">
        <f t="shared" ca="1" si="55"/>
        <v>24</v>
      </c>
      <c r="U976" s="16" t="str">
        <f t="shared" ca="1" si="56"/>
        <v>Fine</v>
      </c>
      <c r="V976" s="155">
        <f ca="1">IFERROR(__xludf.DUMMYFUNCTION("if(W976=""Middle Age"",QUERY(NPCVar!$K$2:$N1000, ""Select L where K = '""&amp;AB976&amp;""'""),if(W976=""Old"",QUERY(NPCVar!$K$2:$N1000, ""Select M where K = '""&amp;AB976&amp;""'""),if(W976=""Venerable"",QUERY(NPCVar!$K$2:$N1000, ""Select N where K = '""&amp;AB976&amp;""'""),fa"&amp;"lse)))*X976"),67.5)</f>
        <v>67.5</v>
      </c>
      <c r="W976" s="156" t="str">
        <f t="array" ref="W976">INDEX(NPCAgeType,TRUNC(1+(4-1)*(TRUNC(MOD((X976*1103515245 +12345)/ 65536, 32768),0)/32768),0))</f>
        <v>Old</v>
      </c>
      <c r="X976" s="117">
        <f t="shared" si="61"/>
        <v>1</v>
      </c>
      <c r="Y976" s="157" t="e">
        <f t="array" aca="1" ref="Y976" ca="1">LOOKUP(ABS(MAX(Z976 + MIN(ABS(INDIRECT("Class Jobs!B"&amp;MATCH(E976,'Class Jobs'!$A$1:$A1000,0)&amp;":"&amp;"AF"&amp;MATCH(E976,'Class Jobs'!$A$1:$A1000,0)&amp;"")-$Z976)) * SUM(IF(MIN(ABS(INDIRECT("Class Jobs!B"&amp;MATCH(E976,'Class Jobs'!$A$1:$A1000,0)&amp;":"&amp;"AF"&amp;MATCH(E976,'Class Jobs'!$A$1:$A1000,0)&amp;"")-$Z976))=ABS(INDIRECT("Class Jobs!B"&amp;MATCH(E976,'Class Jobs'!$A$1:$A1000,0)&amp;":"&amp;"AF"&amp;MATCH(E976,'Class Jobs'!$A$1:$A1000,0)&amp;"")-$Z976),SIGN(INDIRECT("Class Jobs!B"&amp;MATCH(E976,'Class Jobs'!$A$1:A1000,0)&amp;":"&amp;"AF"&amp;MATCH(E976,'Class Jobs'!$A$1:$A1000,0)&amp;"")-$Z976),0)),0)),INDIRECT("Class Jobs!B"&amp;MATCH(E976,'Class Jobs'!$A$1:$A1000,0)&amp;":"&amp;"AF"&amp;MATCH(E976,'Class Jobs'!$A$1:$A1000,1)&amp;""),'Class Jobs'!$B$1:$AF$1)</f>
        <v>#REF!</v>
      </c>
      <c r="Z976" s="158">
        <f t="shared" si="57"/>
        <v>0.4</v>
      </c>
      <c r="AA976" s="16" t="str">
        <f t="array" ref="AA976">INDEX(NPCGender,TRUNC(1+(COUNTA(NPCGender))*(TRUNC(MOD(($B976*1103515245 +12345)/ 65536, 32768),0)/32768),0))</f>
        <v>Female</v>
      </c>
      <c r="AB976" s="16" t="str">
        <f t="array" ref="AB976">INDEX(NPCRace,TRUNC(1+(COUNTA(NPCRace))*(TRUNC(MOD(($B976*1103515245 +12345)/ 65536, 32768),0)/32768),0))</f>
        <v>Half-Elf</v>
      </c>
      <c r="AC976" s="16" t="str">
        <f t="array" ref="AC976">INDEX(NPCAL,TRUNC(1+(COUNTA(NPCAL))*(TRUNC(MOD(($B976*1103515245 +12345)/ 65536, 32768),0)/32768),0))</f>
        <v>NG</v>
      </c>
      <c r="AD976" s="72" t="str">
        <f ca="1">IFERROR(__xludf.DUMMYFUNCTION("if(V976&lt;15,QUERY(NPCVar!C:D,""Select D WHERE C = '""&amp;D976&amp;""'""),if((TRUNC(1+10)*(TRUNC(MOD((ROW(H976)*1103515245 +12345)/ 65536, 32768),0)/32768)/10) &gt; 0.85,INDEX(NPCFaction,TRUNC(1+(counta(NPCFaction)-1)*(TRUNC(MOD(($B976*1103515245 +12345)/ 65536, 3276"&amp;"8),0)/32768),0)),QUERY(NPCVar!C:D,""Select D WHERE C = '""&amp;D976&amp;""'"")))"),"Magic Guild")</f>
        <v>Magic Guild</v>
      </c>
      <c r="AE976" s="108" t="e">
        <f t="shared" ca="1" si="58"/>
        <v>#NAME?</v>
      </c>
      <c r="AF976" s="159">
        <f ca="1">IFERROR(__xludf.DUMMYFUNCTION("AE976*(V976 / QUERY(NPCVar!$K$2:$N$12, ""Select N WHERE K='""&amp;AB976&amp;""'""))*TRUNC(1+10)*(TRUNC(MOD(($B976*1103515245 +12345)/ 65536, 32768),0)/32768)"),0)</f>
        <v>0</v>
      </c>
      <c r="AG976" s="16"/>
      <c r="AH976" s="77"/>
      <c r="AI976" s="114"/>
    </row>
    <row r="977" spans="1:35" ht="16.2">
      <c r="A977" s="53">
        <v>976</v>
      </c>
      <c r="B977" s="118">
        <f t="shared" si="64"/>
        <v>2.2664599999999999</v>
      </c>
      <c r="C977" s="72" t="str">
        <f t="array" ref="C977">INDEX(NPCFName,TRUNC(1+(COUNTA(NPCFName))*(TRUNC(MOD(($B977*1103515245 +12345)/ 65536, 32768),0)/32768),0))</f>
        <v>Kip</v>
      </c>
      <c r="D977" s="16" t="str">
        <f t="array" ref="D977">INDEX(NPCLName,TRUNC(1+(COUNTA(NPCLName))*(TRUNC(MOD(($B977*1103515245 +12345)/ 65536, 32768),0)/32768),0))</f>
        <v>Fistwing</v>
      </c>
      <c r="E977" s="16" t="str">
        <f t="array" ref="E977">INDEX(NPCClass,TRUNC(1+(COUNTA(NPCClass))*(TRUNC(MOD(($B977*1103515245 +12345)/ 65536, 32768),0)/32768),0))</f>
        <v>Bard</v>
      </c>
      <c r="F977" s="76">
        <v>1</v>
      </c>
      <c r="G977" s="153">
        <f ca="1">VLOOKUP($AB$2,'RF Mod'!$A$2:$G$12,2,FALSE)+VLOOKUP($AD$2,'RF Mod'!$I$2:$O$11,2,FALSE)+(TRUNC(6+(24-6)*(TRUNC(MOD(($Z977*1103515245 +12345)/ 65536, 32768),0)/32768),0))</f>
        <v>5</v>
      </c>
      <c r="H977" s="16">
        <f t="shared" ca="1" si="49"/>
        <v>-3</v>
      </c>
      <c r="I977" s="153">
        <f ca="1">VLOOKUP($AB$2,'RF Mod'!$A$2:$G$12,3,FALSE)+VLOOKUP($AD$2,'RF Mod'!$I$2:$O$11,3,FALSE)+(TRUNC(6+(24-6)*(TRUNC(MOD(($Z977*1103515245 +12345)/ 65536, 32768),0)/32768),0))</f>
        <v>9</v>
      </c>
      <c r="J977" s="16">
        <f t="shared" ca="1" si="50"/>
        <v>-1</v>
      </c>
      <c r="K977" s="153">
        <f ca="1">VLOOKUP($AB$2,'RF Mod'!$A$2:$G$12,3,FALSE)+VLOOKUP($AD$2,'RF Mod'!$I$2:$O$11,3,FALSE)+(TRUNC(6+(24-6)*(TRUNC(MOD(($Z977*1103515245 +12345)/ 65536, 32768),0)/32768),0))</f>
        <v>9</v>
      </c>
      <c r="L977" s="16">
        <f t="shared" ca="1" si="51"/>
        <v>-1</v>
      </c>
      <c r="M977" s="153">
        <f ca="1">VLOOKUP($AB$2,'RF Mod'!$A$2:$G$12,4,FALSE)+VLOOKUP($AD$2,'RF Mod'!$I$2:$O$11,4,FALSE)+(TRUNC(6+(24-6)*(TRUNC(MOD(($Z977*1103515245 +12345)/ 65536, 32768),0)/32768),0))</f>
        <v>8</v>
      </c>
      <c r="N977" s="16">
        <f t="shared" ca="1" si="52"/>
        <v>-1</v>
      </c>
      <c r="O977" s="153">
        <f ca="1">VLOOKUP($AB$2,'RF Mod'!$A$2:$G$12,5,FALSE)+VLOOKUP($AD$2,'RF Mod'!$I$2:$O$11,5,FALSE)+(TRUNC(6+(24-6)*(TRUNC(MOD(($Z977*1103515245 +12345)/ 65536, 32768),0)/32768),0))</f>
        <v>11</v>
      </c>
      <c r="P977" s="16" t="e">
        <f t="shared" ca="1" si="53"/>
        <v>#NAME?</v>
      </c>
      <c r="Q977" s="153">
        <f ca="1">VLOOKUP($AB$2,'RF Mod'!$A$2:$G$12,6,FALSE)+VLOOKUP($AD$2,'RF Mod'!$I$2:$O$11,6,FALSE)+(TRUNC(6+(24-6)*(TRUNC(MOD(($Z977*1103515245 +12345)/ 65536, 32768),0)/32768),0))</f>
        <v>9</v>
      </c>
      <c r="R977" s="16">
        <f t="shared" ca="1" si="54"/>
        <v>-1</v>
      </c>
      <c r="S977" s="154">
        <f t="shared" ca="1" si="59"/>
        <v>11</v>
      </c>
      <c r="T977" s="154">
        <f t="shared" ca="1" si="55"/>
        <v>2</v>
      </c>
      <c r="U977" s="16" t="str">
        <f t="shared" ca="1" si="56"/>
        <v>Fine</v>
      </c>
      <c r="V977" s="155">
        <f ca="1">IFERROR(__xludf.DUMMYFUNCTION("if(W977=""Middle Age"",QUERY(NPCVar!$K$2:$N1000, ""Select L where K = '""&amp;AB977&amp;""'""),if(W977=""Old"",QUERY(NPCVar!$K$2:$N1000, ""Select M where K = '""&amp;AB977&amp;""'""),if(W977=""Venerable"",QUERY(NPCVar!$K$2:$N1000, ""Select N where K = '""&amp;AB977&amp;""'""),fa"&amp;"lse)))*X977"),32)</f>
        <v>32</v>
      </c>
      <c r="W977" s="156" t="str">
        <f t="array" ref="W977">INDEX(NPCAgeType,TRUNC(1+(4-1)*(TRUNC(MOD((X977*1103515245 +12345)/ 65536, 32768),0)/32768),0))</f>
        <v>Middle Age</v>
      </c>
      <c r="X977" s="117">
        <f t="shared" si="61"/>
        <v>0.4</v>
      </c>
      <c r="Y977" s="157" t="e">
        <f t="array" aca="1" ref="Y977" ca="1">LOOKUP(ABS(MAX(Z977 + MIN(ABS(INDIRECT("Class Jobs!B"&amp;MATCH(E977,'Class Jobs'!$A$1:$A1000,0)&amp;":"&amp;"AF"&amp;MATCH(E977,'Class Jobs'!$A$1:$A1000,0)&amp;"")-$Z977)) * SUM(IF(MIN(ABS(INDIRECT("Class Jobs!B"&amp;MATCH(E977,'Class Jobs'!$A$1:$A1000,0)&amp;":"&amp;"AF"&amp;MATCH(E977,'Class Jobs'!$A$1:$A1000,0)&amp;"")-$Z977))=ABS(INDIRECT("Class Jobs!B"&amp;MATCH(E977,'Class Jobs'!$A$1:$A1000,0)&amp;":"&amp;"AF"&amp;MATCH(E977,'Class Jobs'!$A$1:$A1000,0)&amp;"")-$Z977),SIGN(INDIRECT("Class Jobs!B"&amp;MATCH(E977,'Class Jobs'!$A$1:A1000,0)&amp;":"&amp;"AF"&amp;MATCH(E977,'Class Jobs'!$A$1:$A1000,0)&amp;"")-$Z977),0)),0)),INDIRECT("Class Jobs!B"&amp;MATCH(E977,'Class Jobs'!$A$1:$A1000,0)&amp;":"&amp;"AF"&amp;MATCH(E977,'Class Jobs'!$A$1:$A1000,1)&amp;""),'Class Jobs'!$B$1:$AF$1)</f>
        <v>#REF!</v>
      </c>
      <c r="Z977" s="158">
        <f t="shared" si="57"/>
        <v>0.17</v>
      </c>
      <c r="AA977" s="16" t="str">
        <f t="array" ref="AA977">INDEX(NPCGender,TRUNC(1+(COUNTA(NPCGender))*(TRUNC(MOD(($B977*1103515245 +12345)/ 65536, 32768),0)/32768),0))</f>
        <v>Male</v>
      </c>
      <c r="AB977" s="16" t="str">
        <f t="array" ref="AB977">INDEX(NPCRace,TRUNC(1+(COUNTA(NPCRace))*(TRUNC(MOD(($B977*1103515245 +12345)/ 65536, 32768),0)/32768),0))</f>
        <v>Dwarf</v>
      </c>
      <c r="AC977" s="16" t="str">
        <f t="array" ref="AC977">INDEX(NPCAL,TRUNC(1+(COUNTA(NPCAL))*(TRUNC(MOD(($B977*1103515245 +12345)/ 65536, 32768),0)/32768),0))</f>
        <v>CE</v>
      </c>
      <c r="AD977" s="72" t="str">
        <f ca="1">IFERROR(__xludf.DUMMYFUNCTION("if(V977&lt;15,QUERY(NPCVar!C:D,""Select D WHERE C = '""&amp;D977&amp;""'""),if((TRUNC(1+10)*(TRUNC(MOD((ROW(H977)*1103515245 +12345)/ 65536, 32768),0)/32768)/10) &gt; 0.85,INDEX(NPCFaction,TRUNC(1+(counta(NPCFaction)-1)*(TRUNC(MOD(($B977*1103515245 +12345)/ 65536, 3276"&amp;"8),0)/32768),0)),QUERY(NPCVar!C:D,""Select D WHERE C = '""&amp;D977&amp;""'"")))"),"Royalty")</f>
        <v>Royalty</v>
      </c>
      <c r="AE977" s="108" t="e">
        <f t="shared" ca="1" si="58"/>
        <v>#NAME?</v>
      </c>
      <c r="AF977" s="159">
        <f ca="1">IFERROR(__xludf.DUMMYFUNCTION("AE977*(V977 / QUERY(NPCVar!$K$2:$N$12, ""Select N WHERE K='""&amp;AB977&amp;""'""))*TRUNC(1+10)*(TRUNC(MOD(($B977*1103515245 +12345)/ 65536, 32768),0)/32768)"),0.0362213134765625)</f>
        <v>3.6221313476562503E-2</v>
      </c>
      <c r="AG977" s="16"/>
      <c r="AH977" s="77"/>
      <c r="AI977" s="114"/>
    </row>
    <row r="978" spans="1:35" ht="16.2">
      <c r="A978" s="53">
        <v>977</v>
      </c>
      <c r="B978" s="118">
        <f t="shared" si="64"/>
        <v>1.2605999999999999</v>
      </c>
      <c r="C978" s="72" t="str">
        <f t="array" ref="C978">INDEX(NPCFName,TRUNC(1+(COUNTA(NPCFName))*(TRUNC(MOD(($B978*1103515245 +12345)/ 65536, 32768),0)/32768),0))</f>
        <v>Wishane</v>
      </c>
      <c r="D978" s="16" t="str">
        <f t="array" ref="D978">INDEX(NPCLName,TRUNC(1+(COUNTA(NPCLName))*(TRUNC(MOD(($B978*1103515245 +12345)/ 65536, 32768),0)/32768),0))</f>
        <v>Mourninglash</v>
      </c>
      <c r="E978" s="16" t="str">
        <f t="array" ref="E978">INDEX(NPCClass,TRUNC(1+(COUNTA(NPCClass))*(TRUNC(MOD(($B978*1103515245 +12345)/ 65536, 32768),0)/32768),0))</f>
        <v>Warlock</v>
      </c>
      <c r="F978" s="76">
        <v>8</v>
      </c>
      <c r="G978" s="153">
        <f ca="1">VLOOKUP($AB$2,'RF Mod'!$A$2:$G$12,2,FALSE)+VLOOKUP($AD$2,'RF Mod'!$I$2:$O$11,2,FALSE)+(TRUNC(6+(24-6)*(TRUNC(MOD(($Z978*1103515245 +12345)/ 65536, 32768),0)/32768),0))</f>
        <v>10</v>
      </c>
      <c r="H978" s="16" t="e">
        <f t="shared" ca="1" si="49"/>
        <v>#NAME?</v>
      </c>
      <c r="I978" s="153">
        <f ca="1">VLOOKUP($AB$2,'RF Mod'!$A$2:$G$12,3,FALSE)+VLOOKUP($AD$2,'RF Mod'!$I$2:$O$11,3,FALSE)+(TRUNC(6+(24-6)*(TRUNC(MOD(($Z978*1103515245 +12345)/ 65536, 32768),0)/32768),0))</f>
        <v>14</v>
      </c>
      <c r="J978" s="16" t="e">
        <f t="shared" ca="1" si="50"/>
        <v>#NAME?</v>
      </c>
      <c r="K978" s="153">
        <f ca="1">VLOOKUP($AB$2,'RF Mod'!$A$2:$G$12,3,FALSE)+VLOOKUP($AD$2,'RF Mod'!$I$2:$O$11,3,FALSE)+(TRUNC(6+(24-6)*(TRUNC(MOD(($Z978*1103515245 +12345)/ 65536, 32768),0)/32768),0))</f>
        <v>14</v>
      </c>
      <c r="L978" s="16" t="e">
        <f t="shared" ca="1" si="51"/>
        <v>#NAME?</v>
      </c>
      <c r="M978" s="153">
        <f ca="1">VLOOKUP($AB$2,'RF Mod'!$A$2:$G$12,4,FALSE)+VLOOKUP($AD$2,'RF Mod'!$I$2:$O$11,4,FALSE)+(TRUNC(6+(24-6)*(TRUNC(MOD(($Z978*1103515245 +12345)/ 65536, 32768),0)/32768),0))</f>
        <v>13</v>
      </c>
      <c r="N978" s="16" t="e">
        <f t="shared" ca="1" si="52"/>
        <v>#NAME?</v>
      </c>
      <c r="O978" s="153">
        <f ca="1">VLOOKUP($AB$2,'RF Mod'!$A$2:$G$12,5,FALSE)+VLOOKUP($AD$2,'RF Mod'!$I$2:$O$11,5,FALSE)+(TRUNC(6+(24-6)*(TRUNC(MOD(($Z978*1103515245 +12345)/ 65536, 32768),0)/32768),0))</f>
        <v>16</v>
      </c>
      <c r="P978" s="16" t="e">
        <f t="shared" ca="1" si="53"/>
        <v>#NAME?</v>
      </c>
      <c r="Q978" s="153">
        <f ca="1">VLOOKUP($AB$2,'RF Mod'!$A$2:$G$12,6,FALSE)+VLOOKUP($AD$2,'RF Mod'!$I$2:$O$11,6,FALSE)+(TRUNC(6+(24-6)*(TRUNC(MOD(($Z978*1103515245 +12345)/ 65536, 32768),0)/32768),0))</f>
        <v>14</v>
      </c>
      <c r="R978" s="16" t="e">
        <f t="shared" ca="1" si="54"/>
        <v>#NAME?</v>
      </c>
      <c r="S978" s="154">
        <f t="shared" ca="1" si="59"/>
        <v>144</v>
      </c>
      <c r="T978" s="154">
        <f t="shared" ca="1" si="55"/>
        <v>45</v>
      </c>
      <c r="U978" s="16" t="str">
        <f t="shared" ca="1" si="56"/>
        <v>Fine</v>
      </c>
      <c r="V978" s="155">
        <f ca="1">IFERROR(__xludf.DUMMYFUNCTION("if(W978=""Middle Age"",QUERY(NPCVar!$K$2:$N1000, ""Select L where K = '""&amp;AB978&amp;""'""),if(W978=""Old"",QUERY(NPCVar!$K$2:$N1000, ""Select M where K = '""&amp;AB978&amp;""'""),if(W978=""Venerable"",QUERY(NPCVar!$K$2:$N1000, ""Select N where K = '""&amp;AB978&amp;""'""),fa"&amp;"lse)))*X978"),144)</f>
        <v>144</v>
      </c>
      <c r="W978" s="156" t="str">
        <f t="array" ref="W978">INDEX(NPCAgeType,TRUNC(1+(4-1)*(TRUNC(MOD((X978*1103515245 +12345)/ 65536, 32768),0)/32768),0))</f>
        <v>Venerable</v>
      </c>
      <c r="X978" s="117">
        <f t="shared" si="61"/>
        <v>1.6</v>
      </c>
      <c r="Y978" s="157" t="e">
        <f t="array" aca="1" ref="Y978" ca="1">LOOKUP(ABS(MAX(Z978 + MIN(ABS(INDIRECT("Class Jobs!B"&amp;MATCH(E978,'Class Jobs'!$A$1:$A1000,0)&amp;":"&amp;"AF"&amp;MATCH(E978,'Class Jobs'!$A$1:$A1000,0)&amp;"")-$Z978)) * SUM(IF(MIN(ABS(INDIRECT("Class Jobs!B"&amp;MATCH(E978,'Class Jobs'!$A$1:$A1000,0)&amp;":"&amp;"AF"&amp;MATCH(E978,'Class Jobs'!$A$1:$A1000,0)&amp;"")-$Z978))=ABS(INDIRECT("Class Jobs!B"&amp;MATCH(E978,'Class Jobs'!$A$1:$A1000,0)&amp;":"&amp;"AF"&amp;MATCH(E978,'Class Jobs'!$A$1:$A1000,0)&amp;"")-$Z978),SIGN(INDIRECT("Class Jobs!B"&amp;MATCH(E978,'Class Jobs'!$A$1:A1000,0)&amp;":"&amp;"AF"&amp;MATCH(E978,'Class Jobs'!$A$1:$A1000,0)&amp;"")-$Z978),0)),0)),INDIRECT("Class Jobs!B"&amp;MATCH(E978,'Class Jobs'!$A$1:$A1000,0)&amp;":"&amp;"AF"&amp;MATCH(E978,'Class Jobs'!$A$1:$A1000,1)&amp;""),'Class Jobs'!$B$1:$AF$1)</f>
        <v>#REF!</v>
      </c>
      <c r="Z978" s="158">
        <f t="shared" si="57"/>
        <v>0.65</v>
      </c>
      <c r="AA978" s="16" t="str">
        <f t="array" ref="AA978">INDEX(NPCGender,TRUNC(1+(COUNTA(NPCGender))*(TRUNC(MOD(($B978*1103515245 +12345)/ 65536, 32768),0)/32768),0))</f>
        <v>Female</v>
      </c>
      <c r="AB978" s="16" t="str">
        <f t="array" ref="AB978">INDEX(NPCRace,TRUNC(1+(COUNTA(NPCRace))*(TRUNC(MOD(($B978*1103515245 +12345)/ 65536, 32768),0)/32768),0))</f>
        <v>Human</v>
      </c>
      <c r="AC978" s="16" t="str">
        <f t="array" ref="AC978">INDEX(NPCAL,TRUNC(1+(COUNTA(NPCAL))*(TRUNC(MOD(($B978*1103515245 +12345)/ 65536, 32768),0)/32768),0))</f>
        <v>NE</v>
      </c>
      <c r="AD978" s="72" t="str">
        <f ca="1">IFERROR(__xludf.DUMMYFUNCTION("if(V978&lt;15,QUERY(NPCVar!C:D,""Select D WHERE C = '""&amp;D978&amp;""'""),if((TRUNC(1+10)*(TRUNC(MOD((ROW(H978)*1103515245 +12345)/ 65536, 32768),0)/32768)/10) &gt; 0.85,INDEX(NPCFaction,TRUNC(1+(counta(NPCFaction)-1)*(TRUNC(MOD(($B978*1103515245 +12345)/ 65536, 3276"&amp;"8),0)/32768),0)),QUERY(NPCVar!C:D,""Select D WHERE C = '""&amp;D978&amp;""'"")))"),"Traverlers Guild")</f>
        <v>Traverlers Guild</v>
      </c>
      <c r="AE978" s="108" t="e">
        <f t="shared" ca="1" si="58"/>
        <v>#NAME?</v>
      </c>
      <c r="AF978" s="159">
        <f ca="1">IFERROR(__xludf.DUMMYFUNCTION("AE978*(V978 / QUERY(NPCVar!$K$2:$N$12, ""Select N WHERE K='""&amp;AB978&amp;""'""))*TRUNC(1+10)*(TRUNC(MOD(($B978*1103515245 +12345)/ 65536, 32768),0)/32768)"),2.28013671875)</f>
        <v>2.2801367187500001</v>
      </c>
      <c r="AG978" s="16"/>
      <c r="AH978" s="77"/>
      <c r="AI978" s="114"/>
    </row>
    <row r="979" spans="1:35" ht="16.2">
      <c r="A979" s="53">
        <v>978</v>
      </c>
      <c r="B979" s="118">
        <f t="shared" si="64"/>
        <v>0.25467000000000001</v>
      </c>
      <c r="C979" s="72" t="str">
        <f t="array" ref="C979">INDEX(NPCFName,TRUNC(1+(COUNTA(NPCFName))*(TRUNC(MOD(($B979*1103515245 +12345)/ 65536, 32768),0)/32768),0))</f>
        <v>Halmar</v>
      </c>
      <c r="D979" s="16" t="str">
        <f t="array" ref="D979">INDEX(NPCLName,TRUNC(1+(COUNTA(NPCLName))*(TRUNC(MOD(($B979*1103515245 +12345)/ 65536, 32768),0)/32768),0))</f>
        <v>Distantlash</v>
      </c>
      <c r="E979" s="16" t="str">
        <f t="array" ref="E979">INDEX(NPCClass,TRUNC(1+(COUNTA(NPCClass))*(TRUNC(MOD(($B979*1103515245 +12345)/ 65536, 32768),0)/32768),0))</f>
        <v>Bard</v>
      </c>
      <c r="F979" s="76">
        <v>1</v>
      </c>
      <c r="G979" s="153">
        <f ca="1">VLOOKUP($AB$2,'RF Mod'!$A$2:$G$12,2,FALSE)+VLOOKUP($AD$2,'RF Mod'!$I$2:$O$11,2,FALSE)+(TRUNC(6+(24-6)*(TRUNC(MOD(($Z979*1103515245 +12345)/ 65536, 32768),0)/32768),0))</f>
        <v>5</v>
      </c>
      <c r="H979" s="16">
        <f t="shared" ca="1" si="49"/>
        <v>-3</v>
      </c>
      <c r="I979" s="153">
        <f ca="1">VLOOKUP($AB$2,'RF Mod'!$A$2:$G$12,3,FALSE)+VLOOKUP($AD$2,'RF Mod'!$I$2:$O$11,3,FALSE)+(TRUNC(6+(24-6)*(TRUNC(MOD(($Z979*1103515245 +12345)/ 65536, 32768),0)/32768),0))</f>
        <v>9</v>
      </c>
      <c r="J979" s="16">
        <f t="shared" ca="1" si="50"/>
        <v>-1</v>
      </c>
      <c r="K979" s="153">
        <f ca="1">VLOOKUP($AB$2,'RF Mod'!$A$2:$G$12,3,FALSE)+VLOOKUP($AD$2,'RF Mod'!$I$2:$O$11,3,FALSE)+(TRUNC(6+(24-6)*(TRUNC(MOD(($Z979*1103515245 +12345)/ 65536, 32768),0)/32768),0))</f>
        <v>9</v>
      </c>
      <c r="L979" s="16">
        <f t="shared" ca="1" si="51"/>
        <v>-1</v>
      </c>
      <c r="M979" s="153">
        <f ca="1">VLOOKUP($AB$2,'RF Mod'!$A$2:$G$12,4,FALSE)+VLOOKUP($AD$2,'RF Mod'!$I$2:$O$11,4,FALSE)+(TRUNC(6+(24-6)*(TRUNC(MOD(($Z979*1103515245 +12345)/ 65536, 32768),0)/32768),0))</f>
        <v>8</v>
      </c>
      <c r="N979" s="16">
        <f t="shared" ca="1" si="52"/>
        <v>-1</v>
      </c>
      <c r="O979" s="153">
        <f ca="1">VLOOKUP($AB$2,'RF Mod'!$A$2:$G$12,5,FALSE)+VLOOKUP($AD$2,'RF Mod'!$I$2:$O$11,5,FALSE)+(TRUNC(6+(24-6)*(TRUNC(MOD(($Z979*1103515245 +12345)/ 65536, 32768),0)/32768),0))</f>
        <v>11</v>
      </c>
      <c r="P979" s="16" t="e">
        <f t="shared" ca="1" si="53"/>
        <v>#NAME?</v>
      </c>
      <c r="Q979" s="153">
        <f ca="1">VLOOKUP($AB$2,'RF Mod'!$A$2:$G$12,6,FALSE)+VLOOKUP($AD$2,'RF Mod'!$I$2:$O$11,6,FALSE)+(TRUNC(6+(24-6)*(TRUNC(MOD(($Z979*1103515245 +12345)/ 65536, 32768),0)/32768),0))</f>
        <v>9</v>
      </c>
      <c r="R979" s="16">
        <f t="shared" ca="1" si="54"/>
        <v>-1</v>
      </c>
      <c r="S979" s="154">
        <f t="shared" ca="1" si="59"/>
        <v>11</v>
      </c>
      <c r="T979" s="154">
        <f t="shared" ca="1" si="55"/>
        <v>10</v>
      </c>
      <c r="U979" s="16" t="str">
        <f t="shared" ca="1" si="56"/>
        <v>Bloody</v>
      </c>
      <c r="V979" s="155">
        <f ca="1">IFERROR(__xludf.DUMMYFUNCTION("if(W979=""Middle Age"",QUERY(NPCVar!$K$2:$N1000, ""Select L where K = '""&amp;AB979&amp;""'""),if(W979=""Old"",QUERY(NPCVar!$K$2:$N1000, ""Select M where K = '""&amp;AB979&amp;""'""),if(W979=""Venerable"",QUERY(NPCVar!$K$2:$N1000, ""Select N where K = '""&amp;AB979&amp;""'""),fa"&amp;"lse)))*X979"),32)</f>
        <v>32</v>
      </c>
      <c r="W979" s="156" t="str">
        <f t="array" ref="W979">INDEX(NPCAgeType,TRUNC(1+(4-1)*(TRUNC(MOD((X979*1103515245 +12345)/ 65536, 32768),0)/32768),0))</f>
        <v>Middle Age</v>
      </c>
      <c r="X979" s="117">
        <f t="shared" si="61"/>
        <v>0.4</v>
      </c>
      <c r="Y979" s="157" t="e">
        <f t="array" aca="1" ref="Y979" ca="1">LOOKUP(ABS(MAX(Z979 + MIN(ABS(INDIRECT("Class Jobs!B"&amp;MATCH(E979,'Class Jobs'!$A$1:$A1000,0)&amp;":"&amp;"AF"&amp;MATCH(E979,'Class Jobs'!$A$1:$A1000,0)&amp;"")-$Z979)) * SUM(IF(MIN(ABS(INDIRECT("Class Jobs!B"&amp;MATCH(E979,'Class Jobs'!$A$1:$A1000,0)&amp;":"&amp;"AF"&amp;MATCH(E979,'Class Jobs'!$A$1:$A1000,0)&amp;"")-$Z979))=ABS(INDIRECT("Class Jobs!B"&amp;MATCH(E979,'Class Jobs'!$A$1:$A1000,0)&amp;":"&amp;"AF"&amp;MATCH(E979,'Class Jobs'!$A$1:$A1000,0)&amp;"")-$Z979),SIGN(INDIRECT("Class Jobs!B"&amp;MATCH(E979,'Class Jobs'!$A$1:A1000,0)&amp;":"&amp;"AF"&amp;MATCH(E979,'Class Jobs'!$A$1:$A1000,0)&amp;"")-$Z979),0)),0)),INDIRECT("Class Jobs!B"&amp;MATCH(E979,'Class Jobs'!$A$1:$A1000,0)&amp;":"&amp;"AF"&amp;MATCH(E979,'Class Jobs'!$A$1:$A1000,1)&amp;""),'Class Jobs'!$B$1:$AF$1)</f>
        <v>#REF!</v>
      </c>
      <c r="Z979" s="158">
        <f t="shared" si="57"/>
        <v>0.13</v>
      </c>
      <c r="AA979" s="16" t="str">
        <f t="array" ref="AA979">INDEX(NPCGender,TRUNC(1+(COUNTA(NPCGender))*(TRUNC(MOD(($B979*1103515245 +12345)/ 65536, 32768),0)/32768),0))</f>
        <v>Male</v>
      </c>
      <c r="AB979" s="16" t="str">
        <f t="array" ref="AB979">INDEX(NPCRace,TRUNC(1+(COUNTA(NPCRace))*(TRUNC(MOD(($B979*1103515245 +12345)/ 65536, 32768),0)/32768),0))</f>
        <v>Dwarf</v>
      </c>
      <c r="AC979" s="16" t="str">
        <f t="array" ref="AC979">INDEX(NPCAL,TRUNC(1+(COUNTA(NPCAL))*(TRUNC(MOD(($B979*1103515245 +12345)/ 65536, 32768),0)/32768),0))</f>
        <v>CE</v>
      </c>
      <c r="AD979" s="72" t="str">
        <f ca="1">IFERROR(__xludf.DUMMYFUNCTION("if(V979&lt;15,QUERY(NPCVar!C:D,""Select D WHERE C = '""&amp;D979&amp;""'""),if((TRUNC(1+10)*(TRUNC(MOD((ROW(H979)*1103515245 +12345)/ 65536, 32768),0)/32768)/10) &gt; 0.85,INDEX(NPCFaction,TRUNC(1+(counta(NPCFaction)-1)*(TRUNC(MOD(($B979*1103515245 +12345)/ 65536, 3276"&amp;"8),0)/32768),0)),QUERY(NPCVar!C:D,""Select D WHERE C = '""&amp;D979&amp;""'"")))"),"Death Guild")</f>
        <v>Death Guild</v>
      </c>
      <c r="AE979" s="108" t="e">
        <f t="shared" ca="1" si="58"/>
        <v>#NAME?</v>
      </c>
      <c r="AF979" s="159">
        <f ca="1">IFERROR(__xludf.DUMMYFUNCTION("AE979*(V979 / QUERY(NPCVar!$K$2:$N$12, ""Select N WHERE K='""&amp;AB979&amp;""'""))*TRUNC(1+10)*(TRUNC(MOD(($B979*1103515245 +12345)/ 65536, 32768),0)/32768)"),0.0431835937499999)</f>
        <v>4.3183593749999902E-2</v>
      </c>
      <c r="AG979" s="16"/>
      <c r="AH979" s="77"/>
      <c r="AI979" s="114"/>
    </row>
    <row r="980" spans="1:35" ht="16.2">
      <c r="A980" s="53">
        <v>979</v>
      </c>
      <c r="B980" s="118">
        <f t="shared" si="64"/>
        <v>1.74881</v>
      </c>
      <c r="C980" s="72" t="str">
        <f t="array" ref="C980">INDEX(NPCFName,TRUNC(1+(COUNTA(NPCFName))*(TRUNC(MOD(($B980*1103515245 +12345)/ 65536, 32768),0)/32768),0))</f>
        <v>Pyder</v>
      </c>
      <c r="D980" s="16" t="str">
        <f t="array" ref="D980">INDEX(NPCLName,TRUNC(1+(COUNTA(NPCLName))*(TRUNC(MOD(($B980*1103515245 +12345)/ 65536, 32768),0)/32768),0))</f>
        <v>Forestbluff</v>
      </c>
      <c r="E980" s="16" t="str">
        <f t="array" ref="E980">INDEX(NPCClass,TRUNC(1+(COUNTA(NPCClass))*(TRUNC(MOD(($B980*1103515245 +12345)/ 65536, 32768),0)/32768),0))</f>
        <v>Fighter</v>
      </c>
      <c r="F980" s="76">
        <v>8</v>
      </c>
      <c r="G980" s="153">
        <f ca="1">VLOOKUP($AB$2,'RF Mod'!$A$2:$G$12,2,FALSE)+VLOOKUP($AD$2,'RF Mod'!$I$2:$O$11,2,FALSE)+(TRUNC(6+(24-6)*(TRUNC(MOD(($Z980*1103515245 +12345)/ 65536, 32768),0)/32768),0))</f>
        <v>12</v>
      </c>
      <c r="H980" s="16" t="e">
        <f t="shared" ca="1" si="49"/>
        <v>#NAME?</v>
      </c>
      <c r="I980" s="153">
        <f ca="1">VLOOKUP($AB$2,'RF Mod'!$A$2:$G$12,3,FALSE)+VLOOKUP($AD$2,'RF Mod'!$I$2:$O$11,3,FALSE)+(TRUNC(6+(24-6)*(TRUNC(MOD(($Z980*1103515245 +12345)/ 65536, 32768),0)/32768),0))</f>
        <v>16</v>
      </c>
      <c r="J980" s="16" t="e">
        <f t="shared" ca="1" si="50"/>
        <v>#NAME?</v>
      </c>
      <c r="K980" s="153">
        <f ca="1">VLOOKUP($AB$2,'RF Mod'!$A$2:$G$12,3,FALSE)+VLOOKUP($AD$2,'RF Mod'!$I$2:$O$11,3,FALSE)+(TRUNC(6+(24-6)*(TRUNC(MOD(($Z980*1103515245 +12345)/ 65536, 32768),0)/32768),0))</f>
        <v>16</v>
      </c>
      <c r="L980" s="16" t="e">
        <f t="shared" ca="1" si="51"/>
        <v>#NAME?</v>
      </c>
      <c r="M980" s="153">
        <f ca="1">VLOOKUP($AB$2,'RF Mod'!$A$2:$G$12,4,FALSE)+VLOOKUP($AD$2,'RF Mod'!$I$2:$O$11,4,FALSE)+(TRUNC(6+(24-6)*(TRUNC(MOD(($Z980*1103515245 +12345)/ 65536, 32768),0)/32768),0))</f>
        <v>15</v>
      </c>
      <c r="N980" s="16" t="e">
        <f t="shared" ca="1" si="52"/>
        <v>#NAME?</v>
      </c>
      <c r="O980" s="153">
        <f ca="1">VLOOKUP($AB$2,'RF Mod'!$A$2:$G$12,5,FALSE)+VLOOKUP($AD$2,'RF Mod'!$I$2:$O$11,5,FALSE)+(TRUNC(6+(24-6)*(TRUNC(MOD(($Z980*1103515245 +12345)/ 65536, 32768),0)/32768),0))</f>
        <v>18</v>
      </c>
      <c r="P980" s="16" t="e">
        <f t="shared" ca="1" si="53"/>
        <v>#NAME?</v>
      </c>
      <c r="Q980" s="153">
        <f ca="1">VLOOKUP($AB$2,'RF Mod'!$A$2:$G$12,6,FALSE)+VLOOKUP($AD$2,'RF Mod'!$I$2:$O$11,6,FALSE)+(TRUNC(6+(24-6)*(TRUNC(MOD(($Z980*1103515245 +12345)/ 65536, 32768),0)/32768),0))</f>
        <v>16</v>
      </c>
      <c r="R980" s="16" t="e">
        <f t="shared" ca="1" si="54"/>
        <v>#NAME?</v>
      </c>
      <c r="S980" s="154">
        <f t="shared" ca="1" si="59"/>
        <v>224</v>
      </c>
      <c r="T980" s="154">
        <f t="shared" ca="1" si="55"/>
        <v>128</v>
      </c>
      <c r="U980" s="16" t="str">
        <f t="shared" ca="1" si="56"/>
        <v>Bloody</v>
      </c>
      <c r="V980" s="155">
        <f ca="1">IFERROR(__xludf.DUMMYFUNCTION("if(W980=""Middle Age"",QUERY(NPCVar!$K$2:$N1000, ""Select L where K = '""&amp;AB980&amp;""'""),if(W980=""Old"",QUERY(NPCVar!$K$2:$N1000, ""Select M where K = '""&amp;AB980&amp;""'""),if(W980=""Venerable"",QUERY(NPCVar!$K$2:$N1000, ""Select N where K = '""&amp;AB980&amp;""'""),fa"&amp;"lse)))*X980"),60.5)</f>
        <v>60.5</v>
      </c>
      <c r="W980" s="156" t="str">
        <f t="array" ref="W980">INDEX(NPCAgeType,TRUNC(1+(4-1)*(TRUNC(MOD((X980*1103515245 +12345)/ 65536, 32768),0)/32768),0))</f>
        <v>Middle Age</v>
      </c>
      <c r="X980" s="117">
        <f t="shared" si="61"/>
        <v>2.2000000000000002</v>
      </c>
      <c r="Y980" s="157" t="e">
        <f t="array" aca="1" ref="Y980" ca="1">LOOKUP(ABS(MAX(Z980 + MIN(ABS(INDIRECT("Class Jobs!B"&amp;MATCH(E980,'Class Jobs'!$A$1:$A1000,0)&amp;":"&amp;"AF"&amp;MATCH(E980,'Class Jobs'!$A$1:$A1000,0)&amp;"")-$Z980)) * SUM(IF(MIN(ABS(INDIRECT("Class Jobs!B"&amp;MATCH(E980,'Class Jobs'!$A$1:$A1000,0)&amp;":"&amp;"AF"&amp;MATCH(E980,'Class Jobs'!$A$1:$A1000,0)&amp;"")-$Z980))=ABS(INDIRECT("Class Jobs!B"&amp;MATCH(E980,'Class Jobs'!$A$1:$A1000,0)&amp;":"&amp;"AF"&amp;MATCH(E980,'Class Jobs'!$A$1:$A1000,0)&amp;"")-$Z980),SIGN(INDIRECT("Class Jobs!B"&amp;MATCH(E980,'Class Jobs'!$A$1:A1000,0)&amp;":"&amp;"AF"&amp;MATCH(E980,'Class Jobs'!$A$1:$A1000,0)&amp;"")-$Z980),0)),0)),INDIRECT("Class Jobs!B"&amp;MATCH(E980,'Class Jobs'!$A$1:$A1000,0)&amp;":"&amp;"AF"&amp;MATCH(E980,'Class Jobs'!$A$1:$A1000,1)&amp;""),'Class Jobs'!$B$1:$AF$1)</f>
        <v>#REF!</v>
      </c>
      <c r="Z980" s="158">
        <f t="shared" si="57"/>
        <v>0.89</v>
      </c>
      <c r="AA980" s="16" t="str">
        <f t="array" ref="AA980">INDEX(NPCGender,TRUNC(1+(COUNTA(NPCGender))*(TRUNC(MOD(($B980*1103515245 +12345)/ 65536, 32768),0)/32768),0))</f>
        <v>Neutral</v>
      </c>
      <c r="AB980" s="16" t="str">
        <f t="array" ref="AB980">INDEX(NPCRace,TRUNC(1+(COUNTA(NPCRace))*(TRUNC(MOD(($B980*1103515245 +12345)/ 65536, 32768),0)/32768),0))</f>
        <v>Genasi</v>
      </c>
      <c r="AC980" s="16" t="str">
        <f t="array" ref="AC980">INDEX(NPCAL,TRUNC(1+(COUNTA(NPCAL))*(TRUNC(MOD(($B980*1103515245 +12345)/ 65536, 32768),0)/32768),0))</f>
        <v>LE</v>
      </c>
      <c r="AD980" s="72" t="str">
        <f ca="1">IFERROR(__xludf.DUMMYFUNCTION("if(V980&lt;15,QUERY(NPCVar!C:D,""Select D WHERE C = '""&amp;D980&amp;""'""),if((TRUNC(1+10)*(TRUNC(MOD((ROW(H980)*1103515245 +12345)/ 65536, 32768),0)/32768)/10) &gt; 0.85,INDEX(NPCFaction,TRUNC(1+(counta(NPCFaction)-1)*(TRUNC(MOD(($B980*1103515245 +12345)/ 65536, 3276"&amp;"8),0)/32768),0)),QUERY(NPCVar!C:D,""Select D WHERE C = '""&amp;D980&amp;""'"")))"),"Thieves Guild")</f>
        <v>Thieves Guild</v>
      </c>
      <c r="AE980" s="108" t="e">
        <f t="shared" ca="1" si="58"/>
        <v>#NAME?</v>
      </c>
      <c r="AF980" s="159">
        <f ca="1">IFERROR(__xludf.DUMMYFUNCTION("AE980*(V980 / QUERY(NPCVar!$K$2:$N$12, ""Select N WHERE K='""&amp;AB980&amp;""'""))*TRUNC(1+10)*(TRUNC(MOD(($B980*1103515245 +12345)/ 65536, 32768),0)/32768)"),1.08736785888671)</f>
        <v>1.0873678588867099</v>
      </c>
      <c r="AG980" s="16"/>
      <c r="AH980" s="77"/>
      <c r="AI980" s="114"/>
    </row>
    <row r="981" spans="1:35" ht="16.2">
      <c r="A981" s="53">
        <v>980</v>
      </c>
      <c r="B981" s="118">
        <f t="shared" si="64"/>
        <v>0.74295</v>
      </c>
      <c r="C981" s="72" t="str">
        <f t="array" ref="C981">INDEX(NPCFName,TRUNC(1+(COUNTA(NPCFName))*(TRUNC(MOD(($B981*1103515245 +12345)/ 65536, 32768),0)/32768),0))</f>
        <v>Celthric</v>
      </c>
      <c r="D981" s="16" t="str">
        <f t="array" ref="D981">INDEX(NPCLName,TRUNC(1+(COUNTA(NPCLName))*(TRUNC(MOD(($B981*1103515245 +12345)/ 65536, 32768),0)/32768),0))</f>
        <v>Fistroot</v>
      </c>
      <c r="E981" s="16" t="str">
        <f t="array" ref="E981">INDEX(NPCClass,TRUNC(1+(COUNTA(NPCClass))*(TRUNC(MOD(($B981*1103515245 +12345)/ 65536, 32768),0)/32768),0))</f>
        <v>Paladin</v>
      </c>
      <c r="F981" s="76">
        <v>2</v>
      </c>
      <c r="G981" s="153">
        <f ca="1">VLOOKUP($AB$2,'RF Mod'!$A$2:$G$12,2,FALSE)+VLOOKUP($AD$2,'RF Mod'!$I$2:$O$11,2,FALSE)+(TRUNC(6+(24-6)*(TRUNC(MOD(($Z981*1103515245 +12345)/ 65536, 32768),0)/32768),0))</f>
        <v>7</v>
      </c>
      <c r="H981" s="16">
        <f t="shared" ca="1" si="49"/>
        <v>-2</v>
      </c>
      <c r="I981" s="153">
        <f ca="1">VLOOKUP($AB$2,'RF Mod'!$A$2:$G$12,3,FALSE)+VLOOKUP($AD$2,'RF Mod'!$I$2:$O$11,3,FALSE)+(TRUNC(6+(24-6)*(TRUNC(MOD(($Z981*1103515245 +12345)/ 65536, 32768),0)/32768),0))</f>
        <v>11</v>
      </c>
      <c r="J981" s="16" t="e">
        <f t="shared" ca="1" si="50"/>
        <v>#NAME?</v>
      </c>
      <c r="K981" s="153">
        <f ca="1">VLOOKUP($AB$2,'RF Mod'!$A$2:$G$12,3,FALSE)+VLOOKUP($AD$2,'RF Mod'!$I$2:$O$11,3,FALSE)+(TRUNC(6+(24-6)*(TRUNC(MOD(($Z981*1103515245 +12345)/ 65536, 32768),0)/32768),0))</f>
        <v>11</v>
      </c>
      <c r="L981" s="16" t="e">
        <f t="shared" ca="1" si="51"/>
        <v>#NAME?</v>
      </c>
      <c r="M981" s="153">
        <f ca="1">VLOOKUP($AB$2,'RF Mod'!$A$2:$G$12,4,FALSE)+VLOOKUP($AD$2,'RF Mod'!$I$2:$O$11,4,FALSE)+(TRUNC(6+(24-6)*(TRUNC(MOD(($Z981*1103515245 +12345)/ 65536, 32768),0)/32768),0))</f>
        <v>10</v>
      </c>
      <c r="N981" s="16" t="e">
        <f t="shared" ca="1" si="52"/>
        <v>#NAME?</v>
      </c>
      <c r="O981" s="153">
        <f ca="1">VLOOKUP($AB$2,'RF Mod'!$A$2:$G$12,5,FALSE)+VLOOKUP($AD$2,'RF Mod'!$I$2:$O$11,5,FALSE)+(TRUNC(6+(24-6)*(TRUNC(MOD(($Z981*1103515245 +12345)/ 65536, 32768),0)/32768),0))</f>
        <v>13</v>
      </c>
      <c r="P981" s="16" t="e">
        <f t="shared" ca="1" si="53"/>
        <v>#NAME?</v>
      </c>
      <c r="Q981" s="153">
        <f ca="1">VLOOKUP($AB$2,'RF Mod'!$A$2:$G$12,6,FALSE)+VLOOKUP($AD$2,'RF Mod'!$I$2:$O$11,6,FALSE)+(TRUNC(6+(24-6)*(TRUNC(MOD(($Z981*1103515245 +12345)/ 65536, 32768),0)/32768),0))</f>
        <v>11</v>
      </c>
      <c r="R981" s="16" t="e">
        <f t="shared" ca="1" si="54"/>
        <v>#NAME?</v>
      </c>
      <c r="S981" s="154">
        <f t="shared" ca="1" si="59"/>
        <v>38</v>
      </c>
      <c r="T981" s="154">
        <f t="shared" ca="1" si="55"/>
        <v>44</v>
      </c>
      <c r="U981" s="16" t="str">
        <f t="shared" ca="1" si="56"/>
        <v>Dead</v>
      </c>
      <c r="V981" s="155">
        <f ca="1">IFERROR(__xludf.DUMMYFUNCTION("if(W981=""Middle Age"",QUERY(NPCVar!$K$2:$N1000, ""Select L where K = '""&amp;AB981&amp;""'""),if(W981=""Old"",QUERY(NPCVar!$K$2:$N1000, ""Select M where K = '""&amp;AB981&amp;""'""),if(W981=""Venerable"",QUERY(NPCVar!$K$2:$N1000, ""Select N where K = '""&amp;AB981&amp;""'""),fa"&amp;"lse)))*X981"),67.5)</f>
        <v>67.5</v>
      </c>
      <c r="W981" s="156" t="str">
        <f t="array" ref="W981">INDEX(NPCAgeType,TRUNC(1+(4-1)*(TRUNC(MOD((X981*1103515245 +12345)/ 65536, 32768),0)/32768),0))</f>
        <v>Old</v>
      </c>
      <c r="X981" s="117">
        <f t="shared" si="61"/>
        <v>1</v>
      </c>
      <c r="Y981" s="157" t="e">
        <f t="array" aca="1" ref="Y981" ca="1">LOOKUP(ABS(MAX(Z981 + MIN(ABS(INDIRECT("Class Jobs!B"&amp;MATCH(E981,'Class Jobs'!$A$1:$A1000,0)&amp;":"&amp;"AF"&amp;MATCH(E981,'Class Jobs'!$A$1:$A1000,0)&amp;"")-$Z981)) * SUM(IF(MIN(ABS(INDIRECT("Class Jobs!B"&amp;MATCH(E981,'Class Jobs'!$A$1:$A1000,0)&amp;":"&amp;"AF"&amp;MATCH(E981,'Class Jobs'!$A$1:$A1000,0)&amp;"")-$Z981))=ABS(INDIRECT("Class Jobs!B"&amp;MATCH(E981,'Class Jobs'!$A$1:$A1000,0)&amp;":"&amp;"AF"&amp;MATCH(E981,'Class Jobs'!$A$1:$A1000,0)&amp;"")-$Z981),SIGN(INDIRECT("Class Jobs!B"&amp;MATCH(E981,'Class Jobs'!$A$1:A1000,0)&amp;":"&amp;"AF"&amp;MATCH(E981,'Class Jobs'!$A$1:$A1000,0)&amp;"")-$Z981),0)),0)),INDIRECT("Class Jobs!B"&amp;MATCH(E981,'Class Jobs'!$A$1:$A1000,0)&amp;":"&amp;"AF"&amp;MATCH(E981,'Class Jobs'!$A$1:$A1000,1)&amp;""),'Class Jobs'!$B$1:$AF$1)</f>
        <v>#REF!</v>
      </c>
      <c r="Z981" s="158">
        <f t="shared" si="57"/>
        <v>0.38</v>
      </c>
      <c r="AA981" s="16" t="str">
        <f t="array" ref="AA981">INDEX(NPCGender,TRUNC(1+(COUNTA(NPCGender))*(TRUNC(MOD(($B981*1103515245 +12345)/ 65536, 32768),0)/32768),0))</f>
        <v>Female</v>
      </c>
      <c r="AB981" s="16" t="str">
        <f t="array" ref="AB981">INDEX(NPCRace,TRUNC(1+(COUNTA(NPCRace))*(TRUNC(MOD(($B981*1103515245 +12345)/ 65536, 32768),0)/32768),0))</f>
        <v>Half-Elf</v>
      </c>
      <c r="AC981" s="16" t="str">
        <f t="array" ref="AC981">INDEX(NPCAL,TRUNC(1+(COUNTA(NPCAL))*(TRUNC(MOD(($B981*1103515245 +12345)/ 65536, 32768),0)/32768),0))</f>
        <v>NG</v>
      </c>
      <c r="AD981" s="72" t="str">
        <f ca="1">IFERROR(__xludf.DUMMYFUNCTION("if(V981&lt;15,QUERY(NPCVar!C:D,""Select D WHERE C = '""&amp;D981&amp;""'""),if((TRUNC(1+10)*(TRUNC(MOD((ROW(H981)*1103515245 +12345)/ 65536, 32768),0)/32768)/10) &gt; 0.85,INDEX(NPCFaction,TRUNC(1+(counta(NPCFaction)-1)*(TRUNC(MOD(($B981*1103515245 +12345)/ 65536, 3276"&amp;"8),0)/32768),0)),QUERY(NPCVar!C:D,""Select D WHERE C = '""&amp;D981&amp;""'"")))"),"Magic Guild")</f>
        <v>Magic Guild</v>
      </c>
      <c r="AE981" s="108" t="e">
        <f t="shared" ca="1" si="58"/>
        <v>#NAME?</v>
      </c>
      <c r="AF981" s="159">
        <f ca="1">IFERROR(__xludf.DUMMYFUNCTION("AE981*(V981 / QUERY(NPCVar!$K$2:$N$12, ""Select N WHERE K='""&amp;AB981&amp;""'""))*TRUNC(1+10)*(TRUNC(MOD(($B981*1103515245 +12345)/ 65536, 32768),0)/32768)"),0.787410736083984)</f>
        <v>0.78741073608398404</v>
      </c>
      <c r="AG981" s="16"/>
      <c r="AH981" s="77"/>
      <c r="AI981" s="114"/>
    </row>
    <row r="982" spans="1:35" ht="16.2">
      <c r="A982" s="53">
        <v>981</v>
      </c>
      <c r="B982" s="118">
        <f t="shared" si="64"/>
        <v>2.2370899999999998</v>
      </c>
      <c r="C982" s="72" t="str">
        <f t="array" ref="C982">INDEX(NPCFName,TRUNC(1+(COUNTA(NPCFName))*(TRUNC(MOD(($B982*1103515245 +12345)/ 65536, 32768),0)/32768),0))</f>
        <v>Jesco</v>
      </c>
      <c r="D982" s="16" t="str">
        <f t="array" ref="D982">INDEX(NPCLName,TRUNC(1+(COUNTA(NPCLName))*(TRUNC(MOD(($B982*1103515245 +12345)/ 65536, 32768),0)/32768),0))</f>
        <v>Fistwing</v>
      </c>
      <c r="E982" s="16" t="str">
        <f t="array" ref="E982">INDEX(NPCClass,TRUNC(1+(COUNTA(NPCClass))*(TRUNC(MOD(($B982*1103515245 +12345)/ 65536, 32768),0)/32768),0))</f>
        <v>Bard</v>
      </c>
      <c r="F982" s="76">
        <v>1</v>
      </c>
      <c r="G982" s="153">
        <f ca="1">VLOOKUP($AB$2,'RF Mod'!$A$2:$G$12,2,FALSE)+VLOOKUP($AD$2,'RF Mod'!$I$2:$O$11,2,FALSE)+(TRUNC(6+(24-6)*(TRUNC(MOD(($Z982*1103515245 +12345)/ 65536, 32768),0)/32768),0))</f>
        <v>5</v>
      </c>
      <c r="H982" s="16">
        <f t="shared" ca="1" si="49"/>
        <v>-3</v>
      </c>
      <c r="I982" s="153">
        <f ca="1">VLOOKUP($AB$2,'RF Mod'!$A$2:$G$12,3,FALSE)+VLOOKUP($AD$2,'RF Mod'!$I$2:$O$11,3,FALSE)+(TRUNC(6+(24-6)*(TRUNC(MOD(($Z982*1103515245 +12345)/ 65536, 32768),0)/32768),0))</f>
        <v>9</v>
      </c>
      <c r="J982" s="16">
        <f t="shared" ca="1" si="50"/>
        <v>-1</v>
      </c>
      <c r="K982" s="153">
        <f ca="1">VLOOKUP($AB$2,'RF Mod'!$A$2:$G$12,3,FALSE)+VLOOKUP($AD$2,'RF Mod'!$I$2:$O$11,3,FALSE)+(TRUNC(6+(24-6)*(TRUNC(MOD(($Z982*1103515245 +12345)/ 65536, 32768),0)/32768),0))</f>
        <v>9</v>
      </c>
      <c r="L982" s="16">
        <f t="shared" ca="1" si="51"/>
        <v>-1</v>
      </c>
      <c r="M982" s="153">
        <f ca="1">VLOOKUP($AB$2,'RF Mod'!$A$2:$G$12,4,FALSE)+VLOOKUP($AD$2,'RF Mod'!$I$2:$O$11,4,FALSE)+(TRUNC(6+(24-6)*(TRUNC(MOD(($Z982*1103515245 +12345)/ 65536, 32768),0)/32768),0))</f>
        <v>8</v>
      </c>
      <c r="N982" s="16">
        <f t="shared" ca="1" si="52"/>
        <v>-1</v>
      </c>
      <c r="O982" s="153">
        <f ca="1">VLOOKUP($AB$2,'RF Mod'!$A$2:$G$12,5,FALSE)+VLOOKUP($AD$2,'RF Mod'!$I$2:$O$11,5,FALSE)+(TRUNC(6+(24-6)*(TRUNC(MOD(($Z982*1103515245 +12345)/ 65536, 32768),0)/32768),0))</f>
        <v>11</v>
      </c>
      <c r="P982" s="16" t="e">
        <f t="shared" ca="1" si="53"/>
        <v>#NAME?</v>
      </c>
      <c r="Q982" s="153">
        <f ca="1">VLOOKUP($AB$2,'RF Mod'!$A$2:$G$12,6,FALSE)+VLOOKUP($AD$2,'RF Mod'!$I$2:$O$11,6,FALSE)+(TRUNC(6+(24-6)*(TRUNC(MOD(($Z982*1103515245 +12345)/ 65536, 32768),0)/32768),0))</f>
        <v>9</v>
      </c>
      <c r="R982" s="16">
        <f t="shared" ca="1" si="54"/>
        <v>-1</v>
      </c>
      <c r="S982" s="154">
        <f t="shared" ca="1" si="59"/>
        <v>27</v>
      </c>
      <c r="T982" s="154">
        <f t="shared" ca="1" si="55"/>
        <v>20</v>
      </c>
      <c r="U982" s="16" t="str">
        <f t="shared" ca="1" si="56"/>
        <v>Bloody</v>
      </c>
      <c r="V982" s="155">
        <f ca="1">IFERROR(__xludf.DUMMYFUNCTION("if(W982=""Middle Age"",QUERY(NPCVar!$K$2:$N1000, ""Select L where K = '""&amp;AB982&amp;""'""),if(W982=""Old"",QUERY(NPCVar!$K$2:$N1000, ""Select M where K = '""&amp;AB982&amp;""'""),if(W982=""Venerable"",QUERY(NPCVar!$K$2:$N1000, ""Select N where K = '""&amp;AB982&amp;""'""),fa"&amp;"lse)))*X982"),32)</f>
        <v>32</v>
      </c>
      <c r="W982" s="156" t="str">
        <f t="array" ref="W982">INDEX(NPCAgeType,TRUNC(1+(4-1)*(TRUNC(MOD((X982*1103515245 +12345)/ 65536, 32768),0)/32768),0))</f>
        <v>Middle Age</v>
      </c>
      <c r="X982" s="117">
        <f t="shared" si="61"/>
        <v>0.4</v>
      </c>
      <c r="Y982" s="157" t="e">
        <f t="array" aca="1" ref="Y982" ca="1">LOOKUP(ABS(MAX(Z982 + MIN(ABS(INDIRECT("Class Jobs!B"&amp;MATCH(E982,'Class Jobs'!$A$1:$A1000,0)&amp;":"&amp;"AF"&amp;MATCH(E982,'Class Jobs'!$A$1:$A1000,0)&amp;"")-$Z982)) * SUM(IF(MIN(ABS(INDIRECT("Class Jobs!B"&amp;MATCH(E982,'Class Jobs'!$A$1:$A1000,0)&amp;":"&amp;"AF"&amp;MATCH(E982,'Class Jobs'!$A$1:$A1000,0)&amp;"")-$Z982))=ABS(INDIRECT("Class Jobs!B"&amp;MATCH(E982,'Class Jobs'!$A$1:$A1000,0)&amp;":"&amp;"AF"&amp;MATCH(E982,'Class Jobs'!$A$1:$A1000,0)&amp;"")-$Z982),SIGN(INDIRECT("Class Jobs!B"&amp;MATCH(E982,'Class Jobs'!$A$1:A1000,0)&amp;":"&amp;"AF"&amp;MATCH(E982,'Class Jobs'!$A$1:$A1000,0)&amp;"")-$Z982),0)),0)),INDIRECT("Class Jobs!B"&amp;MATCH(E982,'Class Jobs'!$A$1:$A1000,0)&amp;":"&amp;"AF"&amp;MATCH(E982,'Class Jobs'!$A$1:$A1000,1)&amp;""),'Class Jobs'!$B$1:$AF$1)</f>
        <v>#REF!</v>
      </c>
      <c r="Z982" s="158">
        <f t="shared" si="57"/>
        <v>0.15</v>
      </c>
      <c r="AA982" s="16" t="str">
        <f t="array" ref="AA982">INDEX(NPCGender,TRUNC(1+(COUNTA(NPCGender))*(TRUNC(MOD(($B982*1103515245 +12345)/ 65536, 32768),0)/32768),0))</f>
        <v>Male</v>
      </c>
      <c r="AB982" s="16" t="str">
        <f t="array" ref="AB982">INDEX(NPCRace,TRUNC(1+(COUNTA(NPCRace))*(TRUNC(MOD(($B982*1103515245 +12345)/ 65536, 32768),0)/32768),0))</f>
        <v>Dwarf</v>
      </c>
      <c r="AC982" s="16" t="str">
        <f t="array" ref="AC982">INDEX(NPCAL,TRUNC(1+(COUNTA(NPCAL))*(TRUNC(MOD(($B982*1103515245 +12345)/ 65536, 32768),0)/32768),0))</f>
        <v>CE</v>
      </c>
      <c r="AD982" s="72" t="str">
        <f ca="1">IFERROR(__xludf.DUMMYFUNCTION("if(V982&lt;15,QUERY(NPCVar!C:D,""Select D WHERE C = '""&amp;D982&amp;""'""),if((TRUNC(1+10)*(TRUNC(MOD((ROW(H982)*1103515245 +12345)/ 65536, 32768),0)/32768)/10) &gt; 0.85,INDEX(NPCFaction,TRUNC(1+(counta(NPCFaction)-1)*(TRUNC(MOD(($B982*1103515245 +12345)/ 65536, 3276"&amp;"8),0)/32768),0)),QUERY(NPCVar!C:D,""Select D WHERE C = '""&amp;D982&amp;""'"")))"),"Royalty")</f>
        <v>Royalty</v>
      </c>
      <c r="AE982" s="108" t="e">
        <f t="shared" ca="1" si="58"/>
        <v>#NAME?</v>
      </c>
      <c r="AF982" s="159">
        <f ca="1">IFERROR(__xludf.DUMMYFUNCTION("AE982*(V982 / QUERY(NPCVar!$K$2:$N$12, ""Select N WHERE K='""&amp;AB982&amp;""'""))*TRUNC(1+10)*(TRUNC(MOD(($B982*1103515245 +12345)/ 65536, 32768),0)/32768)"),-0.03289794921875)</f>
        <v>-3.289794921875E-2</v>
      </c>
      <c r="AG982" s="16"/>
      <c r="AH982" s="77"/>
      <c r="AI982" s="114"/>
    </row>
    <row r="983" spans="1:35" ht="16.2">
      <c r="A983" s="53">
        <v>982</v>
      </c>
      <c r="B983" s="118">
        <f t="shared" si="64"/>
        <v>1.23123</v>
      </c>
      <c r="C983" s="72" t="str">
        <f t="array" ref="C983">INDEX(NPCFName,TRUNC(1+(COUNTA(NPCFName))*(TRUNC(MOD(($B983*1103515245 +12345)/ 65536, 32768),0)/32768),0))</f>
        <v>Vectomon</v>
      </c>
      <c r="D983" s="16" t="str">
        <f t="array" ref="D983">INDEX(NPCLName,TRUNC(1+(COUNTA(NPCLName))*(TRUNC(MOD(($B983*1103515245 +12345)/ 65536, 32768),0)/32768),0))</f>
        <v>Gloomrage</v>
      </c>
      <c r="E983" s="16" t="str">
        <f t="array" ref="E983">INDEX(NPCClass,TRUNC(1+(COUNTA(NPCClass))*(TRUNC(MOD(($B983*1103515245 +12345)/ 65536, 32768),0)/32768),0))</f>
        <v>Warlock</v>
      </c>
      <c r="F983" s="76">
        <v>8</v>
      </c>
      <c r="G983" s="153">
        <f ca="1">VLOOKUP($AB$2,'RF Mod'!$A$2:$G$12,2,FALSE)+VLOOKUP($AD$2,'RF Mod'!$I$2:$O$11,2,FALSE)+(TRUNC(6+(24-6)*(TRUNC(MOD(($Z983*1103515245 +12345)/ 65536, 32768),0)/32768),0))</f>
        <v>9</v>
      </c>
      <c r="H983" s="16">
        <f t="shared" ca="1" si="49"/>
        <v>-1</v>
      </c>
      <c r="I983" s="153">
        <f ca="1">VLOOKUP($AB$2,'RF Mod'!$A$2:$G$12,3,FALSE)+VLOOKUP($AD$2,'RF Mod'!$I$2:$O$11,3,FALSE)+(TRUNC(6+(24-6)*(TRUNC(MOD(($Z983*1103515245 +12345)/ 65536, 32768),0)/32768),0))</f>
        <v>13</v>
      </c>
      <c r="J983" s="16" t="e">
        <f t="shared" ca="1" si="50"/>
        <v>#NAME?</v>
      </c>
      <c r="K983" s="153">
        <f ca="1">VLOOKUP($AB$2,'RF Mod'!$A$2:$G$12,3,FALSE)+VLOOKUP($AD$2,'RF Mod'!$I$2:$O$11,3,FALSE)+(TRUNC(6+(24-6)*(TRUNC(MOD(($Z983*1103515245 +12345)/ 65536, 32768),0)/32768),0))</f>
        <v>13</v>
      </c>
      <c r="L983" s="16" t="e">
        <f t="shared" ca="1" si="51"/>
        <v>#NAME?</v>
      </c>
      <c r="M983" s="153">
        <f ca="1">VLOOKUP($AB$2,'RF Mod'!$A$2:$G$12,4,FALSE)+VLOOKUP($AD$2,'RF Mod'!$I$2:$O$11,4,FALSE)+(TRUNC(6+(24-6)*(TRUNC(MOD(($Z983*1103515245 +12345)/ 65536, 32768),0)/32768),0))</f>
        <v>12</v>
      </c>
      <c r="N983" s="16" t="e">
        <f t="shared" ca="1" si="52"/>
        <v>#NAME?</v>
      </c>
      <c r="O983" s="153">
        <f ca="1">VLOOKUP($AB$2,'RF Mod'!$A$2:$G$12,5,FALSE)+VLOOKUP($AD$2,'RF Mod'!$I$2:$O$11,5,FALSE)+(TRUNC(6+(24-6)*(TRUNC(MOD(($Z983*1103515245 +12345)/ 65536, 32768),0)/32768),0))</f>
        <v>15</v>
      </c>
      <c r="P983" s="16" t="e">
        <f t="shared" ca="1" si="53"/>
        <v>#NAME?</v>
      </c>
      <c r="Q983" s="153">
        <f ca="1">VLOOKUP($AB$2,'RF Mod'!$A$2:$G$12,6,FALSE)+VLOOKUP($AD$2,'RF Mod'!$I$2:$O$11,6,FALSE)+(TRUNC(6+(24-6)*(TRUNC(MOD(($Z983*1103515245 +12345)/ 65536, 32768),0)/32768),0))</f>
        <v>13</v>
      </c>
      <c r="R983" s="16" t="e">
        <f t="shared" ca="1" si="54"/>
        <v>#NAME?</v>
      </c>
      <c r="S983" s="154">
        <f t="shared" ca="1" si="59"/>
        <v>120</v>
      </c>
      <c r="T983" s="154">
        <f t="shared" ca="1" si="55"/>
        <v>132</v>
      </c>
      <c r="U983" s="16" t="str">
        <f t="shared" ca="1" si="56"/>
        <v>Dead</v>
      </c>
      <c r="V983" s="155">
        <f ca="1">IFERROR(__xludf.DUMMYFUNCTION("if(W983=""Middle Age"",QUERY(NPCVar!$K$2:$N1000, ""Select L where K = '""&amp;AB983&amp;""'""),if(W983=""Old"",QUERY(NPCVar!$K$2:$N1000, ""Select M where K = '""&amp;AB983&amp;""'""),if(W983=""Venerable"",QUERY(NPCVar!$K$2:$N1000, ""Select N where K = '""&amp;AB983&amp;""'""),fa"&amp;"lse)))*X983"),320)</f>
        <v>320</v>
      </c>
      <c r="W983" s="156" t="str">
        <f t="array" ref="W983">INDEX(NPCAgeType,TRUNC(1+(4-1)*(TRUNC(MOD((X983*1103515245 +12345)/ 65536, 32768),0)/32768),0))</f>
        <v>Venerable</v>
      </c>
      <c r="X983" s="117">
        <f t="shared" si="61"/>
        <v>1.6</v>
      </c>
      <c r="Y983" s="157" t="e">
        <f t="array" aca="1" ref="Y983" ca="1">LOOKUP(ABS(MAX(Z983 + MIN(ABS(INDIRECT("Class Jobs!B"&amp;MATCH(E983,'Class Jobs'!$A$1:$A1000,0)&amp;":"&amp;"AF"&amp;MATCH(E983,'Class Jobs'!$A$1:$A1000,0)&amp;"")-$Z983)) * SUM(IF(MIN(ABS(INDIRECT("Class Jobs!B"&amp;MATCH(E983,'Class Jobs'!$A$1:$A1000,0)&amp;":"&amp;"AF"&amp;MATCH(E983,'Class Jobs'!$A$1:$A1000,0)&amp;"")-$Z983))=ABS(INDIRECT("Class Jobs!B"&amp;MATCH(E983,'Class Jobs'!$A$1:$A1000,0)&amp;":"&amp;"AF"&amp;MATCH(E983,'Class Jobs'!$A$1:$A1000,0)&amp;"")-$Z983),SIGN(INDIRECT("Class Jobs!B"&amp;MATCH(E983,'Class Jobs'!$A$1:A1000,0)&amp;":"&amp;"AF"&amp;MATCH(E983,'Class Jobs'!$A$1:$A1000,0)&amp;"")-$Z983),0)),0)),INDIRECT("Class Jobs!B"&amp;MATCH(E983,'Class Jobs'!$A$1:$A1000,0)&amp;":"&amp;"AF"&amp;MATCH(E983,'Class Jobs'!$A$1:$A1000,1)&amp;""),'Class Jobs'!$B$1:$AF$1)</f>
        <v>#REF!</v>
      </c>
      <c r="Z983" s="158">
        <f t="shared" si="57"/>
        <v>0.63</v>
      </c>
      <c r="AA983" s="16" t="str">
        <f t="array" ref="AA983">INDEX(NPCGender,TRUNC(1+(COUNTA(NPCGender))*(TRUNC(MOD(($B983*1103515245 +12345)/ 65536, 32768),0)/32768),0))</f>
        <v>Female</v>
      </c>
      <c r="AB983" s="16" t="str">
        <f t="array" ref="AB983">INDEX(NPCRace,TRUNC(1+(COUNTA(NPCRace))*(TRUNC(MOD(($B983*1103515245 +12345)/ 65536, 32768),0)/32768),0))</f>
        <v>Halfling</v>
      </c>
      <c r="AC983" s="16" t="str">
        <f t="array" ref="AC983">INDEX(NPCAL,TRUNC(1+(COUNTA(NPCAL))*(TRUNC(MOD(($B983*1103515245 +12345)/ 65536, 32768),0)/32768),0))</f>
        <v>NE</v>
      </c>
      <c r="AD983" s="72" t="str">
        <f ca="1">IFERROR(__xludf.DUMMYFUNCTION("if(V983&lt;15,QUERY(NPCVar!C:D,""Select D WHERE C = '""&amp;D983&amp;""'""),if((TRUNC(1+10)*(TRUNC(MOD((ROW(H983)*1103515245 +12345)/ 65536, 32768),0)/32768)/10) &gt; 0.85,INDEX(NPCFaction,TRUNC(1+(counta(NPCFaction)-1)*(TRUNC(MOD(($B983*1103515245 +12345)/ 65536, 3276"&amp;"8),0)/32768),0)),QUERY(NPCVar!C:D,""Select D WHERE C = '""&amp;D983&amp;""'"")))"),"Traders Guild")</f>
        <v>Traders Guild</v>
      </c>
      <c r="AE983" s="108" t="e">
        <f t="shared" ca="1" si="58"/>
        <v>#NAME?</v>
      </c>
      <c r="AF983" s="159">
        <f ca="1">IFERROR(__xludf.DUMMYFUNCTION("AE983*(V983 / QUERY(NPCVar!$K$2:$N$12, ""Select N WHERE K='""&amp;AB983&amp;""'""))*TRUNC(1+10)*(TRUNC(MOD(($B983*1103515245 +12345)/ 65536, 32768),0)/32768)"),7.79474609374999)</f>
        <v>7.7947460937499899</v>
      </c>
      <c r="AG983" s="16"/>
      <c r="AH983" s="77"/>
      <c r="AI983" s="114"/>
    </row>
    <row r="984" spans="1:35" ht="16.2">
      <c r="A984" s="53">
        <v>983</v>
      </c>
      <c r="B984" s="118">
        <f t="shared" si="64"/>
        <v>0.22538</v>
      </c>
      <c r="C984" s="72" t="str">
        <f t="array" ref="C984">INDEX(NPCFName,TRUNC(1+(COUNTA(NPCFName))*(TRUNC(MOD(($B984*1103515245 +12345)/ 65536, 32768),0)/32768),0))</f>
        <v>Galiron</v>
      </c>
      <c r="D984" s="16" t="str">
        <f t="array" ref="D984">INDEX(NPCLName,TRUNC(1+(COUNTA(NPCLName))*(TRUNC(MOD(($B984*1103515245 +12345)/ 65536, 32768),0)/32768),0))</f>
        <v>Distantlash</v>
      </c>
      <c r="E984" s="16" t="str">
        <f t="array" ref="E984">INDEX(NPCClass,TRUNC(1+(COUNTA(NPCClass))*(TRUNC(MOD(($B984*1103515245 +12345)/ 65536, 32768),0)/32768),0))</f>
        <v>Bard</v>
      </c>
      <c r="F984" s="76">
        <v>1</v>
      </c>
      <c r="G984" s="153">
        <f ca="1">VLOOKUP($AB$2,'RF Mod'!$A$2:$G$12,2,FALSE)+VLOOKUP($AD$2,'RF Mod'!$I$2:$O$11,2,FALSE)+(TRUNC(6+(24-6)*(TRUNC(MOD(($Z984*1103515245 +12345)/ 65536, 32768),0)/32768),0))</f>
        <v>5</v>
      </c>
      <c r="H984" s="16">
        <f t="shared" ca="1" si="49"/>
        <v>-3</v>
      </c>
      <c r="I984" s="153">
        <f ca="1">VLOOKUP($AB$2,'RF Mod'!$A$2:$G$12,3,FALSE)+VLOOKUP($AD$2,'RF Mod'!$I$2:$O$11,3,FALSE)+(TRUNC(6+(24-6)*(TRUNC(MOD(($Z984*1103515245 +12345)/ 65536, 32768),0)/32768),0))</f>
        <v>9</v>
      </c>
      <c r="J984" s="16">
        <f t="shared" ca="1" si="50"/>
        <v>-1</v>
      </c>
      <c r="K984" s="153">
        <f ca="1">VLOOKUP($AB$2,'RF Mod'!$A$2:$G$12,3,FALSE)+VLOOKUP($AD$2,'RF Mod'!$I$2:$O$11,3,FALSE)+(TRUNC(6+(24-6)*(TRUNC(MOD(($Z984*1103515245 +12345)/ 65536, 32768),0)/32768),0))</f>
        <v>9</v>
      </c>
      <c r="L984" s="16">
        <f t="shared" ca="1" si="51"/>
        <v>-1</v>
      </c>
      <c r="M984" s="153">
        <f ca="1">VLOOKUP($AB$2,'RF Mod'!$A$2:$G$12,4,FALSE)+VLOOKUP($AD$2,'RF Mod'!$I$2:$O$11,4,FALSE)+(TRUNC(6+(24-6)*(TRUNC(MOD(($Z984*1103515245 +12345)/ 65536, 32768),0)/32768),0))</f>
        <v>8</v>
      </c>
      <c r="N984" s="16">
        <f t="shared" ca="1" si="52"/>
        <v>-1</v>
      </c>
      <c r="O984" s="153">
        <f ca="1">VLOOKUP($AB$2,'RF Mod'!$A$2:$G$12,5,FALSE)+VLOOKUP($AD$2,'RF Mod'!$I$2:$O$11,5,FALSE)+(TRUNC(6+(24-6)*(TRUNC(MOD(($Z984*1103515245 +12345)/ 65536, 32768),0)/32768),0))</f>
        <v>11</v>
      </c>
      <c r="P984" s="16" t="e">
        <f t="shared" ca="1" si="53"/>
        <v>#NAME?</v>
      </c>
      <c r="Q984" s="153">
        <f ca="1">VLOOKUP($AB$2,'RF Mod'!$A$2:$G$12,6,FALSE)+VLOOKUP($AD$2,'RF Mod'!$I$2:$O$11,6,FALSE)+(TRUNC(6+(24-6)*(TRUNC(MOD(($Z984*1103515245 +12345)/ 65536, 32768),0)/32768),0))</f>
        <v>9</v>
      </c>
      <c r="R984" s="16">
        <f t="shared" ca="1" si="54"/>
        <v>-1</v>
      </c>
      <c r="S984" s="154">
        <f t="shared" ca="1" si="59"/>
        <v>27</v>
      </c>
      <c r="T984" s="154">
        <f t="shared" ca="1" si="55"/>
        <v>26</v>
      </c>
      <c r="U984" s="16" t="str">
        <f t="shared" ca="1" si="56"/>
        <v>Bloody</v>
      </c>
      <c r="V984" s="155">
        <f ca="1">IFERROR(__xludf.DUMMYFUNCTION("if(W984=""Middle Age"",QUERY(NPCVar!$K$2:$N1000, ""Select L where K = '""&amp;AB984&amp;""'""),if(W984=""Old"",QUERY(NPCVar!$K$2:$N1000, ""Select M where K = '""&amp;AB984&amp;""'""),if(W984=""Venerable"",QUERY(NPCVar!$K$2:$N1000, ""Select N where K = '""&amp;AB984&amp;""'""),fa"&amp;"lse)))*X984"),24)</f>
        <v>24</v>
      </c>
      <c r="W984" s="156" t="str">
        <f t="array" ref="W984">INDEX(NPCAgeType,TRUNC(1+(4-1)*(TRUNC(MOD((X984*1103515245 +12345)/ 65536, 32768),0)/32768),0))</f>
        <v>Middle Age</v>
      </c>
      <c r="X984" s="117">
        <f t="shared" si="61"/>
        <v>0.3</v>
      </c>
      <c r="Y984" s="157" t="e">
        <f t="array" aca="1" ref="Y984" ca="1">LOOKUP(ABS(MAX(Z984 + MIN(ABS(INDIRECT("Class Jobs!B"&amp;MATCH(E984,'Class Jobs'!$A$1:$A1000,0)&amp;":"&amp;"AF"&amp;MATCH(E984,'Class Jobs'!$A$1:$A1000,0)&amp;"")-$Z984)) * SUM(IF(MIN(ABS(INDIRECT("Class Jobs!B"&amp;MATCH(E984,'Class Jobs'!$A$1:$A1000,0)&amp;":"&amp;"AF"&amp;MATCH(E984,'Class Jobs'!$A$1:$A1000,0)&amp;"")-$Z984))=ABS(INDIRECT("Class Jobs!B"&amp;MATCH(E984,'Class Jobs'!$A$1:$A1000,0)&amp;":"&amp;"AF"&amp;MATCH(E984,'Class Jobs'!$A$1:$A1000,0)&amp;"")-$Z984),SIGN(INDIRECT("Class Jobs!B"&amp;MATCH(E984,'Class Jobs'!$A$1:A1000,0)&amp;":"&amp;"AF"&amp;MATCH(E984,'Class Jobs'!$A$1:$A1000,0)&amp;"")-$Z984),0)),0)),INDIRECT("Class Jobs!B"&amp;MATCH(E984,'Class Jobs'!$A$1:$A1000,0)&amp;":"&amp;"AF"&amp;MATCH(E984,'Class Jobs'!$A$1:$A1000,1)&amp;""),'Class Jobs'!$B$1:$AF$1)</f>
        <v>#REF!</v>
      </c>
      <c r="Z984" s="158">
        <f t="shared" si="57"/>
        <v>0.12</v>
      </c>
      <c r="AA984" s="16" t="str">
        <f t="array" ref="AA984">INDEX(NPCGender,TRUNC(1+(COUNTA(NPCGender))*(TRUNC(MOD(($B984*1103515245 +12345)/ 65536, 32768),0)/32768),0))</f>
        <v>Male</v>
      </c>
      <c r="AB984" s="16" t="str">
        <f t="array" ref="AB984">INDEX(NPCRace,TRUNC(1+(COUNTA(NPCRace))*(TRUNC(MOD(($B984*1103515245 +12345)/ 65536, 32768),0)/32768),0))</f>
        <v>Dwarf</v>
      </c>
      <c r="AC984" s="16" t="str">
        <f t="array" ref="AC984">INDEX(NPCAL,TRUNC(1+(COUNTA(NPCAL))*(TRUNC(MOD(($B984*1103515245 +12345)/ 65536, 32768),0)/32768),0))</f>
        <v>CE</v>
      </c>
      <c r="AD984" s="72" t="str">
        <f ca="1">IFERROR(__xludf.DUMMYFUNCTION("if(V984&lt;15,QUERY(NPCVar!C:D,""Select D WHERE C = '""&amp;D984&amp;""'""),if((TRUNC(1+10)*(TRUNC(MOD((ROW(H984)*1103515245 +12345)/ 65536, 32768),0)/32768)/10) &gt; 0.85,INDEX(NPCFaction,TRUNC(1+(counta(NPCFaction)-1)*(TRUNC(MOD(($B984*1103515245 +12345)/ 65536, 3276"&amp;"8),0)/32768),0)),QUERY(NPCVar!C:D,""Select D WHERE C = '""&amp;D984&amp;""'"")))"),"Death Guild")</f>
        <v>Death Guild</v>
      </c>
      <c r="AE984" s="108" t="e">
        <f t="shared" ca="1" si="58"/>
        <v>#NAME?</v>
      </c>
      <c r="AF984" s="159">
        <f ca="1">IFERROR(__xludf.DUMMYFUNCTION("AE984*(V984 / QUERY(NPCVar!$K$2:$N$12, ""Select N WHERE K='""&amp;AB984&amp;""'""))*TRUNC(1+10)*(TRUNC(MOD(($B984*1103515245 +12345)/ 65536, 32768),0)/32768)"),-0.00955467224121093)</f>
        <v>-9.5546722412109299E-3</v>
      </c>
      <c r="AG984" s="16"/>
      <c r="AH984" s="77"/>
      <c r="AI984" s="114"/>
    </row>
    <row r="985" spans="1:35" ht="16.2">
      <c r="A985" s="53">
        <v>984</v>
      </c>
      <c r="B985" s="118">
        <f t="shared" si="64"/>
        <v>1.7195100000000001</v>
      </c>
      <c r="C985" s="72" t="str">
        <f t="array" ref="C985">INDEX(NPCFName,TRUNC(1+(COUNTA(NPCFName))*(TRUNC(MOD(($B985*1103515245 +12345)/ 65536, 32768),0)/32768),0))</f>
        <v>Ospar</v>
      </c>
      <c r="D985" s="16" t="str">
        <f t="array" ref="D985">INDEX(NPCLName,TRUNC(1+(COUNTA(NPCLName))*(TRUNC(MOD(($B985*1103515245 +12345)/ 65536, 32768),0)/32768),0))</f>
        <v>Forestbluff</v>
      </c>
      <c r="E985" s="16" t="str">
        <f t="array" ref="E985">INDEX(NPCClass,TRUNC(1+(COUNTA(NPCClass))*(TRUNC(MOD(($B985*1103515245 +12345)/ 65536, 32768),0)/32768),0))</f>
        <v>Fighter</v>
      </c>
      <c r="F985" s="76">
        <v>8</v>
      </c>
      <c r="G985" s="153">
        <f ca="1">VLOOKUP($AB$2,'RF Mod'!$A$2:$G$12,2,FALSE)+VLOOKUP($AD$2,'RF Mod'!$I$2:$O$11,2,FALSE)+(TRUNC(6+(24-6)*(TRUNC(MOD(($Z985*1103515245 +12345)/ 65536, 32768),0)/32768),0))</f>
        <v>12</v>
      </c>
      <c r="H985" s="16" t="e">
        <f t="shared" ca="1" si="49"/>
        <v>#NAME?</v>
      </c>
      <c r="I985" s="153">
        <f ca="1">VLOOKUP($AB$2,'RF Mod'!$A$2:$G$12,3,FALSE)+VLOOKUP($AD$2,'RF Mod'!$I$2:$O$11,3,FALSE)+(TRUNC(6+(24-6)*(TRUNC(MOD(($Z985*1103515245 +12345)/ 65536, 32768),0)/32768),0))</f>
        <v>16</v>
      </c>
      <c r="J985" s="16" t="e">
        <f t="shared" ca="1" si="50"/>
        <v>#NAME?</v>
      </c>
      <c r="K985" s="153">
        <f ca="1">VLOOKUP($AB$2,'RF Mod'!$A$2:$G$12,3,FALSE)+VLOOKUP($AD$2,'RF Mod'!$I$2:$O$11,3,FALSE)+(TRUNC(6+(24-6)*(TRUNC(MOD(($Z985*1103515245 +12345)/ 65536, 32768),0)/32768),0))</f>
        <v>16</v>
      </c>
      <c r="L985" s="16" t="e">
        <f t="shared" ca="1" si="51"/>
        <v>#NAME?</v>
      </c>
      <c r="M985" s="153">
        <f ca="1">VLOOKUP($AB$2,'RF Mod'!$A$2:$G$12,4,FALSE)+VLOOKUP($AD$2,'RF Mod'!$I$2:$O$11,4,FALSE)+(TRUNC(6+(24-6)*(TRUNC(MOD(($Z985*1103515245 +12345)/ 65536, 32768),0)/32768),0))</f>
        <v>15</v>
      </c>
      <c r="N985" s="16" t="e">
        <f t="shared" ca="1" si="52"/>
        <v>#NAME?</v>
      </c>
      <c r="O985" s="153">
        <f ca="1">VLOOKUP($AB$2,'RF Mod'!$A$2:$G$12,5,FALSE)+VLOOKUP($AD$2,'RF Mod'!$I$2:$O$11,5,FALSE)+(TRUNC(6+(24-6)*(TRUNC(MOD(($Z985*1103515245 +12345)/ 65536, 32768),0)/32768),0))</f>
        <v>18</v>
      </c>
      <c r="P985" s="16" t="e">
        <f t="shared" ca="1" si="53"/>
        <v>#NAME?</v>
      </c>
      <c r="Q985" s="153">
        <f ca="1">VLOOKUP($AB$2,'RF Mod'!$A$2:$G$12,6,FALSE)+VLOOKUP($AD$2,'RF Mod'!$I$2:$O$11,6,FALSE)+(TRUNC(6+(24-6)*(TRUNC(MOD(($Z985*1103515245 +12345)/ 65536, 32768),0)/32768),0))</f>
        <v>16</v>
      </c>
      <c r="R985" s="16" t="e">
        <f t="shared" ca="1" si="54"/>
        <v>#NAME?</v>
      </c>
      <c r="S985" s="154">
        <f t="shared" ca="1" si="59"/>
        <v>272</v>
      </c>
      <c r="T985" s="154">
        <f t="shared" ca="1" si="55"/>
        <v>162</v>
      </c>
      <c r="U985" s="16" t="str">
        <f t="shared" ca="1" si="56"/>
        <v>Bloody</v>
      </c>
      <c r="V985" s="155">
        <f ca="1">IFERROR(__xludf.DUMMYFUNCTION("if(W985=""Middle Age"",QUERY(NPCVar!$K$2:$N1000, ""Select L where K = '""&amp;AB985&amp;""'""),if(W985=""Old"",QUERY(NPCVar!$K$2:$N1000, ""Select M where K = '""&amp;AB985&amp;""'""),if(W985=""Venerable"",QUERY(NPCVar!$K$2:$N1000, ""Select N where K = '""&amp;AB985&amp;""'""),fa"&amp;"lse)))*X985"),60.5)</f>
        <v>60.5</v>
      </c>
      <c r="W985" s="156" t="str">
        <f t="array" ref="W985">INDEX(NPCAgeType,TRUNC(1+(4-1)*(TRUNC(MOD((X985*1103515245 +12345)/ 65536, 32768),0)/32768),0))</f>
        <v>Middle Age</v>
      </c>
      <c r="X985" s="117">
        <f t="shared" si="61"/>
        <v>2.2000000000000002</v>
      </c>
      <c r="Y985" s="157" t="e">
        <f t="array" aca="1" ref="Y985" ca="1">LOOKUP(ABS(MAX(Z985 + MIN(ABS(INDIRECT("Class Jobs!B"&amp;MATCH(E985,'Class Jobs'!$A$1:$A1000,0)&amp;":"&amp;"AF"&amp;MATCH(E985,'Class Jobs'!$A$1:$A1000,0)&amp;"")-$Z985)) * SUM(IF(MIN(ABS(INDIRECT("Class Jobs!B"&amp;MATCH(E985,'Class Jobs'!$A$1:$A1000,0)&amp;":"&amp;"AF"&amp;MATCH(E985,'Class Jobs'!$A$1:$A1000,0)&amp;"")-$Z985))=ABS(INDIRECT("Class Jobs!B"&amp;MATCH(E985,'Class Jobs'!$A$1:$A1000,0)&amp;":"&amp;"AF"&amp;MATCH(E985,'Class Jobs'!$A$1:$A1000,0)&amp;"")-$Z985),SIGN(INDIRECT("Class Jobs!B"&amp;MATCH(E985,'Class Jobs'!$A$1:A1000,0)&amp;":"&amp;"AF"&amp;MATCH(E985,'Class Jobs'!$A$1:$A1000,0)&amp;"")-$Z985),0)),0)),INDIRECT("Class Jobs!B"&amp;MATCH(E985,'Class Jobs'!$A$1:$A1000,0)&amp;":"&amp;"AF"&amp;MATCH(E985,'Class Jobs'!$A$1:$A1000,1)&amp;""),'Class Jobs'!$B$1:$AF$1)</f>
        <v>#REF!</v>
      </c>
      <c r="Z985" s="158">
        <f t="shared" si="57"/>
        <v>0.88</v>
      </c>
      <c r="AA985" s="16" t="str">
        <f t="array" ref="AA985">INDEX(NPCGender,TRUNC(1+(COUNTA(NPCGender))*(TRUNC(MOD(($B985*1103515245 +12345)/ 65536, 32768),0)/32768),0))</f>
        <v>Neutral</v>
      </c>
      <c r="AB985" s="16" t="str">
        <f t="array" ref="AB985">INDEX(NPCRace,TRUNC(1+(COUNTA(NPCRace))*(TRUNC(MOD(($B985*1103515245 +12345)/ 65536, 32768),0)/32768),0))</f>
        <v>Genasi</v>
      </c>
      <c r="AC985" s="16" t="str">
        <f t="array" ref="AC985">INDEX(NPCAL,TRUNC(1+(COUNTA(NPCAL))*(TRUNC(MOD(($B985*1103515245 +12345)/ 65536, 32768),0)/32768),0))</f>
        <v>LN</v>
      </c>
      <c r="AD985" s="72" t="str">
        <f ca="1">IFERROR(__xludf.DUMMYFUNCTION("if(V985&lt;15,QUERY(NPCVar!C:D,""Select D WHERE C = '""&amp;D985&amp;""'""),if((TRUNC(1+10)*(TRUNC(MOD((ROW(H985)*1103515245 +12345)/ 65536, 32768),0)/32768)/10) &gt; 0.85,INDEX(NPCFaction,TRUNC(1+(counta(NPCFaction)-1)*(TRUNC(MOD(($B985*1103515245 +12345)/ 65536, 3276"&amp;"8),0)/32768),0)),QUERY(NPCVar!C:D,""Select D WHERE C = '""&amp;D985&amp;""'"")))"),"Thieves Guild")</f>
        <v>Thieves Guild</v>
      </c>
      <c r="AE985" s="108" t="e">
        <f t="shared" ca="1" si="58"/>
        <v>#NAME?</v>
      </c>
      <c r="AF985" s="159">
        <f ca="1">IFERROR(__xludf.DUMMYFUNCTION("AE985*(V985 / QUERY(NPCVar!$K$2:$N$12, ""Select N WHERE K='""&amp;AB985&amp;""'""))*TRUNC(1+10)*(TRUNC(MOD(($B985*1103515245 +12345)/ 65536, 32768),0)/32768)"),3.74194198608398)</f>
        <v>3.74194198608398</v>
      </c>
      <c r="AG985" s="16"/>
      <c r="AH985" s="77"/>
      <c r="AI985" s="114"/>
    </row>
    <row r="986" spans="1:35" ht="16.2">
      <c r="A986" s="53">
        <v>985</v>
      </c>
      <c r="B986" s="118">
        <f t="shared" si="64"/>
        <v>0.71365999999999996</v>
      </c>
      <c r="C986" s="72" t="str">
        <f t="array" ref="C986">INDEX(NPCFName,TRUNC(1+(COUNTA(NPCFName))*(TRUNC(MOD(($B986*1103515245 +12345)/ 65536, 32768),0)/32768),0))</f>
        <v>Bithon</v>
      </c>
      <c r="D986" s="16" t="str">
        <f t="array" ref="D986">INDEX(NPCLName,TRUNC(1+(COUNTA(NPCLName))*(TRUNC(MOD(($B986*1103515245 +12345)/ 65536, 32768),0)/32768),0))</f>
        <v>Fistroot</v>
      </c>
      <c r="E986" s="16" t="str">
        <f t="array" ref="E986">INDEX(NPCClass,TRUNC(1+(COUNTA(NPCClass))*(TRUNC(MOD(($B986*1103515245 +12345)/ 65536, 32768),0)/32768),0))</f>
        <v>Paladin</v>
      </c>
      <c r="F986" s="76">
        <v>6</v>
      </c>
      <c r="G986" s="153">
        <f ca="1">VLOOKUP($AB$2,'RF Mod'!$A$2:$G$12,2,FALSE)+VLOOKUP($AD$2,'RF Mod'!$I$2:$O$11,2,FALSE)+(TRUNC(6+(24-6)*(TRUNC(MOD(($Z986*1103515245 +12345)/ 65536, 32768),0)/32768),0))</f>
        <v>7</v>
      </c>
      <c r="H986" s="16">
        <f t="shared" ca="1" si="49"/>
        <v>-2</v>
      </c>
      <c r="I986" s="153">
        <f ca="1">VLOOKUP($AB$2,'RF Mod'!$A$2:$G$12,3,FALSE)+VLOOKUP($AD$2,'RF Mod'!$I$2:$O$11,3,FALSE)+(TRUNC(6+(24-6)*(TRUNC(MOD(($Z986*1103515245 +12345)/ 65536, 32768),0)/32768),0))</f>
        <v>11</v>
      </c>
      <c r="J986" s="16" t="e">
        <f t="shared" ca="1" si="50"/>
        <v>#NAME?</v>
      </c>
      <c r="K986" s="153">
        <f ca="1">VLOOKUP($AB$2,'RF Mod'!$A$2:$G$12,3,FALSE)+VLOOKUP($AD$2,'RF Mod'!$I$2:$O$11,3,FALSE)+(TRUNC(6+(24-6)*(TRUNC(MOD(($Z986*1103515245 +12345)/ 65536, 32768),0)/32768),0))</f>
        <v>11</v>
      </c>
      <c r="L986" s="16" t="e">
        <f t="shared" ca="1" si="51"/>
        <v>#NAME?</v>
      </c>
      <c r="M986" s="153">
        <f ca="1">VLOOKUP($AB$2,'RF Mod'!$A$2:$G$12,4,FALSE)+VLOOKUP($AD$2,'RF Mod'!$I$2:$O$11,4,FALSE)+(TRUNC(6+(24-6)*(TRUNC(MOD(($Z986*1103515245 +12345)/ 65536, 32768),0)/32768),0))</f>
        <v>10</v>
      </c>
      <c r="N986" s="16" t="e">
        <f t="shared" ca="1" si="52"/>
        <v>#NAME?</v>
      </c>
      <c r="O986" s="153">
        <f ca="1">VLOOKUP($AB$2,'RF Mod'!$A$2:$G$12,5,FALSE)+VLOOKUP($AD$2,'RF Mod'!$I$2:$O$11,5,FALSE)+(TRUNC(6+(24-6)*(TRUNC(MOD(($Z986*1103515245 +12345)/ 65536, 32768),0)/32768),0))</f>
        <v>13</v>
      </c>
      <c r="P986" s="16" t="e">
        <f t="shared" ca="1" si="53"/>
        <v>#NAME?</v>
      </c>
      <c r="Q986" s="153">
        <f ca="1">VLOOKUP($AB$2,'RF Mod'!$A$2:$G$12,6,FALSE)+VLOOKUP($AD$2,'RF Mod'!$I$2:$O$11,6,FALSE)+(TRUNC(6+(24-6)*(TRUNC(MOD(($Z986*1103515245 +12345)/ 65536, 32768),0)/32768),0))</f>
        <v>11</v>
      </c>
      <c r="R986" s="16" t="e">
        <f t="shared" ca="1" si="54"/>
        <v>#NAME?</v>
      </c>
      <c r="S986" s="154">
        <f t="shared" ca="1" si="59"/>
        <v>78</v>
      </c>
      <c r="T986" s="154">
        <f t="shared" ca="1" si="55"/>
        <v>93</v>
      </c>
      <c r="U986" s="16" t="str">
        <f t="shared" ca="1" si="56"/>
        <v>Dead</v>
      </c>
      <c r="V986" s="155">
        <f ca="1">IFERROR(__xludf.DUMMYFUNCTION("if(W986=""Middle Age"",QUERY(NPCVar!$K$2:$N1000, ""Select L where K = '""&amp;AB986&amp;""'""),if(W986=""Old"",QUERY(NPCVar!$K$2:$N1000, ""Select M where K = '""&amp;AB986&amp;""'""),if(W986=""Venerable"",QUERY(NPCVar!$K$2:$N1000, ""Select N where K = '""&amp;AB986&amp;""'""),fa"&amp;"lse)))*X986"),60.75)</f>
        <v>60.75</v>
      </c>
      <c r="W986" s="156" t="str">
        <f t="array" ref="W986">INDEX(NPCAgeType,TRUNC(1+(4-1)*(TRUNC(MOD((X986*1103515245 +12345)/ 65536, 32768),0)/32768),0))</f>
        <v>Old</v>
      </c>
      <c r="X986" s="117">
        <f t="shared" si="61"/>
        <v>0.9</v>
      </c>
      <c r="Y986" s="157" t="e">
        <f t="array" aca="1" ref="Y986" ca="1">LOOKUP(ABS(MAX(Z986 + MIN(ABS(INDIRECT("Class Jobs!B"&amp;MATCH(E986,'Class Jobs'!$A$1:$A1000,0)&amp;":"&amp;"AF"&amp;MATCH(E986,'Class Jobs'!$A$1:$A1000,0)&amp;"")-$Z986)) * SUM(IF(MIN(ABS(INDIRECT("Class Jobs!B"&amp;MATCH(E986,'Class Jobs'!$A$1:$A1000,0)&amp;":"&amp;"AF"&amp;MATCH(E986,'Class Jobs'!$A$1:$A1000,0)&amp;"")-$Z986))=ABS(INDIRECT("Class Jobs!B"&amp;MATCH(E986,'Class Jobs'!$A$1:$A1000,0)&amp;":"&amp;"AF"&amp;MATCH(E986,'Class Jobs'!$A$1:$A1000,0)&amp;"")-$Z986),SIGN(INDIRECT("Class Jobs!B"&amp;MATCH(E986,'Class Jobs'!$A$1:A1000,0)&amp;":"&amp;"AF"&amp;MATCH(E986,'Class Jobs'!$A$1:$A1000,0)&amp;"")-$Z986),0)),0)),INDIRECT("Class Jobs!B"&amp;MATCH(E986,'Class Jobs'!$A$1:$A1000,0)&amp;":"&amp;"AF"&amp;MATCH(E986,'Class Jobs'!$A$1:$A1000,1)&amp;""),'Class Jobs'!$B$1:$AF$1)</f>
        <v>#REF!</v>
      </c>
      <c r="Z986" s="158">
        <f t="shared" si="57"/>
        <v>0.37</v>
      </c>
      <c r="AA986" s="16" t="str">
        <f t="array" ref="AA986">INDEX(NPCGender,TRUNC(1+(COUNTA(NPCGender))*(TRUNC(MOD(($B986*1103515245 +12345)/ 65536, 32768),0)/32768),0))</f>
        <v>Female</v>
      </c>
      <c r="AB986" s="16" t="str">
        <f t="array" ref="AB986">INDEX(NPCRace,TRUNC(1+(COUNTA(NPCRace))*(TRUNC(MOD(($B986*1103515245 +12345)/ 65536, 32768),0)/32768),0))</f>
        <v>Half-Elf</v>
      </c>
      <c r="AC986" s="16" t="str">
        <f t="array" ref="AC986">INDEX(NPCAL,TRUNC(1+(COUNTA(NPCAL))*(TRUNC(MOD(($B986*1103515245 +12345)/ 65536, 32768),0)/32768),0))</f>
        <v>NG</v>
      </c>
      <c r="AD986" s="72" t="str">
        <f ca="1">IFERROR(__xludf.DUMMYFUNCTION("if(V986&lt;15,QUERY(NPCVar!C:D,""Select D WHERE C = '""&amp;D986&amp;""'""),if((TRUNC(1+10)*(TRUNC(MOD((ROW(H986)*1103515245 +12345)/ 65536, 32768),0)/32768)/10) &gt; 0.85,INDEX(NPCFaction,TRUNC(1+(counta(NPCFaction)-1)*(TRUNC(MOD(($B986*1103515245 +12345)/ 65536, 3276"&amp;"8),0)/32768),0)),QUERY(NPCVar!C:D,""Select D WHERE C = '""&amp;D986&amp;""'"")))"),"Magic Guild")</f>
        <v>Magic Guild</v>
      </c>
      <c r="AE986" s="108" t="e">
        <f t="shared" ca="1" si="58"/>
        <v>#NAME?</v>
      </c>
      <c r="AF986" s="159">
        <f ca="1">IFERROR(__xludf.DUMMYFUNCTION("AE986*(V986 / QUERY(NPCVar!$K$2:$N$12, ""Select N WHERE K='""&amp;AB986&amp;""'""))*TRUNC(1+10)*(TRUNC(MOD(($B986*1103515245 +12345)/ 65536, 32768),0)/32768)"),0.136148414611816)</f>
        <v>0.13614841461181601</v>
      </c>
      <c r="AG986" s="16"/>
      <c r="AH986" s="77"/>
      <c r="AI986" s="114"/>
    </row>
    <row r="987" spans="1:35" ht="16.2">
      <c r="A987" s="53">
        <v>986</v>
      </c>
      <c r="B987" s="118">
        <f t="shared" si="64"/>
        <v>2.2077100000000001</v>
      </c>
      <c r="C987" s="72" t="str">
        <f t="array" ref="C987">INDEX(NPCFName,TRUNC(1+(COUNTA(NPCFName))*(TRUNC(MOD(($B987*1103515245 +12345)/ 65536, 32768),0)/32768),0))</f>
        <v>Hermenze</v>
      </c>
      <c r="D987" s="16" t="str">
        <f t="array" ref="D987">INDEX(NPCLName,TRUNC(1+(COUNTA(NPCLName))*(TRUNC(MOD(($B987*1103515245 +12345)/ 65536, 32768),0)/32768),0))</f>
        <v>Fistwing</v>
      </c>
      <c r="E987" s="16" t="str">
        <f t="array" ref="E987">INDEX(NPCClass,TRUNC(1+(COUNTA(NPCClass))*(TRUNC(MOD(($B987*1103515245 +12345)/ 65536, 32768),0)/32768),0))</f>
        <v>Bard</v>
      </c>
      <c r="F987" s="76">
        <v>1</v>
      </c>
      <c r="G987" s="153">
        <f ca="1">VLOOKUP($AB$2,'RF Mod'!$A$2:$G$12,2,FALSE)+VLOOKUP($AD$2,'RF Mod'!$I$2:$O$11,2,FALSE)+(TRUNC(6+(24-6)*(TRUNC(MOD(($Z987*1103515245 +12345)/ 65536, 32768),0)/32768),0))</f>
        <v>5</v>
      </c>
      <c r="H987" s="16">
        <f t="shared" ca="1" si="49"/>
        <v>-3</v>
      </c>
      <c r="I987" s="153">
        <f ca="1">VLOOKUP($AB$2,'RF Mod'!$A$2:$G$12,3,FALSE)+VLOOKUP($AD$2,'RF Mod'!$I$2:$O$11,3,FALSE)+(TRUNC(6+(24-6)*(TRUNC(MOD(($Z987*1103515245 +12345)/ 65536, 32768),0)/32768),0))</f>
        <v>9</v>
      </c>
      <c r="J987" s="16">
        <f t="shared" ca="1" si="50"/>
        <v>-1</v>
      </c>
      <c r="K987" s="153">
        <f ca="1">VLOOKUP($AB$2,'RF Mod'!$A$2:$G$12,3,FALSE)+VLOOKUP($AD$2,'RF Mod'!$I$2:$O$11,3,FALSE)+(TRUNC(6+(24-6)*(TRUNC(MOD(($Z987*1103515245 +12345)/ 65536, 32768),0)/32768),0))</f>
        <v>9</v>
      </c>
      <c r="L987" s="16">
        <f t="shared" ca="1" si="51"/>
        <v>-1</v>
      </c>
      <c r="M987" s="153">
        <f ca="1">VLOOKUP($AB$2,'RF Mod'!$A$2:$G$12,4,FALSE)+VLOOKUP($AD$2,'RF Mod'!$I$2:$O$11,4,FALSE)+(TRUNC(6+(24-6)*(TRUNC(MOD(($Z987*1103515245 +12345)/ 65536, 32768),0)/32768),0))</f>
        <v>8</v>
      </c>
      <c r="N987" s="16">
        <f t="shared" ca="1" si="52"/>
        <v>-1</v>
      </c>
      <c r="O987" s="153">
        <f ca="1">VLOOKUP($AB$2,'RF Mod'!$A$2:$G$12,5,FALSE)+VLOOKUP($AD$2,'RF Mod'!$I$2:$O$11,5,FALSE)+(TRUNC(6+(24-6)*(TRUNC(MOD(($Z987*1103515245 +12345)/ 65536, 32768),0)/32768),0))</f>
        <v>11</v>
      </c>
      <c r="P987" s="16" t="e">
        <f t="shared" ca="1" si="53"/>
        <v>#NAME?</v>
      </c>
      <c r="Q987" s="153">
        <f ca="1">VLOOKUP($AB$2,'RF Mod'!$A$2:$G$12,6,FALSE)+VLOOKUP($AD$2,'RF Mod'!$I$2:$O$11,6,FALSE)+(TRUNC(6+(24-6)*(TRUNC(MOD(($Z987*1103515245 +12345)/ 65536, 32768),0)/32768),0))</f>
        <v>9</v>
      </c>
      <c r="R987" s="16">
        <f t="shared" ca="1" si="54"/>
        <v>-1</v>
      </c>
      <c r="S987" s="154">
        <f t="shared" ca="1" si="59"/>
        <v>11</v>
      </c>
      <c r="T987" s="154">
        <f t="shared" ca="1" si="55"/>
        <v>7</v>
      </c>
      <c r="U987" s="16" t="str">
        <f t="shared" ca="1" si="56"/>
        <v>Bloody</v>
      </c>
      <c r="V987" s="155">
        <f ca="1">IFERROR(__xludf.DUMMYFUNCTION("if(W987=""Middle Age"",QUERY(NPCVar!$K$2:$N1000, ""Select L where K = '""&amp;AB987&amp;""'""),if(W987=""Old"",QUERY(NPCVar!$K$2:$N1000, ""Select M where K = '""&amp;AB987&amp;""'""),if(W987=""Venerable"",QUERY(NPCVar!$K$2:$N1000, ""Select N where K = '""&amp;AB987&amp;""'""),fa"&amp;"lse)))*X987"),32)</f>
        <v>32</v>
      </c>
      <c r="W987" s="156" t="str">
        <f t="array" ref="W987">INDEX(NPCAgeType,TRUNC(1+(4-1)*(TRUNC(MOD((X987*1103515245 +12345)/ 65536, 32768),0)/32768),0))</f>
        <v>Middle Age</v>
      </c>
      <c r="X987" s="117">
        <f t="shared" si="61"/>
        <v>0.4</v>
      </c>
      <c r="Y987" s="157" t="e">
        <f t="array" aca="1" ref="Y987" ca="1">LOOKUP(ABS(MAX(Z987 + MIN(ABS(INDIRECT("Class Jobs!B"&amp;MATCH(E987,'Class Jobs'!$A$1:$A1000,0)&amp;":"&amp;"AF"&amp;MATCH(E987,'Class Jobs'!$A$1:$A1000,0)&amp;"")-$Z987)) * SUM(IF(MIN(ABS(INDIRECT("Class Jobs!B"&amp;MATCH(E987,'Class Jobs'!$A$1:$A1000,0)&amp;":"&amp;"AF"&amp;MATCH(E987,'Class Jobs'!$A$1:$A1000,0)&amp;"")-$Z987))=ABS(INDIRECT("Class Jobs!B"&amp;MATCH(E987,'Class Jobs'!$A$1:$A1000,0)&amp;":"&amp;"AF"&amp;MATCH(E987,'Class Jobs'!$A$1:$A1000,0)&amp;"")-$Z987),SIGN(INDIRECT("Class Jobs!B"&amp;MATCH(E987,'Class Jobs'!$A$1:A1000,0)&amp;":"&amp;"AF"&amp;MATCH(E987,'Class Jobs'!$A$1:$A1000,0)&amp;"")-$Z987),0)),0)),INDIRECT("Class Jobs!B"&amp;MATCH(E987,'Class Jobs'!$A$1:$A1000,0)&amp;":"&amp;"AF"&amp;MATCH(E987,'Class Jobs'!$A$1:$A1000,1)&amp;""),'Class Jobs'!$B$1:$AF$1)</f>
        <v>#REF!</v>
      </c>
      <c r="Z987" s="158">
        <f t="shared" si="57"/>
        <v>0.14000000000000001</v>
      </c>
      <c r="AA987" s="16" t="str">
        <f t="array" ref="AA987">INDEX(NPCGender,TRUNC(1+(COUNTA(NPCGender))*(TRUNC(MOD(($B987*1103515245 +12345)/ 65536, 32768),0)/32768),0))</f>
        <v>Male</v>
      </c>
      <c r="AB987" s="16" t="str">
        <f t="array" ref="AB987">INDEX(NPCRace,TRUNC(1+(COUNTA(NPCRace))*(TRUNC(MOD(($B987*1103515245 +12345)/ 65536, 32768),0)/32768),0))</f>
        <v>Dwarf</v>
      </c>
      <c r="AC987" s="16" t="str">
        <f t="array" ref="AC987">INDEX(NPCAL,TRUNC(1+(COUNTA(NPCAL))*(TRUNC(MOD(($B987*1103515245 +12345)/ 65536, 32768),0)/32768),0))</f>
        <v>CE</v>
      </c>
      <c r="AD987" s="72" t="str">
        <f ca="1">IFERROR(__xludf.DUMMYFUNCTION("if(V987&lt;15,QUERY(NPCVar!C:D,""Select D WHERE C = '""&amp;D987&amp;""'""),if((TRUNC(1+10)*(TRUNC(MOD((ROW(H987)*1103515245 +12345)/ 65536, 32768),0)/32768)/10) &gt; 0.85,INDEX(NPCFaction,TRUNC(1+(counta(NPCFaction)-1)*(TRUNC(MOD(($B987*1103515245 +12345)/ 65536, 3276"&amp;"8),0)/32768),0)),QUERY(NPCVar!C:D,""Select D WHERE C = '""&amp;D987&amp;""'"")))"),"Royalty")</f>
        <v>Royalty</v>
      </c>
      <c r="AE987" s="108" t="e">
        <f t="shared" ca="1" si="58"/>
        <v>#NAME?</v>
      </c>
      <c r="AF987" s="159">
        <f ca="1">IFERROR(__xludf.DUMMYFUNCTION("AE987*(V987 / QUERY(NPCVar!$K$2:$N$12, ""Select N WHERE K='""&amp;AB987&amp;""'""))*TRUNC(1+10)*(TRUNC(MOD(($B987*1103515245 +12345)/ 65536, 32768),0)/32768)"),0.05916259765625)</f>
        <v>5.9162597656250003E-2</v>
      </c>
      <c r="AG987" s="16"/>
      <c r="AH987" s="77"/>
      <c r="AI987" s="114"/>
    </row>
    <row r="988" spans="1:35" ht="16.2">
      <c r="A988" s="53">
        <v>987</v>
      </c>
      <c r="B988" s="118">
        <f t="shared" si="64"/>
        <v>1.2018599999999999</v>
      </c>
      <c r="C988" s="72" t="str">
        <f t="array" ref="C988">INDEX(NPCFName,TRUNC(1+(COUNTA(NPCFName))*(TRUNC(MOD(($B988*1103515245 +12345)/ 65536, 32768),0)/32768),0))</f>
        <v>Ticharol</v>
      </c>
      <c r="D988" s="16" t="str">
        <f t="array" ref="D988">INDEX(NPCLName,TRUNC(1+(COUNTA(NPCLName))*(TRUNC(MOD(($B988*1103515245 +12345)/ 65536, 32768),0)/32768),0))</f>
        <v>Gloomrage</v>
      </c>
      <c r="E988" s="16" t="str">
        <f t="array" ref="E988">INDEX(NPCClass,TRUNC(1+(COUNTA(NPCClass))*(TRUNC(MOD(($B988*1103515245 +12345)/ 65536, 32768),0)/32768),0))</f>
        <v>Warlock</v>
      </c>
      <c r="F988" s="76">
        <v>8</v>
      </c>
      <c r="G988" s="153">
        <f ca="1">VLOOKUP($AB$2,'RF Mod'!$A$2:$G$12,2,FALSE)+VLOOKUP($AD$2,'RF Mod'!$I$2:$O$11,2,FALSE)+(TRUNC(6+(24-6)*(TRUNC(MOD(($Z988*1103515245 +12345)/ 65536, 32768),0)/32768),0))</f>
        <v>9</v>
      </c>
      <c r="H988" s="16">
        <f t="shared" ca="1" si="49"/>
        <v>-1</v>
      </c>
      <c r="I988" s="153">
        <f ca="1">VLOOKUP($AB$2,'RF Mod'!$A$2:$G$12,3,FALSE)+VLOOKUP($AD$2,'RF Mod'!$I$2:$O$11,3,FALSE)+(TRUNC(6+(24-6)*(TRUNC(MOD(($Z988*1103515245 +12345)/ 65536, 32768),0)/32768),0))</f>
        <v>13</v>
      </c>
      <c r="J988" s="16" t="e">
        <f t="shared" ca="1" si="50"/>
        <v>#NAME?</v>
      </c>
      <c r="K988" s="153">
        <f ca="1">VLOOKUP($AB$2,'RF Mod'!$A$2:$G$12,3,FALSE)+VLOOKUP($AD$2,'RF Mod'!$I$2:$O$11,3,FALSE)+(TRUNC(6+(24-6)*(TRUNC(MOD(($Z988*1103515245 +12345)/ 65536, 32768),0)/32768),0))</f>
        <v>13</v>
      </c>
      <c r="L988" s="16" t="e">
        <f t="shared" ca="1" si="51"/>
        <v>#NAME?</v>
      </c>
      <c r="M988" s="153">
        <f ca="1">VLOOKUP($AB$2,'RF Mod'!$A$2:$G$12,4,FALSE)+VLOOKUP($AD$2,'RF Mod'!$I$2:$O$11,4,FALSE)+(TRUNC(6+(24-6)*(TRUNC(MOD(($Z988*1103515245 +12345)/ 65536, 32768),0)/32768),0))</f>
        <v>12</v>
      </c>
      <c r="N988" s="16" t="e">
        <f t="shared" ca="1" si="52"/>
        <v>#NAME?</v>
      </c>
      <c r="O988" s="153">
        <f ca="1">VLOOKUP($AB$2,'RF Mod'!$A$2:$G$12,5,FALSE)+VLOOKUP($AD$2,'RF Mod'!$I$2:$O$11,5,FALSE)+(TRUNC(6+(24-6)*(TRUNC(MOD(($Z988*1103515245 +12345)/ 65536, 32768),0)/32768),0))</f>
        <v>15</v>
      </c>
      <c r="P988" s="16" t="e">
        <f t="shared" ca="1" si="53"/>
        <v>#NAME?</v>
      </c>
      <c r="Q988" s="153">
        <f ca="1">VLOOKUP($AB$2,'RF Mod'!$A$2:$G$12,6,FALSE)+VLOOKUP($AD$2,'RF Mod'!$I$2:$O$11,6,FALSE)+(TRUNC(6+(24-6)*(TRUNC(MOD(($Z988*1103515245 +12345)/ 65536, 32768),0)/32768),0))</f>
        <v>13</v>
      </c>
      <c r="R988" s="16" t="e">
        <f t="shared" ca="1" si="54"/>
        <v>#NAME?</v>
      </c>
      <c r="S988" s="154">
        <f t="shared" ca="1" si="59"/>
        <v>200</v>
      </c>
      <c r="T988" s="154">
        <f t="shared" ca="1" si="55"/>
        <v>9</v>
      </c>
      <c r="U988" s="16" t="str">
        <f t="shared" ca="1" si="56"/>
        <v>Fine</v>
      </c>
      <c r="V988" s="155">
        <f ca="1">IFERROR(__xludf.DUMMYFUNCTION("if(W988=""Middle Age"",QUERY(NPCVar!$K$2:$N1000, ""Select L where K = '""&amp;AB988&amp;""'""),if(W988=""Old"",QUERY(NPCVar!$K$2:$N1000, ""Select M where K = '""&amp;AB988&amp;""'""),if(W988=""Venerable"",QUERY(NPCVar!$K$2:$N1000, ""Select N where K = '""&amp;AB988&amp;""'""),fa"&amp;"lse)))*X988"),300)</f>
        <v>300</v>
      </c>
      <c r="W988" s="156" t="str">
        <f t="array" ref="W988">INDEX(NPCAgeType,TRUNC(1+(4-1)*(TRUNC(MOD((X988*1103515245 +12345)/ 65536, 32768),0)/32768),0))</f>
        <v>Venerable</v>
      </c>
      <c r="X988" s="117">
        <f t="shared" si="61"/>
        <v>1.5</v>
      </c>
      <c r="Y988" s="157" t="e">
        <f t="array" aca="1" ref="Y988" ca="1">LOOKUP(ABS(MAX(Z988 + MIN(ABS(INDIRECT("Class Jobs!B"&amp;MATCH(E988,'Class Jobs'!$A$1:$A1000,0)&amp;":"&amp;"AF"&amp;MATCH(E988,'Class Jobs'!$A$1:$A1000,0)&amp;"")-$Z988)) * SUM(IF(MIN(ABS(INDIRECT("Class Jobs!B"&amp;MATCH(E988,'Class Jobs'!$A$1:$A1000,0)&amp;":"&amp;"AF"&amp;MATCH(E988,'Class Jobs'!$A$1:$A1000,0)&amp;"")-$Z988))=ABS(INDIRECT("Class Jobs!B"&amp;MATCH(E988,'Class Jobs'!$A$1:$A1000,0)&amp;":"&amp;"AF"&amp;MATCH(E988,'Class Jobs'!$A$1:$A1000,0)&amp;"")-$Z988),SIGN(INDIRECT("Class Jobs!B"&amp;MATCH(E988,'Class Jobs'!$A$1:A1000,0)&amp;":"&amp;"AF"&amp;MATCH(E988,'Class Jobs'!$A$1:$A1000,0)&amp;"")-$Z988),0)),0)),INDIRECT("Class Jobs!B"&amp;MATCH(E988,'Class Jobs'!$A$1:$A1000,0)&amp;":"&amp;"AF"&amp;MATCH(E988,'Class Jobs'!$A$1:$A1000,1)&amp;""),'Class Jobs'!$B$1:$AF$1)</f>
        <v>#REF!</v>
      </c>
      <c r="Z988" s="158">
        <f t="shared" si="57"/>
        <v>0.62</v>
      </c>
      <c r="AA988" s="16" t="str">
        <f t="array" ref="AA988">INDEX(NPCGender,TRUNC(1+(COUNTA(NPCGender))*(TRUNC(MOD(($B988*1103515245 +12345)/ 65536, 32768),0)/32768),0))</f>
        <v>Female</v>
      </c>
      <c r="AB988" s="16" t="str">
        <f t="array" ref="AB988">INDEX(NPCRace,TRUNC(1+(COUNTA(NPCRace))*(TRUNC(MOD(($B988*1103515245 +12345)/ 65536, 32768),0)/32768),0))</f>
        <v>Halfling</v>
      </c>
      <c r="AC988" s="16" t="str">
        <f t="array" ref="AC988">INDEX(NPCAL,TRUNC(1+(COUNTA(NPCAL))*(TRUNC(MOD(($B988*1103515245 +12345)/ 65536, 32768),0)/32768),0))</f>
        <v>NE</v>
      </c>
      <c r="AD988" s="72" t="str">
        <f ca="1">IFERROR(__xludf.DUMMYFUNCTION("if(V988&lt;15,QUERY(NPCVar!C:D,""Select D WHERE C = '""&amp;D988&amp;""'""),if((TRUNC(1+10)*(TRUNC(MOD((ROW(H988)*1103515245 +12345)/ 65536, 32768),0)/32768)/10) &gt; 0.85,INDEX(NPCFaction,TRUNC(1+(counta(NPCFaction)-1)*(TRUNC(MOD(($B988*1103515245 +12345)/ 65536, 3276"&amp;"8),0)/32768),0)),QUERY(NPCVar!C:D,""Select D WHERE C = '""&amp;D988&amp;""'"")))"),"Traders Guild")</f>
        <v>Traders Guild</v>
      </c>
      <c r="AE988" s="108" t="e">
        <f t="shared" ca="1" si="58"/>
        <v>#NAME?</v>
      </c>
      <c r="AF988" s="159">
        <f ca="1">IFERROR(__xludf.DUMMYFUNCTION("AE988*(V988 / QUERY(NPCVar!$K$2:$N$12, ""Select N WHERE K='""&amp;AB988&amp;""'""))*TRUNC(1+10)*(TRUNC(MOD(($B988*1103515245 +12345)/ 65536, 32768),0)/32768)"),3.05704193115234)</f>
        <v>3.05704193115234</v>
      </c>
      <c r="AG988" s="16"/>
      <c r="AH988" s="77"/>
      <c r="AI988" s="114"/>
    </row>
    <row r="989" spans="1:35" ht="16.2">
      <c r="A989" s="53">
        <v>988</v>
      </c>
      <c r="B989" s="118">
        <f t="shared" si="64"/>
        <v>0.19600000000000001</v>
      </c>
      <c r="C989" s="72" t="str">
        <f t="array" ref="C989">INDEX(NPCFName,TRUNC(1+(COUNTA(NPCFName))*(TRUNC(MOD(($B989*1103515245 +12345)/ 65536, 32768),0)/32768),0))</f>
        <v>Ethen</v>
      </c>
      <c r="D989" s="16" t="str">
        <f t="array" ref="D989">INDEX(NPCLName,TRUNC(1+(COUNTA(NPCLName))*(TRUNC(MOD(($B989*1103515245 +12345)/ 65536, 32768),0)/32768),0))</f>
        <v>Distantlash</v>
      </c>
      <c r="E989" s="16" t="str">
        <f t="array" ref="E989">INDEX(NPCClass,TRUNC(1+(COUNTA(NPCClass))*(TRUNC(MOD(($B989*1103515245 +12345)/ 65536, 32768),0)/32768),0))</f>
        <v>Bard</v>
      </c>
      <c r="F989" s="76">
        <v>1</v>
      </c>
      <c r="G989" s="153">
        <f ca="1">VLOOKUP($AB$2,'RF Mod'!$A$2:$G$12,2,FALSE)+VLOOKUP($AD$2,'RF Mod'!$I$2:$O$11,2,FALSE)+(TRUNC(6+(24-6)*(TRUNC(MOD(($Z989*1103515245 +12345)/ 65536, 32768),0)/32768),0))</f>
        <v>4</v>
      </c>
      <c r="H989" s="16">
        <f t="shared" ca="1" si="49"/>
        <v>-3</v>
      </c>
      <c r="I989" s="153">
        <f ca="1">VLOOKUP($AB$2,'RF Mod'!$A$2:$G$12,3,FALSE)+VLOOKUP($AD$2,'RF Mod'!$I$2:$O$11,3,FALSE)+(TRUNC(6+(24-6)*(TRUNC(MOD(($Z989*1103515245 +12345)/ 65536, 32768),0)/32768),0))</f>
        <v>8</v>
      </c>
      <c r="J989" s="16">
        <f t="shared" ca="1" si="50"/>
        <v>-1</v>
      </c>
      <c r="K989" s="153">
        <f ca="1">VLOOKUP($AB$2,'RF Mod'!$A$2:$G$12,3,FALSE)+VLOOKUP($AD$2,'RF Mod'!$I$2:$O$11,3,FALSE)+(TRUNC(6+(24-6)*(TRUNC(MOD(($Z989*1103515245 +12345)/ 65536, 32768),0)/32768),0))</f>
        <v>8</v>
      </c>
      <c r="L989" s="16">
        <f t="shared" ca="1" si="51"/>
        <v>-1</v>
      </c>
      <c r="M989" s="153">
        <f ca="1">VLOOKUP($AB$2,'RF Mod'!$A$2:$G$12,4,FALSE)+VLOOKUP($AD$2,'RF Mod'!$I$2:$O$11,4,FALSE)+(TRUNC(6+(24-6)*(TRUNC(MOD(($Z989*1103515245 +12345)/ 65536, 32768),0)/32768),0))</f>
        <v>7</v>
      </c>
      <c r="N989" s="16">
        <f t="shared" ca="1" si="52"/>
        <v>-2</v>
      </c>
      <c r="O989" s="153">
        <f ca="1">VLOOKUP($AB$2,'RF Mod'!$A$2:$G$12,5,FALSE)+VLOOKUP($AD$2,'RF Mod'!$I$2:$O$11,5,FALSE)+(TRUNC(6+(24-6)*(TRUNC(MOD(($Z989*1103515245 +12345)/ 65536, 32768),0)/32768),0))</f>
        <v>10</v>
      </c>
      <c r="P989" s="16" t="e">
        <f t="shared" ca="1" si="53"/>
        <v>#NAME?</v>
      </c>
      <c r="Q989" s="153">
        <f ca="1">VLOOKUP($AB$2,'RF Mod'!$A$2:$G$12,6,FALSE)+VLOOKUP($AD$2,'RF Mod'!$I$2:$O$11,6,FALSE)+(TRUNC(6+(24-6)*(TRUNC(MOD(($Z989*1103515245 +12345)/ 65536, 32768),0)/32768),0))</f>
        <v>8</v>
      </c>
      <c r="R989" s="16">
        <f t="shared" ca="1" si="54"/>
        <v>-1</v>
      </c>
      <c r="S989" s="154">
        <f t="shared" ca="1" si="59"/>
        <v>10</v>
      </c>
      <c r="T989" s="154">
        <f t="shared" ca="1" si="55"/>
        <v>4</v>
      </c>
      <c r="U989" s="16" t="str">
        <f t="shared" ca="1" si="56"/>
        <v>Fine</v>
      </c>
      <c r="V989" s="155">
        <f ca="1">IFERROR(__xludf.DUMMYFUNCTION("if(W989=""Middle Age"",QUERY(NPCVar!$K$2:$N1000, ""Select L where K = '""&amp;AB989&amp;""'""),if(W989=""Old"",QUERY(NPCVar!$K$2:$N1000, ""Select M where K = '""&amp;AB989&amp;""'""),if(W989=""Venerable"",QUERY(NPCVar!$K$2:$N1000, ""Select N where K = '""&amp;AB989&amp;""'""),fa"&amp;"lse)))*X989"),24)</f>
        <v>24</v>
      </c>
      <c r="W989" s="156" t="str">
        <f t="array" ref="W989">INDEX(NPCAgeType,TRUNC(1+(4-1)*(TRUNC(MOD((X989*1103515245 +12345)/ 65536, 32768),0)/32768),0))</f>
        <v>Middle Age</v>
      </c>
      <c r="X989" s="117">
        <f t="shared" si="61"/>
        <v>0.3</v>
      </c>
      <c r="Y989" s="157" t="e">
        <f t="array" aca="1" ref="Y989" ca="1">LOOKUP(ABS(MAX(Z989 + MIN(ABS(INDIRECT("Class Jobs!B"&amp;MATCH(E989,'Class Jobs'!$A$1:$A1000,0)&amp;":"&amp;"AF"&amp;MATCH(E989,'Class Jobs'!$A$1:$A1000,0)&amp;"")-$Z989)) * SUM(IF(MIN(ABS(INDIRECT("Class Jobs!B"&amp;MATCH(E989,'Class Jobs'!$A$1:$A1000,0)&amp;":"&amp;"AF"&amp;MATCH(E989,'Class Jobs'!$A$1:$A1000,0)&amp;"")-$Z989))=ABS(INDIRECT("Class Jobs!B"&amp;MATCH(E989,'Class Jobs'!$A$1:$A1000,0)&amp;":"&amp;"AF"&amp;MATCH(E989,'Class Jobs'!$A$1:$A1000,0)&amp;"")-$Z989),SIGN(INDIRECT("Class Jobs!B"&amp;MATCH(E989,'Class Jobs'!$A$1:A1000,0)&amp;":"&amp;"AF"&amp;MATCH(E989,'Class Jobs'!$A$1:$A1000,0)&amp;"")-$Z989),0)),0)),INDIRECT("Class Jobs!B"&amp;MATCH(E989,'Class Jobs'!$A$1:$A1000,0)&amp;":"&amp;"AF"&amp;MATCH(E989,'Class Jobs'!$A$1:$A1000,1)&amp;""),'Class Jobs'!$B$1:$AF$1)</f>
        <v>#REF!</v>
      </c>
      <c r="Z989" s="158">
        <f t="shared" si="57"/>
        <v>0.1</v>
      </c>
      <c r="AA989" s="16" t="str">
        <f t="array" ref="AA989">INDEX(NPCGender,TRUNC(1+(COUNTA(NPCGender))*(TRUNC(MOD(($B989*1103515245 +12345)/ 65536, 32768),0)/32768),0))</f>
        <v>Male</v>
      </c>
      <c r="AB989" s="16" t="str">
        <f t="array" ref="AB989">INDEX(NPCRace,TRUNC(1+(COUNTA(NPCRace))*(TRUNC(MOD(($B989*1103515245 +12345)/ 65536, 32768),0)/32768),0))</f>
        <v>Dwarf</v>
      </c>
      <c r="AC989" s="16" t="str">
        <f t="array" ref="AC989">INDEX(NPCAL,TRUNC(1+(COUNTA(NPCAL))*(TRUNC(MOD(($B989*1103515245 +12345)/ 65536, 32768),0)/32768),0))</f>
        <v>CN</v>
      </c>
      <c r="AD989" s="72" t="str">
        <f ca="1">IFERROR(__xludf.DUMMYFUNCTION("if(V989&lt;15,QUERY(NPCVar!C:D,""Select D WHERE C = '""&amp;D989&amp;""'""),if((TRUNC(1+10)*(TRUNC(MOD((ROW(H989)*1103515245 +12345)/ 65536, 32768),0)/32768)/10) &gt; 0.85,INDEX(NPCFaction,TRUNC(1+(counta(NPCFaction)-1)*(TRUNC(MOD(($B989*1103515245 +12345)/ 65536, 3276"&amp;"8),0)/32768),0)),QUERY(NPCVar!C:D,""Select D WHERE C = '""&amp;D989&amp;""'"")))"),"Death Guild")</f>
        <v>Death Guild</v>
      </c>
      <c r="AE989" s="108" t="e">
        <f t="shared" ca="1" si="58"/>
        <v>#NAME?</v>
      </c>
      <c r="AF989" s="159">
        <f ca="1">IFERROR(__xludf.DUMMYFUNCTION("AE989*(V989 / QUERY(NPCVar!$K$2:$N$12, ""Select N WHERE K='""&amp;AB989&amp;""'""))*TRUNC(1+10)*(TRUNC(MOD(($B989*1103515245 +12345)/ 65536, 32768),0)/32768)"),0.0332336425781249)</f>
        <v>3.3233642578124903E-2</v>
      </c>
      <c r="AG989" s="16"/>
      <c r="AH989" s="77"/>
      <c r="AI989" s="114"/>
    </row>
    <row r="990" spans="1:35" ht="16.2">
      <c r="A990" s="53">
        <v>989</v>
      </c>
      <c r="B990" s="118">
        <f t="shared" si="64"/>
        <v>1.69014</v>
      </c>
      <c r="C990" s="72" t="str">
        <f t="array" ref="C990">INDEX(NPCFName,TRUNC(1+(COUNTA(NPCFName))*(TRUNC(MOD(($B990*1103515245 +12345)/ 65536, 32768),0)/32768),0))</f>
        <v>Mythil</v>
      </c>
      <c r="D990" s="16" t="str">
        <f t="array" ref="D990">INDEX(NPCLName,TRUNC(1+(COUNTA(NPCLName))*(TRUNC(MOD(($B990*1103515245 +12345)/ 65536, 32768),0)/32768),0))</f>
        <v>Forestbluff</v>
      </c>
      <c r="E990" s="16" t="str">
        <f t="array" ref="E990">INDEX(NPCClass,TRUNC(1+(COUNTA(NPCClass))*(TRUNC(MOD(($B990*1103515245 +12345)/ 65536, 32768),0)/32768),0))</f>
        <v>Fighter</v>
      </c>
      <c r="F990" s="76">
        <v>8</v>
      </c>
      <c r="G990" s="153">
        <f ca="1">VLOOKUP($AB$2,'RF Mod'!$A$2:$G$12,2,FALSE)+VLOOKUP($AD$2,'RF Mod'!$I$2:$O$11,2,FALSE)+(TRUNC(6+(24-6)*(TRUNC(MOD(($Z990*1103515245 +12345)/ 65536, 32768),0)/32768),0))</f>
        <v>11</v>
      </c>
      <c r="H990" s="16" t="e">
        <f t="shared" ca="1" si="49"/>
        <v>#NAME?</v>
      </c>
      <c r="I990" s="153">
        <f ca="1">VLOOKUP($AB$2,'RF Mod'!$A$2:$G$12,3,FALSE)+VLOOKUP($AD$2,'RF Mod'!$I$2:$O$11,3,FALSE)+(TRUNC(6+(24-6)*(TRUNC(MOD(($Z990*1103515245 +12345)/ 65536, 32768),0)/32768),0))</f>
        <v>15</v>
      </c>
      <c r="J990" s="16" t="e">
        <f t="shared" ca="1" si="50"/>
        <v>#NAME?</v>
      </c>
      <c r="K990" s="153">
        <f ca="1">VLOOKUP($AB$2,'RF Mod'!$A$2:$G$12,3,FALSE)+VLOOKUP($AD$2,'RF Mod'!$I$2:$O$11,3,FALSE)+(TRUNC(6+(24-6)*(TRUNC(MOD(($Z990*1103515245 +12345)/ 65536, 32768),0)/32768),0))</f>
        <v>15</v>
      </c>
      <c r="L990" s="16" t="e">
        <f t="shared" ca="1" si="51"/>
        <v>#NAME?</v>
      </c>
      <c r="M990" s="153">
        <f ca="1">VLOOKUP($AB$2,'RF Mod'!$A$2:$G$12,4,FALSE)+VLOOKUP($AD$2,'RF Mod'!$I$2:$O$11,4,FALSE)+(TRUNC(6+(24-6)*(TRUNC(MOD(($Z990*1103515245 +12345)/ 65536, 32768),0)/32768),0))</f>
        <v>14</v>
      </c>
      <c r="N990" s="16" t="e">
        <f t="shared" ca="1" si="52"/>
        <v>#NAME?</v>
      </c>
      <c r="O990" s="153">
        <f ca="1">VLOOKUP($AB$2,'RF Mod'!$A$2:$G$12,5,FALSE)+VLOOKUP($AD$2,'RF Mod'!$I$2:$O$11,5,FALSE)+(TRUNC(6+(24-6)*(TRUNC(MOD(($Z990*1103515245 +12345)/ 65536, 32768),0)/32768),0))</f>
        <v>17</v>
      </c>
      <c r="P990" s="16" t="e">
        <f t="shared" ca="1" si="53"/>
        <v>#NAME?</v>
      </c>
      <c r="Q990" s="153">
        <f ca="1">VLOOKUP($AB$2,'RF Mod'!$A$2:$G$12,6,FALSE)+VLOOKUP($AD$2,'RF Mod'!$I$2:$O$11,6,FALSE)+(TRUNC(6+(24-6)*(TRUNC(MOD(($Z990*1103515245 +12345)/ 65536, 32768),0)/32768),0))</f>
        <v>15</v>
      </c>
      <c r="R990" s="16" t="e">
        <f t="shared" ca="1" si="54"/>
        <v>#NAME?</v>
      </c>
      <c r="S990" s="154">
        <f t="shared" ca="1" si="59"/>
        <v>232</v>
      </c>
      <c r="T990" s="154">
        <f t="shared" ca="1" si="55"/>
        <v>148</v>
      </c>
      <c r="U990" s="16" t="str">
        <f t="shared" ca="1" si="56"/>
        <v>Bloody</v>
      </c>
      <c r="V990" s="155">
        <f ca="1">IFERROR(__xludf.DUMMYFUNCTION("if(W990=""Middle Age"",QUERY(NPCVar!$K$2:$N1000, ""Select L where K = '""&amp;AB990&amp;""'""),if(W990=""Old"",QUERY(NPCVar!$K$2:$N1000, ""Select M where K = '""&amp;AB990&amp;""'""),if(W990=""Venerable"",QUERY(NPCVar!$K$2:$N1000, ""Select N where K = '""&amp;AB990&amp;""'""),fa"&amp;"lse)))*X990"),57.75)</f>
        <v>57.75</v>
      </c>
      <c r="W990" s="156" t="str">
        <f t="array" ref="W990">INDEX(NPCAgeType,TRUNC(1+(4-1)*(TRUNC(MOD((X990*1103515245 +12345)/ 65536, 32768),0)/32768),0))</f>
        <v>Middle Age</v>
      </c>
      <c r="X990" s="117">
        <f t="shared" si="61"/>
        <v>2.1</v>
      </c>
      <c r="Y990" s="157" t="e">
        <f t="array" aca="1" ref="Y990" ca="1">LOOKUP(ABS(MAX(Z990 + MIN(ABS(INDIRECT("Class Jobs!B"&amp;MATCH(E990,'Class Jobs'!$A$1:$A1000,0)&amp;":"&amp;"AF"&amp;MATCH(E990,'Class Jobs'!$A$1:$A1000,0)&amp;"")-$Z990)) * SUM(IF(MIN(ABS(INDIRECT("Class Jobs!B"&amp;MATCH(E990,'Class Jobs'!$A$1:$A1000,0)&amp;":"&amp;"AF"&amp;MATCH(E990,'Class Jobs'!$A$1:$A1000,0)&amp;"")-$Z990))=ABS(INDIRECT("Class Jobs!B"&amp;MATCH(E990,'Class Jobs'!$A$1:$A1000,0)&amp;":"&amp;"AF"&amp;MATCH(E990,'Class Jobs'!$A$1:$A1000,0)&amp;"")-$Z990),SIGN(INDIRECT("Class Jobs!B"&amp;MATCH(E990,'Class Jobs'!$A$1:A1000,0)&amp;":"&amp;"AF"&amp;MATCH(E990,'Class Jobs'!$A$1:$A1000,0)&amp;"")-$Z990),0)),0)),INDIRECT("Class Jobs!B"&amp;MATCH(E990,'Class Jobs'!$A$1:$A1000,0)&amp;":"&amp;"AF"&amp;MATCH(E990,'Class Jobs'!$A$1:$A1000,1)&amp;""),'Class Jobs'!$B$1:$AF$1)</f>
        <v>#REF!</v>
      </c>
      <c r="Z990" s="158">
        <f t="shared" si="57"/>
        <v>0.86</v>
      </c>
      <c r="AA990" s="16" t="str">
        <f t="array" ref="AA990">INDEX(NPCGender,TRUNC(1+(COUNTA(NPCGender))*(TRUNC(MOD(($B990*1103515245 +12345)/ 65536, 32768),0)/32768),0))</f>
        <v>Neutral</v>
      </c>
      <c r="AB990" s="16" t="str">
        <f t="array" ref="AB990">INDEX(NPCRace,TRUNC(1+(COUNTA(NPCRace))*(TRUNC(MOD(($B990*1103515245 +12345)/ 65536, 32768),0)/32768),0))</f>
        <v>Genasi</v>
      </c>
      <c r="AC990" s="16" t="str">
        <f t="array" ref="AC990">INDEX(NPCAL,TRUNC(1+(COUNTA(NPCAL))*(TRUNC(MOD(($B990*1103515245 +12345)/ 65536, 32768),0)/32768),0))</f>
        <v>LN</v>
      </c>
      <c r="AD990" s="72" t="str">
        <f ca="1">IFERROR(__xludf.DUMMYFUNCTION("if(V990&lt;15,QUERY(NPCVar!C:D,""Select D WHERE C = '""&amp;D990&amp;""'""),if((TRUNC(1+10)*(TRUNC(MOD((ROW(H990)*1103515245 +12345)/ 65536, 32768),0)/32768)/10) &gt; 0.85,INDEX(NPCFaction,TRUNC(1+(counta(NPCFaction)-1)*(TRUNC(MOD(($B990*1103515245 +12345)/ 65536, 3276"&amp;"8),0)/32768),0)),QUERY(NPCVar!C:D,""Select D WHERE C = '""&amp;D990&amp;""'"")))"),"Thieves Guild")</f>
        <v>Thieves Guild</v>
      </c>
      <c r="AE990" s="108" t="e">
        <f t="shared" ca="1" si="58"/>
        <v>#NAME?</v>
      </c>
      <c r="AF990" s="159">
        <f ca="1">IFERROR(__xludf.DUMMYFUNCTION("AE990*(V990 / QUERY(NPCVar!$K$2:$N$12, ""Select N WHERE K='""&amp;AB990&amp;""'""))*TRUNC(1+10)*(TRUNC(MOD(($B990*1103515245 +12345)/ 65536, 32768),0)/32768)"),1.50467582702636)</f>
        <v>1.50467582702636</v>
      </c>
      <c r="AG990" s="16"/>
      <c r="AH990" s="77"/>
      <c r="AI990" s="114"/>
    </row>
    <row r="991" spans="1:35" ht="16.2">
      <c r="A991" s="53">
        <v>990</v>
      </c>
      <c r="B991" s="118">
        <f t="shared" si="64"/>
        <v>0.68428</v>
      </c>
      <c r="C991" s="72" t="str">
        <f t="array" ref="C991">INDEX(NPCFName,TRUNC(1+(COUNTA(NPCFName))*(TRUNC(MOD(($B991*1103515245 +12345)/ 65536, 32768),0)/32768),0))</f>
        <v>Atlin</v>
      </c>
      <c r="D991" s="16" t="str">
        <f t="array" ref="D991">INDEX(NPCLName,TRUNC(1+(COUNTA(NPCLName))*(TRUNC(MOD(($B991*1103515245 +12345)/ 65536, 32768),0)/32768),0))</f>
        <v>Leafblight</v>
      </c>
      <c r="E991" s="16" t="str">
        <f t="array" ref="E991">INDEX(NPCClass,TRUNC(1+(COUNTA(NPCClass))*(TRUNC(MOD(($B991*1103515245 +12345)/ 65536, 32768),0)/32768),0))</f>
        <v>Paladin</v>
      </c>
      <c r="F991" s="76">
        <v>1</v>
      </c>
      <c r="G991" s="153">
        <f ca="1">VLOOKUP($AB$2,'RF Mod'!$A$2:$G$12,2,FALSE)+VLOOKUP($AD$2,'RF Mod'!$I$2:$O$11,2,FALSE)+(TRUNC(6+(24-6)*(TRUNC(MOD(($Z991*1103515245 +12345)/ 65536, 32768),0)/32768),0))</f>
        <v>7</v>
      </c>
      <c r="H991" s="16">
        <f t="shared" ca="1" si="49"/>
        <v>-2</v>
      </c>
      <c r="I991" s="153">
        <f ca="1">VLOOKUP($AB$2,'RF Mod'!$A$2:$G$12,3,FALSE)+VLOOKUP($AD$2,'RF Mod'!$I$2:$O$11,3,FALSE)+(TRUNC(6+(24-6)*(TRUNC(MOD(($Z991*1103515245 +12345)/ 65536, 32768),0)/32768),0))</f>
        <v>11</v>
      </c>
      <c r="J991" s="16" t="e">
        <f t="shared" ca="1" si="50"/>
        <v>#NAME?</v>
      </c>
      <c r="K991" s="153">
        <f ca="1">VLOOKUP($AB$2,'RF Mod'!$A$2:$G$12,3,FALSE)+VLOOKUP($AD$2,'RF Mod'!$I$2:$O$11,3,FALSE)+(TRUNC(6+(24-6)*(TRUNC(MOD(($Z991*1103515245 +12345)/ 65536, 32768),0)/32768),0))</f>
        <v>11</v>
      </c>
      <c r="L991" s="16" t="e">
        <f t="shared" ca="1" si="51"/>
        <v>#NAME?</v>
      </c>
      <c r="M991" s="153">
        <f ca="1">VLOOKUP($AB$2,'RF Mod'!$A$2:$G$12,4,FALSE)+VLOOKUP($AD$2,'RF Mod'!$I$2:$O$11,4,FALSE)+(TRUNC(6+(24-6)*(TRUNC(MOD(($Z991*1103515245 +12345)/ 65536, 32768),0)/32768),0))</f>
        <v>10</v>
      </c>
      <c r="N991" s="16" t="e">
        <f t="shared" ca="1" si="52"/>
        <v>#NAME?</v>
      </c>
      <c r="O991" s="153">
        <f ca="1">VLOOKUP($AB$2,'RF Mod'!$A$2:$G$12,5,FALSE)+VLOOKUP($AD$2,'RF Mod'!$I$2:$O$11,5,FALSE)+(TRUNC(6+(24-6)*(TRUNC(MOD(($Z991*1103515245 +12345)/ 65536, 32768),0)/32768),0))</f>
        <v>13</v>
      </c>
      <c r="P991" s="16" t="e">
        <f t="shared" ca="1" si="53"/>
        <v>#NAME?</v>
      </c>
      <c r="Q991" s="153">
        <f ca="1">VLOOKUP($AB$2,'RF Mod'!$A$2:$G$12,6,FALSE)+VLOOKUP($AD$2,'RF Mod'!$I$2:$O$11,6,FALSE)+(TRUNC(6+(24-6)*(TRUNC(MOD(($Z991*1103515245 +12345)/ 65536, 32768),0)/32768),0))</f>
        <v>11</v>
      </c>
      <c r="R991" s="16" t="e">
        <f t="shared" ca="1" si="54"/>
        <v>#NAME?</v>
      </c>
      <c r="S991" s="154">
        <f t="shared" ca="1" si="59"/>
        <v>19</v>
      </c>
      <c r="T991" s="154">
        <f t="shared" ca="1" si="55"/>
        <v>19</v>
      </c>
      <c r="U991" s="16" t="str">
        <f t="shared" ca="1" si="56"/>
        <v>Unconscious</v>
      </c>
      <c r="V991" s="155">
        <f ca="1">IFERROR(__xludf.DUMMYFUNCTION("if(W991=""Middle Age"",QUERY(NPCVar!$K$2:$N1000, ""Select L where K = '""&amp;AB991&amp;""'""),if(W991=""Old"",QUERY(NPCVar!$K$2:$N1000, ""Select M where K = '""&amp;AB991&amp;""'""),if(W991=""Venerable"",QUERY(NPCVar!$K$2:$N1000, ""Select N where K = '""&amp;AB991&amp;""'""),fa"&amp;"lse)))*X991"),151.875)</f>
        <v>151.875</v>
      </c>
      <c r="W991" s="156" t="str">
        <f t="array" ref="W991">INDEX(NPCAgeType,TRUNC(1+(4-1)*(TRUNC(MOD((X991*1103515245 +12345)/ 65536, 32768),0)/32768),0))</f>
        <v>Old</v>
      </c>
      <c r="X991" s="117">
        <f t="shared" si="61"/>
        <v>0.9</v>
      </c>
      <c r="Y991" s="157" t="e">
        <f t="array" aca="1" ref="Y991" ca="1">LOOKUP(ABS(MAX(Z991 + MIN(ABS(INDIRECT("Class Jobs!B"&amp;MATCH(E991,'Class Jobs'!$A$1:$A1000,0)&amp;":"&amp;"AF"&amp;MATCH(E991,'Class Jobs'!$A$1:$A1000,0)&amp;"")-$Z991)) * SUM(IF(MIN(ABS(INDIRECT("Class Jobs!B"&amp;MATCH(E991,'Class Jobs'!$A$1:$A1000,0)&amp;":"&amp;"AF"&amp;MATCH(E991,'Class Jobs'!$A$1:$A1000,0)&amp;"")-$Z991))=ABS(INDIRECT("Class Jobs!B"&amp;MATCH(E991,'Class Jobs'!$A$1:$A1000,0)&amp;":"&amp;"AF"&amp;MATCH(E991,'Class Jobs'!$A$1:$A1000,0)&amp;"")-$Z991),SIGN(INDIRECT("Class Jobs!B"&amp;MATCH(E991,'Class Jobs'!$A$1:A1000,0)&amp;":"&amp;"AF"&amp;MATCH(E991,'Class Jobs'!$A$1:$A1000,0)&amp;"")-$Z991),0)),0)),INDIRECT("Class Jobs!B"&amp;MATCH(E991,'Class Jobs'!$A$1:$A1000,0)&amp;":"&amp;"AF"&amp;MATCH(E991,'Class Jobs'!$A$1:$A1000,1)&amp;""),'Class Jobs'!$B$1:$AF$1)</f>
        <v>#REF!</v>
      </c>
      <c r="Z991" s="158">
        <f t="shared" si="57"/>
        <v>0.35</v>
      </c>
      <c r="AA991" s="16" t="str">
        <f t="array" ref="AA991">INDEX(NPCGender,TRUNC(1+(COUNTA(NPCGender))*(TRUNC(MOD(($B991*1103515245 +12345)/ 65536, 32768),0)/32768),0))</f>
        <v>Female</v>
      </c>
      <c r="AB991" s="16" t="str">
        <f t="array" ref="AB991">INDEX(NPCRace,TRUNC(1+(COUNTA(NPCRace))*(TRUNC(MOD(($B991*1103515245 +12345)/ 65536, 32768),0)/32768),0))</f>
        <v>Gnome</v>
      </c>
      <c r="AC991" s="16" t="str">
        <f t="array" ref="AC991">INDEX(NPCAL,TRUNC(1+(COUNTA(NPCAL))*(TRUNC(MOD(($B991*1103515245 +12345)/ 65536, 32768),0)/32768),0))</f>
        <v>NG</v>
      </c>
      <c r="AD991" s="72" t="str">
        <f ca="1">IFERROR(__xludf.DUMMYFUNCTION("if(V991&lt;15,QUERY(NPCVar!C:D,""Select D WHERE C = '""&amp;D991&amp;""'""),if((TRUNC(1+10)*(TRUNC(MOD((ROW(H991)*1103515245 +12345)/ 65536, 32768),0)/32768)/10) &gt; 0.85,INDEX(NPCFaction,TRUNC(1+(counta(NPCFaction)-1)*(TRUNC(MOD(($B991*1103515245 +12345)/ 65536, 3276"&amp;"8),0)/32768),0)),QUERY(NPCVar!C:D,""Select D WHERE C = '""&amp;D991&amp;""'"")))"),"Necromancer")</f>
        <v>Necromancer</v>
      </c>
      <c r="AE991" s="108" t="e">
        <f t="shared" ca="1" si="58"/>
        <v>#NAME?</v>
      </c>
      <c r="AF991" s="159">
        <f ca="1">IFERROR(__xludf.DUMMYFUNCTION("AE991*(V991 / QUERY(NPCVar!$K$2:$N$12, ""Select N WHERE K='""&amp;AB991&amp;""'""))*TRUNC(1+10)*(TRUNC(MOD(($B991*1103515245 +12345)/ 65536, 32768),0)/32768)"),0.783241424560546)</f>
        <v>0.78324142456054602</v>
      </c>
      <c r="AG991" s="16"/>
      <c r="AH991" s="77"/>
      <c r="AI991" s="114"/>
    </row>
    <row r="992" spans="1:35" ht="16.2">
      <c r="A992" s="53">
        <v>991</v>
      </c>
      <c r="B992" s="118">
        <f t="shared" si="64"/>
        <v>2.17842</v>
      </c>
      <c r="C992" s="72" t="str">
        <f t="array" ref="C992">INDEX(NPCFName,TRUNC(1+(COUNTA(NPCFName))*(TRUNC(MOD(($B992*1103515245 +12345)/ 65536, 32768),0)/32768),0))</f>
        <v>Gerirr</v>
      </c>
      <c r="D992" s="16" t="str">
        <f t="array" ref="D992">INDEX(NPCLName,TRUNC(1+(COUNTA(NPCLName))*(TRUNC(MOD(($B992*1103515245 +12345)/ 65536, 32768),0)/32768),0))</f>
        <v>Distantlash</v>
      </c>
      <c r="E992" s="16" t="str">
        <f t="array" ref="E992">INDEX(NPCClass,TRUNC(1+(COUNTA(NPCClass))*(TRUNC(MOD(($B992*1103515245 +12345)/ 65536, 32768),0)/32768),0))</f>
        <v>Bard</v>
      </c>
      <c r="F992" s="76">
        <v>1</v>
      </c>
      <c r="G992" s="153">
        <f ca="1">VLOOKUP($AB$2,'RF Mod'!$A$2:$G$12,2,FALSE)+VLOOKUP($AD$2,'RF Mod'!$I$2:$O$11,2,FALSE)+(TRUNC(6+(24-6)*(TRUNC(MOD(($Z992*1103515245 +12345)/ 65536, 32768),0)/32768),0))</f>
        <v>5</v>
      </c>
      <c r="H992" s="16">
        <f t="shared" ca="1" si="49"/>
        <v>-3</v>
      </c>
      <c r="I992" s="153">
        <f ca="1">VLOOKUP($AB$2,'RF Mod'!$A$2:$G$12,3,FALSE)+VLOOKUP($AD$2,'RF Mod'!$I$2:$O$11,3,FALSE)+(TRUNC(6+(24-6)*(TRUNC(MOD(($Z992*1103515245 +12345)/ 65536, 32768),0)/32768),0))</f>
        <v>9</v>
      </c>
      <c r="J992" s="16">
        <f t="shared" ca="1" si="50"/>
        <v>-1</v>
      </c>
      <c r="K992" s="153">
        <f ca="1">VLOOKUP($AB$2,'RF Mod'!$A$2:$G$12,3,FALSE)+VLOOKUP($AD$2,'RF Mod'!$I$2:$O$11,3,FALSE)+(TRUNC(6+(24-6)*(TRUNC(MOD(($Z992*1103515245 +12345)/ 65536, 32768),0)/32768),0))</f>
        <v>9</v>
      </c>
      <c r="L992" s="16">
        <f t="shared" ca="1" si="51"/>
        <v>-1</v>
      </c>
      <c r="M992" s="153">
        <f ca="1">VLOOKUP($AB$2,'RF Mod'!$A$2:$G$12,4,FALSE)+VLOOKUP($AD$2,'RF Mod'!$I$2:$O$11,4,FALSE)+(TRUNC(6+(24-6)*(TRUNC(MOD(($Z992*1103515245 +12345)/ 65536, 32768),0)/32768),0))</f>
        <v>8</v>
      </c>
      <c r="N992" s="16">
        <f t="shared" ca="1" si="52"/>
        <v>-1</v>
      </c>
      <c r="O992" s="153">
        <f ca="1">VLOOKUP($AB$2,'RF Mod'!$A$2:$G$12,5,FALSE)+VLOOKUP($AD$2,'RF Mod'!$I$2:$O$11,5,FALSE)+(TRUNC(6+(24-6)*(TRUNC(MOD(($Z992*1103515245 +12345)/ 65536, 32768),0)/32768),0))</f>
        <v>11</v>
      </c>
      <c r="P992" s="16" t="e">
        <f t="shared" ca="1" si="53"/>
        <v>#NAME?</v>
      </c>
      <c r="Q992" s="153">
        <f ca="1">VLOOKUP($AB$2,'RF Mod'!$A$2:$G$12,6,FALSE)+VLOOKUP($AD$2,'RF Mod'!$I$2:$O$11,6,FALSE)+(TRUNC(6+(24-6)*(TRUNC(MOD(($Z992*1103515245 +12345)/ 65536, 32768),0)/32768),0))</f>
        <v>9</v>
      </c>
      <c r="R992" s="16">
        <f t="shared" ca="1" si="54"/>
        <v>-1</v>
      </c>
      <c r="S992" s="154">
        <f t="shared" ca="1" si="59"/>
        <v>11</v>
      </c>
      <c r="T992" s="154">
        <f t="shared" ca="1" si="55"/>
        <v>12</v>
      </c>
      <c r="U992" s="16" t="str">
        <f t="shared" ca="1" si="56"/>
        <v>Dead</v>
      </c>
      <c r="V992" s="155">
        <f ca="1">IFERROR(__xludf.DUMMYFUNCTION("if(W992=""Middle Age"",QUERY(NPCVar!$K$2:$N1000, ""Select L where K = '""&amp;AB992&amp;""'""),if(W992=""Old"",QUERY(NPCVar!$K$2:$N1000, ""Select M where K = '""&amp;AB992&amp;""'""),if(W992=""Venerable"",QUERY(NPCVar!$K$2:$N1000, ""Select N where K = '""&amp;AB992&amp;""'""),fa"&amp;"lse)))*X992"),24)</f>
        <v>24</v>
      </c>
      <c r="W992" s="156" t="str">
        <f t="array" ref="W992">INDEX(NPCAgeType,TRUNC(1+(4-1)*(TRUNC(MOD((X992*1103515245 +12345)/ 65536, 32768),0)/32768),0))</f>
        <v>Middle Age</v>
      </c>
      <c r="X992" s="117">
        <f t="shared" si="61"/>
        <v>0.3</v>
      </c>
      <c r="Y992" s="157" t="e">
        <f t="array" aca="1" ref="Y992" ca="1">LOOKUP(ABS(MAX(Z992 + MIN(ABS(INDIRECT("Class Jobs!B"&amp;MATCH(E992,'Class Jobs'!$A$1:$A1000,0)&amp;":"&amp;"AF"&amp;MATCH(E992,'Class Jobs'!$A$1:$A1000,0)&amp;"")-$Z992)) * SUM(IF(MIN(ABS(INDIRECT("Class Jobs!B"&amp;MATCH(E992,'Class Jobs'!$A$1:$A1000,0)&amp;":"&amp;"AF"&amp;MATCH(E992,'Class Jobs'!$A$1:$A1000,0)&amp;"")-$Z992))=ABS(INDIRECT("Class Jobs!B"&amp;MATCH(E992,'Class Jobs'!$A$1:$A1000,0)&amp;":"&amp;"AF"&amp;MATCH(E992,'Class Jobs'!$A$1:$A1000,0)&amp;"")-$Z992),SIGN(INDIRECT("Class Jobs!B"&amp;MATCH(E992,'Class Jobs'!$A$1:A1000,0)&amp;":"&amp;"AF"&amp;MATCH(E992,'Class Jobs'!$A$1:$A1000,0)&amp;"")-$Z992),0)),0)),INDIRECT("Class Jobs!B"&amp;MATCH(E992,'Class Jobs'!$A$1:$A1000,0)&amp;":"&amp;"AF"&amp;MATCH(E992,'Class Jobs'!$A$1:$A1000,1)&amp;""),'Class Jobs'!$B$1:$AF$1)</f>
        <v>#REF!</v>
      </c>
      <c r="Z992" s="158">
        <f t="shared" si="57"/>
        <v>0.12</v>
      </c>
      <c r="AA992" s="16" t="str">
        <f t="array" ref="AA992">INDEX(NPCGender,TRUNC(1+(COUNTA(NPCGender))*(TRUNC(MOD(($B992*1103515245 +12345)/ 65536, 32768),0)/32768),0))</f>
        <v>Male</v>
      </c>
      <c r="AB992" s="16" t="str">
        <f t="array" ref="AB992">INDEX(NPCRace,TRUNC(1+(COUNTA(NPCRace))*(TRUNC(MOD(($B992*1103515245 +12345)/ 65536, 32768),0)/32768),0))</f>
        <v>Dwarf</v>
      </c>
      <c r="AC992" s="16" t="str">
        <f t="array" ref="AC992">INDEX(NPCAL,TRUNC(1+(COUNTA(NPCAL))*(TRUNC(MOD(($B992*1103515245 +12345)/ 65536, 32768),0)/32768),0))</f>
        <v>CE</v>
      </c>
      <c r="AD992" s="72" t="str">
        <f ca="1">IFERROR(__xludf.DUMMYFUNCTION("if(V992&lt;15,QUERY(NPCVar!C:D,""Select D WHERE C = '""&amp;D992&amp;""'""),if((TRUNC(1+10)*(TRUNC(MOD((ROW(H992)*1103515245 +12345)/ 65536, 32768),0)/32768)/10) &gt; 0.85,INDEX(NPCFaction,TRUNC(1+(counta(NPCFaction)-1)*(TRUNC(MOD(($B992*1103515245 +12345)/ 65536, 3276"&amp;"8),0)/32768),0)),QUERY(NPCVar!C:D,""Select D WHERE C = '""&amp;D992&amp;""'"")))"),"Death Guild")</f>
        <v>Death Guild</v>
      </c>
      <c r="AE992" s="108" t="e">
        <f t="shared" ca="1" si="58"/>
        <v>#NAME?</v>
      </c>
      <c r="AF992" s="159">
        <f ca="1">IFERROR(__xludf.DUMMYFUNCTION("AE992*(V992 / QUERY(NPCVar!$K$2:$N$12, ""Select N WHERE K='""&amp;AB992&amp;""'""))*TRUNC(1+10)*(TRUNC(MOD(($B992*1103515245 +12345)/ 65536, 32768),0)/32768)"),0)</f>
        <v>0</v>
      </c>
      <c r="AG992" s="16"/>
      <c r="AH992" s="77"/>
      <c r="AI992" s="114"/>
    </row>
    <row r="993" spans="1:35" ht="16.2">
      <c r="A993" s="53">
        <v>992</v>
      </c>
      <c r="B993" s="118">
        <f t="shared" si="64"/>
        <v>1.17256</v>
      </c>
      <c r="C993" s="72" t="str">
        <f t="array" ref="C993">INDEX(NPCFName,TRUNC(1+(COUNTA(NPCFName))*(TRUNC(MOD(($B993*1103515245 +12345)/ 65536, 32768),0)/32768),0))</f>
        <v>Silco</v>
      </c>
      <c r="D993" s="16" t="str">
        <f t="array" ref="D993">INDEX(NPCLName,TRUNC(1+(COUNTA(NPCLName))*(TRUNC(MOD(($B993*1103515245 +12345)/ 65536, 32768),0)/32768),0))</f>
        <v>Gloomrage</v>
      </c>
      <c r="E993" s="16" t="str">
        <f t="array" ref="E993">INDEX(NPCClass,TRUNC(1+(COUNTA(NPCClass))*(TRUNC(MOD(($B993*1103515245 +12345)/ 65536, 32768),0)/32768),0))</f>
        <v>Warlock</v>
      </c>
      <c r="F993" s="76">
        <v>8</v>
      </c>
      <c r="G993" s="153">
        <f ca="1">VLOOKUP($AB$2,'RF Mod'!$A$2:$G$12,2,FALSE)+VLOOKUP($AD$2,'RF Mod'!$I$2:$O$11,2,FALSE)+(TRUNC(6+(24-6)*(TRUNC(MOD(($Z993*1103515245 +12345)/ 65536, 32768),0)/32768),0))</f>
        <v>9</v>
      </c>
      <c r="H993" s="16">
        <f t="shared" ca="1" si="49"/>
        <v>-1</v>
      </c>
      <c r="I993" s="153">
        <f ca="1">VLOOKUP($AB$2,'RF Mod'!$A$2:$G$12,3,FALSE)+VLOOKUP($AD$2,'RF Mod'!$I$2:$O$11,3,FALSE)+(TRUNC(6+(24-6)*(TRUNC(MOD(($Z993*1103515245 +12345)/ 65536, 32768),0)/32768),0))</f>
        <v>13</v>
      </c>
      <c r="J993" s="16" t="e">
        <f t="shared" ca="1" si="50"/>
        <v>#NAME?</v>
      </c>
      <c r="K993" s="153">
        <f ca="1">VLOOKUP($AB$2,'RF Mod'!$A$2:$G$12,3,FALSE)+VLOOKUP($AD$2,'RF Mod'!$I$2:$O$11,3,FALSE)+(TRUNC(6+(24-6)*(TRUNC(MOD(($Z993*1103515245 +12345)/ 65536, 32768),0)/32768),0))</f>
        <v>13</v>
      </c>
      <c r="L993" s="16" t="e">
        <f t="shared" ca="1" si="51"/>
        <v>#NAME?</v>
      </c>
      <c r="M993" s="153">
        <f ca="1">VLOOKUP($AB$2,'RF Mod'!$A$2:$G$12,4,FALSE)+VLOOKUP($AD$2,'RF Mod'!$I$2:$O$11,4,FALSE)+(TRUNC(6+(24-6)*(TRUNC(MOD(($Z993*1103515245 +12345)/ 65536, 32768),0)/32768),0))</f>
        <v>12</v>
      </c>
      <c r="N993" s="16" t="e">
        <f t="shared" ca="1" si="52"/>
        <v>#NAME?</v>
      </c>
      <c r="O993" s="153">
        <f ca="1">VLOOKUP($AB$2,'RF Mod'!$A$2:$G$12,5,FALSE)+VLOOKUP($AD$2,'RF Mod'!$I$2:$O$11,5,FALSE)+(TRUNC(6+(24-6)*(TRUNC(MOD(($Z993*1103515245 +12345)/ 65536, 32768),0)/32768),0))</f>
        <v>15</v>
      </c>
      <c r="P993" s="16" t="e">
        <f t="shared" ca="1" si="53"/>
        <v>#NAME?</v>
      </c>
      <c r="Q993" s="153">
        <f ca="1">VLOOKUP($AB$2,'RF Mod'!$A$2:$G$12,6,FALSE)+VLOOKUP($AD$2,'RF Mod'!$I$2:$O$11,6,FALSE)+(TRUNC(6+(24-6)*(TRUNC(MOD(($Z993*1103515245 +12345)/ 65536, 32768),0)/32768),0))</f>
        <v>13</v>
      </c>
      <c r="R993" s="16" t="e">
        <f t="shared" ca="1" si="54"/>
        <v>#NAME?</v>
      </c>
      <c r="S993" s="154">
        <f t="shared" ca="1" si="59"/>
        <v>120</v>
      </c>
      <c r="T993" s="154">
        <f t="shared" ca="1" si="55"/>
        <v>91</v>
      </c>
      <c r="U993" s="16" t="str">
        <f t="shared" ca="1" si="56"/>
        <v>Bloody</v>
      </c>
      <c r="V993" s="155">
        <f ca="1">IFERROR(__xludf.DUMMYFUNCTION("if(W993=""Middle Age"",QUERY(NPCVar!$K$2:$N1000, ""Select L where K = '""&amp;AB993&amp;""'""),if(W993=""Old"",QUERY(NPCVar!$K$2:$N1000, ""Select M where K = '""&amp;AB993&amp;""'""),if(W993=""Venerable"",QUERY(NPCVar!$K$2:$N1000, ""Select N where K = '""&amp;AB993&amp;""'""),fa"&amp;"lse)))*X993"),300)</f>
        <v>300</v>
      </c>
      <c r="W993" s="156" t="str">
        <f t="array" ref="W993">INDEX(NPCAgeType,TRUNC(1+(4-1)*(TRUNC(MOD((X993*1103515245 +12345)/ 65536, 32768),0)/32768),0))</f>
        <v>Venerable</v>
      </c>
      <c r="X993" s="117">
        <f t="shared" si="61"/>
        <v>1.5</v>
      </c>
      <c r="Y993" s="157" t="e">
        <f t="array" aca="1" ref="Y993" ca="1">LOOKUP(ABS(MAX(Z993 + MIN(ABS(INDIRECT("Class Jobs!B"&amp;MATCH(E993,'Class Jobs'!$A$1:$A1000,0)&amp;":"&amp;"AF"&amp;MATCH(E993,'Class Jobs'!$A$1:$A1000,0)&amp;"")-$Z993)) * SUM(IF(MIN(ABS(INDIRECT("Class Jobs!B"&amp;MATCH(E993,'Class Jobs'!$A$1:$A1000,0)&amp;":"&amp;"AF"&amp;MATCH(E993,'Class Jobs'!$A$1:$A1000,0)&amp;"")-$Z993))=ABS(INDIRECT("Class Jobs!B"&amp;MATCH(E993,'Class Jobs'!$A$1:$A1000,0)&amp;":"&amp;"AF"&amp;MATCH(E993,'Class Jobs'!$A$1:$A1000,0)&amp;"")-$Z993),SIGN(INDIRECT("Class Jobs!B"&amp;MATCH(E993,'Class Jobs'!$A$1:A1000,0)&amp;":"&amp;"AF"&amp;MATCH(E993,'Class Jobs'!$A$1:$A1000,0)&amp;"")-$Z993),0)),0)),INDIRECT("Class Jobs!B"&amp;MATCH(E993,'Class Jobs'!$A$1:$A1000,0)&amp;":"&amp;"AF"&amp;MATCH(E993,'Class Jobs'!$A$1:$A1000,1)&amp;""),'Class Jobs'!$B$1:$AF$1)</f>
        <v>#REF!</v>
      </c>
      <c r="Z993" s="158">
        <f t="shared" si="57"/>
        <v>0.6</v>
      </c>
      <c r="AA993" s="16" t="str">
        <f t="array" ref="AA993">INDEX(NPCGender,TRUNC(1+(COUNTA(NPCGender))*(TRUNC(MOD(($B993*1103515245 +12345)/ 65536, 32768),0)/32768),0))</f>
        <v>Female</v>
      </c>
      <c r="AB993" s="16" t="str">
        <f t="array" ref="AB993">INDEX(NPCRace,TRUNC(1+(COUNTA(NPCRace))*(TRUNC(MOD(($B993*1103515245 +12345)/ 65536, 32768),0)/32768),0))</f>
        <v>Halfling</v>
      </c>
      <c r="AC993" s="16" t="str">
        <f t="array" ref="AC993">INDEX(NPCAL,TRUNC(1+(COUNTA(NPCAL))*(TRUNC(MOD(($B993*1103515245 +12345)/ 65536, 32768),0)/32768),0))</f>
        <v>NE</v>
      </c>
      <c r="AD993" s="72" t="str">
        <f ca="1">IFERROR(__xludf.DUMMYFUNCTION("if(V993&lt;15,QUERY(NPCVar!C:D,""Select D WHERE C = '""&amp;D993&amp;""'""),if((TRUNC(1+10)*(TRUNC(MOD((ROW(H993)*1103515245 +12345)/ 65536, 32768),0)/32768)/10) &gt; 0.85,INDEX(NPCFaction,TRUNC(1+(counta(NPCFaction)-1)*(TRUNC(MOD(($B993*1103515245 +12345)/ 65536, 3276"&amp;"8),0)/32768),0)),QUERY(NPCVar!C:D,""Select D WHERE C = '""&amp;D993&amp;""'"")))"),"Traders Guild")</f>
        <v>Traders Guild</v>
      </c>
      <c r="AE993" s="108" t="e">
        <f t="shared" ca="1" si="58"/>
        <v>#NAME?</v>
      </c>
      <c r="AF993" s="159">
        <f ca="1">IFERROR(__xludf.DUMMYFUNCTION("AE993*(V993 / QUERY(NPCVar!$K$2:$N$12, ""Select N WHERE K='""&amp;AB993&amp;""'""))*TRUNC(1+10)*(TRUNC(MOD(($B993*1103515245 +12345)/ 65536, 32768),0)/32768)"),7.953515625)</f>
        <v>7.9535156249999996</v>
      </c>
      <c r="AG993" s="16"/>
      <c r="AH993" s="77"/>
      <c r="AI993" s="114"/>
    </row>
    <row r="994" spans="1:35" ht="16.2">
      <c r="A994" s="53">
        <v>993</v>
      </c>
      <c r="B994" s="118">
        <f t="shared" si="64"/>
        <v>0.16671</v>
      </c>
      <c r="C994" s="72" t="str">
        <f t="array" ref="C994">INDEX(NPCFName,TRUNC(1+(COUNTA(NPCFName))*(TRUNC(MOD(($B994*1103515245 +12345)/ 65536, 32768),0)/32768),0))</f>
        <v>Dyfar</v>
      </c>
      <c r="D994" s="16" t="str">
        <f t="array" ref="D994">INDEX(NPCLName,TRUNC(1+(COUNTA(NPCLName))*(TRUNC(MOD(($B994*1103515245 +12345)/ 65536, 32768),0)/32768),0))</f>
        <v>Autumnorb</v>
      </c>
      <c r="E994" s="16" t="str">
        <f t="array" ref="E994">INDEX(NPCClass,TRUNC(1+(COUNTA(NPCClass))*(TRUNC(MOD(($B994*1103515245 +12345)/ 65536, 32768),0)/32768),0))</f>
        <v>Bard</v>
      </c>
      <c r="F994" s="76">
        <v>1</v>
      </c>
      <c r="G994" s="153">
        <f ca="1">VLOOKUP($AB$2,'RF Mod'!$A$2:$G$12,2,FALSE)+VLOOKUP($AD$2,'RF Mod'!$I$2:$O$11,2,FALSE)+(TRUNC(6+(24-6)*(TRUNC(MOD(($Z994*1103515245 +12345)/ 65536, 32768),0)/32768),0))</f>
        <v>4</v>
      </c>
      <c r="H994" s="16">
        <f t="shared" ca="1" si="49"/>
        <v>-3</v>
      </c>
      <c r="I994" s="153">
        <f ca="1">VLOOKUP($AB$2,'RF Mod'!$A$2:$G$12,3,FALSE)+VLOOKUP($AD$2,'RF Mod'!$I$2:$O$11,3,FALSE)+(TRUNC(6+(24-6)*(TRUNC(MOD(($Z994*1103515245 +12345)/ 65536, 32768),0)/32768),0))</f>
        <v>8</v>
      </c>
      <c r="J994" s="16">
        <f t="shared" ca="1" si="50"/>
        <v>-1</v>
      </c>
      <c r="K994" s="153">
        <f ca="1">VLOOKUP($AB$2,'RF Mod'!$A$2:$G$12,3,FALSE)+VLOOKUP($AD$2,'RF Mod'!$I$2:$O$11,3,FALSE)+(TRUNC(6+(24-6)*(TRUNC(MOD(($Z994*1103515245 +12345)/ 65536, 32768),0)/32768),0))</f>
        <v>8</v>
      </c>
      <c r="L994" s="16">
        <f t="shared" ca="1" si="51"/>
        <v>-1</v>
      </c>
      <c r="M994" s="153">
        <f ca="1">VLOOKUP($AB$2,'RF Mod'!$A$2:$G$12,4,FALSE)+VLOOKUP($AD$2,'RF Mod'!$I$2:$O$11,4,FALSE)+(TRUNC(6+(24-6)*(TRUNC(MOD(($Z994*1103515245 +12345)/ 65536, 32768),0)/32768),0))</f>
        <v>7</v>
      </c>
      <c r="N994" s="16">
        <f t="shared" ca="1" si="52"/>
        <v>-2</v>
      </c>
      <c r="O994" s="153">
        <f ca="1">VLOOKUP($AB$2,'RF Mod'!$A$2:$G$12,5,FALSE)+VLOOKUP($AD$2,'RF Mod'!$I$2:$O$11,5,FALSE)+(TRUNC(6+(24-6)*(TRUNC(MOD(($Z994*1103515245 +12345)/ 65536, 32768),0)/32768),0))</f>
        <v>10</v>
      </c>
      <c r="P994" s="16" t="e">
        <f t="shared" ca="1" si="53"/>
        <v>#NAME?</v>
      </c>
      <c r="Q994" s="153">
        <f ca="1">VLOOKUP($AB$2,'RF Mod'!$A$2:$G$12,6,FALSE)+VLOOKUP($AD$2,'RF Mod'!$I$2:$O$11,6,FALSE)+(TRUNC(6+(24-6)*(TRUNC(MOD(($Z994*1103515245 +12345)/ 65536, 32768),0)/32768),0))</f>
        <v>8</v>
      </c>
      <c r="R994" s="16">
        <f t="shared" ca="1" si="54"/>
        <v>-1</v>
      </c>
      <c r="S994" s="154">
        <f t="shared" ca="1" si="59"/>
        <v>10</v>
      </c>
      <c r="T994" s="154">
        <f t="shared" ca="1" si="55"/>
        <v>7</v>
      </c>
      <c r="U994" s="16" t="str">
        <f t="shared" ca="1" si="56"/>
        <v>Bloody</v>
      </c>
      <c r="V994" s="155">
        <f ca="1">IFERROR(__xludf.DUMMYFUNCTION("if(W994=""Middle Age"",QUERY(NPCVar!$K$2:$N1000, ""Select L where K = '""&amp;AB994&amp;""'""),if(W994=""Old"",QUERY(NPCVar!$K$2:$N1000, ""Select M where K = '""&amp;AB994&amp;""'""),if(W994=""Venerable"",QUERY(NPCVar!$K$2:$N1000, ""Select N where K = '""&amp;AB994&amp;""'""),fa"&amp;"lse)))*X994"),6)</f>
        <v>6</v>
      </c>
      <c r="W994" s="156" t="str">
        <f t="array" ref="W994">INDEX(NPCAgeType,TRUNC(1+(4-1)*(TRUNC(MOD((X994*1103515245 +12345)/ 65536, 32768),0)/32768),0))</f>
        <v>Middle Age</v>
      </c>
      <c r="X994" s="117">
        <f t="shared" si="61"/>
        <v>0.3</v>
      </c>
      <c r="Y994" s="157" t="e">
        <f t="array" aca="1" ref="Y994" ca="1">LOOKUP(ABS(MAX(Z994 + MIN(ABS(INDIRECT("Class Jobs!B"&amp;MATCH(E994,'Class Jobs'!$A$1:$A1000,0)&amp;":"&amp;"AF"&amp;MATCH(E994,'Class Jobs'!$A$1:$A1000,0)&amp;"")-$Z994)) * SUM(IF(MIN(ABS(INDIRECT("Class Jobs!B"&amp;MATCH(E994,'Class Jobs'!$A$1:$A1000,0)&amp;":"&amp;"AF"&amp;MATCH(E994,'Class Jobs'!$A$1:$A1000,0)&amp;"")-$Z994))=ABS(INDIRECT("Class Jobs!B"&amp;MATCH(E994,'Class Jobs'!$A$1:$A1000,0)&amp;":"&amp;"AF"&amp;MATCH(E994,'Class Jobs'!$A$1:$A1000,0)&amp;"")-$Z994),SIGN(INDIRECT("Class Jobs!B"&amp;MATCH(E994,'Class Jobs'!$A$1:A1000,0)&amp;":"&amp;"AF"&amp;MATCH(E994,'Class Jobs'!$A$1:$A1000,0)&amp;"")-$Z994),0)),0)),INDIRECT("Class Jobs!B"&amp;MATCH(E994,'Class Jobs'!$A$1:$A1000,0)&amp;":"&amp;"AF"&amp;MATCH(E994,'Class Jobs'!$A$1:$A1000,1)&amp;""),'Class Jobs'!$B$1:$AF$1)</f>
        <v>#REF!</v>
      </c>
      <c r="Z994" s="158">
        <f t="shared" si="57"/>
        <v>0.09</v>
      </c>
      <c r="AA994" s="16" t="str">
        <f t="array" ref="AA994">INDEX(NPCGender,TRUNC(1+(COUNTA(NPCGender))*(TRUNC(MOD(($B994*1103515245 +12345)/ 65536, 32768),0)/32768),0))</f>
        <v>Male</v>
      </c>
      <c r="AB994" s="16" t="str">
        <f t="array" ref="AB994">INDEX(NPCRace,TRUNC(1+(COUNTA(NPCRace))*(TRUNC(MOD(($B994*1103515245 +12345)/ 65536, 32768),0)/32768),0))</f>
        <v>Dragonborn</v>
      </c>
      <c r="AC994" s="16" t="str">
        <f t="array" ref="AC994">INDEX(NPCAL,TRUNC(1+(COUNTA(NPCAL))*(TRUNC(MOD(($B994*1103515245 +12345)/ 65536, 32768),0)/32768),0))</f>
        <v>CN</v>
      </c>
      <c r="AD994" s="72" t="str">
        <f ca="1">IFERROR(__xludf.DUMMYFUNCTION("if(V994&lt;15,QUERY(NPCVar!C:D,""Select D WHERE C = '""&amp;D994&amp;""'""),if((TRUNC(1+10)*(TRUNC(MOD((ROW(H994)*1103515245 +12345)/ 65536, 32768),0)/32768)/10) &gt; 0.85,INDEX(NPCFaction,TRUNC(1+(counta(NPCFaction)-1)*(TRUNC(MOD(($B994*1103515245 +12345)/ 65536, 3276"&amp;"8),0)/32768),0)),QUERY(NPCVar!C:D,""Select D WHERE C = '""&amp;D994&amp;""'"")))"),"Royalty")</f>
        <v>Royalty</v>
      </c>
      <c r="AE994" s="108" t="e">
        <f t="shared" ca="1" si="58"/>
        <v>#NAME?</v>
      </c>
      <c r="AF994" s="159">
        <f ca="1">IFERROR(__xludf.DUMMYFUNCTION("AE994*(V994 / QUERY(NPCVar!$K$2:$N$12, ""Select N WHERE K='""&amp;AB994&amp;""'""))*TRUNC(1+10)*(TRUNC(MOD(($B994*1103515245 +12345)/ 65536, 32768),0)/32768)"),0)</f>
        <v>0</v>
      </c>
      <c r="AG994" s="16"/>
      <c r="AH994" s="77"/>
      <c r="AI994" s="114"/>
    </row>
    <row r="995" spans="1:35" ht="16.2">
      <c r="A995" s="53">
        <v>994</v>
      </c>
      <c r="B995" s="118">
        <f t="shared" si="64"/>
        <v>1.66076</v>
      </c>
      <c r="C995" s="72" t="str">
        <f t="array" ref="C995">INDEX(NPCFName,TRUNC(1+(COUNTA(NPCFName))*(TRUNC(MOD(($B995*1103515245 +12345)/ 65536, 32768),0)/32768),0))</f>
        <v>Medin</v>
      </c>
      <c r="D995" s="16" t="str">
        <f t="array" ref="D995">INDEX(NPCLName,TRUNC(1+(COUNTA(NPCLName))*(TRUNC(MOD(($B995*1103515245 +12345)/ 65536, 32768),0)/32768),0))</f>
        <v>Springgust</v>
      </c>
      <c r="E995" s="16" t="str">
        <f t="array" ref="E995">INDEX(NPCClass,TRUNC(1+(COUNTA(NPCClass))*(TRUNC(MOD(($B995*1103515245 +12345)/ 65536, 32768),0)/32768),0))</f>
        <v>Fighter</v>
      </c>
      <c r="F995" s="76">
        <v>8</v>
      </c>
      <c r="G995" s="153">
        <f ca="1">VLOOKUP($AB$2,'RF Mod'!$A$2:$G$12,2,FALSE)+VLOOKUP($AD$2,'RF Mod'!$I$2:$O$11,2,FALSE)+(TRUNC(6+(24-6)*(TRUNC(MOD(($Z995*1103515245 +12345)/ 65536, 32768),0)/32768),0))</f>
        <v>11</v>
      </c>
      <c r="H995" s="16" t="e">
        <f t="shared" ca="1" si="49"/>
        <v>#NAME?</v>
      </c>
      <c r="I995" s="153">
        <f ca="1">VLOOKUP($AB$2,'RF Mod'!$A$2:$G$12,3,FALSE)+VLOOKUP($AD$2,'RF Mod'!$I$2:$O$11,3,FALSE)+(TRUNC(6+(24-6)*(TRUNC(MOD(($Z995*1103515245 +12345)/ 65536, 32768),0)/32768),0))</f>
        <v>15</v>
      </c>
      <c r="J995" s="16" t="e">
        <f t="shared" ca="1" si="50"/>
        <v>#NAME?</v>
      </c>
      <c r="K995" s="153">
        <f ca="1">VLOOKUP($AB$2,'RF Mod'!$A$2:$G$12,3,FALSE)+VLOOKUP($AD$2,'RF Mod'!$I$2:$O$11,3,FALSE)+(TRUNC(6+(24-6)*(TRUNC(MOD(($Z995*1103515245 +12345)/ 65536, 32768),0)/32768),0))</f>
        <v>15</v>
      </c>
      <c r="L995" s="16" t="e">
        <f t="shared" ca="1" si="51"/>
        <v>#NAME?</v>
      </c>
      <c r="M995" s="153">
        <f ca="1">VLOOKUP($AB$2,'RF Mod'!$A$2:$G$12,4,FALSE)+VLOOKUP($AD$2,'RF Mod'!$I$2:$O$11,4,FALSE)+(TRUNC(6+(24-6)*(TRUNC(MOD(($Z995*1103515245 +12345)/ 65536, 32768),0)/32768),0))</f>
        <v>14</v>
      </c>
      <c r="N995" s="16" t="e">
        <f t="shared" ca="1" si="52"/>
        <v>#NAME?</v>
      </c>
      <c r="O995" s="153">
        <f ca="1">VLOOKUP($AB$2,'RF Mod'!$A$2:$G$12,5,FALSE)+VLOOKUP($AD$2,'RF Mod'!$I$2:$O$11,5,FALSE)+(TRUNC(6+(24-6)*(TRUNC(MOD(($Z995*1103515245 +12345)/ 65536, 32768),0)/32768),0))</f>
        <v>17</v>
      </c>
      <c r="P995" s="16" t="e">
        <f t="shared" ca="1" si="53"/>
        <v>#NAME?</v>
      </c>
      <c r="Q995" s="153">
        <f ca="1">VLOOKUP($AB$2,'RF Mod'!$A$2:$G$12,6,FALSE)+VLOOKUP($AD$2,'RF Mod'!$I$2:$O$11,6,FALSE)+(TRUNC(6+(24-6)*(TRUNC(MOD(($Z995*1103515245 +12345)/ 65536, 32768),0)/32768),0))</f>
        <v>15</v>
      </c>
      <c r="R995" s="16" t="e">
        <f t="shared" ca="1" si="54"/>
        <v>#NAME?</v>
      </c>
      <c r="S995" s="154">
        <f t="shared" ca="1" si="59"/>
        <v>168</v>
      </c>
      <c r="T995" s="154">
        <f t="shared" ca="1" si="55"/>
        <v>148</v>
      </c>
      <c r="U995" s="16" t="str">
        <f t="shared" ca="1" si="56"/>
        <v>Bloody</v>
      </c>
      <c r="V995" s="155">
        <f ca="1">IFERROR(__xludf.DUMMYFUNCTION("if(W995=""Middle Age"",QUERY(NPCVar!$K$2:$N1000, ""Select L where K = '""&amp;AB995&amp;""'""),if(W995=""Old"",QUERY(NPCVar!$K$2:$N1000, ""Select M where K = '""&amp;AB995&amp;""'""),if(W995=""Venerable"",QUERY(NPCVar!$K$2:$N1000, ""Select N where K = '""&amp;AB995&amp;""'""),fa"&amp;"lse)))*X995"),57.75)</f>
        <v>57.75</v>
      </c>
      <c r="W995" s="156" t="str">
        <f t="array" ref="W995">INDEX(NPCAgeType,TRUNC(1+(4-1)*(TRUNC(MOD((X995*1103515245 +12345)/ 65536, 32768),0)/32768),0))</f>
        <v>Middle Age</v>
      </c>
      <c r="X995" s="117">
        <f t="shared" si="61"/>
        <v>2.1</v>
      </c>
      <c r="Y995" s="157" t="e">
        <f t="array" aca="1" ref="Y995" ca="1">LOOKUP(ABS(MAX(Z995 + MIN(ABS(INDIRECT("Class Jobs!B"&amp;MATCH(E995,'Class Jobs'!$A$1:$A1000,0)&amp;":"&amp;"AF"&amp;MATCH(E995,'Class Jobs'!$A$1:$A1000,0)&amp;"")-$Z995)) * SUM(IF(MIN(ABS(INDIRECT("Class Jobs!B"&amp;MATCH(E995,'Class Jobs'!$A$1:$A1000,0)&amp;":"&amp;"AF"&amp;MATCH(E995,'Class Jobs'!$A$1:$A1000,0)&amp;"")-$Z995))=ABS(INDIRECT("Class Jobs!B"&amp;MATCH(E995,'Class Jobs'!$A$1:$A1000,0)&amp;":"&amp;"AF"&amp;MATCH(E995,'Class Jobs'!$A$1:$A1000,0)&amp;"")-$Z995),SIGN(INDIRECT("Class Jobs!B"&amp;MATCH(E995,'Class Jobs'!$A$1:A1000,0)&amp;":"&amp;"AF"&amp;MATCH(E995,'Class Jobs'!$A$1:$A1000,0)&amp;"")-$Z995),0)),0)),INDIRECT("Class Jobs!B"&amp;MATCH(E995,'Class Jobs'!$A$1:$A1000,0)&amp;":"&amp;"AF"&amp;MATCH(E995,'Class Jobs'!$A$1:$A1000,1)&amp;""),'Class Jobs'!$B$1:$AF$1)</f>
        <v>#REF!</v>
      </c>
      <c r="Z995" s="158">
        <f t="shared" si="57"/>
        <v>0.85</v>
      </c>
      <c r="AA995" s="16" t="str">
        <f t="array" ref="AA995">INDEX(NPCGender,TRUNC(1+(COUNTA(NPCGender))*(TRUNC(MOD(($B995*1103515245 +12345)/ 65536, 32768),0)/32768),0))</f>
        <v>Neutral</v>
      </c>
      <c r="AB995" s="16" t="str">
        <f t="array" ref="AB995">INDEX(NPCRace,TRUNC(1+(COUNTA(NPCRace))*(TRUNC(MOD(($B995*1103515245 +12345)/ 65536, 32768),0)/32768),0))</f>
        <v>Genasi</v>
      </c>
      <c r="AC995" s="16" t="str">
        <f t="array" ref="AC995">INDEX(NPCAL,TRUNC(1+(COUNTA(NPCAL))*(TRUNC(MOD(($B995*1103515245 +12345)/ 65536, 32768),0)/32768),0))</f>
        <v>LN</v>
      </c>
      <c r="AD995" s="72" t="str">
        <f ca="1">IFERROR(__xludf.DUMMYFUNCTION("if(V995&lt;15,QUERY(NPCVar!C:D,""Select D WHERE C = '""&amp;D995&amp;""'""),if((TRUNC(1+10)*(TRUNC(MOD((ROW(H995)*1103515245 +12345)/ 65536, 32768),0)/32768)/10) &gt; 0.85,INDEX(NPCFaction,TRUNC(1+(counta(NPCFaction)-1)*(TRUNC(MOD(($B995*1103515245 +12345)/ 65536, 3276"&amp;"8),0)/32768),0)),QUERY(NPCVar!C:D,""Select D WHERE C = '""&amp;D995&amp;""'"")))"),"Traverlers Guild")</f>
        <v>Traverlers Guild</v>
      </c>
      <c r="AE995" s="108" t="e">
        <f t="shared" ca="1" si="58"/>
        <v>#NAME?</v>
      </c>
      <c r="AF995" s="159">
        <f ca="1">IFERROR(__xludf.DUMMYFUNCTION("AE995*(V995 / QUERY(NPCVar!$K$2:$N$12, ""Select N WHERE K='""&amp;AB995&amp;""'""))*TRUNC(1+10)*(TRUNC(MOD(($B995*1103515245 +12345)/ 65536, 32768),0)/32768)"),4.43551300048828)</f>
        <v>4.4355130004882799</v>
      </c>
      <c r="AG995" s="16"/>
      <c r="AH995" s="77"/>
      <c r="AI995" s="114"/>
    </row>
    <row r="996" spans="1:35" ht="16.2">
      <c r="A996" s="53">
        <v>995</v>
      </c>
      <c r="B996" s="118">
        <f t="shared" si="64"/>
        <v>0.65490999999999999</v>
      </c>
      <c r="C996" s="72" t="str">
        <f t="array" ref="C996">INDEX(NPCFName,TRUNC(1+(COUNTA(NPCFName))*(TRUNC(MOD(($B996*1103515245 +12345)/ 65536, 32768),0)/32768),0))</f>
        <v>Achard</v>
      </c>
      <c r="D996" s="16" t="str">
        <f t="array" ref="D996">INDEX(NPCLName,TRUNC(1+(COUNTA(NPCLName))*(TRUNC(MOD(($B996*1103515245 +12345)/ 65536, 32768),0)/32768),0))</f>
        <v>Leafblight</v>
      </c>
      <c r="E996" s="16" t="str">
        <f t="array" ref="E996">INDEX(NPCClass,TRUNC(1+(COUNTA(NPCClass))*(TRUNC(MOD(($B996*1103515245 +12345)/ 65536, 32768),0)/32768),0))</f>
        <v>Paladin</v>
      </c>
      <c r="F996" s="76">
        <v>4</v>
      </c>
      <c r="G996" s="153">
        <f ca="1">VLOOKUP($AB$2,'RF Mod'!$A$2:$G$12,2,FALSE)+VLOOKUP($AD$2,'RF Mod'!$I$2:$O$11,2,FALSE)+(TRUNC(6+(24-6)*(TRUNC(MOD(($Z996*1103515245 +12345)/ 65536, 32768),0)/32768),0))</f>
        <v>7</v>
      </c>
      <c r="H996" s="16">
        <f t="shared" ca="1" si="49"/>
        <v>-2</v>
      </c>
      <c r="I996" s="153">
        <f ca="1">VLOOKUP($AB$2,'RF Mod'!$A$2:$G$12,3,FALSE)+VLOOKUP($AD$2,'RF Mod'!$I$2:$O$11,3,FALSE)+(TRUNC(6+(24-6)*(TRUNC(MOD(($Z996*1103515245 +12345)/ 65536, 32768),0)/32768),0))</f>
        <v>11</v>
      </c>
      <c r="J996" s="16" t="e">
        <f t="shared" ca="1" si="50"/>
        <v>#NAME?</v>
      </c>
      <c r="K996" s="153">
        <f ca="1">VLOOKUP($AB$2,'RF Mod'!$A$2:$G$12,3,FALSE)+VLOOKUP($AD$2,'RF Mod'!$I$2:$O$11,3,FALSE)+(TRUNC(6+(24-6)*(TRUNC(MOD(($Z996*1103515245 +12345)/ 65536, 32768),0)/32768),0))</f>
        <v>11</v>
      </c>
      <c r="L996" s="16" t="e">
        <f t="shared" ca="1" si="51"/>
        <v>#NAME?</v>
      </c>
      <c r="M996" s="153">
        <f ca="1">VLOOKUP($AB$2,'RF Mod'!$A$2:$G$12,4,FALSE)+VLOOKUP($AD$2,'RF Mod'!$I$2:$O$11,4,FALSE)+(TRUNC(6+(24-6)*(TRUNC(MOD(($Z996*1103515245 +12345)/ 65536, 32768),0)/32768),0))</f>
        <v>10</v>
      </c>
      <c r="N996" s="16" t="e">
        <f t="shared" ca="1" si="52"/>
        <v>#NAME?</v>
      </c>
      <c r="O996" s="153">
        <f ca="1">VLOOKUP($AB$2,'RF Mod'!$A$2:$G$12,5,FALSE)+VLOOKUP($AD$2,'RF Mod'!$I$2:$O$11,5,FALSE)+(TRUNC(6+(24-6)*(TRUNC(MOD(($Z996*1103515245 +12345)/ 65536, 32768),0)/32768),0))</f>
        <v>13</v>
      </c>
      <c r="P996" s="16" t="e">
        <f t="shared" ca="1" si="53"/>
        <v>#NAME?</v>
      </c>
      <c r="Q996" s="153">
        <f ca="1">VLOOKUP($AB$2,'RF Mod'!$A$2:$G$12,6,FALSE)+VLOOKUP($AD$2,'RF Mod'!$I$2:$O$11,6,FALSE)+(TRUNC(6+(24-6)*(TRUNC(MOD(($Z996*1103515245 +12345)/ 65536, 32768),0)/32768),0))</f>
        <v>11</v>
      </c>
      <c r="R996" s="16" t="e">
        <f t="shared" ca="1" si="54"/>
        <v>#NAME?</v>
      </c>
      <c r="S996" s="154">
        <f t="shared" ca="1" si="59"/>
        <v>60</v>
      </c>
      <c r="T996" s="154">
        <f t="shared" ca="1" si="55"/>
        <v>28</v>
      </c>
      <c r="U996" s="16" t="str">
        <f t="shared" ca="1" si="56"/>
        <v>Fine</v>
      </c>
      <c r="V996" s="155">
        <f ca="1">IFERROR(__xludf.DUMMYFUNCTION("if(W996=""Middle Age"",QUERY(NPCVar!$K$2:$N1000, ""Select L where K = '""&amp;AB996&amp;""'""),if(W996=""Old"",QUERY(NPCVar!$K$2:$N1000, ""Select M where K = '""&amp;AB996&amp;""'""),if(W996=""Venerable"",QUERY(NPCVar!$K$2:$N1000, ""Select N where K = '""&amp;AB996&amp;""'""),fa"&amp;"lse)))*X996"),151.875)</f>
        <v>151.875</v>
      </c>
      <c r="W996" s="156" t="str">
        <f t="array" ref="W996">INDEX(NPCAgeType,TRUNC(1+(4-1)*(TRUNC(MOD((X996*1103515245 +12345)/ 65536, 32768),0)/32768),0))</f>
        <v>Old</v>
      </c>
      <c r="X996" s="117">
        <f t="shared" si="61"/>
        <v>0.9</v>
      </c>
      <c r="Y996" s="157" t="e">
        <f t="array" aca="1" ref="Y996" ca="1">LOOKUP(ABS(MAX(Z996 + MIN(ABS(INDIRECT("Class Jobs!B"&amp;MATCH(E996,'Class Jobs'!$A$1:$A1000,0)&amp;":"&amp;"AF"&amp;MATCH(E996,'Class Jobs'!$A$1:$A1000,0)&amp;"")-$Z996)) * SUM(IF(MIN(ABS(INDIRECT("Class Jobs!B"&amp;MATCH(E996,'Class Jobs'!$A$1:$A1000,0)&amp;":"&amp;"AF"&amp;MATCH(E996,'Class Jobs'!$A$1:$A1000,0)&amp;"")-$Z996))=ABS(INDIRECT("Class Jobs!B"&amp;MATCH(E996,'Class Jobs'!$A$1:$A1000,0)&amp;":"&amp;"AF"&amp;MATCH(E996,'Class Jobs'!$A$1:$A1000,0)&amp;"")-$Z996),SIGN(INDIRECT("Class Jobs!B"&amp;MATCH(E996,'Class Jobs'!$A$1:A1000,0)&amp;":"&amp;"AF"&amp;MATCH(E996,'Class Jobs'!$A$1:$A1000,0)&amp;"")-$Z996),0)),0)),INDIRECT("Class Jobs!B"&amp;MATCH(E996,'Class Jobs'!$A$1:$A1000,0)&amp;":"&amp;"AF"&amp;MATCH(E996,'Class Jobs'!$A$1:$A1000,1)&amp;""),'Class Jobs'!$B$1:$AF$1)</f>
        <v>#REF!</v>
      </c>
      <c r="Z996" s="158">
        <f t="shared" si="57"/>
        <v>0.34</v>
      </c>
      <c r="AA996" s="16" t="str">
        <f t="array" ref="AA996">INDEX(NPCGender,TRUNC(1+(COUNTA(NPCGender))*(TRUNC(MOD(($B996*1103515245 +12345)/ 65536, 32768),0)/32768),0))</f>
        <v>Female</v>
      </c>
      <c r="AB996" s="16" t="str">
        <f t="array" ref="AB996">INDEX(NPCRace,TRUNC(1+(COUNTA(NPCRace))*(TRUNC(MOD(($B996*1103515245 +12345)/ 65536, 32768),0)/32768),0))</f>
        <v>Gnome</v>
      </c>
      <c r="AC996" s="16" t="str">
        <f t="array" ref="AC996">INDEX(NPCAL,TRUNC(1+(COUNTA(NPCAL))*(TRUNC(MOD(($B996*1103515245 +12345)/ 65536, 32768),0)/32768),0))</f>
        <v>NG</v>
      </c>
      <c r="AD996" s="72" t="str">
        <f ca="1">IFERROR(__xludf.DUMMYFUNCTION("if(V996&lt;15,QUERY(NPCVar!C:D,""Select D WHERE C = '""&amp;D996&amp;""'""),if((TRUNC(1+10)*(TRUNC(MOD((ROW(H996)*1103515245 +12345)/ 65536, 32768),0)/32768)/10) &gt; 0.85,INDEX(NPCFaction,TRUNC(1+(counta(NPCFaction)-1)*(TRUNC(MOD(($B996*1103515245 +12345)/ 65536, 3276"&amp;"8),0)/32768),0)),QUERY(NPCVar!C:D,""Select D WHERE C = '""&amp;D996&amp;""'"")))"),"Adventures Guild")</f>
        <v>Adventures Guild</v>
      </c>
      <c r="AE996" s="108" t="e">
        <f t="shared" ca="1" si="58"/>
        <v>#NAME?</v>
      </c>
      <c r="AF996" s="159">
        <f ca="1">IFERROR(__xludf.DUMMYFUNCTION("AE996*(V996 / QUERY(NPCVar!$K$2:$N$12, ""Select N WHERE K='""&amp;AB996&amp;""'""))*TRUNC(1+10)*(TRUNC(MOD(($B996*1103515245 +12345)/ 65536, 32768),0)/32768)"),0.249864120483398)</f>
        <v>0.24986412048339801</v>
      </c>
      <c r="AG996" s="16"/>
      <c r="AH996" s="77"/>
      <c r="AI996" s="114"/>
    </row>
    <row r="997" spans="1:35" ht="16.2">
      <c r="A997" s="53">
        <v>996</v>
      </c>
      <c r="B997" s="118">
        <f t="shared" si="64"/>
        <v>2.1490399999999998</v>
      </c>
      <c r="C997" s="72" t="str">
        <f t="array" ref="C997">INDEX(NPCFName,TRUNC(1+(COUNTA(NPCFName))*(TRUNC(MOD(($B997*1103515245 +12345)/ 65536, 32768),0)/32768),0))</f>
        <v>Faoturk</v>
      </c>
      <c r="D997" s="16" t="str">
        <f t="array" ref="D997">INDEX(NPCLName,TRUNC(1+(COUNTA(NPCLName))*(TRUNC(MOD(($B997*1103515245 +12345)/ 65536, 32768),0)/32768),0))</f>
        <v>Distantlash</v>
      </c>
      <c r="E997" s="16" t="str">
        <f t="array" ref="E997">INDEX(NPCClass,TRUNC(1+(COUNTA(NPCClass))*(TRUNC(MOD(($B997*1103515245 +12345)/ 65536, 32768),0)/32768),0))</f>
        <v>Bard</v>
      </c>
      <c r="F997" s="76">
        <v>1</v>
      </c>
      <c r="G997" s="153">
        <f ca="1">VLOOKUP($AB$2,'RF Mod'!$A$2:$G$12,2,FALSE)+VLOOKUP($AD$2,'RF Mod'!$I$2:$O$11,2,FALSE)+(TRUNC(6+(24-6)*(TRUNC(MOD(($Z997*1103515245 +12345)/ 65536, 32768),0)/32768),0))</f>
        <v>5</v>
      </c>
      <c r="H997" s="16">
        <f t="shared" ca="1" si="49"/>
        <v>-3</v>
      </c>
      <c r="I997" s="153">
        <f ca="1">VLOOKUP($AB$2,'RF Mod'!$A$2:$G$12,3,FALSE)+VLOOKUP($AD$2,'RF Mod'!$I$2:$O$11,3,FALSE)+(TRUNC(6+(24-6)*(TRUNC(MOD(($Z997*1103515245 +12345)/ 65536, 32768),0)/32768),0))</f>
        <v>9</v>
      </c>
      <c r="J997" s="16">
        <f t="shared" ca="1" si="50"/>
        <v>-1</v>
      </c>
      <c r="K997" s="153">
        <f ca="1">VLOOKUP($AB$2,'RF Mod'!$A$2:$G$12,3,FALSE)+VLOOKUP($AD$2,'RF Mod'!$I$2:$O$11,3,FALSE)+(TRUNC(6+(24-6)*(TRUNC(MOD(($Z997*1103515245 +12345)/ 65536, 32768),0)/32768),0))</f>
        <v>9</v>
      </c>
      <c r="L997" s="16">
        <f t="shared" ca="1" si="51"/>
        <v>-1</v>
      </c>
      <c r="M997" s="153">
        <f ca="1">VLOOKUP($AB$2,'RF Mod'!$A$2:$G$12,4,FALSE)+VLOOKUP($AD$2,'RF Mod'!$I$2:$O$11,4,FALSE)+(TRUNC(6+(24-6)*(TRUNC(MOD(($Z997*1103515245 +12345)/ 65536, 32768),0)/32768),0))</f>
        <v>8</v>
      </c>
      <c r="N997" s="16">
        <f t="shared" ca="1" si="52"/>
        <v>-1</v>
      </c>
      <c r="O997" s="153">
        <f ca="1">VLOOKUP($AB$2,'RF Mod'!$A$2:$G$12,5,FALSE)+VLOOKUP($AD$2,'RF Mod'!$I$2:$O$11,5,FALSE)+(TRUNC(6+(24-6)*(TRUNC(MOD(($Z997*1103515245 +12345)/ 65536, 32768),0)/32768),0))</f>
        <v>11</v>
      </c>
      <c r="P997" s="16" t="e">
        <f t="shared" ca="1" si="53"/>
        <v>#NAME?</v>
      </c>
      <c r="Q997" s="153">
        <f ca="1">VLOOKUP($AB$2,'RF Mod'!$A$2:$G$12,6,FALSE)+VLOOKUP($AD$2,'RF Mod'!$I$2:$O$11,6,FALSE)+(TRUNC(6+(24-6)*(TRUNC(MOD(($Z997*1103515245 +12345)/ 65536, 32768),0)/32768),0))</f>
        <v>9</v>
      </c>
      <c r="R997" s="16">
        <f t="shared" ca="1" si="54"/>
        <v>-1</v>
      </c>
      <c r="S997" s="154">
        <f t="shared" ca="1" si="59"/>
        <v>11</v>
      </c>
      <c r="T997" s="154">
        <f t="shared" ca="1" si="55"/>
        <v>10</v>
      </c>
      <c r="U997" s="16" t="str">
        <f t="shared" ca="1" si="56"/>
        <v>Bloody</v>
      </c>
      <c r="V997" s="155">
        <f ca="1">IFERROR(__xludf.DUMMYFUNCTION("if(W997=""Middle Age"",QUERY(NPCVar!$K$2:$N1000, ""Select L where K = '""&amp;AB997&amp;""'""),if(W997=""Old"",QUERY(NPCVar!$K$2:$N1000, ""Select M where K = '""&amp;AB997&amp;""'""),if(W997=""Venerable"",QUERY(NPCVar!$K$2:$N1000, ""Select N where K = '""&amp;AB997&amp;""'""),fa"&amp;"lse)))*X997"),24)</f>
        <v>24</v>
      </c>
      <c r="W997" s="156" t="str">
        <f t="array" ref="W997">INDEX(NPCAgeType,TRUNC(1+(4-1)*(TRUNC(MOD((X997*1103515245 +12345)/ 65536, 32768),0)/32768),0))</f>
        <v>Middle Age</v>
      </c>
      <c r="X997" s="117">
        <f t="shared" si="61"/>
        <v>0.3</v>
      </c>
      <c r="Y997" s="157" t="e">
        <f t="array" aca="1" ref="Y997" ca="1">LOOKUP(ABS(MAX(Z997 + MIN(ABS(INDIRECT("Class Jobs!B"&amp;MATCH(E997,'Class Jobs'!$A$1:$A1000,0)&amp;":"&amp;"AF"&amp;MATCH(E997,'Class Jobs'!$A$1:$A1000,0)&amp;"")-$Z997)) * SUM(IF(MIN(ABS(INDIRECT("Class Jobs!B"&amp;MATCH(E997,'Class Jobs'!$A$1:$A1000,0)&amp;":"&amp;"AF"&amp;MATCH(E997,'Class Jobs'!$A$1:$A1000,0)&amp;"")-$Z997))=ABS(INDIRECT("Class Jobs!B"&amp;MATCH(E997,'Class Jobs'!$A$1:$A1000,0)&amp;":"&amp;"AF"&amp;MATCH(E997,'Class Jobs'!$A$1:$A1000,0)&amp;"")-$Z997),SIGN(INDIRECT("Class Jobs!B"&amp;MATCH(E997,'Class Jobs'!$A$1:A1000,0)&amp;":"&amp;"AF"&amp;MATCH(E997,'Class Jobs'!$A$1:$A1000,0)&amp;"")-$Z997),0)),0)),INDIRECT("Class Jobs!B"&amp;MATCH(E997,'Class Jobs'!$A$1:$A1000,0)&amp;":"&amp;"AF"&amp;MATCH(E997,'Class Jobs'!$A$1:$A1000,1)&amp;""),'Class Jobs'!$B$1:$AF$1)</f>
        <v>#REF!</v>
      </c>
      <c r="Z997" s="158">
        <f t="shared" si="57"/>
        <v>0.11</v>
      </c>
      <c r="AA997" s="16" t="str">
        <f t="array" ref="AA997">INDEX(NPCGender,TRUNC(1+(COUNTA(NPCGender))*(TRUNC(MOD(($B997*1103515245 +12345)/ 65536, 32768),0)/32768),0))</f>
        <v>Male</v>
      </c>
      <c r="AB997" s="16" t="str">
        <f t="array" ref="AB997">INDEX(NPCRace,TRUNC(1+(COUNTA(NPCRace))*(TRUNC(MOD(($B997*1103515245 +12345)/ 65536, 32768),0)/32768),0))</f>
        <v>Dwarf</v>
      </c>
      <c r="AC997" s="16" t="str">
        <f t="array" ref="AC997">INDEX(NPCAL,TRUNC(1+(COUNTA(NPCAL))*(TRUNC(MOD(($B997*1103515245 +12345)/ 65536, 32768),0)/32768),0))</f>
        <v>CN</v>
      </c>
      <c r="AD997" s="72" t="str">
        <f ca="1">IFERROR(__xludf.DUMMYFUNCTION("if(V997&lt;15,QUERY(NPCVar!C:D,""Select D WHERE C = '""&amp;D997&amp;""'""),if((TRUNC(1+10)*(TRUNC(MOD((ROW(H997)*1103515245 +12345)/ 65536, 32768),0)/32768)/10) &gt; 0.85,INDEX(NPCFaction,TRUNC(1+(counta(NPCFaction)-1)*(TRUNC(MOD(($B997*1103515245 +12345)/ 65536, 3276"&amp;"8),0)/32768),0)),QUERY(NPCVar!C:D,""Select D WHERE C = '""&amp;D997&amp;""'"")))"),"Death Guild")</f>
        <v>Death Guild</v>
      </c>
      <c r="AE997" s="108" t="e">
        <f t="shared" ca="1" si="58"/>
        <v>#NAME?</v>
      </c>
      <c r="AF997" s="159">
        <f ca="1">IFERROR(__xludf.DUMMYFUNCTION("AE997*(V997 / QUERY(NPCVar!$K$2:$N$12, ""Select N WHERE K='""&amp;AB997&amp;""'""))*TRUNC(1+10)*(TRUNC(MOD(($B997*1103515245 +12345)/ 65536, 32768),0)/32768)"),0.0430274963378906)</f>
        <v>4.3027496337890603E-2</v>
      </c>
      <c r="AG997" s="16"/>
      <c r="AH997" s="77"/>
      <c r="AI997" s="114"/>
    </row>
    <row r="998" spans="1:35" ht="16.2">
      <c r="A998" s="53">
        <v>997</v>
      </c>
      <c r="B998" s="118">
        <f t="shared" si="64"/>
        <v>1.1431899999999999</v>
      </c>
      <c r="C998" s="72" t="str">
        <f t="array" ref="C998">INDEX(NPCFName,TRUNC(1+(COUNTA(NPCFName))*(TRUNC(MOD(($B998*1103515245 +12345)/ 65536, 32768),0)/32768),0))</f>
        <v>Rythern</v>
      </c>
      <c r="D998" s="16" t="str">
        <f t="array" ref="D998">INDEX(NPCLName,TRUNC(1+(COUNTA(NPCLName))*(TRUNC(MOD(($B998*1103515245 +12345)/ 65536, 32768),0)/32768),0))</f>
        <v>Chestaxe</v>
      </c>
      <c r="E998" s="16" t="str">
        <f t="array" ref="E998">INDEX(NPCClass,TRUNC(1+(COUNTA(NPCClass))*(TRUNC(MOD(($B998*1103515245 +12345)/ 65536, 32768),0)/32768),0))</f>
        <v>Warlock</v>
      </c>
      <c r="F998" s="76">
        <v>8</v>
      </c>
      <c r="G998" s="153">
        <f ca="1">VLOOKUP($AB$2,'RF Mod'!$A$2:$G$12,2,FALSE)+VLOOKUP($AD$2,'RF Mod'!$I$2:$O$11,2,FALSE)+(TRUNC(6+(24-6)*(TRUNC(MOD(($Z998*1103515245 +12345)/ 65536, 32768),0)/32768),0))</f>
        <v>9</v>
      </c>
      <c r="H998" s="16">
        <f t="shared" ca="1" si="49"/>
        <v>-1</v>
      </c>
      <c r="I998" s="153">
        <f ca="1">VLOOKUP($AB$2,'RF Mod'!$A$2:$G$12,3,FALSE)+VLOOKUP($AD$2,'RF Mod'!$I$2:$O$11,3,FALSE)+(TRUNC(6+(24-6)*(TRUNC(MOD(($Z998*1103515245 +12345)/ 65536, 32768),0)/32768),0))</f>
        <v>13</v>
      </c>
      <c r="J998" s="16" t="e">
        <f t="shared" ca="1" si="50"/>
        <v>#NAME?</v>
      </c>
      <c r="K998" s="153">
        <f ca="1">VLOOKUP($AB$2,'RF Mod'!$A$2:$G$12,3,FALSE)+VLOOKUP($AD$2,'RF Mod'!$I$2:$O$11,3,FALSE)+(TRUNC(6+(24-6)*(TRUNC(MOD(($Z998*1103515245 +12345)/ 65536, 32768),0)/32768),0))</f>
        <v>13</v>
      </c>
      <c r="L998" s="16" t="e">
        <f t="shared" ca="1" si="51"/>
        <v>#NAME?</v>
      </c>
      <c r="M998" s="153">
        <f ca="1">VLOOKUP($AB$2,'RF Mod'!$A$2:$G$12,4,FALSE)+VLOOKUP($AD$2,'RF Mod'!$I$2:$O$11,4,FALSE)+(TRUNC(6+(24-6)*(TRUNC(MOD(($Z998*1103515245 +12345)/ 65536, 32768),0)/32768),0))</f>
        <v>12</v>
      </c>
      <c r="N998" s="16" t="e">
        <f t="shared" ca="1" si="52"/>
        <v>#NAME?</v>
      </c>
      <c r="O998" s="153">
        <f ca="1">VLOOKUP($AB$2,'RF Mod'!$A$2:$G$12,5,FALSE)+VLOOKUP($AD$2,'RF Mod'!$I$2:$O$11,5,FALSE)+(TRUNC(6+(24-6)*(TRUNC(MOD(($Z998*1103515245 +12345)/ 65536, 32768),0)/32768),0))</f>
        <v>15</v>
      </c>
      <c r="P998" s="16" t="e">
        <f t="shared" ca="1" si="53"/>
        <v>#NAME?</v>
      </c>
      <c r="Q998" s="153">
        <f ca="1">VLOOKUP($AB$2,'RF Mod'!$A$2:$G$12,6,FALSE)+VLOOKUP($AD$2,'RF Mod'!$I$2:$O$11,6,FALSE)+(TRUNC(6+(24-6)*(TRUNC(MOD(($Z998*1103515245 +12345)/ 65536, 32768),0)/32768),0))</f>
        <v>13</v>
      </c>
      <c r="R998" s="16" t="e">
        <f t="shared" ca="1" si="54"/>
        <v>#NAME?</v>
      </c>
      <c r="S998" s="154">
        <f t="shared" ca="1" si="59"/>
        <v>248</v>
      </c>
      <c r="T998" s="154">
        <f t="shared" ca="1" si="55"/>
        <v>114</v>
      </c>
      <c r="U998" s="16" t="str">
        <f t="shared" ca="1" si="56"/>
        <v>Fine</v>
      </c>
      <c r="V998" s="155">
        <f ca="1">IFERROR(__xludf.DUMMYFUNCTION("if(W998=""Middle Age"",QUERY(NPCVar!$K$2:$N1000, ""Select L where K = '""&amp;AB998&amp;""'""),if(W998=""Old"",QUERY(NPCVar!$K$2:$N1000, ""Select M where K = '""&amp;AB998&amp;""'""),if(W998=""Venerable"",QUERY(NPCVar!$K$2:$N1000, ""Select N where K = '""&amp;AB998&amp;""'""),fa"&amp;"lse)))*X998"),300)</f>
        <v>300</v>
      </c>
      <c r="W998" s="156" t="str">
        <f t="array" ref="W998">INDEX(NPCAgeType,TRUNC(1+(4-1)*(TRUNC(MOD((X998*1103515245 +12345)/ 65536, 32768),0)/32768),0))</f>
        <v>Venerable</v>
      </c>
      <c r="X998" s="117">
        <f t="shared" si="61"/>
        <v>1.5</v>
      </c>
      <c r="Y998" s="157" t="e">
        <f t="array" aca="1" ref="Y998" ca="1">LOOKUP(ABS(MAX(Z998 + MIN(ABS(INDIRECT("Class Jobs!B"&amp;MATCH(E998,'Class Jobs'!$A$1:$A1000,0)&amp;":"&amp;"AF"&amp;MATCH(E998,'Class Jobs'!$A$1:$A1000,0)&amp;"")-$Z998)) * SUM(IF(MIN(ABS(INDIRECT("Class Jobs!B"&amp;MATCH(E998,'Class Jobs'!$A$1:$A1000,0)&amp;":"&amp;"AF"&amp;MATCH(E998,'Class Jobs'!$A$1:$A1000,0)&amp;"")-$Z998))=ABS(INDIRECT("Class Jobs!B"&amp;MATCH(E998,'Class Jobs'!$A$1:$A1000,0)&amp;":"&amp;"AF"&amp;MATCH(E998,'Class Jobs'!$A$1:$A1000,0)&amp;"")-$Z998),SIGN(INDIRECT("Class Jobs!B"&amp;MATCH(E998,'Class Jobs'!$A$1:A1000,0)&amp;":"&amp;"AF"&amp;MATCH(E998,'Class Jobs'!$A$1:$A1000,0)&amp;"")-$Z998),0)),0)),INDIRECT("Class Jobs!B"&amp;MATCH(E998,'Class Jobs'!$A$1:$A1000,0)&amp;":"&amp;"AF"&amp;MATCH(E998,'Class Jobs'!$A$1:$A1000,1)&amp;""),'Class Jobs'!$B$1:$AF$1)</f>
        <v>#REF!</v>
      </c>
      <c r="Z998" s="158">
        <f t="shared" si="57"/>
        <v>0.59</v>
      </c>
      <c r="AA998" s="16" t="str">
        <f t="array" ref="AA998">INDEX(NPCGender,TRUNC(1+(COUNTA(NPCGender))*(TRUNC(MOD(($B998*1103515245 +12345)/ 65536, 32768),0)/32768),0))</f>
        <v>Female</v>
      </c>
      <c r="AB998" s="16" t="str">
        <f t="array" ref="AB998">INDEX(NPCRace,TRUNC(1+(COUNTA(NPCRace))*(TRUNC(MOD(($B998*1103515245 +12345)/ 65536, 32768),0)/32768),0))</f>
        <v>Halfling</v>
      </c>
      <c r="AC998" s="16" t="str">
        <f t="array" ref="AC998">INDEX(NPCAL,TRUNC(1+(COUNTA(NPCAL))*(TRUNC(MOD(($B998*1103515245 +12345)/ 65536, 32768),0)/32768),0))</f>
        <v>NE</v>
      </c>
      <c r="AD998" s="72" t="str">
        <f ca="1">IFERROR(__xludf.DUMMYFUNCTION("if(V998&lt;15,QUERY(NPCVar!C:D,""Select D WHERE C = '""&amp;D998&amp;""'""),if((TRUNC(1+10)*(TRUNC(MOD((ROW(H998)*1103515245 +12345)/ 65536, 32768),0)/32768)/10) &gt; 0.85,INDEX(NPCFaction,TRUNC(1+(counta(NPCFaction)-1)*(TRUNC(MOD(($B998*1103515245 +12345)/ 65536, 3276"&amp;"8),0)/32768),0)),QUERY(NPCVar!C:D,""Select D WHERE C = '""&amp;D998&amp;""'"")))"),"Death Guild")</f>
        <v>Death Guild</v>
      </c>
      <c r="AE998" s="108" t="e">
        <f t="shared" ca="1" si="58"/>
        <v>#NAME?</v>
      </c>
      <c r="AF998" s="159">
        <f ca="1">IFERROR(__xludf.DUMMYFUNCTION("AE998*(V998 / QUERY(NPCVar!$K$2:$N$12, ""Select N WHERE K='""&amp;AB998&amp;""'""))*TRUNC(1+10)*(TRUNC(MOD(($B998*1103515245 +12345)/ 65536, 32768),0)/32768)"),3.87705688476562)</f>
        <v>3.8770568847656199</v>
      </c>
      <c r="AG998" s="16"/>
      <c r="AH998" s="77"/>
      <c r="AI998" s="114"/>
    </row>
    <row r="999" spans="1:35" ht="16.2">
      <c r="A999" s="53">
        <v>998</v>
      </c>
      <c r="B999" s="118">
        <f t="shared" si="64"/>
        <v>0.13733000000000001</v>
      </c>
      <c r="C999" s="72" t="str">
        <f t="array" ref="C999">INDEX(NPCFName,TRUNC(1+(COUNTA(NPCFName))*(TRUNC(MOD(($B999*1103515245 +12345)/ 65536, 32768),0)/32768),0))</f>
        <v>Darmor</v>
      </c>
      <c r="D999" s="16" t="str">
        <f t="array" ref="D999">INDEX(NPCLName,TRUNC(1+(COUNTA(NPCLName))*(TRUNC(MOD(($B999*1103515245 +12345)/ 65536, 32768),0)/32768),0))</f>
        <v>Autumnorb</v>
      </c>
      <c r="E999" s="16" t="str">
        <f t="array" ref="E999">INDEX(NPCClass,TRUNC(1+(COUNTA(NPCClass))*(TRUNC(MOD(($B999*1103515245 +12345)/ 65536, 32768),0)/32768),0))</f>
        <v>Barbarian</v>
      </c>
      <c r="F999" s="76">
        <v>1</v>
      </c>
      <c r="G999" s="153">
        <f ca="1">VLOOKUP($AB$2,'RF Mod'!$A$2:$G$12,2,FALSE)+VLOOKUP($AD$2,'RF Mod'!$I$2:$O$11,2,FALSE)+(TRUNC(6+(24-6)*(TRUNC(MOD(($Z999*1103515245 +12345)/ 65536, 32768),0)/32768),0))</f>
        <v>4</v>
      </c>
      <c r="H999" s="16">
        <f t="shared" ca="1" si="49"/>
        <v>-3</v>
      </c>
      <c r="I999" s="153">
        <f ca="1">VLOOKUP($AB$2,'RF Mod'!$A$2:$G$12,3,FALSE)+VLOOKUP($AD$2,'RF Mod'!$I$2:$O$11,3,FALSE)+(TRUNC(6+(24-6)*(TRUNC(MOD(($Z999*1103515245 +12345)/ 65536, 32768),0)/32768),0))</f>
        <v>8</v>
      </c>
      <c r="J999" s="16">
        <f t="shared" ca="1" si="50"/>
        <v>-1</v>
      </c>
      <c r="K999" s="153">
        <f ca="1">VLOOKUP($AB$2,'RF Mod'!$A$2:$G$12,3,FALSE)+VLOOKUP($AD$2,'RF Mod'!$I$2:$O$11,3,FALSE)+(TRUNC(6+(24-6)*(TRUNC(MOD(($Z999*1103515245 +12345)/ 65536, 32768),0)/32768),0))</f>
        <v>8</v>
      </c>
      <c r="L999" s="16">
        <f t="shared" ca="1" si="51"/>
        <v>-1</v>
      </c>
      <c r="M999" s="153">
        <f ca="1">VLOOKUP($AB$2,'RF Mod'!$A$2:$G$12,4,FALSE)+VLOOKUP($AD$2,'RF Mod'!$I$2:$O$11,4,FALSE)+(TRUNC(6+(24-6)*(TRUNC(MOD(($Z999*1103515245 +12345)/ 65536, 32768),0)/32768),0))</f>
        <v>7</v>
      </c>
      <c r="N999" s="16">
        <f t="shared" ca="1" si="52"/>
        <v>-2</v>
      </c>
      <c r="O999" s="153">
        <f ca="1">VLOOKUP($AB$2,'RF Mod'!$A$2:$G$12,5,FALSE)+VLOOKUP($AD$2,'RF Mod'!$I$2:$O$11,5,FALSE)+(TRUNC(6+(24-6)*(TRUNC(MOD(($Z999*1103515245 +12345)/ 65536, 32768),0)/32768),0))</f>
        <v>10</v>
      </c>
      <c r="P999" s="16" t="e">
        <f t="shared" ca="1" si="53"/>
        <v>#NAME?</v>
      </c>
      <c r="Q999" s="153">
        <f ca="1">VLOOKUP($AB$2,'RF Mod'!$A$2:$G$12,6,FALSE)+VLOOKUP($AD$2,'RF Mod'!$I$2:$O$11,6,FALSE)+(TRUNC(6+(24-6)*(TRUNC(MOD(($Z999*1103515245 +12345)/ 65536, 32768),0)/32768),0))</f>
        <v>8</v>
      </c>
      <c r="R999" s="16">
        <f t="shared" ca="1" si="54"/>
        <v>-1</v>
      </c>
      <c r="S999" s="154">
        <f t="shared" ca="1" si="59"/>
        <v>10</v>
      </c>
      <c r="T999" s="154">
        <f t="shared" ca="1" si="55"/>
        <v>8</v>
      </c>
      <c r="U999" s="16" t="str">
        <f t="shared" ca="1" si="56"/>
        <v>Bloody</v>
      </c>
      <c r="V999" s="155">
        <f ca="1">IFERROR(__xludf.DUMMYFUNCTION("if(W999=""Middle Age"",QUERY(NPCVar!$K$2:$N1000, ""Select L where K = '""&amp;AB999&amp;""'""),if(W999=""Old"",QUERY(NPCVar!$K$2:$N1000, ""Select M where K = '""&amp;AB999&amp;""'""),if(W999=""Venerable"",QUERY(NPCVar!$K$2:$N1000, ""Select N where K = '""&amp;AB999&amp;""'""),fa"&amp;"lse)))*X999"),4)</f>
        <v>4</v>
      </c>
      <c r="W999" s="156" t="str">
        <f t="array" ref="W999">INDEX(NPCAgeType,TRUNC(1+(4-1)*(TRUNC(MOD((X999*1103515245 +12345)/ 65536, 32768),0)/32768),0))</f>
        <v>Middle Age</v>
      </c>
      <c r="X999" s="117">
        <f t="shared" si="61"/>
        <v>0.2</v>
      </c>
      <c r="Y999" s="157" t="e">
        <f t="array" aca="1" ref="Y999" ca="1">LOOKUP(ABS(MAX(Z999 + MIN(ABS(INDIRECT("Class Jobs!B"&amp;MATCH(E999,'Class Jobs'!$A$1:$A1000,0)&amp;":"&amp;"AF"&amp;MATCH(E999,'Class Jobs'!$A$1:$A1000,0)&amp;"")-$Z999)) * SUM(IF(MIN(ABS(INDIRECT("Class Jobs!B"&amp;MATCH(E999,'Class Jobs'!$A$1:$A1000,0)&amp;":"&amp;"AF"&amp;MATCH(E999,'Class Jobs'!$A$1:$A1000,0)&amp;"")-$Z999))=ABS(INDIRECT("Class Jobs!B"&amp;MATCH(E999,'Class Jobs'!$A$1:$A1000,0)&amp;":"&amp;"AF"&amp;MATCH(E999,'Class Jobs'!$A$1:$A1000,0)&amp;"")-$Z999),SIGN(INDIRECT("Class Jobs!B"&amp;MATCH(E999,'Class Jobs'!$A$1:A1000,0)&amp;":"&amp;"AF"&amp;MATCH(E999,'Class Jobs'!$A$1:$A1000,0)&amp;"")-$Z999),0)),0)),INDIRECT("Class Jobs!B"&amp;MATCH(E999,'Class Jobs'!$A$1:$A1000,0)&amp;":"&amp;"AF"&amp;MATCH(E999,'Class Jobs'!$A$1:$A1000,1)&amp;""),'Class Jobs'!$B$1:$AF$1)</f>
        <v>#REF!</v>
      </c>
      <c r="Z999" s="158">
        <f t="shared" si="57"/>
        <v>7.0000000000000007E-2</v>
      </c>
      <c r="AA999" s="16" t="str">
        <f t="array" ref="AA999">INDEX(NPCGender,TRUNC(1+(COUNTA(NPCGender))*(TRUNC(MOD(($B999*1103515245 +12345)/ 65536, 32768),0)/32768),0))</f>
        <v>Male</v>
      </c>
      <c r="AB999" s="16" t="str">
        <f t="array" ref="AB999">INDEX(NPCRace,TRUNC(1+(COUNTA(NPCRace))*(TRUNC(MOD(($B999*1103515245 +12345)/ 65536, 32768),0)/32768),0))</f>
        <v>Dragonborn</v>
      </c>
      <c r="AC999" s="16" t="str">
        <f t="array" ref="AC999">INDEX(NPCAL,TRUNC(1+(COUNTA(NPCAL))*(TRUNC(MOD(($B999*1103515245 +12345)/ 65536, 32768),0)/32768),0))</f>
        <v>CN</v>
      </c>
      <c r="AD999" s="72" t="str">
        <f ca="1">IFERROR(__xludf.DUMMYFUNCTION("if(V999&lt;15,QUERY(NPCVar!C:D,""Select D WHERE C = '""&amp;D999&amp;""'""),if((TRUNC(1+10)*(TRUNC(MOD((ROW(H999)*1103515245 +12345)/ 65536, 32768),0)/32768)/10) &gt; 0.85,INDEX(NPCFaction,TRUNC(1+(counta(NPCFaction)-1)*(TRUNC(MOD(($B999*1103515245 +12345)/ 65536, 3276"&amp;"8),0)/32768),0)),QUERY(NPCVar!C:D,""Select D WHERE C = '""&amp;D999&amp;""'"")))"),"Royalty")</f>
        <v>Royalty</v>
      </c>
      <c r="AE999" s="108" t="e">
        <f t="shared" ca="1" si="58"/>
        <v>#NAME?</v>
      </c>
      <c r="AF999" s="159">
        <f ca="1">IFERROR(__xludf.DUMMYFUNCTION("AE999*(V999 / QUERY(NPCVar!$K$2:$N$12, ""Select N WHERE K='""&amp;AB999&amp;""'""))*TRUNC(1+10)*(TRUNC(MOD(($B999*1103515245 +12345)/ 65536, 32768),0)/32768)"),0.019403076171875)</f>
        <v>1.9403076171874999E-2</v>
      </c>
      <c r="AG999" s="16"/>
      <c r="AH999" s="77"/>
      <c r="AI999" s="114"/>
    </row>
    <row r="1000" spans="1:35" ht="16.2">
      <c r="A1000" s="53">
        <v>999</v>
      </c>
      <c r="B1000" s="118">
        <f t="shared" si="64"/>
        <v>1.63147</v>
      </c>
      <c r="C1000" s="72" t="str">
        <f t="array" ref="C1000">INDEX(NPCFName,TRUNC(1+(COUNTA(NPCFName))*(TRUNC(MOD(($B1000*1103515245 +12345)/ 65536, 32768),0)/32768),0))</f>
        <v>Lephar</v>
      </c>
      <c r="D1000" s="16" t="str">
        <f t="array" ref="D1000">INDEX(NPCLName,TRUNC(1+(COUNTA(NPCLName))*(TRUNC(MOD(($B1000*1103515245 +12345)/ 65536, 32768),0)/32768),0))</f>
        <v>Springgust</v>
      </c>
      <c r="E1000" s="16" t="str">
        <f t="array" ref="E1000">INDEX(NPCClass,TRUNC(1+(COUNTA(NPCClass))*(TRUNC(MOD(($B1000*1103515245 +12345)/ 65536, 32768),0)/32768),0))</f>
        <v>Fighter</v>
      </c>
      <c r="F1000" s="76">
        <v>8</v>
      </c>
      <c r="G1000" s="153">
        <f ca="1">VLOOKUP($AB$2,'RF Mod'!$A$2:$G$12,2,FALSE)+VLOOKUP($AD$2,'RF Mod'!$I$2:$O$11,2,FALSE)+(TRUNC(6+(24-6)*(TRUNC(MOD(($Z1000*1103515245 +12345)/ 65536, 32768),0)/32768),0))</f>
        <v>11</v>
      </c>
      <c r="H1000" s="16" t="e">
        <f t="shared" ca="1" si="49"/>
        <v>#NAME?</v>
      </c>
      <c r="I1000" s="153">
        <f ca="1">VLOOKUP($AB$2,'RF Mod'!$A$2:$G$12,3,FALSE)+VLOOKUP($AD$2,'RF Mod'!$I$2:$O$11,3,FALSE)+(TRUNC(6+(24-6)*(TRUNC(MOD(($Z1000*1103515245 +12345)/ 65536, 32768),0)/32768),0))</f>
        <v>15</v>
      </c>
      <c r="J1000" s="16" t="e">
        <f t="shared" ca="1" si="50"/>
        <v>#NAME?</v>
      </c>
      <c r="K1000" s="153">
        <f ca="1">VLOOKUP($AB$2,'RF Mod'!$A$2:$G$12,3,FALSE)+VLOOKUP($AD$2,'RF Mod'!$I$2:$O$11,3,FALSE)+(TRUNC(6+(24-6)*(TRUNC(MOD(($Z1000*1103515245 +12345)/ 65536, 32768),0)/32768),0))</f>
        <v>15</v>
      </c>
      <c r="L1000" s="16" t="e">
        <f t="shared" ca="1" si="51"/>
        <v>#NAME?</v>
      </c>
      <c r="M1000" s="153">
        <f ca="1">VLOOKUP($AB$2,'RF Mod'!$A$2:$G$12,4,FALSE)+VLOOKUP($AD$2,'RF Mod'!$I$2:$O$11,4,FALSE)+(TRUNC(6+(24-6)*(TRUNC(MOD(($Z1000*1103515245 +12345)/ 65536, 32768),0)/32768),0))</f>
        <v>14</v>
      </c>
      <c r="N1000" s="16" t="e">
        <f t="shared" ca="1" si="52"/>
        <v>#NAME?</v>
      </c>
      <c r="O1000" s="153">
        <f ca="1">VLOOKUP($AB$2,'RF Mod'!$A$2:$G$12,5,FALSE)+VLOOKUP($AD$2,'RF Mod'!$I$2:$O$11,5,FALSE)+(TRUNC(6+(24-6)*(TRUNC(MOD(($Z1000*1103515245 +12345)/ 65536, 32768),0)/32768),0))</f>
        <v>17</v>
      </c>
      <c r="P1000" s="16" t="e">
        <f t="shared" ca="1" si="53"/>
        <v>#NAME?</v>
      </c>
      <c r="Q1000" s="153">
        <f ca="1">VLOOKUP($AB$2,'RF Mod'!$A$2:$G$12,6,FALSE)+VLOOKUP($AD$2,'RF Mod'!$I$2:$O$11,6,FALSE)+(TRUNC(6+(24-6)*(TRUNC(MOD(($Z1000*1103515245 +12345)/ 65536, 32768),0)/32768),0))</f>
        <v>15</v>
      </c>
      <c r="R1000" s="16" t="e">
        <f t="shared" ca="1" si="54"/>
        <v>#NAME?</v>
      </c>
      <c r="S1000" s="154">
        <f t="shared" ca="1" si="59"/>
        <v>168</v>
      </c>
      <c r="T1000" s="154">
        <f t="shared" ca="1" si="55"/>
        <v>51</v>
      </c>
      <c r="U1000" s="16" t="str">
        <f t="shared" ca="1" si="56"/>
        <v>Fine</v>
      </c>
      <c r="V1000" s="155">
        <f ca="1">IFERROR(__xludf.DUMMYFUNCTION("if(W1000=""Middle Age"",QUERY(NPCVar!$K$2:$N1000, ""Select L where K = '""&amp;AB1000&amp;""'""),if(W1000=""Old"",QUERY(NPCVar!$K$2:$N1000, ""Select M where K = '""&amp;AB1000&amp;""'""),if(W1000=""Venerable"",QUERY(NPCVar!$K$2:$N1000, ""Select N where K = '""&amp;AB1000&amp;""'"&amp;"""),false)))*X1000"),57.75)</f>
        <v>57.75</v>
      </c>
      <c r="W1000" s="156" t="str">
        <f t="array" ref="W1000">INDEX(NPCAgeType,TRUNC(1+(4-1)*(TRUNC(MOD((X1000*1103515245 +12345)/ 65536, 32768),0)/32768),0))</f>
        <v>Middle Age</v>
      </c>
      <c r="X1000" s="117">
        <f t="shared" si="61"/>
        <v>2.1</v>
      </c>
      <c r="Y1000" s="157" t="e">
        <f t="array" aca="1" ref="Y1000" ca="1">LOOKUP(ABS(MAX(Z1000 + MIN(ABS(INDIRECT("Class Jobs!B"&amp;MATCH(E1000,'Class Jobs'!$A$1:$A1000,0)&amp;":"&amp;"AF"&amp;MATCH(E1000,'Class Jobs'!$A$1:$A1000,0)&amp;"")-$Z1000)) * SUM(IF(MIN(ABS(INDIRECT("Class Jobs!B"&amp;MATCH(E1000,'Class Jobs'!$A$1:$A1000,0)&amp;":"&amp;"AF"&amp;MATCH(E1000,'Class Jobs'!$A$1:$A1000,0)&amp;"")-$Z1000))=ABS(INDIRECT("Class Jobs!B"&amp;MATCH(E1000,'Class Jobs'!$A$1:$A1000,0)&amp;":"&amp;"AF"&amp;MATCH(E1000,'Class Jobs'!$A$1:$A1000,0)&amp;"")-$Z1000),SIGN(INDIRECT("Class Jobs!B"&amp;MATCH(E1000,'Class Jobs'!$A$1:A1000,0)&amp;":"&amp;"AF"&amp;MATCH(E1000,'Class Jobs'!$A$1:$A1000,0)&amp;"")-$Z1000),0)),0)),INDIRECT("Class Jobs!B"&amp;MATCH(E1000,'Class Jobs'!$A$1:$A1000,0)&amp;":"&amp;"AF"&amp;MATCH(E1000,'Class Jobs'!$A$1:$A1000,1)&amp;""),'Class Jobs'!$B$1:$AF$1)</f>
        <v>#REF!</v>
      </c>
      <c r="Z1000" s="158">
        <f t="shared" si="57"/>
        <v>0.83</v>
      </c>
      <c r="AA1000" s="16" t="str">
        <f t="array" ref="AA1000">INDEX(NPCGender,TRUNC(1+(COUNTA(NPCGender))*(TRUNC(MOD(($B1000*1103515245 +12345)/ 65536, 32768),0)/32768),0))</f>
        <v>Neutral</v>
      </c>
      <c r="AB1000" s="16" t="str">
        <f t="array" ref="AB1000">INDEX(NPCRace,TRUNC(1+(COUNTA(NPCRace))*(TRUNC(MOD(($B1000*1103515245 +12345)/ 65536, 32768),0)/32768),0))</f>
        <v>Genasi</v>
      </c>
      <c r="AC1000" s="16" t="str">
        <f t="array" ref="AC1000">INDEX(NPCAL,TRUNC(1+(COUNTA(NPCAL))*(TRUNC(MOD(($B1000*1103515245 +12345)/ 65536, 32768),0)/32768),0))</f>
        <v>LN</v>
      </c>
      <c r="AD1000" s="72" t="str">
        <f ca="1">IFERROR(__xludf.DUMMYFUNCTION("if(V1000&lt;15,QUERY(NPCVar!C:D,""Select D WHERE C = '""&amp;D1000&amp;""'""),if((TRUNC(1+10)*(TRUNC(MOD((ROW(H1000)*1103515245 +12345)/ 65536, 32768),0)/32768)/10) &gt; 0.85,INDEX(NPCFaction,TRUNC(1+(counta(NPCFaction)-1)*(TRUNC(MOD(($B1000*1103515245 +12345)/ 65536, "&amp;"32768),0)/32768),0)),QUERY(NPCVar!C:D,""Select D WHERE C = '""&amp;D1000&amp;""'"")))"),"Farmers Guild")</f>
        <v>Farmers Guild</v>
      </c>
      <c r="AE1000" s="108" t="e">
        <f t="shared" ca="1" si="58"/>
        <v>#NAME?</v>
      </c>
      <c r="AF1000" s="159">
        <f ca="1">IFERROR(__xludf.DUMMYFUNCTION("AE1000*(V1000 / QUERY(NPCVar!$K$2:$N$12, ""Select N WHERE K='""&amp;AB1000&amp;""'""))*TRUNC(1+10)*(TRUNC(MOD(($B1000*1103515245 +12345)/ 65536, 32768),0)/32768)"),2.42073097229003)</f>
        <v>2.4207309722900301</v>
      </c>
      <c r="AG1000" s="83"/>
      <c r="AH1000" s="82"/>
      <c r="AI1000" s="110"/>
    </row>
  </sheetData>
  <autoFilter ref="A1:AO1000" xr:uid="{00000000-0009-0000-0000-00000B000000}"/>
  <mergeCells count="1">
    <mergeCell ref="AJ1:AO1"/>
  </mergeCells>
  <conditionalFormatting sqref="AF1:AF1000">
    <cfRule type="colorScale" priority="1">
      <colorScale>
        <cfvo type="min"/>
        <cfvo type="percentile" val="50"/>
        <cfvo type="max"/>
        <color rgb="FFFF0000"/>
        <color rgb="FFFFD666"/>
        <color rgb="FF00FF00"/>
      </colorScale>
    </cfRule>
  </conditionalFormatting>
  <conditionalFormatting sqref="U1:U1000">
    <cfRule type="cellIs" dxfId="3" priority="2" operator="equal">
      <formula>"Fine"</formula>
    </cfRule>
  </conditionalFormatting>
  <conditionalFormatting sqref="U1:U1000">
    <cfRule type="beginsWith" dxfId="2" priority="3" operator="beginsWith" text="U">
      <formula>LEFT((U1),LEN("U"))=("U")</formula>
    </cfRule>
  </conditionalFormatting>
  <conditionalFormatting sqref="U1:U1000">
    <cfRule type="beginsWith" dxfId="1" priority="4" operator="beginsWith" text="D">
      <formula>LEFT((U1),LEN("D"))=("D")</formula>
    </cfRule>
  </conditionalFormatting>
  <conditionalFormatting sqref="U1:U1000">
    <cfRule type="beginsWith" dxfId="0" priority="5" operator="beginsWith" text="B">
      <formula>LEFT((U1),LEN("B"))=("B")</formula>
    </cfRule>
  </conditionalFormatting>
  <hyperlinks>
    <hyperlink ref="C1" r:id="rId1" xr:uid="{00000000-0004-0000-0B00-000000000000}"/>
    <hyperlink ref="D1" r:id="rId2" xr:uid="{00000000-0004-0000-0B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Аркуші</vt:lpstr>
      </vt:variant>
      <vt:variant>
        <vt:i4>17</vt:i4>
      </vt:variant>
      <vt:variant>
        <vt:lpstr>Іменовані діапазони</vt:lpstr>
      </vt:variant>
      <vt:variant>
        <vt:i4>18</vt:i4>
      </vt:variant>
    </vt:vector>
  </HeadingPairs>
  <TitlesOfParts>
    <vt:vector size="35" baseType="lpstr">
      <vt:lpstr>Export Items</vt:lpstr>
      <vt:lpstr>Weapon</vt:lpstr>
      <vt:lpstr>Armor</vt:lpstr>
      <vt:lpstr>Adventure</vt:lpstr>
      <vt:lpstr>Magic Items</vt:lpstr>
      <vt:lpstr>Whois</vt:lpstr>
      <vt:lpstr>Vars</vt:lpstr>
      <vt:lpstr>NPCVar</vt:lpstr>
      <vt:lpstr>Charts</vt:lpstr>
      <vt:lpstr>Formulas</vt:lpstr>
      <vt:lpstr>FamilyFactions</vt:lpstr>
      <vt:lpstr>Copy of FamilyFactions</vt:lpstr>
      <vt:lpstr>World Information</vt:lpstr>
      <vt:lpstr>RF Mod</vt:lpstr>
      <vt:lpstr>Copy of World Information</vt:lpstr>
      <vt:lpstr>Class Jobs</vt:lpstr>
      <vt:lpstr>NPC List</vt:lpstr>
      <vt:lpstr>ItemsALL</vt:lpstr>
      <vt:lpstr>ItemsCost</vt:lpstr>
      <vt:lpstr>ItemsID</vt:lpstr>
      <vt:lpstr>ItemsName</vt:lpstr>
      <vt:lpstr>ItemsType</vt:lpstr>
      <vt:lpstr>NPCAgeType</vt:lpstr>
      <vt:lpstr>NPCAL</vt:lpstr>
      <vt:lpstr>NPCClass</vt:lpstr>
      <vt:lpstr>NPCColor</vt:lpstr>
      <vt:lpstr>NPCFaction</vt:lpstr>
      <vt:lpstr>NPCFName</vt:lpstr>
      <vt:lpstr>NPCGender</vt:lpstr>
      <vt:lpstr>NPCJobs</vt:lpstr>
      <vt:lpstr>NPCLName</vt:lpstr>
      <vt:lpstr>NPCRace</vt:lpstr>
      <vt:lpstr>NPCSize</vt:lpstr>
      <vt:lpstr>'Copy of World Information'!Seed</vt:lpstr>
      <vt:lpstr>Seed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Antonio</dc:creator>
  <cp:lastModifiedBy>Antonio</cp:lastModifiedBy>
  <dcterms:created xsi:type="dcterms:W3CDTF">2023-06-09T03:10:30Z</dcterms:created>
  <dcterms:modified xsi:type="dcterms:W3CDTF">2023-06-09T03:10:30Z</dcterms:modified>
</cp:coreProperties>
</file>